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state="hidden" r:id="rId4"/>
    <sheet name="metadata_form" sheetId="5" state="hidden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<sst xmlns="http://schemas.openxmlformats.org/spreadsheetml/2006/main" count="97" uniqueCount="46">
  <si>
    <t>sample_id</t>
  </si>
  <si>
    <t>sample_name</t>
  </si>
  <si>
    <t>No more than 1000 samples can be entered in this worksheet.  If you need to submit metadata for &gt;1000 samples, please contact CMI directly.</t>
  </si>
  <si>
    <t>env_biome</t>
  </si>
  <si>
    <t>env_feature</t>
  </si>
  <si>
    <t>env_package</t>
  </si>
  <si>
    <t>host_age</t>
  </si>
  <si>
    <t>host_age_units</t>
  </si>
  <si>
    <t>host_body_mass_index</t>
  </si>
  <si>
    <t>host_common_name</t>
  </si>
  <si>
    <t>host_height</t>
  </si>
  <si>
    <t>host_height_units</t>
  </si>
  <si>
    <t>host_scientific_name</t>
  </si>
  <si>
    <t>host_taxid</t>
  </si>
  <si>
    <t>host_weight</t>
  </si>
  <si>
    <t>host_weight_units</t>
  </si>
  <si>
    <t>irb_institute</t>
  </si>
  <si>
    <t>irb_protocol_id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</si>
  <si>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</si>
  <si>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</si>
  <si>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</si>
  <si>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</si>
  <si>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</si>
  <si>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</si>
  <si>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</si>
  <si>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</si>
  <si>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</si>
  <si>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</si>
  <si>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</si>
  <si>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</si>
  <si>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"urban biome". The default value is urban biome.</t>
  </si>
  <si>
    <t>The value must be a string and must equal "human-associated habitat". The default value is human-associated habitat.</t>
  </si>
  <si>
    <t>The value must be a string and must equal "human-associated" or must equal "human-skin" or must equal "human-oral" or must equal "human-gut" or must equal "human-vaginal".</t>
  </si>
  <si>
    <t>The value must be a number and &gt;0.</t>
  </si>
  <si>
    <t>The value must be a string and must equal "years". The default value is years.</t>
  </si>
  <si>
    <t>Body mass index. The value must be a string and must equal "not applicable" or must equal "not collected" or must equal "not provided" or must equal "restricted access" or the value must be a number and &gt;0.</t>
  </si>
  <si>
    <t>The value must be a string and must equal "human". The default value is human.</t>
  </si>
  <si>
    <t>The value must be a string and must equal "cm". The default value is cm.</t>
  </si>
  <si>
    <t>The value must be a string and must equal "Homo sapiens". The default value is Homo sapiens.</t>
  </si>
  <si>
    <t>The value must be a string and must equal "9606". The default value is 9606.</t>
  </si>
  <si>
    <t>The value must be a string and must equal "kg". The default value is kg.</t>
  </si>
  <si>
    <t>The name of institute that approved the IRB (human studies). The value must be a string and must equal "not provided" or the value must be a string.</t>
  </si>
  <si>
    <t>The ID of the IRB protocol that covers the collection and analysis of this sample (human studies). The value must be a string and must equal "not provided" or the value must be a string.</t>
  </si>
  <si>
    <t xml:space="preserve">env_biome:
  allowed:
  - urban biome
  default: urban biome
  empty: false
  is_phi: false
  required: true
  type: string
env_feature:
  allowed:
  - human-associated habitat
  default: human-associated habitat
  empty: false
  is_phi: false
  required: true
  type: string
env_package:
  allowed:
  - human-associated
  - human-skin
  - human-oral
  - human-gut
  - human-vaginal
  empty: false
  is_phi: false
  required: true
  type: string
host_age:
  empty: false
  is_phi: false
  min_exclusive: '0'
  required: true
  type: number
  units: host_age_units
host_age_units:
  allowed:
  - years
  default: years
  empty: false
  is_phi: false
  required: true
  type: string
host_body_mass_index:
  anyof:
  - allowed:
    - not applicable
    - not collected
    - not provided
    - restricted access
    type: string
  - min_exclusive: '0'
    type: number
  empty: false
  field_desc: Body mass index
  is_phi: false
  required: true
host_common_name:
  allowed:
  - human
  default: human
  empty: false
  is_phi: false
  required: true
  type: string
host_height:
  empty: false
  is_phi: false
  min_exclusive: '0'
  required: true
  type: number
  units: host_height_units
host_height_units:
  allowed:
  - cm
  default: cm
  empty: false
  is_phi: false
  required: true
  type: string
host_scientific_name:
  allowed:
  - Homo sapiens
  default: Homo sapiens
  empty: false
  is_phi: false
  required: true
  type: string
host_taxid:
  allowed:
  - '9606'
  default: '9606'
  empty: false
  is_phi: false
  required: true
  type: string
host_weight:
  empty: false
  is_phi: false
  min_exclusive: '0'
  required: true
  type: number
  units: host_weight_units
host_weight_units:
  allowed:
  - kg
  default: kg
  empty: false
  is_phi: false
  required: true
  type: string
irb_institute:
  anyof:
  - allowed:
    - not provided
    type: string
  - type: string
  empty: false
  field_desc: the name of institute that approved the IRB (human studies)
  is_phi: false
  required: true
irb_protocol_id:
  anyof:
  - allowed:
    - not provided
    type: string
  - type: string
  empty: false
  field_desc: the ID of the IRB protocol that covers the collection and analysis of
    this sample (human studies)
  is_phi: false
  required: true
sample_name:
  empty: false
  is_phi: false
  regex: ^[a-zA-Z0-9\.]+$
  required: true
  type: string
  unique: true
</t>
  </si>
  <si>
    <t xml:space="preserve">0:
  allowed_missing_vals[]:
  - ebi_not_provided
  default_value: no_default
  field_desc: the name of institute that approved the IRB (human studies)
  field_name: irb_institute
  field_type: string
1:
  allowed_missing_vals[]:
  - ebi_not_provided
  default_value: no_default
  field_desc: the ID of the IRB protocol that covers the collection and analysis of
    this sample (human studies)
  field_name: irb_protocol_id
  field_type: string
2:
  categorical_default_select: urban biome
  categorical_values: urban biome
  default_value: categorical_default
  field_name: env_biome
  field_type: categorical
3:
  categorical_default_select: human-associated habitat
  categorical_values: human-associated habitat
  default_value: categorical_default
  field_name: env_feature
  field_type: categorical
4:
  categorical_values: "human-associated\r\nhuman-skin\r\nhuman-oral\r\nhuman-gut\r\
    \nhuman-vaginal"
  default_value: no_default
  field_name: env_package
  field_type: categorical
5:
  categorical_default_select: human
  categorical_values: human
  default_value: categorical_default
  field_name: host_common_name
  field_type: categorical
6:
  categorical_default_select: Homo sapiens
  categorical_values: Homo sapiens
  default_value: categorical_default
  field_name: host_scientific_name
  field_type: categorical
7:
  categorical_default_select: '9606'
  categorical_values: '9606'
  default_value: categorical_default
  field_name: host_taxid
  field_type: categorical
8:
  allowed_missing_vals[]:
  - ebi_not_applicable
  - ebi_not_collected
  - ebi_not_provided
  - ebi_restricted
  data_type: number
  default_value: no_default
  field_desc: Body mass index
  field_name: host_body_mass_index
  field_type: continuous
  is_unitless: 'True'
  maximum_comparison: no_comparison
  minimum_comparison: min_exclusive
  minimum_value: '0'
9:
  data_type: number
  default_value: no_default
  field_name: host_age
  field_type: continuous
  maximum_comparison: no_comparison
  minimum_comparison: min_exclusive
  minimum_value: '0'
  units: years
10:
  data_type: number
  default_value: no_default
  field_name: host_height
  field_type: continuous
  maximum_comparison: no_comparison
  minimum_comparison: min_exclusive
  minimum_value: '0'
  units: cm
11:
  data_type: number
  default_value: no_default
  field_name: host_weight
  field_type: continuous
  maximum_comparison: no_comparison
  minimum_comparison: min_exclusive
  minimum_value: '0'
  units: kg
</t>
  </si>
  <si>
    <t>This file was created by QIIMP v0.3 at 2018-09-04 17:20:19.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</si>
</sst>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Protection="1">
      <protection locked="0" hidden="1"/>
    </xf>
    <xf numFmtId="0" fontId="1" fillId="0" borderId="0" xfId="0" applyFont="1" applyProtection="1">
      <protection locked="0" hidden="1"/>
    </xf>
    <xf numFmtId="0" fontId="2" fillId="0" borderId="0" xfId="0" applyFont="1" applyAlignment="1" applyProtection="1">
      <alignment wrapText="1"/>
      <protection hidden="1"/>
    </xf>
    <xf numFmtId="0" fontId="3" fillId="0" borderId="0" xfId="0" applyFont="1" applyProtection="1">
      <protection hidden="1"/>
    </xf>
    <xf numFmtId="0" fontId="1" fillId="0" borderId="0" xfId="0" applyFont="1" applyAlignment="1" applyProtection="1">
      <alignment horizontal="center"/>
      <protection hidden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2" customWidth="1"/>
    <col min="7" max="7" width="25.7109375" style="1" customWidth="1"/>
    <col min="8" max="8" width="25.7109375" style="2" customWidth="1"/>
    <col min="9" max="9" width="25.7109375" style="1" customWidth="1"/>
    <col min="10" max="10" width="25.7109375" style="2" customWidth="1"/>
    <col min="11" max="11" width="25.7109375" style="1" customWidth="1"/>
    <col min="12" max="12" width="25.7109375" style="1" customWidth="1"/>
    <col min="13" max="13" width="25.7109375" style="1" customWidth="1"/>
    <col min="14" max="14" width="25.7109375" style="2" customWidth="1"/>
    <col min="15" max="15" width="25.7109375" style="1" customWidth="1"/>
    <col min="16" max="16" width="25.7109375" style="1" customWidth="1"/>
    <col min="17" max="17" width="25.7109375" style="1" customWidth="1"/>
  </cols>
  <sheetData>
    <row r="1" spans="1:17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</row>
    <row r="2" spans="1:17">
      <c r="A2">
        <f>IF(COUNTBLANK(B2:Q2)&lt;&gt;COLUMNS(B2:Q2),1,"")</f>
        <v>0</v>
      </c>
      <c r="C2" s="1">
        <f>IF(B2="", "", "urban biome")</f>
        <v>0</v>
      </c>
      <c r="D2" s="1">
        <f>IF(B2="", "", "human-associated habitat")</f>
        <v>0</v>
      </c>
      <c r="G2" s="1">
        <f>IF(B2="", "", "years")</f>
        <v>0</v>
      </c>
      <c r="I2" s="1">
        <f>IF(B2="", "", "human")</f>
        <v>0</v>
      </c>
      <c r="K2" s="1">
        <f>IF(B2="", "", "cm")</f>
        <v>0</v>
      </c>
      <c r="L2" s="1">
        <f>IF(B2="", "", "Homo sapiens")</f>
        <v>0</v>
      </c>
      <c r="M2" s="1">
        <f>IF(B2="", "", "9606")</f>
        <v>0</v>
      </c>
      <c r="O2" s="1">
        <f>IF(B2="", "", "kg")</f>
        <v>0</v>
      </c>
    </row>
    <row r="3" spans="1:17">
      <c r="A3">
        <f>IF(COUNTBLANK(B3:Q3)&lt;&gt;COLUMNS(B3:Q3),2,"")</f>
        <v>0</v>
      </c>
      <c r="C3" s="1">
        <f>IF(B3="", "", "urban biome")</f>
        <v>0</v>
      </c>
      <c r="D3" s="1">
        <f>IF(B3="", "", "human-associated habitat")</f>
        <v>0</v>
      </c>
      <c r="G3" s="1">
        <f>IF(B3="", "", "years")</f>
        <v>0</v>
      </c>
      <c r="I3" s="1">
        <f>IF(B3="", "", "human")</f>
        <v>0</v>
      </c>
      <c r="K3" s="1">
        <f>IF(B3="", "", "cm")</f>
        <v>0</v>
      </c>
      <c r="L3" s="1">
        <f>IF(B3="", "", "Homo sapiens")</f>
        <v>0</v>
      </c>
      <c r="M3" s="1">
        <f>IF(B3="", "", "9606")</f>
        <v>0</v>
      </c>
      <c r="O3" s="1">
        <f>IF(B3="", "", "kg")</f>
        <v>0</v>
      </c>
    </row>
    <row r="4" spans="1:17">
      <c r="A4">
        <f>IF(COUNTBLANK(B4:Q4)&lt;&gt;COLUMNS(B4:Q4),3,"")</f>
        <v>0</v>
      </c>
      <c r="C4" s="1">
        <f>IF(B4="", "", "urban biome")</f>
        <v>0</v>
      </c>
      <c r="D4" s="1">
        <f>IF(B4="", "", "human-associated habitat")</f>
        <v>0</v>
      </c>
      <c r="G4" s="1">
        <f>IF(B4="", "", "years")</f>
        <v>0</v>
      </c>
      <c r="I4" s="1">
        <f>IF(B4="", "", "human")</f>
        <v>0</v>
      </c>
      <c r="K4" s="1">
        <f>IF(B4="", "", "cm")</f>
        <v>0</v>
      </c>
      <c r="L4" s="1">
        <f>IF(B4="", "", "Homo sapiens")</f>
        <v>0</v>
      </c>
      <c r="M4" s="1">
        <f>IF(B4="", "", "9606")</f>
        <v>0</v>
      </c>
      <c r="O4" s="1">
        <f>IF(B4="", "", "kg")</f>
        <v>0</v>
      </c>
    </row>
    <row r="5" spans="1:17">
      <c r="A5">
        <f>IF(COUNTBLANK(B5:Q5)&lt;&gt;COLUMNS(B5:Q5),4,"")</f>
        <v>0</v>
      </c>
      <c r="C5" s="1">
        <f>IF(B5="", "", "urban biome")</f>
        <v>0</v>
      </c>
      <c r="D5" s="1">
        <f>IF(B5="", "", "human-associated habitat")</f>
        <v>0</v>
      </c>
      <c r="G5" s="1">
        <f>IF(B5="", "", "years")</f>
        <v>0</v>
      </c>
      <c r="I5" s="1">
        <f>IF(B5="", "", "human")</f>
        <v>0</v>
      </c>
      <c r="K5" s="1">
        <f>IF(B5="", "", "cm")</f>
        <v>0</v>
      </c>
      <c r="L5" s="1">
        <f>IF(B5="", "", "Homo sapiens")</f>
        <v>0</v>
      </c>
      <c r="M5" s="1">
        <f>IF(B5="", "", "9606")</f>
        <v>0</v>
      </c>
      <c r="O5" s="1">
        <f>IF(B5="", "", "kg")</f>
        <v>0</v>
      </c>
    </row>
    <row r="6" spans="1:17">
      <c r="A6">
        <f>IF(COUNTBLANK(B6:Q6)&lt;&gt;COLUMNS(B6:Q6),5,"")</f>
        <v>0</v>
      </c>
      <c r="C6" s="1">
        <f>IF(B6="", "", "urban biome")</f>
        <v>0</v>
      </c>
      <c r="D6" s="1">
        <f>IF(B6="", "", "human-associated habitat")</f>
        <v>0</v>
      </c>
      <c r="G6" s="1">
        <f>IF(B6="", "", "years")</f>
        <v>0</v>
      </c>
      <c r="I6" s="1">
        <f>IF(B6="", "", "human")</f>
        <v>0</v>
      </c>
      <c r="K6" s="1">
        <f>IF(B6="", "", "cm")</f>
        <v>0</v>
      </c>
      <c r="L6" s="1">
        <f>IF(B6="", "", "Homo sapiens")</f>
        <v>0</v>
      </c>
      <c r="M6" s="1">
        <f>IF(B6="", "", "9606")</f>
        <v>0</v>
      </c>
      <c r="O6" s="1">
        <f>IF(B6="", "", "kg")</f>
        <v>0</v>
      </c>
    </row>
    <row r="7" spans="1:17">
      <c r="A7">
        <f>IF(COUNTBLANK(B7:Q7)&lt;&gt;COLUMNS(B7:Q7),6,"")</f>
        <v>0</v>
      </c>
      <c r="C7" s="1">
        <f>IF(B7="", "", "urban biome")</f>
        <v>0</v>
      </c>
      <c r="D7" s="1">
        <f>IF(B7="", "", "human-associated habitat")</f>
        <v>0</v>
      </c>
      <c r="G7" s="1">
        <f>IF(B7="", "", "years")</f>
        <v>0</v>
      </c>
      <c r="I7" s="1">
        <f>IF(B7="", "", "human")</f>
        <v>0</v>
      </c>
      <c r="K7" s="1">
        <f>IF(B7="", "", "cm")</f>
        <v>0</v>
      </c>
      <c r="L7" s="1">
        <f>IF(B7="", "", "Homo sapiens")</f>
        <v>0</v>
      </c>
      <c r="M7" s="1">
        <f>IF(B7="", "", "9606")</f>
        <v>0</v>
      </c>
      <c r="O7" s="1">
        <f>IF(B7="", "", "kg")</f>
        <v>0</v>
      </c>
    </row>
    <row r="8" spans="1:17">
      <c r="A8">
        <f>IF(COUNTBLANK(B8:Q8)&lt;&gt;COLUMNS(B8:Q8),7,"")</f>
        <v>0</v>
      </c>
      <c r="C8" s="1">
        <f>IF(B8="", "", "urban biome")</f>
        <v>0</v>
      </c>
      <c r="D8" s="1">
        <f>IF(B8="", "", "human-associated habitat")</f>
        <v>0</v>
      </c>
      <c r="G8" s="1">
        <f>IF(B8="", "", "years")</f>
        <v>0</v>
      </c>
      <c r="I8" s="1">
        <f>IF(B8="", "", "human")</f>
        <v>0</v>
      </c>
      <c r="K8" s="1">
        <f>IF(B8="", "", "cm")</f>
        <v>0</v>
      </c>
      <c r="L8" s="1">
        <f>IF(B8="", "", "Homo sapiens")</f>
        <v>0</v>
      </c>
      <c r="M8" s="1">
        <f>IF(B8="", "", "9606")</f>
        <v>0</v>
      </c>
      <c r="O8" s="1">
        <f>IF(B8="", "", "kg")</f>
        <v>0</v>
      </c>
    </row>
    <row r="9" spans="1:17">
      <c r="A9">
        <f>IF(COUNTBLANK(B9:Q9)&lt;&gt;COLUMNS(B9:Q9),8,"")</f>
        <v>0</v>
      </c>
      <c r="C9" s="1">
        <f>IF(B9="", "", "urban biome")</f>
        <v>0</v>
      </c>
      <c r="D9" s="1">
        <f>IF(B9="", "", "human-associated habitat")</f>
        <v>0</v>
      </c>
      <c r="G9" s="1">
        <f>IF(B9="", "", "years")</f>
        <v>0</v>
      </c>
      <c r="I9" s="1">
        <f>IF(B9="", "", "human")</f>
        <v>0</v>
      </c>
      <c r="K9" s="1">
        <f>IF(B9="", "", "cm")</f>
        <v>0</v>
      </c>
      <c r="L9" s="1">
        <f>IF(B9="", "", "Homo sapiens")</f>
        <v>0</v>
      </c>
      <c r="M9" s="1">
        <f>IF(B9="", "", "9606")</f>
        <v>0</v>
      </c>
      <c r="O9" s="1">
        <f>IF(B9="", "", "kg")</f>
        <v>0</v>
      </c>
    </row>
    <row r="10" spans="1:17">
      <c r="A10">
        <f>IF(COUNTBLANK(B10:Q10)&lt;&gt;COLUMNS(B10:Q10),9,"")</f>
        <v>0</v>
      </c>
      <c r="C10" s="1">
        <f>IF(B10="", "", "urban biome")</f>
        <v>0</v>
      </c>
      <c r="D10" s="1">
        <f>IF(B10="", "", "human-associated habitat")</f>
        <v>0</v>
      </c>
      <c r="G10" s="1">
        <f>IF(B10="", "", "years")</f>
        <v>0</v>
      </c>
      <c r="I10" s="1">
        <f>IF(B10="", "", "human")</f>
        <v>0</v>
      </c>
      <c r="K10" s="1">
        <f>IF(B10="", "", "cm")</f>
        <v>0</v>
      </c>
      <c r="L10" s="1">
        <f>IF(B10="", "", "Homo sapiens")</f>
        <v>0</v>
      </c>
      <c r="M10" s="1">
        <f>IF(B10="", "", "9606")</f>
        <v>0</v>
      </c>
      <c r="O10" s="1">
        <f>IF(B10="", "", "kg")</f>
        <v>0</v>
      </c>
    </row>
    <row r="11" spans="1:17">
      <c r="A11">
        <f>IF(COUNTBLANK(B11:Q11)&lt;&gt;COLUMNS(B11:Q11),10,"")</f>
        <v>0</v>
      </c>
      <c r="C11" s="1">
        <f>IF(B11="", "", "urban biome")</f>
        <v>0</v>
      </c>
      <c r="D11" s="1">
        <f>IF(B11="", "", "human-associated habitat")</f>
        <v>0</v>
      </c>
      <c r="G11" s="1">
        <f>IF(B11="", "", "years")</f>
        <v>0</v>
      </c>
      <c r="I11" s="1">
        <f>IF(B11="", "", "human")</f>
        <v>0</v>
      </c>
      <c r="K11" s="1">
        <f>IF(B11="", "", "cm")</f>
        <v>0</v>
      </c>
      <c r="L11" s="1">
        <f>IF(B11="", "", "Homo sapiens")</f>
        <v>0</v>
      </c>
      <c r="M11" s="1">
        <f>IF(B11="", "", "9606")</f>
        <v>0</v>
      </c>
      <c r="O11" s="1">
        <f>IF(B11="", "", "kg")</f>
        <v>0</v>
      </c>
    </row>
    <row r="12" spans="1:17">
      <c r="A12">
        <f>IF(COUNTBLANK(B12:Q12)&lt;&gt;COLUMNS(B12:Q12),11,"")</f>
        <v>0</v>
      </c>
      <c r="C12" s="1">
        <f>IF(B12="", "", "urban biome")</f>
        <v>0</v>
      </c>
      <c r="D12" s="1">
        <f>IF(B12="", "", "human-associated habitat")</f>
        <v>0</v>
      </c>
      <c r="G12" s="1">
        <f>IF(B12="", "", "years")</f>
        <v>0</v>
      </c>
      <c r="I12" s="1">
        <f>IF(B12="", "", "human")</f>
        <v>0</v>
      </c>
      <c r="K12" s="1">
        <f>IF(B12="", "", "cm")</f>
        <v>0</v>
      </c>
      <c r="L12" s="1">
        <f>IF(B12="", "", "Homo sapiens")</f>
        <v>0</v>
      </c>
      <c r="M12" s="1">
        <f>IF(B12="", "", "9606")</f>
        <v>0</v>
      </c>
      <c r="O12" s="1">
        <f>IF(B12="", "", "kg")</f>
        <v>0</v>
      </c>
    </row>
    <row r="13" spans="1:17">
      <c r="A13">
        <f>IF(COUNTBLANK(B13:Q13)&lt;&gt;COLUMNS(B13:Q13),12,"")</f>
        <v>0</v>
      </c>
      <c r="C13" s="1">
        <f>IF(B13="", "", "urban biome")</f>
        <v>0</v>
      </c>
      <c r="D13" s="1">
        <f>IF(B13="", "", "human-associated habitat")</f>
        <v>0</v>
      </c>
      <c r="G13" s="1">
        <f>IF(B13="", "", "years")</f>
        <v>0</v>
      </c>
      <c r="I13" s="1">
        <f>IF(B13="", "", "human")</f>
        <v>0</v>
      </c>
      <c r="K13" s="1">
        <f>IF(B13="", "", "cm")</f>
        <v>0</v>
      </c>
      <c r="L13" s="1">
        <f>IF(B13="", "", "Homo sapiens")</f>
        <v>0</v>
      </c>
      <c r="M13" s="1">
        <f>IF(B13="", "", "9606")</f>
        <v>0</v>
      </c>
      <c r="O13" s="1">
        <f>IF(B13="", "", "kg")</f>
        <v>0</v>
      </c>
    </row>
    <row r="14" spans="1:17">
      <c r="A14">
        <f>IF(COUNTBLANK(B14:Q14)&lt;&gt;COLUMNS(B14:Q14),13,"")</f>
        <v>0</v>
      </c>
      <c r="C14" s="1">
        <f>IF(B14="", "", "urban biome")</f>
        <v>0</v>
      </c>
      <c r="D14" s="1">
        <f>IF(B14="", "", "human-associated habitat")</f>
        <v>0</v>
      </c>
      <c r="G14" s="1">
        <f>IF(B14="", "", "years")</f>
        <v>0</v>
      </c>
      <c r="I14" s="1">
        <f>IF(B14="", "", "human")</f>
        <v>0</v>
      </c>
      <c r="K14" s="1">
        <f>IF(B14="", "", "cm")</f>
        <v>0</v>
      </c>
      <c r="L14" s="1">
        <f>IF(B14="", "", "Homo sapiens")</f>
        <v>0</v>
      </c>
      <c r="M14" s="1">
        <f>IF(B14="", "", "9606")</f>
        <v>0</v>
      </c>
      <c r="O14" s="1">
        <f>IF(B14="", "", "kg")</f>
        <v>0</v>
      </c>
    </row>
    <row r="15" spans="1:17">
      <c r="A15">
        <f>IF(COUNTBLANK(B15:Q15)&lt;&gt;COLUMNS(B15:Q15),14,"")</f>
        <v>0</v>
      </c>
      <c r="C15" s="1">
        <f>IF(B15="", "", "urban biome")</f>
        <v>0</v>
      </c>
      <c r="D15" s="1">
        <f>IF(B15="", "", "human-associated habitat")</f>
        <v>0</v>
      </c>
      <c r="G15" s="1">
        <f>IF(B15="", "", "years")</f>
        <v>0</v>
      </c>
      <c r="I15" s="1">
        <f>IF(B15="", "", "human")</f>
        <v>0</v>
      </c>
      <c r="K15" s="1">
        <f>IF(B15="", "", "cm")</f>
        <v>0</v>
      </c>
      <c r="L15" s="1">
        <f>IF(B15="", "", "Homo sapiens")</f>
        <v>0</v>
      </c>
      <c r="M15" s="1">
        <f>IF(B15="", "", "9606")</f>
        <v>0</v>
      </c>
      <c r="O15" s="1">
        <f>IF(B15="", "", "kg")</f>
        <v>0</v>
      </c>
    </row>
    <row r="16" spans="1:17">
      <c r="A16">
        <f>IF(COUNTBLANK(B16:Q16)&lt;&gt;COLUMNS(B16:Q16),15,"")</f>
        <v>0</v>
      </c>
      <c r="C16" s="1">
        <f>IF(B16="", "", "urban biome")</f>
        <v>0</v>
      </c>
      <c r="D16" s="1">
        <f>IF(B16="", "", "human-associated habitat")</f>
        <v>0</v>
      </c>
      <c r="G16" s="1">
        <f>IF(B16="", "", "years")</f>
        <v>0</v>
      </c>
      <c r="I16" s="1">
        <f>IF(B16="", "", "human")</f>
        <v>0</v>
      </c>
      <c r="K16" s="1">
        <f>IF(B16="", "", "cm")</f>
        <v>0</v>
      </c>
      <c r="L16" s="1">
        <f>IF(B16="", "", "Homo sapiens")</f>
        <v>0</v>
      </c>
      <c r="M16" s="1">
        <f>IF(B16="", "", "9606")</f>
        <v>0</v>
      </c>
      <c r="O16" s="1">
        <f>IF(B16="", "", "kg")</f>
        <v>0</v>
      </c>
    </row>
    <row r="17" spans="1:15">
      <c r="A17">
        <f>IF(COUNTBLANK(B17:Q17)&lt;&gt;COLUMNS(B17:Q17),16,"")</f>
        <v>0</v>
      </c>
      <c r="C17" s="1">
        <f>IF(B17="", "", "urban biome")</f>
        <v>0</v>
      </c>
      <c r="D17" s="1">
        <f>IF(B17="", "", "human-associated habitat")</f>
        <v>0</v>
      </c>
      <c r="G17" s="1">
        <f>IF(B17="", "", "years")</f>
        <v>0</v>
      </c>
      <c r="I17" s="1">
        <f>IF(B17="", "", "human")</f>
        <v>0</v>
      </c>
      <c r="K17" s="1">
        <f>IF(B17="", "", "cm")</f>
        <v>0</v>
      </c>
      <c r="L17" s="1">
        <f>IF(B17="", "", "Homo sapiens")</f>
        <v>0</v>
      </c>
      <c r="M17" s="1">
        <f>IF(B17="", "", "9606")</f>
        <v>0</v>
      </c>
      <c r="O17" s="1">
        <f>IF(B17="", "", "kg")</f>
        <v>0</v>
      </c>
    </row>
    <row r="18" spans="1:15">
      <c r="A18">
        <f>IF(COUNTBLANK(B18:Q18)&lt;&gt;COLUMNS(B18:Q18),17,"")</f>
        <v>0</v>
      </c>
      <c r="C18" s="1">
        <f>IF(B18="", "", "urban biome")</f>
        <v>0</v>
      </c>
      <c r="D18" s="1">
        <f>IF(B18="", "", "human-associated habitat")</f>
        <v>0</v>
      </c>
      <c r="G18" s="1">
        <f>IF(B18="", "", "years")</f>
        <v>0</v>
      </c>
      <c r="I18" s="1">
        <f>IF(B18="", "", "human")</f>
        <v>0</v>
      </c>
      <c r="K18" s="1">
        <f>IF(B18="", "", "cm")</f>
        <v>0</v>
      </c>
      <c r="L18" s="1">
        <f>IF(B18="", "", "Homo sapiens")</f>
        <v>0</v>
      </c>
      <c r="M18" s="1">
        <f>IF(B18="", "", "9606")</f>
        <v>0</v>
      </c>
      <c r="O18" s="1">
        <f>IF(B18="", "", "kg")</f>
        <v>0</v>
      </c>
    </row>
    <row r="19" spans="1:15">
      <c r="A19">
        <f>IF(COUNTBLANK(B19:Q19)&lt;&gt;COLUMNS(B19:Q19),18,"")</f>
        <v>0</v>
      </c>
      <c r="C19" s="1">
        <f>IF(B19="", "", "urban biome")</f>
        <v>0</v>
      </c>
      <c r="D19" s="1">
        <f>IF(B19="", "", "human-associated habitat")</f>
        <v>0</v>
      </c>
      <c r="G19" s="1">
        <f>IF(B19="", "", "years")</f>
        <v>0</v>
      </c>
      <c r="I19" s="1">
        <f>IF(B19="", "", "human")</f>
        <v>0</v>
      </c>
      <c r="K19" s="1">
        <f>IF(B19="", "", "cm")</f>
        <v>0</v>
      </c>
      <c r="L19" s="1">
        <f>IF(B19="", "", "Homo sapiens")</f>
        <v>0</v>
      </c>
      <c r="M19" s="1">
        <f>IF(B19="", "", "9606")</f>
        <v>0</v>
      </c>
      <c r="O19" s="1">
        <f>IF(B19="", "", "kg")</f>
        <v>0</v>
      </c>
    </row>
    <row r="20" spans="1:15">
      <c r="A20">
        <f>IF(COUNTBLANK(B20:Q20)&lt;&gt;COLUMNS(B20:Q20),19,"")</f>
        <v>0</v>
      </c>
      <c r="C20" s="1">
        <f>IF(B20="", "", "urban biome")</f>
        <v>0</v>
      </c>
      <c r="D20" s="1">
        <f>IF(B20="", "", "human-associated habitat")</f>
        <v>0</v>
      </c>
      <c r="G20" s="1">
        <f>IF(B20="", "", "years")</f>
        <v>0</v>
      </c>
      <c r="I20" s="1">
        <f>IF(B20="", "", "human")</f>
        <v>0</v>
      </c>
      <c r="K20" s="1">
        <f>IF(B20="", "", "cm")</f>
        <v>0</v>
      </c>
      <c r="L20" s="1">
        <f>IF(B20="", "", "Homo sapiens")</f>
        <v>0</v>
      </c>
      <c r="M20" s="1">
        <f>IF(B20="", "", "9606")</f>
        <v>0</v>
      </c>
      <c r="O20" s="1">
        <f>IF(B20="", "", "kg")</f>
        <v>0</v>
      </c>
    </row>
    <row r="21" spans="1:15">
      <c r="A21">
        <f>IF(COUNTBLANK(B21:Q21)&lt;&gt;COLUMNS(B21:Q21),20,"")</f>
        <v>0</v>
      </c>
      <c r="C21" s="1">
        <f>IF(B21="", "", "urban biome")</f>
        <v>0</v>
      </c>
      <c r="D21" s="1">
        <f>IF(B21="", "", "human-associated habitat")</f>
        <v>0</v>
      </c>
      <c r="G21" s="1">
        <f>IF(B21="", "", "years")</f>
        <v>0</v>
      </c>
      <c r="I21" s="1">
        <f>IF(B21="", "", "human")</f>
        <v>0</v>
      </c>
      <c r="K21" s="1">
        <f>IF(B21="", "", "cm")</f>
        <v>0</v>
      </c>
      <c r="L21" s="1">
        <f>IF(B21="", "", "Homo sapiens")</f>
        <v>0</v>
      </c>
      <c r="M21" s="1">
        <f>IF(B21="", "", "9606")</f>
        <v>0</v>
      </c>
      <c r="O21" s="1">
        <f>IF(B21="", "", "kg")</f>
        <v>0</v>
      </c>
    </row>
    <row r="22" spans="1:15">
      <c r="A22">
        <f>IF(COUNTBLANK(B22:Q22)&lt;&gt;COLUMNS(B22:Q22),21,"")</f>
        <v>0</v>
      </c>
      <c r="C22" s="1">
        <f>IF(B22="", "", "urban biome")</f>
        <v>0</v>
      </c>
      <c r="D22" s="1">
        <f>IF(B22="", "", "human-associated habitat")</f>
        <v>0</v>
      </c>
      <c r="G22" s="1">
        <f>IF(B22="", "", "years")</f>
        <v>0</v>
      </c>
      <c r="I22" s="1">
        <f>IF(B22="", "", "human")</f>
        <v>0</v>
      </c>
      <c r="K22" s="1">
        <f>IF(B22="", "", "cm")</f>
        <v>0</v>
      </c>
      <c r="L22" s="1">
        <f>IF(B22="", "", "Homo sapiens")</f>
        <v>0</v>
      </c>
      <c r="M22" s="1">
        <f>IF(B22="", "", "9606")</f>
        <v>0</v>
      </c>
      <c r="O22" s="1">
        <f>IF(B22="", "", "kg")</f>
        <v>0</v>
      </c>
    </row>
    <row r="23" spans="1:15">
      <c r="A23">
        <f>IF(COUNTBLANK(B23:Q23)&lt;&gt;COLUMNS(B23:Q23),22,"")</f>
        <v>0</v>
      </c>
      <c r="C23" s="1">
        <f>IF(B23="", "", "urban biome")</f>
        <v>0</v>
      </c>
      <c r="D23" s="1">
        <f>IF(B23="", "", "human-associated habitat")</f>
        <v>0</v>
      </c>
      <c r="G23" s="1">
        <f>IF(B23="", "", "years")</f>
        <v>0</v>
      </c>
      <c r="I23" s="1">
        <f>IF(B23="", "", "human")</f>
        <v>0</v>
      </c>
      <c r="K23" s="1">
        <f>IF(B23="", "", "cm")</f>
        <v>0</v>
      </c>
      <c r="L23" s="1">
        <f>IF(B23="", "", "Homo sapiens")</f>
        <v>0</v>
      </c>
      <c r="M23" s="1">
        <f>IF(B23="", "", "9606")</f>
        <v>0</v>
      </c>
      <c r="O23" s="1">
        <f>IF(B23="", "", "kg")</f>
        <v>0</v>
      </c>
    </row>
    <row r="24" spans="1:15">
      <c r="A24">
        <f>IF(COUNTBLANK(B24:Q24)&lt;&gt;COLUMNS(B24:Q24),23,"")</f>
        <v>0</v>
      </c>
      <c r="C24" s="1">
        <f>IF(B24="", "", "urban biome")</f>
        <v>0</v>
      </c>
      <c r="D24" s="1">
        <f>IF(B24="", "", "human-associated habitat")</f>
        <v>0</v>
      </c>
      <c r="G24" s="1">
        <f>IF(B24="", "", "years")</f>
        <v>0</v>
      </c>
      <c r="I24" s="1">
        <f>IF(B24="", "", "human")</f>
        <v>0</v>
      </c>
      <c r="K24" s="1">
        <f>IF(B24="", "", "cm")</f>
        <v>0</v>
      </c>
      <c r="L24" s="1">
        <f>IF(B24="", "", "Homo sapiens")</f>
        <v>0</v>
      </c>
      <c r="M24" s="1">
        <f>IF(B24="", "", "9606")</f>
        <v>0</v>
      </c>
      <c r="O24" s="1">
        <f>IF(B24="", "", "kg")</f>
        <v>0</v>
      </c>
    </row>
    <row r="25" spans="1:15">
      <c r="A25">
        <f>IF(COUNTBLANK(B25:Q25)&lt;&gt;COLUMNS(B25:Q25),24,"")</f>
        <v>0</v>
      </c>
      <c r="C25" s="1">
        <f>IF(B25="", "", "urban biome")</f>
        <v>0</v>
      </c>
      <c r="D25" s="1">
        <f>IF(B25="", "", "human-associated habitat")</f>
        <v>0</v>
      </c>
      <c r="G25" s="1">
        <f>IF(B25="", "", "years")</f>
        <v>0</v>
      </c>
      <c r="I25" s="1">
        <f>IF(B25="", "", "human")</f>
        <v>0</v>
      </c>
      <c r="K25" s="1">
        <f>IF(B25="", "", "cm")</f>
        <v>0</v>
      </c>
      <c r="L25" s="1">
        <f>IF(B25="", "", "Homo sapiens")</f>
        <v>0</v>
      </c>
      <c r="M25" s="1">
        <f>IF(B25="", "", "9606")</f>
        <v>0</v>
      </c>
      <c r="O25" s="1">
        <f>IF(B25="", "", "kg")</f>
        <v>0</v>
      </c>
    </row>
    <row r="26" spans="1:15">
      <c r="A26">
        <f>IF(COUNTBLANK(B26:Q26)&lt;&gt;COLUMNS(B26:Q26),25,"")</f>
        <v>0</v>
      </c>
      <c r="C26" s="1">
        <f>IF(B26="", "", "urban biome")</f>
        <v>0</v>
      </c>
      <c r="D26" s="1">
        <f>IF(B26="", "", "human-associated habitat")</f>
        <v>0</v>
      </c>
      <c r="G26" s="1">
        <f>IF(B26="", "", "years")</f>
        <v>0</v>
      </c>
      <c r="I26" s="1">
        <f>IF(B26="", "", "human")</f>
        <v>0</v>
      </c>
      <c r="K26" s="1">
        <f>IF(B26="", "", "cm")</f>
        <v>0</v>
      </c>
      <c r="L26" s="1">
        <f>IF(B26="", "", "Homo sapiens")</f>
        <v>0</v>
      </c>
      <c r="M26" s="1">
        <f>IF(B26="", "", "9606")</f>
        <v>0</v>
      </c>
      <c r="O26" s="1">
        <f>IF(B26="", "", "kg")</f>
        <v>0</v>
      </c>
    </row>
    <row r="27" spans="1:15">
      <c r="A27">
        <f>IF(COUNTBLANK(B27:Q27)&lt;&gt;COLUMNS(B27:Q27),26,"")</f>
        <v>0</v>
      </c>
      <c r="C27" s="1">
        <f>IF(B27="", "", "urban biome")</f>
        <v>0</v>
      </c>
      <c r="D27" s="1">
        <f>IF(B27="", "", "human-associated habitat")</f>
        <v>0</v>
      </c>
      <c r="G27" s="1">
        <f>IF(B27="", "", "years")</f>
        <v>0</v>
      </c>
      <c r="I27" s="1">
        <f>IF(B27="", "", "human")</f>
        <v>0</v>
      </c>
      <c r="K27" s="1">
        <f>IF(B27="", "", "cm")</f>
        <v>0</v>
      </c>
      <c r="L27" s="1">
        <f>IF(B27="", "", "Homo sapiens")</f>
        <v>0</v>
      </c>
      <c r="M27" s="1">
        <f>IF(B27="", "", "9606")</f>
        <v>0</v>
      </c>
      <c r="O27" s="1">
        <f>IF(B27="", "", "kg")</f>
        <v>0</v>
      </c>
    </row>
    <row r="28" spans="1:15">
      <c r="A28">
        <f>IF(COUNTBLANK(B28:Q28)&lt;&gt;COLUMNS(B28:Q28),27,"")</f>
        <v>0</v>
      </c>
      <c r="C28" s="1">
        <f>IF(B28="", "", "urban biome")</f>
        <v>0</v>
      </c>
      <c r="D28" s="1">
        <f>IF(B28="", "", "human-associated habitat")</f>
        <v>0</v>
      </c>
      <c r="G28" s="1">
        <f>IF(B28="", "", "years")</f>
        <v>0</v>
      </c>
      <c r="I28" s="1">
        <f>IF(B28="", "", "human")</f>
        <v>0</v>
      </c>
      <c r="K28" s="1">
        <f>IF(B28="", "", "cm")</f>
        <v>0</v>
      </c>
      <c r="L28" s="1">
        <f>IF(B28="", "", "Homo sapiens")</f>
        <v>0</v>
      </c>
      <c r="M28" s="1">
        <f>IF(B28="", "", "9606")</f>
        <v>0</v>
      </c>
      <c r="O28" s="1">
        <f>IF(B28="", "", "kg")</f>
        <v>0</v>
      </c>
    </row>
    <row r="29" spans="1:15">
      <c r="A29">
        <f>IF(COUNTBLANK(B29:Q29)&lt;&gt;COLUMNS(B29:Q29),28,"")</f>
        <v>0</v>
      </c>
      <c r="C29" s="1">
        <f>IF(B29="", "", "urban biome")</f>
        <v>0</v>
      </c>
      <c r="D29" s="1">
        <f>IF(B29="", "", "human-associated habitat")</f>
        <v>0</v>
      </c>
      <c r="G29" s="1">
        <f>IF(B29="", "", "years")</f>
        <v>0</v>
      </c>
      <c r="I29" s="1">
        <f>IF(B29="", "", "human")</f>
        <v>0</v>
      </c>
      <c r="K29" s="1">
        <f>IF(B29="", "", "cm")</f>
        <v>0</v>
      </c>
      <c r="L29" s="1">
        <f>IF(B29="", "", "Homo sapiens")</f>
        <v>0</v>
      </c>
      <c r="M29" s="1">
        <f>IF(B29="", "", "9606")</f>
        <v>0</v>
      </c>
      <c r="O29" s="1">
        <f>IF(B29="", "", "kg")</f>
        <v>0</v>
      </c>
    </row>
    <row r="30" spans="1:15">
      <c r="A30">
        <f>IF(COUNTBLANK(B30:Q30)&lt;&gt;COLUMNS(B30:Q30),29,"")</f>
        <v>0</v>
      </c>
      <c r="C30" s="1">
        <f>IF(B30="", "", "urban biome")</f>
        <v>0</v>
      </c>
      <c r="D30" s="1">
        <f>IF(B30="", "", "human-associated habitat")</f>
        <v>0</v>
      </c>
      <c r="G30" s="1">
        <f>IF(B30="", "", "years")</f>
        <v>0</v>
      </c>
      <c r="I30" s="1">
        <f>IF(B30="", "", "human")</f>
        <v>0</v>
      </c>
      <c r="K30" s="1">
        <f>IF(B30="", "", "cm")</f>
        <v>0</v>
      </c>
      <c r="L30" s="1">
        <f>IF(B30="", "", "Homo sapiens")</f>
        <v>0</v>
      </c>
      <c r="M30" s="1">
        <f>IF(B30="", "", "9606")</f>
        <v>0</v>
      </c>
      <c r="O30" s="1">
        <f>IF(B30="", "", "kg")</f>
        <v>0</v>
      </c>
    </row>
    <row r="31" spans="1:15">
      <c r="A31">
        <f>IF(COUNTBLANK(B31:Q31)&lt;&gt;COLUMNS(B31:Q31),30,"")</f>
        <v>0</v>
      </c>
      <c r="C31" s="1">
        <f>IF(B31="", "", "urban biome")</f>
        <v>0</v>
      </c>
      <c r="D31" s="1">
        <f>IF(B31="", "", "human-associated habitat")</f>
        <v>0</v>
      </c>
      <c r="G31" s="1">
        <f>IF(B31="", "", "years")</f>
        <v>0</v>
      </c>
      <c r="I31" s="1">
        <f>IF(B31="", "", "human")</f>
        <v>0</v>
      </c>
      <c r="K31" s="1">
        <f>IF(B31="", "", "cm")</f>
        <v>0</v>
      </c>
      <c r="L31" s="1">
        <f>IF(B31="", "", "Homo sapiens")</f>
        <v>0</v>
      </c>
      <c r="M31" s="1">
        <f>IF(B31="", "", "9606")</f>
        <v>0</v>
      </c>
      <c r="O31" s="1">
        <f>IF(B31="", "", "kg")</f>
        <v>0</v>
      </c>
    </row>
    <row r="32" spans="1:15">
      <c r="A32">
        <f>IF(COUNTBLANK(B32:Q32)&lt;&gt;COLUMNS(B32:Q32),31,"")</f>
        <v>0</v>
      </c>
      <c r="C32" s="1">
        <f>IF(B32="", "", "urban biome")</f>
        <v>0</v>
      </c>
      <c r="D32" s="1">
        <f>IF(B32="", "", "human-associated habitat")</f>
        <v>0</v>
      </c>
      <c r="G32" s="1">
        <f>IF(B32="", "", "years")</f>
        <v>0</v>
      </c>
      <c r="I32" s="1">
        <f>IF(B32="", "", "human")</f>
        <v>0</v>
      </c>
      <c r="K32" s="1">
        <f>IF(B32="", "", "cm")</f>
        <v>0</v>
      </c>
      <c r="L32" s="1">
        <f>IF(B32="", "", "Homo sapiens")</f>
        <v>0</v>
      </c>
      <c r="M32" s="1">
        <f>IF(B32="", "", "9606")</f>
        <v>0</v>
      </c>
      <c r="O32" s="1">
        <f>IF(B32="", "", "kg")</f>
        <v>0</v>
      </c>
    </row>
    <row r="33" spans="1:15">
      <c r="A33">
        <f>IF(COUNTBLANK(B33:Q33)&lt;&gt;COLUMNS(B33:Q33),32,"")</f>
        <v>0</v>
      </c>
      <c r="C33" s="1">
        <f>IF(B33="", "", "urban biome")</f>
        <v>0</v>
      </c>
      <c r="D33" s="1">
        <f>IF(B33="", "", "human-associated habitat")</f>
        <v>0</v>
      </c>
      <c r="G33" s="1">
        <f>IF(B33="", "", "years")</f>
        <v>0</v>
      </c>
      <c r="I33" s="1">
        <f>IF(B33="", "", "human")</f>
        <v>0</v>
      </c>
      <c r="K33" s="1">
        <f>IF(B33="", "", "cm")</f>
        <v>0</v>
      </c>
      <c r="L33" s="1">
        <f>IF(B33="", "", "Homo sapiens")</f>
        <v>0</v>
      </c>
      <c r="M33" s="1">
        <f>IF(B33="", "", "9606")</f>
        <v>0</v>
      </c>
      <c r="O33" s="1">
        <f>IF(B33="", "", "kg")</f>
        <v>0</v>
      </c>
    </row>
    <row r="34" spans="1:15">
      <c r="A34">
        <f>IF(COUNTBLANK(B34:Q34)&lt;&gt;COLUMNS(B34:Q34),33,"")</f>
        <v>0</v>
      </c>
      <c r="C34" s="1">
        <f>IF(B34="", "", "urban biome")</f>
        <v>0</v>
      </c>
      <c r="D34" s="1">
        <f>IF(B34="", "", "human-associated habitat")</f>
        <v>0</v>
      </c>
      <c r="G34" s="1">
        <f>IF(B34="", "", "years")</f>
        <v>0</v>
      </c>
      <c r="I34" s="1">
        <f>IF(B34="", "", "human")</f>
        <v>0</v>
      </c>
      <c r="K34" s="1">
        <f>IF(B34="", "", "cm")</f>
        <v>0</v>
      </c>
      <c r="L34" s="1">
        <f>IF(B34="", "", "Homo sapiens")</f>
        <v>0</v>
      </c>
      <c r="M34" s="1">
        <f>IF(B34="", "", "9606")</f>
        <v>0</v>
      </c>
      <c r="O34" s="1">
        <f>IF(B34="", "", "kg")</f>
        <v>0</v>
      </c>
    </row>
    <row r="35" spans="1:15">
      <c r="A35">
        <f>IF(COUNTBLANK(B35:Q35)&lt;&gt;COLUMNS(B35:Q35),34,"")</f>
        <v>0</v>
      </c>
      <c r="C35" s="1">
        <f>IF(B35="", "", "urban biome")</f>
        <v>0</v>
      </c>
      <c r="D35" s="1">
        <f>IF(B35="", "", "human-associated habitat")</f>
        <v>0</v>
      </c>
      <c r="G35" s="1">
        <f>IF(B35="", "", "years")</f>
        <v>0</v>
      </c>
      <c r="I35" s="1">
        <f>IF(B35="", "", "human")</f>
        <v>0</v>
      </c>
      <c r="K35" s="1">
        <f>IF(B35="", "", "cm")</f>
        <v>0</v>
      </c>
      <c r="L35" s="1">
        <f>IF(B35="", "", "Homo sapiens")</f>
        <v>0</v>
      </c>
      <c r="M35" s="1">
        <f>IF(B35="", "", "9606")</f>
        <v>0</v>
      </c>
      <c r="O35" s="1">
        <f>IF(B35="", "", "kg")</f>
        <v>0</v>
      </c>
    </row>
    <row r="36" spans="1:15">
      <c r="A36">
        <f>IF(COUNTBLANK(B36:Q36)&lt;&gt;COLUMNS(B36:Q36),35,"")</f>
        <v>0</v>
      </c>
      <c r="C36" s="1">
        <f>IF(B36="", "", "urban biome")</f>
        <v>0</v>
      </c>
      <c r="D36" s="1">
        <f>IF(B36="", "", "human-associated habitat")</f>
        <v>0</v>
      </c>
      <c r="G36" s="1">
        <f>IF(B36="", "", "years")</f>
        <v>0</v>
      </c>
      <c r="I36" s="1">
        <f>IF(B36="", "", "human")</f>
        <v>0</v>
      </c>
      <c r="K36" s="1">
        <f>IF(B36="", "", "cm")</f>
        <v>0</v>
      </c>
      <c r="L36" s="1">
        <f>IF(B36="", "", "Homo sapiens")</f>
        <v>0</v>
      </c>
      <c r="M36" s="1">
        <f>IF(B36="", "", "9606")</f>
        <v>0</v>
      </c>
      <c r="O36" s="1">
        <f>IF(B36="", "", "kg")</f>
        <v>0</v>
      </c>
    </row>
    <row r="37" spans="1:15">
      <c r="A37">
        <f>IF(COUNTBLANK(B37:Q37)&lt;&gt;COLUMNS(B37:Q37),36,"")</f>
        <v>0</v>
      </c>
      <c r="C37" s="1">
        <f>IF(B37="", "", "urban biome")</f>
        <v>0</v>
      </c>
      <c r="D37" s="1">
        <f>IF(B37="", "", "human-associated habitat")</f>
        <v>0</v>
      </c>
      <c r="G37" s="1">
        <f>IF(B37="", "", "years")</f>
        <v>0</v>
      </c>
      <c r="I37" s="1">
        <f>IF(B37="", "", "human")</f>
        <v>0</v>
      </c>
      <c r="K37" s="1">
        <f>IF(B37="", "", "cm")</f>
        <v>0</v>
      </c>
      <c r="L37" s="1">
        <f>IF(B37="", "", "Homo sapiens")</f>
        <v>0</v>
      </c>
      <c r="M37" s="1">
        <f>IF(B37="", "", "9606")</f>
        <v>0</v>
      </c>
      <c r="O37" s="1">
        <f>IF(B37="", "", "kg")</f>
        <v>0</v>
      </c>
    </row>
    <row r="38" spans="1:15">
      <c r="A38">
        <f>IF(COUNTBLANK(B38:Q38)&lt;&gt;COLUMNS(B38:Q38),37,"")</f>
        <v>0</v>
      </c>
      <c r="C38" s="1">
        <f>IF(B38="", "", "urban biome")</f>
        <v>0</v>
      </c>
      <c r="D38" s="1">
        <f>IF(B38="", "", "human-associated habitat")</f>
        <v>0</v>
      </c>
      <c r="G38" s="1">
        <f>IF(B38="", "", "years")</f>
        <v>0</v>
      </c>
      <c r="I38" s="1">
        <f>IF(B38="", "", "human")</f>
        <v>0</v>
      </c>
      <c r="K38" s="1">
        <f>IF(B38="", "", "cm")</f>
        <v>0</v>
      </c>
      <c r="L38" s="1">
        <f>IF(B38="", "", "Homo sapiens")</f>
        <v>0</v>
      </c>
      <c r="M38" s="1">
        <f>IF(B38="", "", "9606")</f>
        <v>0</v>
      </c>
      <c r="O38" s="1">
        <f>IF(B38="", "", "kg")</f>
        <v>0</v>
      </c>
    </row>
    <row r="39" spans="1:15">
      <c r="A39">
        <f>IF(COUNTBLANK(B39:Q39)&lt;&gt;COLUMNS(B39:Q39),38,"")</f>
        <v>0</v>
      </c>
      <c r="C39" s="1">
        <f>IF(B39="", "", "urban biome")</f>
        <v>0</v>
      </c>
      <c r="D39" s="1">
        <f>IF(B39="", "", "human-associated habitat")</f>
        <v>0</v>
      </c>
      <c r="G39" s="1">
        <f>IF(B39="", "", "years")</f>
        <v>0</v>
      </c>
      <c r="I39" s="1">
        <f>IF(B39="", "", "human")</f>
        <v>0</v>
      </c>
      <c r="K39" s="1">
        <f>IF(B39="", "", "cm")</f>
        <v>0</v>
      </c>
      <c r="L39" s="1">
        <f>IF(B39="", "", "Homo sapiens")</f>
        <v>0</v>
      </c>
      <c r="M39" s="1">
        <f>IF(B39="", "", "9606")</f>
        <v>0</v>
      </c>
      <c r="O39" s="1">
        <f>IF(B39="", "", "kg")</f>
        <v>0</v>
      </c>
    </row>
    <row r="40" spans="1:15">
      <c r="A40">
        <f>IF(COUNTBLANK(B40:Q40)&lt;&gt;COLUMNS(B40:Q40),39,"")</f>
        <v>0</v>
      </c>
      <c r="C40" s="1">
        <f>IF(B40="", "", "urban biome")</f>
        <v>0</v>
      </c>
      <c r="D40" s="1">
        <f>IF(B40="", "", "human-associated habitat")</f>
        <v>0</v>
      </c>
      <c r="G40" s="1">
        <f>IF(B40="", "", "years")</f>
        <v>0</v>
      </c>
      <c r="I40" s="1">
        <f>IF(B40="", "", "human")</f>
        <v>0</v>
      </c>
      <c r="K40" s="1">
        <f>IF(B40="", "", "cm")</f>
        <v>0</v>
      </c>
      <c r="L40" s="1">
        <f>IF(B40="", "", "Homo sapiens")</f>
        <v>0</v>
      </c>
      <c r="M40" s="1">
        <f>IF(B40="", "", "9606")</f>
        <v>0</v>
      </c>
      <c r="O40" s="1">
        <f>IF(B40="", "", "kg")</f>
        <v>0</v>
      </c>
    </row>
    <row r="41" spans="1:15">
      <c r="A41">
        <f>IF(COUNTBLANK(B41:Q41)&lt;&gt;COLUMNS(B41:Q41),40,"")</f>
        <v>0</v>
      </c>
      <c r="C41" s="1">
        <f>IF(B41="", "", "urban biome")</f>
        <v>0</v>
      </c>
      <c r="D41" s="1">
        <f>IF(B41="", "", "human-associated habitat")</f>
        <v>0</v>
      </c>
      <c r="G41" s="1">
        <f>IF(B41="", "", "years")</f>
        <v>0</v>
      </c>
      <c r="I41" s="1">
        <f>IF(B41="", "", "human")</f>
        <v>0</v>
      </c>
      <c r="K41" s="1">
        <f>IF(B41="", "", "cm")</f>
        <v>0</v>
      </c>
      <c r="L41" s="1">
        <f>IF(B41="", "", "Homo sapiens")</f>
        <v>0</v>
      </c>
      <c r="M41" s="1">
        <f>IF(B41="", "", "9606")</f>
        <v>0</v>
      </c>
      <c r="O41" s="1">
        <f>IF(B41="", "", "kg")</f>
        <v>0</v>
      </c>
    </row>
    <row r="42" spans="1:15">
      <c r="A42">
        <f>IF(COUNTBLANK(B42:Q42)&lt;&gt;COLUMNS(B42:Q42),41,"")</f>
        <v>0</v>
      </c>
      <c r="C42" s="1">
        <f>IF(B42="", "", "urban biome")</f>
        <v>0</v>
      </c>
      <c r="D42" s="1">
        <f>IF(B42="", "", "human-associated habitat")</f>
        <v>0</v>
      </c>
      <c r="G42" s="1">
        <f>IF(B42="", "", "years")</f>
        <v>0</v>
      </c>
      <c r="I42" s="1">
        <f>IF(B42="", "", "human")</f>
        <v>0</v>
      </c>
      <c r="K42" s="1">
        <f>IF(B42="", "", "cm")</f>
        <v>0</v>
      </c>
      <c r="L42" s="1">
        <f>IF(B42="", "", "Homo sapiens")</f>
        <v>0</v>
      </c>
      <c r="M42" s="1">
        <f>IF(B42="", "", "9606")</f>
        <v>0</v>
      </c>
      <c r="O42" s="1">
        <f>IF(B42="", "", "kg")</f>
        <v>0</v>
      </c>
    </row>
    <row r="43" spans="1:15">
      <c r="A43">
        <f>IF(COUNTBLANK(B43:Q43)&lt;&gt;COLUMNS(B43:Q43),42,"")</f>
        <v>0</v>
      </c>
      <c r="C43" s="1">
        <f>IF(B43="", "", "urban biome")</f>
        <v>0</v>
      </c>
      <c r="D43" s="1">
        <f>IF(B43="", "", "human-associated habitat")</f>
        <v>0</v>
      </c>
      <c r="G43" s="1">
        <f>IF(B43="", "", "years")</f>
        <v>0</v>
      </c>
      <c r="I43" s="1">
        <f>IF(B43="", "", "human")</f>
        <v>0</v>
      </c>
      <c r="K43" s="1">
        <f>IF(B43="", "", "cm")</f>
        <v>0</v>
      </c>
      <c r="L43" s="1">
        <f>IF(B43="", "", "Homo sapiens")</f>
        <v>0</v>
      </c>
      <c r="M43" s="1">
        <f>IF(B43="", "", "9606")</f>
        <v>0</v>
      </c>
      <c r="O43" s="1">
        <f>IF(B43="", "", "kg")</f>
        <v>0</v>
      </c>
    </row>
    <row r="44" spans="1:15">
      <c r="A44">
        <f>IF(COUNTBLANK(B44:Q44)&lt;&gt;COLUMNS(B44:Q44),43,"")</f>
        <v>0</v>
      </c>
      <c r="C44" s="1">
        <f>IF(B44="", "", "urban biome")</f>
        <v>0</v>
      </c>
      <c r="D44" s="1">
        <f>IF(B44="", "", "human-associated habitat")</f>
        <v>0</v>
      </c>
      <c r="G44" s="1">
        <f>IF(B44="", "", "years")</f>
        <v>0</v>
      </c>
      <c r="I44" s="1">
        <f>IF(B44="", "", "human")</f>
        <v>0</v>
      </c>
      <c r="K44" s="1">
        <f>IF(B44="", "", "cm")</f>
        <v>0</v>
      </c>
      <c r="L44" s="1">
        <f>IF(B44="", "", "Homo sapiens")</f>
        <v>0</v>
      </c>
      <c r="M44" s="1">
        <f>IF(B44="", "", "9606")</f>
        <v>0</v>
      </c>
      <c r="O44" s="1">
        <f>IF(B44="", "", "kg")</f>
        <v>0</v>
      </c>
    </row>
    <row r="45" spans="1:15">
      <c r="A45">
        <f>IF(COUNTBLANK(B45:Q45)&lt;&gt;COLUMNS(B45:Q45),44,"")</f>
        <v>0</v>
      </c>
      <c r="C45" s="1">
        <f>IF(B45="", "", "urban biome")</f>
        <v>0</v>
      </c>
      <c r="D45" s="1">
        <f>IF(B45="", "", "human-associated habitat")</f>
        <v>0</v>
      </c>
      <c r="G45" s="1">
        <f>IF(B45="", "", "years")</f>
        <v>0</v>
      </c>
      <c r="I45" s="1">
        <f>IF(B45="", "", "human")</f>
        <v>0</v>
      </c>
      <c r="K45" s="1">
        <f>IF(B45="", "", "cm")</f>
        <v>0</v>
      </c>
      <c r="L45" s="1">
        <f>IF(B45="", "", "Homo sapiens")</f>
        <v>0</v>
      </c>
      <c r="M45" s="1">
        <f>IF(B45="", "", "9606")</f>
        <v>0</v>
      </c>
      <c r="O45" s="1">
        <f>IF(B45="", "", "kg")</f>
        <v>0</v>
      </c>
    </row>
    <row r="46" spans="1:15">
      <c r="A46">
        <f>IF(COUNTBLANK(B46:Q46)&lt;&gt;COLUMNS(B46:Q46),45,"")</f>
        <v>0</v>
      </c>
      <c r="C46" s="1">
        <f>IF(B46="", "", "urban biome")</f>
        <v>0</v>
      </c>
      <c r="D46" s="1">
        <f>IF(B46="", "", "human-associated habitat")</f>
        <v>0</v>
      </c>
      <c r="G46" s="1">
        <f>IF(B46="", "", "years")</f>
        <v>0</v>
      </c>
      <c r="I46" s="1">
        <f>IF(B46="", "", "human")</f>
        <v>0</v>
      </c>
      <c r="K46" s="1">
        <f>IF(B46="", "", "cm")</f>
        <v>0</v>
      </c>
      <c r="L46" s="1">
        <f>IF(B46="", "", "Homo sapiens")</f>
        <v>0</v>
      </c>
      <c r="M46" s="1">
        <f>IF(B46="", "", "9606")</f>
        <v>0</v>
      </c>
      <c r="O46" s="1">
        <f>IF(B46="", "", "kg")</f>
        <v>0</v>
      </c>
    </row>
    <row r="47" spans="1:15">
      <c r="A47">
        <f>IF(COUNTBLANK(B47:Q47)&lt;&gt;COLUMNS(B47:Q47),46,"")</f>
        <v>0</v>
      </c>
      <c r="C47" s="1">
        <f>IF(B47="", "", "urban biome")</f>
        <v>0</v>
      </c>
      <c r="D47" s="1">
        <f>IF(B47="", "", "human-associated habitat")</f>
        <v>0</v>
      </c>
      <c r="G47" s="1">
        <f>IF(B47="", "", "years")</f>
        <v>0</v>
      </c>
      <c r="I47" s="1">
        <f>IF(B47="", "", "human")</f>
        <v>0</v>
      </c>
      <c r="K47" s="1">
        <f>IF(B47="", "", "cm")</f>
        <v>0</v>
      </c>
      <c r="L47" s="1">
        <f>IF(B47="", "", "Homo sapiens")</f>
        <v>0</v>
      </c>
      <c r="M47" s="1">
        <f>IF(B47="", "", "9606")</f>
        <v>0</v>
      </c>
      <c r="O47" s="1">
        <f>IF(B47="", "", "kg")</f>
        <v>0</v>
      </c>
    </row>
    <row r="48" spans="1:15">
      <c r="A48">
        <f>IF(COUNTBLANK(B48:Q48)&lt;&gt;COLUMNS(B48:Q48),47,"")</f>
        <v>0</v>
      </c>
      <c r="C48" s="1">
        <f>IF(B48="", "", "urban biome")</f>
        <v>0</v>
      </c>
      <c r="D48" s="1">
        <f>IF(B48="", "", "human-associated habitat")</f>
        <v>0</v>
      </c>
      <c r="G48" s="1">
        <f>IF(B48="", "", "years")</f>
        <v>0</v>
      </c>
      <c r="I48" s="1">
        <f>IF(B48="", "", "human")</f>
        <v>0</v>
      </c>
      <c r="K48" s="1">
        <f>IF(B48="", "", "cm")</f>
        <v>0</v>
      </c>
      <c r="L48" s="1">
        <f>IF(B48="", "", "Homo sapiens")</f>
        <v>0</v>
      </c>
      <c r="M48" s="1">
        <f>IF(B48="", "", "9606")</f>
        <v>0</v>
      </c>
      <c r="O48" s="1">
        <f>IF(B48="", "", "kg")</f>
        <v>0</v>
      </c>
    </row>
    <row r="49" spans="1:15">
      <c r="A49">
        <f>IF(COUNTBLANK(B49:Q49)&lt;&gt;COLUMNS(B49:Q49),48,"")</f>
        <v>0</v>
      </c>
      <c r="C49" s="1">
        <f>IF(B49="", "", "urban biome")</f>
        <v>0</v>
      </c>
      <c r="D49" s="1">
        <f>IF(B49="", "", "human-associated habitat")</f>
        <v>0</v>
      </c>
      <c r="G49" s="1">
        <f>IF(B49="", "", "years")</f>
        <v>0</v>
      </c>
      <c r="I49" s="1">
        <f>IF(B49="", "", "human")</f>
        <v>0</v>
      </c>
      <c r="K49" s="1">
        <f>IF(B49="", "", "cm")</f>
        <v>0</v>
      </c>
      <c r="L49" s="1">
        <f>IF(B49="", "", "Homo sapiens")</f>
        <v>0</v>
      </c>
      <c r="M49" s="1">
        <f>IF(B49="", "", "9606")</f>
        <v>0</v>
      </c>
      <c r="O49" s="1">
        <f>IF(B49="", "", "kg")</f>
        <v>0</v>
      </c>
    </row>
    <row r="50" spans="1:15">
      <c r="A50">
        <f>IF(COUNTBLANK(B50:Q50)&lt;&gt;COLUMNS(B50:Q50),49,"")</f>
        <v>0</v>
      </c>
      <c r="C50" s="1">
        <f>IF(B50="", "", "urban biome")</f>
        <v>0</v>
      </c>
      <c r="D50" s="1">
        <f>IF(B50="", "", "human-associated habitat")</f>
        <v>0</v>
      </c>
      <c r="G50" s="1">
        <f>IF(B50="", "", "years")</f>
        <v>0</v>
      </c>
      <c r="I50" s="1">
        <f>IF(B50="", "", "human")</f>
        <v>0</v>
      </c>
      <c r="K50" s="1">
        <f>IF(B50="", "", "cm")</f>
        <v>0</v>
      </c>
      <c r="L50" s="1">
        <f>IF(B50="", "", "Homo sapiens")</f>
        <v>0</v>
      </c>
      <c r="M50" s="1">
        <f>IF(B50="", "", "9606")</f>
        <v>0</v>
      </c>
      <c r="O50" s="1">
        <f>IF(B50="", "", "kg")</f>
        <v>0</v>
      </c>
    </row>
    <row r="51" spans="1:15">
      <c r="A51">
        <f>IF(COUNTBLANK(B51:Q51)&lt;&gt;COLUMNS(B51:Q51),50,"")</f>
        <v>0</v>
      </c>
      <c r="C51" s="1">
        <f>IF(B51="", "", "urban biome")</f>
        <v>0</v>
      </c>
      <c r="D51" s="1">
        <f>IF(B51="", "", "human-associated habitat")</f>
        <v>0</v>
      </c>
      <c r="G51" s="1">
        <f>IF(B51="", "", "years")</f>
        <v>0</v>
      </c>
      <c r="I51" s="1">
        <f>IF(B51="", "", "human")</f>
        <v>0</v>
      </c>
      <c r="K51" s="1">
        <f>IF(B51="", "", "cm")</f>
        <v>0</v>
      </c>
      <c r="L51" s="1">
        <f>IF(B51="", "", "Homo sapiens")</f>
        <v>0</v>
      </c>
      <c r="M51" s="1">
        <f>IF(B51="", "", "9606")</f>
        <v>0</v>
      </c>
      <c r="O51" s="1">
        <f>IF(B51="", "", "kg")</f>
        <v>0</v>
      </c>
    </row>
    <row r="52" spans="1:15">
      <c r="A52">
        <f>IF(COUNTBLANK(B52:Q52)&lt;&gt;COLUMNS(B52:Q52),51,"")</f>
        <v>0</v>
      </c>
      <c r="C52" s="1">
        <f>IF(B52="", "", "urban biome")</f>
        <v>0</v>
      </c>
      <c r="D52" s="1">
        <f>IF(B52="", "", "human-associated habitat")</f>
        <v>0</v>
      </c>
      <c r="G52" s="1">
        <f>IF(B52="", "", "years")</f>
        <v>0</v>
      </c>
      <c r="I52" s="1">
        <f>IF(B52="", "", "human")</f>
        <v>0</v>
      </c>
      <c r="K52" s="1">
        <f>IF(B52="", "", "cm")</f>
        <v>0</v>
      </c>
      <c r="L52" s="1">
        <f>IF(B52="", "", "Homo sapiens")</f>
        <v>0</v>
      </c>
      <c r="M52" s="1">
        <f>IF(B52="", "", "9606")</f>
        <v>0</v>
      </c>
      <c r="O52" s="1">
        <f>IF(B52="", "", "kg")</f>
        <v>0</v>
      </c>
    </row>
    <row r="53" spans="1:15">
      <c r="A53">
        <f>IF(COUNTBLANK(B53:Q53)&lt;&gt;COLUMNS(B53:Q53),52,"")</f>
        <v>0</v>
      </c>
      <c r="C53" s="1">
        <f>IF(B53="", "", "urban biome")</f>
        <v>0</v>
      </c>
      <c r="D53" s="1">
        <f>IF(B53="", "", "human-associated habitat")</f>
        <v>0</v>
      </c>
      <c r="G53" s="1">
        <f>IF(B53="", "", "years")</f>
        <v>0</v>
      </c>
      <c r="I53" s="1">
        <f>IF(B53="", "", "human")</f>
        <v>0</v>
      </c>
      <c r="K53" s="1">
        <f>IF(B53="", "", "cm")</f>
        <v>0</v>
      </c>
      <c r="L53" s="1">
        <f>IF(B53="", "", "Homo sapiens")</f>
        <v>0</v>
      </c>
      <c r="M53" s="1">
        <f>IF(B53="", "", "9606")</f>
        <v>0</v>
      </c>
      <c r="O53" s="1">
        <f>IF(B53="", "", "kg")</f>
        <v>0</v>
      </c>
    </row>
    <row r="54" spans="1:15">
      <c r="A54">
        <f>IF(COUNTBLANK(B54:Q54)&lt;&gt;COLUMNS(B54:Q54),53,"")</f>
        <v>0</v>
      </c>
      <c r="C54" s="1">
        <f>IF(B54="", "", "urban biome")</f>
        <v>0</v>
      </c>
      <c r="D54" s="1">
        <f>IF(B54="", "", "human-associated habitat")</f>
        <v>0</v>
      </c>
      <c r="G54" s="1">
        <f>IF(B54="", "", "years")</f>
        <v>0</v>
      </c>
      <c r="I54" s="1">
        <f>IF(B54="", "", "human")</f>
        <v>0</v>
      </c>
      <c r="K54" s="1">
        <f>IF(B54="", "", "cm")</f>
        <v>0</v>
      </c>
      <c r="L54" s="1">
        <f>IF(B54="", "", "Homo sapiens")</f>
        <v>0</v>
      </c>
      <c r="M54" s="1">
        <f>IF(B54="", "", "9606")</f>
        <v>0</v>
      </c>
      <c r="O54" s="1">
        <f>IF(B54="", "", "kg")</f>
        <v>0</v>
      </c>
    </row>
    <row r="55" spans="1:15">
      <c r="A55">
        <f>IF(COUNTBLANK(B55:Q55)&lt;&gt;COLUMNS(B55:Q55),54,"")</f>
        <v>0</v>
      </c>
      <c r="C55" s="1">
        <f>IF(B55="", "", "urban biome")</f>
        <v>0</v>
      </c>
      <c r="D55" s="1">
        <f>IF(B55="", "", "human-associated habitat")</f>
        <v>0</v>
      </c>
      <c r="G55" s="1">
        <f>IF(B55="", "", "years")</f>
        <v>0</v>
      </c>
      <c r="I55" s="1">
        <f>IF(B55="", "", "human")</f>
        <v>0</v>
      </c>
      <c r="K55" s="1">
        <f>IF(B55="", "", "cm")</f>
        <v>0</v>
      </c>
      <c r="L55" s="1">
        <f>IF(B55="", "", "Homo sapiens")</f>
        <v>0</v>
      </c>
      <c r="M55" s="1">
        <f>IF(B55="", "", "9606")</f>
        <v>0</v>
      </c>
      <c r="O55" s="1">
        <f>IF(B55="", "", "kg")</f>
        <v>0</v>
      </c>
    </row>
    <row r="56" spans="1:15">
      <c r="A56">
        <f>IF(COUNTBLANK(B56:Q56)&lt;&gt;COLUMNS(B56:Q56),55,"")</f>
        <v>0</v>
      </c>
      <c r="C56" s="1">
        <f>IF(B56="", "", "urban biome")</f>
        <v>0</v>
      </c>
      <c r="D56" s="1">
        <f>IF(B56="", "", "human-associated habitat")</f>
        <v>0</v>
      </c>
      <c r="G56" s="1">
        <f>IF(B56="", "", "years")</f>
        <v>0</v>
      </c>
      <c r="I56" s="1">
        <f>IF(B56="", "", "human")</f>
        <v>0</v>
      </c>
      <c r="K56" s="1">
        <f>IF(B56="", "", "cm")</f>
        <v>0</v>
      </c>
      <c r="L56" s="1">
        <f>IF(B56="", "", "Homo sapiens")</f>
        <v>0</v>
      </c>
      <c r="M56" s="1">
        <f>IF(B56="", "", "9606")</f>
        <v>0</v>
      </c>
      <c r="O56" s="1">
        <f>IF(B56="", "", "kg")</f>
        <v>0</v>
      </c>
    </row>
    <row r="57" spans="1:15">
      <c r="A57">
        <f>IF(COUNTBLANK(B57:Q57)&lt;&gt;COLUMNS(B57:Q57),56,"")</f>
        <v>0</v>
      </c>
      <c r="C57" s="1">
        <f>IF(B57="", "", "urban biome")</f>
        <v>0</v>
      </c>
      <c r="D57" s="1">
        <f>IF(B57="", "", "human-associated habitat")</f>
        <v>0</v>
      </c>
      <c r="G57" s="1">
        <f>IF(B57="", "", "years")</f>
        <v>0</v>
      </c>
      <c r="I57" s="1">
        <f>IF(B57="", "", "human")</f>
        <v>0</v>
      </c>
      <c r="K57" s="1">
        <f>IF(B57="", "", "cm")</f>
        <v>0</v>
      </c>
      <c r="L57" s="1">
        <f>IF(B57="", "", "Homo sapiens")</f>
        <v>0</v>
      </c>
      <c r="M57" s="1">
        <f>IF(B57="", "", "9606")</f>
        <v>0</v>
      </c>
      <c r="O57" s="1">
        <f>IF(B57="", "", "kg")</f>
        <v>0</v>
      </c>
    </row>
    <row r="58" spans="1:15">
      <c r="A58">
        <f>IF(COUNTBLANK(B58:Q58)&lt;&gt;COLUMNS(B58:Q58),57,"")</f>
        <v>0</v>
      </c>
      <c r="C58" s="1">
        <f>IF(B58="", "", "urban biome")</f>
        <v>0</v>
      </c>
      <c r="D58" s="1">
        <f>IF(B58="", "", "human-associated habitat")</f>
        <v>0</v>
      </c>
      <c r="G58" s="1">
        <f>IF(B58="", "", "years")</f>
        <v>0</v>
      </c>
      <c r="I58" s="1">
        <f>IF(B58="", "", "human")</f>
        <v>0</v>
      </c>
      <c r="K58" s="1">
        <f>IF(B58="", "", "cm")</f>
        <v>0</v>
      </c>
      <c r="L58" s="1">
        <f>IF(B58="", "", "Homo sapiens")</f>
        <v>0</v>
      </c>
      <c r="M58" s="1">
        <f>IF(B58="", "", "9606")</f>
        <v>0</v>
      </c>
      <c r="O58" s="1">
        <f>IF(B58="", "", "kg")</f>
        <v>0</v>
      </c>
    </row>
    <row r="59" spans="1:15">
      <c r="A59">
        <f>IF(COUNTBLANK(B59:Q59)&lt;&gt;COLUMNS(B59:Q59),58,"")</f>
        <v>0</v>
      </c>
      <c r="C59" s="1">
        <f>IF(B59="", "", "urban biome")</f>
        <v>0</v>
      </c>
      <c r="D59" s="1">
        <f>IF(B59="", "", "human-associated habitat")</f>
        <v>0</v>
      </c>
      <c r="G59" s="1">
        <f>IF(B59="", "", "years")</f>
        <v>0</v>
      </c>
      <c r="I59" s="1">
        <f>IF(B59="", "", "human")</f>
        <v>0</v>
      </c>
      <c r="K59" s="1">
        <f>IF(B59="", "", "cm")</f>
        <v>0</v>
      </c>
      <c r="L59" s="1">
        <f>IF(B59="", "", "Homo sapiens")</f>
        <v>0</v>
      </c>
      <c r="M59" s="1">
        <f>IF(B59="", "", "9606")</f>
        <v>0</v>
      </c>
      <c r="O59" s="1">
        <f>IF(B59="", "", "kg")</f>
        <v>0</v>
      </c>
    </row>
    <row r="60" spans="1:15">
      <c r="A60">
        <f>IF(COUNTBLANK(B60:Q60)&lt;&gt;COLUMNS(B60:Q60),59,"")</f>
        <v>0</v>
      </c>
      <c r="C60" s="1">
        <f>IF(B60="", "", "urban biome")</f>
        <v>0</v>
      </c>
      <c r="D60" s="1">
        <f>IF(B60="", "", "human-associated habitat")</f>
        <v>0</v>
      </c>
      <c r="G60" s="1">
        <f>IF(B60="", "", "years")</f>
        <v>0</v>
      </c>
      <c r="I60" s="1">
        <f>IF(B60="", "", "human")</f>
        <v>0</v>
      </c>
      <c r="K60" s="1">
        <f>IF(B60="", "", "cm")</f>
        <v>0</v>
      </c>
      <c r="L60" s="1">
        <f>IF(B60="", "", "Homo sapiens")</f>
        <v>0</v>
      </c>
      <c r="M60" s="1">
        <f>IF(B60="", "", "9606")</f>
        <v>0</v>
      </c>
      <c r="O60" s="1">
        <f>IF(B60="", "", "kg")</f>
        <v>0</v>
      </c>
    </row>
    <row r="61" spans="1:15">
      <c r="A61">
        <f>IF(COUNTBLANK(B61:Q61)&lt;&gt;COLUMNS(B61:Q61),60,"")</f>
        <v>0</v>
      </c>
      <c r="C61" s="1">
        <f>IF(B61="", "", "urban biome")</f>
        <v>0</v>
      </c>
      <c r="D61" s="1">
        <f>IF(B61="", "", "human-associated habitat")</f>
        <v>0</v>
      </c>
      <c r="G61" s="1">
        <f>IF(B61="", "", "years")</f>
        <v>0</v>
      </c>
      <c r="I61" s="1">
        <f>IF(B61="", "", "human")</f>
        <v>0</v>
      </c>
      <c r="K61" s="1">
        <f>IF(B61="", "", "cm")</f>
        <v>0</v>
      </c>
      <c r="L61" s="1">
        <f>IF(B61="", "", "Homo sapiens")</f>
        <v>0</v>
      </c>
      <c r="M61" s="1">
        <f>IF(B61="", "", "9606")</f>
        <v>0</v>
      </c>
      <c r="O61" s="1">
        <f>IF(B61="", "", "kg")</f>
        <v>0</v>
      </c>
    </row>
    <row r="62" spans="1:15">
      <c r="A62">
        <f>IF(COUNTBLANK(B62:Q62)&lt;&gt;COLUMNS(B62:Q62),61,"")</f>
        <v>0</v>
      </c>
      <c r="C62" s="1">
        <f>IF(B62="", "", "urban biome")</f>
        <v>0</v>
      </c>
      <c r="D62" s="1">
        <f>IF(B62="", "", "human-associated habitat")</f>
        <v>0</v>
      </c>
      <c r="G62" s="1">
        <f>IF(B62="", "", "years")</f>
        <v>0</v>
      </c>
      <c r="I62" s="1">
        <f>IF(B62="", "", "human")</f>
        <v>0</v>
      </c>
      <c r="K62" s="1">
        <f>IF(B62="", "", "cm")</f>
        <v>0</v>
      </c>
      <c r="L62" s="1">
        <f>IF(B62="", "", "Homo sapiens")</f>
        <v>0</v>
      </c>
      <c r="M62" s="1">
        <f>IF(B62="", "", "9606")</f>
        <v>0</v>
      </c>
      <c r="O62" s="1">
        <f>IF(B62="", "", "kg")</f>
        <v>0</v>
      </c>
    </row>
    <row r="63" spans="1:15">
      <c r="A63">
        <f>IF(COUNTBLANK(B63:Q63)&lt;&gt;COLUMNS(B63:Q63),62,"")</f>
        <v>0</v>
      </c>
      <c r="C63" s="1">
        <f>IF(B63="", "", "urban biome")</f>
        <v>0</v>
      </c>
      <c r="D63" s="1">
        <f>IF(B63="", "", "human-associated habitat")</f>
        <v>0</v>
      </c>
      <c r="G63" s="1">
        <f>IF(B63="", "", "years")</f>
        <v>0</v>
      </c>
      <c r="I63" s="1">
        <f>IF(B63="", "", "human")</f>
        <v>0</v>
      </c>
      <c r="K63" s="1">
        <f>IF(B63="", "", "cm")</f>
        <v>0</v>
      </c>
      <c r="L63" s="1">
        <f>IF(B63="", "", "Homo sapiens")</f>
        <v>0</v>
      </c>
      <c r="M63" s="1">
        <f>IF(B63="", "", "9606")</f>
        <v>0</v>
      </c>
      <c r="O63" s="1">
        <f>IF(B63="", "", "kg")</f>
        <v>0</v>
      </c>
    </row>
    <row r="64" spans="1:15">
      <c r="A64">
        <f>IF(COUNTBLANK(B64:Q64)&lt;&gt;COLUMNS(B64:Q64),63,"")</f>
        <v>0</v>
      </c>
      <c r="C64" s="1">
        <f>IF(B64="", "", "urban biome")</f>
        <v>0</v>
      </c>
      <c r="D64" s="1">
        <f>IF(B64="", "", "human-associated habitat")</f>
        <v>0</v>
      </c>
      <c r="G64" s="1">
        <f>IF(B64="", "", "years")</f>
        <v>0</v>
      </c>
      <c r="I64" s="1">
        <f>IF(B64="", "", "human")</f>
        <v>0</v>
      </c>
      <c r="K64" s="1">
        <f>IF(B64="", "", "cm")</f>
        <v>0</v>
      </c>
      <c r="L64" s="1">
        <f>IF(B64="", "", "Homo sapiens")</f>
        <v>0</v>
      </c>
      <c r="M64" s="1">
        <f>IF(B64="", "", "9606")</f>
        <v>0</v>
      </c>
      <c r="O64" s="1">
        <f>IF(B64="", "", "kg")</f>
        <v>0</v>
      </c>
    </row>
    <row r="65" spans="1:15">
      <c r="A65">
        <f>IF(COUNTBLANK(B65:Q65)&lt;&gt;COLUMNS(B65:Q65),64,"")</f>
        <v>0</v>
      </c>
      <c r="C65" s="1">
        <f>IF(B65="", "", "urban biome")</f>
        <v>0</v>
      </c>
      <c r="D65" s="1">
        <f>IF(B65="", "", "human-associated habitat")</f>
        <v>0</v>
      </c>
      <c r="G65" s="1">
        <f>IF(B65="", "", "years")</f>
        <v>0</v>
      </c>
      <c r="I65" s="1">
        <f>IF(B65="", "", "human")</f>
        <v>0</v>
      </c>
      <c r="K65" s="1">
        <f>IF(B65="", "", "cm")</f>
        <v>0</v>
      </c>
      <c r="L65" s="1">
        <f>IF(B65="", "", "Homo sapiens")</f>
        <v>0</v>
      </c>
      <c r="M65" s="1">
        <f>IF(B65="", "", "9606")</f>
        <v>0</v>
      </c>
      <c r="O65" s="1">
        <f>IF(B65="", "", "kg")</f>
        <v>0</v>
      </c>
    </row>
    <row r="66" spans="1:15">
      <c r="A66">
        <f>IF(COUNTBLANK(B66:Q66)&lt;&gt;COLUMNS(B66:Q66),65,"")</f>
        <v>0</v>
      </c>
      <c r="C66" s="1">
        <f>IF(B66="", "", "urban biome")</f>
        <v>0</v>
      </c>
      <c r="D66" s="1">
        <f>IF(B66="", "", "human-associated habitat")</f>
        <v>0</v>
      </c>
      <c r="G66" s="1">
        <f>IF(B66="", "", "years")</f>
        <v>0</v>
      </c>
      <c r="I66" s="1">
        <f>IF(B66="", "", "human")</f>
        <v>0</v>
      </c>
      <c r="K66" s="1">
        <f>IF(B66="", "", "cm")</f>
        <v>0</v>
      </c>
      <c r="L66" s="1">
        <f>IF(B66="", "", "Homo sapiens")</f>
        <v>0</v>
      </c>
      <c r="M66" s="1">
        <f>IF(B66="", "", "9606")</f>
        <v>0</v>
      </c>
      <c r="O66" s="1">
        <f>IF(B66="", "", "kg")</f>
        <v>0</v>
      </c>
    </row>
    <row r="67" spans="1:15">
      <c r="A67">
        <f>IF(COUNTBLANK(B67:Q67)&lt;&gt;COLUMNS(B67:Q67),66,"")</f>
        <v>0</v>
      </c>
      <c r="C67" s="1">
        <f>IF(B67="", "", "urban biome")</f>
        <v>0</v>
      </c>
      <c r="D67" s="1">
        <f>IF(B67="", "", "human-associated habitat")</f>
        <v>0</v>
      </c>
      <c r="G67" s="1">
        <f>IF(B67="", "", "years")</f>
        <v>0</v>
      </c>
      <c r="I67" s="1">
        <f>IF(B67="", "", "human")</f>
        <v>0</v>
      </c>
      <c r="K67" s="1">
        <f>IF(B67="", "", "cm")</f>
        <v>0</v>
      </c>
      <c r="L67" s="1">
        <f>IF(B67="", "", "Homo sapiens")</f>
        <v>0</v>
      </c>
      <c r="M67" s="1">
        <f>IF(B67="", "", "9606")</f>
        <v>0</v>
      </c>
      <c r="O67" s="1">
        <f>IF(B67="", "", "kg")</f>
        <v>0</v>
      </c>
    </row>
    <row r="68" spans="1:15">
      <c r="A68">
        <f>IF(COUNTBLANK(B68:Q68)&lt;&gt;COLUMNS(B68:Q68),67,"")</f>
        <v>0</v>
      </c>
      <c r="C68" s="1">
        <f>IF(B68="", "", "urban biome")</f>
        <v>0</v>
      </c>
      <c r="D68" s="1">
        <f>IF(B68="", "", "human-associated habitat")</f>
        <v>0</v>
      </c>
      <c r="G68" s="1">
        <f>IF(B68="", "", "years")</f>
        <v>0</v>
      </c>
      <c r="I68" s="1">
        <f>IF(B68="", "", "human")</f>
        <v>0</v>
      </c>
      <c r="K68" s="1">
        <f>IF(B68="", "", "cm")</f>
        <v>0</v>
      </c>
      <c r="L68" s="1">
        <f>IF(B68="", "", "Homo sapiens")</f>
        <v>0</v>
      </c>
      <c r="M68" s="1">
        <f>IF(B68="", "", "9606")</f>
        <v>0</v>
      </c>
      <c r="O68" s="1">
        <f>IF(B68="", "", "kg")</f>
        <v>0</v>
      </c>
    </row>
    <row r="69" spans="1:15">
      <c r="A69">
        <f>IF(COUNTBLANK(B69:Q69)&lt;&gt;COLUMNS(B69:Q69),68,"")</f>
        <v>0</v>
      </c>
      <c r="C69" s="1">
        <f>IF(B69="", "", "urban biome")</f>
        <v>0</v>
      </c>
      <c r="D69" s="1">
        <f>IF(B69="", "", "human-associated habitat")</f>
        <v>0</v>
      </c>
      <c r="G69" s="1">
        <f>IF(B69="", "", "years")</f>
        <v>0</v>
      </c>
      <c r="I69" s="1">
        <f>IF(B69="", "", "human")</f>
        <v>0</v>
      </c>
      <c r="K69" s="1">
        <f>IF(B69="", "", "cm")</f>
        <v>0</v>
      </c>
      <c r="L69" s="1">
        <f>IF(B69="", "", "Homo sapiens")</f>
        <v>0</v>
      </c>
      <c r="M69" s="1">
        <f>IF(B69="", "", "9606")</f>
        <v>0</v>
      </c>
      <c r="O69" s="1">
        <f>IF(B69="", "", "kg")</f>
        <v>0</v>
      </c>
    </row>
    <row r="70" spans="1:15">
      <c r="A70">
        <f>IF(COUNTBLANK(B70:Q70)&lt;&gt;COLUMNS(B70:Q70),69,"")</f>
        <v>0</v>
      </c>
      <c r="C70" s="1">
        <f>IF(B70="", "", "urban biome")</f>
        <v>0</v>
      </c>
      <c r="D70" s="1">
        <f>IF(B70="", "", "human-associated habitat")</f>
        <v>0</v>
      </c>
      <c r="G70" s="1">
        <f>IF(B70="", "", "years")</f>
        <v>0</v>
      </c>
      <c r="I70" s="1">
        <f>IF(B70="", "", "human")</f>
        <v>0</v>
      </c>
      <c r="K70" s="1">
        <f>IF(B70="", "", "cm")</f>
        <v>0</v>
      </c>
      <c r="L70" s="1">
        <f>IF(B70="", "", "Homo sapiens")</f>
        <v>0</v>
      </c>
      <c r="M70" s="1">
        <f>IF(B70="", "", "9606")</f>
        <v>0</v>
      </c>
      <c r="O70" s="1">
        <f>IF(B70="", "", "kg")</f>
        <v>0</v>
      </c>
    </row>
    <row r="71" spans="1:15">
      <c r="A71">
        <f>IF(COUNTBLANK(B71:Q71)&lt;&gt;COLUMNS(B71:Q71),70,"")</f>
        <v>0</v>
      </c>
      <c r="C71" s="1">
        <f>IF(B71="", "", "urban biome")</f>
        <v>0</v>
      </c>
      <c r="D71" s="1">
        <f>IF(B71="", "", "human-associated habitat")</f>
        <v>0</v>
      </c>
      <c r="G71" s="1">
        <f>IF(B71="", "", "years")</f>
        <v>0</v>
      </c>
      <c r="I71" s="1">
        <f>IF(B71="", "", "human")</f>
        <v>0</v>
      </c>
      <c r="K71" s="1">
        <f>IF(B71="", "", "cm")</f>
        <v>0</v>
      </c>
      <c r="L71" s="1">
        <f>IF(B71="", "", "Homo sapiens")</f>
        <v>0</v>
      </c>
      <c r="M71" s="1">
        <f>IF(B71="", "", "9606")</f>
        <v>0</v>
      </c>
      <c r="O71" s="1">
        <f>IF(B71="", "", "kg")</f>
        <v>0</v>
      </c>
    </row>
    <row r="72" spans="1:15">
      <c r="A72">
        <f>IF(COUNTBLANK(B72:Q72)&lt;&gt;COLUMNS(B72:Q72),71,"")</f>
        <v>0</v>
      </c>
      <c r="C72" s="1">
        <f>IF(B72="", "", "urban biome")</f>
        <v>0</v>
      </c>
      <c r="D72" s="1">
        <f>IF(B72="", "", "human-associated habitat")</f>
        <v>0</v>
      </c>
      <c r="G72" s="1">
        <f>IF(B72="", "", "years")</f>
        <v>0</v>
      </c>
      <c r="I72" s="1">
        <f>IF(B72="", "", "human")</f>
        <v>0</v>
      </c>
      <c r="K72" s="1">
        <f>IF(B72="", "", "cm")</f>
        <v>0</v>
      </c>
      <c r="L72" s="1">
        <f>IF(B72="", "", "Homo sapiens")</f>
        <v>0</v>
      </c>
      <c r="M72" s="1">
        <f>IF(B72="", "", "9606")</f>
        <v>0</v>
      </c>
      <c r="O72" s="1">
        <f>IF(B72="", "", "kg")</f>
        <v>0</v>
      </c>
    </row>
    <row r="73" spans="1:15">
      <c r="A73">
        <f>IF(COUNTBLANK(B73:Q73)&lt;&gt;COLUMNS(B73:Q73),72,"")</f>
        <v>0</v>
      </c>
      <c r="C73" s="1">
        <f>IF(B73="", "", "urban biome")</f>
        <v>0</v>
      </c>
      <c r="D73" s="1">
        <f>IF(B73="", "", "human-associated habitat")</f>
        <v>0</v>
      </c>
      <c r="G73" s="1">
        <f>IF(B73="", "", "years")</f>
        <v>0</v>
      </c>
      <c r="I73" s="1">
        <f>IF(B73="", "", "human")</f>
        <v>0</v>
      </c>
      <c r="K73" s="1">
        <f>IF(B73="", "", "cm")</f>
        <v>0</v>
      </c>
      <c r="L73" s="1">
        <f>IF(B73="", "", "Homo sapiens")</f>
        <v>0</v>
      </c>
      <c r="M73" s="1">
        <f>IF(B73="", "", "9606")</f>
        <v>0</v>
      </c>
      <c r="O73" s="1">
        <f>IF(B73="", "", "kg")</f>
        <v>0</v>
      </c>
    </row>
    <row r="74" spans="1:15">
      <c r="A74">
        <f>IF(COUNTBLANK(B74:Q74)&lt;&gt;COLUMNS(B74:Q74),73,"")</f>
        <v>0</v>
      </c>
      <c r="C74" s="1">
        <f>IF(B74="", "", "urban biome")</f>
        <v>0</v>
      </c>
      <c r="D74" s="1">
        <f>IF(B74="", "", "human-associated habitat")</f>
        <v>0</v>
      </c>
      <c r="G74" s="1">
        <f>IF(B74="", "", "years")</f>
        <v>0</v>
      </c>
      <c r="I74" s="1">
        <f>IF(B74="", "", "human")</f>
        <v>0</v>
      </c>
      <c r="K74" s="1">
        <f>IF(B74="", "", "cm")</f>
        <v>0</v>
      </c>
      <c r="L74" s="1">
        <f>IF(B74="", "", "Homo sapiens")</f>
        <v>0</v>
      </c>
      <c r="M74" s="1">
        <f>IF(B74="", "", "9606")</f>
        <v>0</v>
      </c>
      <c r="O74" s="1">
        <f>IF(B74="", "", "kg")</f>
        <v>0</v>
      </c>
    </row>
    <row r="75" spans="1:15">
      <c r="A75">
        <f>IF(COUNTBLANK(B75:Q75)&lt;&gt;COLUMNS(B75:Q75),74,"")</f>
        <v>0</v>
      </c>
      <c r="C75" s="1">
        <f>IF(B75="", "", "urban biome")</f>
        <v>0</v>
      </c>
      <c r="D75" s="1">
        <f>IF(B75="", "", "human-associated habitat")</f>
        <v>0</v>
      </c>
      <c r="G75" s="1">
        <f>IF(B75="", "", "years")</f>
        <v>0</v>
      </c>
      <c r="I75" s="1">
        <f>IF(B75="", "", "human")</f>
        <v>0</v>
      </c>
      <c r="K75" s="1">
        <f>IF(B75="", "", "cm")</f>
        <v>0</v>
      </c>
      <c r="L75" s="1">
        <f>IF(B75="", "", "Homo sapiens")</f>
        <v>0</v>
      </c>
      <c r="M75" s="1">
        <f>IF(B75="", "", "9606")</f>
        <v>0</v>
      </c>
      <c r="O75" s="1">
        <f>IF(B75="", "", "kg")</f>
        <v>0</v>
      </c>
    </row>
    <row r="76" spans="1:15">
      <c r="A76">
        <f>IF(COUNTBLANK(B76:Q76)&lt;&gt;COLUMNS(B76:Q76),75,"")</f>
        <v>0</v>
      </c>
      <c r="C76" s="1">
        <f>IF(B76="", "", "urban biome")</f>
        <v>0</v>
      </c>
      <c r="D76" s="1">
        <f>IF(B76="", "", "human-associated habitat")</f>
        <v>0</v>
      </c>
      <c r="G76" s="1">
        <f>IF(B76="", "", "years")</f>
        <v>0</v>
      </c>
      <c r="I76" s="1">
        <f>IF(B76="", "", "human")</f>
        <v>0</v>
      </c>
      <c r="K76" s="1">
        <f>IF(B76="", "", "cm")</f>
        <v>0</v>
      </c>
      <c r="L76" s="1">
        <f>IF(B76="", "", "Homo sapiens")</f>
        <v>0</v>
      </c>
      <c r="M76" s="1">
        <f>IF(B76="", "", "9606")</f>
        <v>0</v>
      </c>
      <c r="O76" s="1">
        <f>IF(B76="", "", "kg")</f>
        <v>0</v>
      </c>
    </row>
    <row r="77" spans="1:15">
      <c r="A77">
        <f>IF(COUNTBLANK(B77:Q77)&lt;&gt;COLUMNS(B77:Q77),76,"")</f>
        <v>0</v>
      </c>
      <c r="C77" s="1">
        <f>IF(B77="", "", "urban biome")</f>
        <v>0</v>
      </c>
      <c r="D77" s="1">
        <f>IF(B77="", "", "human-associated habitat")</f>
        <v>0</v>
      </c>
      <c r="G77" s="1">
        <f>IF(B77="", "", "years")</f>
        <v>0</v>
      </c>
      <c r="I77" s="1">
        <f>IF(B77="", "", "human")</f>
        <v>0</v>
      </c>
      <c r="K77" s="1">
        <f>IF(B77="", "", "cm")</f>
        <v>0</v>
      </c>
      <c r="L77" s="1">
        <f>IF(B77="", "", "Homo sapiens")</f>
        <v>0</v>
      </c>
      <c r="M77" s="1">
        <f>IF(B77="", "", "9606")</f>
        <v>0</v>
      </c>
      <c r="O77" s="1">
        <f>IF(B77="", "", "kg")</f>
        <v>0</v>
      </c>
    </row>
    <row r="78" spans="1:15">
      <c r="A78">
        <f>IF(COUNTBLANK(B78:Q78)&lt;&gt;COLUMNS(B78:Q78),77,"")</f>
        <v>0</v>
      </c>
      <c r="C78" s="1">
        <f>IF(B78="", "", "urban biome")</f>
        <v>0</v>
      </c>
      <c r="D78" s="1">
        <f>IF(B78="", "", "human-associated habitat")</f>
        <v>0</v>
      </c>
      <c r="G78" s="1">
        <f>IF(B78="", "", "years")</f>
        <v>0</v>
      </c>
      <c r="I78" s="1">
        <f>IF(B78="", "", "human")</f>
        <v>0</v>
      </c>
      <c r="K78" s="1">
        <f>IF(B78="", "", "cm")</f>
        <v>0</v>
      </c>
      <c r="L78" s="1">
        <f>IF(B78="", "", "Homo sapiens")</f>
        <v>0</v>
      </c>
      <c r="M78" s="1">
        <f>IF(B78="", "", "9606")</f>
        <v>0</v>
      </c>
      <c r="O78" s="1">
        <f>IF(B78="", "", "kg")</f>
        <v>0</v>
      </c>
    </row>
    <row r="79" spans="1:15">
      <c r="A79">
        <f>IF(COUNTBLANK(B79:Q79)&lt;&gt;COLUMNS(B79:Q79),78,"")</f>
        <v>0</v>
      </c>
      <c r="C79" s="1">
        <f>IF(B79="", "", "urban biome")</f>
        <v>0</v>
      </c>
      <c r="D79" s="1">
        <f>IF(B79="", "", "human-associated habitat")</f>
        <v>0</v>
      </c>
      <c r="G79" s="1">
        <f>IF(B79="", "", "years")</f>
        <v>0</v>
      </c>
      <c r="I79" s="1">
        <f>IF(B79="", "", "human")</f>
        <v>0</v>
      </c>
      <c r="K79" s="1">
        <f>IF(B79="", "", "cm")</f>
        <v>0</v>
      </c>
      <c r="L79" s="1">
        <f>IF(B79="", "", "Homo sapiens")</f>
        <v>0</v>
      </c>
      <c r="M79" s="1">
        <f>IF(B79="", "", "9606")</f>
        <v>0</v>
      </c>
      <c r="O79" s="1">
        <f>IF(B79="", "", "kg")</f>
        <v>0</v>
      </c>
    </row>
    <row r="80" spans="1:15">
      <c r="A80">
        <f>IF(COUNTBLANK(B80:Q80)&lt;&gt;COLUMNS(B80:Q80),79,"")</f>
        <v>0</v>
      </c>
      <c r="C80" s="1">
        <f>IF(B80="", "", "urban biome")</f>
        <v>0</v>
      </c>
      <c r="D80" s="1">
        <f>IF(B80="", "", "human-associated habitat")</f>
        <v>0</v>
      </c>
      <c r="G80" s="1">
        <f>IF(B80="", "", "years")</f>
        <v>0</v>
      </c>
      <c r="I80" s="1">
        <f>IF(B80="", "", "human")</f>
        <v>0</v>
      </c>
      <c r="K80" s="1">
        <f>IF(B80="", "", "cm")</f>
        <v>0</v>
      </c>
      <c r="L80" s="1">
        <f>IF(B80="", "", "Homo sapiens")</f>
        <v>0</v>
      </c>
      <c r="M80" s="1">
        <f>IF(B80="", "", "9606")</f>
        <v>0</v>
      </c>
      <c r="O80" s="1">
        <f>IF(B80="", "", "kg")</f>
        <v>0</v>
      </c>
    </row>
    <row r="81" spans="1:15">
      <c r="A81">
        <f>IF(COUNTBLANK(B81:Q81)&lt;&gt;COLUMNS(B81:Q81),80,"")</f>
        <v>0</v>
      </c>
      <c r="C81" s="1">
        <f>IF(B81="", "", "urban biome")</f>
        <v>0</v>
      </c>
      <c r="D81" s="1">
        <f>IF(B81="", "", "human-associated habitat")</f>
        <v>0</v>
      </c>
      <c r="G81" s="1">
        <f>IF(B81="", "", "years")</f>
        <v>0</v>
      </c>
      <c r="I81" s="1">
        <f>IF(B81="", "", "human")</f>
        <v>0</v>
      </c>
      <c r="K81" s="1">
        <f>IF(B81="", "", "cm")</f>
        <v>0</v>
      </c>
      <c r="L81" s="1">
        <f>IF(B81="", "", "Homo sapiens")</f>
        <v>0</v>
      </c>
      <c r="M81" s="1">
        <f>IF(B81="", "", "9606")</f>
        <v>0</v>
      </c>
      <c r="O81" s="1">
        <f>IF(B81="", "", "kg")</f>
        <v>0</v>
      </c>
    </row>
    <row r="82" spans="1:15">
      <c r="A82">
        <f>IF(COUNTBLANK(B82:Q82)&lt;&gt;COLUMNS(B82:Q82),81,"")</f>
        <v>0</v>
      </c>
      <c r="C82" s="1">
        <f>IF(B82="", "", "urban biome")</f>
        <v>0</v>
      </c>
      <c r="D82" s="1">
        <f>IF(B82="", "", "human-associated habitat")</f>
        <v>0</v>
      </c>
      <c r="G82" s="1">
        <f>IF(B82="", "", "years")</f>
        <v>0</v>
      </c>
      <c r="I82" s="1">
        <f>IF(B82="", "", "human")</f>
        <v>0</v>
      </c>
      <c r="K82" s="1">
        <f>IF(B82="", "", "cm")</f>
        <v>0</v>
      </c>
      <c r="L82" s="1">
        <f>IF(B82="", "", "Homo sapiens")</f>
        <v>0</v>
      </c>
      <c r="M82" s="1">
        <f>IF(B82="", "", "9606")</f>
        <v>0</v>
      </c>
      <c r="O82" s="1">
        <f>IF(B82="", "", "kg")</f>
        <v>0</v>
      </c>
    </row>
    <row r="83" spans="1:15">
      <c r="A83">
        <f>IF(COUNTBLANK(B83:Q83)&lt;&gt;COLUMNS(B83:Q83),82,"")</f>
        <v>0</v>
      </c>
      <c r="C83" s="1">
        <f>IF(B83="", "", "urban biome")</f>
        <v>0</v>
      </c>
      <c r="D83" s="1">
        <f>IF(B83="", "", "human-associated habitat")</f>
        <v>0</v>
      </c>
      <c r="G83" s="1">
        <f>IF(B83="", "", "years")</f>
        <v>0</v>
      </c>
      <c r="I83" s="1">
        <f>IF(B83="", "", "human")</f>
        <v>0</v>
      </c>
      <c r="K83" s="1">
        <f>IF(B83="", "", "cm")</f>
        <v>0</v>
      </c>
      <c r="L83" s="1">
        <f>IF(B83="", "", "Homo sapiens")</f>
        <v>0</v>
      </c>
      <c r="M83" s="1">
        <f>IF(B83="", "", "9606")</f>
        <v>0</v>
      </c>
      <c r="O83" s="1">
        <f>IF(B83="", "", "kg")</f>
        <v>0</v>
      </c>
    </row>
    <row r="84" spans="1:15">
      <c r="A84">
        <f>IF(COUNTBLANK(B84:Q84)&lt;&gt;COLUMNS(B84:Q84),83,"")</f>
        <v>0</v>
      </c>
      <c r="C84" s="1">
        <f>IF(B84="", "", "urban biome")</f>
        <v>0</v>
      </c>
      <c r="D84" s="1">
        <f>IF(B84="", "", "human-associated habitat")</f>
        <v>0</v>
      </c>
      <c r="G84" s="1">
        <f>IF(B84="", "", "years")</f>
        <v>0</v>
      </c>
      <c r="I84" s="1">
        <f>IF(B84="", "", "human")</f>
        <v>0</v>
      </c>
      <c r="K84" s="1">
        <f>IF(B84="", "", "cm")</f>
        <v>0</v>
      </c>
      <c r="L84" s="1">
        <f>IF(B84="", "", "Homo sapiens")</f>
        <v>0</v>
      </c>
      <c r="M84" s="1">
        <f>IF(B84="", "", "9606")</f>
        <v>0</v>
      </c>
      <c r="O84" s="1">
        <f>IF(B84="", "", "kg")</f>
        <v>0</v>
      </c>
    </row>
    <row r="85" spans="1:15">
      <c r="A85">
        <f>IF(COUNTBLANK(B85:Q85)&lt;&gt;COLUMNS(B85:Q85),84,"")</f>
        <v>0</v>
      </c>
      <c r="C85" s="1">
        <f>IF(B85="", "", "urban biome")</f>
        <v>0</v>
      </c>
      <c r="D85" s="1">
        <f>IF(B85="", "", "human-associated habitat")</f>
        <v>0</v>
      </c>
      <c r="G85" s="1">
        <f>IF(B85="", "", "years")</f>
        <v>0</v>
      </c>
      <c r="I85" s="1">
        <f>IF(B85="", "", "human")</f>
        <v>0</v>
      </c>
      <c r="K85" s="1">
        <f>IF(B85="", "", "cm")</f>
        <v>0</v>
      </c>
      <c r="L85" s="1">
        <f>IF(B85="", "", "Homo sapiens")</f>
        <v>0</v>
      </c>
      <c r="M85" s="1">
        <f>IF(B85="", "", "9606")</f>
        <v>0</v>
      </c>
      <c r="O85" s="1">
        <f>IF(B85="", "", "kg")</f>
        <v>0</v>
      </c>
    </row>
    <row r="86" spans="1:15">
      <c r="A86">
        <f>IF(COUNTBLANK(B86:Q86)&lt;&gt;COLUMNS(B86:Q86),85,"")</f>
        <v>0</v>
      </c>
      <c r="C86" s="1">
        <f>IF(B86="", "", "urban biome")</f>
        <v>0</v>
      </c>
      <c r="D86" s="1">
        <f>IF(B86="", "", "human-associated habitat")</f>
        <v>0</v>
      </c>
      <c r="G86" s="1">
        <f>IF(B86="", "", "years")</f>
        <v>0</v>
      </c>
      <c r="I86" s="1">
        <f>IF(B86="", "", "human")</f>
        <v>0</v>
      </c>
      <c r="K86" s="1">
        <f>IF(B86="", "", "cm")</f>
        <v>0</v>
      </c>
      <c r="L86" s="1">
        <f>IF(B86="", "", "Homo sapiens")</f>
        <v>0</v>
      </c>
      <c r="M86" s="1">
        <f>IF(B86="", "", "9606")</f>
        <v>0</v>
      </c>
      <c r="O86" s="1">
        <f>IF(B86="", "", "kg")</f>
        <v>0</v>
      </c>
    </row>
    <row r="87" spans="1:15">
      <c r="A87">
        <f>IF(COUNTBLANK(B87:Q87)&lt;&gt;COLUMNS(B87:Q87),86,"")</f>
        <v>0</v>
      </c>
      <c r="C87" s="1">
        <f>IF(B87="", "", "urban biome")</f>
        <v>0</v>
      </c>
      <c r="D87" s="1">
        <f>IF(B87="", "", "human-associated habitat")</f>
        <v>0</v>
      </c>
      <c r="G87" s="1">
        <f>IF(B87="", "", "years")</f>
        <v>0</v>
      </c>
      <c r="I87" s="1">
        <f>IF(B87="", "", "human")</f>
        <v>0</v>
      </c>
      <c r="K87" s="1">
        <f>IF(B87="", "", "cm")</f>
        <v>0</v>
      </c>
      <c r="L87" s="1">
        <f>IF(B87="", "", "Homo sapiens")</f>
        <v>0</v>
      </c>
      <c r="M87" s="1">
        <f>IF(B87="", "", "9606")</f>
        <v>0</v>
      </c>
      <c r="O87" s="1">
        <f>IF(B87="", "", "kg")</f>
        <v>0</v>
      </c>
    </row>
    <row r="88" spans="1:15">
      <c r="A88">
        <f>IF(COUNTBLANK(B88:Q88)&lt;&gt;COLUMNS(B88:Q88),87,"")</f>
        <v>0</v>
      </c>
      <c r="C88" s="1">
        <f>IF(B88="", "", "urban biome")</f>
        <v>0</v>
      </c>
      <c r="D88" s="1">
        <f>IF(B88="", "", "human-associated habitat")</f>
        <v>0</v>
      </c>
      <c r="G88" s="1">
        <f>IF(B88="", "", "years")</f>
        <v>0</v>
      </c>
      <c r="I88" s="1">
        <f>IF(B88="", "", "human")</f>
        <v>0</v>
      </c>
      <c r="K88" s="1">
        <f>IF(B88="", "", "cm")</f>
        <v>0</v>
      </c>
      <c r="L88" s="1">
        <f>IF(B88="", "", "Homo sapiens")</f>
        <v>0</v>
      </c>
      <c r="M88" s="1">
        <f>IF(B88="", "", "9606")</f>
        <v>0</v>
      </c>
      <c r="O88" s="1">
        <f>IF(B88="", "", "kg")</f>
        <v>0</v>
      </c>
    </row>
    <row r="89" spans="1:15">
      <c r="A89">
        <f>IF(COUNTBLANK(B89:Q89)&lt;&gt;COLUMNS(B89:Q89),88,"")</f>
        <v>0</v>
      </c>
      <c r="C89" s="1">
        <f>IF(B89="", "", "urban biome")</f>
        <v>0</v>
      </c>
      <c r="D89" s="1">
        <f>IF(B89="", "", "human-associated habitat")</f>
        <v>0</v>
      </c>
      <c r="G89" s="1">
        <f>IF(B89="", "", "years")</f>
        <v>0</v>
      </c>
      <c r="I89" s="1">
        <f>IF(B89="", "", "human")</f>
        <v>0</v>
      </c>
      <c r="K89" s="1">
        <f>IF(B89="", "", "cm")</f>
        <v>0</v>
      </c>
      <c r="L89" s="1">
        <f>IF(B89="", "", "Homo sapiens")</f>
        <v>0</v>
      </c>
      <c r="M89" s="1">
        <f>IF(B89="", "", "9606")</f>
        <v>0</v>
      </c>
      <c r="O89" s="1">
        <f>IF(B89="", "", "kg")</f>
        <v>0</v>
      </c>
    </row>
    <row r="90" spans="1:15">
      <c r="A90">
        <f>IF(COUNTBLANK(B90:Q90)&lt;&gt;COLUMNS(B90:Q90),89,"")</f>
        <v>0</v>
      </c>
      <c r="C90" s="1">
        <f>IF(B90="", "", "urban biome")</f>
        <v>0</v>
      </c>
      <c r="D90" s="1">
        <f>IF(B90="", "", "human-associated habitat")</f>
        <v>0</v>
      </c>
      <c r="G90" s="1">
        <f>IF(B90="", "", "years")</f>
        <v>0</v>
      </c>
      <c r="I90" s="1">
        <f>IF(B90="", "", "human")</f>
        <v>0</v>
      </c>
      <c r="K90" s="1">
        <f>IF(B90="", "", "cm")</f>
        <v>0</v>
      </c>
      <c r="L90" s="1">
        <f>IF(B90="", "", "Homo sapiens")</f>
        <v>0</v>
      </c>
      <c r="M90" s="1">
        <f>IF(B90="", "", "9606")</f>
        <v>0</v>
      </c>
      <c r="O90" s="1">
        <f>IF(B90="", "", "kg")</f>
        <v>0</v>
      </c>
    </row>
    <row r="91" spans="1:15">
      <c r="A91">
        <f>IF(COUNTBLANK(B91:Q91)&lt;&gt;COLUMNS(B91:Q91),90,"")</f>
        <v>0</v>
      </c>
      <c r="C91" s="1">
        <f>IF(B91="", "", "urban biome")</f>
        <v>0</v>
      </c>
      <c r="D91" s="1">
        <f>IF(B91="", "", "human-associated habitat")</f>
        <v>0</v>
      </c>
      <c r="G91" s="1">
        <f>IF(B91="", "", "years")</f>
        <v>0</v>
      </c>
      <c r="I91" s="1">
        <f>IF(B91="", "", "human")</f>
        <v>0</v>
      </c>
      <c r="K91" s="1">
        <f>IF(B91="", "", "cm")</f>
        <v>0</v>
      </c>
      <c r="L91" s="1">
        <f>IF(B91="", "", "Homo sapiens")</f>
        <v>0</v>
      </c>
      <c r="M91" s="1">
        <f>IF(B91="", "", "9606")</f>
        <v>0</v>
      </c>
      <c r="O91" s="1">
        <f>IF(B91="", "", "kg")</f>
        <v>0</v>
      </c>
    </row>
    <row r="92" spans="1:15">
      <c r="A92">
        <f>IF(COUNTBLANK(B92:Q92)&lt;&gt;COLUMNS(B92:Q92),91,"")</f>
        <v>0</v>
      </c>
      <c r="C92" s="1">
        <f>IF(B92="", "", "urban biome")</f>
        <v>0</v>
      </c>
      <c r="D92" s="1">
        <f>IF(B92="", "", "human-associated habitat")</f>
        <v>0</v>
      </c>
      <c r="G92" s="1">
        <f>IF(B92="", "", "years")</f>
        <v>0</v>
      </c>
      <c r="I92" s="1">
        <f>IF(B92="", "", "human")</f>
        <v>0</v>
      </c>
      <c r="K92" s="1">
        <f>IF(B92="", "", "cm")</f>
        <v>0</v>
      </c>
      <c r="L92" s="1">
        <f>IF(B92="", "", "Homo sapiens")</f>
        <v>0</v>
      </c>
      <c r="M92" s="1">
        <f>IF(B92="", "", "9606")</f>
        <v>0</v>
      </c>
      <c r="O92" s="1">
        <f>IF(B92="", "", "kg")</f>
        <v>0</v>
      </c>
    </row>
    <row r="93" spans="1:15">
      <c r="A93">
        <f>IF(COUNTBLANK(B93:Q93)&lt;&gt;COLUMNS(B93:Q93),92,"")</f>
        <v>0</v>
      </c>
      <c r="C93" s="1">
        <f>IF(B93="", "", "urban biome")</f>
        <v>0</v>
      </c>
      <c r="D93" s="1">
        <f>IF(B93="", "", "human-associated habitat")</f>
        <v>0</v>
      </c>
      <c r="G93" s="1">
        <f>IF(B93="", "", "years")</f>
        <v>0</v>
      </c>
      <c r="I93" s="1">
        <f>IF(B93="", "", "human")</f>
        <v>0</v>
      </c>
      <c r="K93" s="1">
        <f>IF(B93="", "", "cm")</f>
        <v>0</v>
      </c>
      <c r="L93" s="1">
        <f>IF(B93="", "", "Homo sapiens")</f>
        <v>0</v>
      </c>
      <c r="M93" s="1">
        <f>IF(B93="", "", "9606")</f>
        <v>0</v>
      </c>
      <c r="O93" s="1">
        <f>IF(B93="", "", "kg")</f>
        <v>0</v>
      </c>
    </row>
    <row r="94" spans="1:15">
      <c r="A94">
        <f>IF(COUNTBLANK(B94:Q94)&lt;&gt;COLUMNS(B94:Q94),93,"")</f>
        <v>0</v>
      </c>
      <c r="C94" s="1">
        <f>IF(B94="", "", "urban biome")</f>
        <v>0</v>
      </c>
      <c r="D94" s="1">
        <f>IF(B94="", "", "human-associated habitat")</f>
        <v>0</v>
      </c>
      <c r="G94" s="1">
        <f>IF(B94="", "", "years")</f>
        <v>0</v>
      </c>
      <c r="I94" s="1">
        <f>IF(B94="", "", "human")</f>
        <v>0</v>
      </c>
      <c r="K94" s="1">
        <f>IF(B94="", "", "cm")</f>
        <v>0</v>
      </c>
      <c r="L94" s="1">
        <f>IF(B94="", "", "Homo sapiens")</f>
        <v>0</v>
      </c>
      <c r="M94" s="1">
        <f>IF(B94="", "", "9606")</f>
        <v>0</v>
      </c>
      <c r="O94" s="1">
        <f>IF(B94="", "", "kg")</f>
        <v>0</v>
      </c>
    </row>
    <row r="95" spans="1:15">
      <c r="A95">
        <f>IF(COUNTBLANK(B95:Q95)&lt;&gt;COLUMNS(B95:Q95),94,"")</f>
        <v>0</v>
      </c>
      <c r="C95" s="1">
        <f>IF(B95="", "", "urban biome")</f>
        <v>0</v>
      </c>
      <c r="D95" s="1">
        <f>IF(B95="", "", "human-associated habitat")</f>
        <v>0</v>
      </c>
      <c r="G95" s="1">
        <f>IF(B95="", "", "years")</f>
        <v>0</v>
      </c>
      <c r="I95" s="1">
        <f>IF(B95="", "", "human")</f>
        <v>0</v>
      </c>
      <c r="K95" s="1">
        <f>IF(B95="", "", "cm")</f>
        <v>0</v>
      </c>
      <c r="L95" s="1">
        <f>IF(B95="", "", "Homo sapiens")</f>
        <v>0</v>
      </c>
      <c r="M95" s="1">
        <f>IF(B95="", "", "9606")</f>
        <v>0</v>
      </c>
      <c r="O95" s="1">
        <f>IF(B95="", "", "kg")</f>
        <v>0</v>
      </c>
    </row>
    <row r="96" spans="1:15">
      <c r="A96">
        <f>IF(COUNTBLANK(B96:Q96)&lt;&gt;COLUMNS(B96:Q96),95,"")</f>
        <v>0</v>
      </c>
      <c r="C96" s="1">
        <f>IF(B96="", "", "urban biome")</f>
        <v>0</v>
      </c>
      <c r="D96" s="1">
        <f>IF(B96="", "", "human-associated habitat")</f>
        <v>0</v>
      </c>
      <c r="G96" s="1">
        <f>IF(B96="", "", "years")</f>
        <v>0</v>
      </c>
      <c r="I96" s="1">
        <f>IF(B96="", "", "human")</f>
        <v>0</v>
      </c>
      <c r="K96" s="1">
        <f>IF(B96="", "", "cm")</f>
        <v>0</v>
      </c>
      <c r="L96" s="1">
        <f>IF(B96="", "", "Homo sapiens")</f>
        <v>0</v>
      </c>
      <c r="M96" s="1">
        <f>IF(B96="", "", "9606")</f>
        <v>0</v>
      </c>
      <c r="O96" s="1">
        <f>IF(B96="", "", "kg")</f>
        <v>0</v>
      </c>
    </row>
    <row r="97" spans="1:15">
      <c r="A97">
        <f>IF(COUNTBLANK(B97:Q97)&lt;&gt;COLUMNS(B97:Q97),96,"")</f>
        <v>0</v>
      </c>
      <c r="C97" s="1">
        <f>IF(B97="", "", "urban biome")</f>
        <v>0</v>
      </c>
      <c r="D97" s="1">
        <f>IF(B97="", "", "human-associated habitat")</f>
        <v>0</v>
      </c>
      <c r="G97" s="1">
        <f>IF(B97="", "", "years")</f>
        <v>0</v>
      </c>
      <c r="I97" s="1">
        <f>IF(B97="", "", "human")</f>
        <v>0</v>
      </c>
      <c r="K97" s="1">
        <f>IF(B97="", "", "cm")</f>
        <v>0</v>
      </c>
      <c r="L97" s="1">
        <f>IF(B97="", "", "Homo sapiens")</f>
        <v>0</v>
      </c>
      <c r="M97" s="1">
        <f>IF(B97="", "", "9606")</f>
        <v>0</v>
      </c>
      <c r="O97" s="1">
        <f>IF(B97="", "", "kg")</f>
        <v>0</v>
      </c>
    </row>
    <row r="98" spans="1:15">
      <c r="A98">
        <f>IF(COUNTBLANK(B98:Q98)&lt;&gt;COLUMNS(B98:Q98),97,"")</f>
        <v>0</v>
      </c>
      <c r="C98" s="1">
        <f>IF(B98="", "", "urban biome")</f>
        <v>0</v>
      </c>
      <c r="D98" s="1">
        <f>IF(B98="", "", "human-associated habitat")</f>
        <v>0</v>
      </c>
      <c r="G98" s="1">
        <f>IF(B98="", "", "years")</f>
        <v>0</v>
      </c>
      <c r="I98" s="1">
        <f>IF(B98="", "", "human")</f>
        <v>0</v>
      </c>
      <c r="K98" s="1">
        <f>IF(B98="", "", "cm")</f>
        <v>0</v>
      </c>
      <c r="L98" s="1">
        <f>IF(B98="", "", "Homo sapiens")</f>
        <v>0</v>
      </c>
      <c r="M98" s="1">
        <f>IF(B98="", "", "9606")</f>
        <v>0</v>
      </c>
      <c r="O98" s="1">
        <f>IF(B98="", "", "kg")</f>
        <v>0</v>
      </c>
    </row>
    <row r="99" spans="1:15">
      <c r="A99">
        <f>IF(COUNTBLANK(B99:Q99)&lt;&gt;COLUMNS(B99:Q99),98,"")</f>
        <v>0</v>
      </c>
      <c r="C99" s="1">
        <f>IF(B99="", "", "urban biome")</f>
        <v>0</v>
      </c>
      <c r="D99" s="1">
        <f>IF(B99="", "", "human-associated habitat")</f>
        <v>0</v>
      </c>
      <c r="G99" s="1">
        <f>IF(B99="", "", "years")</f>
        <v>0</v>
      </c>
      <c r="I99" s="1">
        <f>IF(B99="", "", "human")</f>
        <v>0</v>
      </c>
      <c r="K99" s="1">
        <f>IF(B99="", "", "cm")</f>
        <v>0</v>
      </c>
      <c r="L99" s="1">
        <f>IF(B99="", "", "Homo sapiens")</f>
        <v>0</v>
      </c>
      <c r="M99" s="1">
        <f>IF(B99="", "", "9606")</f>
        <v>0</v>
      </c>
      <c r="O99" s="1">
        <f>IF(B99="", "", "kg")</f>
        <v>0</v>
      </c>
    </row>
    <row r="100" spans="1:15">
      <c r="A100">
        <f>IF(COUNTBLANK(B100:Q100)&lt;&gt;COLUMNS(B100:Q100),99,"")</f>
        <v>0</v>
      </c>
      <c r="C100" s="1">
        <f>IF(B100="", "", "urban biome")</f>
        <v>0</v>
      </c>
      <c r="D100" s="1">
        <f>IF(B100="", "", "human-associated habitat")</f>
        <v>0</v>
      </c>
      <c r="G100" s="1">
        <f>IF(B100="", "", "years")</f>
        <v>0</v>
      </c>
      <c r="I100" s="1">
        <f>IF(B100="", "", "human")</f>
        <v>0</v>
      </c>
      <c r="K100" s="1">
        <f>IF(B100="", "", "cm")</f>
        <v>0</v>
      </c>
      <c r="L100" s="1">
        <f>IF(B100="", "", "Homo sapiens")</f>
        <v>0</v>
      </c>
      <c r="M100" s="1">
        <f>IF(B100="", "", "9606")</f>
        <v>0</v>
      </c>
      <c r="O100" s="1">
        <f>IF(B100="", "", "kg")</f>
        <v>0</v>
      </c>
    </row>
    <row r="101" spans="1:15">
      <c r="A101">
        <f>IF(COUNTBLANK(B101:Q101)&lt;&gt;COLUMNS(B101:Q101),100,"")</f>
        <v>0</v>
      </c>
      <c r="C101" s="1">
        <f>IF(B101="", "", "urban biome")</f>
        <v>0</v>
      </c>
      <c r="D101" s="1">
        <f>IF(B101="", "", "human-associated habitat")</f>
        <v>0</v>
      </c>
      <c r="G101" s="1">
        <f>IF(B101="", "", "years")</f>
        <v>0</v>
      </c>
      <c r="I101" s="1">
        <f>IF(B101="", "", "human")</f>
        <v>0</v>
      </c>
      <c r="K101" s="1">
        <f>IF(B101="", "", "cm")</f>
        <v>0</v>
      </c>
      <c r="L101" s="1">
        <f>IF(B101="", "", "Homo sapiens")</f>
        <v>0</v>
      </c>
      <c r="M101" s="1">
        <f>IF(B101="", "", "9606")</f>
        <v>0</v>
      </c>
      <c r="O101" s="1">
        <f>IF(B101="", "", "kg")</f>
        <v>0</v>
      </c>
    </row>
    <row r="102" spans="1:15">
      <c r="A102">
        <f>IF(COUNTBLANK(B102:Q102)&lt;&gt;COLUMNS(B102:Q102),101,"")</f>
        <v>0</v>
      </c>
      <c r="C102" s="1">
        <f>IF(B102="", "", "urban biome")</f>
        <v>0</v>
      </c>
      <c r="D102" s="1">
        <f>IF(B102="", "", "human-associated habitat")</f>
        <v>0</v>
      </c>
      <c r="G102" s="1">
        <f>IF(B102="", "", "years")</f>
        <v>0</v>
      </c>
      <c r="I102" s="1">
        <f>IF(B102="", "", "human")</f>
        <v>0</v>
      </c>
      <c r="K102" s="1">
        <f>IF(B102="", "", "cm")</f>
        <v>0</v>
      </c>
      <c r="L102" s="1">
        <f>IF(B102="", "", "Homo sapiens")</f>
        <v>0</v>
      </c>
      <c r="M102" s="1">
        <f>IF(B102="", "", "9606")</f>
        <v>0</v>
      </c>
      <c r="O102" s="1">
        <f>IF(B102="", "", "kg")</f>
        <v>0</v>
      </c>
    </row>
    <row r="103" spans="1:15">
      <c r="A103">
        <f>IF(COUNTBLANK(B103:Q103)&lt;&gt;COLUMNS(B103:Q103),102,"")</f>
        <v>0</v>
      </c>
      <c r="C103" s="1">
        <f>IF(B103="", "", "urban biome")</f>
        <v>0</v>
      </c>
      <c r="D103" s="1">
        <f>IF(B103="", "", "human-associated habitat")</f>
        <v>0</v>
      </c>
      <c r="G103" s="1">
        <f>IF(B103="", "", "years")</f>
        <v>0</v>
      </c>
      <c r="I103" s="1">
        <f>IF(B103="", "", "human")</f>
        <v>0</v>
      </c>
      <c r="K103" s="1">
        <f>IF(B103="", "", "cm")</f>
        <v>0</v>
      </c>
      <c r="L103" s="1">
        <f>IF(B103="", "", "Homo sapiens")</f>
        <v>0</v>
      </c>
      <c r="M103" s="1">
        <f>IF(B103="", "", "9606")</f>
        <v>0</v>
      </c>
      <c r="O103" s="1">
        <f>IF(B103="", "", "kg")</f>
        <v>0</v>
      </c>
    </row>
    <row r="104" spans="1:15">
      <c r="A104">
        <f>IF(COUNTBLANK(B104:Q104)&lt;&gt;COLUMNS(B104:Q104),103,"")</f>
        <v>0</v>
      </c>
      <c r="C104" s="1">
        <f>IF(B104="", "", "urban biome")</f>
        <v>0</v>
      </c>
      <c r="D104" s="1">
        <f>IF(B104="", "", "human-associated habitat")</f>
        <v>0</v>
      </c>
      <c r="G104" s="1">
        <f>IF(B104="", "", "years")</f>
        <v>0</v>
      </c>
      <c r="I104" s="1">
        <f>IF(B104="", "", "human")</f>
        <v>0</v>
      </c>
      <c r="K104" s="1">
        <f>IF(B104="", "", "cm")</f>
        <v>0</v>
      </c>
      <c r="L104" s="1">
        <f>IF(B104="", "", "Homo sapiens")</f>
        <v>0</v>
      </c>
      <c r="M104" s="1">
        <f>IF(B104="", "", "9606")</f>
        <v>0</v>
      </c>
      <c r="O104" s="1">
        <f>IF(B104="", "", "kg")</f>
        <v>0</v>
      </c>
    </row>
    <row r="105" spans="1:15">
      <c r="A105">
        <f>IF(COUNTBLANK(B105:Q105)&lt;&gt;COLUMNS(B105:Q105),104,"")</f>
        <v>0</v>
      </c>
      <c r="C105" s="1">
        <f>IF(B105="", "", "urban biome")</f>
        <v>0</v>
      </c>
      <c r="D105" s="1">
        <f>IF(B105="", "", "human-associated habitat")</f>
        <v>0</v>
      </c>
      <c r="G105" s="1">
        <f>IF(B105="", "", "years")</f>
        <v>0</v>
      </c>
      <c r="I105" s="1">
        <f>IF(B105="", "", "human")</f>
        <v>0</v>
      </c>
      <c r="K105" s="1">
        <f>IF(B105="", "", "cm")</f>
        <v>0</v>
      </c>
      <c r="L105" s="1">
        <f>IF(B105="", "", "Homo sapiens")</f>
        <v>0</v>
      </c>
      <c r="M105" s="1">
        <f>IF(B105="", "", "9606")</f>
        <v>0</v>
      </c>
      <c r="O105" s="1">
        <f>IF(B105="", "", "kg")</f>
        <v>0</v>
      </c>
    </row>
    <row r="106" spans="1:15">
      <c r="A106">
        <f>IF(COUNTBLANK(B106:Q106)&lt;&gt;COLUMNS(B106:Q106),105,"")</f>
        <v>0</v>
      </c>
      <c r="C106" s="1">
        <f>IF(B106="", "", "urban biome")</f>
        <v>0</v>
      </c>
      <c r="D106" s="1">
        <f>IF(B106="", "", "human-associated habitat")</f>
        <v>0</v>
      </c>
      <c r="G106" s="1">
        <f>IF(B106="", "", "years")</f>
        <v>0</v>
      </c>
      <c r="I106" s="1">
        <f>IF(B106="", "", "human")</f>
        <v>0</v>
      </c>
      <c r="K106" s="1">
        <f>IF(B106="", "", "cm")</f>
        <v>0</v>
      </c>
      <c r="L106" s="1">
        <f>IF(B106="", "", "Homo sapiens")</f>
        <v>0</v>
      </c>
      <c r="M106" s="1">
        <f>IF(B106="", "", "9606")</f>
        <v>0</v>
      </c>
      <c r="O106" s="1">
        <f>IF(B106="", "", "kg")</f>
        <v>0</v>
      </c>
    </row>
    <row r="107" spans="1:15">
      <c r="A107">
        <f>IF(COUNTBLANK(B107:Q107)&lt;&gt;COLUMNS(B107:Q107),106,"")</f>
        <v>0</v>
      </c>
      <c r="C107" s="1">
        <f>IF(B107="", "", "urban biome")</f>
        <v>0</v>
      </c>
      <c r="D107" s="1">
        <f>IF(B107="", "", "human-associated habitat")</f>
        <v>0</v>
      </c>
      <c r="G107" s="1">
        <f>IF(B107="", "", "years")</f>
        <v>0</v>
      </c>
      <c r="I107" s="1">
        <f>IF(B107="", "", "human")</f>
        <v>0</v>
      </c>
      <c r="K107" s="1">
        <f>IF(B107="", "", "cm")</f>
        <v>0</v>
      </c>
      <c r="L107" s="1">
        <f>IF(B107="", "", "Homo sapiens")</f>
        <v>0</v>
      </c>
      <c r="M107" s="1">
        <f>IF(B107="", "", "9606")</f>
        <v>0</v>
      </c>
      <c r="O107" s="1">
        <f>IF(B107="", "", "kg")</f>
        <v>0</v>
      </c>
    </row>
    <row r="108" spans="1:15">
      <c r="A108">
        <f>IF(COUNTBLANK(B108:Q108)&lt;&gt;COLUMNS(B108:Q108),107,"")</f>
        <v>0</v>
      </c>
      <c r="C108" s="1">
        <f>IF(B108="", "", "urban biome")</f>
        <v>0</v>
      </c>
      <c r="D108" s="1">
        <f>IF(B108="", "", "human-associated habitat")</f>
        <v>0</v>
      </c>
      <c r="G108" s="1">
        <f>IF(B108="", "", "years")</f>
        <v>0</v>
      </c>
      <c r="I108" s="1">
        <f>IF(B108="", "", "human")</f>
        <v>0</v>
      </c>
      <c r="K108" s="1">
        <f>IF(B108="", "", "cm")</f>
        <v>0</v>
      </c>
      <c r="L108" s="1">
        <f>IF(B108="", "", "Homo sapiens")</f>
        <v>0</v>
      </c>
      <c r="M108" s="1">
        <f>IF(B108="", "", "9606")</f>
        <v>0</v>
      </c>
      <c r="O108" s="1">
        <f>IF(B108="", "", "kg")</f>
        <v>0</v>
      </c>
    </row>
    <row r="109" spans="1:15">
      <c r="A109">
        <f>IF(COUNTBLANK(B109:Q109)&lt;&gt;COLUMNS(B109:Q109),108,"")</f>
        <v>0</v>
      </c>
      <c r="C109" s="1">
        <f>IF(B109="", "", "urban biome")</f>
        <v>0</v>
      </c>
      <c r="D109" s="1">
        <f>IF(B109="", "", "human-associated habitat")</f>
        <v>0</v>
      </c>
      <c r="G109" s="1">
        <f>IF(B109="", "", "years")</f>
        <v>0</v>
      </c>
      <c r="I109" s="1">
        <f>IF(B109="", "", "human")</f>
        <v>0</v>
      </c>
      <c r="K109" s="1">
        <f>IF(B109="", "", "cm")</f>
        <v>0</v>
      </c>
      <c r="L109" s="1">
        <f>IF(B109="", "", "Homo sapiens")</f>
        <v>0</v>
      </c>
      <c r="M109" s="1">
        <f>IF(B109="", "", "9606")</f>
        <v>0</v>
      </c>
      <c r="O109" s="1">
        <f>IF(B109="", "", "kg")</f>
        <v>0</v>
      </c>
    </row>
    <row r="110" spans="1:15">
      <c r="A110">
        <f>IF(COUNTBLANK(B110:Q110)&lt;&gt;COLUMNS(B110:Q110),109,"")</f>
        <v>0</v>
      </c>
      <c r="C110" s="1">
        <f>IF(B110="", "", "urban biome")</f>
        <v>0</v>
      </c>
      <c r="D110" s="1">
        <f>IF(B110="", "", "human-associated habitat")</f>
        <v>0</v>
      </c>
      <c r="G110" s="1">
        <f>IF(B110="", "", "years")</f>
        <v>0</v>
      </c>
      <c r="I110" s="1">
        <f>IF(B110="", "", "human")</f>
        <v>0</v>
      </c>
      <c r="K110" s="1">
        <f>IF(B110="", "", "cm")</f>
        <v>0</v>
      </c>
      <c r="L110" s="1">
        <f>IF(B110="", "", "Homo sapiens")</f>
        <v>0</v>
      </c>
      <c r="M110" s="1">
        <f>IF(B110="", "", "9606")</f>
        <v>0</v>
      </c>
      <c r="O110" s="1">
        <f>IF(B110="", "", "kg")</f>
        <v>0</v>
      </c>
    </row>
    <row r="111" spans="1:15">
      <c r="A111">
        <f>IF(COUNTBLANK(B111:Q111)&lt;&gt;COLUMNS(B111:Q111),110,"")</f>
        <v>0</v>
      </c>
      <c r="C111" s="1">
        <f>IF(B111="", "", "urban biome")</f>
        <v>0</v>
      </c>
      <c r="D111" s="1">
        <f>IF(B111="", "", "human-associated habitat")</f>
        <v>0</v>
      </c>
      <c r="G111" s="1">
        <f>IF(B111="", "", "years")</f>
        <v>0</v>
      </c>
      <c r="I111" s="1">
        <f>IF(B111="", "", "human")</f>
        <v>0</v>
      </c>
      <c r="K111" s="1">
        <f>IF(B111="", "", "cm")</f>
        <v>0</v>
      </c>
      <c r="L111" s="1">
        <f>IF(B111="", "", "Homo sapiens")</f>
        <v>0</v>
      </c>
      <c r="M111" s="1">
        <f>IF(B111="", "", "9606")</f>
        <v>0</v>
      </c>
      <c r="O111" s="1">
        <f>IF(B111="", "", "kg")</f>
        <v>0</v>
      </c>
    </row>
    <row r="112" spans="1:15">
      <c r="A112">
        <f>IF(COUNTBLANK(B112:Q112)&lt;&gt;COLUMNS(B112:Q112),111,"")</f>
        <v>0</v>
      </c>
      <c r="C112" s="1">
        <f>IF(B112="", "", "urban biome")</f>
        <v>0</v>
      </c>
      <c r="D112" s="1">
        <f>IF(B112="", "", "human-associated habitat")</f>
        <v>0</v>
      </c>
      <c r="G112" s="1">
        <f>IF(B112="", "", "years")</f>
        <v>0</v>
      </c>
      <c r="I112" s="1">
        <f>IF(B112="", "", "human")</f>
        <v>0</v>
      </c>
      <c r="K112" s="1">
        <f>IF(B112="", "", "cm")</f>
        <v>0</v>
      </c>
      <c r="L112" s="1">
        <f>IF(B112="", "", "Homo sapiens")</f>
        <v>0</v>
      </c>
      <c r="M112" s="1">
        <f>IF(B112="", "", "9606")</f>
        <v>0</v>
      </c>
      <c r="O112" s="1">
        <f>IF(B112="", "", "kg")</f>
        <v>0</v>
      </c>
    </row>
    <row r="113" spans="1:15">
      <c r="A113">
        <f>IF(COUNTBLANK(B113:Q113)&lt;&gt;COLUMNS(B113:Q113),112,"")</f>
        <v>0</v>
      </c>
      <c r="C113" s="1">
        <f>IF(B113="", "", "urban biome")</f>
        <v>0</v>
      </c>
      <c r="D113" s="1">
        <f>IF(B113="", "", "human-associated habitat")</f>
        <v>0</v>
      </c>
      <c r="G113" s="1">
        <f>IF(B113="", "", "years")</f>
        <v>0</v>
      </c>
      <c r="I113" s="1">
        <f>IF(B113="", "", "human")</f>
        <v>0</v>
      </c>
      <c r="K113" s="1">
        <f>IF(B113="", "", "cm")</f>
        <v>0</v>
      </c>
      <c r="L113" s="1">
        <f>IF(B113="", "", "Homo sapiens")</f>
        <v>0</v>
      </c>
      <c r="M113" s="1">
        <f>IF(B113="", "", "9606")</f>
        <v>0</v>
      </c>
      <c r="O113" s="1">
        <f>IF(B113="", "", "kg")</f>
        <v>0</v>
      </c>
    </row>
    <row r="114" spans="1:15">
      <c r="A114">
        <f>IF(COUNTBLANK(B114:Q114)&lt;&gt;COLUMNS(B114:Q114),113,"")</f>
        <v>0</v>
      </c>
      <c r="C114" s="1">
        <f>IF(B114="", "", "urban biome")</f>
        <v>0</v>
      </c>
      <c r="D114" s="1">
        <f>IF(B114="", "", "human-associated habitat")</f>
        <v>0</v>
      </c>
      <c r="G114" s="1">
        <f>IF(B114="", "", "years")</f>
        <v>0</v>
      </c>
      <c r="I114" s="1">
        <f>IF(B114="", "", "human")</f>
        <v>0</v>
      </c>
      <c r="K114" s="1">
        <f>IF(B114="", "", "cm")</f>
        <v>0</v>
      </c>
      <c r="L114" s="1">
        <f>IF(B114="", "", "Homo sapiens")</f>
        <v>0</v>
      </c>
      <c r="M114" s="1">
        <f>IF(B114="", "", "9606")</f>
        <v>0</v>
      </c>
      <c r="O114" s="1">
        <f>IF(B114="", "", "kg")</f>
        <v>0</v>
      </c>
    </row>
    <row r="115" spans="1:15">
      <c r="A115">
        <f>IF(COUNTBLANK(B115:Q115)&lt;&gt;COLUMNS(B115:Q115),114,"")</f>
        <v>0</v>
      </c>
      <c r="C115" s="1">
        <f>IF(B115="", "", "urban biome")</f>
        <v>0</v>
      </c>
      <c r="D115" s="1">
        <f>IF(B115="", "", "human-associated habitat")</f>
        <v>0</v>
      </c>
      <c r="G115" s="1">
        <f>IF(B115="", "", "years")</f>
        <v>0</v>
      </c>
      <c r="I115" s="1">
        <f>IF(B115="", "", "human")</f>
        <v>0</v>
      </c>
      <c r="K115" s="1">
        <f>IF(B115="", "", "cm")</f>
        <v>0</v>
      </c>
      <c r="L115" s="1">
        <f>IF(B115="", "", "Homo sapiens")</f>
        <v>0</v>
      </c>
      <c r="M115" s="1">
        <f>IF(B115="", "", "9606")</f>
        <v>0</v>
      </c>
      <c r="O115" s="1">
        <f>IF(B115="", "", "kg")</f>
        <v>0</v>
      </c>
    </row>
    <row r="116" spans="1:15">
      <c r="A116">
        <f>IF(COUNTBLANK(B116:Q116)&lt;&gt;COLUMNS(B116:Q116),115,"")</f>
        <v>0</v>
      </c>
      <c r="C116" s="1">
        <f>IF(B116="", "", "urban biome")</f>
        <v>0</v>
      </c>
      <c r="D116" s="1">
        <f>IF(B116="", "", "human-associated habitat")</f>
        <v>0</v>
      </c>
      <c r="G116" s="1">
        <f>IF(B116="", "", "years")</f>
        <v>0</v>
      </c>
      <c r="I116" s="1">
        <f>IF(B116="", "", "human")</f>
        <v>0</v>
      </c>
      <c r="K116" s="1">
        <f>IF(B116="", "", "cm")</f>
        <v>0</v>
      </c>
      <c r="L116" s="1">
        <f>IF(B116="", "", "Homo sapiens")</f>
        <v>0</v>
      </c>
      <c r="M116" s="1">
        <f>IF(B116="", "", "9606")</f>
        <v>0</v>
      </c>
      <c r="O116" s="1">
        <f>IF(B116="", "", "kg")</f>
        <v>0</v>
      </c>
    </row>
    <row r="117" spans="1:15">
      <c r="A117">
        <f>IF(COUNTBLANK(B117:Q117)&lt;&gt;COLUMNS(B117:Q117),116,"")</f>
        <v>0</v>
      </c>
      <c r="C117" s="1">
        <f>IF(B117="", "", "urban biome")</f>
        <v>0</v>
      </c>
      <c r="D117" s="1">
        <f>IF(B117="", "", "human-associated habitat")</f>
        <v>0</v>
      </c>
      <c r="G117" s="1">
        <f>IF(B117="", "", "years")</f>
        <v>0</v>
      </c>
      <c r="I117" s="1">
        <f>IF(B117="", "", "human")</f>
        <v>0</v>
      </c>
      <c r="K117" s="1">
        <f>IF(B117="", "", "cm")</f>
        <v>0</v>
      </c>
      <c r="L117" s="1">
        <f>IF(B117="", "", "Homo sapiens")</f>
        <v>0</v>
      </c>
      <c r="M117" s="1">
        <f>IF(B117="", "", "9606")</f>
        <v>0</v>
      </c>
      <c r="O117" s="1">
        <f>IF(B117="", "", "kg")</f>
        <v>0</v>
      </c>
    </row>
    <row r="118" spans="1:15">
      <c r="A118">
        <f>IF(COUNTBLANK(B118:Q118)&lt;&gt;COLUMNS(B118:Q118),117,"")</f>
        <v>0</v>
      </c>
      <c r="C118" s="1">
        <f>IF(B118="", "", "urban biome")</f>
        <v>0</v>
      </c>
      <c r="D118" s="1">
        <f>IF(B118="", "", "human-associated habitat")</f>
        <v>0</v>
      </c>
      <c r="G118" s="1">
        <f>IF(B118="", "", "years")</f>
        <v>0</v>
      </c>
      <c r="I118" s="1">
        <f>IF(B118="", "", "human")</f>
        <v>0</v>
      </c>
      <c r="K118" s="1">
        <f>IF(B118="", "", "cm")</f>
        <v>0</v>
      </c>
      <c r="L118" s="1">
        <f>IF(B118="", "", "Homo sapiens")</f>
        <v>0</v>
      </c>
      <c r="M118" s="1">
        <f>IF(B118="", "", "9606")</f>
        <v>0</v>
      </c>
      <c r="O118" s="1">
        <f>IF(B118="", "", "kg")</f>
        <v>0</v>
      </c>
    </row>
    <row r="119" spans="1:15">
      <c r="A119">
        <f>IF(COUNTBLANK(B119:Q119)&lt;&gt;COLUMNS(B119:Q119),118,"")</f>
        <v>0</v>
      </c>
      <c r="C119" s="1">
        <f>IF(B119="", "", "urban biome")</f>
        <v>0</v>
      </c>
      <c r="D119" s="1">
        <f>IF(B119="", "", "human-associated habitat")</f>
        <v>0</v>
      </c>
      <c r="G119" s="1">
        <f>IF(B119="", "", "years")</f>
        <v>0</v>
      </c>
      <c r="I119" s="1">
        <f>IF(B119="", "", "human")</f>
        <v>0</v>
      </c>
      <c r="K119" s="1">
        <f>IF(B119="", "", "cm")</f>
        <v>0</v>
      </c>
      <c r="L119" s="1">
        <f>IF(B119="", "", "Homo sapiens")</f>
        <v>0</v>
      </c>
      <c r="M119" s="1">
        <f>IF(B119="", "", "9606")</f>
        <v>0</v>
      </c>
      <c r="O119" s="1">
        <f>IF(B119="", "", "kg")</f>
        <v>0</v>
      </c>
    </row>
    <row r="120" spans="1:15">
      <c r="A120">
        <f>IF(COUNTBLANK(B120:Q120)&lt;&gt;COLUMNS(B120:Q120),119,"")</f>
        <v>0</v>
      </c>
      <c r="C120" s="1">
        <f>IF(B120="", "", "urban biome")</f>
        <v>0</v>
      </c>
      <c r="D120" s="1">
        <f>IF(B120="", "", "human-associated habitat")</f>
        <v>0</v>
      </c>
      <c r="G120" s="1">
        <f>IF(B120="", "", "years")</f>
        <v>0</v>
      </c>
      <c r="I120" s="1">
        <f>IF(B120="", "", "human")</f>
        <v>0</v>
      </c>
      <c r="K120" s="1">
        <f>IF(B120="", "", "cm")</f>
        <v>0</v>
      </c>
      <c r="L120" s="1">
        <f>IF(B120="", "", "Homo sapiens")</f>
        <v>0</v>
      </c>
      <c r="M120" s="1">
        <f>IF(B120="", "", "9606")</f>
        <v>0</v>
      </c>
      <c r="O120" s="1">
        <f>IF(B120="", "", "kg")</f>
        <v>0</v>
      </c>
    </row>
    <row r="121" spans="1:15">
      <c r="A121">
        <f>IF(COUNTBLANK(B121:Q121)&lt;&gt;COLUMNS(B121:Q121),120,"")</f>
        <v>0</v>
      </c>
      <c r="C121" s="1">
        <f>IF(B121="", "", "urban biome")</f>
        <v>0</v>
      </c>
      <c r="D121" s="1">
        <f>IF(B121="", "", "human-associated habitat")</f>
        <v>0</v>
      </c>
      <c r="G121" s="1">
        <f>IF(B121="", "", "years")</f>
        <v>0</v>
      </c>
      <c r="I121" s="1">
        <f>IF(B121="", "", "human")</f>
        <v>0</v>
      </c>
      <c r="K121" s="1">
        <f>IF(B121="", "", "cm")</f>
        <v>0</v>
      </c>
      <c r="L121" s="1">
        <f>IF(B121="", "", "Homo sapiens")</f>
        <v>0</v>
      </c>
      <c r="M121" s="1">
        <f>IF(B121="", "", "9606")</f>
        <v>0</v>
      </c>
      <c r="O121" s="1">
        <f>IF(B121="", "", "kg")</f>
        <v>0</v>
      </c>
    </row>
    <row r="122" spans="1:15">
      <c r="A122">
        <f>IF(COUNTBLANK(B122:Q122)&lt;&gt;COLUMNS(B122:Q122),121,"")</f>
        <v>0</v>
      </c>
      <c r="C122" s="1">
        <f>IF(B122="", "", "urban biome")</f>
        <v>0</v>
      </c>
      <c r="D122" s="1">
        <f>IF(B122="", "", "human-associated habitat")</f>
        <v>0</v>
      </c>
      <c r="G122" s="1">
        <f>IF(B122="", "", "years")</f>
        <v>0</v>
      </c>
      <c r="I122" s="1">
        <f>IF(B122="", "", "human")</f>
        <v>0</v>
      </c>
      <c r="K122" s="1">
        <f>IF(B122="", "", "cm")</f>
        <v>0</v>
      </c>
      <c r="L122" s="1">
        <f>IF(B122="", "", "Homo sapiens")</f>
        <v>0</v>
      </c>
      <c r="M122" s="1">
        <f>IF(B122="", "", "9606")</f>
        <v>0</v>
      </c>
      <c r="O122" s="1">
        <f>IF(B122="", "", "kg")</f>
        <v>0</v>
      </c>
    </row>
    <row r="123" spans="1:15">
      <c r="A123">
        <f>IF(COUNTBLANK(B123:Q123)&lt;&gt;COLUMNS(B123:Q123),122,"")</f>
        <v>0</v>
      </c>
      <c r="C123" s="1">
        <f>IF(B123="", "", "urban biome")</f>
        <v>0</v>
      </c>
      <c r="D123" s="1">
        <f>IF(B123="", "", "human-associated habitat")</f>
        <v>0</v>
      </c>
      <c r="G123" s="1">
        <f>IF(B123="", "", "years")</f>
        <v>0</v>
      </c>
      <c r="I123" s="1">
        <f>IF(B123="", "", "human")</f>
        <v>0</v>
      </c>
      <c r="K123" s="1">
        <f>IF(B123="", "", "cm")</f>
        <v>0</v>
      </c>
      <c r="L123" s="1">
        <f>IF(B123="", "", "Homo sapiens")</f>
        <v>0</v>
      </c>
      <c r="M123" s="1">
        <f>IF(B123="", "", "9606")</f>
        <v>0</v>
      </c>
      <c r="O123" s="1">
        <f>IF(B123="", "", "kg")</f>
        <v>0</v>
      </c>
    </row>
    <row r="124" spans="1:15">
      <c r="A124">
        <f>IF(COUNTBLANK(B124:Q124)&lt;&gt;COLUMNS(B124:Q124),123,"")</f>
        <v>0</v>
      </c>
      <c r="C124" s="1">
        <f>IF(B124="", "", "urban biome")</f>
        <v>0</v>
      </c>
      <c r="D124" s="1">
        <f>IF(B124="", "", "human-associated habitat")</f>
        <v>0</v>
      </c>
      <c r="G124" s="1">
        <f>IF(B124="", "", "years")</f>
        <v>0</v>
      </c>
      <c r="I124" s="1">
        <f>IF(B124="", "", "human")</f>
        <v>0</v>
      </c>
      <c r="K124" s="1">
        <f>IF(B124="", "", "cm")</f>
        <v>0</v>
      </c>
      <c r="L124" s="1">
        <f>IF(B124="", "", "Homo sapiens")</f>
        <v>0</v>
      </c>
      <c r="M124" s="1">
        <f>IF(B124="", "", "9606")</f>
        <v>0</v>
      </c>
      <c r="O124" s="1">
        <f>IF(B124="", "", "kg")</f>
        <v>0</v>
      </c>
    </row>
    <row r="125" spans="1:15">
      <c r="A125">
        <f>IF(COUNTBLANK(B125:Q125)&lt;&gt;COLUMNS(B125:Q125),124,"")</f>
        <v>0</v>
      </c>
      <c r="C125" s="1">
        <f>IF(B125="", "", "urban biome")</f>
        <v>0</v>
      </c>
      <c r="D125" s="1">
        <f>IF(B125="", "", "human-associated habitat")</f>
        <v>0</v>
      </c>
      <c r="G125" s="1">
        <f>IF(B125="", "", "years")</f>
        <v>0</v>
      </c>
      <c r="I125" s="1">
        <f>IF(B125="", "", "human")</f>
        <v>0</v>
      </c>
      <c r="K125" s="1">
        <f>IF(B125="", "", "cm")</f>
        <v>0</v>
      </c>
      <c r="L125" s="1">
        <f>IF(B125="", "", "Homo sapiens")</f>
        <v>0</v>
      </c>
      <c r="M125" s="1">
        <f>IF(B125="", "", "9606")</f>
        <v>0</v>
      </c>
      <c r="O125" s="1">
        <f>IF(B125="", "", "kg")</f>
        <v>0</v>
      </c>
    </row>
    <row r="126" spans="1:15">
      <c r="A126">
        <f>IF(COUNTBLANK(B126:Q126)&lt;&gt;COLUMNS(B126:Q126),125,"")</f>
        <v>0</v>
      </c>
      <c r="C126" s="1">
        <f>IF(B126="", "", "urban biome")</f>
        <v>0</v>
      </c>
      <c r="D126" s="1">
        <f>IF(B126="", "", "human-associated habitat")</f>
        <v>0</v>
      </c>
      <c r="G126" s="1">
        <f>IF(B126="", "", "years")</f>
        <v>0</v>
      </c>
      <c r="I126" s="1">
        <f>IF(B126="", "", "human")</f>
        <v>0</v>
      </c>
      <c r="K126" s="1">
        <f>IF(B126="", "", "cm")</f>
        <v>0</v>
      </c>
      <c r="L126" s="1">
        <f>IF(B126="", "", "Homo sapiens")</f>
        <v>0</v>
      </c>
      <c r="M126" s="1">
        <f>IF(B126="", "", "9606")</f>
        <v>0</v>
      </c>
      <c r="O126" s="1">
        <f>IF(B126="", "", "kg")</f>
        <v>0</v>
      </c>
    </row>
    <row r="127" spans="1:15">
      <c r="A127">
        <f>IF(COUNTBLANK(B127:Q127)&lt;&gt;COLUMNS(B127:Q127),126,"")</f>
        <v>0</v>
      </c>
      <c r="C127" s="1">
        <f>IF(B127="", "", "urban biome")</f>
        <v>0</v>
      </c>
      <c r="D127" s="1">
        <f>IF(B127="", "", "human-associated habitat")</f>
        <v>0</v>
      </c>
      <c r="G127" s="1">
        <f>IF(B127="", "", "years")</f>
        <v>0</v>
      </c>
      <c r="I127" s="1">
        <f>IF(B127="", "", "human")</f>
        <v>0</v>
      </c>
      <c r="K127" s="1">
        <f>IF(B127="", "", "cm")</f>
        <v>0</v>
      </c>
      <c r="L127" s="1">
        <f>IF(B127="", "", "Homo sapiens")</f>
        <v>0</v>
      </c>
      <c r="M127" s="1">
        <f>IF(B127="", "", "9606")</f>
        <v>0</v>
      </c>
      <c r="O127" s="1">
        <f>IF(B127="", "", "kg")</f>
        <v>0</v>
      </c>
    </row>
    <row r="128" spans="1:15">
      <c r="A128">
        <f>IF(COUNTBLANK(B128:Q128)&lt;&gt;COLUMNS(B128:Q128),127,"")</f>
        <v>0</v>
      </c>
      <c r="C128" s="1">
        <f>IF(B128="", "", "urban biome")</f>
        <v>0</v>
      </c>
      <c r="D128" s="1">
        <f>IF(B128="", "", "human-associated habitat")</f>
        <v>0</v>
      </c>
      <c r="G128" s="1">
        <f>IF(B128="", "", "years")</f>
        <v>0</v>
      </c>
      <c r="I128" s="1">
        <f>IF(B128="", "", "human")</f>
        <v>0</v>
      </c>
      <c r="K128" s="1">
        <f>IF(B128="", "", "cm")</f>
        <v>0</v>
      </c>
      <c r="L128" s="1">
        <f>IF(B128="", "", "Homo sapiens")</f>
        <v>0</v>
      </c>
      <c r="M128" s="1">
        <f>IF(B128="", "", "9606")</f>
        <v>0</v>
      </c>
      <c r="O128" s="1">
        <f>IF(B128="", "", "kg")</f>
        <v>0</v>
      </c>
    </row>
    <row r="129" spans="1:15">
      <c r="A129">
        <f>IF(COUNTBLANK(B129:Q129)&lt;&gt;COLUMNS(B129:Q129),128,"")</f>
        <v>0</v>
      </c>
      <c r="C129" s="1">
        <f>IF(B129="", "", "urban biome")</f>
        <v>0</v>
      </c>
      <c r="D129" s="1">
        <f>IF(B129="", "", "human-associated habitat")</f>
        <v>0</v>
      </c>
      <c r="G129" s="1">
        <f>IF(B129="", "", "years")</f>
        <v>0</v>
      </c>
      <c r="I129" s="1">
        <f>IF(B129="", "", "human")</f>
        <v>0</v>
      </c>
      <c r="K129" s="1">
        <f>IF(B129="", "", "cm")</f>
        <v>0</v>
      </c>
      <c r="L129" s="1">
        <f>IF(B129="", "", "Homo sapiens")</f>
        <v>0</v>
      </c>
      <c r="M129" s="1">
        <f>IF(B129="", "", "9606")</f>
        <v>0</v>
      </c>
      <c r="O129" s="1">
        <f>IF(B129="", "", "kg")</f>
        <v>0</v>
      </c>
    </row>
    <row r="130" spans="1:15">
      <c r="A130">
        <f>IF(COUNTBLANK(B130:Q130)&lt;&gt;COLUMNS(B130:Q130),129,"")</f>
        <v>0</v>
      </c>
      <c r="C130" s="1">
        <f>IF(B130="", "", "urban biome")</f>
        <v>0</v>
      </c>
      <c r="D130" s="1">
        <f>IF(B130="", "", "human-associated habitat")</f>
        <v>0</v>
      </c>
      <c r="G130" s="1">
        <f>IF(B130="", "", "years")</f>
        <v>0</v>
      </c>
      <c r="I130" s="1">
        <f>IF(B130="", "", "human")</f>
        <v>0</v>
      </c>
      <c r="K130" s="1">
        <f>IF(B130="", "", "cm")</f>
        <v>0</v>
      </c>
      <c r="L130" s="1">
        <f>IF(B130="", "", "Homo sapiens")</f>
        <v>0</v>
      </c>
      <c r="M130" s="1">
        <f>IF(B130="", "", "9606")</f>
        <v>0</v>
      </c>
      <c r="O130" s="1">
        <f>IF(B130="", "", "kg")</f>
        <v>0</v>
      </c>
    </row>
    <row r="131" spans="1:15">
      <c r="A131">
        <f>IF(COUNTBLANK(B131:Q131)&lt;&gt;COLUMNS(B131:Q131),130,"")</f>
        <v>0</v>
      </c>
      <c r="C131" s="1">
        <f>IF(B131="", "", "urban biome")</f>
        <v>0</v>
      </c>
      <c r="D131" s="1">
        <f>IF(B131="", "", "human-associated habitat")</f>
        <v>0</v>
      </c>
      <c r="G131" s="1">
        <f>IF(B131="", "", "years")</f>
        <v>0</v>
      </c>
      <c r="I131" s="1">
        <f>IF(B131="", "", "human")</f>
        <v>0</v>
      </c>
      <c r="K131" s="1">
        <f>IF(B131="", "", "cm")</f>
        <v>0</v>
      </c>
      <c r="L131" s="1">
        <f>IF(B131="", "", "Homo sapiens")</f>
        <v>0</v>
      </c>
      <c r="M131" s="1">
        <f>IF(B131="", "", "9606")</f>
        <v>0</v>
      </c>
      <c r="O131" s="1">
        <f>IF(B131="", "", "kg")</f>
        <v>0</v>
      </c>
    </row>
    <row r="132" spans="1:15">
      <c r="A132">
        <f>IF(COUNTBLANK(B132:Q132)&lt;&gt;COLUMNS(B132:Q132),131,"")</f>
        <v>0</v>
      </c>
      <c r="C132" s="1">
        <f>IF(B132="", "", "urban biome")</f>
        <v>0</v>
      </c>
      <c r="D132" s="1">
        <f>IF(B132="", "", "human-associated habitat")</f>
        <v>0</v>
      </c>
      <c r="G132" s="1">
        <f>IF(B132="", "", "years")</f>
        <v>0</v>
      </c>
      <c r="I132" s="1">
        <f>IF(B132="", "", "human")</f>
        <v>0</v>
      </c>
      <c r="K132" s="1">
        <f>IF(B132="", "", "cm")</f>
        <v>0</v>
      </c>
      <c r="L132" s="1">
        <f>IF(B132="", "", "Homo sapiens")</f>
        <v>0</v>
      </c>
      <c r="M132" s="1">
        <f>IF(B132="", "", "9606")</f>
        <v>0</v>
      </c>
      <c r="O132" s="1">
        <f>IF(B132="", "", "kg")</f>
        <v>0</v>
      </c>
    </row>
    <row r="133" spans="1:15">
      <c r="A133">
        <f>IF(COUNTBLANK(B133:Q133)&lt;&gt;COLUMNS(B133:Q133),132,"")</f>
        <v>0</v>
      </c>
      <c r="C133" s="1">
        <f>IF(B133="", "", "urban biome")</f>
        <v>0</v>
      </c>
      <c r="D133" s="1">
        <f>IF(B133="", "", "human-associated habitat")</f>
        <v>0</v>
      </c>
      <c r="G133" s="1">
        <f>IF(B133="", "", "years")</f>
        <v>0</v>
      </c>
      <c r="I133" s="1">
        <f>IF(B133="", "", "human")</f>
        <v>0</v>
      </c>
      <c r="K133" s="1">
        <f>IF(B133="", "", "cm")</f>
        <v>0</v>
      </c>
      <c r="L133" s="1">
        <f>IF(B133="", "", "Homo sapiens")</f>
        <v>0</v>
      </c>
      <c r="M133" s="1">
        <f>IF(B133="", "", "9606")</f>
        <v>0</v>
      </c>
      <c r="O133" s="1">
        <f>IF(B133="", "", "kg")</f>
        <v>0</v>
      </c>
    </row>
    <row r="134" spans="1:15">
      <c r="A134">
        <f>IF(COUNTBLANK(B134:Q134)&lt;&gt;COLUMNS(B134:Q134),133,"")</f>
        <v>0</v>
      </c>
      <c r="C134" s="1">
        <f>IF(B134="", "", "urban biome")</f>
        <v>0</v>
      </c>
      <c r="D134" s="1">
        <f>IF(B134="", "", "human-associated habitat")</f>
        <v>0</v>
      </c>
      <c r="G134" s="1">
        <f>IF(B134="", "", "years")</f>
        <v>0</v>
      </c>
      <c r="I134" s="1">
        <f>IF(B134="", "", "human")</f>
        <v>0</v>
      </c>
      <c r="K134" s="1">
        <f>IF(B134="", "", "cm")</f>
        <v>0</v>
      </c>
      <c r="L134" s="1">
        <f>IF(B134="", "", "Homo sapiens")</f>
        <v>0</v>
      </c>
      <c r="M134" s="1">
        <f>IF(B134="", "", "9606")</f>
        <v>0</v>
      </c>
      <c r="O134" s="1">
        <f>IF(B134="", "", "kg")</f>
        <v>0</v>
      </c>
    </row>
    <row r="135" spans="1:15">
      <c r="A135">
        <f>IF(COUNTBLANK(B135:Q135)&lt;&gt;COLUMNS(B135:Q135),134,"")</f>
        <v>0</v>
      </c>
      <c r="C135" s="1">
        <f>IF(B135="", "", "urban biome")</f>
        <v>0</v>
      </c>
      <c r="D135" s="1">
        <f>IF(B135="", "", "human-associated habitat")</f>
        <v>0</v>
      </c>
      <c r="G135" s="1">
        <f>IF(B135="", "", "years")</f>
        <v>0</v>
      </c>
      <c r="I135" s="1">
        <f>IF(B135="", "", "human")</f>
        <v>0</v>
      </c>
      <c r="K135" s="1">
        <f>IF(B135="", "", "cm")</f>
        <v>0</v>
      </c>
      <c r="L135" s="1">
        <f>IF(B135="", "", "Homo sapiens")</f>
        <v>0</v>
      </c>
      <c r="M135" s="1">
        <f>IF(B135="", "", "9606")</f>
        <v>0</v>
      </c>
      <c r="O135" s="1">
        <f>IF(B135="", "", "kg")</f>
        <v>0</v>
      </c>
    </row>
    <row r="136" spans="1:15">
      <c r="A136">
        <f>IF(COUNTBLANK(B136:Q136)&lt;&gt;COLUMNS(B136:Q136),135,"")</f>
        <v>0</v>
      </c>
      <c r="C136" s="1">
        <f>IF(B136="", "", "urban biome")</f>
        <v>0</v>
      </c>
      <c r="D136" s="1">
        <f>IF(B136="", "", "human-associated habitat")</f>
        <v>0</v>
      </c>
      <c r="G136" s="1">
        <f>IF(B136="", "", "years")</f>
        <v>0</v>
      </c>
      <c r="I136" s="1">
        <f>IF(B136="", "", "human")</f>
        <v>0</v>
      </c>
      <c r="K136" s="1">
        <f>IF(B136="", "", "cm")</f>
        <v>0</v>
      </c>
      <c r="L136" s="1">
        <f>IF(B136="", "", "Homo sapiens")</f>
        <v>0</v>
      </c>
      <c r="M136" s="1">
        <f>IF(B136="", "", "9606")</f>
        <v>0</v>
      </c>
      <c r="O136" s="1">
        <f>IF(B136="", "", "kg")</f>
        <v>0</v>
      </c>
    </row>
    <row r="137" spans="1:15">
      <c r="A137">
        <f>IF(COUNTBLANK(B137:Q137)&lt;&gt;COLUMNS(B137:Q137),136,"")</f>
        <v>0</v>
      </c>
      <c r="C137" s="1">
        <f>IF(B137="", "", "urban biome")</f>
        <v>0</v>
      </c>
      <c r="D137" s="1">
        <f>IF(B137="", "", "human-associated habitat")</f>
        <v>0</v>
      </c>
      <c r="G137" s="1">
        <f>IF(B137="", "", "years")</f>
        <v>0</v>
      </c>
      <c r="I137" s="1">
        <f>IF(B137="", "", "human")</f>
        <v>0</v>
      </c>
      <c r="K137" s="1">
        <f>IF(B137="", "", "cm")</f>
        <v>0</v>
      </c>
      <c r="L137" s="1">
        <f>IF(B137="", "", "Homo sapiens")</f>
        <v>0</v>
      </c>
      <c r="M137" s="1">
        <f>IF(B137="", "", "9606")</f>
        <v>0</v>
      </c>
      <c r="O137" s="1">
        <f>IF(B137="", "", "kg")</f>
        <v>0</v>
      </c>
    </row>
    <row r="138" spans="1:15">
      <c r="A138">
        <f>IF(COUNTBLANK(B138:Q138)&lt;&gt;COLUMNS(B138:Q138),137,"")</f>
        <v>0</v>
      </c>
      <c r="C138" s="1">
        <f>IF(B138="", "", "urban biome")</f>
        <v>0</v>
      </c>
      <c r="D138" s="1">
        <f>IF(B138="", "", "human-associated habitat")</f>
        <v>0</v>
      </c>
      <c r="G138" s="1">
        <f>IF(B138="", "", "years")</f>
        <v>0</v>
      </c>
      <c r="I138" s="1">
        <f>IF(B138="", "", "human")</f>
        <v>0</v>
      </c>
      <c r="K138" s="1">
        <f>IF(B138="", "", "cm")</f>
        <v>0</v>
      </c>
      <c r="L138" s="1">
        <f>IF(B138="", "", "Homo sapiens")</f>
        <v>0</v>
      </c>
      <c r="M138" s="1">
        <f>IF(B138="", "", "9606")</f>
        <v>0</v>
      </c>
      <c r="O138" s="1">
        <f>IF(B138="", "", "kg")</f>
        <v>0</v>
      </c>
    </row>
    <row r="139" spans="1:15">
      <c r="A139">
        <f>IF(COUNTBLANK(B139:Q139)&lt;&gt;COLUMNS(B139:Q139),138,"")</f>
        <v>0</v>
      </c>
      <c r="C139" s="1">
        <f>IF(B139="", "", "urban biome")</f>
        <v>0</v>
      </c>
      <c r="D139" s="1">
        <f>IF(B139="", "", "human-associated habitat")</f>
        <v>0</v>
      </c>
      <c r="G139" s="1">
        <f>IF(B139="", "", "years")</f>
        <v>0</v>
      </c>
      <c r="I139" s="1">
        <f>IF(B139="", "", "human")</f>
        <v>0</v>
      </c>
      <c r="K139" s="1">
        <f>IF(B139="", "", "cm")</f>
        <v>0</v>
      </c>
      <c r="L139" s="1">
        <f>IF(B139="", "", "Homo sapiens")</f>
        <v>0</v>
      </c>
      <c r="M139" s="1">
        <f>IF(B139="", "", "9606")</f>
        <v>0</v>
      </c>
      <c r="O139" s="1">
        <f>IF(B139="", "", "kg")</f>
        <v>0</v>
      </c>
    </row>
    <row r="140" spans="1:15">
      <c r="A140">
        <f>IF(COUNTBLANK(B140:Q140)&lt;&gt;COLUMNS(B140:Q140),139,"")</f>
        <v>0</v>
      </c>
      <c r="C140" s="1">
        <f>IF(B140="", "", "urban biome")</f>
        <v>0</v>
      </c>
      <c r="D140" s="1">
        <f>IF(B140="", "", "human-associated habitat")</f>
        <v>0</v>
      </c>
      <c r="G140" s="1">
        <f>IF(B140="", "", "years")</f>
        <v>0</v>
      </c>
      <c r="I140" s="1">
        <f>IF(B140="", "", "human")</f>
        <v>0</v>
      </c>
      <c r="K140" s="1">
        <f>IF(B140="", "", "cm")</f>
        <v>0</v>
      </c>
      <c r="L140" s="1">
        <f>IF(B140="", "", "Homo sapiens")</f>
        <v>0</v>
      </c>
      <c r="M140" s="1">
        <f>IF(B140="", "", "9606")</f>
        <v>0</v>
      </c>
      <c r="O140" s="1">
        <f>IF(B140="", "", "kg")</f>
        <v>0</v>
      </c>
    </row>
    <row r="141" spans="1:15">
      <c r="A141">
        <f>IF(COUNTBLANK(B141:Q141)&lt;&gt;COLUMNS(B141:Q141),140,"")</f>
        <v>0</v>
      </c>
      <c r="C141" s="1">
        <f>IF(B141="", "", "urban biome")</f>
        <v>0</v>
      </c>
      <c r="D141" s="1">
        <f>IF(B141="", "", "human-associated habitat")</f>
        <v>0</v>
      </c>
      <c r="G141" s="1">
        <f>IF(B141="", "", "years")</f>
        <v>0</v>
      </c>
      <c r="I141" s="1">
        <f>IF(B141="", "", "human")</f>
        <v>0</v>
      </c>
      <c r="K141" s="1">
        <f>IF(B141="", "", "cm")</f>
        <v>0</v>
      </c>
      <c r="L141" s="1">
        <f>IF(B141="", "", "Homo sapiens")</f>
        <v>0</v>
      </c>
      <c r="M141" s="1">
        <f>IF(B141="", "", "9606")</f>
        <v>0</v>
      </c>
      <c r="O141" s="1">
        <f>IF(B141="", "", "kg")</f>
        <v>0</v>
      </c>
    </row>
    <row r="142" spans="1:15">
      <c r="A142">
        <f>IF(COUNTBLANK(B142:Q142)&lt;&gt;COLUMNS(B142:Q142),141,"")</f>
        <v>0</v>
      </c>
      <c r="C142" s="1">
        <f>IF(B142="", "", "urban biome")</f>
        <v>0</v>
      </c>
      <c r="D142" s="1">
        <f>IF(B142="", "", "human-associated habitat")</f>
        <v>0</v>
      </c>
      <c r="G142" s="1">
        <f>IF(B142="", "", "years")</f>
        <v>0</v>
      </c>
      <c r="I142" s="1">
        <f>IF(B142="", "", "human")</f>
        <v>0</v>
      </c>
      <c r="K142" s="1">
        <f>IF(B142="", "", "cm")</f>
        <v>0</v>
      </c>
      <c r="L142" s="1">
        <f>IF(B142="", "", "Homo sapiens")</f>
        <v>0</v>
      </c>
      <c r="M142" s="1">
        <f>IF(B142="", "", "9606")</f>
        <v>0</v>
      </c>
      <c r="O142" s="1">
        <f>IF(B142="", "", "kg")</f>
        <v>0</v>
      </c>
    </row>
    <row r="143" spans="1:15">
      <c r="A143">
        <f>IF(COUNTBLANK(B143:Q143)&lt;&gt;COLUMNS(B143:Q143),142,"")</f>
        <v>0</v>
      </c>
      <c r="C143" s="1">
        <f>IF(B143="", "", "urban biome")</f>
        <v>0</v>
      </c>
      <c r="D143" s="1">
        <f>IF(B143="", "", "human-associated habitat")</f>
        <v>0</v>
      </c>
      <c r="G143" s="1">
        <f>IF(B143="", "", "years")</f>
        <v>0</v>
      </c>
      <c r="I143" s="1">
        <f>IF(B143="", "", "human")</f>
        <v>0</v>
      </c>
      <c r="K143" s="1">
        <f>IF(B143="", "", "cm")</f>
        <v>0</v>
      </c>
      <c r="L143" s="1">
        <f>IF(B143="", "", "Homo sapiens")</f>
        <v>0</v>
      </c>
      <c r="M143" s="1">
        <f>IF(B143="", "", "9606")</f>
        <v>0</v>
      </c>
      <c r="O143" s="1">
        <f>IF(B143="", "", "kg")</f>
        <v>0</v>
      </c>
    </row>
    <row r="144" spans="1:15">
      <c r="A144">
        <f>IF(COUNTBLANK(B144:Q144)&lt;&gt;COLUMNS(B144:Q144),143,"")</f>
        <v>0</v>
      </c>
      <c r="C144" s="1">
        <f>IF(B144="", "", "urban biome")</f>
        <v>0</v>
      </c>
      <c r="D144" s="1">
        <f>IF(B144="", "", "human-associated habitat")</f>
        <v>0</v>
      </c>
      <c r="G144" s="1">
        <f>IF(B144="", "", "years")</f>
        <v>0</v>
      </c>
      <c r="I144" s="1">
        <f>IF(B144="", "", "human")</f>
        <v>0</v>
      </c>
      <c r="K144" s="1">
        <f>IF(B144="", "", "cm")</f>
        <v>0</v>
      </c>
      <c r="L144" s="1">
        <f>IF(B144="", "", "Homo sapiens")</f>
        <v>0</v>
      </c>
      <c r="M144" s="1">
        <f>IF(B144="", "", "9606")</f>
        <v>0</v>
      </c>
      <c r="O144" s="1">
        <f>IF(B144="", "", "kg")</f>
        <v>0</v>
      </c>
    </row>
    <row r="145" spans="1:15">
      <c r="A145">
        <f>IF(COUNTBLANK(B145:Q145)&lt;&gt;COLUMNS(B145:Q145),144,"")</f>
        <v>0</v>
      </c>
      <c r="C145" s="1">
        <f>IF(B145="", "", "urban biome")</f>
        <v>0</v>
      </c>
      <c r="D145" s="1">
        <f>IF(B145="", "", "human-associated habitat")</f>
        <v>0</v>
      </c>
      <c r="G145" s="1">
        <f>IF(B145="", "", "years")</f>
        <v>0</v>
      </c>
      <c r="I145" s="1">
        <f>IF(B145="", "", "human")</f>
        <v>0</v>
      </c>
      <c r="K145" s="1">
        <f>IF(B145="", "", "cm")</f>
        <v>0</v>
      </c>
      <c r="L145" s="1">
        <f>IF(B145="", "", "Homo sapiens")</f>
        <v>0</v>
      </c>
      <c r="M145" s="1">
        <f>IF(B145="", "", "9606")</f>
        <v>0</v>
      </c>
      <c r="O145" s="1">
        <f>IF(B145="", "", "kg")</f>
        <v>0</v>
      </c>
    </row>
    <row r="146" spans="1:15">
      <c r="A146">
        <f>IF(COUNTBLANK(B146:Q146)&lt;&gt;COLUMNS(B146:Q146),145,"")</f>
        <v>0</v>
      </c>
      <c r="C146" s="1">
        <f>IF(B146="", "", "urban biome")</f>
        <v>0</v>
      </c>
      <c r="D146" s="1">
        <f>IF(B146="", "", "human-associated habitat")</f>
        <v>0</v>
      </c>
      <c r="G146" s="1">
        <f>IF(B146="", "", "years")</f>
        <v>0</v>
      </c>
      <c r="I146" s="1">
        <f>IF(B146="", "", "human")</f>
        <v>0</v>
      </c>
      <c r="K146" s="1">
        <f>IF(B146="", "", "cm")</f>
        <v>0</v>
      </c>
      <c r="L146" s="1">
        <f>IF(B146="", "", "Homo sapiens")</f>
        <v>0</v>
      </c>
      <c r="M146" s="1">
        <f>IF(B146="", "", "9606")</f>
        <v>0</v>
      </c>
      <c r="O146" s="1">
        <f>IF(B146="", "", "kg")</f>
        <v>0</v>
      </c>
    </row>
    <row r="147" spans="1:15">
      <c r="A147">
        <f>IF(COUNTBLANK(B147:Q147)&lt;&gt;COLUMNS(B147:Q147),146,"")</f>
        <v>0</v>
      </c>
      <c r="C147" s="1">
        <f>IF(B147="", "", "urban biome")</f>
        <v>0</v>
      </c>
      <c r="D147" s="1">
        <f>IF(B147="", "", "human-associated habitat")</f>
        <v>0</v>
      </c>
      <c r="G147" s="1">
        <f>IF(B147="", "", "years")</f>
        <v>0</v>
      </c>
      <c r="I147" s="1">
        <f>IF(B147="", "", "human")</f>
        <v>0</v>
      </c>
      <c r="K147" s="1">
        <f>IF(B147="", "", "cm")</f>
        <v>0</v>
      </c>
      <c r="L147" s="1">
        <f>IF(B147="", "", "Homo sapiens")</f>
        <v>0</v>
      </c>
      <c r="M147" s="1">
        <f>IF(B147="", "", "9606")</f>
        <v>0</v>
      </c>
      <c r="O147" s="1">
        <f>IF(B147="", "", "kg")</f>
        <v>0</v>
      </c>
    </row>
    <row r="148" spans="1:15">
      <c r="A148">
        <f>IF(COUNTBLANK(B148:Q148)&lt;&gt;COLUMNS(B148:Q148),147,"")</f>
        <v>0</v>
      </c>
      <c r="C148" s="1">
        <f>IF(B148="", "", "urban biome")</f>
        <v>0</v>
      </c>
      <c r="D148" s="1">
        <f>IF(B148="", "", "human-associated habitat")</f>
        <v>0</v>
      </c>
      <c r="G148" s="1">
        <f>IF(B148="", "", "years")</f>
        <v>0</v>
      </c>
      <c r="I148" s="1">
        <f>IF(B148="", "", "human")</f>
        <v>0</v>
      </c>
      <c r="K148" s="1">
        <f>IF(B148="", "", "cm")</f>
        <v>0</v>
      </c>
      <c r="L148" s="1">
        <f>IF(B148="", "", "Homo sapiens")</f>
        <v>0</v>
      </c>
      <c r="M148" s="1">
        <f>IF(B148="", "", "9606")</f>
        <v>0</v>
      </c>
      <c r="O148" s="1">
        <f>IF(B148="", "", "kg")</f>
        <v>0</v>
      </c>
    </row>
    <row r="149" spans="1:15">
      <c r="A149">
        <f>IF(COUNTBLANK(B149:Q149)&lt;&gt;COLUMNS(B149:Q149),148,"")</f>
        <v>0</v>
      </c>
      <c r="C149" s="1">
        <f>IF(B149="", "", "urban biome")</f>
        <v>0</v>
      </c>
      <c r="D149" s="1">
        <f>IF(B149="", "", "human-associated habitat")</f>
        <v>0</v>
      </c>
      <c r="G149" s="1">
        <f>IF(B149="", "", "years")</f>
        <v>0</v>
      </c>
      <c r="I149" s="1">
        <f>IF(B149="", "", "human")</f>
        <v>0</v>
      </c>
      <c r="K149" s="1">
        <f>IF(B149="", "", "cm")</f>
        <v>0</v>
      </c>
      <c r="L149" s="1">
        <f>IF(B149="", "", "Homo sapiens")</f>
        <v>0</v>
      </c>
      <c r="M149" s="1">
        <f>IF(B149="", "", "9606")</f>
        <v>0</v>
      </c>
      <c r="O149" s="1">
        <f>IF(B149="", "", "kg")</f>
        <v>0</v>
      </c>
    </row>
    <row r="150" spans="1:15">
      <c r="A150">
        <f>IF(COUNTBLANK(B150:Q150)&lt;&gt;COLUMNS(B150:Q150),149,"")</f>
        <v>0</v>
      </c>
      <c r="C150" s="1">
        <f>IF(B150="", "", "urban biome")</f>
        <v>0</v>
      </c>
      <c r="D150" s="1">
        <f>IF(B150="", "", "human-associated habitat")</f>
        <v>0</v>
      </c>
      <c r="G150" s="1">
        <f>IF(B150="", "", "years")</f>
        <v>0</v>
      </c>
      <c r="I150" s="1">
        <f>IF(B150="", "", "human")</f>
        <v>0</v>
      </c>
      <c r="K150" s="1">
        <f>IF(B150="", "", "cm")</f>
        <v>0</v>
      </c>
      <c r="L150" s="1">
        <f>IF(B150="", "", "Homo sapiens")</f>
        <v>0</v>
      </c>
      <c r="M150" s="1">
        <f>IF(B150="", "", "9606")</f>
        <v>0</v>
      </c>
      <c r="O150" s="1">
        <f>IF(B150="", "", "kg")</f>
        <v>0</v>
      </c>
    </row>
    <row r="151" spans="1:15">
      <c r="A151">
        <f>IF(COUNTBLANK(B151:Q151)&lt;&gt;COLUMNS(B151:Q151),150,"")</f>
        <v>0</v>
      </c>
      <c r="C151" s="1">
        <f>IF(B151="", "", "urban biome")</f>
        <v>0</v>
      </c>
      <c r="D151" s="1">
        <f>IF(B151="", "", "human-associated habitat")</f>
        <v>0</v>
      </c>
      <c r="G151" s="1">
        <f>IF(B151="", "", "years")</f>
        <v>0</v>
      </c>
      <c r="I151" s="1">
        <f>IF(B151="", "", "human")</f>
        <v>0</v>
      </c>
      <c r="K151" s="1">
        <f>IF(B151="", "", "cm")</f>
        <v>0</v>
      </c>
      <c r="L151" s="1">
        <f>IF(B151="", "", "Homo sapiens")</f>
        <v>0</v>
      </c>
      <c r="M151" s="1">
        <f>IF(B151="", "", "9606")</f>
        <v>0</v>
      </c>
      <c r="O151" s="1">
        <f>IF(B151="", "", "kg")</f>
        <v>0</v>
      </c>
    </row>
    <row r="152" spans="1:15">
      <c r="A152">
        <f>IF(COUNTBLANK(B152:Q152)&lt;&gt;COLUMNS(B152:Q152),151,"")</f>
        <v>0</v>
      </c>
      <c r="C152" s="1">
        <f>IF(B152="", "", "urban biome")</f>
        <v>0</v>
      </c>
      <c r="D152" s="1">
        <f>IF(B152="", "", "human-associated habitat")</f>
        <v>0</v>
      </c>
      <c r="G152" s="1">
        <f>IF(B152="", "", "years")</f>
        <v>0</v>
      </c>
      <c r="I152" s="1">
        <f>IF(B152="", "", "human")</f>
        <v>0</v>
      </c>
      <c r="K152" s="1">
        <f>IF(B152="", "", "cm")</f>
        <v>0</v>
      </c>
      <c r="L152" s="1">
        <f>IF(B152="", "", "Homo sapiens")</f>
        <v>0</v>
      </c>
      <c r="M152" s="1">
        <f>IF(B152="", "", "9606")</f>
        <v>0</v>
      </c>
      <c r="O152" s="1">
        <f>IF(B152="", "", "kg")</f>
        <v>0</v>
      </c>
    </row>
    <row r="153" spans="1:15">
      <c r="A153">
        <f>IF(COUNTBLANK(B153:Q153)&lt;&gt;COLUMNS(B153:Q153),152,"")</f>
        <v>0</v>
      </c>
      <c r="C153" s="1">
        <f>IF(B153="", "", "urban biome")</f>
        <v>0</v>
      </c>
      <c r="D153" s="1">
        <f>IF(B153="", "", "human-associated habitat")</f>
        <v>0</v>
      </c>
      <c r="G153" s="1">
        <f>IF(B153="", "", "years")</f>
        <v>0</v>
      </c>
      <c r="I153" s="1">
        <f>IF(B153="", "", "human")</f>
        <v>0</v>
      </c>
      <c r="K153" s="1">
        <f>IF(B153="", "", "cm")</f>
        <v>0</v>
      </c>
      <c r="L153" s="1">
        <f>IF(B153="", "", "Homo sapiens")</f>
        <v>0</v>
      </c>
      <c r="M153" s="1">
        <f>IF(B153="", "", "9606")</f>
        <v>0</v>
      </c>
      <c r="O153" s="1">
        <f>IF(B153="", "", "kg")</f>
        <v>0</v>
      </c>
    </row>
    <row r="154" spans="1:15">
      <c r="A154">
        <f>IF(COUNTBLANK(B154:Q154)&lt;&gt;COLUMNS(B154:Q154),153,"")</f>
        <v>0</v>
      </c>
      <c r="C154" s="1">
        <f>IF(B154="", "", "urban biome")</f>
        <v>0</v>
      </c>
      <c r="D154" s="1">
        <f>IF(B154="", "", "human-associated habitat")</f>
        <v>0</v>
      </c>
      <c r="G154" s="1">
        <f>IF(B154="", "", "years")</f>
        <v>0</v>
      </c>
      <c r="I154" s="1">
        <f>IF(B154="", "", "human")</f>
        <v>0</v>
      </c>
      <c r="K154" s="1">
        <f>IF(B154="", "", "cm")</f>
        <v>0</v>
      </c>
      <c r="L154" s="1">
        <f>IF(B154="", "", "Homo sapiens")</f>
        <v>0</v>
      </c>
      <c r="M154" s="1">
        <f>IF(B154="", "", "9606")</f>
        <v>0</v>
      </c>
      <c r="O154" s="1">
        <f>IF(B154="", "", "kg")</f>
        <v>0</v>
      </c>
    </row>
    <row r="155" spans="1:15">
      <c r="A155">
        <f>IF(COUNTBLANK(B155:Q155)&lt;&gt;COLUMNS(B155:Q155),154,"")</f>
        <v>0</v>
      </c>
      <c r="C155" s="1">
        <f>IF(B155="", "", "urban biome")</f>
        <v>0</v>
      </c>
      <c r="D155" s="1">
        <f>IF(B155="", "", "human-associated habitat")</f>
        <v>0</v>
      </c>
      <c r="G155" s="1">
        <f>IF(B155="", "", "years")</f>
        <v>0</v>
      </c>
      <c r="I155" s="1">
        <f>IF(B155="", "", "human")</f>
        <v>0</v>
      </c>
      <c r="K155" s="1">
        <f>IF(B155="", "", "cm")</f>
        <v>0</v>
      </c>
      <c r="L155" s="1">
        <f>IF(B155="", "", "Homo sapiens")</f>
        <v>0</v>
      </c>
      <c r="M155" s="1">
        <f>IF(B155="", "", "9606")</f>
        <v>0</v>
      </c>
      <c r="O155" s="1">
        <f>IF(B155="", "", "kg")</f>
        <v>0</v>
      </c>
    </row>
    <row r="156" spans="1:15">
      <c r="A156">
        <f>IF(COUNTBLANK(B156:Q156)&lt;&gt;COLUMNS(B156:Q156),155,"")</f>
        <v>0</v>
      </c>
      <c r="C156" s="1">
        <f>IF(B156="", "", "urban biome")</f>
        <v>0</v>
      </c>
      <c r="D156" s="1">
        <f>IF(B156="", "", "human-associated habitat")</f>
        <v>0</v>
      </c>
      <c r="G156" s="1">
        <f>IF(B156="", "", "years")</f>
        <v>0</v>
      </c>
      <c r="I156" s="1">
        <f>IF(B156="", "", "human")</f>
        <v>0</v>
      </c>
      <c r="K156" s="1">
        <f>IF(B156="", "", "cm")</f>
        <v>0</v>
      </c>
      <c r="L156" s="1">
        <f>IF(B156="", "", "Homo sapiens")</f>
        <v>0</v>
      </c>
      <c r="M156" s="1">
        <f>IF(B156="", "", "9606")</f>
        <v>0</v>
      </c>
      <c r="O156" s="1">
        <f>IF(B156="", "", "kg")</f>
        <v>0</v>
      </c>
    </row>
    <row r="157" spans="1:15">
      <c r="A157">
        <f>IF(COUNTBLANK(B157:Q157)&lt;&gt;COLUMNS(B157:Q157),156,"")</f>
        <v>0</v>
      </c>
      <c r="C157" s="1">
        <f>IF(B157="", "", "urban biome")</f>
        <v>0</v>
      </c>
      <c r="D157" s="1">
        <f>IF(B157="", "", "human-associated habitat")</f>
        <v>0</v>
      </c>
      <c r="G157" s="1">
        <f>IF(B157="", "", "years")</f>
        <v>0</v>
      </c>
      <c r="I157" s="1">
        <f>IF(B157="", "", "human")</f>
        <v>0</v>
      </c>
      <c r="K157" s="1">
        <f>IF(B157="", "", "cm")</f>
        <v>0</v>
      </c>
      <c r="L157" s="1">
        <f>IF(B157="", "", "Homo sapiens")</f>
        <v>0</v>
      </c>
      <c r="M157" s="1">
        <f>IF(B157="", "", "9606")</f>
        <v>0</v>
      </c>
      <c r="O157" s="1">
        <f>IF(B157="", "", "kg")</f>
        <v>0</v>
      </c>
    </row>
    <row r="158" spans="1:15">
      <c r="A158">
        <f>IF(COUNTBLANK(B158:Q158)&lt;&gt;COLUMNS(B158:Q158),157,"")</f>
        <v>0</v>
      </c>
      <c r="C158" s="1">
        <f>IF(B158="", "", "urban biome")</f>
        <v>0</v>
      </c>
      <c r="D158" s="1">
        <f>IF(B158="", "", "human-associated habitat")</f>
        <v>0</v>
      </c>
      <c r="G158" s="1">
        <f>IF(B158="", "", "years")</f>
        <v>0</v>
      </c>
      <c r="I158" s="1">
        <f>IF(B158="", "", "human")</f>
        <v>0</v>
      </c>
      <c r="K158" s="1">
        <f>IF(B158="", "", "cm")</f>
        <v>0</v>
      </c>
      <c r="L158" s="1">
        <f>IF(B158="", "", "Homo sapiens")</f>
        <v>0</v>
      </c>
      <c r="M158" s="1">
        <f>IF(B158="", "", "9606")</f>
        <v>0</v>
      </c>
      <c r="O158" s="1">
        <f>IF(B158="", "", "kg")</f>
        <v>0</v>
      </c>
    </row>
    <row r="159" spans="1:15">
      <c r="A159">
        <f>IF(COUNTBLANK(B159:Q159)&lt;&gt;COLUMNS(B159:Q159),158,"")</f>
        <v>0</v>
      </c>
      <c r="C159" s="1">
        <f>IF(B159="", "", "urban biome")</f>
        <v>0</v>
      </c>
      <c r="D159" s="1">
        <f>IF(B159="", "", "human-associated habitat")</f>
        <v>0</v>
      </c>
      <c r="G159" s="1">
        <f>IF(B159="", "", "years")</f>
        <v>0</v>
      </c>
      <c r="I159" s="1">
        <f>IF(B159="", "", "human")</f>
        <v>0</v>
      </c>
      <c r="K159" s="1">
        <f>IF(B159="", "", "cm")</f>
        <v>0</v>
      </c>
      <c r="L159" s="1">
        <f>IF(B159="", "", "Homo sapiens")</f>
        <v>0</v>
      </c>
      <c r="M159" s="1">
        <f>IF(B159="", "", "9606")</f>
        <v>0</v>
      </c>
      <c r="O159" s="1">
        <f>IF(B159="", "", "kg")</f>
        <v>0</v>
      </c>
    </row>
    <row r="160" spans="1:15">
      <c r="A160">
        <f>IF(COUNTBLANK(B160:Q160)&lt;&gt;COLUMNS(B160:Q160),159,"")</f>
        <v>0</v>
      </c>
      <c r="C160" s="1">
        <f>IF(B160="", "", "urban biome")</f>
        <v>0</v>
      </c>
      <c r="D160" s="1">
        <f>IF(B160="", "", "human-associated habitat")</f>
        <v>0</v>
      </c>
      <c r="G160" s="1">
        <f>IF(B160="", "", "years")</f>
        <v>0</v>
      </c>
      <c r="I160" s="1">
        <f>IF(B160="", "", "human")</f>
        <v>0</v>
      </c>
      <c r="K160" s="1">
        <f>IF(B160="", "", "cm")</f>
        <v>0</v>
      </c>
      <c r="L160" s="1">
        <f>IF(B160="", "", "Homo sapiens")</f>
        <v>0</v>
      </c>
      <c r="M160" s="1">
        <f>IF(B160="", "", "9606")</f>
        <v>0</v>
      </c>
      <c r="O160" s="1">
        <f>IF(B160="", "", "kg")</f>
        <v>0</v>
      </c>
    </row>
    <row r="161" spans="1:15">
      <c r="A161">
        <f>IF(COUNTBLANK(B161:Q161)&lt;&gt;COLUMNS(B161:Q161),160,"")</f>
        <v>0</v>
      </c>
      <c r="C161" s="1">
        <f>IF(B161="", "", "urban biome")</f>
        <v>0</v>
      </c>
      <c r="D161" s="1">
        <f>IF(B161="", "", "human-associated habitat")</f>
        <v>0</v>
      </c>
      <c r="G161" s="1">
        <f>IF(B161="", "", "years")</f>
        <v>0</v>
      </c>
      <c r="I161" s="1">
        <f>IF(B161="", "", "human")</f>
        <v>0</v>
      </c>
      <c r="K161" s="1">
        <f>IF(B161="", "", "cm")</f>
        <v>0</v>
      </c>
      <c r="L161" s="1">
        <f>IF(B161="", "", "Homo sapiens")</f>
        <v>0</v>
      </c>
      <c r="M161" s="1">
        <f>IF(B161="", "", "9606")</f>
        <v>0</v>
      </c>
      <c r="O161" s="1">
        <f>IF(B161="", "", "kg")</f>
        <v>0</v>
      </c>
    </row>
    <row r="162" spans="1:15">
      <c r="A162">
        <f>IF(COUNTBLANK(B162:Q162)&lt;&gt;COLUMNS(B162:Q162),161,"")</f>
        <v>0</v>
      </c>
      <c r="C162" s="1">
        <f>IF(B162="", "", "urban biome")</f>
        <v>0</v>
      </c>
      <c r="D162" s="1">
        <f>IF(B162="", "", "human-associated habitat")</f>
        <v>0</v>
      </c>
      <c r="G162" s="1">
        <f>IF(B162="", "", "years")</f>
        <v>0</v>
      </c>
      <c r="I162" s="1">
        <f>IF(B162="", "", "human")</f>
        <v>0</v>
      </c>
      <c r="K162" s="1">
        <f>IF(B162="", "", "cm")</f>
        <v>0</v>
      </c>
      <c r="L162" s="1">
        <f>IF(B162="", "", "Homo sapiens")</f>
        <v>0</v>
      </c>
      <c r="M162" s="1">
        <f>IF(B162="", "", "9606")</f>
        <v>0</v>
      </c>
      <c r="O162" s="1">
        <f>IF(B162="", "", "kg")</f>
        <v>0</v>
      </c>
    </row>
    <row r="163" spans="1:15">
      <c r="A163">
        <f>IF(COUNTBLANK(B163:Q163)&lt;&gt;COLUMNS(B163:Q163),162,"")</f>
        <v>0</v>
      </c>
      <c r="C163" s="1">
        <f>IF(B163="", "", "urban biome")</f>
        <v>0</v>
      </c>
      <c r="D163" s="1">
        <f>IF(B163="", "", "human-associated habitat")</f>
        <v>0</v>
      </c>
      <c r="G163" s="1">
        <f>IF(B163="", "", "years")</f>
        <v>0</v>
      </c>
      <c r="I163" s="1">
        <f>IF(B163="", "", "human")</f>
        <v>0</v>
      </c>
      <c r="K163" s="1">
        <f>IF(B163="", "", "cm")</f>
        <v>0</v>
      </c>
      <c r="L163" s="1">
        <f>IF(B163="", "", "Homo sapiens")</f>
        <v>0</v>
      </c>
      <c r="M163" s="1">
        <f>IF(B163="", "", "9606")</f>
        <v>0</v>
      </c>
      <c r="O163" s="1">
        <f>IF(B163="", "", "kg")</f>
        <v>0</v>
      </c>
    </row>
    <row r="164" spans="1:15">
      <c r="A164">
        <f>IF(COUNTBLANK(B164:Q164)&lt;&gt;COLUMNS(B164:Q164),163,"")</f>
        <v>0</v>
      </c>
      <c r="C164" s="1">
        <f>IF(B164="", "", "urban biome")</f>
        <v>0</v>
      </c>
      <c r="D164" s="1">
        <f>IF(B164="", "", "human-associated habitat")</f>
        <v>0</v>
      </c>
      <c r="G164" s="1">
        <f>IF(B164="", "", "years")</f>
        <v>0</v>
      </c>
      <c r="I164" s="1">
        <f>IF(B164="", "", "human")</f>
        <v>0</v>
      </c>
      <c r="K164" s="1">
        <f>IF(B164="", "", "cm")</f>
        <v>0</v>
      </c>
      <c r="L164" s="1">
        <f>IF(B164="", "", "Homo sapiens")</f>
        <v>0</v>
      </c>
      <c r="M164" s="1">
        <f>IF(B164="", "", "9606")</f>
        <v>0</v>
      </c>
      <c r="O164" s="1">
        <f>IF(B164="", "", "kg")</f>
        <v>0</v>
      </c>
    </row>
    <row r="165" spans="1:15">
      <c r="A165">
        <f>IF(COUNTBLANK(B165:Q165)&lt;&gt;COLUMNS(B165:Q165),164,"")</f>
        <v>0</v>
      </c>
      <c r="C165" s="1">
        <f>IF(B165="", "", "urban biome")</f>
        <v>0</v>
      </c>
      <c r="D165" s="1">
        <f>IF(B165="", "", "human-associated habitat")</f>
        <v>0</v>
      </c>
      <c r="G165" s="1">
        <f>IF(B165="", "", "years")</f>
        <v>0</v>
      </c>
      <c r="I165" s="1">
        <f>IF(B165="", "", "human")</f>
        <v>0</v>
      </c>
      <c r="K165" s="1">
        <f>IF(B165="", "", "cm")</f>
        <v>0</v>
      </c>
      <c r="L165" s="1">
        <f>IF(B165="", "", "Homo sapiens")</f>
        <v>0</v>
      </c>
      <c r="M165" s="1">
        <f>IF(B165="", "", "9606")</f>
        <v>0</v>
      </c>
      <c r="O165" s="1">
        <f>IF(B165="", "", "kg")</f>
        <v>0</v>
      </c>
    </row>
    <row r="166" spans="1:15">
      <c r="A166">
        <f>IF(COUNTBLANK(B166:Q166)&lt;&gt;COLUMNS(B166:Q166),165,"")</f>
        <v>0</v>
      </c>
      <c r="C166" s="1">
        <f>IF(B166="", "", "urban biome")</f>
        <v>0</v>
      </c>
      <c r="D166" s="1">
        <f>IF(B166="", "", "human-associated habitat")</f>
        <v>0</v>
      </c>
      <c r="G166" s="1">
        <f>IF(B166="", "", "years")</f>
        <v>0</v>
      </c>
      <c r="I166" s="1">
        <f>IF(B166="", "", "human")</f>
        <v>0</v>
      </c>
      <c r="K166" s="1">
        <f>IF(B166="", "", "cm")</f>
        <v>0</v>
      </c>
      <c r="L166" s="1">
        <f>IF(B166="", "", "Homo sapiens")</f>
        <v>0</v>
      </c>
      <c r="M166" s="1">
        <f>IF(B166="", "", "9606")</f>
        <v>0</v>
      </c>
      <c r="O166" s="1">
        <f>IF(B166="", "", "kg")</f>
        <v>0</v>
      </c>
    </row>
    <row r="167" spans="1:15">
      <c r="A167">
        <f>IF(COUNTBLANK(B167:Q167)&lt;&gt;COLUMNS(B167:Q167),166,"")</f>
        <v>0</v>
      </c>
      <c r="C167" s="1">
        <f>IF(B167="", "", "urban biome")</f>
        <v>0</v>
      </c>
      <c r="D167" s="1">
        <f>IF(B167="", "", "human-associated habitat")</f>
        <v>0</v>
      </c>
      <c r="G167" s="1">
        <f>IF(B167="", "", "years")</f>
        <v>0</v>
      </c>
      <c r="I167" s="1">
        <f>IF(B167="", "", "human")</f>
        <v>0</v>
      </c>
      <c r="K167" s="1">
        <f>IF(B167="", "", "cm")</f>
        <v>0</v>
      </c>
      <c r="L167" s="1">
        <f>IF(B167="", "", "Homo sapiens")</f>
        <v>0</v>
      </c>
      <c r="M167" s="1">
        <f>IF(B167="", "", "9606")</f>
        <v>0</v>
      </c>
      <c r="O167" s="1">
        <f>IF(B167="", "", "kg")</f>
        <v>0</v>
      </c>
    </row>
    <row r="168" spans="1:15">
      <c r="A168">
        <f>IF(COUNTBLANK(B168:Q168)&lt;&gt;COLUMNS(B168:Q168),167,"")</f>
        <v>0</v>
      </c>
      <c r="C168" s="1">
        <f>IF(B168="", "", "urban biome")</f>
        <v>0</v>
      </c>
      <c r="D168" s="1">
        <f>IF(B168="", "", "human-associated habitat")</f>
        <v>0</v>
      </c>
      <c r="G168" s="1">
        <f>IF(B168="", "", "years")</f>
        <v>0</v>
      </c>
      <c r="I168" s="1">
        <f>IF(B168="", "", "human")</f>
        <v>0</v>
      </c>
      <c r="K168" s="1">
        <f>IF(B168="", "", "cm")</f>
        <v>0</v>
      </c>
      <c r="L168" s="1">
        <f>IF(B168="", "", "Homo sapiens")</f>
        <v>0</v>
      </c>
      <c r="M168" s="1">
        <f>IF(B168="", "", "9606")</f>
        <v>0</v>
      </c>
      <c r="O168" s="1">
        <f>IF(B168="", "", "kg")</f>
        <v>0</v>
      </c>
    </row>
    <row r="169" spans="1:15">
      <c r="A169">
        <f>IF(COUNTBLANK(B169:Q169)&lt;&gt;COLUMNS(B169:Q169),168,"")</f>
        <v>0</v>
      </c>
      <c r="C169" s="1">
        <f>IF(B169="", "", "urban biome")</f>
        <v>0</v>
      </c>
      <c r="D169" s="1">
        <f>IF(B169="", "", "human-associated habitat")</f>
        <v>0</v>
      </c>
      <c r="G169" s="1">
        <f>IF(B169="", "", "years")</f>
        <v>0</v>
      </c>
      <c r="I169" s="1">
        <f>IF(B169="", "", "human")</f>
        <v>0</v>
      </c>
      <c r="K169" s="1">
        <f>IF(B169="", "", "cm")</f>
        <v>0</v>
      </c>
      <c r="L169" s="1">
        <f>IF(B169="", "", "Homo sapiens")</f>
        <v>0</v>
      </c>
      <c r="M169" s="1">
        <f>IF(B169="", "", "9606")</f>
        <v>0</v>
      </c>
      <c r="O169" s="1">
        <f>IF(B169="", "", "kg")</f>
        <v>0</v>
      </c>
    </row>
    <row r="170" spans="1:15">
      <c r="A170">
        <f>IF(COUNTBLANK(B170:Q170)&lt;&gt;COLUMNS(B170:Q170),169,"")</f>
        <v>0</v>
      </c>
      <c r="C170" s="1">
        <f>IF(B170="", "", "urban biome")</f>
        <v>0</v>
      </c>
      <c r="D170" s="1">
        <f>IF(B170="", "", "human-associated habitat")</f>
        <v>0</v>
      </c>
      <c r="G170" s="1">
        <f>IF(B170="", "", "years")</f>
        <v>0</v>
      </c>
      <c r="I170" s="1">
        <f>IF(B170="", "", "human")</f>
        <v>0</v>
      </c>
      <c r="K170" s="1">
        <f>IF(B170="", "", "cm")</f>
        <v>0</v>
      </c>
      <c r="L170" s="1">
        <f>IF(B170="", "", "Homo sapiens")</f>
        <v>0</v>
      </c>
      <c r="M170" s="1">
        <f>IF(B170="", "", "9606")</f>
        <v>0</v>
      </c>
      <c r="O170" s="1">
        <f>IF(B170="", "", "kg")</f>
        <v>0</v>
      </c>
    </row>
    <row r="171" spans="1:15">
      <c r="A171">
        <f>IF(COUNTBLANK(B171:Q171)&lt;&gt;COLUMNS(B171:Q171),170,"")</f>
        <v>0</v>
      </c>
      <c r="C171" s="1">
        <f>IF(B171="", "", "urban biome")</f>
        <v>0</v>
      </c>
      <c r="D171" s="1">
        <f>IF(B171="", "", "human-associated habitat")</f>
        <v>0</v>
      </c>
      <c r="G171" s="1">
        <f>IF(B171="", "", "years")</f>
        <v>0</v>
      </c>
      <c r="I171" s="1">
        <f>IF(B171="", "", "human")</f>
        <v>0</v>
      </c>
      <c r="K171" s="1">
        <f>IF(B171="", "", "cm")</f>
        <v>0</v>
      </c>
      <c r="L171" s="1">
        <f>IF(B171="", "", "Homo sapiens")</f>
        <v>0</v>
      </c>
      <c r="M171" s="1">
        <f>IF(B171="", "", "9606")</f>
        <v>0</v>
      </c>
      <c r="O171" s="1">
        <f>IF(B171="", "", "kg")</f>
        <v>0</v>
      </c>
    </row>
    <row r="172" spans="1:15">
      <c r="A172">
        <f>IF(COUNTBLANK(B172:Q172)&lt;&gt;COLUMNS(B172:Q172),171,"")</f>
        <v>0</v>
      </c>
      <c r="C172" s="1">
        <f>IF(B172="", "", "urban biome")</f>
        <v>0</v>
      </c>
      <c r="D172" s="1">
        <f>IF(B172="", "", "human-associated habitat")</f>
        <v>0</v>
      </c>
      <c r="G172" s="1">
        <f>IF(B172="", "", "years")</f>
        <v>0</v>
      </c>
      <c r="I172" s="1">
        <f>IF(B172="", "", "human")</f>
        <v>0</v>
      </c>
      <c r="K172" s="1">
        <f>IF(B172="", "", "cm")</f>
        <v>0</v>
      </c>
      <c r="L172" s="1">
        <f>IF(B172="", "", "Homo sapiens")</f>
        <v>0</v>
      </c>
      <c r="M172" s="1">
        <f>IF(B172="", "", "9606")</f>
        <v>0</v>
      </c>
      <c r="O172" s="1">
        <f>IF(B172="", "", "kg")</f>
        <v>0</v>
      </c>
    </row>
    <row r="173" spans="1:15">
      <c r="A173">
        <f>IF(COUNTBLANK(B173:Q173)&lt;&gt;COLUMNS(B173:Q173),172,"")</f>
        <v>0</v>
      </c>
      <c r="C173" s="1">
        <f>IF(B173="", "", "urban biome")</f>
        <v>0</v>
      </c>
      <c r="D173" s="1">
        <f>IF(B173="", "", "human-associated habitat")</f>
        <v>0</v>
      </c>
      <c r="G173" s="1">
        <f>IF(B173="", "", "years")</f>
        <v>0</v>
      </c>
      <c r="I173" s="1">
        <f>IF(B173="", "", "human")</f>
        <v>0</v>
      </c>
      <c r="K173" s="1">
        <f>IF(B173="", "", "cm")</f>
        <v>0</v>
      </c>
      <c r="L173" s="1">
        <f>IF(B173="", "", "Homo sapiens")</f>
        <v>0</v>
      </c>
      <c r="M173" s="1">
        <f>IF(B173="", "", "9606")</f>
        <v>0</v>
      </c>
      <c r="O173" s="1">
        <f>IF(B173="", "", "kg")</f>
        <v>0</v>
      </c>
    </row>
    <row r="174" spans="1:15">
      <c r="A174">
        <f>IF(COUNTBLANK(B174:Q174)&lt;&gt;COLUMNS(B174:Q174),173,"")</f>
        <v>0</v>
      </c>
      <c r="C174" s="1">
        <f>IF(B174="", "", "urban biome")</f>
        <v>0</v>
      </c>
      <c r="D174" s="1">
        <f>IF(B174="", "", "human-associated habitat")</f>
        <v>0</v>
      </c>
      <c r="G174" s="1">
        <f>IF(B174="", "", "years")</f>
        <v>0</v>
      </c>
      <c r="I174" s="1">
        <f>IF(B174="", "", "human")</f>
        <v>0</v>
      </c>
      <c r="K174" s="1">
        <f>IF(B174="", "", "cm")</f>
        <v>0</v>
      </c>
      <c r="L174" s="1">
        <f>IF(B174="", "", "Homo sapiens")</f>
        <v>0</v>
      </c>
      <c r="M174" s="1">
        <f>IF(B174="", "", "9606")</f>
        <v>0</v>
      </c>
      <c r="O174" s="1">
        <f>IF(B174="", "", "kg")</f>
        <v>0</v>
      </c>
    </row>
    <row r="175" spans="1:15">
      <c r="A175">
        <f>IF(COUNTBLANK(B175:Q175)&lt;&gt;COLUMNS(B175:Q175),174,"")</f>
        <v>0</v>
      </c>
      <c r="C175" s="1">
        <f>IF(B175="", "", "urban biome")</f>
        <v>0</v>
      </c>
      <c r="D175" s="1">
        <f>IF(B175="", "", "human-associated habitat")</f>
        <v>0</v>
      </c>
      <c r="G175" s="1">
        <f>IF(B175="", "", "years")</f>
        <v>0</v>
      </c>
      <c r="I175" s="1">
        <f>IF(B175="", "", "human")</f>
        <v>0</v>
      </c>
      <c r="K175" s="1">
        <f>IF(B175="", "", "cm")</f>
        <v>0</v>
      </c>
      <c r="L175" s="1">
        <f>IF(B175="", "", "Homo sapiens")</f>
        <v>0</v>
      </c>
      <c r="M175" s="1">
        <f>IF(B175="", "", "9606")</f>
        <v>0</v>
      </c>
      <c r="O175" s="1">
        <f>IF(B175="", "", "kg")</f>
        <v>0</v>
      </c>
    </row>
    <row r="176" spans="1:15">
      <c r="A176">
        <f>IF(COUNTBLANK(B176:Q176)&lt;&gt;COLUMNS(B176:Q176),175,"")</f>
        <v>0</v>
      </c>
      <c r="C176" s="1">
        <f>IF(B176="", "", "urban biome")</f>
        <v>0</v>
      </c>
      <c r="D176" s="1">
        <f>IF(B176="", "", "human-associated habitat")</f>
        <v>0</v>
      </c>
      <c r="G176" s="1">
        <f>IF(B176="", "", "years")</f>
        <v>0</v>
      </c>
      <c r="I176" s="1">
        <f>IF(B176="", "", "human")</f>
        <v>0</v>
      </c>
      <c r="K176" s="1">
        <f>IF(B176="", "", "cm")</f>
        <v>0</v>
      </c>
      <c r="L176" s="1">
        <f>IF(B176="", "", "Homo sapiens")</f>
        <v>0</v>
      </c>
      <c r="M176" s="1">
        <f>IF(B176="", "", "9606")</f>
        <v>0</v>
      </c>
      <c r="O176" s="1">
        <f>IF(B176="", "", "kg")</f>
        <v>0</v>
      </c>
    </row>
    <row r="177" spans="1:15">
      <c r="A177">
        <f>IF(COUNTBLANK(B177:Q177)&lt;&gt;COLUMNS(B177:Q177),176,"")</f>
        <v>0</v>
      </c>
      <c r="C177" s="1">
        <f>IF(B177="", "", "urban biome")</f>
        <v>0</v>
      </c>
      <c r="D177" s="1">
        <f>IF(B177="", "", "human-associated habitat")</f>
        <v>0</v>
      </c>
      <c r="G177" s="1">
        <f>IF(B177="", "", "years")</f>
        <v>0</v>
      </c>
      <c r="I177" s="1">
        <f>IF(B177="", "", "human")</f>
        <v>0</v>
      </c>
      <c r="K177" s="1">
        <f>IF(B177="", "", "cm")</f>
        <v>0</v>
      </c>
      <c r="L177" s="1">
        <f>IF(B177="", "", "Homo sapiens")</f>
        <v>0</v>
      </c>
      <c r="M177" s="1">
        <f>IF(B177="", "", "9606")</f>
        <v>0</v>
      </c>
      <c r="O177" s="1">
        <f>IF(B177="", "", "kg")</f>
        <v>0</v>
      </c>
    </row>
    <row r="178" spans="1:15">
      <c r="A178">
        <f>IF(COUNTBLANK(B178:Q178)&lt;&gt;COLUMNS(B178:Q178),177,"")</f>
        <v>0</v>
      </c>
      <c r="C178" s="1">
        <f>IF(B178="", "", "urban biome")</f>
        <v>0</v>
      </c>
      <c r="D178" s="1">
        <f>IF(B178="", "", "human-associated habitat")</f>
        <v>0</v>
      </c>
      <c r="G178" s="1">
        <f>IF(B178="", "", "years")</f>
        <v>0</v>
      </c>
      <c r="I178" s="1">
        <f>IF(B178="", "", "human")</f>
        <v>0</v>
      </c>
      <c r="K178" s="1">
        <f>IF(B178="", "", "cm")</f>
        <v>0</v>
      </c>
      <c r="L178" s="1">
        <f>IF(B178="", "", "Homo sapiens")</f>
        <v>0</v>
      </c>
      <c r="M178" s="1">
        <f>IF(B178="", "", "9606")</f>
        <v>0</v>
      </c>
      <c r="O178" s="1">
        <f>IF(B178="", "", "kg")</f>
        <v>0</v>
      </c>
    </row>
    <row r="179" spans="1:15">
      <c r="A179">
        <f>IF(COUNTBLANK(B179:Q179)&lt;&gt;COLUMNS(B179:Q179),178,"")</f>
        <v>0</v>
      </c>
      <c r="C179" s="1">
        <f>IF(B179="", "", "urban biome")</f>
        <v>0</v>
      </c>
      <c r="D179" s="1">
        <f>IF(B179="", "", "human-associated habitat")</f>
        <v>0</v>
      </c>
      <c r="G179" s="1">
        <f>IF(B179="", "", "years")</f>
        <v>0</v>
      </c>
      <c r="I179" s="1">
        <f>IF(B179="", "", "human")</f>
        <v>0</v>
      </c>
      <c r="K179" s="1">
        <f>IF(B179="", "", "cm")</f>
        <v>0</v>
      </c>
      <c r="L179" s="1">
        <f>IF(B179="", "", "Homo sapiens")</f>
        <v>0</v>
      </c>
      <c r="M179" s="1">
        <f>IF(B179="", "", "9606")</f>
        <v>0</v>
      </c>
      <c r="O179" s="1">
        <f>IF(B179="", "", "kg")</f>
        <v>0</v>
      </c>
    </row>
    <row r="180" spans="1:15">
      <c r="A180">
        <f>IF(COUNTBLANK(B180:Q180)&lt;&gt;COLUMNS(B180:Q180),179,"")</f>
        <v>0</v>
      </c>
      <c r="C180" s="1">
        <f>IF(B180="", "", "urban biome")</f>
        <v>0</v>
      </c>
      <c r="D180" s="1">
        <f>IF(B180="", "", "human-associated habitat")</f>
        <v>0</v>
      </c>
      <c r="G180" s="1">
        <f>IF(B180="", "", "years")</f>
        <v>0</v>
      </c>
      <c r="I180" s="1">
        <f>IF(B180="", "", "human")</f>
        <v>0</v>
      </c>
      <c r="K180" s="1">
        <f>IF(B180="", "", "cm")</f>
        <v>0</v>
      </c>
      <c r="L180" s="1">
        <f>IF(B180="", "", "Homo sapiens")</f>
        <v>0</v>
      </c>
      <c r="M180" s="1">
        <f>IF(B180="", "", "9606")</f>
        <v>0</v>
      </c>
      <c r="O180" s="1">
        <f>IF(B180="", "", "kg")</f>
        <v>0</v>
      </c>
    </row>
    <row r="181" spans="1:15">
      <c r="A181">
        <f>IF(COUNTBLANK(B181:Q181)&lt;&gt;COLUMNS(B181:Q181),180,"")</f>
        <v>0</v>
      </c>
      <c r="C181" s="1">
        <f>IF(B181="", "", "urban biome")</f>
        <v>0</v>
      </c>
      <c r="D181" s="1">
        <f>IF(B181="", "", "human-associated habitat")</f>
        <v>0</v>
      </c>
      <c r="G181" s="1">
        <f>IF(B181="", "", "years")</f>
        <v>0</v>
      </c>
      <c r="I181" s="1">
        <f>IF(B181="", "", "human")</f>
        <v>0</v>
      </c>
      <c r="K181" s="1">
        <f>IF(B181="", "", "cm")</f>
        <v>0</v>
      </c>
      <c r="L181" s="1">
        <f>IF(B181="", "", "Homo sapiens")</f>
        <v>0</v>
      </c>
      <c r="M181" s="1">
        <f>IF(B181="", "", "9606")</f>
        <v>0</v>
      </c>
      <c r="O181" s="1">
        <f>IF(B181="", "", "kg")</f>
        <v>0</v>
      </c>
    </row>
    <row r="182" spans="1:15">
      <c r="A182">
        <f>IF(COUNTBLANK(B182:Q182)&lt;&gt;COLUMNS(B182:Q182),181,"")</f>
        <v>0</v>
      </c>
      <c r="C182" s="1">
        <f>IF(B182="", "", "urban biome")</f>
        <v>0</v>
      </c>
      <c r="D182" s="1">
        <f>IF(B182="", "", "human-associated habitat")</f>
        <v>0</v>
      </c>
      <c r="G182" s="1">
        <f>IF(B182="", "", "years")</f>
        <v>0</v>
      </c>
      <c r="I182" s="1">
        <f>IF(B182="", "", "human")</f>
        <v>0</v>
      </c>
      <c r="K182" s="1">
        <f>IF(B182="", "", "cm")</f>
        <v>0</v>
      </c>
      <c r="L182" s="1">
        <f>IF(B182="", "", "Homo sapiens")</f>
        <v>0</v>
      </c>
      <c r="M182" s="1">
        <f>IF(B182="", "", "9606")</f>
        <v>0</v>
      </c>
      <c r="O182" s="1">
        <f>IF(B182="", "", "kg")</f>
        <v>0</v>
      </c>
    </row>
    <row r="183" spans="1:15">
      <c r="A183">
        <f>IF(COUNTBLANK(B183:Q183)&lt;&gt;COLUMNS(B183:Q183),182,"")</f>
        <v>0</v>
      </c>
      <c r="C183" s="1">
        <f>IF(B183="", "", "urban biome")</f>
        <v>0</v>
      </c>
      <c r="D183" s="1">
        <f>IF(B183="", "", "human-associated habitat")</f>
        <v>0</v>
      </c>
      <c r="G183" s="1">
        <f>IF(B183="", "", "years")</f>
        <v>0</v>
      </c>
      <c r="I183" s="1">
        <f>IF(B183="", "", "human")</f>
        <v>0</v>
      </c>
      <c r="K183" s="1">
        <f>IF(B183="", "", "cm")</f>
        <v>0</v>
      </c>
      <c r="L183" s="1">
        <f>IF(B183="", "", "Homo sapiens")</f>
        <v>0</v>
      </c>
      <c r="M183" s="1">
        <f>IF(B183="", "", "9606")</f>
        <v>0</v>
      </c>
      <c r="O183" s="1">
        <f>IF(B183="", "", "kg")</f>
        <v>0</v>
      </c>
    </row>
    <row r="184" spans="1:15">
      <c r="A184">
        <f>IF(COUNTBLANK(B184:Q184)&lt;&gt;COLUMNS(B184:Q184),183,"")</f>
        <v>0</v>
      </c>
      <c r="C184" s="1">
        <f>IF(B184="", "", "urban biome")</f>
        <v>0</v>
      </c>
      <c r="D184" s="1">
        <f>IF(B184="", "", "human-associated habitat")</f>
        <v>0</v>
      </c>
      <c r="G184" s="1">
        <f>IF(B184="", "", "years")</f>
        <v>0</v>
      </c>
      <c r="I184" s="1">
        <f>IF(B184="", "", "human")</f>
        <v>0</v>
      </c>
      <c r="K184" s="1">
        <f>IF(B184="", "", "cm")</f>
        <v>0</v>
      </c>
      <c r="L184" s="1">
        <f>IF(B184="", "", "Homo sapiens")</f>
        <v>0</v>
      </c>
      <c r="M184" s="1">
        <f>IF(B184="", "", "9606")</f>
        <v>0</v>
      </c>
      <c r="O184" s="1">
        <f>IF(B184="", "", "kg")</f>
        <v>0</v>
      </c>
    </row>
    <row r="185" spans="1:15">
      <c r="A185">
        <f>IF(COUNTBLANK(B185:Q185)&lt;&gt;COLUMNS(B185:Q185),184,"")</f>
        <v>0</v>
      </c>
      <c r="C185" s="1">
        <f>IF(B185="", "", "urban biome")</f>
        <v>0</v>
      </c>
      <c r="D185" s="1">
        <f>IF(B185="", "", "human-associated habitat")</f>
        <v>0</v>
      </c>
      <c r="G185" s="1">
        <f>IF(B185="", "", "years")</f>
        <v>0</v>
      </c>
      <c r="I185" s="1">
        <f>IF(B185="", "", "human")</f>
        <v>0</v>
      </c>
      <c r="K185" s="1">
        <f>IF(B185="", "", "cm")</f>
        <v>0</v>
      </c>
      <c r="L185" s="1">
        <f>IF(B185="", "", "Homo sapiens")</f>
        <v>0</v>
      </c>
      <c r="M185" s="1">
        <f>IF(B185="", "", "9606")</f>
        <v>0</v>
      </c>
      <c r="O185" s="1">
        <f>IF(B185="", "", "kg")</f>
        <v>0</v>
      </c>
    </row>
    <row r="186" spans="1:15">
      <c r="A186">
        <f>IF(COUNTBLANK(B186:Q186)&lt;&gt;COLUMNS(B186:Q186),185,"")</f>
        <v>0</v>
      </c>
      <c r="C186" s="1">
        <f>IF(B186="", "", "urban biome")</f>
        <v>0</v>
      </c>
      <c r="D186" s="1">
        <f>IF(B186="", "", "human-associated habitat")</f>
        <v>0</v>
      </c>
      <c r="G186" s="1">
        <f>IF(B186="", "", "years")</f>
        <v>0</v>
      </c>
      <c r="I186" s="1">
        <f>IF(B186="", "", "human")</f>
        <v>0</v>
      </c>
      <c r="K186" s="1">
        <f>IF(B186="", "", "cm")</f>
        <v>0</v>
      </c>
      <c r="L186" s="1">
        <f>IF(B186="", "", "Homo sapiens")</f>
        <v>0</v>
      </c>
      <c r="M186" s="1">
        <f>IF(B186="", "", "9606")</f>
        <v>0</v>
      </c>
      <c r="O186" s="1">
        <f>IF(B186="", "", "kg")</f>
        <v>0</v>
      </c>
    </row>
    <row r="187" spans="1:15">
      <c r="A187">
        <f>IF(COUNTBLANK(B187:Q187)&lt;&gt;COLUMNS(B187:Q187),186,"")</f>
        <v>0</v>
      </c>
      <c r="C187" s="1">
        <f>IF(B187="", "", "urban biome")</f>
        <v>0</v>
      </c>
      <c r="D187" s="1">
        <f>IF(B187="", "", "human-associated habitat")</f>
        <v>0</v>
      </c>
      <c r="G187" s="1">
        <f>IF(B187="", "", "years")</f>
        <v>0</v>
      </c>
      <c r="I187" s="1">
        <f>IF(B187="", "", "human")</f>
        <v>0</v>
      </c>
      <c r="K187" s="1">
        <f>IF(B187="", "", "cm")</f>
        <v>0</v>
      </c>
      <c r="L187" s="1">
        <f>IF(B187="", "", "Homo sapiens")</f>
        <v>0</v>
      </c>
      <c r="M187" s="1">
        <f>IF(B187="", "", "9606")</f>
        <v>0</v>
      </c>
      <c r="O187" s="1">
        <f>IF(B187="", "", "kg")</f>
        <v>0</v>
      </c>
    </row>
    <row r="188" spans="1:15">
      <c r="A188">
        <f>IF(COUNTBLANK(B188:Q188)&lt;&gt;COLUMNS(B188:Q188),187,"")</f>
        <v>0</v>
      </c>
      <c r="C188" s="1">
        <f>IF(B188="", "", "urban biome")</f>
        <v>0</v>
      </c>
      <c r="D188" s="1">
        <f>IF(B188="", "", "human-associated habitat")</f>
        <v>0</v>
      </c>
      <c r="G188" s="1">
        <f>IF(B188="", "", "years")</f>
        <v>0</v>
      </c>
      <c r="I188" s="1">
        <f>IF(B188="", "", "human")</f>
        <v>0</v>
      </c>
      <c r="K188" s="1">
        <f>IF(B188="", "", "cm")</f>
        <v>0</v>
      </c>
      <c r="L188" s="1">
        <f>IF(B188="", "", "Homo sapiens")</f>
        <v>0</v>
      </c>
      <c r="M188" s="1">
        <f>IF(B188="", "", "9606")</f>
        <v>0</v>
      </c>
      <c r="O188" s="1">
        <f>IF(B188="", "", "kg")</f>
        <v>0</v>
      </c>
    </row>
    <row r="189" spans="1:15">
      <c r="A189">
        <f>IF(COUNTBLANK(B189:Q189)&lt;&gt;COLUMNS(B189:Q189),188,"")</f>
        <v>0</v>
      </c>
      <c r="C189" s="1">
        <f>IF(B189="", "", "urban biome")</f>
        <v>0</v>
      </c>
      <c r="D189" s="1">
        <f>IF(B189="", "", "human-associated habitat")</f>
        <v>0</v>
      </c>
      <c r="G189" s="1">
        <f>IF(B189="", "", "years")</f>
        <v>0</v>
      </c>
      <c r="I189" s="1">
        <f>IF(B189="", "", "human")</f>
        <v>0</v>
      </c>
      <c r="K189" s="1">
        <f>IF(B189="", "", "cm")</f>
        <v>0</v>
      </c>
      <c r="L189" s="1">
        <f>IF(B189="", "", "Homo sapiens")</f>
        <v>0</v>
      </c>
      <c r="M189" s="1">
        <f>IF(B189="", "", "9606")</f>
        <v>0</v>
      </c>
      <c r="O189" s="1">
        <f>IF(B189="", "", "kg")</f>
        <v>0</v>
      </c>
    </row>
    <row r="190" spans="1:15">
      <c r="A190">
        <f>IF(COUNTBLANK(B190:Q190)&lt;&gt;COLUMNS(B190:Q190),189,"")</f>
        <v>0</v>
      </c>
      <c r="C190" s="1">
        <f>IF(B190="", "", "urban biome")</f>
        <v>0</v>
      </c>
      <c r="D190" s="1">
        <f>IF(B190="", "", "human-associated habitat")</f>
        <v>0</v>
      </c>
      <c r="G190" s="1">
        <f>IF(B190="", "", "years")</f>
        <v>0</v>
      </c>
      <c r="I190" s="1">
        <f>IF(B190="", "", "human")</f>
        <v>0</v>
      </c>
      <c r="K190" s="1">
        <f>IF(B190="", "", "cm")</f>
        <v>0</v>
      </c>
      <c r="L190" s="1">
        <f>IF(B190="", "", "Homo sapiens")</f>
        <v>0</v>
      </c>
      <c r="M190" s="1">
        <f>IF(B190="", "", "9606")</f>
        <v>0</v>
      </c>
      <c r="O190" s="1">
        <f>IF(B190="", "", "kg")</f>
        <v>0</v>
      </c>
    </row>
    <row r="191" spans="1:15">
      <c r="A191">
        <f>IF(COUNTBLANK(B191:Q191)&lt;&gt;COLUMNS(B191:Q191),190,"")</f>
        <v>0</v>
      </c>
      <c r="C191" s="1">
        <f>IF(B191="", "", "urban biome")</f>
        <v>0</v>
      </c>
      <c r="D191" s="1">
        <f>IF(B191="", "", "human-associated habitat")</f>
        <v>0</v>
      </c>
      <c r="G191" s="1">
        <f>IF(B191="", "", "years")</f>
        <v>0</v>
      </c>
      <c r="I191" s="1">
        <f>IF(B191="", "", "human")</f>
        <v>0</v>
      </c>
      <c r="K191" s="1">
        <f>IF(B191="", "", "cm")</f>
        <v>0</v>
      </c>
      <c r="L191" s="1">
        <f>IF(B191="", "", "Homo sapiens")</f>
        <v>0</v>
      </c>
      <c r="M191" s="1">
        <f>IF(B191="", "", "9606")</f>
        <v>0</v>
      </c>
      <c r="O191" s="1">
        <f>IF(B191="", "", "kg")</f>
        <v>0</v>
      </c>
    </row>
    <row r="192" spans="1:15">
      <c r="A192">
        <f>IF(COUNTBLANK(B192:Q192)&lt;&gt;COLUMNS(B192:Q192),191,"")</f>
        <v>0</v>
      </c>
      <c r="C192" s="1">
        <f>IF(B192="", "", "urban biome")</f>
        <v>0</v>
      </c>
      <c r="D192" s="1">
        <f>IF(B192="", "", "human-associated habitat")</f>
        <v>0</v>
      </c>
      <c r="G192" s="1">
        <f>IF(B192="", "", "years")</f>
        <v>0</v>
      </c>
      <c r="I192" s="1">
        <f>IF(B192="", "", "human")</f>
        <v>0</v>
      </c>
      <c r="K192" s="1">
        <f>IF(B192="", "", "cm")</f>
        <v>0</v>
      </c>
      <c r="L192" s="1">
        <f>IF(B192="", "", "Homo sapiens")</f>
        <v>0</v>
      </c>
      <c r="M192" s="1">
        <f>IF(B192="", "", "9606")</f>
        <v>0</v>
      </c>
      <c r="O192" s="1">
        <f>IF(B192="", "", "kg")</f>
        <v>0</v>
      </c>
    </row>
    <row r="193" spans="1:15">
      <c r="A193">
        <f>IF(COUNTBLANK(B193:Q193)&lt;&gt;COLUMNS(B193:Q193),192,"")</f>
        <v>0</v>
      </c>
      <c r="C193" s="1">
        <f>IF(B193="", "", "urban biome")</f>
        <v>0</v>
      </c>
      <c r="D193" s="1">
        <f>IF(B193="", "", "human-associated habitat")</f>
        <v>0</v>
      </c>
      <c r="G193" s="1">
        <f>IF(B193="", "", "years")</f>
        <v>0</v>
      </c>
      <c r="I193" s="1">
        <f>IF(B193="", "", "human")</f>
        <v>0</v>
      </c>
      <c r="K193" s="1">
        <f>IF(B193="", "", "cm")</f>
        <v>0</v>
      </c>
      <c r="L193" s="1">
        <f>IF(B193="", "", "Homo sapiens")</f>
        <v>0</v>
      </c>
      <c r="M193" s="1">
        <f>IF(B193="", "", "9606")</f>
        <v>0</v>
      </c>
      <c r="O193" s="1">
        <f>IF(B193="", "", "kg")</f>
        <v>0</v>
      </c>
    </row>
    <row r="194" spans="1:15">
      <c r="A194">
        <f>IF(COUNTBLANK(B194:Q194)&lt;&gt;COLUMNS(B194:Q194),193,"")</f>
        <v>0</v>
      </c>
      <c r="C194" s="1">
        <f>IF(B194="", "", "urban biome")</f>
        <v>0</v>
      </c>
      <c r="D194" s="1">
        <f>IF(B194="", "", "human-associated habitat")</f>
        <v>0</v>
      </c>
      <c r="G194" s="1">
        <f>IF(B194="", "", "years")</f>
        <v>0</v>
      </c>
      <c r="I194" s="1">
        <f>IF(B194="", "", "human")</f>
        <v>0</v>
      </c>
      <c r="K194" s="1">
        <f>IF(B194="", "", "cm")</f>
        <v>0</v>
      </c>
      <c r="L194" s="1">
        <f>IF(B194="", "", "Homo sapiens")</f>
        <v>0</v>
      </c>
      <c r="M194" s="1">
        <f>IF(B194="", "", "9606")</f>
        <v>0</v>
      </c>
      <c r="O194" s="1">
        <f>IF(B194="", "", "kg")</f>
        <v>0</v>
      </c>
    </row>
    <row r="195" spans="1:15">
      <c r="A195">
        <f>IF(COUNTBLANK(B195:Q195)&lt;&gt;COLUMNS(B195:Q195),194,"")</f>
        <v>0</v>
      </c>
      <c r="C195" s="1">
        <f>IF(B195="", "", "urban biome")</f>
        <v>0</v>
      </c>
      <c r="D195" s="1">
        <f>IF(B195="", "", "human-associated habitat")</f>
        <v>0</v>
      </c>
      <c r="G195" s="1">
        <f>IF(B195="", "", "years")</f>
        <v>0</v>
      </c>
      <c r="I195" s="1">
        <f>IF(B195="", "", "human")</f>
        <v>0</v>
      </c>
      <c r="K195" s="1">
        <f>IF(B195="", "", "cm")</f>
        <v>0</v>
      </c>
      <c r="L195" s="1">
        <f>IF(B195="", "", "Homo sapiens")</f>
        <v>0</v>
      </c>
      <c r="M195" s="1">
        <f>IF(B195="", "", "9606")</f>
        <v>0</v>
      </c>
      <c r="O195" s="1">
        <f>IF(B195="", "", "kg")</f>
        <v>0</v>
      </c>
    </row>
    <row r="196" spans="1:15">
      <c r="A196">
        <f>IF(COUNTBLANK(B196:Q196)&lt;&gt;COLUMNS(B196:Q196),195,"")</f>
        <v>0</v>
      </c>
      <c r="C196" s="1">
        <f>IF(B196="", "", "urban biome")</f>
        <v>0</v>
      </c>
      <c r="D196" s="1">
        <f>IF(B196="", "", "human-associated habitat")</f>
        <v>0</v>
      </c>
      <c r="G196" s="1">
        <f>IF(B196="", "", "years")</f>
        <v>0</v>
      </c>
      <c r="I196" s="1">
        <f>IF(B196="", "", "human")</f>
        <v>0</v>
      </c>
      <c r="K196" s="1">
        <f>IF(B196="", "", "cm")</f>
        <v>0</v>
      </c>
      <c r="L196" s="1">
        <f>IF(B196="", "", "Homo sapiens")</f>
        <v>0</v>
      </c>
      <c r="M196" s="1">
        <f>IF(B196="", "", "9606")</f>
        <v>0</v>
      </c>
      <c r="O196" s="1">
        <f>IF(B196="", "", "kg")</f>
        <v>0</v>
      </c>
    </row>
    <row r="197" spans="1:15">
      <c r="A197">
        <f>IF(COUNTBLANK(B197:Q197)&lt;&gt;COLUMNS(B197:Q197),196,"")</f>
        <v>0</v>
      </c>
      <c r="C197" s="1">
        <f>IF(B197="", "", "urban biome")</f>
        <v>0</v>
      </c>
      <c r="D197" s="1">
        <f>IF(B197="", "", "human-associated habitat")</f>
        <v>0</v>
      </c>
      <c r="G197" s="1">
        <f>IF(B197="", "", "years")</f>
        <v>0</v>
      </c>
      <c r="I197" s="1">
        <f>IF(B197="", "", "human")</f>
        <v>0</v>
      </c>
      <c r="K197" s="1">
        <f>IF(B197="", "", "cm")</f>
        <v>0</v>
      </c>
      <c r="L197" s="1">
        <f>IF(B197="", "", "Homo sapiens")</f>
        <v>0</v>
      </c>
      <c r="M197" s="1">
        <f>IF(B197="", "", "9606")</f>
        <v>0</v>
      </c>
      <c r="O197" s="1">
        <f>IF(B197="", "", "kg")</f>
        <v>0</v>
      </c>
    </row>
    <row r="198" spans="1:15">
      <c r="A198">
        <f>IF(COUNTBLANK(B198:Q198)&lt;&gt;COLUMNS(B198:Q198),197,"")</f>
        <v>0</v>
      </c>
      <c r="C198" s="1">
        <f>IF(B198="", "", "urban biome")</f>
        <v>0</v>
      </c>
      <c r="D198" s="1">
        <f>IF(B198="", "", "human-associated habitat")</f>
        <v>0</v>
      </c>
      <c r="G198" s="1">
        <f>IF(B198="", "", "years")</f>
        <v>0</v>
      </c>
      <c r="I198" s="1">
        <f>IF(B198="", "", "human")</f>
        <v>0</v>
      </c>
      <c r="K198" s="1">
        <f>IF(B198="", "", "cm")</f>
        <v>0</v>
      </c>
      <c r="L198" s="1">
        <f>IF(B198="", "", "Homo sapiens")</f>
        <v>0</v>
      </c>
      <c r="M198" s="1">
        <f>IF(B198="", "", "9606")</f>
        <v>0</v>
      </c>
      <c r="O198" s="1">
        <f>IF(B198="", "", "kg")</f>
        <v>0</v>
      </c>
    </row>
    <row r="199" spans="1:15">
      <c r="A199">
        <f>IF(COUNTBLANK(B199:Q199)&lt;&gt;COLUMNS(B199:Q199),198,"")</f>
        <v>0</v>
      </c>
      <c r="C199" s="1">
        <f>IF(B199="", "", "urban biome")</f>
        <v>0</v>
      </c>
      <c r="D199" s="1">
        <f>IF(B199="", "", "human-associated habitat")</f>
        <v>0</v>
      </c>
      <c r="G199" s="1">
        <f>IF(B199="", "", "years")</f>
        <v>0</v>
      </c>
      <c r="I199" s="1">
        <f>IF(B199="", "", "human")</f>
        <v>0</v>
      </c>
      <c r="K199" s="1">
        <f>IF(B199="", "", "cm")</f>
        <v>0</v>
      </c>
      <c r="L199" s="1">
        <f>IF(B199="", "", "Homo sapiens")</f>
        <v>0</v>
      </c>
      <c r="M199" s="1">
        <f>IF(B199="", "", "9606")</f>
        <v>0</v>
      </c>
      <c r="O199" s="1">
        <f>IF(B199="", "", "kg")</f>
        <v>0</v>
      </c>
    </row>
    <row r="200" spans="1:15">
      <c r="A200">
        <f>IF(COUNTBLANK(B200:Q200)&lt;&gt;COLUMNS(B200:Q200),199,"")</f>
        <v>0</v>
      </c>
      <c r="C200" s="1">
        <f>IF(B200="", "", "urban biome")</f>
        <v>0</v>
      </c>
      <c r="D200" s="1">
        <f>IF(B200="", "", "human-associated habitat")</f>
        <v>0</v>
      </c>
      <c r="G200" s="1">
        <f>IF(B200="", "", "years")</f>
        <v>0</v>
      </c>
      <c r="I200" s="1">
        <f>IF(B200="", "", "human")</f>
        <v>0</v>
      </c>
      <c r="K200" s="1">
        <f>IF(B200="", "", "cm")</f>
        <v>0</v>
      </c>
      <c r="L200" s="1">
        <f>IF(B200="", "", "Homo sapiens")</f>
        <v>0</v>
      </c>
      <c r="M200" s="1">
        <f>IF(B200="", "", "9606")</f>
        <v>0</v>
      </c>
      <c r="O200" s="1">
        <f>IF(B200="", "", "kg")</f>
        <v>0</v>
      </c>
    </row>
    <row r="201" spans="1:15">
      <c r="A201">
        <f>IF(COUNTBLANK(B201:Q201)&lt;&gt;COLUMNS(B201:Q201),200,"")</f>
        <v>0</v>
      </c>
      <c r="C201" s="1">
        <f>IF(B201="", "", "urban biome")</f>
        <v>0</v>
      </c>
      <c r="D201" s="1">
        <f>IF(B201="", "", "human-associated habitat")</f>
        <v>0</v>
      </c>
      <c r="G201" s="1">
        <f>IF(B201="", "", "years")</f>
        <v>0</v>
      </c>
      <c r="I201" s="1">
        <f>IF(B201="", "", "human")</f>
        <v>0</v>
      </c>
      <c r="K201" s="1">
        <f>IF(B201="", "", "cm")</f>
        <v>0</v>
      </c>
      <c r="L201" s="1">
        <f>IF(B201="", "", "Homo sapiens")</f>
        <v>0</v>
      </c>
      <c r="M201" s="1">
        <f>IF(B201="", "", "9606")</f>
        <v>0</v>
      </c>
      <c r="O201" s="1">
        <f>IF(B201="", "", "kg")</f>
        <v>0</v>
      </c>
    </row>
    <row r="202" spans="1:15">
      <c r="A202">
        <f>IF(COUNTBLANK(B202:Q202)&lt;&gt;COLUMNS(B202:Q202),201,"")</f>
        <v>0</v>
      </c>
      <c r="C202" s="1">
        <f>IF(B202="", "", "urban biome")</f>
        <v>0</v>
      </c>
      <c r="D202" s="1">
        <f>IF(B202="", "", "human-associated habitat")</f>
        <v>0</v>
      </c>
      <c r="G202" s="1">
        <f>IF(B202="", "", "years")</f>
        <v>0</v>
      </c>
      <c r="I202" s="1">
        <f>IF(B202="", "", "human")</f>
        <v>0</v>
      </c>
      <c r="K202" s="1">
        <f>IF(B202="", "", "cm")</f>
        <v>0</v>
      </c>
      <c r="L202" s="1">
        <f>IF(B202="", "", "Homo sapiens")</f>
        <v>0</v>
      </c>
      <c r="M202" s="1">
        <f>IF(B202="", "", "9606")</f>
        <v>0</v>
      </c>
      <c r="O202" s="1">
        <f>IF(B202="", "", "kg")</f>
        <v>0</v>
      </c>
    </row>
    <row r="203" spans="1:15">
      <c r="A203">
        <f>IF(COUNTBLANK(B203:Q203)&lt;&gt;COLUMNS(B203:Q203),202,"")</f>
        <v>0</v>
      </c>
      <c r="C203" s="1">
        <f>IF(B203="", "", "urban biome")</f>
        <v>0</v>
      </c>
      <c r="D203" s="1">
        <f>IF(B203="", "", "human-associated habitat")</f>
        <v>0</v>
      </c>
      <c r="G203" s="1">
        <f>IF(B203="", "", "years")</f>
        <v>0</v>
      </c>
      <c r="I203" s="1">
        <f>IF(B203="", "", "human")</f>
        <v>0</v>
      </c>
      <c r="K203" s="1">
        <f>IF(B203="", "", "cm")</f>
        <v>0</v>
      </c>
      <c r="L203" s="1">
        <f>IF(B203="", "", "Homo sapiens")</f>
        <v>0</v>
      </c>
      <c r="M203" s="1">
        <f>IF(B203="", "", "9606")</f>
        <v>0</v>
      </c>
      <c r="O203" s="1">
        <f>IF(B203="", "", "kg")</f>
        <v>0</v>
      </c>
    </row>
    <row r="204" spans="1:15">
      <c r="A204">
        <f>IF(COUNTBLANK(B204:Q204)&lt;&gt;COLUMNS(B204:Q204),203,"")</f>
        <v>0</v>
      </c>
      <c r="C204" s="1">
        <f>IF(B204="", "", "urban biome")</f>
        <v>0</v>
      </c>
      <c r="D204" s="1">
        <f>IF(B204="", "", "human-associated habitat")</f>
        <v>0</v>
      </c>
      <c r="G204" s="1">
        <f>IF(B204="", "", "years")</f>
        <v>0</v>
      </c>
      <c r="I204" s="1">
        <f>IF(B204="", "", "human")</f>
        <v>0</v>
      </c>
      <c r="K204" s="1">
        <f>IF(B204="", "", "cm")</f>
        <v>0</v>
      </c>
      <c r="L204" s="1">
        <f>IF(B204="", "", "Homo sapiens")</f>
        <v>0</v>
      </c>
      <c r="M204" s="1">
        <f>IF(B204="", "", "9606")</f>
        <v>0</v>
      </c>
      <c r="O204" s="1">
        <f>IF(B204="", "", "kg")</f>
        <v>0</v>
      </c>
    </row>
    <row r="205" spans="1:15">
      <c r="A205">
        <f>IF(COUNTBLANK(B205:Q205)&lt;&gt;COLUMNS(B205:Q205),204,"")</f>
        <v>0</v>
      </c>
      <c r="C205" s="1">
        <f>IF(B205="", "", "urban biome")</f>
        <v>0</v>
      </c>
      <c r="D205" s="1">
        <f>IF(B205="", "", "human-associated habitat")</f>
        <v>0</v>
      </c>
      <c r="G205" s="1">
        <f>IF(B205="", "", "years")</f>
        <v>0</v>
      </c>
      <c r="I205" s="1">
        <f>IF(B205="", "", "human")</f>
        <v>0</v>
      </c>
      <c r="K205" s="1">
        <f>IF(B205="", "", "cm")</f>
        <v>0</v>
      </c>
      <c r="L205" s="1">
        <f>IF(B205="", "", "Homo sapiens")</f>
        <v>0</v>
      </c>
      <c r="M205" s="1">
        <f>IF(B205="", "", "9606")</f>
        <v>0</v>
      </c>
      <c r="O205" s="1">
        <f>IF(B205="", "", "kg")</f>
        <v>0</v>
      </c>
    </row>
    <row r="206" spans="1:15">
      <c r="A206">
        <f>IF(COUNTBLANK(B206:Q206)&lt;&gt;COLUMNS(B206:Q206),205,"")</f>
        <v>0</v>
      </c>
      <c r="C206" s="1">
        <f>IF(B206="", "", "urban biome")</f>
        <v>0</v>
      </c>
      <c r="D206" s="1">
        <f>IF(B206="", "", "human-associated habitat")</f>
        <v>0</v>
      </c>
      <c r="G206" s="1">
        <f>IF(B206="", "", "years")</f>
        <v>0</v>
      </c>
      <c r="I206" s="1">
        <f>IF(B206="", "", "human")</f>
        <v>0</v>
      </c>
      <c r="K206" s="1">
        <f>IF(B206="", "", "cm")</f>
        <v>0</v>
      </c>
      <c r="L206" s="1">
        <f>IF(B206="", "", "Homo sapiens")</f>
        <v>0</v>
      </c>
      <c r="M206" s="1">
        <f>IF(B206="", "", "9606")</f>
        <v>0</v>
      </c>
      <c r="O206" s="1">
        <f>IF(B206="", "", "kg")</f>
        <v>0</v>
      </c>
    </row>
    <row r="207" spans="1:15">
      <c r="A207">
        <f>IF(COUNTBLANK(B207:Q207)&lt;&gt;COLUMNS(B207:Q207),206,"")</f>
        <v>0</v>
      </c>
      <c r="C207" s="1">
        <f>IF(B207="", "", "urban biome")</f>
        <v>0</v>
      </c>
      <c r="D207" s="1">
        <f>IF(B207="", "", "human-associated habitat")</f>
        <v>0</v>
      </c>
      <c r="G207" s="1">
        <f>IF(B207="", "", "years")</f>
        <v>0</v>
      </c>
      <c r="I207" s="1">
        <f>IF(B207="", "", "human")</f>
        <v>0</v>
      </c>
      <c r="K207" s="1">
        <f>IF(B207="", "", "cm")</f>
        <v>0</v>
      </c>
      <c r="L207" s="1">
        <f>IF(B207="", "", "Homo sapiens")</f>
        <v>0</v>
      </c>
      <c r="M207" s="1">
        <f>IF(B207="", "", "9606")</f>
        <v>0</v>
      </c>
      <c r="O207" s="1">
        <f>IF(B207="", "", "kg")</f>
        <v>0</v>
      </c>
    </row>
    <row r="208" spans="1:15">
      <c r="A208">
        <f>IF(COUNTBLANK(B208:Q208)&lt;&gt;COLUMNS(B208:Q208),207,"")</f>
        <v>0</v>
      </c>
      <c r="C208" s="1">
        <f>IF(B208="", "", "urban biome")</f>
        <v>0</v>
      </c>
      <c r="D208" s="1">
        <f>IF(B208="", "", "human-associated habitat")</f>
        <v>0</v>
      </c>
      <c r="G208" s="1">
        <f>IF(B208="", "", "years")</f>
        <v>0</v>
      </c>
      <c r="I208" s="1">
        <f>IF(B208="", "", "human")</f>
        <v>0</v>
      </c>
      <c r="K208" s="1">
        <f>IF(B208="", "", "cm")</f>
        <v>0</v>
      </c>
      <c r="L208" s="1">
        <f>IF(B208="", "", "Homo sapiens")</f>
        <v>0</v>
      </c>
      <c r="M208" s="1">
        <f>IF(B208="", "", "9606")</f>
        <v>0</v>
      </c>
      <c r="O208" s="1">
        <f>IF(B208="", "", "kg")</f>
        <v>0</v>
      </c>
    </row>
    <row r="209" spans="1:15">
      <c r="A209">
        <f>IF(COUNTBLANK(B209:Q209)&lt;&gt;COLUMNS(B209:Q209),208,"")</f>
        <v>0</v>
      </c>
      <c r="C209" s="1">
        <f>IF(B209="", "", "urban biome")</f>
        <v>0</v>
      </c>
      <c r="D209" s="1">
        <f>IF(B209="", "", "human-associated habitat")</f>
        <v>0</v>
      </c>
      <c r="G209" s="1">
        <f>IF(B209="", "", "years")</f>
        <v>0</v>
      </c>
      <c r="I209" s="1">
        <f>IF(B209="", "", "human")</f>
        <v>0</v>
      </c>
      <c r="K209" s="1">
        <f>IF(B209="", "", "cm")</f>
        <v>0</v>
      </c>
      <c r="L209" s="1">
        <f>IF(B209="", "", "Homo sapiens")</f>
        <v>0</v>
      </c>
      <c r="M209" s="1">
        <f>IF(B209="", "", "9606")</f>
        <v>0</v>
      </c>
      <c r="O209" s="1">
        <f>IF(B209="", "", "kg")</f>
        <v>0</v>
      </c>
    </row>
    <row r="210" spans="1:15">
      <c r="A210">
        <f>IF(COUNTBLANK(B210:Q210)&lt;&gt;COLUMNS(B210:Q210),209,"")</f>
        <v>0</v>
      </c>
      <c r="C210" s="1">
        <f>IF(B210="", "", "urban biome")</f>
        <v>0</v>
      </c>
      <c r="D210" s="1">
        <f>IF(B210="", "", "human-associated habitat")</f>
        <v>0</v>
      </c>
      <c r="G210" s="1">
        <f>IF(B210="", "", "years")</f>
        <v>0</v>
      </c>
      <c r="I210" s="1">
        <f>IF(B210="", "", "human")</f>
        <v>0</v>
      </c>
      <c r="K210" s="1">
        <f>IF(B210="", "", "cm")</f>
        <v>0</v>
      </c>
      <c r="L210" s="1">
        <f>IF(B210="", "", "Homo sapiens")</f>
        <v>0</v>
      </c>
      <c r="M210" s="1">
        <f>IF(B210="", "", "9606")</f>
        <v>0</v>
      </c>
      <c r="O210" s="1">
        <f>IF(B210="", "", "kg")</f>
        <v>0</v>
      </c>
    </row>
    <row r="211" spans="1:15">
      <c r="A211">
        <f>IF(COUNTBLANK(B211:Q211)&lt;&gt;COLUMNS(B211:Q211),210,"")</f>
        <v>0</v>
      </c>
      <c r="C211" s="1">
        <f>IF(B211="", "", "urban biome")</f>
        <v>0</v>
      </c>
      <c r="D211" s="1">
        <f>IF(B211="", "", "human-associated habitat")</f>
        <v>0</v>
      </c>
      <c r="G211" s="1">
        <f>IF(B211="", "", "years")</f>
        <v>0</v>
      </c>
      <c r="I211" s="1">
        <f>IF(B211="", "", "human")</f>
        <v>0</v>
      </c>
      <c r="K211" s="1">
        <f>IF(B211="", "", "cm")</f>
        <v>0</v>
      </c>
      <c r="L211" s="1">
        <f>IF(B211="", "", "Homo sapiens")</f>
        <v>0</v>
      </c>
      <c r="M211" s="1">
        <f>IF(B211="", "", "9606")</f>
        <v>0</v>
      </c>
      <c r="O211" s="1">
        <f>IF(B211="", "", "kg")</f>
        <v>0</v>
      </c>
    </row>
    <row r="212" spans="1:15">
      <c r="A212">
        <f>IF(COUNTBLANK(B212:Q212)&lt;&gt;COLUMNS(B212:Q212),211,"")</f>
        <v>0</v>
      </c>
      <c r="C212" s="1">
        <f>IF(B212="", "", "urban biome")</f>
        <v>0</v>
      </c>
      <c r="D212" s="1">
        <f>IF(B212="", "", "human-associated habitat")</f>
        <v>0</v>
      </c>
      <c r="G212" s="1">
        <f>IF(B212="", "", "years")</f>
        <v>0</v>
      </c>
      <c r="I212" s="1">
        <f>IF(B212="", "", "human")</f>
        <v>0</v>
      </c>
      <c r="K212" s="1">
        <f>IF(B212="", "", "cm")</f>
        <v>0</v>
      </c>
      <c r="L212" s="1">
        <f>IF(B212="", "", "Homo sapiens")</f>
        <v>0</v>
      </c>
      <c r="M212" s="1">
        <f>IF(B212="", "", "9606")</f>
        <v>0</v>
      </c>
      <c r="O212" s="1">
        <f>IF(B212="", "", "kg")</f>
        <v>0</v>
      </c>
    </row>
    <row r="213" spans="1:15">
      <c r="A213">
        <f>IF(COUNTBLANK(B213:Q213)&lt;&gt;COLUMNS(B213:Q213),212,"")</f>
        <v>0</v>
      </c>
      <c r="C213" s="1">
        <f>IF(B213="", "", "urban biome")</f>
        <v>0</v>
      </c>
      <c r="D213" s="1">
        <f>IF(B213="", "", "human-associated habitat")</f>
        <v>0</v>
      </c>
      <c r="G213" s="1">
        <f>IF(B213="", "", "years")</f>
        <v>0</v>
      </c>
      <c r="I213" s="1">
        <f>IF(B213="", "", "human")</f>
        <v>0</v>
      </c>
      <c r="K213" s="1">
        <f>IF(B213="", "", "cm")</f>
        <v>0</v>
      </c>
      <c r="L213" s="1">
        <f>IF(B213="", "", "Homo sapiens")</f>
        <v>0</v>
      </c>
      <c r="M213" s="1">
        <f>IF(B213="", "", "9606")</f>
        <v>0</v>
      </c>
      <c r="O213" s="1">
        <f>IF(B213="", "", "kg")</f>
        <v>0</v>
      </c>
    </row>
    <row r="214" spans="1:15">
      <c r="A214">
        <f>IF(COUNTBLANK(B214:Q214)&lt;&gt;COLUMNS(B214:Q214),213,"")</f>
        <v>0</v>
      </c>
      <c r="C214" s="1">
        <f>IF(B214="", "", "urban biome")</f>
        <v>0</v>
      </c>
      <c r="D214" s="1">
        <f>IF(B214="", "", "human-associated habitat")</f>
        <v>0</v>
      </c>
      <c r="G214" s="1">
        <f>IF(B214="", "", "years")</f>
        <v>0</v>
      </c>
      <c r="I214" s="1">
        <f>IF(B214="", "", "human")</f>
        <v>0</v>
      </c>
      <c r="K214" s="1">
        <f>IF(B214="", "", "cm")</f>
        <v>0</v>
      </c>
      <c r="L214" s="1">
        <f>IF(B214="", "", "Homo sapiens")</f>
        <v>0</v>
      </c>
      <c r="M214" s="1">
        <f>IF(B214="", "", "9606")</f>
        <v>0</v>
      </c>
      <c r="O214" s="1">
        <f>IF(B214="", "", "kg")</f>
        <v>0</v>
      </c>
    </row>
    <row r="215" spans="1:15">
      <c r="A215">
        <f>IF(COUNTBLANK(B215:Q215)&lt;&gt;COLUMNS(B215:Q215),214,"")</f>
        <v>0</v>
      </c>
      <c r="C215" s="1">
        <f>IF(B215="", "", "urban biome")</f>
        <v>0</v>
      </c>
      <c r="D215" s="1">
        <f>IF(B215="", "", "human-associated habitat")</f>
        <v>0</v>
      </c>
      <c r="G215" s="1">
        <f>IF(B215="", "", "years")</f>
        <v>0</v>
      </c>
      <c r="I215" s="1">
        <f>IF(B215="", "", "human")</f>
        <v>0</v>
      </c>
      <c r="K215" s="1">
        <f>IF(B215="", "", "cm")</f>
        <v>0</v>
      </c>
      <c r="L215" s="1">
        <f>IF(B215="", "", "Homo sapiens")</f>
        <v>0</v>
      </c>
      <c r="M215" s="1">
        <f>IF(B215="", "", "9606")</f>
        <v>0</v>
      </c>
      <c r="O215" s="1">
        <f>IF(B215="", "", "kg")</f>
        <v>0</v>
      </c>
    </row>
    <row r="216" spans="1:15">
      <c r="A216">
        <f>IF(COUNTBLANK(B216:Q216)&lt;&gt;COLUMNS(B216:Q216),215,"")</f>
        <v>0</v>
      </c>
      <c r="C216" s="1">
        <f>IF(B216="", "", "urban biome")</f>
        <v>0</v>
      </c>
      <c r="D216" s="1">
        <f>IF(B216="", "", "human-associated habitat")</f>
        <v>0</v>
      </c>
      <c r="G216" s="1">
        <f>IF(B216="", "", "years")</f>
        <v>0</v>
      </c>
      <c r="I216" s="1">
        <f>IF(B216="", "", "human")</f>
        <v>0</v>
      </c>
      <c r="K216" s="1">
        <f>IF(B216="", "", "cm")</f>
        <v>0</v>
      </c>
      <c r="L216" s="1">
        <f>IF(B216="", "", "Homo sapiens")</f>
        <v>0</v>
      </c>
      <c r="M216" s="1">
        <f>IF(B216="", "", "9606")</f>
        <v>0</v>
      </c>
      <c r="O216" s="1">
        <f>IF(B216="", "", "kg")</f>
        <v>0</v>
      </c>
    </row>
    <row r="217" spans="1:15">
      <c r="A217">
        <f>IF(COUNTBLANK(B217:Q217)&lt;&gt;COLUMNS(B217:Q217),216,"")</f>
        <v>0</v>
      </c>
      <c r="C217" s="1">
        <f>IF(B217="", "", "urban biome")</f>
        <v>0</v>
      </c>
      <c r="D217" s="1">
        <f>IF(B217="", "", "human-associated habitat")</f>
        <v>0</v>
      </c>
      <c r="G217" s="1">
        <f>IF(B217="", "", "years")</f>
        <v>0</v>
      </c>
      <c r="I217" s="1">
        <f>IF(B217="", "", "human")</f>
        <v>0</v>
      </c>
      <c r="K217" s="1">
        <f>IF(B217="", "", "cm")</f>
        <v>0</v>
      </c>
      <c r="L217" s="1">
        <f>IF(B217="", "", "Homo sapiens")</f>
        <v>0</v>
      </c>
      <c r="M217" s="1">
        <f>IF(B217="", "", "9606")</f>
        <v>0</v>
      </c>
      <c r="O217" s="1">
        <f>IF(B217="", "", "kg")</f>
        <v>0</v>
      </c>
    </row>
    <row r="218" spans="1:15">
      <c r="A218">
        <f>IF(COUNTBLANK(B218:Q218)&lt;&gt;COLUMNS(B218:Q218),217,"")</f>
        <v>0</v>
      </c>
      <c r="C218" s="1">
        <f>IF(B218="", "", "urban biome")</f>
        <v>0</v>
      </c>
      <c r="D218" s="1">
        <f>IF(B218="", "", "human-associated habitat")</f>
        <v>0</v>
      </c>
      <c r="G218" s="1">
        <f>IF(B218="", "", "years")</f>
        <v>0</v>
      </c>
      <c r="I218" s="1">
        <f>IF(B218="", "", "human")</f>
        <v>0</v>
      </c>
      <c r="K218" s="1">
        <f>IF(B218="", "", "cm")</f>
        <v>0</v>
      </c>
      <c r="L218" s="1">
        <f>IF(B218="", "", "Homo sapiens")</f>
        <v>0</v>
      </c>
      <c r="M218" s="1">
        <f>IF(B218="", "", "9606")</f>
        <v>0</v>
      </c>
      <c r="O218" s="1">
        <f>IF(B218="", "", "kg")</f>
        <v>0</v>
      </c>
    </row>
    <row r="219" spans="1:15">
      <c r="A219">
        <f>IF(COUNTBLANK(B219:Q219)&lt;&gt;COLUMNS(B219:Q219),218,"")</f>
        <v>0</v>
      </c>
      <c r="C219" s="1">
        <f>IF(B219="", "", "urban biome")</f>
        <v>0</v>
      </c>
      <c r="D219" s="1">
        <f>IF(B219="", "", "human-associated habitat")</f>
        <v>0</v>
      </c>
      <c r="G219" s="1">
        <f>IF(B219="", "", "years")</f>
        <v>0</v>
      </c>
      <c r="I219" s="1">
        <f>IF(B219="", "", "human")</f>
        <v>0</v>
      </c>
      <c r="K219" s="1">
        <f>IF(B219="", "", "cm")</f>
        <v>0</v>
      </c>
      <c r="L219" s="1">
        <f>IF(B219="", "", "Homo sapiens")</f>
        <v>0</v>
      </c>
      <c r="M219" s="1">
        <f>IF(B219="", "", "9606")</f>
        <v>0</v>
      </c>
      <c r="O219" s="1">
        <f>IF(B219="", "", "kg")</f>
        <v>0</v>
      </c>
    </row>
    <row r="220" spans="1:15">
      <c r="A220">
        <f>IF(COUNTBLANK(B220:Q220)&lt;&gt;COLUMNS(B220:Q220),219,"")</f>
        <v>0</v>
      </c>
      <c r="C220" s="1">
        <f>IF(B220="", "", "urban biome")</f>
        <v>0</v>
      </c>
      <c r="D220" s="1">
        <f>IF(B220="", "", "human-associated habitat")</f>
        <v>0</v>
      </c>
      <c r="G220" s="1">
        <f>IF(B220="", "", "years")</f>
        <v>0</v>
      </c>
      <c r="I220" s="1">
        <f>IF(B220="", "", "human")</f>
        <v>0</v>
      </c>
      <c r="K220" s="1">
        <f>IF(B220="", "", "cm")</f>
        <v>0</v>
      </c>
      <c r="L220" s="1">
        <f>IF(B220="", "", "Homo sapiens")</f>
        <v>0</v>
      </c>
      <c r="M220" s="1">
        <f>IF(B220="", "", "9606")</f>
        <v>0</v>
      </c>
      <c r="O220" s="1">
        <f>IF(B220="", "", "kg")</f>
        <v>0</v>
      </c>
    </row>
    <row r="221" spans="1:15">
      <c r="A221">
        <f>IF(COUNTBLANK(B221:Q221)&lt;&gt;COLUMNS(B221:Q221),220,"")</f>
        <v>0</v>
      </c>
      <c r="C221" s="1">
        <f>IF(B221="", "", "urban biome")</f>
        <v>0</v>
      </c>
      <c r="D221" s="1">
        <f>IF(B221="", "", "human-associated habitat")</f>
        <v>0</v>
      </c>
      <c r="G221" s="1">
        <f>IF(B221="", "", "years")</f>
        <v>0</v>
      </c>
      <c r="I221" s="1">
        <f>IF(B221="", "", "human")</f>
        <v>0</v>
      </c>
      <c r="K221" s="1">
        <f>IF(B221="", "", "cm")</f>
        <v>0</v>
      </c>
      <c r="L221" s="1">
        <f>IF(B221="", "", "Homo sapiens")</f>
        <v>0</v>
      </c>
      <c r="M221" s="1">
        <f>IF(B221="", "", "9606")</f>
        <v>0</v>
      </c>
      <c r="O221" s="1">
        <f>IF(B221="", "", "kg")</f>
        <v>0</v>
      </c>
    </row>
    <row r="222" spans="1:15">
      <c r="A222">
        <f>IF(COUNTBLANK(B222:Q222)&lt;&gt;COLUMNS(B222:Q222),221,"")</f>
        <v>0</v>
      </c>
      <c r="C222" s="1">
        <f>IF(B222="", "", "urban biome")</f>
        <v>0</v>
      </c>
      <c r="D222" s="1">
        <f>IF(B222="", "", "human-associated habitat")</f>
        <v>0</v>
      </c>
      <c r="G222" s="1">
        <f>IF(B222="", "", "years")</f>
        <v>0</v>
      </c>
      <c r="I222" s="1">
        <f>IF(B222="", "", "human")</f>
        <v>0</v>
      </c>
      <c r="K222" s="1">
        <f>IF(B222="", "", "cm")</f>
        <v>0</v>
      </c>
      <c r="L222" s="1">
        <f>IF(B222="", "", "Homo sapiens")</f>
        <v>0</v>
      </c>
      <c r="M222" s="1">
        <f>IF(B222="", "", "9606")</f>
        <v>0</v>
      </c>
      <c r="O222" s="1">
        <f>IF(B222="", "", "kg")</f>
        <v>0</v>
      </c>
    </row>
    <row r="223" spans="1:15">
      <c r="A223">
        <f>IF(COUNTBLANK(B223:Q223)&lt;&gt;COLUMNS(B223:Q223),222,"")</f>
        <v>0</v>
      </c>
      <c r="C223" s="1">
        <f>IF(B223="", "", "urban biome")</f>
        <v>0</v>
      </c>
      <c r="D223" s="1">
        <f>IF(B223="", "", "human-associated habitat")</f>
        <v>0</v>
      </c>
      <c r="G223" s="1">
        <f>IF(B223="", "", "years")</f>
        <v>0</v>
      </c>
      <c r="I223" s="1">
        <f>IF(B223="", "", "human")</f>
        <v>0</v>
      </c>
      <c r="K223" s="1">
        <f>IF(B223="", "", "cm")</f>
        <v>0</v>
      </c>
      <c r="L223" s="1">
        <f>IF(B223="", "", "Homo sapiens")</f>
        <v>0</v>
      </c>
      <c r="M223" s="1">
        <f>IF(B223="", "", "9606")</f>
        <v>0</v>
      </c>
      <c r="O223" s="1">
        <f>IF(B223="", "", "kg")</f>
        <v>0</v>
      </c>
    </row>
    <row r="224" spans="1:15">
      <c r="A224">
        <f>IF(COUNTBLANK(B224:Q224)&lt;&gt;COLUMNS(B224:Q224),223,"")</f>
        <v>0</v>
      </c>
      <c r="C224" s="1">
        <f>IF(B224="", "", "urban biome")</f>
        <v>0</v>
      </c>
      <c r="D224" s="1">
        <f>IF(B224="", "", "human-associated habitat")</f>
        <v>0</v>
      </c>
      <c r="G224" s="1">
        <f>IF(B224="", "", "years")</f>
        <v>0</v>
      </c>
      <c r="I224" s="1">
        <f>IF(B224="", "", "human")</f>
        <v>0</v>
      </c>
      <c r="K224" s="1">
        <f>IF(B224="", "", "cm")</f>
        <v>0</v>
      </c>
      <c r="L224" s="1">
        <f>IF(B224="", "", "Homo sapiens")</f>
        <v>0</v>
      </c>
      <c r="M224" s="1">
        <f>IF(B224="", "", "9606")</f>
        <v>0</v>
      </c>
      <c r="O224" s="1">
        <f>IF(B224="", "", "kg")</f>
        <v>0</v>
      </c>
    </row>
    <row r="225" spans="1:15">
      <c r="A225">
        <f>IF(COUNTBLANK(B225:Q225)&lt;&gt;COLUMNS(B225:Q225),224,"")</f>
        <v>0</v>
      </c>
      <c r="C225" s="1">
        <f>IF(B225="", "", "urban biome")</f>
        <v>0</v>
      </c>
      <c r="D225" s="1">
        <f>IF(B225="", "", "human-associated habitat")</f>
        <v>0</v>
      </c>
      <c r="G225" s="1">
        <f>IF(B225="", "", "years")</f>
        <v>0</v>
      </c>
      <c r="I225" s="1">
        <f>IF(B225="", "", "human")</f>
        <v>0</v>
      </c>
      <c r="K225" s="1">
        <f>IF(B225="", "", "cm")</f>
        <v>0</v>
      </c>
      <c r="L225" s="1">
        <f>IF(B225="", "", "Homo sapiens")</f>
        <v>0</v>
      </c>
      <c r="M225" s="1">
        <f>IF(B225="", "", "9606")</f>
        <v>0</v>
      </c>
      <c r="O225" s="1">
        <f>IF(B225="", "", "kg")</f>
        <v>0</v>
      </c>
    </row>
    <row r="226" spans="1:15">
      <c r="A226">
        <f>IF(COUNTBLANK(B226:Q226)&lt;&gt;COLUMNS(B226:Q226),225,"")</f>
        <v>0</v>
      </c>
      <c r="C226" s="1">
        <f>IF(B226="", "", "urban biome")</f>
        <v>0</v>
      </c>
      <c r="D226" s="1">
        <f>IF(B226="", "", "human-associated habitat")</f>
        <v>0</v>
      </c>
      <c r="G226" s="1">
        <f>IF(B226="", "", "years")</f>
        <v>0</v>
      </c>
      <c r="I226" s="1">
        <f>IF(B226="", "", "human")</f>
        <v>0</v>
      </c>
      <c r="K226" s="1">
        <f>IF(B226="", "", "cm")</f>
        <v>0</v>
      </c>
      <c r="L226" s="1">
        <f>IF(B226="", "", "Homo sapiens")</f>
        <v>0</v>
      </c>
      <c r="M226" s="1">
        <f>IF(B226="", "", "9606")</f>
        <v>0</v>
      </c>
      <c r="O226" s="1">
        <f>IF(B226="", "", "kg")</f>
        <v>0</v>
      </c>
    </row>
    <row r="227" spans="1:15">
      <c r="A227">
        <f>IF(COUNTBLANK(B227:Q227)&lt;&gt;COLUMNS(B227:Q227),226,"")</f>
        <v>0</v>
      </c>
      <c r="C227" s="1">
        <f>IF(B227="", "", "urban biome")</f>
        <v>0</v>
      </c>
      <c r="D227" s="1">
        <f>IF(B227="", "", "human-associated habitat")</f>
        <v>0</v>
      </c>
      <c r="G227" s="1">
        <f>IF(B227="", "", "years")</f>
        <v>0</v>
      </c>
      <c r="I227" s="1">
        <f>IF(B227="", "", "human")</f>
        <v>0</v>
      </c>
      <c r="K227" s="1">
        <f>IF(B227="", "", "cm")</f>
        <v>0</v>
      </c>
      <c r="L227" s="1">
        <f>IF(B227="", "", "Homo sapiens")</f>
        <v>0</v>
      </c>
      <c r="M227" s="1">
        <f>IF(B227="", "", "9606")</f>
        <v>0</v>
      </c>
      <c r="O227" s="1">
        <f>IF(B227="", "", "kg")</f>
        <v>0</v>
      </c>
    </row>
    <row r="228" spans="1:15">
      <c r="A228">
        <f>IF(COUNTBLANK(B228:Q228)&lt;&gt;COLUMNS(B228:Q228),227,"")</f>
        <v>0</v>
      </c>
      <c r="C228" s="1">
        <f>IF(B228="", "", "urban biome")</f>
        <v>0</v>
      </c>
      <c r="D228" s="1">
        <f>IF(B228="", "", "human-associated habitat")</f>
        <v>0</v>
      </c>
      <c r="G228" s="1">
        <f>IF(B228="", "", "years")</f>
        <v>0</v>
      </c>
      <c r="I228" s="1">
        <f>IF(B228="", "", "human")</f>
        <v>0</v>
      </c>
      <c r="K228" s="1">
        <f>IF(B228="", "", "cm")</f>
        <v>0</v>
      </c>
      <c r="L228" s="1">
        <f>IF(B228="", "", "Homo sapiens")</f>
        <v>0</v>
      </c>
      <c r="M228" s="1">
        <f>IF(B228="", "", "9606")</f>
        <v>0</v>
      </c>
      <c r="O228" s="1">
        <f>IF(B228="", "", "kg")</f>
        <v>0</v>
      </c>
    </row>
    <row r="229" spans="1:15">
      <c r="A229">
        <f>IF(COUNTBLANK(B229:Q229)&lt;&gt;COLUMNS(B229:Q229),228,"")</f>
        <v>0</v>
      </c>
      <c r="C229" s="1">
        <f>IF(B229="", "", "urban biome")</f>
        <v>0</v>
      </c>
      <c r="D229" s="1">
        <f>IF(B229="", "", "human-associated habitat")</f>
        <v>0</v>
      </c>
      <c r="G229" s="1">
        <f>IF(B229="", "", "years")</f>
        <v>0</v>
      </c>
      <c r="I229" s="1">
        <f>IF(B229="", "", "human")</f>
        <v>0</v>
      </c>
      <c r="K229" s="1">
        <f>IF(B229="", "", "cm")</f>
        <v>0</v>
      </c>
      <c r="L229" s="1">
        <f>IF(B229="", "", "Homo sapiens")</f>
        <v>0</v>
      </c>
      <c r="M229" s="1">
        <f>IF(B229="", "", "9606")</f>
        <v>0</v>
      </c>
      <c r="O229" s="1">
        <f>IF(B229="", "", "kg")</f>
        <v>0</v>
      </c>
    </row>
    <row r="230" spans="1:15">
      <c r="A230">
        <f>IF(COUNTBLANK(B230:Q230)&lt;&gt;COLUMNS(B230:Q230),229,"")</f>
        <v>0</v>
      </c>
      <c r="C230" s="1">
        <f>IF(B230="", "", "urban biome")</f>
        <v>0</v>
      </c>
      <c r="D230" s="1">
        <f>IF(B230="", "", "human-associated habitat")</f>
        <v>0</v>
      </c>
      <c r="G230" s="1">
        <f>IF(B230="", "", "years")</f>
        <v>0</v>
      </c>
      <c r="I230" s="1">
        <f>IF(B230="", "", "human")</f>
        <v>0</v>
      </c>
      <c r="K230" s="1">
        <f>IF(B230="", "", "cm")</f>
        <v>0</v>
      </c>
      <c r="L230" s="1">
        <f>IF(B230="", "", "Homo sapiens")</f>
        <v>0</v>
      </c>
      <c r="M230" s="1">
        <f>IF(B230="", "", "9606")</f>
        <v>0</v>
      </c>
      <c r="O230" s="1">
        <f>IF(B230="", "", "kg")</f>
        <v>0</v>
      </c>
    </row>
    <row r="231" spans="1:15">
      <c r="A231">
        <f>IF(COUNTBLANK(B231:Q231)&lt;&gt;COLUMNS(B231:Q231),230,"")</f>
        <v>0</v>
      </c>
      <c r="C231" s="1">
        <f>IF(B231="", "", "urban biome")</f>
        <v>0</v>
      </c>
      <c r="D231" s="1">
        <f>IF(B231="", "", "human-associated habitat")</f>
        <v>0</v>
      </c>
      <c r="G231" s="1">
        <f>IF(B231="", "", "years")</f>
        <v>0</v>
      </c>
      <c r="I231" s="1">
        <f>IF(B231="", "", "human")</f>
        <v>0</v>
      </c>
      <c r="K231" s="1">
        <f>IF(B231="", "", "cm")</f>
        <v>0</v>
      </c>
      <c r="L231" s="1">
        <f>IF(B231="", "", "Homo sapiens")</f>
        <v>0</v>
      </c>
      <c r="M231" s="1">
        <f>IF(B231="", "", "9606")</f>
        <v>0</v>
      </c>
      <c r="O231" s="1">
        <f>IF(B231="", "", "kg")</f>
        <v>0</v>
      </c>
    </row>
    <row r="232" spans="1:15">
      <c r="A232">
        <f>IF(COUNTBLANK(B232:Q232)&lt;&gt;COLUMNS(B232:Q232),231,"")</f>
        <v>0</v>
      </c>
      <c r="C232" s="1">
        <f>IF(B232="", "", "urban biome")</f>
        <v>0</v>
      </c>
      <c r="D232" s="1">
        <f>IF(B232="", "", "human-associated habitat")</f>
        <v>0</v>
      </c>
      <c r="G232" s="1">
        <f>IF(B232="", "", "years")</f>
        <v>0</v>
      </c>
      <c r="I232" s="1">
        <f>IF(B232="", "", "human")</f>
        <v>0</v>
      </c>
      <c r="K232" s="1">
        <f>IF(B232="", "", "cm")</f>
        <v>0</v>
      </c>
      <c r="L232" s="1">
        <f>IF(B232="", "", "Homo sapiens")</f>
        <v>0</v>
      </c>
      <c r="M232" s="1">
        <f>IF(B232="", "", "9606")</f>
        <v>0</v>
      </c>
      <c r="O232" s="1">
        <f>IF(B232="", "", "kg")</f>
        <v>0</v>
      </c>
    </row>
    <row r="233" spans="1:15">
      <c r="A233">
        <f>IF(COUNTBLANK(B233:Q233)&lt;&gt;COLUMNS(B233:Q233),232,"")</f>
        <v>0</v>
      </c>
      <c r="C233" s="1">
        <f>IF(B233="", "", "urban biome")</f>
        <v>0</v>
      </c>
      <c r="D233" s="1">
        <f>IF(B233="", "", "human-associated habitat")</f>
        <v>0</v>
      </c>
      <c r="G233" s="1">
        <f>IF(B233="", "", "years")</f>
        <v>0</v>
      </c>
      <c r="I233" s="1">
        <f>IF(B233="", "", "human")</f>
        <v>0</v>
      </c>
      <c r="K233" s="1">
        <f>IF(B233="", "", "cm")</f>
        <v>0</v>
      </c>
      <c r="L233" s="1">
        <f>IF(B233="", "", "Homo sapiens")</f>
        <v>0</v>
      </c>
      <c r="M233" s="1">
        <f>IF(B233="", "", "9606")</f>
        <v>0</v>
      </c>
      <c r="O233" s="1">
        <f>IF(B233="", "", "kg")</f>
        <v>0</v>
      </c>
    </row>
    <row r="234" spans="1:15">
      <c r="A234">
        <f>IF(COUNTBLANK(B234:Q234)&lt;&gt;COLUMNS(B234:Q234),233,"")</f>
        <v>0</v>
      </c>
      <c r="C234" s="1">
        <f>IF(B234="", "", "urban biome")</f>
        <v>0</v>
      </c>
      <c r="D234" s="1">
        <f>IF(B234="", "", "human-associated habitat")</f>
        <v>0</v>
      </c>
      <c r="G234" s="1">
        <f>IF(B234="", "", "years")</f>
        <v>0</v>
      </c>
      <c r="I234" s="1">
        <f>IF(B234="", "", "human")</f>
        <v>0</v>
      </c>
      <c r="K234" s="1">
        <f>IF(B234="", "", "cm")</f>
        <v>0</v>
      </c>
      <c r="L234" s="1">
        <f>IF(B234="", "", "Homo sapiens")</f>
        <v>0</v>
      </c>
      <c r="M234" s="1">
        <f>IF(B234="", "", "9606")</f>
        <v>0</v>
      </c>
      <c r="O234" s="1">
        <f>IF(B234="", "", "kg")</f>
        <v>0</v>
      </c>
    </row>
    <row r="235" spans="1:15">
      <c r="A235">
        <f>IF(COUNTBLANK(B235:Q235)&lt;&gt;COLUMNS(B235:Q235),234,"")</f>
        <v>0</v>
      </c>
      <c r="C235" s="1">
        <f>IF(B235="", "", "urban biome")</f>
        <v>0</v>
      </c>
      <c r="D235" s="1">
        <f>IF(B235="", "", "human-associated habitat")</f>
        <v>0</v>
      </c>
      <c r="G235" s="1">
        <f>IF(B235="", "", "years")</f>
        <v>0</v>
      </c>
      <c r="I235" s="1">
        <f>IF(B235="", "", "human")</f>
        <v>0</v>
      </c>
      <c r="K235" s="1">
        <f>IF(B235="", "", "cm")</f>
        <v>0</v>
      </c>
      <c r="L235" s="1">
        <f>IF(B235="", "", "Homo sapiens")</f>
        <v>0</v>
      </c>
      <c r="M235" s="1">
        <f>IF(B235="", "", "9606")</f>
        <v>0</v>
      </c>
      <c r="O235" s="1">
        <f>IF(B235="", "", "kg")</f>
        <v>0</v>
      </c>
    </row>
    <row r="236" spans="1:15">
      <c r="A236">
        <f>IF(COUNTBLANK(B236:Q236)&lt;&gt;COLUMNS(B236:Q236),235,"")</f>
        <v>0</v>
      </c>
      <c r="C236" s="1">
        <f>IF(B236="", "", "urban biome")</f>
        <v>0</v>
      </c>
      <c r="D236" s="1">
        <f>IF(B236="", "", "human-associated habitat")</f>
        <v>0</v>
      </c>
      <c r="G236" s="1">
        <f>IF(B236="", "", "years")</f>
        <v>0</v>
      </c>
      <c r="I236" s="1">
        <f>IF(B236="", "", "human")</f>
        <v>0</v>
      </c>
      <c r="K236" s="1">
        <f>IF(B236="", "", "cm")</f>
        <v>0</v>
      </c>
      <c r="L236" s="1">
        <f>IF(B236="", "", "Homo sapiens")</f>
        <v>0</v>
      </c>
      <c r="M236" s="1">
        <f>IF(B236="", "", "9606")</f>
        <v>0</v>
      </c>
      <c r="O236" s="1">
        <f>IF(B236="", "", "kg")</f>
        <v>0</v>
      </c>
    </row>
    <row r="237" spans="1:15">
      <c r="A237">
        <f>IF(COUNTBLANK(B237:Q237)&lt;&gt;COLUMNS(B237:Q237),236,"")</f>
        <v>0</v>
      </c>
      <c r="C237" s="1">
        <f>IF(B237="", "", "urban biome")</f>
        <v>0</v>
      </c>
      <c r="D237" s="1">
        <f>IF(B237="", "", "human-associated habitat")</f>
        <v>0</v>
      </c>
      <c r="G237" s="1">
        <f>IF(B237="", "", "years")</f>
        <v>0</v>
      </c>
      <c r="I237" s="1">
        <f>IF(B237="", "", "human")</f>
        <v>0</v>
      </c>
      <c r="K237" s="1">
        <f>IF(B237="", "", "cm")</f>
        <v>0</v>
      </c>
      <c r="L237" s="1">
        <f>IF(B237="", "", "Homo sapiens")</f>
        <v>0</v>
      </c>
      <c r="M237" s="1">
        <f>IF(B237="", "", "9606")</f>
        <v>0</v>
      </c>
      <c r="O237" s="1">
        <f>IF(B237="", "", "kg")</f>
        <v>0</v>
      </c>
    </row>
    <row r="238" spans="1:15">
      <c r="A238">
        <f>IF(COUNTBLANK(B238:Q238)&lt;&gt;COLUMNS(B238:Q238),237,"")</f>
        <v>0</v>
      </c>
      <c r="C238" s="1">
        <f>IF(B238="", "", "urban biome")</f>
        <v>0</v>
      </c>
      <c r="D238" s="1">
        <f>IF(B238="", "", "human-associated habitat")</f>
        <v>0</v>
      </c>
      <c r="G238" s="1">
        <f>IF(B238="", "", "years")</f>
        <v>0</v>
      </c>
      <c r="I238" s="1">
        <f>IF(B238="", "", "human")</f>
        <v>0</v>
      </c>
      <c r="K238" s="1">
        <f>IF(B238="", "", "cm")</f>
        <v>0</v>
      </c>
      <c r="L238" s="1">
        <f>IF(B238="", "", "Homo sapiens")</f>
        <v>0</v>
      </c>
      <c r="M238" s="1">
        <f>IF(B238="", "", "9606")</f>
        <v>0</v>
      </c>
      <c r="O238" s="1">
        <f>IF(B238="", "", "kg")</f>
        <v>0</v>
      </c>
    </row>
    <row r="239" spans="1:15">
      <c r="A239">
        <f>IF(COUNTBLANK(B239:Q239)&lt;&gt;COLUMNS(B239:Q239),238,"")</f>
        <v>0</v>
      </c>
      <c r="C239" s="1">
        <f>IF(B239="", "", "urban biome")</f>
        <v>0</v>
      </c>
      <c r="D239" s="1">
        <f>IF(B239="", "", "human-associated habitat")</f>
        <v>0</v>
      </c>
      <c r="G239" s="1">
        <f>IF(B239="", "", "years")</f>
        <v>0</v>
      </c>
      <c r="I239" s="1">
        <f>IF(B239="", "", "human")</f>
        <v>0</v>
      </c>
      <c r="K239" s="1">
        <f>IF(B239="", "", "cm")</f>
        <v>0</v>
      </c>
      <c r="L239" s="1">
        <f>IF(B239="", "", "Homo sapiens")</f>
        <v>0</v>
      </c>
      <c r="M239" s="1">
        <f>IF(B239="", "", "9606")</f>
        <v>0</v>
      </c>
      <c r="O239" s="1">
        <f>IF(B239="", "", "kg")</f>
        <v>0</v>
      </c>
    </row>
    <row r="240" spans="1:15">
      <c r="A240">
        <f>IF(COUNTBLANK(B240:Q240)&lt;&gt;COLUMNS(B240:Q240),239,"")</f>
        <v>0</v>
      </c>
      <c r="C240" s="1">
        <f>IF(B240="", "", "urban biome")</f>
        <v>0</v>
      </c>
      <c r="D240" s="1">
        <f>IF(B240="", "", "human-associated habitat")</f>
        <v>0</v>
      </c>
      <c r="G240" s="1">
        <f>IF(B240="", "", "years")</f>
        <v>0</v>
      </c>
      <c r="I240" s="1">
        <f>IF(B240="", "", "human")</f>
        <v>0</v>
      </c>
      <c r="K240" s="1">
        <f>IF(B240="", "", "cm")</f>
        <v>0</v>
      </c>
      <c r="L240" s="1">
        <f>IF(B240="", "", "Homo sapiens")</f>
        <v>0</v>
      </c>
      <c r="M240" s="1">
        <f>IF(B240="", "", "9606")</f>
        <v>0</v>
      </c>
      <c r="O240" s="1">
        <f>IF(B240="", "", "kg")</f>
        <v>0</v>
      </c>
    </row>
    <row r="241" spans="1:15">
      <c r="A241">
        <f>IF(COUNTBLANK(B241:Q241)&lt;&gt;COLUMNS(B241:Q241),240,"")</f>
        <v>0</v>
      </c>
      <c r="C241" s="1">
        <f>IF(B241="", "", "urban biome")</f>
        <v>0</v>
      </c>
      <c r="D241" s="1">
        <f>IF(B241="", "", "human-associated habitat")</f>
        <v>0</v>
      </c>
      <c r="G241" s="1">
        <f>IF(B241="", "", "years")</f>
        <v>0</v>
      </c>
      <c r="I241" s="1">
        <f>IF(B241="", "", "human")</f>
        <v>0</v>
      </c>
      <c r="K241" s="1">
        <f>IF(B241="", "", "cm")</f>
        <v>0</v>
      </c>
      <c r="L241" s="1">
        <f>IF(B241="", "", "Homo sapiens")</f>
        <v>0</v>
      </c>
      <c r="M241" s="1">
        <f>IF(B241="", "", "9606")</f>
        <v>0</v>
      </c>
      <c r="O241" s="1">
        <f>IF(B241="", "", "kg")</f>
        <v>0</v>
      </c>
    </row>
    <row r="242" spans="1:15">
      <c r="A242">
        <f>IF(COUNTBLANK(B242:Q242)&lt;&gt;COLUMNS(B242:Q242),241,"")</f>
        <v>0</v>
      </c>
      <c r="C242" s="1">
        <f>IF(B242="", "", "urban biome")</f>
        <v>0</v>
      </c>
      <c r="D242" s="1">
        <f>IF(B242="", "", "human-associated habitat")</f>
        <v>0</v>
      </c>
      <c r="G242" s="1">
        <f>IF(B242="", "", "years")</f>
        <v>0</v>
      </c>
      <c r="I242" s="1">
        <f>IF(B242="", "", "human")</f>
        <v>0</v>
      </c>
      <c r="K242" s="1">
        <f>IF(B242="", "", "cm")</f>
        <v>0</v>
      </c>
      <c r="L242" s="1">
        <f>IF(B242="", "", "Homo sapiens")</f>
        <v>0</v>
      </c>
      <c r="M242" s="1">
        <f>IF(B242="", "", "9606")</f>
        <v>0</v>
      </c>
      <c r="O242" s="1">
        <f>IF(B242="", "", "kg")</f>
        <v>0</v>
      </c>
    </row>
    <row r="243" spans="1:15">
      <c r="A243">
        <f>IF(COUNTBLANK(B243:Q243)&lt;&gt;COLUMNS(B243:Q243),242,"")</f>
        <v>0</v>
      </c>
      <c r="C243" s="1">
        <f>IF(B243="", "", "urban biome")</f>
        <v>0</v>
      </c>
      <c r="D243" s="1">
        <f>IF(B243="", "", "human-associated habitat")</f>
        <v>0</v>
      </c>
      <c r="G243" s="1">
        <f>IF(B243="", "", "years")</f>
        <v>0</v>
      </c>
      <c r="I243" s="1">
        <f>IF(B243="", "", "human")</f>
        <v>0</v>
      </c>
      <c r="K243" s="1">
        <f>IF(B243="", "", "cm")</f>
        <v>0</v>
      </c>
      <c r="L243" s="1">
        <f>IF(B243="", "", "Homo sapiens")</f>
        <v>0</v>
      </c>
      <c r="M243" s="1">
        <f>IF(B243="", "", "9606")</f>
        <v>0</v>
      </c>
      <c r="O243" s="1">
        <f>IF(B243="", "", "kg")</f>
        <v>0</v>
      </c>
    </row>
    <row r="244" spans="1:15">
      <c r="A244">
        <f>IF(COUNTBLANK(B244:Q244)&lt;&gt;COLUMNS(B244:Q244),243,"")</f>
        <v>0</v>
      </c>
      <c r="C244" s="1">
        <f>IF(B244="", "", "urban biome")</f>
        <v>0</v>
      </c>
      <c r="D244" s="1">
        <f>IF(B244="", "", "human-associated habitat")</f>
        <v>0</v>
      </c>
      <c r="G244" s="1">
        <f>IF(B244="", "", "years")</f>
        <v>0</v>
      </c>
      <c r="I244" s="1">
        <f>IF(B244="", "", "human")</f>
        <v>0</v>
      </c>
      <c r="K244" s="1">
        <f>IF(B244="", "", "cm")</f>
        <v>0</v>
      </c>
      <c r="L244" s="1">
        <f>IF(B244="", "", "Homo sapiens")</f>
        <v>0</v>
      </c>
      <c r="M244" s="1">
        <f>IF(B244="", "", "9606")</f>
        <v>0</v>
      </c>
      <c r="O244" s="1">
        <f>IF(B244="", "", "kg")</f>
        <v>0</v>
      </c>
    </row>
    <row r="245" spans="1:15">
      <c r="A245">
        <f>IF(COUNTBLANK(B245:Q245)&lt;&gt;COLUMNS(B245:Q245),244,"")</f>
        <v>0</v>
      </c>
      <c r="C245" s="1">
        <f>IF(B245="", "", "urban biome")</f>
        <v>0</v>
      </c>
      <c r="D245" s="1">
        <f>IF(B245="", "", "human-associated habitat")</f>
        <v>0</v>
      </c>
      <c r="G245" s="1">
        <f>IF(B245="", "", "years")</f>
        <v>0</v>
      </c>
      <c r="I245" s="1">
        <f>IF(B245="", "", "human")</f>
        <v>0</v>
      </c>
      <c r="K245" s="1">
        <f>IF(B245="", "", "cm")</f>
        <v>0</v>
      </c>
      <c r="L245" s="1">
        <f>IF(B245="", "", "Homo sapiens")</f>
        <v>0</v>
      </c>
      <c r="M245" s="1">
        <f>IF(B245="", "", "9606")</f>
        <v>0</v>
      </c>
      <c r="O245" s="1">
        <f>IF(B245="", "", "kg")</f>
        <v>0</v>
      </c>
    </row>
    <row r="246" spans="1:15">
      <c r="A246">
        <f>IF(COUNTBLANK(B246:Q246)&lt;&gt;COLUMNS(B246:Q246),245,"")</f>
        <v>0</v>
      </c>
      <c r="C246" s="1">
        <f>IF(B246="", "", "urban biome")</f>
        <v>0</v>
      </c>
      <c r="D246" s="1">
        <f>IF(B246="", "", "human-associated habitat")</f>
        <v>0</v>
      </c>
      <c r="G246" s="1">
        <f>IF(B246="", "", "years")</f>
        <v>0</v>
      </c>
      <c r="I246" s="1">
        <f>IF(B246="", "", "human")</f>
        <v>0</v>
      </c>
      <c r="K246" s="1">
        <f>IF(B246="", "", "cm")</f>
        <v>0</v>
      </c>
      <c r="L246" s="1">
        <f>IF(B246="", "", "Homo sapiens")</f>
        <v>0</v>
      </c>
      <c r="M246" s="1">
        <f>IF(B246="", "", "9606")</f>
        <v>0</v>
      </c>
      <c r="O246" s="1">
        <f>IF(B246="", "", "kg")</f>
        <v>0</v>
      </c>
    </row>
    <row r="247" spans="1:15">
      <c r="A247">
        <f>IF(COUNTBLANK(B247:Q247)&lt;&gt;COLUMNS(B247:Q247),246,"")</f>
        <v>0</v>
      </c>
      <c r="C247" s="1">
        <f>IF(B247="", "", "urban biome")</f>
        <v>0</v>
      </c>
      <c r="D247" s="1">
        <f>IF(B247="", "", "human-associated habitat")</f>
        <v>0</v>
      </c>
      <c r="G247" s="1">
        <f>IF(B247="", "", "years")</f>
        <v>0</v>
      </c>
      <c r="I247" s="1">
        <f>IF(B247="", "", "human")</f>
        <v>0</v>
      </c>
      <c r="K247" s="1">
        <f>IF(B247="", "", "cm")</f>
        <v>0</v>
      </c>
      <c r="L247" s="1">
        <f>IF(B247="", "", "Homo sapiens")</f>
        <v>0</v>
      </c>
      <c r="M247" s="1">
        <f>IF(B247="", "", "9606")</f>
        <v>0</v>
      </c>
      <c r="O247" s="1">
        <f>IF(B247="", "", "kg")</f>
        <v>0</v>
      </c>
    </row>
    <row r="248" spans="1:15">
      <c r="A248">
        <f>IF(COUNTBLANK(B248:Q248)&lt;&gt;COLUMNS(B248:Q248),247,"")</f>
        <v>0</v>
      </c>
      <c r="C248" s="1">
        <f>IF(B248="", "", "urban biome")</f>
        <v>0</v>
      </c>
      <c r="D248" s="1">
        <f>IF(B248="", "", "human-associated habitat")</f>
        <v>0</v>
      </c>
      <c r="G248" s="1">
        <f>IF(B248="", "", "years")</f>
        <v>0</v>
      </c>
      <c r="I248" s="1">
        <f>IF(B248="", "", "human")</f>
        <v>0</v>
      </c>
      <c r="K248" s="1">
        <f>IF(B248="", "", "cm")</f>
        <v>0</v>
      </c>
      <c r="L248" s="1">
        <f>IF(B248="", "", "Homo sapiens")</f>
        <v>0</v>
      </c>
      <c r="M248" s="1">
        <f>IF(B248="", "", "9606")</f>
        <v>0</v>
      </c>
      <c r="O248" s="1">
        <f>IF(B248="", "", "kg")</f>
        <v>0</v>
      </c>
    </row>
    <row r="249" spans="1:15">
      <c r="A249">
        <f>IF(COUNTBLANK(B249:Q249)&lt;&gt;COLUMNS(B249:Q249),248,"")</f>
        <v>0</v>
      </c>
      <c r="C249" s="1">
        <f>IF(B249="", "", "urban biome")</f>
        <v>0</v>
      </c>
      <c r="D249" s="1">
        <f>IF(B249="", "", "human-associated habitat")</f>
        <v>0</v>
      </c>
      <c r="G249" s="1">
        <f>IF(B249="", "", "years")</f>
        <v>0</v>
      </c>
      <c r="I249" s="1">
        <f>IF(B249="", "", "human")</f>
        <v>0</v>
      </c>
      <c r="K249" s="1">
        <f>IF(B249="", "", "cm")</f>
        <v>0</v>
      </c>
      <c r="L249" s="1">
        <f>IF(B249="", "", "Homo sapiens")</f>
        <v>0</v>
      </c>
      <c r="M249" s="1">
        <f>IF(B249="", "", "9606")</f>
        <v>0</v>
      </c>
      <c r="O249" s="1">
        <f>IF(B249="", "", "kg")</f>
        <v>0</v>
      </c>
    </row>
    <row r="250" spans="1:15">
      <c r="A250">
        <f>IF(COUNTBLANK(B250:Q250)&lt;&gt;COLUMNS(B250:Q250),249,"")</f>
        <v>0</v>
      </c>
      <c r="C250" s="1">
        <f>IF(B250="", "", "urban biome")</f>
        <v>0</v>
      </c>
      <c r="D250" s="1">
        <f>IF(B250="", "", "human-associated habitat")</f>
        <v>0</v>
      </c>
      <c r="G250" s="1">
        <f>IF(B250="", "", "years")</f>
        <v>0</v>
      </c>
      <c r="I250" s="1">
        <f>IF(B250="", "", "human")</f>
        <v>0</v>
      </c>
      <c r="K250" s="1">
        <f>IF(B250="", "", "cm")</f>
        <v>0</v>
      </c>
      <c r="L250" s="1">
        <f>IF(B250="", "", "Homo sapiens")</f>
        <v>0</v>
      </c>
      <c r="M250" s="1">
        <f>IF(B250="", "", "9606")</f>
        <v>0</v>
      </c>
      <c r="O250" s="1">
        <f>IF(B250="", "", "kg")</f>
        <v>0</v>
      </c>
    </row>
    <row r="251" spans="1:15">
      <c r="A251">
        <f>IF(COUNTBLANK(B251:Q251)&lt;&gt;COLUMNS(B251:Q251),250,"")</f>
        <v>0</v>
      </c>
      <c r="C251" s="1">
        <f>IF(B251="", "", "urban biome")</f>
        <v>0</v>
      </c>
      <c r="D251" s="1">
        <f>IF(B251="", "", "human-associated habitat")</f>
        <v>0</v>
      </c>
      <c r="G251" s="1">
        <f>IF(B251="", "", "years")</f>
        <v>0</v>
      </c>
      <c r="I251" s="1">
        <f>IF(B251="", "", "human")</f>
        <v>0</v>
      </c>
      <c r="K251" s="1">
        <f>IF(B251="", "", "cm")</f>
        <v>0</v>
      </c>
      <c r="L251" s="1">
        <f>IF(B251="", "", "Homo sapiens")</f>
        <v>0</v>
      </c>
      <c r="M251" s="1">
        <f>IF(B251="", "", "9606")</f>
        <v>0</v>
      </c>
      <c r="O251" s="1">
        <f>IF(B251="", "", "kg")</f>
        <v>0</v>
      </c>
    </row>
    <row r="252" spans="1:15">
      <c r="A252">
        <f>IF(COUNTBLANK(B252:Q252)&lt;&gt;COLUMNS(B252:Q252),251,"")</f>
        <v>0</v>
      </c>
      <c r="C252" s="1">
        <f>IF(B252="", "", "urban biome")</f>
        <v>0</v>
      </c>
      <c r="D252" s="1">
        <f>IF(B252="", "", "human-associated habitat")</f>
        <v>0</v>
      </c>
      <c r="G252" s="1">
        <f>IF(B252="", "", "years")</f>
        <v>0</v>
      </c>
      <c r="I252" s="1">
        <f>IF(B252="", "", "human")</f>
        <v>0</v>
      </c>
      <c r="K252" s="1">
        <f>IF(B252="", "", "cm")</f>
        <v>0</v>
      </c>
      <c r="L252" s="1">
        <f>IF(B252="", "", "Homo sapiens")</f>
        <v>0</v>
      </c>
      <c r="M252" s="1">
        <f>IF(B252="", "", "9606")</f>
        <v>0</v>
      </c>
      <c r="O252" s="1">
        <f>IF(B252="", "", "kg")</f>
        <v>0</v>
      </c>
    </row>
    <row r="253" spans="1:15">
      <c r="A253">
        <f>IF(COUNTBLANK(B253:Q253)&lt;&gt;COLUMNS(B253:Q253),252,"")</f>
        <v>0</v>
      </c>
      <c r="C253" s="1">
        <f>IF(B253="", "", "urban biome")</f>
        <v>0</v>
      </c>
      <c r="D253" s="1">
        <f>IF(B253="", "", "human-associated habitat")</f>
        <v>0</v>
      </c>
      <c r="G253" s="1">
        <f>IF(B253="", "", "years")</f>
        <v>0</v>
      </c>
      <c r="I253" s="1">
        <f>IF(B253="", "", "human")</f>
        <v>0</v>
      </c>
      <c r="K253" s="1">
        <f>IF(B253="", "", "cm")</f>
        <v>0</v>
      </c>
      <c r="L253" s="1">
        <f>IF(B253="", "", "Homo sapiens")</f>
        <v>0</v>
      </c>
      <c r="M253" s="1">
        <f>IF(B253="", "", "9606")</f>
        <v>0</v>
      </c>
      <c r="O253" s="1">
        <f>IF(B253="", "", "kg")</f>
        <v>0</v>
      </c>
    </row>
    <row r="254" spans="1:15">
      <c r="A254">
        <f>IF(COUNTBLANK(B254:Q254)&lt;&gt;COLUMNS(B254:Q254),253,"")</f>
        <v>0</v>
      </c>
      <c r="C254" s="1">
        <f>IF(B254="", "", "urban biome")</f>
        <v>0</v>
      </c>
      <c r="D254" s="1">
        <f>IF(B254="", "", "human-associated habitat")</f>
        <v>0</v>
      </c>
      <c r="G254" s="1">
        <f>IF(B254="", "", "years")</f>
        <v>0</v>
      </c>
      <c r="I254" s="1">
        <f>IF(B254="", "", "human")</f>
        <v>0</v>
      </c>
      <c r="K254" s="1">
        <f>IF(B254="", "", "cm")</f>
        <v>0</v>
      </c>
      <c r="L254" s="1">
        <f>IF(B254="", "", "Homo sapiens")</f>
        <v>0</v>
      </c>
      <c r="M254" s="1">
        <f>IF(B254="", "", "9606")</f>
        <v>0</v>
      </c>
      <c r="O254" s="1">
        <f>IF(B254="", "", "kg")</f>
        <v>0</v>
      </c>
    </row>
    <row r="255" spans="1:15">
      <c r="A255">
        <f>IF(COUNTBLANK(B255:Q255)&lt;&gt;COLUMNS(B255:Q255),254,"")</f>
        <v>0</v>
      </c>
      <c r="C255" s="1">
        <f>IF(B255="", "", "urban biome")</f>
        <v>0</v>
      </c>
      <c r="D255" s="1">
        <f>IF(B255="", "", "human-associated habitat")</f>
        <v>0</v>
      </c>
      <c r="G255" s="1">
        <f>IF(B255="", "", "years")</f>
        <v>0</v>
      </c>
      <c r="I255" s="1">
        <f>IF(B255="", "", "human")</f>
        <v>0</v>
      </c>
      <c r="K255" s="1">
        <f>IF(B255="", "", "cm")</f>
        <v>0</v>
      </c>
      <c r="L255" s="1">
        <f>IF(B255="", "", "Homo sapiens")</f>
        <v>0</v>
      </c>
      <c r="M255" s="1">
        <f>IF(B255="", "", "9606")</f>
        <v>0</v>
      </c>
      <c r="O255" s="1">
        <f>IF(B255="", "", "kg")</f>
        <v>0</v>
      </c>
    </row>
    <row r="256" spans="1:15">
      <c r="A256">
        <f>IF(COUNTBLANK(B256:Q256)&lt;&gt;COLUMNS(B256:Q256),255,"")</f>
        <v>0</v>
      </c>
      <c r="C256" s="1">
        <f>IF(B256="", "", "urban biome")</f>
        <v>0</v>
      </c>
      <c r="D256" s="1">
        <f>IF(B256="", "", "human-associated habitat")</f>
        <v>0</v>
      </c>
      <c r="G256" s="1">
        <f>IF(B256="", "", "years")</f>
        <v>0</v>
      </c>
      <c r="I256" s="1">
        <f>IF(B256="", "", "human")</f>
        <v>0</v>
      </c>
      <c r="K256" s="1">
        <f>IF(B256="", "", "cm")</f>
        <v>0</v>
      </c>
      <c r="L256" s="1">
        <f>IF(B256="", "", "Homo sapiens")</f>
        <v>0</v>
      </c>
      <c r="M256" s="1">
        <f>IF(B256="", "", "9606")</f>
        <v>0</v>
      </c>
      <c r="O256" s="1">
        <f>IF(B256="", "", "kg")</f>
        <v>0</v>
      </c>
    </row>
    <row r="257" spans="1:15">
      <c r="A257">
        <f>IF(COUNTBLANK(B257:Q257)&lt;&gt;COLUMNS(B257:Q257),256,"")</f>
        <v>0</v>
      </c>
      <c r="C257" s="1">
        <f>IF(B257="", "", "urban biome")</f>
        <v>0</v>
      </c>
      <c r="D257" s="1">
        <f>IF(B257="", "", "human-associated habitat")</f>
        <v>0</v>
      </c>
      <c r="G257" s="1">
        <f>IF(B257="", "", "years")</f>
        <v>0</v>
      </c>
      <c r="I257" s="1">
        <f>IF(B257="", "", "human")</f>
        <v>0</v>
      </c>
      <c r="K257" s="1">
        <f>IF(B257="", "", "cm")</f>
        <v>0</v>
      </c>
      <c r="L257" s="1">
        <f>IF(B257="", "", "Homo sapiens")</f>
        <v>0</v>
      </c>
      <c r="M257" s="1">
        <f>IF(B257="", "", "9606")</f>
        <v>0</v>
      </c>
      <c r="O257" s="1">
        <f>IF(B257="", "", "kg")</f>
        <v>0</v>
      </c>
    </row>
    <row r="258" spans="1:15">
      <c r="A258">
        <f>IF(COUNTBLANK(B258:Q258)&lt;&gt;COLUMNS(B258:Q258),257,"")</f>
        <v>0</v>
      </c>
      <c r="C258" s="1">
        <f>IF(B258="", "", "urban biome")</f>
        <v>0</v>
      </c>
      <c r="D258" s="1">
        <f>IF(B258="", "", "human-associated habitat")</f>
        <v>0</v>
      </c>
      <c r="G258" s="1">
        <f>IF(B258="", "", "years")</f>
        <v>0</v>
      </c>
      <c r="I258" s="1">
        <f>IF(B258="", "", "human")</f>
        <v>0</v>
      </c>
      <c r="K258" s="1">
        <f>IF(B258="", "", "cm")</f>
        <v>0</v>
      </c>
      <c r="L258" s="1">
        <f>IF(B258="", "", "Homo sapiens")</f>
        <v>0</v>
      </c>
      <c r="M258" s="1">
        <f>IF(B258="", "", "9606")</f>
        <v>0</v>
      </c>
      <c r="O258" s="1">
        <f>IF(B258="", "", "kg")</f>
        <v>0</v>
      </c>
    </row>
    <row r="259" spans="1:15">
      <c r="A259">
        <f>IF(COUNTBLANK(B259:Q259)&lt;&gt;COLUMNS(B259:Q259),258,"")</f>
        <v>0</v>
      </c>
      <c r="C259" s="1">
        <f>IF(B259="", "", "urban biome")</f>
        <v>0</v>
      </c>
      <c r="D259" s="1">
        <f>IF(B259="", "", "human-associated habitat")</f>
        <v>0</v>
      </c>
      <c r="G259" s="1">
        <f>IF(B259="", "", "years")</f>
        <v>0</v>
      </c>
      <c r="I259" s="1">
        <f>IF(B259="", "", "human")</f>
        <v>0</v>
      </c>
      <c r="K259" s="1">
        <f>IF(B259="", "", "cm")</f>
        <v>0</v>
      </c>
      <c r="L259" s="1">
        <f>IF(B259="", "", "Homo sapiens")</f>
        <v>0</v>
      </c>
      <c r="M259" s="1">
        <f>IF(B259="", "", "9606")</f>
        <v>0</v>
      </c>
      <c r="O259" s="1">
        <f>IF(B259="", "", "kg")</f>
        <v>0</v>
      </c>
    </row>
    <row r="260" spans="1:15">
      <c r="A260">
        <f>IF(COUNTBLANK(B260:Q260)&lt;&gt;COLUMNS(B260:Q260),259,"")</f>
        <v>0</v>
      </c>
      <c r="C260" s="1">
        <f>IF(B260="", "", "urban biome")</f>
        <v>0</v>
      </c>
      <c r="D260" s="1">
        <f>IF(B260="", "", "human-associated habitat")</f>
        <v>0</v>
      </c>
      <c r="G260" s="1">
        <f>IF(B260="", "", "years")</f>
        <v>0</v>
      </c>
      <c r="I260" s="1">
        <f>IF(B260="", "", "human")</f>
        <v>0</v>
      </c>
      <c r="K260" s="1">
        <f>IF(B260="", "", "cm")</f>
        <v>0</v>
      </c>
      <c r="L260" s="1">
        <f>IF(B260="", "", "Homo sapiens")</f>
        <v>0</v>
      </c>
      <c r="M260" s="1">
        <f>IF(B260="", "", "9606")</f>
        <v>0</v>
      </c>
      <c r="O260" s="1">
        <f>IF(B260="", "", "kg")</f>
        <v>0</v>
      </c>
    </row>
    <row r="261" spans="1:15">
      <c r="A261">
        <f>IF(COUNTBLANK(B261:Q261)&lt;&gt;COLUMNS(B261:Q261),260,"")</f>
        <v>0</v>
      </c>
      <c r="C261" s="1">
        <f>IF(B261="", "", "urban biome")</f>
        <v>0</v>
      </c>
      <c r="D261" s="1">
        <f>IF(B261="", "", "human-associated habitat")</f>
        <v>0</v>
      </c>
      <c r="G261" s="1">
        <f>IF(B261="", "", "years")</f>
        <v>0</v>
      </c>
      <c r="I261" s="1">
        <f>IF(B261="", "", "human")</f>
        <v>0</v>
      </c>
      <c r="K261" s="1">
        <f>IF(B261="", "", "cm")</f>
        <v>0</v>
      </c>
      <c r="L261" s="1">
        <f>IF(B261="", "", "Homo sapiens")</f>
        <v>0</v>
      </c>
      <c r="M261" s="1">
        <f>IF(B261="", "", "9606")</f>
        <v>0</v>
      </c>
      <c r="O261" s="1">
        <f>IF(B261="", "", "kg")</f>
        <v>0</v>
      </c>
    </row>
    <row r="262" spans="1:15">
      <c r="A262">
        <f>IF(COUNTBLANK(B262:Q262)&lt;&gt;COLUMNS(B262:Q262),261,"")</f>
        <v>0</v>
      </c>
      <c r="C262" s="1">
        <f>IF(B262="", "", "urban biome")</f>
        <v>0</v>
      </c>
      <c r="D262" s="1">
        <f>IF(B262="", "", "human-associated habitat")</f>
        <v>0</v>
      </c>
      <c r="G262" s="1">
        <f>IF(B262="", "", "years")</f>
        <v>0</v>
      </c>
      <c r="I262" s="1">
        <f>IF(B262="", "", "human")</f>
        <v>0</v>
      </c>
      <c r="K262" s="1">
        <f>IF(B262="", "", "cm")</f>
        <v>0</v>
      </c>
      <c r="L262" s="1">
        <f>IF(B262="", "", "Homo sapiens")</f>
        <v>0</v>
      </c>
      <c r="M262" s="1">
        <f>IF(B262="", "", "9606")</f>
        <v>0</v>
      </c>
      <c r="O262" s="1">
        <f>IF(B262="", "", "kg")</f>
        <v>0</v>
      </c>
    </row>
    <row r="263" spans="1:15">
      <c r="A263">
        <f>IF(COUNTBLANK(B263:Q263)&lt;&gt;COLUMNS(B263:Q263),262,"")</f>
        <v>0</v>
      </c>
      <c r="C263" s="1">
        <f>IF(B263="", "", "urban biome")</f>
        <v>0</v>
      </c>
      <c r="D263" s="1">
        <f>IF(B263="", "", "human-associated habitat")</f>
        <v>0</v>
      </c>
      <c r="G263" s="1">
        <f>IF(B263="", "", "years")</f>
        <v>0</v>
      </c>
      <c r="I263" s="1">
        <f>IF(B263="", "", "human")</f>
        <v>0</v>
      </c>
      <c r="K263" s="1">
        <f>IF(B263="", "", "cm")</f>
        <v>0</v>
      </c>
      <c r="L263" s="1">
        <f>IF(B263="", "", "Homo sapiens")</f>
        <v>0</v>
      </c>
      <c r="M263" s="1">
        <f>IF(B263="", "", "9606")</f>
        <v>0</v>
      </c>
      <c r="O263" s="1">
        <f>IF(B263="", "", "kg")</f>
        <v>0</v>
      </c>
    </row>
    <row r="264" spans="1:15">
      <c r="A264">
        <f>IF(COUNTBLANK(B264:Q264)&lt;&gt;COLUMNS(B264:Q264),263,"")</f>
        <v>0</v>
      </c>
      <c r="C264" s="1">
        <f>IF(B264="", "", "urban biome")</f>
        <v>0</v>
      </c>
      <c r="D264" s="1">
        <f>IF(B264="", "", "human-associated habitat")</f>
        <v>0</v>
      </c>
      <c r="G264" s="1">
        <f>IF(B264="", "", "years")</f>
        <v>0</v>
      </c>
      <c r="I264" s="1">
        <f>IF(B264="", "", "human")</f>
        <v>0</v>
      </c>
      <c r="K264" s="1">
        <f>IF(B264="", "", "cm")</f>
        <v>0</v>
      </c>
      <c r="L264" s="1">
        <f>IF(B264="", "", "Homo sapiens")</f>
        <v>0</v>
      </c>
      <c r="M264" s="1">
        <f>IF(B264="", "", "9606")</f>
        <v>0</v>
      </c>
      <c r="O264" s="1">
        <f>IF(B264="", "", "kg")</f>
        <v>0</v>
      </c>
    </row>
    <row r="265" spans="1:15">
      <c r="A265">
        <f>IF(COUNTBLANK(B265:Q265)&lt;&gt;COLUMNS(B265:Q265),264,"")</f>
        <v>0</v>
      </c>
      <c r="C265" s="1">
        <f>IF(B265="", "", "urban biome")</f>
        <v>0</v>
      </c>
      <c r="D265" s="1">
        <f>IF(B265="", "", "human-associated habitat")</f>
        <v>0</v>
      </c>
      <c r="G265" s="1">
        <f>IF(B265="", "", "years")</f>
        <v>0</v>
      </c>
      <c r="I265" s="1">
        <f>IF(B265="", "", "human")</f>
        <v>0</v>
      </c>
      <c r="K265" s="1">
        <f>IF(B265="", "", "cm")</f>
        <v>0</v>
      </c>
      <c r="L265" s="1">
        <f>IF(B265="", "", "Homo sapiens")</f>
        <v>0</v>
      </c>
      <c r="M265" s="1">
        <f>IF(B265="", "", "9606")</f>
        <v>0</v>
      </c>
      <c r="O265" s="1">
        <f>IF(B265="", "", "kg")</f>
        <v>0</v>
      </c>
    </row>
    <row r="266" spans="1:15">
      <c r="A266">
        <f>IF(COUNTBLANK(B266:Q266)&lt;&gt;COLUMNS(B266:Q266),265,"")</f>
        <v>0</v>
      </c>
      <c r="C266" s="1">
        <f>IF(B266="", "", "urban biome")</f>
        <v>0</v>
      </c>
      <c r="D266" s="1">
        <f>IF(B266="", "", "human-associated habitat")</f>
        <v>0</v>
      </c>
      <c r="G266" s="1">
        <f>IF(B266="", "", "years")</f>
        <v>0</v>
      </c>
      <c r="I266" s="1">
        <f>IF(B266="", "", "human")</f>
        <v>0</v>
      </c>
      <c r="K266" s="1">
        <f>IF(B266="", "", "cm")</f>
        <v>0</v>
      </c>
      <c r="L266" s="1">
        <f>IF(B266="", "", "Homo sapiens")</f>
        <v>0</v>
      </c>
      <c r="M266" s="1">
        <f>IF(B266="", "", "9606")</f>
        <v>0</v>
      </c>
      <c r="O266" s="1">
        <f>IF(B266="", "", "kg")</f>
        <v>0</v>
      </c>
    </row>
    <row r="267" spans="1:15">
      <c r="A267">
        <f>IF(COUNTBLANK(B267:Q267)&lt;&gt;COLUMNS(B267:Q267),266,"")</f>
        <v>0</v>
      </c>
      <c r="C267" s="1">
        <f>IF(B267="", "", "urban biome")</f>
        <v>0</v>
      </c>
      <c r="D267" s="1">
        <f>IF(B267="", "", "human-associated habitat")</f>
        <v>0</v>
      </c>
      <c r="G267" s="1">
        <f>IF(B267="", "", "years")</f>
        <v>0</v>
      </c>
      <c r="I267" s="1">
        <f>IF(B267="", "", "human")</f>
        <v>0</v>
      </c>
      <c r="K267" s="1">
        <f>IF(B267="", "", "cm")</f>
        <v>0</v>
      </c>
      <c r="L267" s="1">
        <f>IF(B267="", "", "Homo sapiens")</f>
        <v>0</v>
      </c>
      <c r="M267" s="1">
        <f>IF(B267="", "", "9606")</f>
        <v>0</v>
      </c>
      <c r="O267" s="1">
        <f>IF(B267="", "", "kg")</f>
        <v>0</v>
      </c>
    </row>
    <row r="268" spans="1:15">
      <c r="A268">
        <f>IF(COUNTBLANK(B268:Q268)&lt;&gt;COLUMNS(B268:Q268),267,"")</f>
        <v>0</v>
      </c>
      <c r="C268" s="1">
        <f>IF(B268="", "", "urban biome")</f>
        <v>0</v>
      </c>
      <c r="D268" s="1">
        <f>IF(B268="", "", "human-associated habitat")</f>
        <v>0</v>
      </c>
      <c r="G268" s="1">
        <f>IF(B268="", "", "years")</f>
        <v>0</v>
      </c>
      <c r="I268" s="1">
        <f>IF(B268="", "", "human")</f>
        <v>0</v>
      </c>
      <c r="K268" s="1">
        <f>IF(B268="", "", "cm")</f>
        <v>0</v>
      </c>
      <c r="L268" s="1">
        <f>IF(B268="", "", "Homo sapiens")</f>
        <v>0</v>
      </c>
      <c r="M268" s="1">
        <f>IF(B268="", "", "9606")</f>
        <v>0</v>
      </c>
      <c r="O268" s="1">
        <f>IF(B268="", "", "kg")</f>
        <v>0</v>
      </c>
    </row>
    <row r="269" spans="1:15">
      <c r="A269">
        <f>IF(COUNTBLANK(B269:Q269)&lt;&gt;COLUMNS(B269:Q269),268,"")</f>
        <v>0</v>
      </c>
      <c r="C269" s="1">
        <f>IF(B269="", "", "urban biome")</f>
        <v>0</v>
      </c>
      <c r="D269" s="1">
        <f>IF(B269="", "", "human-associated habitat")</f>
        <v>0</v>
      </c>
      <c r="G269" s="1">
        <f>IF(B269="", "", "years")</f>
        <v>0</v>
      </c>
      <c r="I269" s="1">
        <f>IF(B269="", "", "human")</f>
        <v>0</v>
      </c>
      <c r="K269" s="1">
        <f>IF(B269="", "", "cm")</f>
        <v>0</v>
      </c>
      <c r="L269" s="1">
        <f>IF(B269="", "", "Homo sapiens")</f>
        <v>0</v>
      </c>
      <c r="M269" s="1">
        <f>IF(B269="", "", "9606")</f>
        <v>0</v>
      </c>
      <c r="O269" s="1">
        <f>IF(B269="", "", "kg")</f>
        <v>0</v>
      </c>
    </row>
    <row r="270" spans="1:15">
      <c r="A270">
        <f>IF(COUNTBLANK(B270:Q270)&lt;&gt;COLUMNS(B270:Q270),269,"")</f>
        <v>0</v>
      </c>
      <c r="C270" s="1">
        <f>IF(B270="", "", "urban biome")</f>
        <v>0</v>
      </c>
      <c r="D270" s="1">
        <f>IF(B270="", "", "human-associated habitat")</f>
        <v>0</v>
      </c>
      <c r="G270" s="1">
        <f>IF(B270="", "", "years")</f>
        <v>0</v>
      </c>
      <c r="I270" s="1">
        <f>IF(B270="", "", "human")</f>
        <v>0</v>
      </c>
      <c r="K270" s="1">
        <f>IF(B270="", "", "cm")</f>
        <v>0</v>
      </c>
      <c r="L270" s="1">
        <f>IF(B270="", "", "Homo sapiens")</f>
        <v>0</v>
      </c>
      <c r="M270" s="1">
        <f>IF(B270="", "", "9606")</f>
        <v>0</v>
      </c>
      <c r="O270" s="1">
        <f>IF(B270="", "", "kg")</f>
        <v>0</v>
      </c>
    </row>
    <row r="271" spans="1:15">
      <c r="A271">
        <f>IF(COUNTBLANK(B271:Q271)&lt;&gt;COLUMNS(B271:Q271),270,"")</f>
        <v>0</v>
      </c>
      <c r="C271" s="1">
        <f>IF(B271="", "", "urban biome")</f>
        <v>0</v>
      </c>
      <c r="D271" s="1">
        <f>IF(B271="", "", "human-associated habitat")</f>
        <v>0</v>
      </c>
      <c r="G271" s="1">
        <f>IF(B271="", "", "years")</f>
        <v>0</v>
      </c>
      <c r="I271" s="1">
        <f>IF(B271="", "", "human")</f>
        <v>0</v>
      </c>
      <c r="K271" s="1">
        <f>IF(B271="", "", "cm")</f>
        <v>0</v>
      </c>
      <c r="L271" s="1">
        <f>IF(B271="", "", "Homo sapiens")</f>
        <v>0</v>
      </c>
      <c r="M271" s="1">
        <f>IF(B271="", "", "9606")</f>
        <v>0</v>
      </c>
      <c r="O271" s="1">
        <f>IF(B271="", "", "kg")</f>
        <v>0</v>
      </c>
    </row>
    <row r="272" spans="1:15">
      <c r="A272">
        <f>IF(COUNTBLANK(B272:Q272)&lt;&gt;COLUMNS(B272:Q272),271,"")</f>
        <v>0</v>
      </c>
      <c r="C272" s="1">
        <f>IF(B272="", "", "urban biome")</f>
        <v>0</v>
      </c>
      <c r="D272" s="1">
        <f>IF(B272="", "", "human-associated habitat")</f>
        <v>0</v>
      </c>
      <c r="G272" s="1">
        <f>IF(B272="", "", "years")</f>
        <v>0</v>
      </c>
      <c r="I272" s="1">
        <f>IF(B272="", "", "human")</f>
        <v>0</v>
      </c>
      <c r="K272" s="1">
        <f>IF(B272="", "", "cm")</f>
        <v>0</v>
      </c>
      <c r="L272" s="1">
        <f>IF(B272="", "", "Homo sapiens")</f>
        <v>0</v>
      </c>
      <c r="M272" s="1">
        <f>IF(B272="", "", "9606")</f>
        <v>0</v>
      </c>
      <c r="O272" s="1">
        <f>IF(B272="", "", "kg")</f>
        <v>0</v>
      </c>
    </row>
    <row r="273" spans="1:15">
      <c r="A273">
        <f>IF(COUNTBLANK(B273:Q273)&lt;&gt;COLUMNS(B273:Q273),272,"")</f>
        <v>0</v>
      </c>
      <c r="C273" s="1">
        <f>IF(B273="", "", "urban biome")</f>
        <v>0</v>
      </c>
      <c r="D273" s="1">
        <f>IF(B273="", "", "human-associated habitat")</f>
        <v>0</v>
      </c>
      <c r="G273" s="1">
        <f>IF(B273="", "", "years")</f>
        <v>0</v>
      </c>
      <c r="I273" s="1">
        <f>IF(B273="", "", "human")</f>
        <v>0</v>
      </c>
      <c r="K273" s="1">
        <f>IF(B273="", "", "cm")</f>
        <v>0</v>
      </c>
      <c r="L273" s="1">
        <f>IF(B273="", "", "Homo sapiens")</f>
        <v>0</v>
      </c>
      <c r="M273" s="1">
        <f>IF(B273="", "", "9606")</f>
        <v>0</v>
      </c>
      <c r="O273" s="1">
        <f>IF(B273="", "", "kg")</f>
        <v>0</v>
      </c>
    </row>
    <row r="274" spans="1:15">
      <c r="A274">
        <f>IF(COUNTBLANK(B274:Q274)&lt;&gt;COLUMNS(B274:Q274),273,"")</f>
        <v>0</v>
      </c>
      <c r="C274" s="1">
        <f>IF(B274="", "", "urban biome")</f>
        <v>0</v>
      </c>
      <c r="D274" s="1">
        <f>IF(B274="", "", "human-associated habitat")</f>
        <v>0</v>
      </c>
      <c r="G274" s="1">
        <f>IF(B274="", "", "years")</f>
        <v>0</v>
      </c>
      <c r="I274" s="1">
        <f>IF(B274="", "", "human")</f>
        <v>0</v>
      </c>
      <c r="K274" s="1">
        <f>IF(B274="", "", "cm")</f>
        <v>0</v>
      </c>
      <c r="L274" s="1">
        <f>IF(B274="", "", "Homo sapiens")</f>
        <v>0</v>
      </c>
      <c r="M274" s="1">
        <f>IF(B274="", "", "9606")</f>
        <v>0</v>
      </c>
      <c r="O274" s="1">
        <f>IF(B274="", "", "kg")</f>
        <v>0</v>
      </c>
    </row>
    <row r="275" spans="1:15">
      <c r="A275">
        <f>IF(COUNTBLANK(B275:Q275)&lt;&gt;COLUMNS(B275:Q275),274,"")</f>
        <v>0</v>
      </c>
      <c r="C275" s="1">
        <f>IF(B275="", "", "urban biome")</f>
        <v>0</v>
      </c>
      <c r="D275" s="1">
        <f>IF(B275="", "", "human-associated habitat")</f>
        <v>0</v>
      </c>
      <c r="G275" s="1">
        <f>IF(B275="", "", "years")</f>
        <v>0</v>
      </c>
      <c r="I275" s="1">
        <f>IF(B275="", "", "human")</f>
        <v>0</v>
      </c>
      <c r="K275" s="1">
        <f>IF(B275="", "", "cm")</f>
        <v>0</v>
      </c>
      <c r="L275" s="1">
        <f>IF(B275="", "", "Homo sapiens")</f>
        <v>0</v>
      </c>
      <c r="M275" s="1">
        <f>IF(B275="", "", "9606")</f>
        <v>0</v>
      </c>
      <c r="O275" s="1">
        <f>IF(B275="", "", "kg")</f>
        <v>0</v>
      </c>
    </row>
    <row r="276" spans="1:15">
      <c r="A276">
        <f>IF(COUNTBLANK(B276:Q276)&lt;&gt;COLUMNS(B276:Q276),275,"")</f>
        <v>0</v>
      </c>
      <c r="C276" s="1">
        <f>IF(B276="", "", "urban biome")</f>
        <v>0</v>
      </c>
      <c r="D276" s="1">
        <f>IF(B276="", "", "human-associated habitat")</f>
        <v>0</v>
      </c>
      <c r="G276" s="1">
        <f>IF(B276="", "", "years")</f>
        <v>0</v>
      </c>
      <c r="I276" s="1">
        <f>IF(B276="", "", "human")</f>
        <v>0</v>
      </c>
      <c r="K276" s="1">
        <f>IF(B276="", "", "cm")</f>
        <v>0</v>
      </c>
      <c r="L276" s="1">
        <f>IF(B276="", "", "Homo sapiens")</f>
        <v>0</v>
      </c>
      <c r="M276" s="1">
        <f>IF(B276="", "", "9606")</f>
        <v>0</v>
      </c>
      <c r="O276" s="1">
        <f>IF(B276="", "", "kg")</f>
        <v>0</v>
      </c>
    </row>
    <row r="277" spans="1:15">
      <c r="A277">
        <f>IF(COUNTBLANK(B277:Q277)&lt;&gt;COLUMNS(B277:Q277),276,"")</f>
        <v>0</v>
      </c>
      <c r="C277" s="1">
        <f>IF(B277="", "", "urban biome")</f>
        <v>0</v>
      </c>
      <c r="D277" s="1">
        <f>IF(B277="", "", "human-associated habitat")</f>
        <v>0</v>
      </c>
      <c r="G277" s="1">
        <f>IF(B277="", "", "years")</f>
        <v>0</v>
      </c>
      <c r="I277" s="1">
        <f>IF(B277="", "", "human")</f>
        <v>0</v>
      </c>
      <c r="K277" s="1">
        <f>IF(B277="", "", "cm")</f>
        <v>0</v>
      </c>
      <c r="L277" s="1">
        <f>IF(B277="", "", "Homo sapiens")</f>
        <v>0</v>
      </c>
      <c r="M277" s="1">
        <f>IF(B277="", "", "9606")</f>
        <v>0</v>
      </c>
      <c r="O277" s="1">
        <f>IF(B277="", "", "kg")</f>
        <v>0</v>
      </c>
    </row>
    <row r="278" spans="1:15">
      <c r="A278">
        <f>IF(COUNTBLANK(B278:Q278)&lt;&gt;COLUMNS(B278:Q278),277,"")</f>
        <v>0</v>
      </c>
      <c r="C278" s="1">
        <f>IF(B278="", "", "urban biome")</f>
        <v>0</v>
      </c>
      <c r="D278" s="1">
        <f>IF(B278="", "", "human-associated habitat")</f>
        <v>0</v>
      </c>
      <c r="G278" s="1">
        <f>IF(B278="", "", "years")</f>
        <v>0</v>
      </c>
      <c r="I278" s="1">
        <f>IF(B278="", "", "human")</f>
        <v>0</v>
      </c>
      <c r="K278" s="1">
        <f>IF(B278="", "", "cm")</f>
        <v>0</v>
      </c>
      <c r="L278" s="1">
        <f>IF(B278="", "", "Homo sapiens")</f>
        <v>0</v>
      </c>
      <c r="M278" s="1">
        <f>IF(B278="", "", "9606")</f>
        <v>0</v>
      </c>
      <c r="O278" s="1">
        <f>IF(B278="", "", "kg")</f>
        <v>0</v>
      </c>
    </row>
    <row r="279" spans="1:15">
      <c r="A279">
        <f>IF(COUNTBLANK(B279:Q279)&lt;&gt;COLUMNS(B279:Q279),278,"")</f>
        <v>0</v>
      </c>
      <c r="C279" s="1">
        <f>IF(B279="", "", "urban biome")</f>
        <v>0</v>
      </c>
      <c r="D279" s="1">
        <f>IF(B279="", "", "human-associated habitat")</f>
        <v>0</v>
      </c>
      <c r="G279" s="1">
        <f>IF(B279="", "", "years")</f>
        <v>0</v>
      </c>
      <c r="I279" s="1">
        <f>IF(B279="", "", "human")</f>
        <v>0</v>
      </c>
      <c r="K279" s="1">
        <f>IF(B279="", "", "cm")</f>
        <v>0</v>
      </c>
      <c r="L279" s="1">
        <f>IF(B279="", "", "Homo sapiens")</f>
        <v>0</v>
      </c>
      <c r="M279" s="1">
        <f>IF(B279="", "", "9606")</f>
        <v>0</v>
      </c>
      <c r="O279" s="1">
        <f>IF(B279="", "", "kg")</f>
        <v>0</v>
      </c>
    </row>
    <row r="280" spans="1:15">
      <c r="A280">
        <f>IF(COUNTBLANK(B280:Q280)&lt;&gt;COLUMNS(B280:Q280),279,"")</f>
        <v>0</v>
      </c>
      <c r="C280" s="1">
        <f>IF(B280="", "", "urban biome")</f>
        <v>0</v>
      </c>
      <c r="D280" s="1">
        <f>IF(B280="", "", "human-associated habitat")</f>
        <v>0</v>
      </c>
      <c r="G280" s="1">
        <f>IF(B280="", "", "years")</f>
        <v>0</v>
      </c>
      <c r="I280" s="1">
        <f>IF(B280="", "", "human")</f>
        <v>0</v>
      </c>
      <c r="K280" s="1">
        <f>IF(B280="", "", "cm")</f>
        <v>0</v>
      </c>
      <c r="L280" s="1">
        <f>IF(B280="", "", "Homo sapiens")</f>
        <v>0</v>
      </c>
      <c r="M280" s="1">
        <f>IF(B280="", "", "9606")</f>
        <v>0</v>
      </c>
      <c r="O280" s="1">
        <f>IF(B280="", "", "kg")</f>
        <v>0</v>
      </c>
    </row>
    <row r="281" spans="1:15">
      <c r="A281">
        <f>IF(COUNTBLANK(B281:Q281)&lt;&gt;COLUMNS(B281:Q281),280,"")</f>
        <v>0</v>
      </c>
      <c r="C281" s="1">
        <f>IF(B281="", "", "urban biome")</f>
        <v>0</v>
      </c>
      <c r="D281" s="1">
        <f>IF(B281="", "", "human-associated habitat")</f>
        <v>0</v>
      </c>
      <c r="G281" s="1">
        <f>IF(B281="", "", "years")</f>
        <v>0</v>
      </c>
      <c r="I281" s="1">
        <f>IF(B281="", "", "human")</f>
        <v>0</v>
      </c>
      <c r="K281" s="1">
        <f>IF(B281="", "", "cm")</f>
        <v>0</v>
      </c>
      <c r="L281" s="1">
        <f>IF(B281="", "", "Homo sapiens")</f>
        <v>0</v>
      </c>
      <c r="M281" s="1">
        <f>IF(B281="", "", "9606")</f>
        <v>0</v>
      </c>
      <c r="O281" s="1">
        <f>IF(B281="", "", "kg")</f>
        <v>0</v>
      </c>
    </row>
    <row r="282" spans="1:15">
      <c r="A282">
        <f>IF(COUNTBLANK(B282:Q282)&lt;&gt;COLUMNS(B282:Q282),281,"")</f>
        <v>0</v>
      </c>
      <c r="C282" s="1">
        <f>IF(B282="", "", "urban biome")</f>
        <v>0</v>
      </c>
      <c r="D282" s="1">
        <f>IF(B282="", "", "human-associated habitat")</f>
        <v>0</v>
      </c>
      <c r="G282" s="1">
        <f>IF(B282="", "", "years")</f>
        <v>0</v>
      </c>
      <c r="I282" s="1">
        <f>IF(B282="", "", "human")</f>
        <v>0</v>
      </c>
      <c r="K282" s="1">
        <f>IF(B282="", "", "cm")</f>
        <v>0</v>
      </c>
      <c r="L282" s="1">
        <f>IF(B282="", "", "Homo sapiens")</f>
        <v>0</v>
      </c>
      <c r="M282" s="1">
        <f>IF(B282="", "", "9606")</f>
        <v>0</v>
      </c>
      <c r="O282" s="1">
        <f>IF(B282="", "", "kg")</f>
        <v>0</v>
      </c>
    </row>
    <row r="283" spans="1:15">
      <c r="A283">
        <f>IF(COUNTBLANK(B283:Q283)&lt;&gt;COLUMNS(B283:Q283),282,"")</f>
        <v>0</v>
      </c>
      <c r="C283" s="1">
        <f>IF(B283="", "", "urban biome")</f>
        <v>0</v>
      </c>
      <c r="D283" s="1">
        <f>IF(B283="", "", "human-associated habitat")</f>
        <v>0</v>
      </c>
      <c r="G283" s="1">
        <f>IF(B283="", "", "years")</f>
        <v>0</v>
      </c>
      <c r="I283" s="1">
        <f>IF(B283="", "", "human")</f>
        <v>0</v>
      </c>
      <c r="K283" s="1">
        <f>IF(B283="", "", "cm")</f>
        <v>0</v>
      </c>
      <c r="L283" s="1">
        <f>IF(B283="", "", "Homo sapiens")</f>
        <v>0</v>
      </c>
      <c r="M283" s="1">
        <f>IF(B283="", "", "9606")</f>
        <v>0</v>
      </c>
      <c r="O283" s="1">
        <f>IF(B283="", "", "kg")</f>
        <v>0</v>
      </c>
    </row>
    <row r="284" spans="1:15">
      <c r="A284">
        <f>IF(COUNTBLANK(B284:Q284)&lt;&gt;COLUMNS(B284:Q284),283,"")</f>
        <v>0</v>
      </c>
      <c r="C284" s="1">
        <f>IF(B284="", "", "urban biome")</f>
        <v>0</v>
      </c>
      <c r="D284" s="1">
        <f>IF(B284="", "", "human-associated habitat")</f>
        <v>0</v>
      </c>
      <c r="G284" s="1">
        <f>IF(B284="", "", "years")</f>
        <v>0</v>
      </c>
      <c r="I284" s="1">
        <f>IF(B284="", "", "human")</f>
        <v>0</v>
      </c>
      <c r="K284" s="1">
        <f>IF(B284="", "", "cm")</f>
        <v>0</v>
      </c>
      <c r="L284" s="1">
        <f>IF(B284="", "", "Homo sapiens")</f>
        <v>0</v>
      </c>
      <c r="M284" s="1">
        <f>IF(B284="", "", "9606")</f>
        <v>0</v>
      </c>
      <c r="O284" s="1">
        <f>IF(B284="", "", "kg")</f>
        <v>0</v>
      </c>
    </row>
    <row r="285" spans="1:15">
      <c r="A285">
        <f>IF(COUNTBLANK(B285:Q285)&lt;&gt;COLUMNS(B285:Q285),284,"")</f>
        <v>0</v>
      </c>
      <c r="C285" s="1">
        <f>IF(B285="", "", "urban biome")</f>
        <v>0</v>
      </c>
      <c r="D285" s="1">
        <f>IF(B285="", "", "human-associated habitat")</f>
        <v>0</v>
      </c>
      <c r="G285" s="1">
        <f>IF(B285="", "", "years")</f>
        <v>0</v>
      </c>
      <c r="I285" s="1">
        <f>IF(B285="", "", "human")</f>
        <v>0</v>
      </c>
      <c r="K285" s="1">
        <f>IF(B285="", "", "cm")</f>
        <v>0</v>
      </c>
      <c r="L285" s="1">
        <f>IF(B285="", "", "Homo sapiens")</f>
        <v>0</v>
      </c>
      <c r="M285" s="1">
        <f>IF(B285="", "", "9606")</f>
        <v>0</v>
      </c>
      <c r="O285" s="1">
        <f>IF(B285="", "", "kg")</f>
        <v>0</v>
      </c>
    </row>
    <row r="286" spans="1:15">
      <c r="A286">
        <f>IF(COUNTBLANK(B286:Q286)&lt;&gt;COLUMNS(B286:Q286),285,"")</f>
        <v>0</v>
      </c>
      <c r="C286" s="1">
        <f>IF(B286="", "", "urban biome")</f>
        <v>0</v>
      </c>
      <c r="D286" s="1">
        <f>IF(B286="", "", "human-associated habitat")</f>
        <v>0</v>
      </c>
      <c r="G286" s="1">
        <f>IF(B286="", "", "years")</f>
        <v>0</v>
      </c>
      <c r="I286" s="1">
        <f>IF(B286="", "", "human")</f>
        <v>0</v>
      </c>
      <c r="K286" s="1">
        <f>IF(B286="", "", "cm")</f>
        <v>0</v>
      </c>
      <c r="L286" s="1">
        <f>IF(B286="", "", "Homo sapiens")</f>
        <v>0</v>
      </c>
      <c r="M286" s="1">
        <f>IF(B286="", "", "9606")</f>
        <v>0</v>
      </c>
      <c r="O286" s="1">
        <f>IF(B286="", "", "kg")</f>
        <v>0</v>
      </c>
    </row>
    <row r="287" spans="1:15">
      <c r="A287">
        <f>IF(COUNTBLANK(B287:Q287)&lt;&gt;COLUMNS(B287:Q287),286,"")</f>
        <v>0</v>
      </c>
      <c r="C287" s="1">
        <f>IF(B287="", "", "urban biome")</f>
        <v>0</v>
      </c>
      <c r="D287" s="1">
        <f>IF(B287="", "", "human-associated habitat")</f>
        <v>0</v>
      </c>
      <c r="G287" s="1">
        <f>IF(B287="", "", "years")</f>
        <v>0</v>
      </c>
      <c r="I287" s="1">
        <f>IF(B287="", "", "human")</f>
        <v>0</v>
      </c>
      <c r="K287" s="1">
        <f>IF(B287="", "", "cm")</f>
        <v>0</v>
      </c>
      <c r="L287" s="1">
        <f>IF(B287="", "", "Homo sapiens")</f>
        <v>0</v>
      </c>
      <c r="M287" s="1">
        <f>IF(B287="", "", "9606")</f>
        <v>0</v>
      </c>
      <c r="O287" s="1">
        <f>IF(B287="", "", "kg")</f>
        <v>0</v>
      </c>
    </row>
    <row r="288" spans="1:15">
      <c r="A288">
        <f>IF(COUNTBLANK(B288:Q288)&lt;&gt;COLUMNS(B288:Q288),287,"")</f>
        <v>0</v>
      </c>
      <c r="C288" s="1">
        <f>IF(B288="", "", "urban biome")</f>
        <v>0</v>
      </c>
      <c r="D288" s="1">
        <f>IF(B288="", "", "human-associated habitat")</f>
        <v>0</v>
      </c>
      <c r="G288" s="1">
        <f>IF(B288="", "", "years")</f>
        <v>0</v>
      </c>
      <c r="I288" s="1">
        <f>IF(B288="", "", "human")</f>
        <v>0</v>
      </c>
      <c r="K288" s="1">
        <f>IF(B288="", "", "cm")</f>
        <v>0</v>
      </c>
      <c r="L288" s="1">
        <f>IF(B288="", "", "Homo sapiens")</f>
        <v>0</v>
      </c>
      <c r="M288" s="1">
        <f>IF(B288="", "", "9606")</f>
        <v>0</v>
      </c>
      <c r="O288" s="1">
        <f>IF(B288="", "", "kg")</f>
        <v>0</v>
      </c>
    </row>
    <row r="289" spans="1:15">
      <c r="A289">
        <f>IF(COUNTBLANK(B289:Q289)&lt;&gt;COLUMNS(B289:Q289),288,"")</f>
        <v>0</v>
      </c>
      <c r="C289" s="1">
        <f>IF(B289="", "", "urban biome")</f>
        <v>0</v>
      </c>
      <c r="D289" s="1">
        <f>IF(B289="", "", "human-associated habitat")</f>
        <v>0</v>
      </c>
      <c r="G289" s="1">
        <f>IF(B289="", "", "years")</f>
        <v>0</v>
      </c>
      <c r="I289" s="1">
        <f>IF(B289="", "", "human")</f>
        <v>0</v>
      </c>
      <c r="K289" s="1">
        <f>IF(B289="", "", "cm")</f>
        <v>0</v>
      </c>
      <c r="L289" s="1">
        <f>IF(B289="", "", "Homo sapiens")</f>
        <v>0</v>
      </c>
      <c r="M289" s="1">
        <f>IF(B289="", "", "9606")</f>
        <v>0</v>
      </c>
      <c r="O289" s="1">
        <f>IF(B289="", "", "kg")</f>
        <v>0</v>
      </c>
    </row>
    <row r="290" spans="1:15">
      <c r="A290">
        <f>IF(COUNTBLANK(B290:Q290)&lt;&gt;COLUMNS(B290:Q290),289,"")</f>
        <v>0</v>
      </c>
      <c r="C290" s="1">
        <f>IF(B290="", "", "urban biome")</f>
        <v>0</v>
      </c>
      <c r="D290" s="1">
        <f>IF(B290="", "", "human-associated habitat")</f>
        <v>0</v>
      </c>
      <c r="G290" s="1">
        <f>IF(B290="", "", "years")</f>
        <v>0</v>
      </c>
      <c r="I290" s="1">
        <f>IF(B290="", "", "human")</f>
        <v>0</v>
      </c>
      <c r="K290" s="1">
        <f>IF(B290="", "", "cm")</f>
        <v>0</v>
      </c>
      <c r="L290" s="1">
        <f>IF(B290="", "", "Homo sapiens")</f>
        <v>0</v>
      </c>
      <c r="M290" s="1">
        <f>IF(B290="", "", "9606")</f>
        <v>0</v>
      </c>
      <c r="O290" s="1">
        <f>IF(B290="", "", "kg")</f>
        <v>0</v>
      </c>
    </row>
    <row r="291" spans="1:15">
      <c r="A291">
        <f>IF(COUNTBLANK(B291:Q291)&lt;&gt;COLUMNS(B291:Q291),290,"")</f>
        <v>0</v>
      </c>
      <c r="C291" s="1">
        <f>IF(B291="", "", "urban biome")</f>
        <v>0</v>
      </c>
      <c r="D291" s="1">
        <f>IF(B291="", "", "human-associated habitat")</f>
        <v>0</v>
      </c>
      <c r="G291" s="1">
        <f>IF(B291="", "", "years")</f>
        <v>0</v>
      </c>
      <c r="I291" s="1">
        <f>IF(B291="", "", "human")</f>
        <v>0</v>
      </c>
      <c r="K291" s="1">
        <f>IF(B291="", "", "cm")</f>
        <v>0</v>
      </c>
      <c r="L291" s="1">
        <f>IF(B291="", "", "Homo sapiens")</f>
        <v>0</v>
      </c>
      <c r="M291" s="1">
        <f>IF(B291="", "", "9606")</f>
        <v>0</v>
      </c>
      <c r="O291" s="1">
        <f>IF(B291="", "", "kg")</f>
        <v>0</v>
      </c>
    </row>
    <row r="292" spans="1:15">
      <c r="A292">
        <f>IF(COUNTBLANK(B292:Q292)&lt;&gt;COLUMNS(B292:Q292),291,"")</f>
        <v>0</v>
      </c>
      <c r="C292" s="1">
        <f>IF(B292="", "", "urban biome")</f>
        <v>0</v>
      </c>
      <c r="D292" s="1">
        <f>IF(B292="", "", "human-associated habitat")</f>
        <v>0</v>
      </c>
      <c r="G292" s="1">
        <f>IF(B292="", "", "years")</f>
        <v>0</v>
      </c>
      <c r="I292" s="1">
        <f>IF(B292="", "", "human")</f>
        <v>0</v>
      </c>
      <c r="K292" s="1">
        <f>IF(B292="", "", "cm")</f>
        <v>0</v>
      </c>
      <c r="L292" s="1">
        <f>IF(B292="", "", "Homo sapiens")</f>
        <v>0</v>
      </c>
      <c r="M292" s="1">
        <f>IF(B292="", "", "9606")</f>
        <v>0</v>
      </c>
      <c r="O292" s="1">
        <f>IF(B292="", "", "kg")</f>
        <v>0</v>
      </c>
    </row>
    <row r="293" spans="1:15">
      <c r="A293">
        <f>IF(COUNTBLANK(B293:Q293)&lt;&gt;COLUMNS(B293:Q293),292,"")</f>
        <v>0</v>
      </c>
      <c r="C293" s="1">
        <f>IF(B293="", "", "urban biome")</f>
        <v>0</v>
      </c>
      <c r="D293" s="1">
        <f>IF(B293="", "", "human-associated habitat")</f>
        <v>0</v>
      </c>
      <c r="G293" s="1">
        <f>IF(B293="", "", "years")</f>
        <v>0</v>
      </c>
      <c r="I293" s="1">
        <f>IF(B293="", "", "human")</f>
        <v>0</v>
      </c>
      <c r="K293" s="1">
        <f>IF(B293="", "", "cm")</f>
        <v>0</v>
      </c>
      <c r="L293" s="1">
        <f>IF(B293="", "", "Homo sapiens")</f>
        <v>0</v>
      </c>
      <c r="M293" s="1">
        <f>IF(B293="", "", "9606")</f>
        <v>0</v>
      </c>
      <c r="O293" s="1">
        <f>IF(B293="", "", "kg")</f>
        <v>0</v>
      </c>
    </row>
    <row r="294" spans="1:15">
      <c r="A294">
        <f>IF(COUNTBLANK(B294:Q294)&lt;&gt;COLUMNS(B294:Q294),293,"")</f>
        <v>0</v>
      </c>
      <c r="C294" s="1">
        <f>IF(B294="", "", "urban biome")</f>
        <v>0</v>
      </c>
      <c r="D294" s="1">
        <f>IF(B294="", "", "human-associated habitat")</f>
        <v>0</v>
      </c>
      <c r="G294" s="1">
        <f>IF(B294="", "", "years")</f>
        <v>0</v>
      </c>
      <c r="I294" s="1">
        <f>IF(B294="", "", "human")</f>
        <v>0</v>
      </c>
      <c r="K294" s="1">
        <f>IF(B294="", "", "cm")</f>
        <v>0</v>
      </c>
      <c r="L294" s="1">
        <f>IF(B294="", "", "Homo sapiens")</f>
        <v>0</v>
      </c>
      <c r="M294" s="1">
        <f>IF(B294="", "", "9606")</f>
        <v>0</v>
      </c>
      <c r="O294" s="1">
        <f>IF(B294="", "", "kg")</f>
        <v>0</v>
      </c>
    </row>
    <row r="295" spans="1:15">
      <c r="A295">
        <f>IF(COUNTBLANK(B295:Q295)&lt;&gt;COLUMNS(B295:Q295),294,"")</f>
        <v>0</v>
      </c>
      <c r="C295" s="1">
        <f>IF(B295="", "", "urban biome")</f>
        <v>0</v>
      </c>
      <c r="D295" s="1">
        <f>IF(B295="", "", "human-associated habitat")</f>
        <v>0</v>
      </c>
      <c r="G295" s="1">
        <f>IF(B295="", "", "years")</f>
        <v>0</v>
      </c>
      <c r="I295" s="1">
        <f>IF(B295="", "", "human")</f>
        <v>0</v>
      </c>
      <c r="K295" s="1">
        <f>IF(B295="", "", "cm")</f>
        <v>0</v>
      </c>
      <c r="L295" s="1">
        <f>IF(B295="", "", "Homo sapiens")</f>
        <v>0</v>
      </c>
      <c r="M295" s="1">
        <f>IF(B295="", "", "9606")</f>
        <v>0</v>
      </c>
      <c r="O295" s="1">
        <f>IF(B295="", "", "kg")</f>
        <v>0</v>
      </c>
    </row>
    <row r="296" spans="1:15">
      <c r="A296">
        <f>IF(COUNTBLANK(B296:Q296)&lt;&gt;COLUMNS(B296:Q296),295,"")</f>
        <v>0</v>
      </c>
      <c r="C296" s="1">
        <f>IF(B296="", "", "urban biome")</f>
        <v>0</v>
      </c>
      <c r="D296" s="1">
        <f>IF(B296="", "", "human-associated habitat")</f>
        <v>0</v>
      </c>
      <c r="G296" s="1">
        <f>IF(B296="", "", "years")</f>
        <v>0</v>
      </c>
      <c r="I296" s="1">
        <f>IF(B296="", "", "human")</f>
        <v>0</v>
      </c>
      <c r="K296" s="1">
        <f>IF(B296="", "", "cm")</f>
        <v>0</v>
      </c>
      <c r="L296" s="1">
        <f>IF(B296="", "", "Homo sapiens")</f>
        <v>0</v>
      </c>
      <c r="M296" s="1">
        <f>IF(B296="", "", "9606")</f>
        <v>0</v>
      </c>
      <c r="O296" s="1">
        <f>IF(B296="", "", "kg")</f>
        <v>0</v>
      </c>
    </row>
    <row r="297" spans="1:15">
      <c r="A297">
        <f>IF(COUNTBLANK(B297:Q297)&lt;&gt;COLUMNS(B297:Q297),296,"")</f>
        <v>0</v>
      </c>
      <c r="C297" s="1">
        <f>IF(B297="", "", "urban biome")</f>
        <v>0</v>
      </c>
      <c r="D297" s="1">
        <f>IF(B297="", "", "human-associated habitat")</f>
        <v>0</v>
      </c>
      <c r="G297" s="1">
        <f>IF(B297="", "", "years")</f>
        <v>0</v>
      </c>
      <c r="I297" s="1">
        <f>IF(B297="", "", "human")</f>
        <v>0</v>
      </c>
      <c r="K297" s="1">
        <f>IF(B297="", "", "cm")</f>
        <v>0</v>
      </c>
      <c r="L297" s="1">
        <f>IF(B297="", "", "Homo sapiens")</f>
        <v>0</v>
      </c>
      <c r="M297" s="1">
        <f>IF(B297="", "", "9606")</f>
        <v>0</v>
      </c>
      <c r="O297" s="1">
        <f>IF(B297="", "", "kg")</f>
        <v>0</v>
      </c>
    </row>
    <row r="298" spans="1:15">
      <c r="A298">
        <f>IF(COUNTBLANK(B298:Q298)&lt;&gt;COLUMNS(B298:Q298),297,"")</f>
        <v>0</v>
      </c>
      <c r="C298" s="1">
        <f>IF(B298="", "", "urban biome")</f>
        <v>0</v>
      </c>
      <c r="D298" s="1">
        <f>IF(B298="", "", "human-associated habitat")</f>
        <v>0</v>
      </c>
      <c r="G298" s="1">
        <f>IF(B298="", "", "years")</f>
        <v>0</v>
      </c>
      <c r="I298" s="1">
        <f>IF(B298="", "", "human")</f>
        <v>0</v>
      </c>
      <c r="K298" s="1">
        <f>IF(B298="", "", "cm")</f>
        <v>0</v>
      </c>
      <c r="L298" s="1">
        <f>IF(B298="", "", "Homo sapiens")</f>
        <v>0</v>
      </c>
      <c r="M298" s="1">
        <f>IF(B298="", "", "9606")</f>
        <v>0</v>
      </c>
      <c r="O298" s="1">
        <f>IF(B298="", "", "kg")</f>
        <v>0</v>
      </c>
    </row>
    <row r="299" spans="1:15">
      <c r="A299">
        <f>IF(COUNTBLANK(B299:Q299)&lt;&gt;COLUMNS(B299:Q299),298,"")</f>
        <v>0</v>
      </c>
      <c r="C299" s="1">
        <f>IF(B299="", "", "urban biome")</f>
        <v>0</v>
      </c>
      <c r="D299" s="1">
        <f>IF(B299="", "", "human-associated habitat")</f>
        <v>0</v>
      </c>
      <c r="G299" s="1">
        <f>IF(B299="", "", "years")</f>
        <v>0</v>
      </c>
      <c r="I299" s="1">
        <f>IF(B299="", "", "human")</f>
        <v>0</v>
      </c>
      <c r="K299" s="1">
        <f>IF(B299="", "", "cm")</f>
        <v>0</v>
      </c>
      <c r="L299" s="1">
        <f>IF(B299="", "", "Homo sapiens")</f>
        <v>0</v>
      </c>
      <c r="M299" s="1">
        <f>IF(B299="", "", "9606")</f>
        <v>0</v>
      </c>
      <c r="O299" s="1">
        <f>IF(B299="", "", "kg")</f>
        <v>0</v>
      </c>
    </row>
    <row r="300" spans="1:15">
      <c r="A300">
        <f>IF(COUNTBLANK(B300:Q300)&lt;&gt;COLUMNS(B300:Q300),299,"")</f>
        <v>0</v>
      </c>
      <c r="C300" s="1">
        <f>IF(B300="", "", "urban biome")</f>
        <v>0</v>
      </c>
      <c r="D300" s="1">
        <f>IF(B300="", "", "human-associated habitat")</f>
        <v>0</v>
      </c>
      <c r="G300" s="1">
        <f>IF(B300="", "", "years")</f>
        <v>0</v>
      </c>
      <c r="I300" s="1">
        <f>IF(B300="", "", "human")</f>
        <v>0</v>
      </c>
      <c r="K300" s="1">
        <f>IF(B300="", "", "cm")</f>
        <v>0</v>
      </c>
      <c r="L300" s="1">
        <f>IF(B300="", "", "Homo sapiens")</f>
        <v>0</v>
      </c>
      <c r="M300" s="1">
        <f>IF(B300="", "", "9606")</f>
        <v>0</v>
      </c>
      <c r="O300" s="1">
        <f>IF(B300="", "", "kg")</f>
        <v>0</v>
      </c>
    </row>
    <row r="301" spans="1:15">
      <c r="A301">
        <f>IF(COUNTBLANK(B301:Q301)&lt;&gt;COLUMNS(B301:Q301),300,"")</f>
        <v>0</v>
      </c>
      <c r="C301" s="1">
        <f>IF(B301="", "", "urban biome")</f>
        <v>0</v>
      </c>
      <c r="D301" s="1">
        <f>IF(B301="", "", "human-associated habitat")</f>
        <v>0</v>
      </c>
      <c r="G301" s="1">
        <f>IF(B301="", "", "years")</f>
        <v>0</v>
      </c>
      <c r="I301" s="1">
        <f>IF(B301="", "", "human")</f>
        <v>0</v>
      </c>
      <c r="K301" s="1">
        <f>IF(B301="", "", "cm")</f>
        <v>0</v>
      </c>
      <c r="L301" s="1">
        <f>IF(B301="", "", "Homo sapiens")</f>
        <v>0</v>
      </c>
      <c r="M301" s="1">
        <f>IF(B301="", "", "9606")</f>
        <v>0</v>
      </c>
      <c r="O301" s="1">
        <f>IF(B301="", "", "kg")</f>
        <v>0</v>
      </c>
    </row>
    <row r="302" spans="1:15">
      <c r="A302">
        <f>IF(COUNTBLANK(B302:Q302)&lt;&gt;COLUMNS(B302:Q302),301,"")</f>
        <v>0</v>
      </c>
      <c r="C302" s="1">
        <f>IF(B302="", "", "urban biome")</f>
        <v>0</v>
      </c>
      <c r="D302" s="1">
        <f>IF(B302="", "", "human-associated habitat")</f>
        <v>0</v>
      </c>
      <c r="G302" s="1">
        <f>IF(B302="", "", "years")</f>
        <v>0</v>
      </c>
      <c r="I302" s="1">
        <f>IF(B302="", "", "human")</f>
        <v>0</v>
      </c>
      <c r="K302" s="1">
        <f>IF(B302="", "", "cm")</f>
        <v>0</v>
      </c>
      <c r="L302" s="1">
        <f>IF(B302="", "", "Homo sapiens")</f>
        <v>0</v>
      </c>
      <c r="M302" s="1">
        <f>IF(B302="", "", "9606")</f>
        <v>0</v>
      </c>
      <c r="O302" s="1">
        <f>IF(B302="", "", "kg")</f>
        <v>0</v>
      </c>
    </row>
    <row r="303" spans="1:15">
      <c r="A303">
        <f>IF(COUNTBLANK(B303:Q303)&lt;&gt;COLUMNS(B303:Q303),302,"")</f>
        <v>0</v>
      </c>
      <c r="C303" s="1">
        <f>IF(B303="", "", "urban biome")</f>
        <v>0</v>
      </c>
      <c r="D303" s="1">
        <f>IF(B303="", "", "human-associated habitat")</f>
        <v>0</v>
      </c>
      <c r="G303" s="1">
        <f>IF(B303="", "", "years")</f>
        <v>0</v>
      </c>
      <c r="I303" s="1">
        <f>IF(B303="", "", "human")</f>
        <v>0</v>
      </c>
      <c r="K303" s="1">
        <f>IF(B303="", "", "cm")</f>
        <v>0</v>
      </c>
      <c r="L303" s="1">
        <f>IF(B303="", "", "Homo sapiens")</f>
        <v>0</v>
      </c>
      <c r="M303" s="1">
        <f>IF(B303="", "", "9606")</f>
        <v>0</v>
      </c>
      <c r="O303" s="1">
        <f>IF(B303="", "", "kg")</f>
        <v>0</v>
      </c>
    </row>
    <row r="304" spans="1:15">
      <c r="A304">
        <f>IF(COUNTBLANK(B304:Q304)&lt;&gt;COLUMNS(B304:Q304),303,"")</f>
        <v>0</v>
      </c>
      <c r="C304" s="1">
        <f>IF(B304="", "", "urban biome")</f>
        <v>0</v>
      </c>
      <c r="D304" s="1">
        <f>IF(B304="", "", "human-associated habitat")</f>
        <v>0</v>
      </c>
      <c r="G304" s="1">
        <f>IF(B304="", "", "years")</f>
        <v>0</v>
      </c>
      <c r="I304" s="1">
        <f>IF(B304="", "", "human")</f>
        <v>0</v>
      </c>
      <c r="K304" s="1">
        <f>IF(B304="", "", "cm")</f>
        <v>0</v>
      </c>
      <c r="L304" s="1">
        <f>IF(B304="", "", "Homo sapiens")</f>
        <v>0</v>
      </c>
      <c r="M304" s="1">
        <f>IF(B304="", "", "9606")</f>
        <v>0</v>
      </c>
      <c r="O304" s="1">
        <f>IF(B304="", "", "kg")</f>
        <v>0</v>
      </c>
    </row>
    <row r="305" spans="1:15">
      <c r="A305">
        <f>IF(COUNTBLANK(B305:Q305)&lt;&gt;COLUMNS(B305:Q305),304,"")</f>
        <v>0</v>
      </c>
      <c r="C305" s="1">
        <f>IF(B305="", "", "urban biome")</f>
        <v>0</v>
      </c>
      <c r="D305" s="1">
        <f>IF(B305="", "", "human-associated habitat")</f>
        <v>0</v>
      </c>
      <c r="G305" s="1">
        <f>IF(B305="", "", "years")</f>
        <v>0</v>
      </c>
      <c r="I305" s="1">
        <f>IF(B305="", "", "human")</f>
        <v>0</v>
      </c>
      <c r="K305" s="1">
        <f>IF(B305="", "", "cm")</f>
        <v>0</v>
      </c>
      <c r="L305" s="1">
        <f>IF(B305="", "", "Homo sapiens")</f>
        <v>0</v>
      </c>
      <c r="M305" s="1">
        <f>IF(B305="", "", "9606")</f>
        <v>0</v>
      </c>
      <c r="O305" s="1">
        <f>IF(B305="", "", "kg")</f>
        <v>0</v>
      </c>
    </row>
    <row r="306" spans="1:15">
      <c r="A306">
        <f>IF(COUNTBLANK(B306:Q306)&lt;&gt;COLUMNS(B306:Q306),305,"")</f>
        <v>0</v>
      </c>
      <c r="C306" s="1">
        <f>IF(B306="", "", "urban biome")</f>
        <v>0</v>
      </c>
      <c r="D306" s="1">
        <f>IF(B306="", "", "human-associated habitat")</f>
        <v>0</v>
      </c>
      <c r="G306" s="1">
        <f>IF(B306="", "", "years")</f>
        <v>0</v>
      </c>
      <c r="I306" s="1">
        <f>IF(B306="", "", "human")</f>
        <v>0</v>
      </c>
      <c r="K306" s="1">
        <f>IF(B306="", "", "cm")</f>
        <v>0</v>
      </c>
      <c r="L306" s="1">
        <f>IF(B306="", "", "Homo sapiens")</f>
        <v>0</v>
      </c>
      <c r="M306" s="1">
        <f>IF(B306="", "", "9606")</f>
        <v>0</v>
      </c>
      <c r="O306" s="1">
        <f>IF(B306="", "", "kg")</f>
        <v>0</v>
      </c>
    </row>
    <row r="307" spans="1:15">
      <c r="A307">
        <f>IF(COUNTBLANK(B307:Q307)&lt;&gt;COLUMNS(B307:Q307),306,"")</f>
        <v>0</v>
      </c>
      <c r="C307" s="1">
        <f>IF(B307="", "", "urban biome")</f>
        <v>0</v>
      </c>
      <c r="D307" s="1">
        <f>IF(B307="", "", "human-associated habitat")</f>
        <v>0</v>
      </c>
      <c r="G307" s="1">
        <f>IF(B307="", "", "years")</f>
        <v>0</v>
      </c>
      <c r="I307" s="1">
        <f>IF(B307="", "", "human")</f>
        <v>0</v>
      </c>
      <c r="K307" s="1">
        <f>IF(B307="", "", "cm")</f>
        <v>0</v>
      </c>
      <c r="L307" s="1">
        <f>IF(B307="", "", "Homo sapiens")</f>
        <v>0</v>
      </c>
      <c r="M307" s="1">
        <f>IF(B307="", "", "9606")</f>
        <v>0</v>
      </c>
      <c r="O307" s="1">
        <f>IF(B307="", "", "kg")</f>
        <v>0</v>
      </c>
    </row>
    <row r="308" spans="1:15">
      <c r="A308">
        <f>IF(COUNTBLANK(B308:Q308)&lt;&gt;COLUMNS(B308:Q308),307,"")</f>
        <v>0</v>
      </c>
      <c r="C308" s="1">
        <f>IF(B308="", "", "urban biome")</f>
        <v>0</v>
      </c>
      <c r="D308" s="1">
        <f>IF(B308="", "", "human-associated habitat")</f>
        <v>0</v>
      </c>
      <c r="G308" s="1">
        <f>IF(B308="", "", "years")</f>
        <v>0</v>
      </c>
      <c r="I308" s="1">
        <f>IF(B308="", "", "human")</f>
        <v>0</v>
      </c>
      <c r="K308" s="1">
        <f>IF(B308="", "", "cm")</f>
        <v>0</v>
      </c>
      <c r="L308" s="1">
        <f>IF(B308="", "", "Homo sapiens")</f>
        <v>0</v>
      </c>
      <c r="M308" s="1">
        <f>IF(B308="", "", "9606")</f>
        <v>0</v>
      </c>
      <c r="O308" s="1">
        <f>IF(B308="", "", "kg")</f>
        <v>0</v>
      </c>
    </row>
    <row r="309" spans="1:15">
      <c r="A309">
        <f>IF(COUNTBLANK(B309:Q309)&lt;&gt;COLUMNS(B309:Q309),308,"")</f>
        <v>0</v>
      </c>
      <c r="C309" s="1">
        <f>IF(B309="", "", "urban biome")</f>
        <v>0</v>
      </c>
      <c r="D309" s="1">
        <f>IF(B309="", "", "human-associated habitat")</f>
        <v>0</v>
      </c>
      <c r="G309" s="1">
        <f>IF(B309="", "", "years")</f>
        <v>0</v>
      </c>
      <c r="I309" s="1">
        <f>IF(B309="", "", "human")</f>
        <v>0</v>
      </c>
      <c r="K309" s="1">
        <f>IF(B309="", "", "cm")</f>
        <v>0</v>
      </c>
      <c r="L309" s="1">
        <f>IF(B309="", "", "Homo sapiens")</f>
        <v>0</v>
      </c>
      <c r="M309" s="1">
        <f>IF(B309="", "", "9606")</f>
        <v>0</v>
      </c>
      <c r="O309" s="1">
        <f>IF(B309="", "", "kg")</f>
        <v>0</v>
      </c>
    </row>
    <row r="310" spans="1:15">
      <c r="A310">
        <f>IF(COUNTBLANK(B310:Q310)&lt;&gt;COLUMNS(B310:Q310),309,"")</f>
        <v>0</v>
      </c>
      <c r="C310" s="1">
        <f>IF(B310="", "", "urban biome")</f>
        <v>0</v>
      </c>
      <c r="D310" s="1">
        <f>IF(B310="", "", "human-associated habitat")</f>
        <v>0</v>
      </c>
      <c r="G310" s="1">
        <f>IF(B310="", "", "years")</f>
        <v>0</v>
      </c>
      <c r="I310" s="1">
        <f>IF(B310="", "", "human")</f>
        <v>0</v>
      </c>
      <c r="K310" s="1">
        <f>IF(B310="", "", "cm")</f>
        <v>0</v>
      </c>
      <c r="L310" s="1">
        <f>IF(B310="", "", "Homo sapiens")</f>
        <v>0</v>
      </c>
      <c r="M310" s="1">
        <f>IF(B310="", "", "9606")</f>
        <v>0</v>
      </c>
      <c r="O310" s="1">
        <f>IF(B310="", "", "kg")</f>
        <v>0</v>
      </c>
    </row>
    <row r="311" spans="1:15">
      <c r="A311">
        <f>IF(COUNTBLANK(B311:Q311)&lt;&gt;COLUMNS(B311:Q311),310,"")</f>
        <v>0</v>
      </c>
      <c r="C311" s="1">
        <f>IF(B311="", "", "urban biome")</f>
        <v>0</v>
      </c>
      <c r="D311" s="1">
        <f>IF(B311="", "", "human-associated habitat")</f>
        <v>0</v>
      </c>
      <c r="G311" s="1">
        <f>IF(B311="", "", "years")</f>
        <v>0</v>
      </c>
      <c r="I311" s="1">
        <f>IF(B311="", "", "human")</f>
        <v>0</v>
      </c>
      <c r="K311" s="1">
        <f>IF(B311="", "", "cm")</f>
        <v>0</v>
      </c>
      <c r="L311" s="1">
        <f>IF(B311="", "", "Homo sapiens")</f>
        <v>0</v>
      </c>
      <c r="M311" s="1">
        <f>IF(B311="", "", "9606")</f>
        <v>0</v>
      </c>
      <c r="O311" s="1">
        <f>IF(B311="", "", "kg")</f>
        <v>0</v>
      </c>
    </row>
    <row r="312" spans="1:15">
      <c r="A312">
        <f>IF(COUNTBLANK(B312:Q312)&lt;&gt;COLUMNS(B312:Q312),311,"")</f>
        <v>0</v>
      </c>
      <c r="C312" s="1">
        <f>IF(B312="", "", "urban biome")</f>
        <v>0</v>
      </c>
      <c r="D312" s="1">
        <f>IF(B312="", "", "human-associated habitat")</f>
        <v>0</v>
      </c>
      <c r="G312" s="1">
        <f>IF(B312="", "", "years")</f>
        <v>0</v>
      </c>
      <c r="I312" s="1">
        <f>IF(B312="", "", "human")</f>
        <v>0</v>
      </c>
      <c r="K312" s="1">
        <f>IF(B312="", "", "cm")</f>
        <v>0</v>
      </c>
      <c r="L312" s="1">
        <f>IF(B312="", "", "Homo sapiens")</f>
        <v>0</v>
      </c>
      <c r="M312" s="1">
        <f>IF(B312="", "", "9606")</f>
        <v>0</v>
      </c>
      <c r="O312" s="1">
        <f>IF(B312="", "", "kg")</f>
        <v>0</v>
      </c>
    </row>
    <row r="313" spans="1:15">
      <c r="A313">
        <f>IF(COUNTBLANK(B313:Q313)&lt;&gt;COLUMNS(B313:Q313),312,"")</f>
        <v>0</v>
      </c>
      <c r="C313" s="1">
        <f>IF(B313="", "", "urban biome")</f>
        <v>0</v>
      </c>
      <c r="D313" s="1">
        <f>IF(B313="", "", "human-associated habitat")</f>
        <v>0</v>
      </c>
      <c r="G313" s="1">
        <f>IF(B313="", "", "years")</f>
        <v>0</v>
      </c>
      <c r="I313" s="1">
        <f>IF(B313="", "", "human")</f>
        <v>0</v>
      </c>
      <c r="K313" s="1">
        <f>IF(B313="", "", "cm")</f>
        <v>0</v>
      </c>
      <c r="L313" s="1">
        <f>IF(B313="", "", "Homo sapiens")</f>
        <v>0</v>
      </c>
      <c r="M313" s="1">
        <f>IF(B313="", "", "9606")</f>
        <v>0</v>
      </c>
      <c r="O313" s="1">
        <f>IF(B313="", "", "kg")</f>
        <v>0</v>
      </c>
    </row>
    <row r="314" spans="1:15">
      <c r="A314">
        <f>IF(COUNTBLANK(B314:Q314)&lt;&gt;COLUMNS(B314:Q314),313,"")</f>
        <v>0</v>
      </c>
      <c r="C314" s="1">
        <f>IF(B314="", "", "urban biome")</f>
        <v>0</v>
      </c>
      <c r="D314" s="1">
        <f>IF(B314="", "", "human-associated habitat")</f>
        <v>0</v>
      </c>
      <c r="G314" s="1">
        <f>IF(B314="", "", "years")</f>
        <v>0</v>
      </c>
      <c r="I314" s="1">
        <f>IF(B314="", "", "human")</f>
        <v>0</v>
      </c>
      <c r="K314" s="1">
        <f>IF(B314="", "", "cm")</f>
        <v>0</v>
      </c>
      <c r="L314" s="1">
        <f>IF(B314="", "", "Homo sapiens")</f>
        <v>0</v>
      </c>
      <c r="M314" s="1">
        <f>IF(B314="", "", "9606")</f>
        <v>0</v>
      </c>
      <c r="O314" s="1">
        <f>IF(B314="", "", "kg")</f>
        <v>0</v>
      </c>
    </row>
    <row r="315" spans="1:15">
      <c r="A315">
        <f>IF(COUNTBLANK(B315:Q315)&lt;&gt;COLUMNS(B315:Q315),314,"")</f>
        <v>0</v>
      </c>
      <c r="C315" s="1">
        <f>IF(B315="", "", "urban biome")</f>
        <v>0</v>
      </c>
      <c r="D315" s="1">
        <f>IF(B315="", "", "human-associated habitat")</f>
        <v>0</v>
      </c>
      <c r="G315" s="1">
        <f>IF(B315="", "", "years")</f>
        <v>0</v>
      </c>
      <c r="I315" s="1">
        <f>IF(B315="", "", "human")</f>
        <v>0</v>
      </c>
      <c r="K315" s="1">
        <f>IF(B315="", "", "cm")</f>
        <v>0</v>
      </c>
      <c r="L315" s="1">
        <f>IF(B315="", "", "Homo sapiens")</f>
        <v>0</v>
      </c>
      <c r="M315" s="1">
        <f>IF(B315="", "", "9606")</f>
        <v>0</v>
      </c>
      <c r="O315" s="1">
        <f>IF(B315="", "", "kg")</f>
        <v>0</v>
      </c>
    </row>
    <row r="316" spans="1:15">
      <c r="A316">
        <f>IF(COUNTBLANK(B316:Q316)&lt;&gt;COLUMNS(B316:Q316),315,"")</f>
        <v>0</v>
      </c>
      <c r="C316" s="1">
        <f>IF(B316="", "", "urban biome")</f>
        <v>0</v>
      </c>
      <c r="D316" s="1">
        <f>IF(B316="", "", "human-associated habitat")</f>
        <v>0</v>
      </c>
      <c r="G316" s="1">
        <f>IF(B316="", "", "years")</f>
        <v>0</v>
      </c>
      <c r="I316" s="1">
        <f>IF(B316="", "", "human")</f>
        <v>0</v>
      </c>
      <c r="K316" s="1">
        <f>IF(B316="", "", "cm")</f>
        <v>0</v>
      </c>
      <c r="L316" s="1">
        <f>IF(B316="", "", "Homo sapiens")</f>
        <v>0</v>
      </c>
      <c r="M316" s="1">
        <f>IF(B316="", "", "9606")</f>
        <v>0</v>
      </c>
      <c r="O316" s="1">
        <f>IF(B316="", "", "kg")</f>
        <v>0</v>
      </c>
    </row>
    <row r="317" spans="1:15">
      <c r="A317">
        <f>IF(COUNTBLANK(B317:Q317)&lt;&gt;COLUMNS(B317:Q317),316,"")</f>
        <v>0</v>
      </c>
      <c r="C317" s="1">
        <f>IF(B317="", "", "urban biome")</f>
        <v>0</v>
      </c>
      <c r="D317" s="1">
        <f>IF(B317="", "", "human-associated habitat")</f>
        <v>0</v>
      </c>
      <c r="G317" s="1">
        <f>IF(B317="", "", "years")</f>
        <v>0</v>
      </c>
      <c r="I317" s="1">
        <f>IF(B317="", "", "human")</f>
        <v>0</v>
      </c>
      <c r="K317" s="1">
        <f>IF(B317="", "", "cm")</f>
        <v>0</v>
      </c>
      <c r="L317" s="1">
        <f>IF(B317="", "", "Homo sapiens")</f>
        <v>0</v>
      </c>
      <c r="M317" s="1">
        <f>IF(B317="", "", "9606")</f>
        <v>0</v>
      </c>
      <c r="O317" s="1">
        <f>IF(B317="", "", "kg")</f>
        <v>0</v>
      </c>
    </row>
    <row r="318" spans="1:15">
      <c r="A318">
        <f>IF(COUNTBLANK(B318:Q318)&lt;&gt;COLUMNS(B318:Q318),317,"")</f>
        <v>0</v>
      </c>
      <c r="C318" s="1">
        <f>IF(B318="", "", "urban biome")</f>
        <v>0</v>
      </c>
      <c r="D318" s="1">
        <f>IF(B318="", "", "human-associated habitat")</f>
        <v>0</v>
      </c>
      <c r="G318" s="1">
        <f>IF(B318="", "", "years")</f>
        <v>0</v>
      </c>
      <c r="I318" s="1">
        <f>IF(B318="", "", "human")</f>
        <v>0</v>
      </c>
      <c r="K318" s="1">
        <f>IF(B318="", "", "cm")</f>
        <v>0</v>
      </c>
      <c r="L318" s="1">
        <f>IF(B318="", "", "Homo sapiens")</f>
        <v>0</v>
      </c>
      <c r="M318" s="1">
        <f>IF(B318="", "", "9606")</f>
        <v>0</v>
      </c>
      <c r="O318" s="1">
        <f>IF(B318="", "", "kg")</f>
        <v>0</v>
      </c>
    </row>
    <row r="319" spans="1:15">
      <c r="A319">
        <f>IF(COUNTBLANK(B319:Q319)&lt;&gt;COLUMNS(B319:Q319),318,"")</f>
        <v>0</v>
      </c>
      <c r="C319" s="1">
        <f>IF(B319="", "", "urban biome")</f>
        <v>0</v>
      </c>
      <c r="D319" s="1">
        <f>IF(B319="", "", "human-associated habitat")</f>
        <v>0</v>
      </c>
      <c r="G319" s="1">
        <f>IF(B319="", "", "years")</f>
        <v>0</v>
      </c>
      <c r="I319" s="1">
        <f>IF(B319="", "", "human")</f>
        <v>0</v>
      </c>
      <c r="K319" s="1">
        <f>IF(B319="", "", "cm")</f>
        <v>0</v>
      </c>
      <c r="L319" s="1">
        <f>IF(B319="", "", "Homo sapiens")</f>
        <v>0</v>
      </c>
      <c r="M319" s="1">
        <f>IF(B319="", "", "9606")</f>
        <v>0</v>
      </c>
      <c r="O319" s="1">
        <f>IF(B319="", "", "kg")</f>
        <v>0</v>
      </c>
    </row>
    <row r="320" spans="1:15">
      <c r="A320">
        <f>IF(COUNTBLANK(B320:Q320)&lt;&gt;COLUMNS(B320:Q320),319,"")</f>
        <v>0</v>
      </c>
      <c r="C320" s="1">
        <f>IF(B320="", "", "urban biome")</f>
        <v>0</v>
      </c>
      <c r="D320" s="1">
        <f>IF(B320="", "", "human-associated habitat")</f>
        <v>0</v>
      </c>
      <c r="G320" s="1">
        <f>IF(B320="", "", "years")</f>
        <v>0</v>
      </c>
      <c r="I320" s="1">
        <f>IF(B320="", "", "human")</f>
        <v>0</v>
      </c>
      <c r="K320" s="1">
        <f>IF(B320="", "", "cm")</f>
        <v>0</v>
      </c>
      <c r="L320" s="1">
        <f>IF(B320="", "", "Homo sapiens")</f>
        <v>0</v>
      </c>
      <c r="M320" s="1">
        <f>IF(B320="", "", "9606")</f>
        <v>0</v>
      </c>
      <c r="O320" s="1">
        <f>IF(B320="", "", "kg")</f>
        <v>0</v>
      </c>
    </row>
    <row r="321" spans="1:15">
      <c r="A321">
        <f>IF(COUNTBLANK(B321:Q321)&lt;&gt;COLUMNS(B321:Q321),320,"")</f>
        <v>0</v>
      </c>
      <c r="C321" s="1">
        <f>IF(B321="", "", "urban biome")</f>
        <v>0</v>
      </c>
      <c r="D321" s="1">
        <f>IF(B321="", "", "human-associated habitat")</f>
        <v>0</v>
      </c>
      <c r="G321" s="1">
        <f>IF(B321="", "", "years")</f>
        <v>0</v>
      </c>
      <c r="I321" s="1">
        <f>IF(B321="", "", "human")</f>
        <v>0</v>
      </c>
      <c r="K321" s="1">
        <f>IF(B321="", "", "cm")</f>
        <v>0</v>
      </c>
      <c r="L321" s="1">
        <f>IF(B321="", "", "Homo sapiens")</f>
        <v>0</v>
      </c>
      <c r="M321" s="1">
        <f>IF(B321="", "", "9606")</f>
        <v>0</v>
      </c>
      <c r="O321" s="1">
        <f>IF(B321="", "", "kg")</f>
        <v>0</v>
      </c>
    </row>
    <row r="322" spans="1:15">
      <c r="A322">
        <f>IF(COUNTBLANK(B322:Q322)&lt;&gt;COLUMNS(B322:Q322),321,"")</f>
        <v>0</v>
      </c>
      <c r="C322" s="1">
        <f>IF(B322="", "", "urban biome")</f>
        <v>0</v>
      </c>
      <c r="D322" s="1">
        <f>IF(B322="", "", "human-associated habitat")</f>
        <v>0</v>
      </c>
      <c r="G322" s="1">
        <f>IF(B322="", "", "years")</f>
        <v>0</v>
      </c>
      <c r="I322" s="1">
        <f>IF(B322="", "", "human")</f>
        <v>0</v>
      </c>
      <c r="K322" s="1">
        <f>IF(B322="", "", "cm")</f>
        <v>0</v>
      </c>
      <c r="L322" s="1">
        <f>IF(B322="", "", "Homo sapiens")</f>
        <v>0</v>
      </c>
      <c r="M322" s="1">
        <f>IF(B322="", "", "9606")</f>
        <v>0</v>
      </c>
      <c r="O322" s="1">
        <f>IF(B322="", "", "kg")</f>
        <v>0</v>
      </c>
    </row>
    <row r="323" spans="1:15">
      <c r="A323">
        <f>IF(COUNTBLANK(B323:Q323)&lt;&gt;COLUMNS(B323:Q323),322,"")</f>
        <v>0</v>
      </c>
      <c r="C323" s="1">
        <f>IF(B323="", "", "urban biome")</f>
        <v>0</v>
      </c>
      <c r="D323" s="1">
        <f>IF(B323="", "", "human-associated habitat")</f>
        <v>0</v>
      </c>
      <c r="G323" s="1">
        <f>IF(B323="", "", "years")</f>
        <v>0</v>
      </c>
      <c r="I323" s="1">
        <f>IF(B323="", "", "human")</f>
        <v>0</v>
      </c>
      <c r="K323" s="1">
        <f>IF(B323="", "", "cm")</f>
        <v>0</v>
      </c>
      <c r="L323" s="1">
        <f>IF(B323="", "", "Homo sapiens")</f>
        <v>0</v>
      </c>
      <c r="M323" s="1">
        <f>IF(B323="", "", "9606")</f>
        <v>0</v>
      </c>
      <c r="O323" s="1">
        <f>IF(B323="", "", "kg")</f>
        <v>0</v>
      </c>
    </row>
    <row r="324" spans="1:15">
      <c r="A324">
        <f>IF(COUNTBLANK(B324:Q324)&lt;&gt;COLUMNS(B324:Q324),323,"")</f>
        <v>0</v>
      </c>
      <c r="C324" s="1">
        <f>IF(B324="", "", "urban biome")</f>
        <v>0</v>
      </c>
      <c r="D324" s="1">
        <f>IF(B324="", "", "human-associated habitat")</f>
        <v>0</v>
      </c>
      <c r="G324" s="1">
        <f>IF(B324="", "", "years")</f>
        <v>0</v>
      </c>
      <c r="I324" s="1">
        <f>IF(B324="", "", "human")</f>
        <v>0</v>
      </c>
      <c r="K324" s="1">
        <f>IF(B324="", "", "cm")</f>
        <v>0</v>
      </c>
      <c r="L324" s="1">
        <f>IF(B324="", "", "Homo sapiens")</f>
        <v>0</v>
      </c>
      <c r="M324" s="1">
        <f>IF(B324="", "", "9606")</f>
        <v>0</v>
      </c>
      <c r="O324" s="1">
        <f>IF(B324="", "", "kg")</f>
        <v>0</v>
      </c>
    </row>
    <row r="325" spans="1:15">
      <c r="A325">
        <f>IF(COUNTBLANK(B325:Q325)&lt;&gt;COLUMNS(B325:Q325),324,"")</f>
        <v>0</v>
      </c>
      <c r="C325" s="1">
        <f>IF(B325="", "", "urban biome")</f>
        <v>0</v>
      </c>
      <c r="D325" s="1">
        <f>IF(B325="", "", "human-associated habitat")</f>
        <v>0</v>
      </c>
      <c r="G325" s="1">
        <f>IF(B325="", "", "years")</f>
        <v>0</v>
      </c>
      <c r="I325" s="1">
        <f>IF(B325="", "", "human")</f>
        <v>0</v>
      </c>
      <c r="K325" s="1">
        <f>IF(B325="", "", "cm")</f>
        <v>0</v>
      </c>
      <c r="L325" s="1">
        <f>IF(B325="", "", "Homo sapiens")</f>
        <v>0</v>
      </c>
      <c r="M325" s="1">
        <f>IF(B325="", "", "9606")</f>
        <v>0</v>
      </c>
      <c r="O325" s="1">
        <f>IF(B325="", "", "kg")</f>
        <v>0</v>
      </c>
    </row>
    <row r="326" spans="1:15">
      <c r="A326">
        <f>IF(COUNTBLANK(B326:Q326)&lt;&gt;COLUMNS(B326:Q326),325,"")</f>
        <v>0</v>
      </c>
      <c r="C326" s="1">
        <f>IF(B326="", "", "urban biome")</f>
        <v>0</v>
      </c>
      <c r="D326" s="1">
        <f>IF(B326="", "", "human-associated habitat")</f>
        <v>0</v>
      </c>
      <c r="G326" s="1">
        <f>IF(B326="", "", "years")</f>
        <v>0</v>
      </c>
      <c r="I326" s="1">
        <f>IF(B326="", "", "human")</f>
        <v>0</v>
      </c>
      <c r="K326" s="1">
        <f>IF(B326="", "", "cm")</f>
        <v>0</v>
      </c>
      <c r="L326" s="1">
        <f>IF(B326="", "", "Homo sapiens")</f>
        <v>0</v>
      </c>
      <c r="M326" s="1">
        <f>IF(B326="", "", "9606")</f>
        <v>0</v>
      </c>
      <c r="O326" s="1">
        <f>IF(B326="", "", "kg")</f>
        <v>0</v>
      </c>
    </row>
    <row r="327" spans="1:15">
      <c r="A327">
        <f>IF(COUNTBLANK(B327:Q327)&lt;&gt;COLUMNS(B327:Q327),326,"")</f>
        <v>0</v>
      </c>
      <c r="C327" s="1">
        <f>IF(B327="", "", "urban biome")</f>
        <v>0</v>
      </c>
      <c r="D327" s="1">
        <f>IF(B327="", "", "human-associated habitat")</f>
        <v>0</v>
      </c>
      <c r="G327" s="1">
        <f>IF(B327="", "", "years")</f>
        <v>0</v>
      </c>
      <c r="I327" s="1">
        <f>IF(B327="", "", "human")</f>
        <v>0</v>
      </c>
      <c r="K327" s="1">
        <f>IF(B327="", "", "cm")</f>
        <v>0</v>
      </c>
      <c r="L327" s="1">
        <f>IF(B327="", "", "Homo sapiens")</f>
        <v>0</v>
      </c>
      <c r="M327" s="1">
        <f>IF(B327="", "", "9606")</f>
        <v>0</v>
      </c>
      <c r="O327" s="1">
        <f>IF(B327="", "", "kg")</f>
        <v>0</v>
      </c>
    </row>
    <row r="328" spans="1:15">
      <c r="A328">
        <f>IF(COUNTBLANK(B328:Q328)&lt;&gt;COLUMNS(B328:Q328),327,"")</f>
        <v>0</v>
      </c>
      <c r="C328" s="1">
        <f>IF(B328="", "", "urban biome")</f>
        <v>0</v>
      </c>
      <c r="D328" s="1">
        <f>IF(B328="", "", "human-associated habitat")</f>
        <v>0</v>
      </c>
      <c r="G328" s="1">
        <f>IF(B328="", "", "years")</f>
        <v>0</v>
      </c>
      <c r="I328" s="1">
        <f>IF(B328="", "", "human")</f>
        <v>0</v>
      </c>
      <c r="K328" s="1">
        <f>IF(B328="", "", "cm")</f>
        <v>0</v>
      </c>
      <c r="L328" s="1">
        <f>IF(B328="", "", "Homo sapiens")</f>
        <v>0</v>
      </c>
      <c r="M328" s="1">
        <f>IF(B328="", "", "9606")</f>
        <v>0</v>
      </c>
      <c r="O328" s="1">
        <f>IF(B328="", "", "kg")</f>
        <v>0</v>
      </c>
    </row>
    <row r="329" spans="1:15">
      <c r="A329">
        <f>IF(COUNTBLANK(B329:Q329)&lt;&gt;COLUMNS(B329:Q329),328,"")</f>
        <v>0</v>
      </c>
      <c r="C329" s="1">
        <f>IF(B329="", "", "urban biome")</f>
        <v>0</v>
      </c>
      <c r="D329" s="1">
        <f>IF(B329="", "", "human-associated habitat")</f>
        <v>0</v>
      </c>
      <c r="G329" s="1">
        <f>IF(B329="", "", "years")</f>
        <v>0</v>
      </c>
      <c r="I329" s="1">
        <f>IF(B329="", "", "human")</f>
        <v>0</v>
      </c>
      <c r="K329" s="1">
        <f>IF(B329="", "", "cm")</f>
        <v>0</v>
      </c>
      <c r="L329" s="1">
        <f>IF(B329="", "", "Homo sapiens")</f>
        <v>0</v>
      </c>
      <c r="M329" s="1">
        <f>IF(B329="", "", "9606")</f>
        <v>0</v>
      </c>
      <c r="O329" s="1">
        <f>IF(B329="", "", "kg")</f>
        <v>0</v>
      </c>
    </row>
    <row r="330" spans="1:15">
      <c r="A330">
        <f>IF(COUNTBLANK(B330:Q330)&lt;&gt;COLUMNS(B330:Q330),329,"")</f>
        <v>0</v>
      </c>
      <c r="C330" s="1">
        <f>IF(B330="", "", "urban biome")</f>
        <v>0</v>
      </c>
      <c r="D330" s="1">
        <f>IF(B330="", "", "human-associated habitat")</f>
        <v>0</v>
      </c>
      <c r="G330" s="1">
        <f>IF(B330="", "", "years")</f>
        <v>0</v>
      </c>
      <c r="I330" s="1">
        <f>IF(B330="", "", "human")</f>
        <v>0</v>
      </c>
      <c r="K330" s="1">
        <f>IF(B330="", "", "cm")</f>
        <v>0</v>
      </c>
      <c r="L330" s="1">
        <f>IF(B330="", "", "Homo sapiens")</f>
        <v>0</v>
      </c>
      <c r="M330" s="1">
        <f>IF(B330="", "", "9606")</f>
        <v>0</v>
      </c>
      <c r="O330" s="1">
        <f>IF(B330="", "", "kg")</f>
        <v>0</v>
      </c>
    </row>
    <row r="331" spans="1:15">
      <c r="A331">
        <f>IF(COUNTBLANK(B331:Q331)&lt;&gt;COLUMNS(B331:Q331),330,"")</f>
        <v>0</v>
      </c>
      <c r="C331" s="1">
        <f>IF(B331="", "", "urban biome")</f>
        <v>0</v>
      </c>
      <c r="D331" s="1">
        <f>IF(B331="", "", "human-associated habitat")</f>
        <v>0</v>
      </c>
      <c r="G331" s="1">
        <f>IF(B331="", "", "years")</f>
        <v>0</v>
      </c>
      <c r="I331" s="1">
        <f>IF(B331="", "", "human")</f>
        <v>0</v>
      </c>
      <c r="K331" s="1">
        <f>IF(B331="", "", "cm")</f>
        <v>0</v>
      </c>
      <c r="L331" s="1">
        <f>IF(B331="", "", "Homo sapiens")</f>
        <v>0</v>
      </c>
      <c r="M331" s="1">
        <f>IF(B331="", "", "9606")</f>
        <v>0</v>
      </c>
      <c r="O331" s="1">
        <f>IF(B331="", "", "kg")</f>
        <v>0</v>
      </c>
    </row>
    <row r="332" spans="1:15">
      <c r="A332">
        <f>IF(COUNTBLANK(B332:Q332)&lt;&gt;COLUMNS(B332:Q332),331,"")</f>
        <v>0</v>
      </c>
      <c r="C332" s="1">
        <f>IF(B332="", "", "urban biome")</f>
        <v>0</v>
      </c>
      <c r="D332" s="1">
        <f>IF(B332="", "", "human-associated habitat")</f>
        <v>0</v>
      </c>
      <c r="G332" s="1">
        <f>IF(B332="", "", "years")</f>
        <v>0</v>
      </c>
      <c r="I332" s="1">
        <f>IF(B332="", "", "human")</f>
        <v>0</v>
      </c>
      <c r="K332" s="1">
        <f>IF(B332="", "", "cm")</f>
        <v>0</v>
      </c>
      <c r="L332" s="1">
        <f>IF(B332="", "", "Homo sapiens")</f>
        <v>0</v>
      </c>
      <c r="M332" s="1">
        <f>IF(B332="", "", "9606")</f>
        <v>0</v>
      </c>
      <c r="O332" s="1">
        <f>IF(B332="", "", "kg")</f>
        <v>0</v>
      </c>
    </row>
    <row r="333" spans="1:15">
      <c r="A333">
        <f>IF(COUNTBLANK(B333:Q333)&lt;&gt;COLUMNS(B333:Q333),332,"")</f>
        <v>0</v>
      </c>
      <c r="C333" s="1">
        <f>IF(B333="", "", "urban biome")</f>
        <v>0</v>
      </c>
      <c r="D333" s="1">
        <f>IF(B333="", "", "human-associated habitat")</f>
        <v>0</v>
      </c>
      <c r="G333" s="1">
        <f>IF(B333="", "", "years")</f>
        <v>0</v>
      </c>
      <c r="I333" s="1">
        <f>IF(B333="", "", "human")</f>
        <v>0</v>
      </c>
      <c r="K333" s="1">
        <f>IF(B333="", "", "cm")</f>
        <v>0</v>
      </c>
      <c r="L333" s="1">
        <f>IF(B333="", "", "Homo sapiens")</f>
        <v>0</v>
      </c>
      <c r="M333" s="1">
        <f>IF(B333="", "", "9606")</f>
        <v>0</v>
      </c>
      <c r="O333" s="1">
        <f>IF(B333="", "", "kg")</f>
        <v>0</v>
      </c>
    </row>
    <row r="334" spans="1:15">
      <c r="A334">
        <f>IF(COUNTBLANK(B334:Q334)&lt;&gt;COLUMNS(B334:Q334),333,"")</f>
        <v>0</v>
      </c>
      <c r="C334" s="1">
        <f>IF(B334="", "", "urban biome")</f>
        <v>0</v>
      </c>
      <c r="D334" s="1">
        <f>IF(B334="", "", "human-associated habitat")</f>
        <v>0</v>
      </c>
      <c r="G334" s="1">
        <f>IF(B334="", "", "years")</f>
        <v>0</v>
      </c>
      <c r="I334" s="1">
        <f>IF(B334="", "", "human")</f>
        <v>0</v>
      </c>
      <c r="K334" s="1">
        <f>IF(B334="", "", "cm")</f>
        <v>0</v>
      </c>
      <c r="L334" s="1">
        <f>IF(B334="", "", "Homo sapiens")</f>
        <v>0</v>
      </c>
      <c r="M334" s="1">
        <f>IF(B334="", "", "9606")</f>
        <v>0</v>
      </c>
      <c r="O334" s="1">
        <f>IF(B334="", "", "kg")</f>
        <v>0</v>
      </c>
    </row>
    <row r="335" spans="1:15">
      <c r="A335">
        <f>IF(COUNTBLANK(B335:Q335)&lt;&gt;COLUMNS(B335:Q335),334,"")</f>
        <v>0</v>
      </c>
      <c r="C335" s="1">
        <f>IF(B335="", "", "urban biome")</f>
        <v>0</v>
      </c>
      <c r="D335" s="1">
        <f>IF(B335="", "", "human-associated habitat")</f>
        <v>0</v>
      </c>
      <c r="G335" s="1">
        <f>IF(B335="", "", "years")</f>
        <v>0</v>
      </c>
      <c r="I335" s="1">
        <f>IF(B335="", "", "human")</f>
        <v>0</v>
      </c>
      <c r="K335" s="1">
        <f>IF(B335="", "", "cm")</f>
        <v>0</v>
      </c>
      <c r="L335" s="1">
        <f>IF(B335="", "", "Homo sapiens")</f>
        <v>0</v>
      </c>
      <c r="M335" s="1">
        <f>IF(B335="", "", "9606")</f>
        <v>0</v>
      </c>
      <c r="O335" s="1">
        <f>IF(B335="", "", "kg")</f>
        <v>0</v>
      </c>
    </row>
    <row r="336" spans="1:15">
      <c r="A336">
        <f>IF(COUNTBLANK(B336:Q336)&lt;&gt;COLUMNS(B336:Q336),335,"")</f>
        <v>0</v>
      </c>
      <c r="C336" s="1">
        <f>IF(B336="", "", "urban biome")</f>
        <v>0</v>
      </c>
      <c r="D336" s="1">
        <f>IF(B336="", "", "human-associated habitat")</f>
        <v>0</v>
      </c>
      <c r="G336" s="1">
        <f>IF(B336="", "", "years")</f>
        <v>0</v>
      </c>
      <c r="I336" s="1">
        <f>IF(B336="", "", "human")</f>
        <v>0</v>
      </c>
      <c r="K336" s="1">
        <f>IF(B336="", "", "cm")</f>
        <v>0</v>
      </c>
      <c r="L336" s="1">
        <f>IF(B336="", "", "Homo sapiens")</f>
        <v>0</v>
      </c>
      <c r="M336" s="1">
        <f>IF(B336="", "", "9606")</f>
        <v>0</v>
      </c>
      <c r="O336" s="1">
        <f>IF(B336="", "", "kg")</f>
        <v>0</v>
      </c>
    </row>
    <row r="337" spans="1:15">
      <c r="A337">
        <f>IF(COUNTBLANK(B337:Q337)&lt;&gt;COLUMNS(B337:Q337),336,"")</f>
        <v>0</v>
      </c>
      <c r="C337" s="1">
        <f>IF(B337="", "", "urban biome")</f>
        <v>0</v>
      </c>
      <c r="D337" s="1">
        <f>IF(B337="", "", "human-associated habitat")</f>
        <v>0</v>
      </c>
      <c r="G337" s="1">
        <f>IF(B337="", "", "years")</f>
        <v>0</v>
      </c>
      <c r="I337" s="1">
        <f>IF(B337="", "", "human")</f>
        <v>0</v>
      </c>
      <c r="K337" s="1">
        <f>IF(B337="", "", "cm")</f>
        <v>0</v>
      </c>
      <c r="L337" s="1">
        <f>IF(B337="", "", "Homo sapiens")</f>
        <v>0</v>
      </c>
      <c r="M337" s="1">
        <f>IF(B337="", "", "9606")</f>
        <v>0</v>
      </c>
      <c r="O337" s="1">
        <f>IF(B337="", "", "kg")</f>
        <v>0</v>
      </c>
    </row>
    <row r="338" spans="1:15">
      <c r="A338">
        <f>IF(COUNTBLANK(B338:Q338)&lt;&gt;COLUMNS(B338:Q338),337,"")</f>
        <v>0</v>
      </c>
      <c r="C338" s="1">
        <f>IF(B338="", "", "urban biome")</f>
        <v>0</v>
      </c>
      <c r="D338" s="1">
        <f>IF(B338="", "", "human-associated habitat")</f>
        <v>0</v>
      </c>
      <c r="G338" s="1">
        <f>IF(B338="", "", "years")</f>
        <v>0</v>
      </c>
      <c r="I338" s="1">
        <f>IF(B338="", "", "human")</f>
        <v>0</v>
      </c>
      <c r="K338" s="1">
        <f>IF(B338="", "", "cm")</f>
        <v>0</v>
      </c>
      <c r="L338" s="1">
        <f>IF(B338="", "", "Homo sapiens")</f>
        <v>0</v>
      </c>
      <c r="M338" s="1">
        <f>IF(B338="", "", "9606")</f>
        <v>0</v>
      </c>
      <c r="O338" s="1">
        <f>IF(B338="", "", "kg")</f>
        <v>0</v>
      </c>
    </row>
    <row r="339" spans="1:15">
      <c r="A339">
        <f>IF(COUNTBLANK(B339:Q339)&lt;&gt;COLUMNS(B339:Q339),338,"")</f>
        <v>0</v>
      </c>
      <c r="C339" s="1">
        <f>IF(B339="", "", "urban biome")</f>
        <v>0</v>
      </c>
      <c r="D339" s="1">
        <f>IF(B339="", "", "human-associated habitat")</f>
        <v>0</v>
      </c>
      <c r="G339" s="1">
        <f>IF(B339="", "", "years")</f>
        <v>0</v>
      </c>
      <c r="I339" s="1">
        <f>IF(B339="", "", "human")</f>
        <v>0</v>
      </c>
      <c r="K339" s="1">
        <f>IF(B339="", "", "cm")</f>
        <v>0</v>
      </c>
      <c r="L339" s="1">
        <f>IF(B339="", "", "Homo sapiens")</f>
        <v>0</v>
      </c>
      <c r="M339" s="1">
        <f>IF(B339="", "", "9606")</f>
        <v>0</v>
      </c>
      <c r="O339" s="1">
        <f>IF(B339="", "", "kg")</f>
        <v>0</v>
      </c>
    </row>
    <row r="340" spans="1:15">
      <c r="A340">
        <f>IF(COUNTBLANK(B340:Q340)&lt;&gt;COLUMNS(B340:Q340),339,"")</f>
        <v>0</v>
      </c>
      <c r="C340" s="1">
        <f>IF(B340="", "", "urban biome")</f>
        <v>0</v>
      </c>
      <c r="D340" s="1">
        <f>IF(B340="", "", "human-associated habitat")</f>
        <v>0</v>
      </c>
      <c r="G340" s="1">
        <f>IF(B340="", "", "years")</f>
        <v>0</v>
      </c>
      <c r="I340" s="1">
        <f>IF(B340="", "", "human")</f>
        <v>0</v>
      </c>
      <c r="K340" s="1">
        <f>IF(B340="", "", "cm")</f>
        <v>0</v>
      </c>
      <c r="L340" s="1">
        <f>IF(B340="", "", "Homo sapiens")</f>
        <v>0</v>
      </c>
      <c r="M340" s="1">
        <f>IF(B340="", "", "9606")</f>
        <v>0</v>
      </c>
      <c r="O340" s="1">
        <f>IF(B340="", "", "kg")</f>
        <v>0</v>
      </c>
    </row>
    <row r="341" spans="1:15">
      <c r="A341">
        <f>IF(COUNTBLANK(B341:Q341)&lt;&gt;COLUMNS(B341:Q341),340,"")</f>
        <v>0</v>
      </c>
      <c r="C341" s="1">
        <f>IF(B341="", "", "urban biome")</f>
        <v>0</v>
      </c>
      <c r="D341" s="1">
        <f>IF(B341="", "", "human-associated habitat")</f>
        <v>0</v>
      </c>
      <c r="G341" s="1">
        <f>IF(B341="", "", "years")</f>
        <v>0</v>
      </c>
      <c r="I341" s="1">
        <f>IF(B341="", "", "human")</f>
        <v>0</v>
      </c>
      <c r="K341" s="1">
        <f>IF(B341="", "", "cm")</f>
        <v>0</v>
      </c>
      <c r="L341" s="1">
        <f>IF(B341="", "", "Homo sapiens")</f>
        <v>0</v>
      </c>
      <c r="M341" s="1">
        <f>IF(B341="", "", "9606")</f>
        <v>0</v>
      </c>
      <c r="O341" s="1">
        <f>IF(B341="", "", "kg")</f>
        <v>0</v>
      </c>
    </row>
    <row r="342" spans="1:15">
      <c r="A342">
        <f>IF(COUNTBLANK(B342:Q342)&lt;&gt;COLUMNS(B342:Q342),341,"")</f>
        <v>0</v>
      </c>
      <c r="C342" s="1">
        <f>IF(B342="", "", "urban biome")</f>
        <v>0</v>
      </c>
      <c r="D342" s="1">
        <f>IF(B342="", "", "human-associated habitat")</f>
        <v>0</v>
      </c>
      <c r="G342" s="1">
        <f>IF(B342="", "", "years")</f>
        <v>0</v>
      </c>
      <c r="I342" s="1">
        <f>IF(B342="", "", "human")</f>
        <v>0</v>
      </c>
      <c r="K342" s="1">
        <f>IF(B342="", "", "cm")</f>
        <v>0</v>
      </c>
      <c r="L342" s="1">
        <f>IF(B342="", "", "Homo sapiens")</f>
        <v>0</v>
      </c>
      <c r="M342" s="1">
        <f>IF(B342="", "", "9606")</f>
        <v>0</v>
      </c>
      <c r="O342" s="1">
        <f>IF(B342="", "", "kg")</f>
        <v>0</v>
      </c>
    </row>
    <row r="343" spans="1:15">
      <c r="A343">
        <f>IF(COUNTBLANK(B343:Q343)&lt;&gt;COLUMNS(B343:Q343),342,"")</f>
        <v>0</v>
      </c>
      <c r="C343" s="1">
        <f>IF(B343="", "", "urban biome")</f>
        <v>0</v>
      </c>
      <c r="D343" s="1">
        <f>IF(B343="", "", "human-associated habitat")</f>
        <v>0</v>
      </c>
      <c r="G343" s="1">
        <f>IF(B343="", "", "years")</f>
        <v>0</v>
      </c>
      <c r="I343" s="1">
        <f>IF(B343="", "", "human")</f>
        <v>0</v>
      </c>
      <c r="K343" s="1">
        <f>IF(B343="", "", "cm")</f>
        <v>0</v>
      </c>
      <c r="L343" s="1">
        <f>IF(B343="", "", "Homo sapiens")</f>
        <v>0</v>
      </c>
      <c r="M343" s="1">
        <f>IF(B343="", "", "9606")</f>
        <v>0</v>
      </c>
      <c r="O343" s="1">
        <f>IF(B343="", "", "kg")</f>
        <v>0</v>
      </c>
    </row>
    <row r="344" spans="1:15">
      <c r="A344">
        <f>IF(COUNTBLANK(B344:Q344)&lt;&gt;COLUMNS(B344:Q344),343,"")</f>
        <v>0</v>
      </c>
      <c r="C344" s="1">
        <f>IF(B344="", "", "urban biome")</f>
        <v>0</v>
      </c>
      <c r="D344" s="1">
        <f>IF(B344="", "", "human-associated habitat")</f>
        <v>0</v>
      </c>
      <c r="G344" s="1">
        <f>IF(B344="", "", "years")</f>
        <v>0</v>
      </c>
      <c r="I344" s="1">
        <f>IF(B344="", "", "human")</f>
        <v>0</v>
      </c>
      <c r="K344" s="1">
        <f>IF(B344="", "", "cm")</f>
        <v>0</v>
      </c>
      <c r="L344" s="1">
        <f>IF(B344="", "", "Homo sapiens")</f>
        <v>0</v>
      </c>
      <c r="M344" s="1">
        <f>IF(B344="", "", "9606")</f>
        <v>0</v>
      </c>
      <c r="O344" s="1">
        <f>IF(B344="", "", "kg")</f>
        <v>0</v>
      </c>
    </row>
    <row r="345" spans="1:15">
      <c r="A345">
        <f>IF(COUNTBLANK(B345:Q345)&lt;&gt;COLUMNS(B345:Q345),344,"")</f>
        <v>0</v>
      </c>
      <c r="C345" s="1">
        <f>IF(B345="", "", "urban biome")</f>
        <v>0</v>
      </c>
      <c r="D345" s="1">
        <f>IF(B345="", "", "human-associated habitat")</f>
        <v>0</v>
      </c>
      <c r="G345" s="1">
        <f>IF(B345="", "", "years")</f>
        <v>0</v>
      </c>
      <c r="I345" s="1">
        <f>IF(B345="", "", "human")</f>
        <v>0</v>
      </c>
      <c r="K345" s="1">
        <f>IF(B345="", "", "cm")</f>
        <v>0</v>
      </c>
      <c r="L345" s="1">
        <f>IF(B345="", "", "Homo sapiens")</f>
        <v>0</v>
      </c>
      <c r="M345" s="1">
        <f>IF(B345="", "", "9606")</f>
        <v>0</v>
      </c>
      <c r="O345" s="1">
        <f>IF(B345="", "", "kg")</f>
        <v>0</v>
      </c>
    </row>
    <row r="346" spans="1:15">
      <c r="A346">
        <f>IF(COUNTBLANK(B346:Q346)&lt;&gt;COLUMNS(B346:Q346),345,"")</f>
        <v>0</v>
      </c>
      <c r="C346" s="1">
        <f>IF(B346="", "", "urban biome")</f>
        <v>0</v>
      </c>
      <c r="D346" s="1">
        <f>IF(B346="", "", "human-associated habitat")</f>
        <v>0</v>
      </c>
      <c r="G346" s="1">
        <f>IF(B346="", "", "years")</f>
        <v>0</v>
      </c>
      <c r="I346" s="1">
        <f>IF(B346="", "", "human")</f>
        <v>0</v>
      </c>
      <c r="K346" s="1">
        <f>IF(B346="", "", "cm")</f>
        <v>0</v>
      </c>
      <c r="L346" s="1">
        <f>IF(B346="", "", "Homo sapiens")</f>
        <v>0</v>
      </c>
      <c r="M346" s="1">
        <f>IF(B346="", "", "9606")</f>
        <v>0</v>
      </c>
      <c r="O346" s="1">
        <f>IF(B346="", "", "kg")</f>
        <v>0</v>
      </c>
    </row>
    <row r="347" spans="1:15">
      <c r="A347">
        <f>IF(COUNTBLANK(B347:Q347)&lt;&gt;COLUMNS(B347:Q347),346,"")</f>
        <v>0</v>
      </c>
      <c r="C347" s="1">
        <f>IF(B347="", "", "urban biome")</f>
        <v>0</v>
      </c>
      <c r="D347" s="1">
        <f>IF(B347="", "", "human-associated habitat")</f>
        <v>0</v>
      </c>
      <c r="G347" s="1">
        <f>IF(B347="", "", "years")</f>
        <v>0</v>
      </c>
      <c r="I347" s="1">
        <f>IF(B347="", "", "human")</f>
        <v>0</v>
      </c>
      <c r="K347" s="1">
        <f>IF(B347="", "", "cm")</f>
        <v>0</v>
      </c>
      <c r="L347" s="1">
        <f>IF(B347="", "", "Homo sapiens")</f>
        <v>0</v>
      </c>
      <c r="M347" s="1">
        <f>IF(B347="", "", "9606")</f>
        <v>0</v>
      </c>
      <c r="O347" s="1">
        <f>IF(B347="", "", "kg")</f>
        <v>0</v>
      </c>
    </row>
    <row r="348" spans="1:15">
      <c r="A348">
        <f>IF(COUNTBLANK(B348:Q348)&lt;&gt;COLUMNS(B348:Q348),347,"")</f>
        <v>0</v>
      </c>
      <c r="C348" s="1">
        <f>IF(B348="", "", "urban biome")</f>
        <v>0</v>
      </c>
      <c r="D348" s="1">
        <f>IF(B348="", "", "human-associated habitat")</f>
        <v>0</v>
      </c>
      <c r="G348" s="1">
        <f>IF(B348="", "", "years")</f>
        <v>0</v>
      </c>
      <c r="I348" s="1">
        <f>IF(B348="", "", "human")</f>
        <v>0</v>
      </c>
      <c r="K348" s="1">
        <f>IF(B348="", "", "cm")</f>
        <v>0</v>
      </c>
      <c r="L348" s="1">
        <f>IF(B348="", "", "Homo sapiens")</f>
        <v>0</v>
      </c>
      <c r="M348" s="1">
        <f>IF(B348="", "", "9606")</f>
        <v>0</v>
      </c>
      <c r="O348" s="1">
        <f>IF(B348="", "", "kg")</f>
        <v>0</v>
      </c>
    </row>
    <row r="349" spans="1:15">
      <c r="A349">
        <f>IF(COUNTBLANK(B349:Q349)&lt;&gt;COLUMNS(B349:Q349),348,"")</f>
        <v>0</v>
      </c>
      <c r="C349" s="1">
        <f>IF(B349="", "", "urban biome")</f>
        <v>0</v>
      </c>
      <c r="D349" s="1">
        <f>IF(B349="", "", "human-associated habitat")</f>
        <v>0</v>
      </c>
      <c r="G349" s="1">
        <f>IF(B349="", "", "years")</f>
        <v>0</v>
      </c>
      <c r="I349" s="1">
        <f>IF(B349="", "", "human")</f>
        <v>0</v>
      </c>
      <c r="K349" s="1">
        <f>IF(B349="", "", "cm")</f>
        <v>0</v>
      </c>
      <c r="L349" s="1">
        <f>IF(B349="", "", "Homo sapiens")</f>
        <v>0</v>
      </c>
      <c r="M349" s="1">
        <f>IF(B349="", "", "9606")</f>
        <v>0</v>
      </c>
      <c r="O349" s="1">
        <f>IF(B349="", "", "kg")</f>
        <v>0</v>
      </c>
    </row>
    <row r="350" spans="1:15">
      <c r="A350">
        <f>IF(COUNTBLANK(B350:Q350)&lt;&gt;COLUMNS(B350:Q350),349,"")</f>
        <v>0</v>
      </c>
      <c r="C350" s="1">
        <f>IF(B350="", "", "urban biome")</f>
        <v>0</v>
      </c>
      <c r="D350" s="1">
        <f>IF(B350="", "", "human-associated habitat")</f>
        <v>0</v>
      </c>
      <c r="G350" s="1">
        <f>IF(B350="", "", "years")</f>
        <v>0</v>
      </c>
      <c r="I350" s="1">
        <f>IF(B350="", "", "human")</f>
        <v>0</v>
      </c>
      <c r="K350" s="1">
        <f>IF(B350="", "", "cm")</f>
        <v>0</v>
      </c>
      <c r="L350" s="1">
        <f>IF(B350="", "", "Homo sapiens")</f>
        <v>0</v>
      </c>
      <c r="M350" s="1">
        <f>IF(B350="", "", "9606")</f>
        <v>0</v>
      </c>
      <c r="O350" s="1">
        <f>IF(B350="", "", "kg")</f>
        <v>0</v>
      </c>
    </row>
    <row r="351" spans="1:15">
      <c r="A351">
        <f>IF(COUNTBLANK(B351:Q351)&lt;&gt;COLUMNS(B351:Q351),350,"")</f>
        <v>0</v>
      </c>
      <c r="C351" s="1">
        <f>IF(B351="", "", "urban biome")</f>
        <v>0</v>
      </c>
      <c r="D351" s="1">
        <f>IF(B351="", "", "human-associated habitat")</f>
        <v>0</v>
      </c>
      <c r="G351" s="1">
        <f>IF(B351="", "", "years")</f>
        <v>0</v>
      </c>
      <c r="I351" s="1">
        <f>IF(B351="", "", "human")</f>
        <v>0</v>
      </c>
      <c r="K351" s="1">
        <f>IF(B351="", "", "cm")</f>
        <v>0</v>
      </c>
      <c r="L351" s="1">
        <f>IF(B351="", "", "Homo sapiens")</f>
        <v>0</v>
      </c>
      <c r="M351" s="1">
        <f>IF(B351="", "", "9606")</f>
        <v>0</v>
      </c>
      <c r="O351" s="1">
        <f>IF(B351="", "", "kg")</f>
        <v>0</v>
      </c>
    </row>
    <row r="352" spans="1:15">
      <c r="A352">
        <f>IF(COUNTBLANK(B352:Q352)&lt;&gt;COLUMNS(B352:Q352),351,"")</f>
        <v>0</v>
      </c>
      <c r="C352" s="1">
        <f>IF(B352="", "", "urban biome")</f>
        <v>0</v>
      </c>
      <c r="D352" s="1">
        <f>IF(B352="", "", "human-associated habitat")</f>
        <v>0</v>
      </c>
      <c r="G352" s="1">
        <f>IF(B352="", "", "years")</f>
        <v>0</v>
      </c>
      <c r="I352" s="1">
        <f>IF(B352="", "", "human")</f>
        <v>0</v>
      </c>
      <c r="K352" s="1">
        <f>IF(B352="", "", "cm")</f>
        <v>0</v>
      </c>
      <c r="L352" s="1">
        <f>IF(B352="", "", "Homo sapiens")</f>
        <v>0</v>
      </c>
      <c r="M352" s="1">
        <f>IF(B352="", "", "9606")</f>
        <v>0</v>
      </c>
      <c r="O352" s="1">
        <f>IF(B352="", "", "kg")</f>
        <v>0</v>
      </c>
    </row>
    <row r="353" spans="1:15">
      <c r="A353">
        <f>IF(COUNTBLANK(B353:Q353)&lt;&gt;COLUMNS(B353:Q353),352,"")</f>
        <v>0</v>
      </c>
      <c r="C353" s="1">
        <f>IF(B353="", "", "urban biome")</f>
        <v>0</v>
      </c>
      <c r="D353" s="1">
        <f>IF(B353="", "", "human-associated habitat")</f>
        <v>0</v>
      </c>
      <c r="G353" s="1">
        <f>IF(B353="", "", "years")</f>
        <v>0</v>
      </c>
      <c r="I353" s="1">
        <f>IF(B353="", "", "human")</f>
        <v>0</v>
      </c>
      <c r="K353" s="1">
        <f>IF(B353="", "", "cm")</f>
        <v>0</v>
      </c>
      <c r="L353" s="1">
        <f>IF(B353="", "", "Homo sapiens")</f>
        <v>0</v>
      </c>
      <c r="M353" s="1">
        <f>IF(B353="", "", "9606")</f>
        <v>0</v>
      </c>
      <c r="O353" s="1">
        <f>IF(B353="", "", "kg")</f>
        <v>0</v>
      </c>
    </row>
    <row r="354" spans="1:15">
      <c r="A354">
        <f>IF(COUNTBLANK(B354:Q354)&lt;&gt;COLUMNS(B354:Q354),353,"")</f>
        <v>0</v>
      </c>
      <c r="C354" s="1">
        <f>IF(B354="", "", "urban biome")</f>
        <v>0</v>
      </c>
      <c r="D354" s="1">
        <f>IF(B354="", "", "human-associated habitat")</f>
        <v>0</v>
      </c>
      <c r="G354" s="1">
        <f>IF(B354="", "", "years")</f>
        <v>0</v>
      </c>
      <c r="I354" s="1">
        <f>IF(B354="", "", "human")</f>
        <v>0</v>
      </c>
      <c r="K354" s="1">
        <f>IF(B354="", "", "cm")</f>
        <v>0</v>
      </c>
      <c r="L354" s="1">
        <f>IF(B354="", "", "Homo sapiens")</f>
        <v>0</v>
      </c>
      <c r="M354" s="1">
        <f>IF(B354="", "", "9606")</f>
        <v>0</v>
      </c>
      <c r="O354" s="1">
        <f>IF(B354="", "", "kg")</f>
        <v>0</v>
      </c>
    </row>
    <row r="355" spans="1:15">
      <c r="A355">
        <f>IF(COUNTBLANK(B355:Q355)&lt;&gt;COLUMNS(B355:Q355),354,"")</f>
        <v>0</v>
      </c>
      <c r="C355" s="1">
        <f>IF(B355="", "", "urban biome")</f>
        <v>0</v>
      </c>
      <c r="D355" s="1">
        <f>IF(B355="", "", "human-associated habitat")</f>
        <v>0</v>
      </c>
      <c r="G355" s="1">
        <f>IF(B355="", "", "years")</f>
        <v>0</v>
      </c>
      <c r="I355" s="1">
        <f>IF(B355="", "", "human")</f>
        <v>0</v>
      </c>
      <c r="K355" s="1">
        <f>IF(B355="", "", "cm")</f>
        <v>0</v>
      </c>
      <c r="L355" s="1">
        <f>IF(B355="", "", "Homo sapiens")</f>
        <v>0</v>
      </c>
      <c r="M355" s="1">
        <f>IF(B355="", "", "9606")</f>
        <v>0</v>
      </c>
      <c r="O355" s="1">
        <f>IF(B355="", "", "kg")</f>
        <v>0</v>
      </c>
    </row>
    <row r="356" spans="1:15">
      <c r="A356">
        <f>IF(COUNTBLANK(B356:Q356)&lt;&gt;COLUMNS(B356:Q356),355,"")</f>
        <v>0</v>
      </c>
      <c r="C356" s="1">
        <f>IF(B356="", "", "urban biome")</f>
        <v>0</v>
      </c>
      <c r="D356" s="1">
        <f>IF(B356="", "", "human-associated habitat")</f>
        <v>0</v>
      </c>
      <c r="G356" s="1">
        <f>IF(B356="", "", "years")</f>
        <v>0</v>
      </c>
      <c r="I356" s="1">
        <f>IF(B356="", "", "human")</f>
        <v>0</v>
      </c>
      <c r="K356" s="1">
        <f>IF(B356="", "", "cm")</f>
        <v>0</v>
      </c>
      <c r="L356" s="1">
        <f>IF(B356="", "", "Homo sapiens")</f>
        <v>0</v>
      </c>
      <c r="M356" s="1">
        <f>IF(B356="", "", "9606")</f>
        <v>0</v>
      </c>
      <c r="O356" s="1">
        <f>IF(B356="", "", "kg")</f>
        <v>0</v>
      </c>
    </row>
    <row r="357" spans="1:15">
      <c r="A357">
        <f>IF(COUNTBLANK(B357:Q357)&lt;&gt;COLUMNS(B357:Q357),356,"")</f>
        <v>0</v>
      </c>
      <c r="C357" s="1">
        <f>IF(B357="", "", "urban biome")</f>
        <v>0</v>
      </c>
      <c r="D357" s="1">
        <f>IF(B357="", "", "human-associated habitat")</f>
        <v>0</v>
      </c>
      <c r="G357" s="1">
        <f>IF(B357="", "", "years")</f>
        <v>0</v>
      </c>
      <c r="I357" s="1">
        <f>IF(B357="", "", "human")</f>
        <v>0</v>
      </c>
      <c r="K357" s="1">
        <f>IF(B357="", "", "cm")</f>
        <v>0</v>
      </c>
      <c r="L357" s="1">
        <f>IF(B357="", "", "Homo sapiens")</f>
        <v>0</v>
      </c>
      <c r="M357" s="1">
        <f>IF(B357="", "", "9606")</f>
        <v>0</v>
      </c>
      <c r="O357" s="1">
        <f>IF(B357="", "", "kg")</f>
        <v>0</v>
      </c>
    </row>
    <row r="358" spans="1:15">
      <c r="A358">
        <f>IF(COUNTBLANK(B358:Q358)&lt;&gt;COLUMNS(B358:Q358),357,"")</f>
        <v>0</v>
      </c>
      <c r="C358" s="1">
        <f>IF(B358="", "", "urban biome")</f>
        <v>0</v>
      </c>
      <c r="D358" s="1">
        <f>IF(B358="", "", "human-associated habitat")</f>
        <v>0</v>
      </c>
      <c r="G358" s="1">
        <f>IF(B358="", "", "years")</f>
        <v>0</v>
      </c>
      <c r="I358" s="1">
        <f>IF(B358="", "", "human")</f>
        <v>0</v>
      </c>
      <c r="K358" s="1">
        <f>IF(B358="", "", "cm")</f>
        <v>0</v>
      </c>
      <c r="L358" s="1">
        <f>IF(B358="", "", "Homo sapiens")</f>
        <v>0</v>
      </c>
      <c r="M358" s="1">
        <f>IF(B358="", "", "9606")</f>
        <v>0</v>
      </c>
      <c r="O358" s="1">
        <f>IF(B358="", "", "kg")</f>
        <v>0</v>
      </c>
    </row>
    <row r="359" spans="1:15">
      <c r="A359">
        <f>IF(COUNTBLANK(B359:Q359)&lt;&gt;COLUMNS(B359:Q359),358,"")</f>
        <v>0</v>
      </c>
      <c r="C359" s="1">
        <f>IF(B359="", "", "urban biome")</f>
        <v>0</v>
      </c>
      <c r="D359" s="1">
        <f>IF(B359="", "", "human-associated habitat")</f>
        <v>0</v>
      </c>
      <c r="G359" s="1">
        <f>IF(B359="", "", "years")</f>
        <v>0</v>
      </c>
      <c r="I359" s="1">
        <f>IF(B359="", "", "human")</f>
        <v>0</v>
      </c>
      <c r="K359" s="1">
        <f>IF(B359="", "", "cm")</f>
        <v>0</v>
      </c>
      <c r="L359" s="1">
        <f>IF(B359="", "", "Homo sapiens")</f>
        <v>0</v>
      </c>
      <c r="M359" s="1">
        <f>IF(B359="", "", "9606")</f>
        <v>0</v>
      </c>
      <c r="O359" s="1">
        <f>IF(B359="", "", "kg")</f>
        <v>0</v>
      </c>
    </row>
    <row r="360" spans="1:15">
      <c r="A360">
        <f>IF(COUNTBLANK(B360:Q360)&lt;&gt;COLUMNS(B360:Q360),359,"")</f>
        <v>0</v>
      </c>
      <c r="C360" s="1">
        <f>IF(B360="", "", "urban biome")</f>
        <v>0</v>
      </c>
      <c r="D360" s="1">
        <f>IF(B360="", "", "human-associated habitat")</f>
        <v>0</v>
      </c>
      <c r="G360" s="1">
        <f>IF(B360="", "", "years")</f>
        <v>0</v>
      </c>
      <c r="I360" s="1">
        <f>IF(B360="", "", "human")</f>
        <v>0</v>
      </c>
      <c r="K360" s="1">
        <f>IF(B360="", "", "cm")</f>
        <v>0</v>
      </c>
      <c r="L360" s="1">
        <f>IF(B360="", "", "Homo sapiens")</f>
        <v>0</v>
      </c>
      <c r="M360" s="1">
        <f>IF(B360="", "", "9606")</f>
        <v>0</v>
      </c>
      <c r="O360" s="1">
        <f>IF(B360="", "", "kg")</f>
        <v>0</v>
      </c>
    </row>
    <row r="361" spans="1:15">
      <c r="A361">
        <f>IF(COUNTBLANK(B361:Q361)&lt;&gt;COLUMNS(B361:Q361),360,"")</f>
        <v>0</v>
      </c>
      <c r="C361" s="1">
        <f>IF(B361="", "", "urban biome")</f>
        <v>0</v>
      </c>
      <c r="D361" s="1">
        <f>IF(B361="", "", "human-associated habitat")</f>
        <v>0</v>
      </c>
      <c r="G361" s="1">
        <f>IF(B361="", "", "years")</f>
        <v>0</v>
      </c>
      <c r="I361" s="1">
        <f>IF(B361="", "", "human")</f>
        <v>0</v>
      </c>
      <c r="K361" s="1">
        <f>IF(B361="", "", "cm")</f>
        <v>0</v>
      </c>
      <c r="L361" s="1">
        <f>IF(B361="", "", "Homo sapiens")</f>
        <v>0</v>
      </c>
      <c r="M361" s="1">
        <f>IF(B361="", "", "9606")</f>
        <v>0</v>
      </c>
      <c r="O361" s="1">
        <f>IF(B361="", "", "kg")</f>
        <v>0</v>
      </c>
    </row>
    <row r="362" spans="1:15">
      <c r="A362">
        <f>IF(COUNTBLANK(B362:Q362)&lt;&gt;COLUMNS(B362:Q362),361,"")</f>
        <v>0</v>
      </c>
      <c r="C362" s="1">
        <f>IF(B362="", "", "urban biome")</f>
        <v>0</v>
      </c>
      <c r="D362" s="1">
        <f>IF(B362="", "", "human-associated habitat")</f>
        <v>0</v>
      </c>
      <c r="G362" s="1">
        <f>IF(B362="", "", "years")</f>
        <v>0</v>
      </c>
      <c r="I362" s="1">
        <f>IF(B362="", "", "human")</f>
        <v>0</v>
      </c>
      <c r="K362" s="1">
        <f>IF(B362="", "", "cm")</f>
        <v>0</v>
      </c>
      <c r="L362" s="1">
        <f>IF(B362="", "", "Homo sapiens")</f>
        <v>0</v>
      </c>
      <c r="M362" s="1">
        <f>IF(B362="", "", "9606")</f>
        <v>0</v>
      </c>
      <c r="O362" s="1">
        <f>IF(B362="", "", "kg")</f>
        <v>0</v>
      </c>
    </row>
    <row r="363" spans="1:15">
      <c r="A363">
        <f>IF(COUNTBLANK(B363:Q363)&lt;&gt;COLUMNS(B363:Q363),362,"")</f>
        <v>0</v>
      </c>
      <c r="C363" s="1">
        <f>IF(B363="", "", "urban biome")</f>
        <v>0</v>
      </c>
      <c r="D363" s="1">
        <f>IF(B363="", "", "human-associated habitat")</f>
        <v>0</v>
      </c>
      <c r="G363" s="1">
        <f>IF(B363="", "", "years")</f>
        <v>0</v>
      </c>
      <c r="I363" s="1">
        <f>IF(B363="", "", "human")</f>
        <v>0</v>
      </c>
      <c r="K363" s="1">
        <f>IF(B363="", "", "cm")</f>
        <v>0</v>
      </c>
      <c r="L363" s="1">
        <f>IF(B363="", "", "Homo sapiens")</f>
        <v>0</v>
      </c>
      <c r="M363" s="1">
        <f>IF(B363="", "", "9606")</f>
        <v>0</v>
      </c>
      <c r="O363" s="1">
        <f>IF(B363="", "", "kg")</f>
        <v>0</v>
      </c>
    </row>
    <row r="364" spans="1:15">
      <c r="A364">
        <f>IF(COUNTBLANK(B364:Q364)&lt;&gt;COLUMNS(B364:Q364),363,"")</f>
        <v>0</v>
      </c>
      <c r="C364" s="1">
        <f>IF(B364="", "", "urban biome")</f>
        <v>0</v>
      </c>
      <c r="D364" s="1">
        <f>IF(B364="", "", "human-associated habitat")</f>
        <v>0</v>
      </c>
      <c r="G364" s="1">
        <f>IF(B364="", "", "years")</f>
        <v>0</v>
      </c>
      <c r="I364" s="1">
        <f>IF(B364="", "", "human")</f>
        <v>0</v>
      </c>
      <c r="K364" s="1">
        <f>IF(B364="", "", "cm")</f>
        <v>0</v>
      </c>
      <c r="L364" s="1">
        <f>IF(B364="", "", "Homo sapiens")</f>
        <v>0</v>
      </c>
      <c r="M364" s="1">
        <f>IF(B364="", "", "9606")</f>
        <v>0</v>
      </c>
      <c r="O364" s="1">
        <f>IF(B364="", "", "kg")</f>
        <v>0</v>
      </c>
    </row>
    <row r="365" spans="1:15">
      <c r="A365">
        <f>IF(COUNTBLANK(B365:Q365)&lt;&gt;COLUMNS(B365:Q365),364,"")</f>
        <v>0</v>
      </c>
      <c r="C365" s="1">
        <f>IF(B365="", "", "urban biome")</f>
        <v>0</v>
      </c>
      <c r="D365" s="1">
        <f>IF(B365="", "", "human-associated habitat")</f>
        <v>0</v>
      </c>
      <c r="G365" s="1">
        <f>IF(B365="", "", "years")</f>
        <v>0</v>
      </c>
      <c r="I365" s="1">
        <f>IF(B365="", "", "human")</f>
        <v>0</v>
      </c>
      <c r="K365" s="1">
        <f>IF(B365="", "", "cm")</f>
        <v>0</v>
      </c>
      <c r="L365" s="1">
        <f>IF(B365="", "", "Homo sapiens")</f>
        <v>0</v>
      </c>
      <c r="M365" s="1">
        <f>IF(B365="", "", "9606")</f>
        <v>0</v>
      </c>
      <c r="O365" s="1">
        <f>IF(B365="", "", "kg")</f>
        <v>0</v>
      </c>
    </row>
    <row r="366" spans="1:15">
      <c r="A366">
        <f>IF(COUNTBLANK(B366:Q366)&lt;&gt;COLUMNS(B366:Q366),365,"")</f>
        <v>0</v>
      </c>
      <c r="C366" s="1">
        <f>IF(B366="", "", "urban biome")</f>
        <v>0</v>
      </c>
      <c r="D366" s="1">
        <f>IF(B366="", "", "human-associated habitat")</f>
        <v>0</v>
      </c>
      <c r="G366" s="1">
        <f>IF(B366="", "", "years")</f>
        <v>0</v>
      </c>
      <c r="I366" s="1">
        <f>IF(B366="", "", "human")</f>
        <v>0</v>
      </c>
      <c r="K366" s="1">
        <f>IF(B366="", "", "cm")</f>
        <v>0</v>
      </c>
      <c r="L366" s="1">
        <f>IF(B366="", "", "Homo sapiens")</f>
        <v>0</v>
      </c>
      <c r="M366" s="1">
        <f>IF(B366="", "", "9606")</f>
        <v>0</v>
      </c>
      <c r="O366" s="1">
        <f>IF(B366="", "", "kg")</f>
        <v>0</v>
      </c>
    </row>
    <row r="367" spans="1:15">
      <c r="A367">
        <f>IF(COUNTBLANK(B367:Q367)&lt;&gt;COLUMNS(B367:Q367),366,"")</f>
        <v>0</v>
      </c>
      <c r="C367" s="1">
        <f>IF(B367="", "", "urban biome")</f>
        <v>0</v>
      </c>
      <c r="D367" s="1">
        <f>IF(B367="", "", "human-associated habitat")</f>
        <v>0</v>
      </c>
      <c r="G367" s="1">
        <f>IF(B367="", "", "years")</f>
        <v>0</v>
      </c>
      <c r="I367" s="1">
        <f>IF(B367="", "", "human")</f>
        <v>0</v>
      </c>
      <c r="K367" s="1">
        <f>IF(B367="", "", "cm")</f>
        <v>0</v>
      </c>
      <c r="L367" s="1">
        <f>IF(B367="", "", "Homo sapiens")</f>
        <v>0</v>
      </c>
      <c r="M367" s="1">
        <f>IF(B367="", "", "9606")</f>
        <v>0</v>
      </c>
      <c r="O367" s="1">
        <f>IF(B367="", "", "kg")</f>
        <v>0</v>
      </c>
    </row>
    <row r="368" spans="1:15">
      <c r="A368">
        <f>IF(COUNTBLANK(B368:Q368)&lt;&gt;COLUMNS(B368:Q368),367,"")</f>
        <v>0</v>
      </c>
      <c r="C368" s="1">
        <f>IF(B368="", "", "urban biome")</f>
        <v>0</v>
      </c>
      <c r="D368" s="1">
        <f>IF(B368="", "", "human-associated habitat")</f>
        <v>0</v>
      </c>
      <c r="G368" s="1">
        <f>IF(B368="", "", "years")</f>
        <v>0</v>
      </c>
      <c r="I368" s="1">
        <f>IF(B368="", "", "human")</f>
        <v>0</v>
      </c>
      <c r="K368" s="1">
        <f>IF(B368="", "", "cm")</f>
        <v>0</v>
      </c>
      <c r="L368" s="1">
        <f>IF(B368="", "", "Homo sapiens")</f>
        <v>0</v>
      </c>
      <c r="M368" s="1">
        <f>IF(B368="", "", "9606")</f>
        <v>0</v>
      </c>
      <c r="O368" s="1">
        <f>IF(B368="", "", "kg")</f>
        <v>0</v>
      </c>
    </row>
    <row r="369" spans="1:15">
      <c r="A369">
        <f>IF(COUNTBLANK(B369:Q369)&lt;&gt;COLUMNS(B369:Q369),368,"")</f>
        <v>0</v>
      </c>
      <c r="C369" s="1">
        <f>IF(B369="", "", "urban biome")</f>
        <v>0</v>
      </c>
      <c r="D369" s="1">
        <f>IF(B369="", "", "human-associated habitat")</f>
        <v>0</v>
      </c>
      <c r="G369" s="1">
        <f>IF(B369="", "", "years")</f>
        <v>0</v>
      </c>
      <c r="I369" s="1">
        <f>IF(B369="", "", "human")</f>
        <v>0</v>
      </c>
      <c r="K369" s="1">
        <f>IF(B369="", "", "cm")</f>
        <v>0</v>
      </c>
      <c r="L369" s="1">
        <f>IF(B369="", "", "Homo sapiens")</f>
        <v>0</v>
      </c>
      <c r="M369" s="1">
        <f>IF(B369="", "", "9606")</f>
        <v>0</v>
      </c>
      <c r="O369" s="1">
        <f>IF(B369="", "", "kg")</f>
        <v>0</v>
      </c>
    </row>
    <row r="370" spans="1:15">
      <c r="A370">
        <f>IF(COUNTBLANK(B370:Q370)&lt;&gt;COLUMNS(B370:Q370),369,"")</f>
        <v>0</v>
      </c>
      <c r="C370" s="1">
        <f>IF(B370="", "", "urban biome")</f>
        <v>0</v>
      </c>
      <c r="D370" s="1">
        <f>IF(B370="", "", "human-associated habitat")</f>
        <v>0</v>
      </c>
      <c r="G370" s="1">
        <f>IF(B370="", "", "years")</f>
        <v>0</v>
      </c>
      <c r="I370" s="1">
        <f>IF(B370="", "", "human")</f>
        <v>0</v>
      </c>
      <c r="K370" s="1">
        <f>IF(B370="", "", "cm")</f>
        <v>0</v>
      </c>
      <c r="L370" s="1">
        <f>IF(B370="", "", "Homo sapiens")</f>
        <v>0</v>
      </c>
      <c r="M370" s="1">
        <f>IF(B370="", "", "9606")</f>
        <v>0</v>
      </c>
      <c r="O370" s="1">
        <f>IF(B370="", "", "kg")</f>
        <v>0</v>
      </c>
    </row>
    <row r="371" spans="1:15">
      <c r="A371">
        <f>IF(COUNTBLANK(B371:Q371)&lt;&gt;COLUMNS(B371:Q371),370,"")</f>
        <v>0</v>
      </c>
      <c r="C371" s="1">
        <f>IF(B371="", "", "urban biome")</f>
        <v>0</v>
      </c>
      <c r="D371" s="1">
        <f>IF(B371="", "", "human-associated habitat")</f>
        <v>0</v>
      </c>
      <c r="G371" s="1">
        <f>IF(B371="", "", "years")</f>
        <v>0</v>
      </c>
      <c r="I371" s="1">
        <f>IF(B371="", "", "human")</f>
        <v>0</v>
      </c>
      <c r="K371" s="1">
        <f>IF(B371="", "", "cm")</f>
        <v>0</v>
      </c>
      <c r="L371" s="1">
        <f>IF(B371="", "", "Homo sapiens")</f>
        <v>0</v>
      </c>
      <c r="M371" s="1">
        <f>IF(B371="", "", "9606")</f>
        <v>0</v>
      </c>
      <c r="O371" s="1">
        <f>IF(B371="", "", "kg")</f>
        <v>0</v>
      </c>
    </row>
    <row r="372" spans="1:15">
      <c r="A372">
        <f>IF(COUNTBLANK(B372:Q372)&lt;&gt;COLUMNS(B372:Q372),371,"")</f>
        <v>0</v>
      </c>
      <c r="C372" s="1">
        <f>IF(B372="", "", "urban biome")</f>
        <v>0</v>
      </c>
      <c r="D372" s="1">
        <f>IF(B372="", "", "human-associated habitat")</f>
        <v>0</v>
      </c>
      <c r="G372" s="1">
        <f>IF(B372="", "", "years")</f>
        <v>0</v>
      </c>
      <c r="I372" s="1">
        <f>IF(B372="", "", "human")</f>
        <v>0</v>
      </c>
      <c r="K372" s="1">
        <f>IF(B372="", "", "cm")</f>
        <v>0</v>
      </c>
      <c r="L372" s="1">
        <f>IF(B372="", "", "Homo sapiens")</f>
        <v>0</v>
      </c>
      <c r="M372" s="1">
        <f>IF(B372="", "", "9606")</f>
        <v>0</v>
      </c>
      <c r="O372" s="1">
        <f>IF(B372="", "", "kg")</f>
        <v>0</v>
      </c>
    </row>
    <row r="373" spans="1:15">
      <c r="A373">
        <f>IF(COUNTBLANK(B373:Q373)&lt;&gt;COLUMNS(B373:Q373),372,"")</f>
        <v>0</v>
      </c>
      <c r="C373" s="1">
        <f>IF(B373="", "", "urban biome")</f>
        <v>0</v>
      </c>
      <c r="D373" s="1">
        <f>IF(B373="", "", "human-associated habitat")</f>
        <v>0</v>
      </c>
      <c r="G373" s="1">
        <f>IF(B373="", "", "years")</f>
        <v>0</v>
      </c>
      <c r="I373" s="1">
        <f>IF(B373="", "", "human")</f>
        <v>0</v>
      </c>
      <c r="K373" s="1">
        <f>IF(B373="", "", "cm")</f>
        <v>0</v>
      </c>
      <c r="L373" s="1">
        <f>IF(B373="", "", "Homo sapiens")</f>
        <v>0</v>
      </c>
      <c r="M373" s="1">
        <f>IF(B373="", "", "9606")</f>
        <v>0</v>
      </c>
      <c r="O373" s="1">
        <f>IF(B373="", "", "kg")</f>
        <v>0</v>
      </c>
    </row>
    <row r="374" spans="1:15">
      <c r="A374">
        <f>IF(COUNTBLANK(B374:Q374)&lt;&gt;COLUMNS(B374:Q374),373,"")</f>
        <v>0</v>
      </c>
      <c r="C374" s="1">
        <f>IF(B374="", "", "urban biome")</f>
        <v>0</v>
      </c>
      <c r="D374" s="1">
        <f>IF(B374="", "", "human-associated habitat")</f>
        <v>0</v>
      </c>
      <c r="G374" s="1">
        <f>IF(B374="", "", "years")</f>
        <v>0</v>
      </c>
      <c r="I374" s="1">
        <f>IF(B374="", "", "human")</f>
        <v>0</v>
      </c>
      <c r="K374" s="1">
        <f>IF(B374="", "", "cm")</f>
        <v>0</v>
      </c>
      <c r="L374" s="1">
        <f>IF(B374="", "", "Homo sapiens")</f>
        <v>0</v>
      </c>
      <c r="M374" s="1">
        <f>IF(B374="", "", "9606")</f>
        <v>0</v>
      </c>
      <c r="O374" s="1">
        <f>IF(B374="", "", "kg")</f>
        <v>0</v>
      </c>
    </row>
    <row r="375" spans="1:15">
      <c r="A375">
        <f>IF(COUNTBLANK(B375:Q375)&lt;&gt;COLUMNS(B375:Q375),374,"")</f>
        <v>0</v>
      </c>
      <c r="C375" s="1">
        <f>IF(B375="", "", "urban biome")</f>
        <v>0</v>
      </c>
      <c r="D375" s="1">
        <f>IF(B375="", "", "human-associated habitat")</f>
        <v>0</v>
      </c>
      <c r="G375" s="1">
        <f>IF(B375="", "", "years")</f>
        <v>0</v>
      </c>
      <c r="I375" s="1">
        <f>IF(B375="", "", "human")</f>
        <v>0</v>
      </c>
      <c r="K375" s="1">
        <f>IF(B375="", "", "cm")</f>
        <v>0</v>
      </c>
      <c r="L375" s="1">
        <f>IF(B375="", "", "Homo sapiens")</f>
        <v>0</v>
      </c>
      <c r="M375" s="1">
        <f>IF(B375="", "", "9606")</f>
        <v>0</v>
      </c>
      <c r="O375" s="1">
        <f>IF(B375="", "", "kg")</f>
        <v>0</v>
      </c>
    </row>
    <row r="376" spans="1:15">
      <c r="A376">
        <f>IF(COUNTBLANK(B376:Q376)&lt;&gt;COLUMNS(B376:Q376),375,"")</f>
        <v>0</v>
      </c>
      <c r="C376" s="1">
        <f>IF(B376="", "", "urban biome")</f>
        <v>0</v>
      </c>
      <c r="D376" s="1">
        <f>IF(B376="", "", "human-associated habitat")</f>
        <v>0</v>
      </c>
      <c r="G376" s="1">
        <f>IF(B376="", "", "years")</f>
        <v>0</v>
      </c>
      <c r="I376" s="1">
        <f>IF(B376="", "", "human")</f>
        <v>0</v>
      </c>
      <c r="K376" s="1">
        <f>IF(B376="", "", "cm")</f>
        <v>0</v>
      </c>
      <c r="L376" s="1">
        <f>IF(B376="", "", "Homo sapiens")</f>
        <v>0</v>
      </c>
      <c r="M376" s="1">
        <f>IF(B376="", "", "9606")</f>
        <v>0</v>
      </c>
      <c r="O376" s="1">
        <f>IF(B376="", "", "kg")</f>
        <v>0</v>
      </c>
    </row>
    <row r="377" spans="1:15">
      <c r="A377">
        <f>IF(COUNTBLANK(B377:Q377)&lt;&gt;COLUMNS(B377:Q377),376,"")</f>
        <v>0</v>
      </c>
      <c r="C377" s="1">
        <f>IF(B377="", "", "urban biome")</f>
        <v>0</v>
      </c>
      <c r="D377" s="1">
        <f>IF(B377="", "", "human-associated habitat")</f>
        <v>0</v>
      </c>
      <c r="G377" s="1">
        <f>IF(B377="", "", "years")</f>
        <v>0</v>
      </c>
      <c r="I377" s="1">
        <f>IF(B377="", "", "human")</f>
        <v>0</v>
      </c>
      <c r="K377" s="1">
        <f>IF(B377="", "", "cm")</f>
        <v>0</v>
      </c>
      <c r="L377" s="1">
        <f>IF(B377="", "", "Homo sapiens")</f>
        <v>0</v>
      </c>
      <c r="M377" s="1">
        <f>IF(B377="", "", "9606")</f>
        <v>0</v>
      </c>
      <c r="O377" s="1">
        <f>IF(B377="", "", "kg")</f>
        <v>0</v>
      </c>
    </row>
    <row r="378" spans="1:15">
      <c r="A378">
        <f>IF(COUNTBLANK(B378:Q378)&lt;&gt;COLUMNS(B378:Q378),377,"")</f>
        <v>0</v>
      </c>
      <c r="C378" s="1">
        <f>IF(B378="", "", "urban biome")</f>
        <v>0</v>
      </c>
      <c r="D378" s="1">
        <f>IF(B378="", "", "human-associated habitat")</f>
        <v>0</v>
      </c>
      <c r="G378" s="1">
        <f>IF(B378="", "", "years")</f>
        <v>0</v>
      </c>
      <c r="I378" s="1">
        <f>IF(B378="", "", "human")</f>
        <v>0</v>
      </c>
      <c r="K378" s="1">
        <f>IF(B378="", "", "cm")</f>
        <v>0</v>
      </c>
      <c r="L378" s="1">
        <f>IF(B378="", "", "Homo sapiens")</f>
        <v>0</v>
      </c>
      <c r="M378" s="1">
        <f>IF(B378="", "", "9606")</f>
        <v>0</v>
      </c>
      <c r="O378" s="1">
        <f>IF(B378="", "", "kg")</f>
        <v>0</v>
      </c>
    </row>
    <row r="379" spans="1:15">
      <c r="A379">
        <f>IF(COUNTBLANK(B379:Q379)&lt;&gt;COLUMNS(B379:Q379),378,"")</f>
        <v>0</v>
      </c>
      <c r="C379" s="1">
        <f>IF(B379="", "", "urban biome")</f>
        <v>0</v>
      </c>
      <c r="D379" s="1">
        <f>IF(B379="", "", "human-associated habitat")</f>
        <v>0</v>
      </c>
      <c r="G379" s="1">
        <f>IF(B379="", "", "years")</f>
        <v>0</v>
      </c>
      <c r="I379" s="1">
        <f>IF(B379="", "", "human")</f>
        <v>0</v>
      </c>
      <c r="K379" s="1">
        <f>IF(B379="", "", "cm")</f>
        <v>0</v>
      </c>
      <c r="L379" s="1">
        <f>IF(B379="", "", "Homo sapiens")</f>
        <v>0</v>
      </c>
      <c r="M379" s="1">
        <f>IF(B379="", "", "9606")</f>
        <v>0</v>
      </c>
      <c r="O379" s="1">
        <f>IF(B379="", "", "kg")</f>
        <v>0</v>
      </c>
    </row>
    <row r="380" spans="1:15">
      <c r="A380">
        <f>IF(COUNTBLANK(B380:Q380)&lt;&gt;COLUMNS(B380:Q380),379,"")</f>
        <v>0</v>
      </c>
      <c r="C380" s="1">
        <f>IF(B380="", "", "urban biome")</f>
        <v>0</v>
      </c>
      <c r="D380" s="1">
        <f>IF(B380="", "", "human-associated habitat")</f>
        <v>0</v>
      </c>
      <c r="G380" s="1">
        <f>IF(B380="", "", "years")</f>
        <v>0</v>
      </c>
      <c r="I380" s="1">
        <f>IF(B380="", "", "human")</f>
        <v>0</v>
      </c>
      <c r="K380" s="1">
        <f>IF(B380="", "", "cm")</f>
        <v>0</v>
      </c>
      <c r="L380" s="1">
        <f>IF(B380="", "", "Homo sapiens")</f>
        <v>0</v>
      </c>
      <c r="M380" s="1">
        <f>IF(B380="", "", "9606")</f>
        <v>0</v>
      </c>
      <c r="O380" s="1">
        <f>IF(B380="", "", "kg")</f>
        <v>0</v>
      </c>
    </row>
    <row r="381" spans="1:15">
      <c r="A381">
        <f>IF(COUNTBLANK(B381:Q381)&lt;&gt;COLUMNS(B381:Q381),380,"")</f>
        <v>0</v>
      </c>
      <c r="C381" s="1">
        <f>IF(B381="", "", "urban biome")</f>
        <v>0</v>
      </c>
      <c r="D381" s="1">
        <f>IF(B381="", "", "human-associated habitat")</f>
        <v>0</v>
      </c>
      <c r="G381" s="1">
        <f>IF(B381="", "", "years")</f>
        <v>0</v>
      </c>
      <c r="I381" s="1">
        <f>IF(B381="", "", "human")</f>
        <v>0</v>
      </c>
      <c r="K381" s="1">
        <f>IF(B381="", "", "cm")</f>
        <v>0</v>
      </c>
      <c r="L381" s="1">
        <f>IF(B381="", "", "Homo sapiens")</f>
        <v>0</v>
      </c>
      <c r="M381" s="1">
        <f>IF(B381="", "", "9606")</f>
        <v>0</v>
      </c>
      <c r="O381" s="1">
        <f>IF(B381="", "", "kg")</f>
        <v>0</v>
      </c>
    </row>
    <row r="382" spans="1:15">
      <c r="A382">
        <f>IF(COUNTBLANK(B382:Q382)&lt;&gt;COLUMNS(B382:Q382),381,"")</f>
        <v>0</v>
      </c>
      <c r="C382" s="1">
        <f>IF(B382="", "", "urban biome")</f>
        <v>0</v>
      </c>
      <c r="D382" s="1">
        <f>IF(B382="", "", "human-associated habitat")</f>
        <v>0</v>
      </c>
      <c r="G382" s="1">
        <f>IF(B382="", "", "years")</f>
        <v>0</v>
      </c>
      <c r="I382" s="1">
        <f>IF(B382="", "", "human")</f>
        <v>0</v>
      </c>
      <c r="K382" s="1">
        <f>IF(B382="", "", "cm")</f>
        <v>0</v>
      </c>
      <c r="L382" s="1">
        <f>IF(B382="", "", "Homo sapiens")</f>
        <v>0</v>
      </c>
      <c r="M382" s="1">
        <f>IF(B382="", "", "9606")</f>
        <v>0</v>
      </c>
      <c r="O382" s="1">
        <f>IF(B382="", "", "kg")</f>
        <v>0</v>
      </c>
    </row>
    <row r="383" spans="1:15">
      <c r="A383">
        <f>IF(COUNTBLANK(B383:Q383)&lt;&gt;COLUMNS(B383:Q383),382,"")</f>
        <v>0</v>
      </c>
      <c r="C383" s="1">
        <f>IF(B383="", "", "urban biome")</f>
        <v>0</v>
      </c>
      <c r="D383" s="1">
        <f>IF(B383="", "", "human-associated habitat")</f>
        <v>0</v>
      </c>
      <c r="G383" s="1">
        <f>IF(B383="", "", "years")</f>
        <v>0</v>
      </c>
      <c r="I383" s="1">
        <f>IF(B383="", "", "human")</f>
        <v>0</v>
      </c>
      <c r="K383" s="1">
        <f>IF(B383="", "", "cm")</f>
        <v>0</v>
      </c>
      <c r="L383" s="1">
        <f>IF(B383="", "", "Homo sapiens")</f>
        <v>0</v>
      </c>
      <c r="M383" s="1">
        <f>IF(B383="", "", "9606")</f>
        <v>0</v>
      </c>
      <c r="O383" s="1">
        <f>IF(B383="", "", "kg")</f>
        <v>0</v>
      </c>
    </row>
    <row r="384" spans="1:15">
      <c r="A384">
        <f>IF(COUNTBLANK(B384:Q384)&lt;&gt;COLUMNS(B384:Q384),383,"")</f>
        <v>0</v>
      </c>
      <c r="C384" s="1">
        <f>IF(B384="", "", "urban biome")</f>
        <v>0</v>
      </c>
      <c r="D384" s="1">
        <f>IF(B384="", "", "human-associated habitat")</f>
        <v>0</v>
      </c>
      <c r="G384" s="1">
        <f>IF(B384="", "", "years")</f>
        <v>0</v>
      </c>
      <c r="I384" s="1">
        <f>IF(B384="", "", "human")</f>
        <v>0</v>
      </c>
      <c r="K384" s="1">
        <f>IF(B384="", "", "cm")</f>
        <v>0</v>
      </c>
      <c r="L384" s="1">
        <f>IF(B384="", "", "Homo sapiens")</f>
        <v>0</v>
      </c>
      <c r="M384" s="1">
        <f>IF(B384="", "", "9606")</f>
        <v>0</v>
      </c>
      <c r="O384" s="1">
        <f>IF(B384="", "", "kg")</f>
        <v>0</v>
      </c>
    </row>
    <row r="385" spans="1:15">
      <c r="A385">
        <f>IF(COUNTBLANK(B385:Q385)&lt;&gt;COLUMNS(B385:Q385),384,"")</f>
        <v>0</v>
      </c>
      <c r="C385" s="1">
        <f>IF(B385="", "", "urban biome")</f>
        <v>0</v>
      </c>
      <c r="D385" s="1">
        <f>IF(B385="", "", "human-associated habitat")</f>
        <v>0</v>
      </c>
      <c r="G385" s="1">
        <f>IF(B385="", "", "years")</f>
        <v>0</v>
      </c>
      <c r="I385" s="1">
        <f>IF(B385="", "", "human")</f>
        <v>0</v>
      </c>
      <c r="K385" s="1">
        <f>IF(B385="", "", "cm")</f>
        <v>0</v>
      </c>
      <c r="L385" s="1">
        <f>IF(B385="", "", "Homo sapiens")</f>
        <v>0</v>
      </c>
      <c r="M385" s="1">
        <f>IF(B385="", "", "9606")</f>
        <v>0</v>
      </c>
      <c r="O385" s="1">
        <f>IF(B385="", "", "kg")</f>
        <v>0</v>
      </c>
    </row>
    <row r="386" spans="1:15">
      <c r="A386">
        <f>IF(COUNTBLANK(B386:Q386)&lt;&gt;COLUMNS(B386:Q386),385,"")</f>
        <v>0</v>
      </c>
      <c r="C386" s="1">
        <f>IF(B386="", "", "urban biome")</f>
        <v>0</v>
      </c>
      <c r="D386" s="1">
        <f>IF(B386="", "", "human-associated habitat")</f>
        <v>0</v>
      </c>
      <c r="G386" s="1">
        <f>IF(B386="", "", "years")</f>
        <v>0</v>
      </c>
      <c r="I386" s="1">
        <f>IF(B386="", "", "human")</f>
        <v>0</v>
      </c>
      <c r="K386" s="1">
        <f>IF(B386="", "", "cm")</f>
        <v>0</v>
      </c>
      <c r="L386" s="1">
        <f>IF(B386="", "", "Homo sapiens")</f>
        <v>0</v>
      </c>
      <c r="M386" s="1">
        <f>IF(B386="", "", "9606")</f>
        <v>0</v>
      </c>
      <c r="O386" s="1">
        <f>IF(B386="", "", "kg")</f>
        <v>0</v>
      </c>
    </row>
    <row r="387" spans="1:15">
      <c r="A387">
        <f>IF(COUNTBLANK(B387:Q387)&lt;&gt;COLUMNS(B387:Q387),386,"")</f>
        <v>0</v>
      </c>
      <c r="C387" s="1">
        <f>IF(B387="", "", "urban biome")</f>
        <v>0</v>
      </c>
      <c r="D387" s="1">
        <f>IF(B387="", "", "human-associated habitat")</f>
        <v>0</v>
      </c>
      <c r="G387" s="1">
        <f>IF(B387="", "", "years")</f>
        <v>0</v>
      </c>
      <c r="I387" s="1">
        <f>IF(B387="", "", "human")</f>
        <v>0</v>
      </c>
      <c r="K387" s="1">
        <f>IF(B387="", "", "cm")</f>
        <v>0</v>
      </c>
      <c r="L387" s="1">
        <f>IF(B387="", "", "Homo sapiens")</f>
        <v>0</v>
      </c>
      <c r="M387" s="1">
        <f>IF(B387="", "", "9606")</f>
        <v>0</v>
      </c>
      <c r="O387" s="1">
        <f>IF(B387="", "", "kg")</f>
        <v>0</v>
      </c>
    </row>
    <row r="388" spans="1:15">
      <c r="A388">
        <f>IF(COUNTBLANK(B388:Q388)&lt;&gt;COLUMNS(B388:Q388),387,"")</f>
        <v>0</v>
      </c>
      <c r="C388" s="1">
        <f>IF(B388="", "", "urban biome")</f>
        <v>0</v>
      </c>
      <c r="D388" s="1">
        <f>IF(B388="", "", "human-associated habitat")</f>
        <v>0</v>
      </c>
      <c r="G388" s="1">
        <f>IF(B388="", "", "years")</f>
        <v>0</v>
      </c>
      <c r="I388" s="1">
        <f>IF(B388="", "", "human")</f>
        <v>0</v>
      </c>
      <c r="K388" s="1">
        <f>IF(B388="", "", "cm")</f>
        <v>0</v>
      </c>
      <c r="L388" s="1">
        <f>IF(B388="", "", "Homo sapiens")</f>
        <v>0</v>
      </c>
      <c r="M388" s="1">
        <f>IF(B388="", "", "9606")</f>
        <v>0</v>
      </c>
      <c r="O388" s="1">
        <f>IF(B388="", "", "kg")</f>
        <v>0</v>
      </c>
    </row>
    <row r="389" spans="1:15">
      <c r="A389">
        <f>IF(COUNTBLANK(B389:Q389)&lt;&gt;COLUMNS(B389:Q389),388,"")</f>
        <v>0</v>
      </c>
      <c r="C389" s="1">
        <f>IF(B389="", "", "urban biome")</f>
        <v>0</v>
      </c>
      <c r="D389" s="1">
        <f>IF(B389="", "", "human-associated habitat")</f>
        <v>0</v>
      </c>
      <c r="G389" s="1">
        <f>IF(B389="", "", "years")</f>
        <v>0</v>
      </c>
      <c r="I389" s="1">
        <f>IF(B389="", "", "human")</f>
        <v>0</v>
      </c>
      <c r="K389" s="1">
        <f>IF(B389="", "", "cm")</f>
        <v>0</v>
      </c>
      <c r="L389" s="1">
        <f>IF(B389="", "", "Homo sapiens")</f>
        <v>0</v>
      </c>
      <c r="M389" s="1">
        <f>IF(B389="", "", "9606")</f>
        <v>0</v>
      </c>
      <c r="O389" s="1">
        <f>IF(B389="", "", "kg")</f>
        <v>0</v>
      </c>
    </row>
    <row r="390" spans="1:15">
      <c r="A390">
        <f>IF(COUNTBLANK(B390:Q390)&lt;&gt;COLUMNS(B390:Q390),389,"")</f>
        <v>0</v>
      </c>
      <c r="C390" s="1">
        <f>IF(B390="", "", "urban biome")</f>
        <v>0</v>
      </c>
      <c r="D390" s="1">
        <f>IF(B390="", "", "human-associated habitat")</f>
        <v>0</v>
      </c>
      <c r="G390" s="1">
        <f>IF(B390="", "", "years")</f>
        <v>0</v>
      </c>
      <c r="I390" s="1">
        <f>IF(B390="", "", "human")</f>
        <v>0</v>
      </c>
      <c r="K390" s="1">
        <f>IF(B390="", "", "cm")</f>
        <v>0</v>
      </c>
      <c r="L390" s="1">
        <f>IF(B390="", "", "Homo sapiens")</f>
        <v>0</v>
      </c>
      <c r="M390" s="1">
        <f>IF(B390="", "", "9606")</f>
        <v>0</v>
      </c>
      <c r="O390" s="1">
        <f>IF(B390="", "", "kg")</f>
        <v>0</v>
      </c>
    </row>
    <row r="391" spans="1:15">
      <c r="A391">
        <f>IF(COUNTBLANK(B391:Q391)&lt;&gt;COLUMNS(B391:Q391),390,"")</f>
        <v>0</v>
      </c>
      <c r="C391" s="1">
        <f>IF(B391="", "", "urban biome")</f>
        <v>0</v>
      </c>
      <c r="D391" s="1">
        <f>IF(B391="", "", "human-associated habitat")</f>
        <v>0</v>
      </c>
      <c r="G391" s="1">
        <f>IF(B391="", "", "years")</f>
        <v>0</v>
      </c>
      <c r="I391" s="1">
        <f>IF(B391="", "", "human")</f>
        <v>0</v>
      </c>
      <c r="K391" s="1">
        <f>IF(B391="", "", "cm")</f>
        <v>0</v>
      </c>
      <c r="L391" s="1">
        <f>IF(B391="", "", "Homo sapiens")</f>
        <v>0</v>
      </c>
      <c r="M391" s="1">
        <f>IF(B391="", "", "9606")</f>
        <v>0</v>
      </c>
      <c r="O391" s="1">
        <f>IF(B391="", "", "kg")</f>
        <v>0</v>
      </c>
    </row>
    <row r="392" spans="1:15">
      <c r="A392">
        <f>IF(COUNTBLANK(B392:Q392)&lt;&gt;COLUMNS(B392:Q392),391,"")</f>
        <v>0</v>
      </c>
      <c r="C392" s="1">
        <f>IF(B392="", "", "urban biome")</f>
        <v>0</v>
      </c>
      <c r="D392" s="1">
        <f>IF(B392="", "", "human-associated habitat")</f>
        <v>0</v>
      </c>
      <c r="G392" s="1">
        <f>IF(B392="", "", "years")</f>
        <v>0</v>
      </c>
      <c r="I392" s="1">
        <f>IF(B392="", "", "human")</f>
        <v>0</v>
      </c>
      <c r="K392" s="1">
        <f>IF(B392="", "", "cm")</f>
        <v>0</v>
      </c>
      <c r="L392" s="1">
        <f>IF(B392="", "", "Homo sapiens")</f>
        <v>0</v>
      </c>
      <c r="M392" s="1">
        <f>IF(B392="", "", "9606")</f>
        <v>0</v>
      </c>
      <c r="O392" s="1">
        <f>IF(B392="", "", "kg")</f>
        <v>0</v>
      </c>
    </row>
    <row r="393" spans="1:15">
      <c r="A393">
        <f>IF(COUNTBLANK(B393:Q393)&lt;&gt;COLUMNS(B393:Q393),392,"")</f>
        <v>0</v>
      </c>
      <c r="C393" s="1">
        <f>IF(B393="", "", "urban biome")</f>
        <v>0</v>
      </c>
      <c r="D393" s="1">
        <f>IF(B393="", "", "human-associated habitat")</f>
        <v>0</v>
      </c>
      <c r="G393" s="1">
        <f>IF(B393="", "", "years")</f>
        <v>0</v>
      </c>
      <c r="I393" s="1">
        <f>IF(B393="", "", "human")</f>
        <v>0</v>
      </c>
      <c r="K393" s="1">
        <f>IF(B393="", "", "cm")</f>
        <v>0</v>
      </c>
      <c r="L393" s="1">
        <f>IF(B393="", "", "Homo sapiens")</f>
        <v>0</v>
      </c>
      <c r="M393" s="1">
        <f>IF(B393="", "", "9606")</f>
        <v>0</v>
      </c>
      <c r="O393" s="1">
        <f>IF(B393="", "", "kg")</f>
        <v>0</v>
      </c>
    </row>
    <row r="394" spans="1:15">
      <c r="A394">
        <f>IF(COUNTBLANK(B394:Q394)&lt;&gt;COLUMNS(B394:Q394),393,"")</f>
        <v>0</v>
      </c>
      <c r="C394" s="1">
        <f>IF(B394="", "", "urban biome")</f>
        <v>0</v>
      </c>
      <c r="D394" s="1">
        <f>IF(B394="", "", "human-associated habitat")</f>
        <v>0</v>
      </c>
      <c r="G394" s="1">
        <f>IF(B394="", "", "years")</f>
        <v>0</v>
      </c>
      <c r="I394" s="1">
        <f>IF(B394="", "", "human")</f>
        <v>0</v>
      </c>
      <c r="K394" s="1">
        <f>IF(B394="", "", "cm")</f>
        <v>0</v>
      </c>
      <c r="L394" s="1">
        <f>IF(B394="", "", "Homo sapiens")</f>
        <v>0</v>
      </c>
      <c r="M394" s="1">
        <f>IF(B394="", "", "9606")</f>
        <v>0</v>
      </c>
      <c r="O394" s="1">
        <f>IF(B394="", "", "kg")</f>
        <v>0</v>
      </c>
    </row>
    <row r="395" spans="1:15">
      <c r="A395">
        <f>IF(COUNTBLANK(B395:Q395)&lt;&gt;COLUMNS(B395:Q395),394,"")</f>
        <v>0</v>
      </c>
      <c r="C395" s="1">
        <f>IF(B395="", "", "urban biome")</f>
        <v>0</v>
      </c>
      <c r="D395" s="1">
        <f>IF(B395="", "", "human-associated habitat")</f>
        <v>0</v>
      </c>
      <c r="G395" s="1">
        <f>IF(B395="", "", "years")</f>
        <v>0</v>
      </c>
      <c r="I395" s="1">
        <f>IF(B395="", "", "human")</f>
        <v>0</v>
      </c>
      <c r="K395" s="1">
        <f>IF(B395="", "", "cm")</f>
        <v>0</v>
      </c>
      <c r="L395" s="1">
        <f>IF(B395="", "", "Homo sapiens")</f>
        <v>0</v>
      </c>
      <c r="M395" s="1">
        <f>IF(B395="", "", "9606")</f>
        <v>0</v>
      </c>
      <c r="O395" s="1">
        <f>IF(B395="", "", "kg")</f>
        <v>0</v>
      </c>
    </row>
    <row r="396" spans="1:15">
      <c r="A396">
        <f>IF(COUNTBLANK(B396:Q396)&lt;&gt;COLUMNS(B396:Q396),395,"")</f>
        <v>0</v>
      </c>
      <c r="C396" s="1">
        <f>IF(B396="", "", "urban biome")</f>
        <v>0</v>
      </c>
      <c r="D396" s="1">
        <f>IF(B396="", "", "human-associated habitat")</f>
        <v>0</v>
      </c>
      <c r="G396" s="1">
        <f>IF(B396="", "", "years")</f>
        <v>0</v>
      </c>
      <c r="I396" s="1">
        <f>IF(B396="", "", "human")</f>
        <v>0</v>
      </c>
      <c r="K396" s="1">
        <f>IF(B396="", "", "cm")</f>
        <v>0</v>
      </c>
      <c r="L396" s="1">
        <f>IF(B396="", "", "Homo sapiens")</f>
        <v>0</v>
      </c>
      <c r="M396" s="1">
        <f>IF(B396="", "", "9606")</f>
        <v>0</v>
      </c>
      <c r="O396" s="1">
        <f>IF(B396="", "", "kg")</f>
        <v>0</v>
      </c>
    </row>
    <row r="397" spans="1:15">
      <c r="A397">
        <f>IF(COUNTBLANK(B397:Q397)&lt;&gt;COLUMNS(B397:Q397),396,"")</f>
        <v>0</v>
      </c>
      <c r="C397" s="1">
        <f>IF(B397="", "", "urban biome")</f>
        <v>0</v>
      </c>
      <c r="D397" s="1">
        <f>IF(B397="", "", "human-associated habitat")</f>
        <v>0</v>
      </c>
      <c r="G397" s="1">
        <f>IF(B397="", "", "years")</f>
        <v>0</v>
      </c>
      <c r="I397" s="1">
        <f>IF(B397="", "", "human")</f>
        <v>0</v>
      </c>
      <c r="K397" s="1">
        <f>IF(B397="", "", "cm")</f>
        <v>0</v>
      </c>
      <c r="L397" s="1">
        <f>IF(B397="", "", "Homo sapiens")</f>
        <v>0</v>
      </c>
      <c r="M397" s="1">
        <f>IF(B397="", "", "9606")</f>
        <v>0</v>
      </c>
      <c r="O397" s="1">
        <f>IF(B397="", "", "kg")</f>
        <v>0</v>
      </c>
    </row>
    <row r="398" spans="1:15">
      <c r="A398">
        <f>IF(COUNTBLANK(B398:Q398)&lt;&gt;COLUMNS(B398:Q398),397,"")</f>
        <v>0</v>
      </c>
      <c r="C398" s="1">
        <f>IF(B398="", "", "urban biome")</f>
        <v>0</v>
      </c>
      <c r="D398" s="1">
        <f>IF(B398="", "", "human-associated habitat")</f>
        <v>0</v>
      </c>
      <c r="G398" s="1">
        <f>IF(B398="", "", "years")</f>
        <v>0</v>
      </c>
      <c r="I398" s="1">
        <f>IF(B398="", "", "human")</f>
        <v>0</v>
      </c>
      <c r="K398" s="1">
        <f>IF(B398="", "", "cm")</f>
        <v>0</v>
      </c>
      <c r="L398" s="1">
        <f>IF(B398="", "", "Homo sapiens")</f>
        <v>0</v>
      </c>
      <c r="M398" s="1">
        <f>IF(B398="", "", "9606")</f>
        <v>0</v>
      </c>
      <c r="O398" s="1">
        <f>IF(B398="", "", "kg")</f>
        <v>0</v>
      </c>
    </row>
    <row r="399" spans="1:15">
      <c r="A399">
        <f>IF(COUNTBLANK(B399:Q399)&lt;&gt;COLUMNS(B399:Q399),398,"")</f>
        <v>0</v>
      </c>
      <c r="C399" s="1">
        <f>IF(B399="", "", "urban biome")</f>
        <v>0</v>
      </c>
      <c r="D399" s="1">
        <f>IF(B399="", "", "human-associated habitat")</f>
        <v>0</v>
      </c>
      <c r="G399" s="1">
        <f>IF(B399="", "", "years")</f>
        <v>0</v>
      </c>
      <c r="I399" s="1">
        <f>IF(B399="", "", "human")</f>
        <v>0</v>
      </c>
      <c r="K399" s="1">
        <f>IF(B399="", "", "cm")</f>
        <v>0</v>
      </c>
      <c r="L399" s="1">
        <f>IF(B399="", "", "Homo sapiens")</f>
        <v>0</v>
      </c>
      <c r="M399" s="1">
        <f>IF(B399="", "", "9606")</f>
        <v>0</v>
      </c>
      <c r="O399" s="1">
        <f>IF(B399="", "", "kg")</f>
        <v>0</v>
      </c>
    </row>
    <row r="400" spans="1:15">
      <c r="A400">
        <f>IF(COUNTBLANK(B400:Q400)&lt;&gt;COLUMNS(B400:Q400),399,"")</f>
        <v>0</v>
      </c>
      <c r="C400" s="1">
        <f>IF(B400="", "", "urban biome")</f>
        <v>0</v>
      </c>
      <c r="D400" s="1">
        <f>IF(B400="", "", "human-associated habitat")</f>
        <v>0</v>
      </c>
      <c r="G400" s="1">
        <f>IF(B400="", "", "years")</f>
        <v>0</v>
      </c>
      <c r="I400" s="1">
        <f>IF(B400="", "", "human")</f>
        <v>0</v>
      </c>
      <c r="K400" s="1">
        <f>IF(B400="", "", "cm")</f>
        <v>0</v>
      </c>
      <c r="L400" s="1">
        <f>IF(B400="", "", "Homo sapiens")</f>
        <v>0</v>
      </c>
      <c r="M400" s="1">
        <f>IF(B400="", "", "9606")</f>
        <v>0</v>
      </c>
      <c r="O400" s="1">
        <f>IF(B400="", "", "kg")</f>
        <v>0</v>
      </c>
    </row>
    <row r="401" spans="1:15">
      <c r="A401">
        <f>IF(COUNTBLANK(B401:Q401)&lt;&gt;COLUMNS(B401:Q401),400,"")</f>
        <v>0</v>
      </c>
      <c r="C401" s="1">
        <f>IF(B401="", "", "urban biome")</f>
        <v>0</v>
      </c>
      <c r="D401" s="1">
        <f>IF(B401="", "", "human-associated habitat")</f>
        <v>0</v>
      </c>
      <c r="G401" s="1">
        <f>IF(B401="", "", "years")</f>
        <v>0</v>
      </c>
      <c r="I401" s="1">
        <f>IF(B401="", "", "human")</f>
        <v>0</v>
      </c>
      <c r="K401" s="1">
        <f>IF(B401="", "", "cm")</f>
        <v>0</v>
      </c>
      <c r="L401" s="1">
        <f>IF(B401="", "", "Homo sapiens")</f>
        <v>0</v>
      </c>
      <c r="M401" s="1">
        <f>IF(B401="", "", "9606")</f>
        <v>0</v>
      </c>
      <c r="O401" s="1">
        <f>IF(B401="", "", "kg")</f>
        <v>0</v>
      </c>
    </row>
    <row r="402" spans="1:15">
      <c r="A402">
        <f>IF(COUNTBLANK(B402:Q402)&lt;&gt;COLUMNS(B402:Q402),401,"")</f>
        <v>0</v>
      </c>
      <c r="C402" s="1">
        <f>IF(B402="", "", "urban biome")</f>
        <v>0</v>
      </c>
      <c r="D402" s="1">
        <f>IF(B402="", "", "human-associated habitat")</f>
        <v>0</v>
      </c>
      <c r="G402" s="1">
        <f>IF(B402="", "", "years")</f>
        <v>0</v>
      </c>
      <c r="I402" s="1">
        <f>IF(B402="", "", "human")</f>
        <v>0</v>
      </c>
      <c r="K402" s="1">
        <f>IF(B402="", "", "cm")</f>
        <v>0</v>
      </c>
      <c r="L402" s="1">
        <f>IF(B402="", "", "Homo sapiens")</f>
        <v>0</v>
      </c>
      <c r="M402" s="1">
        <f>IF(B402="", "", "9606")</f>
        <v>0</v>
      </c>
      <c r="O402" s="1">
        <f>IF(B402="", "", "kg")</f>
        <v>0</v>
      </c>
    </row>
    <row r="403" spans="1:15">
      <c r="A403">
        <f>IF(COUNTBLANK(B403:Q403)&lt;&gt;COLUMNS(B403:Q403),402,"")</f>
        <v>0</v>
      </c>
      <c r="C403" s="1">
        <f>IF(B403="", "", "urban biome")</f>
        <v>0</v>
      </c>
      <c r="D403" s="1">
        <f>IF(B403="", "", "human-associated habitat")</f>
        <v>0</v>
      </c>
      <c r="G403" s="1">
        <f>IF(B403="", "", "years")</f>
        <v>0</v>
      </c>
      <c r="I403" s="1">
        <f>IF(B403="", "", "human")</f>
        <v>0</v>
      </c>
      <c r="K403" s="1">
        <f>IF(B403="", "", "cm")</f>
        <v>0</v>
      </c>
      <c r="L403" s="1">
        <f>IF(B403="", "", "Homo sapiens")</f>
        <v>0</v>
      </c>
      <c r="M403" s="1">
        <f>IF(B403="", "", "9606")</f>
        <v>0</v>
      </c>
      <c r="O403" s="1">
        <f>IF(B403="", "", "kg")</f>
        <v>0</v>
      </c>
    </row>
    <row r="404" spans="1:15">
      <c r="A404">
        <f>IF(COUNTBLANK(B404:Q404)&lt;&gt;COLUMNS(B404:Q404),403,"")</f>
        <v>0</v>
      </c>
      <c r="C404" s="1">
        <f>IF(B404="", "", "urban biome")</f>
        <v>0</v>
      </c>
      <c r="D404" s="1">
        <f>IF(B404="", "", "human-associated habitat")</f>
        <v>0</v>
      </c>
      <c r="G404" s="1">
        <f>IF(B404="", "", "years")</f>
        <v>0</v>
      </c>
      <c r="I404" s="1">
        <f>IF(B404="", "", "human")</f>
        <v>0</v>
      </c>
      <c r="K404" s="1">
        <f>IF(B404="", "", "cm")</f>
        <v>0</v>
      </c>
      <c r="L404" s="1">
        <f>IF(B404="", "", "Homo sapiens")</f>
        <v>0</v>
      </c>
      <c r="M404" s="1">
        <f>IF(B404="", "", "9606")</f>
        <v>0</v>
      </c>
      <c r="O404" s="1">
        <f>IF(B404="", "", "kg")</f>
        <v>0</v>
      </c>
    </row>
    <row r="405" spans="1:15">
      <c r="A405">
        <f>IF(COUNTBLANK(B405:Q405)&lt;&gt;COLUMNS(B405:Q405),404,"")</f>
        <v>0</v>
      </c>
      <c r="C405" s="1">
        <f>IF(B405="", "", "urban biome")</f>
        <v>0</v>
      </c>
      <c r="D405" s="1">
        <f>IF(B405="", "", "human-associated habitat")</f>
        <v>0</v>
      </c>
      <c r="G405" s="1">
        <f>IF(B405="", "", "years")</f>
        <v>0</v>
      </c>
      <c r="I405" s="1">
        <f>IF(B405="", "", "human")</f>
        <v>0</v>
      </c>
      <c r="K405" s="1">
        <f>IF(B405="", "", "cm")</f>
        <v>0</v>
      </c>
      <c r="L405" s="1">
        <f>IF(B405="", "", "Homo sapiens")</f>
        <v>0</v>
      </c>
      <c r="M405" s="1">
        <f>IF(B405="", "", "9606")</f>
        <v>0</v>
      </c>
      <c r="O405" s="1">
        <f>IF(B405="", "", "kg")</f>
        <v>0</v>
      </c>
    </row>
    <row r="406" spans="1:15">
      <c r="A406">
        <f>IF(COUNTBLANK(B406:Q406)&lt;&gt;COLUMNS(B406:Q406),405,"")</f>
        <v>0</v>
      </c>
      <c r="C406" s="1">
        <f>IF(B406="", "", "urban biome")</f>
        <v>0</v>
      </c>
      <c r="D406" s="1">
        <f>IF(B406="", "", "human-associated habitat")</f>
        <v>0</v>
      </c>
      <c r="G406" s="1">
        <f>IF(B406="", "", "years")</f>
        <v>0</v>
      </c>
      <c r="I406" s="1">
        <f>IF(B406="", "", "human")</f>
        <v>0</v>
      </c>
      <c r="K406" s="1">
        <f>IF(B406="", "", "cm")</f>
        <v>0</v>
      </c>
      <c r="L406" s="1">
        <f>IF(B406="", "", "Homo sapiens")</f>
        <v>0</v>
      </c>
      <c r="M406" s="1">
        <f>IF(B406="", "", "9606")</f>
        <v>0</v>
      </c>
      <c r="O406" s="1">
        <f>IF(B406="", "", "kg")</f>
        <v>0</v>
      </c>
    </row>
    <row r="407" spans="1:15">
      <c r="A407">
        <f>IF(COUNTBLANK(B407:Q407)&lt;&gt;COLUMNS(B407:Q407),406,"")</f>
        <v>0</v>
      </c>
      <c r="C407" s="1">
        <f>IF(B407="", "", "urban biome")</f>
        <v>0</v>
      </c>
      <c r="D407" s="1">
        <f>IF(B407="", "", "human-associated habitat")</f>
        <v>0</v>
      </c>
      <c r="G407" s="1">
        <f>IF(B407="", "", "years")</f>
        <v>0</v>
      </c>
      <c r="I407" s="1">
        <f>IF(B407="", "", "human")</f>
        <v>0</v>
      </c>
      <c r="K407" s="1">
        <f>IF(B407="", "", "cm")</f>
        <v>0</v>
      </c>
      <c r="L407" s="1">
        <f>IF(B407="", "", "Homo sapiens")</f>
        <v>0</v>
      </c>
      <c r="M407" s="1">
        <f>IF(B407="", "", "9606")</f>
        <v>0</v>
      </c>
      <c r="O407" s="1">
        <f>IF(B407="", "", "kg")</f>
        <v>0</v>
      </c>
    </row>
    <row r="408" spans="1:15">
      <c r="A408">
        <f>IF(COUNTBLANK(B408:Q408)&lt;&gt;COLUMNS(B408:Q408),407,"")</f>
        <v>0</v>
      </c>
      <c r="C408" s="1">
        <f>IF(B408="", "", "urban biome")</f>
        <v>0</v>
      </c>
      <c r="D408" s="1">
        <f>IF(B408="", "", "human-associated habitat")</f>
        <v>0</v>
      </c>
      <c r="G408" s="1">
        <f>IF(B408="", "", "years")</f>
        <v>0</v>
      </c>
      <c r="I408" s="1">
        <f>IF(B408="", "", "human")</f>
        <v>0</v>
      </c>
      <c r="K408" s="1">
        <f>IF(B408="", "", "cm")</f>
        <v>0</v>
      </c>
      <c r="L408" s="1">
        <f>IF(B408="", "", "Homo sapiens")</f>
        <v>0</v>
      </c>
      <c r="M408" s="1">
        <f>IF(B408="", "", "9606")</f>
        <v>0</v>
      </c>
      <c r="O408" s="1">
        <f>IF(B408="", "", "kg")</f>
        <v>0</v>
      </c>
    </row>
    <row r="409" spans="1:15">
      <c r="A409">
        <f>IF(COUNTBLANK(B409:Q409)&lt;&gt;COLUMNS(B409:Q409),408,"")</f>
        <v>0</v>
      </c>
      <c r="C409" s="1">
        <f>IF(B409="", "", "urban biome")</f>
        <v>0</v>
      </c>
      <c r="D409" s="1">
        <f>IF(B409="", "", "human-associated habitat")</f>
        <v>0</v>
      </c>
      <c r="G409" s="1">
        <f>IF(B409="", "", "years")</f>
        <v>0</v>
      </c>
      <c r="I409" s="1">
        <f>IF(B409="", "", "human")</f>
        <v>0</v>
      </c>
      <c r="K409" s="1">
        <f>IF(B409="", "", "cm")</f>
        <v>0</v>
      </c>
      <c r="L409" s="1">
        <f>IF(B409="", "", "Homo sapiens")</f>
        <v>0</v>
      </c>
      <c r="M409" s="1">
        <f>IF(B409="", "", "9606")</f>
        <v>0</v>
      </c>
      <c r="O409" s="1">
        <f>IF(B409="", "", "kg")</f>
        <v>0</v>
      </c>
    </row>
    <row r="410" spans="1:15">
      <c r="A410">
        <f>IF(COUNTBLANK(B410:Q410)&lt;&gt;COLUMNS(B410:Q410),409,"")</f>
        <v>0</v>
      </c>
      <c r="C410" s="1">
        <f>IF(B410="", "", "urban biome")</f>
        <v>0</v>
      </c>
      <c r="D410" s="1">
        <f>IF(B410="", "", "human-associated habitat")</f>
        <v>0</v>
      </c>
      <c r="G410" s="1">
        <f>IF(B410="", "", "years")</f>
        <v>0</v>
      </c>
      <c r="I410" s="1">
        <f>IF(B410="", "", "human")</f>
        <v>0</v>
      </c>
      <c r="K410" s="1">
        <f>IF(B410="", "", "cm")</f>
        <v>0</v>
      </c>
      <c r="L410" s="1">
        <f>IF(B410="", "", "Homo sapiens")</f>
        <v>0</v>
      </c>
      <c r="M410" s="1">
        <f>IF(B410="", "", "9606")</f>
        <v>0</v>
      </c>
      <c r="O410" s="1">
        <f>IF(B410="", "", "kg")</f>
        <v>0</v>
      </c>
    </row>
    <row r="411" spans="1:15">
      <c r="A411">
        <f>IF(COUNTBLANK(B411:Q411)&lt;&gt;COLUMNS(B411:Q411),410,"")</f>
        <v>0</v>
      </c>
      <c r="C411" s="1">
        <f>IF(B411="", "", "urban biome")</f>
        <v>0</v>
      </c>
      <c r="D411" s="1">
        <f>IF(B411="", "", "human-associated habitat")</f>
        <v>0</v>
      </c>
      <c r="G411" s="1">
        <f>IF(B411="", "", "years")</f>
        <v>0</v>
      </c>
      <c r="I411" s="1">
        <f>IF(B411="", "", "human")</f>
        <v>0</v>
      </c>
      <c r="K411" s="1">
        <f>IF(B411="", "", "cm")</f>
        <v>0</v>
      </c>
      <c r="L411" s="1">
        <f>IF(B411="", "", "Homo sapiens")</f>
        <v>0</v>
      </c>
      <c r="M411" s="1">
        <f>IF(B411="", "", "9606")</f>
        <v>0</v>
      </c>
      <c r="O411" s="1">
        <f>IF(B411="", "", "kg")</f>
        <v>0</v>
      </c>
    </row>
    <row r="412" spans="1:15">
      <c r="A412">
        <f>IF(COUNTBLANK(B412:Q412)&lt;&gt;COLUMNS(B412:Q412),411,"")</f>
        <v>0</v>
      </c>
      <c r="C412" s="1">
        <f>IF(B412="", "", "urban biome")</f>
        <v>0</v>
      </c>
      <c r="D412" s="1">
        <f>IF(B412="", "", "human-associated habitat")</f>
        <v>0</v>
      </c>
      <c r="G412" s="1">
        <f>IF(B412="", "", "years")</f>
        <v>0</v>
      </c>
      <c r="I412" s="1">
        <f>IF(B412="", "", "human")</f>
        <v>0</v>
      </c>
      <c r="K412" s="1">
        <f>IF(B412="", "", "cm")</f>
        <v>0</v>
      </c>
      <c r="L412" s="1">
        <f>IF(B412="", "", "Homo sapiens")</f>
        <v>0</v>
      </c>
      <c r="M412" s="1">
        <f>IF(B412="", "", "9606")</f>
        <v>0</v>
      </c>
      <c r="O412" s="1">
        <f>IF(B412="", "", "kg")</f>
        <v>0</v>
      </c>
    </row>
    <row r="413" spans="1:15">
      <c r="A413">
        <f>IF(COUNTBLANK(B413:Q413)&lt;&gt;COLUMNS(B413:Q413),412,"")</f>
        <v>0</v>
      </c>
      <c r="C413" s="1">
        <f>IF(B413="", "", "urban biome")</f>
        <v>0</v>
      </c>
      <c r="D413" s="1">
        <f>IF(B413="", "", "human-associated habitat")</f>
        <v>0</v>
      </c>
      <c r="G413" s="1">
        <f>IF(B413="", "", "years")</f>
        <v>0</v>
      </c>
      <c r="I413" s="1">
        <f>IF(B413="", "", "human")</f>
        <v>0</v>
      </c>
      <c r="K413" s="1">
        <f>IF(B413="", "", "cm")</f>
        <v>0</v>
      </c>
      <c r="L413" s="1">
        <f>IF(B413="", "", "Homo sapiens")</f>
        <v>0</v>
      </c>
      <c r="M413" s="1">
        <f>IF(B413="", "", "9606")</f>
        <v>0</v>
      </c>
      <c r="O413" s="1">
        <f>IF(B413="", "", "kg")</f>
        <v>0</v>
      </c>
    </row>
    <row r="414" spans="1:15">
      <c r="A414">
        <f>IF(COUNTBLANK(B414:Q414)&lt;&gt;COLUMNS(B414:Q414),413,"")</f>
        <v>0</v>
      </c>
      <c r="C414" s="1">
        <f>IF(B414="", "", "urban biome")</f>
        <v>0</v>
      </c>
      <c r="D414" s="1">
        <f>IF(B414="", "", "human-associated habitat")</f>
        <v>0</v>
      </c>
      <c r="G414" s="1">
        <f>IF(B414="", "", "years")</f>
        <v>0</v>
      </c>
      <c r="I414" s="1">
        <f>IF(B414="", "", "human")</f>
        <v>0</v>
      </c>
      <c r="K414" s="1">
        <f>IF(B414="", "", "cm")</f>
        <v>0</v>
      </c>
      <c r="L414" s="1">
        <f>IF(B414="", "", "Homo sapiens")</f>
        <v>0</v>
      </c>
      <c r="M414" s="1">
        <f>IF(B414="", "", "9606")</f>
        <v>0</v>
      </c>
      <c r="O414" s="1">
        <f>IF(B414="", "", "kg")</f>
        <v>0</v>
      </c>
    </row>
    <row r="415" spans="1:15">
      <c r="A415">
        <f>IF(COUNTBLANK(B415:Q415)&lt;&gt;COLUMNS(B415:Q415),414,"")</f>
        <v>0</v>
      </c>
      <c r="C415" s="1">
        <f>IF(B415="", "", "urban biome")</f>
        <v>0</v>
      </c>
      <c r="D415" s="1">
        <f>IF(B415="", "", "human-associated habitat")</f>
        <v>0</v>
      </c>
      <c r="G415" s="1">
        <f>IF(B415="", "", "years")</f>
        <v>0</v>
      </c>
      <c r="I415" s="1">
        <f>IF(B415="", "", "human")</f>
        <v>0</v>
      </c>
      <c r="K415" s="1">
        <f>IF(B415="", "", "cm")</f>
        <v>0</v>
      </c>
      <c r="L415" s="1">
        <f>IF(B415="", "", "Homo sapiens")</f>
        <v>0</v>
      </c>
      <c r="M415" s="1">
        <f>IF(B415="", "", "9606")</f>
        <v>0</v>
      </c>
      <c r="O415" s="1">
        <f>IF(B415="", "", "kg")</f>
        <v>0</v>
      </c>
    </row>
    <row r="416" spans="1:15">
      <c r="A416">
        <f>IF(COUNTBLANK(B416:Q416)&lt;&gt;COLUMNS(B416:Q416),415,"")</f>
        <v>0</v>
      </c>
      <c r="C416" s="1">
        <f>IF(B416="", "", "urban biome")</f>
        <v>0</v>
      </c>
      <c r="D416" s="1">
        <f>IF(B416="", "", "human-associated habitat")</f>
        <v>0</v>
      </c>
      <c r="G416" s="1">
        <f>IF(B416="", "", "years")</f>
        <v>0</v>
      </c>
      <c r="I416" s="1">
        <f>IF(B416="", "", "human")</f>
        <v>0</v>
      </c>
      <c r="K416" s="1">
        <f>IF(B416="", "", "cm")</f>
        <v>0</v>
      </c>
      <c r="L416" s="1">
        <f>IF(B416="", "", "Homo sapiens")</f>
        <v>0</v>
      </c>
      <c r="M416" s="1">
        <f>IF(B416="", "", "9606")</f>
        <v>0</v>
      </c>
      <c r="O416" s="1">
        <f>IF(B416="", "", "kg")</f>
        <v>0</v>
      </c>
    </row>
    <row r="417" spans="1:15">
      <c r="A417">
        <f>IF(COUNTBLANK(B417:Q417)&lt;&gt;COLUMNS(B417:Q417),416,"")</f>
        <v>0</v>
      </c>
      <c r="C417" s="1">
        <f>IF(B417="", "", "urban biome")</f>
        <v>0</v>
      </c>
      <c r="D417" s="1">
        <f>IF(B417="", "", "human-associated habitat")</f>
        <v>0</v>
      </c>
      <c r="G417" s="1">
        <f>IF(B417="", "", "years")</f>
        <v>0</v>
      </c>
      <c r="I417" s="1">
        <f>IF(B417="", "", "human")</f>
        <v>0</v>
      </c>
      <c r="K417" s="1">
        <f>IF(B417="", "", "cm")</f>
        <v>0</v>
      </c>
      <c r="L417" s="1">
        <f>IF(B417="", "", "Homo sapiens")</f>
        <v>0</v>
      </c>
      <c r="M417" s="1">
        <f>IF(B417="", "", "9606")</f>
        <v>0</v>
      </c>
      <c r="O417" s="1">
        <f>IF(B417="", "", "kg")</f>
        <v>0</v>
      </c>
    </row>
    <row r="418" spans="1:15">
      <c r="A418">
        <f>IF(COUNTBLANK(B418:Q418)&lt;&gt;COLUMNS(B418:Q418),417,"")</f>
        <v>0</v>
      </c>
      <c r="C418" s="1">
        <f>IF(B418="", "", "urban biome")</f>
        <v>0</v>
      </c>
      <c r="D418" s="1">
        <f>IF(B418="", "", "human-associated habitat")</f>
        <v>0</v>
      </c>
      <c r="G418" s="1">
        <f>IF(B418="", "", "years")</f>
        <v>0</v>
      </c>
      <c r="I418" s="1">
        <f>IF(B418="", "", "human")</f>
        <v>0</v>
      </c>
      <c r="K418" s="1">
        <f>IF(B418="", "", "cm")</f>
        <v>0</v>
      </c>
      <c r="L418" s="1">
        <f>IF(B418="", "", "Homo sapiens")</f>
        <v>0</v>
      </c>
      <c r="M418" s="1">
        <f>IF(B418="", "", "9606")</f>
        <v>0</v>
      </c>
      <c r="O418" s="1">
        <f>IF(B418="", "", "kg")</f>
        <v>0</v>
      </c>
    </row>
    <row r="419" spans="1:15">
      <c r="A419">
        <f>IF(COUNTBLANK(B419:Q419)&lt;&gt;COLUMNS(B419:Q419),418,"")</f>
        <v>0</v>
      </c>
      <c r="C419" s="1">
        <f>IF(B419="", "", "urban biome")</f>
        <v>0</v>
      </c>
      <c r="D419" s="1">
        <f>IF(B419="", "", "human-associated habitat")</f>
        <v>0</v>
      </c>
      <c r="G419" s="1">
        <f>IF(B419="", "", "years")</f>
        <v>0</v>
      </c>
      <c r="I419" s="1">
        <f>IF(B419="", "", "human")</f>
        <v>0</v>
      </c>
      <c r="K419" s="1">
        <f>IF(B419="", "", "cm")</f>
        <v>0</v>
      </c>
      <c r="L419" s="1">
        <f>IF(B419="", "", "Homo sapiens")</f>
        <v>0</v>
      </c>
      <c r="M419" s="1">
        <f>IF(B419="", "", "9606")</f>
        <v>0</v>
      </c>
      <c r="O419" s="1">
        <f>IF(B419="", "", "kg")</f>
        <v>0</v>
      </c>
    </row>
    <row r="420" spans="1:15">
      <c r="A420">
        <f>IF(COUNTBLANK(B420:Q420)&lt;&gt;COLUMNS(B420:Q420),419,"")</f>
        <v>0</v>
      </c>
      <c r="C420" s="1">
        <f>IF(B420="", "", "urban biome")</f>
        <v>0</v>
      </c>
      <c r="D420" s="1">
        <f>IF(B420="", "", "human-associated habitat")</f>
        <v>0</v>
      </c>
      <c r="G420" s="1">
        <f>IF(B420="", "", "years")</f>
        <v>0</v>
      </c>
      <c r="I420" s="1">
        <f>IF(B420="", "", "human")</f>
        <v>0</v>
      </c>
      <c r="K420" s="1">
        <f>IF(B420="", "", "cm")</f>
        <v>0</v>
      </c>
      <c r="L420" s="1">
        <f>IF(B420="", "", "Homo sapiens")</f>
        <v>0</v>
      </c>
      <c r="M420" s="1">
        <f>IF(B420="", "", "9606")</f>
        <v>0</v>
      </c>
      <c r="O420" s="1">
        <f>IF(B420="", "", "kg")</f>
        <v>0</v>
      </c>
    </row>
    <row r="421" spans="1:15">
      <c r="A421">
        <f>IF(COUNTBLANK(B421:Q421)&lt;&gt;COLUMNS(B421:Q421),420,"")</f>
        <v>0</v>
      </c>
      <c r="C421" s="1">
        <f>IF(B421="", "", "urban biome")</f>
        <v>0</v>
      </c>
      <c r="D421" s="1">
        <f>IF(B421="", "", "human-associated habitat")</f>
        <v>0</v>
      </c>
      <c r="G421" s="1">
        <f>IF(B421="", "", "years")</f>
        <v>0</v>
      </c>
      <c r="I421" s="1">
        <f>IF(B421="", "", "human")</f>
        <v>0</v>
      </c>
      <c r="K421" s="1">
        <f>IF(B421="", "", "cm")</f>
        <v>0</v>
      </c>
      <c r="L421" s="1">
        <f>IF(B421="", "", "Homo sapiens")</f>
        <v>0</v>
      </c>
      <c r="M421" s="1">
        <f>IF(B421="", "", "9606")</f>
        <v>0</v>
      </c>
      <c r="O421" s="1">
        <f>IF(B421="", "", "kg")</f>
        <v>0</v>
      </c>
    </row>
    <row r="422" spans="1:15">
      <c r="A422">
        <f>IF(COUNTBLANK(B422:Q422)&lt;&gt;COLUMNS(B422:Q422),421,"")</f>
        <v>0</v>
      </c>
      <c r="C422" s="1">
        <f>IF(B422="", "", "urban biome")</f>
        <v>0</v>
      </c>
      <c r="D422" s="1">
        <f>IF(B422="", "", "human-associated habitat")</f>
        <v>0</v>
      </c>
      <c r="G422" s="1">
        <f>IF(B422="", "", "years")</f>
        <v>0</v>
      </c>
      <c r="I422" s="1">
        <f>IF(B422="", "", "human")</f>
        <v>0</v>
      </c>
      <c r="K422" s="1">
        <f>IF(B422="", "", "cm")</f>
        <v>0</v>
      </c>
      <c r="L422" s="1">
        <f>IF(B422="", "", "Homo sapiens")</f>
        <v>0</v>
      </c>
      <c r="M422" s="1">
        <f>IF(B422="", "", "9606")</f>
        <v>0</v>
      </c>
      <c r="O422" s="1">
        <f>IF(B422="", "", "kg")</f>
        <v>0</v>
      </c>
    </row>
    <row r="423" spans="1:15">
      <c r="A423">
        <f>IF(COUNTBLANK(B423:Q423)&lt;&gt;COLUMNS(B423:Q423),422,"")</f>
        <v>0</v>
      </c>
      <c r="C423" s="1">
        <f>IF(B423="", "", "urban biome")</f>
        <v>0</v>
      </c>
      <c r="D423" s="1">
        <f>IF(B423="", "", "human-associated habitat")</f>
        <v>0</v>
      </c>
      <c r="G423" s="1">
        <f>IF(B423="", "", "years")</f>
        <v>0</v>
      </c>
      <c r="I423" s="1">
        <f>IF(B423="", "", "human")</f>
        <v>0</v>
      </c>
      <c r="K423" s="1">
        <f>IF(B423="", "", "cm")</f>
        <v>0</v>
      </c>
      <c r="L423" s="1">
        <f>IF(B423="", "", "Homo sapiens")</f>
        <v>0</v>
      </c>
      <c r="M423" s="1">
        <f>IF(B423="", "", "9606")</f>
        <v>0</v>
      </c>
      <c r="O423" s="1">
        <f>IF(B423="", "", "kg")</f>
        <v>0</v>
      </c>
    </row>
    <row r="424" spans="1:15">
      <c r="A424">
        <f>IF(COUNTBLANK(B424:Q424)&lt;&gt;COLUMNS(B424:Q424),423,"")</f>
        <v>0</v>
      </c>
      <c r="C424" s="1">
        <f>IF(B424="", "", "urban biome")</f>
        <v>0</v>
      </c>
      <c r="D424" s="1">
        <f>IF(B424="", "", "human-associated habitat")</f>
        <v>0</v>
      </c>
      <c r="G424" s="1">
        <f>IF(B424="", "", "years")</f>
        <v>0</v>
      </c>
      <c r="I424" s="1">
        <f>IF(B424="", "", "human")</f>
        <v>0</v>
      </c>
      <c r="K424" s="1">
        <f>IF(B424="", "", "cm")</f>
        <v>0</v>
      </c>
      <c r="L424" s="1">
        <f>IF(B424="", "", "Homo sapiens")</f>
        <v>0</v>
      </c>
      <c r="M424" s="1">
        <f>IF(B424="", "", "9606")</f>
        <v>0</v>
      </c>
      <c r="O424" s="1">
        <f>IF(B424="", "", "kg")</f>
        <v>0</v>
      </c>
    </row>
    <row r="425" spans="1:15">
      <c r="A425">
        <f>IF(COUNTBLANK(B425:Q425)&lt;&gt;COLUMNS(B425:Q425),424,"")</f>
        <v>0</v>
      </c>
      <c r="C425" s="1">
        <f>IF(B425="", "", "urban biome")</f>
        <v>0</v>
      </c>
      <c r="D425" s="1">
        <f>IF(B425="", "", "human-associated habitat")</f>
        <v>0</v>
      </c>
      <c r="G425" s="1">
        <f>IF(B425="", "", "years")</f>
        <v>0</v>
      </c>
      <c r="I425" s="1">
        <f>IF(B425="", "", "human")</f>
        <v>0</v>
      </c>
      <c r="K425" s="1">
        <f>IF(B425="", "", "cm")</f>
        <v>0</v>
      </c>
      <c r="L425" s="1">
        <f>IF(B425="", "", "Homo sapiens")</f>
        <v>0</v>
      </c>
      <c r="M425" s="1">
        <f>IF(B425="", "", "9606")</f>
        <v>0</v>
      </c>
      <c r="O425" s="1">
        <f>IF(B425="", "", "kg")</f>
        <v>0</v>
      </c>
    </row>
    <row r="426" spans="1:15">
      <c r="A426">
        <f>IF(COUNTBLANK(B426:Q426)&lt;&gt;COLUMNS(B426:Q426),425,"")</f>
        <v>0</v>
      </c>
      <c r="C426" s="1">
        <f>IF(B426="", "", "urban biome")</f>
        <v>0</v>
      </c>
      <c r="D426" s="1">
        <f>IF(B426="", "", "human-associated habitat")</f>
        <v>0</v>
      </c>
      <c r="G426" s="1">
        <f>IF(B426="", "", "years")</f>
        <v>0</v>
      </c>
      <c r="I426" s="1">
        <f>IF(B426="", "", "human")</f>
        <v>0</v>
      </c>
      <c r="K426" s="1">
        <f>IF(B426="", "", "cm")</f>
        <v>0</v>
      </c>
      <c r="L426" s="1">
        <f>IF(B426="", "", "Homo sapiens")</f>
        <v>0</v>
      </c>
      <c r="M426" s="1">
        <f>IF(B426="", "", "9606")</f>
        <v>0</v>
      </c>
      <c r="O426" s="1">
        <f>IF(B426="", "", "kg")</f>
        <v>0</v>
      </c>
    </row>
    <row r="427" spans="1:15">
      <c r="A427">
        <f>IF(COUNTBLANK(B427:Q427)&lt;&gt;COLUMNS(B427:Q427),426,"")</f>
        <v>0</v>
      </c>
      <c r="C427" s="1">
        <f>IF(B427="", "", "urban biome")</f>
        <v>0</v>
      </c>
      <c r="D427" s="1">
        <f>IF(B427="", "", "human-associated habitat")</f>
        <v>0</v>
      </c>
      <c r="G427" s="1">
        <f>IF(B427="", "", "years")</f>
        <v>0</v>
      </c>
      <c r="I427" s="1">
        <f>IF(B427="", "", "human")</f>
        <v>0</v>
      </c>
      <c r="K427" s="1">
        <f>IF(B427="", "", "cm")</f>
        <v>0</v>
      </c>
      <c r="L427" s="1">
        <f>IF(B427="", "", "Homo sapiens")</f>
        <v>0</v>
      </c>
      <c r="M427" s="1">
        <f>IF(B427="", "", "9606")</f>
        <v>0</v>
      </c>
      <c r="O427" s="1">
        <f>IF(B427="", "", "kg")</f>
        <v>0</v>
      </c>
    </row>
    <row r="428" spans="1:15">
      <c r="A428">
        <f>IF(COUNTBLANK(B428:Q428)&lt;&gt;COLUMNS(B428:Q428),427,"")</f>
        <v>0</v>
      </c>
      <c r="C428" s="1">
        <f>IF(B428="", "", "urban biome")</f>
        <v>0</v>
      </c>
      <c r="D428" s="1">
        <f>IF(B428="", "", "human-associated habitat")</f>
        <v>0</v>
      </c>
      <c r="G428" s="1">
        <f>IF(B428="", "", "years")</f>
        <v>0</v>
      </c>
      <c r="I428" s="1">
        <f>IF(B428="", "", "human")</f>
        <v>0</v>
      </c>
      <c r="K428" s="1">
        <f>IF(B428="", "", "cm")</f>
        <v>0</v>
      </c>
      <c r="L428" s="1">
        <f>IF(B428="", "", "Homo sapiens")</f>
        <v>0</v>
      </c>
      <c r="M428" s="1">
        <f>IF(B428="", "", "9606")</f>
        <v>0</v>
      </c>
      <c r="O428" s="1">
        <f>IF(B428="", "", "kg")</f>
        <v>0</v>
      </c>
    </row>
    <row r="429" spans="1:15">
      <c r="A429">
        <f>IF(COUNTBLANK(B429:Q429)&lt;&gt;COLUMNS(B429:Q429),428,"")</f>
        <v>0</v>
      </c>
      <c r="C429" s="1">
        <f>IF(B429="", "", "urban biome")</f>
        <v>0</v>
      </c>
      <c r="D429" s="1">
        <f>IF(B429="", "", "human-associated habitat")</f>
        <v>0</v>
      </c>
      <c r="G429" s="1">
        <f>IF(B429="", "", "years")</f>
        <v>0</v>
      </c>
      <c r="I429" s="1">
        <f>IF(B429="", "", "human")</f>
        <v>0</v>
      </c>
      <c r="K429" s="1">
        <f>IF(B429="", "", "cm")</f>
        <v>0</v>
      </c>
      <c r="L429" s="1">
        <f>IF(B429="", "", "Homo sapiens")</f>
        <v>0</v>
      </c>
      <c r="M429" s="1">
        <f>IF(B429="", "", "9606")</f>
        <v>0</v>
      </c>
      <c r="O429" s="1">
        <f>IF(B429="", "", "kg")</f>
        <v>0</v>
      </c>
    </row>
    <row r="430" spans="1:15">
      <c r="A430">
        <f>IF(COUNTBLANK(B430:Q430)&lt;&gt;COLUMNS(B430:Q430),429,"")</f>
        <v>0</v>
      </c>
      <c r="C430" s="1">
        <f>IF(B430="", "", "urban biome")</f>
        <v>0</v>
      </c>
      <c r="D430" s="1">
        <f>IF(B430="", "", "human-associated habitat")</f>
        <v>0</v>
      </c>
      <c r="G430" s="1">
        <f>IF(B430="", "", "years")</f>
        <v>0</v>
      </c>
      <c r="I430" s="1">
        <f>IF(B430="", "", "human")</f>
        <v>0</v>
      </c>
      <c r="K430" s="1">
        <f>IF(B430="", "", "cm")</f>
        <v>0</v>
      </c>
      <c r="L430" s="1">
        <f>IF(B430="", "", "Homo sapiens")</f>
        <v>0</v>
      </c>
      <c r="M430" s="1">
        <f>IF(B430="", "", "9606")</f>
        <v>0</v>
      </c>
      <c r="O430" s="1">
        <f>IF(B430="", "", "kg")</f>
        <v>0</v>
      </c>
    </row>
    <row r="431" spans="1:15">
      <c r="A431">
        <f>IF(COUNTBLANK(B431:Q431)&lt;&gt;COLUMNS(B431:Q431),430,"")</f>
        <v>0</v>
      </c>
      <c r="C431" s="1">
        <f>IF(B431="", "", "urban biome")</f>
        <v>0</v>
      </c>
      <c r="D431" s="1">
        <f>IF(B431="", "", "human-associated habitat")</f>
        <v>0</v>
      </c>
      <c r="G431" s="1">
        <f>IF(B431="", "", "years")</f>
        <v>0</v>
      </c>
      <c r="I431" s="1">
        <f>IF(B431="", "", "human")</f>
        <v>0</v>
      </c>
      <c r="K431" s="1">
        <f>IF(B431="", "", "cm")</f>
        <v>0</v>
      </c>
      <c r="L431" s="1">
        <f>IF(B431="", "", "Homo sapiens")</f>
        <v>0</v>
      </c>
      <c r="M431" s="1">
        <f>IF(B431="", "", "9606")</f>
        <v>0</v>
      </c>
      <c r="O431" s="1">
        <f>IF(B431="", "", "kg")</f>
        <v>0</v>
      </c>
    </row>
    <row r="432" spans="1:15">
      <c r="A432">
        <f>IF(COUNTBLANK(B432:Q432)&lt;&gt;COLUMNS(B432:Q432),431,"")</f>
        <v>0</v>
      </c>
      <c r="C432" s="1">
        <f>IF(B432="", "", "urban biome")</f>
        <v>0</v>
      </c>
      <c r="D432" s="1">
        <f>IF(B432="", "", "human-associated habitat")</f>
        <v>0</v>
      </c>
      <c r="G432" s="1">
        <f>IF(B432="", "", "years")</f>
        <v>0</v>
      </c>
      <c r="I432" s="1">
        <f>IF(B432="", "", "human")</f>
        <v>0</v>
      </c>
      <c r="K432" s="1">
        <f>IF(B432="", "", "cm")</f>
        <v>0</v>
      </c>
      <c r="L432" s="1">
        <f>IF(B432="", "", "Homo sapiens")</f>
        <v>0</v>
      </c>
      <c r="M432" s="1">
        <f>IF(B432="", "", "9606")</f>
        <v>0</v>
      </c>
      <c r="O432" s="1">
        <f>IF(B432="", "", "kg")</f>
        <v>0</v>
      </c>
    </row>
    <row r="433" spans="1:15">
      <c r="A433">
        <f>IF(COUNTBLANK(B433:Q433)&lt;&gt;COLUMNS(B433:Q433),432,"")</f>
        <v>0</v>
      </c>
      <c r="C433" s="1">
        <f>IF(B433="", "", "urban biome")</f>
        <v>0</v>
      </c>
      <c r="D433" s="1">
        <f>IF(B433="", "", "human-associated habitat")</f>
        <v>0</v>
      </c>
      <c r="G433" s="1">
        <f>IF(B433="", "", "years")</f>
        <v>0</v>
      </c>
      <c r="I433" s="1">
        <f>IF(B433="", "", "human")</f>
        <v>0</v>
      </c>
      <c r="K433" s="1">
        <f>IF(B433="", "", "cm")</f>
        <v>0</v>
      </c>
      <c r="L433" s="1">
        <f>IF(B433="", "", "Homo sapiens")</f>
        <v>0</v>
      </c>
      <c r="M433" s="1">
        <f>IF(B433="", "", "9606")</f>
        <v>0</v>
      </c>
      <c r="O433" s="1">
        <f>IF(B433="", "", "kg")</f>
        <v>0</v>
      </c>
    </row>
    <row r="434" spans="1:15">
      <c r="A434">
        <f>IF(COUNTBLANK(B434:Q434)&lt;&gt;COLUMNS(B434:Q434),433,"")</f>
        <v>0</v>
      </c>
      <c r="C434" s="1">
        <f>IF(B434="", "", "urban biome")</f>
        <v>0</v>
      </c>
      <c r="D434" s="1">
        <f>IF(B434="", "", "human-associated habitat")</f>
        <v>0</v>
      </c>
      <c r="G434" s="1">
        <f>IF(B434="", "", "years")</f>
        <v>0</v>
      </c>
      <c r="I434" s="1">
        <f>IF(B434="", "", "human")</f>
        <v>0</v>
      </c>
      <c r="K434" s="1">
        <f>IF(B434="", "", "cm")</f>
        <v>0</v>
      </c>
      <c r="L434" s="1">
        <f>IF(B434="", "", "Homo sapiens")</f>
        <v>0</v>
      </c>
      <c r="M434" s="1">
        <f>IF(B434="", "", "9606")</f>
        <v>0</v>
      </c>
      <c r="O434" s="1">
        <f>IF(B434="", "", "kg")</f>
        <v>0</v>
      </c>
    </row>
    <row r="435" spans="1:15">
      <c r="A435">
        <f>IF(COUNTBLANK(B435:Q435)&lt;&gt;COLUMNS(B435:Q435),434,"")</f>
        <v>0</v>
      </c>
      <c r="C435" s="1">
        <f>IF(B435="", "", "urban biome")</f>
        <v>0</v>
      </c>
      <c r="D435" s="1">
        <f>IF(B435="", "", "human-associated habitat")</f>
        <v>0</v>
      </c>
      <c r="G435" s="1">
        <f>IF(B435="", "", "years")</f>
        <v>0</v>
      </c>
      <c r="I435" s="1">
        <f>IF(B435="", "", "human")</f>
        <v>0</v>
      </c>
      <c r="K435" s="1">
        <f>IF(B435="", "", "cm")</f>
        <v>0</v>
      </c>
      <c r="L435" s="1">
        <f>IF(B435="", "", "Homo sapiens")</f>
        <v>0</v>
      </c>
      <c r="M435" s="1">
        <f>IF(B435="", "", "9606")</f>
        <v>0</v>
      </c>
      <c r="O435" s="1">
        <f>IF(B435="", "", "kg")</f>
        <v>0</v>
      </c>
    </row>
    <row r="436" spans="1:15">
      <c r="A436">
        <f>IF(COUNTBLANK(B436:Q436)&lt;&gt;COLUMNS(B436:Q436),435,"")</f>
        <v>0</v>
      </c>
      <c r="C436" s="1">
        <f>IF(B436="", "", "urban biome")</f>
        <v>0</v>
      </c>
      <c r="D436" s="1">
        <f>IF(B436="", "", "human-associated habitat")</f>
        <v>0</v>
      </c>
      <c r="G436" s="1">
        <f>IF(B436="", "", "years")</f>
        <v>0</v>
      </c>
      <c r="I436" s="1">
        <f>IF(B436="", "", "human")</f>
        <v>0</v>
      </c>
      <c r="K436" s="1">
        <f>IF(B436="", "", "cm")</f>
        <v>0</v>
      </c>
      <c r="L436" s="1">
        <f>IF(B436="", "", "Homo sapiens")</f>
        <v>0</v>
      </c>
      <c r="M436" s="1">
        <f>IF(B436="", "", "9606")</f>
        <v>0</v>
      </c>
      <c r="O436" s="1">
        <f>IF(B436="", "", "kg")</f>
        <v>0</v>
      </c>
    </row>
    <row r="437" spans="1:15">
      <c r="A437">
        <f>IF(COUNTBLANK(B437:Q437)&lt;&gt;COLUMNS(B437:Q437),436,"")</f>
        <v>0</v>
      </c>
      <c r="C437" s="1">
        <f>IF(B437="", "", "urban biome")</f>
        <v>0</v>
      </c>
      <c r="D437" s="1">
        <f>IF(B437="", "", "human-associated habitat")</f>
        <v>0</v>
      </c>
      <c r="G437" s="1">
        <f>IF(B437="", "", "years")</f>
        <v>0</v>
      </c>
      <c r="I437" s="1">
        <f>IF(B437="", "", "human")</f>
        <v>0</v>
      </c>
      <c r="K437" s="1">
        <f>IF(B437="", "", "cm")</f>
        <v>0</v>
      </c>
      <c r="L437" s="1">
        <f>IF(B437="", "", "Homo sapiens")</f>
        <v>0</v>
      </c>
      <c r="M437" s="1">
        <f>IF(B437="", "", "9606")</f>
        <v>0</v>
      </c>
      <c r="O437" s="1">
        <f>IF(B437="", "", "kg")</f>
        <v>0</v>
      </c>
    </row>
    <row r="438" spans="1:15">
      <c r="A438">
        <f>IF(COUNTBLANK(B438:Q438)&lt;&gt;COLUMNS(B438:Q438),437,"")</f>
        <v>0</v>
      </c>
      <c r="C438" s="1">
        <f>IF(B438="", "", "urban biome")</f>
        <v>0</v>
      </c>
      <c r="D438" s="1">
        <f>IF(B438="", "", "human-associated habitat")</f>
        <v>0</v>
      </c>
      <c r="G438" s="1">
        <f>IF(B438="", "", "years")</f>
        <v>0</v>
      </c>
      <c r="I438" s="1">
        <f>IF(B438="", "", "human")</f>
        <v>0</v>
      </c>
      <c r="K438" s="1">
        <f>IF(B438="", "", "cm")</f>
        <v>0</v>
      </c>
      <c r="L438" s="1">
        <f>IF(B438="", "", "Homo sapiens")</f>
        <v>0</v>
      </c>
      <c r="M438" s="1">
        <f>IF(B438="", "", "9606")</f>
        <v>0</v>
      </c>
      <c r="O438" s="1">
        <f>IF(B438="", "", "kg")</f>
        <v>0</v>
      </c>
    </row>
    <row r="439" spans="1:15">
      <c r="A439">
        <f>IF(COUNTBLANK(B439:Q439)&lt;&gt;COLUMNS(B439:Q439),438,"")</f>
        <v>0</v>
      </c>
      <c r="C439" s="1">
        <f>IF(B439="", "", "urban biome")</f>
        <v>0</v>
      </c>
      <c r="D439" s="1">
        <f>IF(B439="", "", "human-associated habitat")</f>
        <v>0</v>
      </c>
      <c r="G439" s="1">
        <f>IF(B439="", "", "years")</f>
        <v>0</v>
      </c>
      <c r="I439" s="1">
        <f>IF(B439="", "", "human")</f>
        <v>0</v>
      </c>
      <c r="K439" s="1">
        <f>IF(B439="", "", "cm")</f>
        <v>0</v>
      </c>
      <c r="L439" s="1">
        <f>IF(B439="", "", "Homo sapiens")</f>
        <v>0</v>
      </c>
      <c r="M439" s="1">
        <f>IF(B439="", "", "9606")</f>
        <v>0</v>
      </c>
      <c r="O439" s="1">
        <f>IF(B439="", "", "kg")</f>
        <v>0</v>
      </c>
    </row>
    <row r="440" spans="1:15">
      <c r="A440">
        <f>IF(COUNTBLANK(B440:Q440)&lt;&gt;COLUMNS(B440:Q440),439,"")</f>
        <v>0</v>
      </c>
      <c r="C440" s="1">
        <f>IF(B440="", "", "urban biome")</f>
        <v>0</v>
      </c>
      <c r="D440" s="1">
        <f>IF(B440="", "", "human-associated habitat")</f>
        <v>0</v>
      </c>
      <c r="G440" s="1">
        <f>IF(B440="", "", "years")</f>
        <v>0</v>
      </c>
      <c r="I440" s="1">
        <f>IF(B440="", "", "human")</f>
        <v>0</v>
      </c>
      <c r="K440" s="1">
        <f>IF(B440="", "", "cm")</f>
        <v>0</v>
      </c>
      <c r="L440" s="1">
        <f>IF(B440="", "", "Homo sapiens")</f>
        <v>0</v>
      </c>
      <c r="M440" s="1">
        <f>IF(B440="", "", "9606")</f>
        <v>0</v>
      </c>
      <c r="O440" s="1">
        <f>IF(B440="", "", "kg")</f>
        <v>0</v>
      </c>
    </row>
    <row r="441" spans="1:15">
      <c r="A441">
        <f>IF(COUNTBLANK(B441:Q441)&lt;&gt;COLUMNS(B441:Q441),440,"")</f>
        <v>0</v>
      </c>
      <c r="C441" s="1">
        <f>IF(B441="", "", "urban biome")</f>
        <v>0</v>
      </c>
      <c r="D441" s="1">
        <f>IF(B441="", "", "human-associated habitat")</f>
        <v>0</v>
      </c>
      <c r="G441" s="1">
        <f>IF(B441="", "", "years")</f>
        <v>0</v>
      </c>
      <c r="I441" s="1">
        <f>IF(B441="", "", "human")</f>
        <v>0</v>
      </c>
      <c r="K441" s="1">
        <f>IF(B441="", "", "cm")</f>
        <v>0</v>
      </c>
      <c r="L441" s="1">
        <f>IF(B441="", "", "Homo sapiens")</f>
        <v>0</v>
      </c>
      <c r="M441" s="1">
        <f>IF(B441="", "", "9606")</f>
        <v>0</v>
      </c>
      <c r="O441" s="1">
        <f>IF(B441="", "", "kg")</f>
        <v>0</v>
      </c>
    </row>
    <row r="442" spans="1:15">
      <c r="A442">
        <f>IF(COUNTBLANK(B442:Q442)&lt;&gt;COLUMNS(B442:Q442),441,"")</f>
        <v>0</v>
      </c>
      <c r="C442" s="1">
        <f>IF(B442="", "", "urban biome")</f>
        <v>0</v>
      </c>
      <c r="D442" s="1">
        <f>IF(B442="", "", "human-associated habitat")</f>
        <v>0</v>
      </c>
      <c r="G442" s="1">
        <f>IF(B442="", "", "years")</f>
        <v>0</v>
      </c>
      <c r="I442" s="1">
        <f>IF(B442="", "", "human")</f>
        <v>0</v>
      </c>
      <c r="K442" s="1">
        <f>IF(B442="", "", "cm")</f>
        <v>0</v>
      </c>
      <c r="L442" s="1">
        <f>IF(B442="", "", "Homo sapiens")</f>
        <v>0</v>
      </c>
      <c r="M442" s="1">
        <f>IF(B442="", "", "9606")</f>
        <v>0</v>
      </c>
      <c r="O442" s="1">
        <f>IF(B442="", "", "kg")</f>
        <v>0</v>
      </c>
    </row>
    <row r="443" spans="1:15">
      <c r="A443">
        <f>IF(COUNTBLANK(B443:Q443)&lt;&gt;COLUMNS(B443:Q443),442,"")</f>
        <v>0</v>
      </c>
      <c r="C443" s="1">
        <f>IF(B443="", "", "urban biome")</f>
        <v>0</v>
      </c>
      <c r="D443" s="1">
        <f>IF(B443="", "", "human-associated habitat")</f>
        <v>0</v>
      </c>
      <c r="G443" s="1">
        <f>IF(B443="", "", "years")</f>
        <v>0</v>
      </c>
      <c r="I443" s="1">
        <f>IF(B443="", "", "human")</f>
        <v>0</v>
      </c>
      <c r="K443" s="1">
        <f>IF(B443="", "", "cm")</f>
        <v>0</v>
      </c>
      <c r="L443" s="1">
        <f>IF(B443="", "", "Homo sapiens")</f>
        <v>0</v>
      </c>
      <c r="M443" s="1">
        <f>IF(B443="", "", "9606")</f>
        <v>0</v>
      </c>
      <c r="O443" s="1">
        <f>IF(B443="", "", "kg")</f>
        <v>0</v>
      </c>
    </row>
    <row r="444" spans="1:15">
      <c r="A444">
        <f>IF(COUNTBLANK(B444:Q444)&lt;&gt;COLUMNS(B444:Q444),443,"")</f>
        <v>0</v>
      </c>
      <c r="C444" s="1">
        <f>IF(B444="", "", "urban biome")</f>
        <v>0</v>
      </c>
      <c r="D444" s="1">
        <f>IF(B444="", "", "human-associated habitat")</f>
        <v>0</v>
      </c>
      <c r="G444" s="1">
        <f>IF(B444="", "", "years")</f>
        <v>0</v>
      </c>
      <c r="I444" s="1">
        <f>IF(B444="", "", "human")</f>
        <v>0</v>
      </c>
      <c r="K444" s="1">
        <f>IF(B444="", "", "cm")</f>
        <v>0</v>
      </c>
      <c r="L444" s="1">
        <f>IF(B444="", "", "Homo sapiens")</f>
        <v>0</v>
      </c>
      <c r="M444" s="1">
        <f>IF(B444="", "", "9606")</f>
        <v>0</v>
      </c>
      <c r="O444" s="1">
        <f>IF(B444="", "", "kg")</f>
        <v>0</v>
      </c>
    </row>
    <row r="445" spans="1:15">
      <c r="A445">
        <f>IF(COUNTBLANK(B445:Q445)&lt;&gt;COLUMNS(B445:Q445),444,"")</f>
        <v>0</v>
      </c>
      <c r="C445" s="1">
        <f>IF(B445="", "", "urban biome")</f>
        <v>0</v>
      </c>
      <c r="D445" s="1">
        <f>IF(B445="", "", "human-associated habitat")</f>
        <v>0</v>
      </c>
      <c r="G445" s="1">
        <f>IF(B445="", "", "years")</f>
        <v>0</v>
      </c>
      <c r="I445" s="1">
        <f>IF(B445="", "", "human")</f>
        <v>0</v>
      </c>
      <c r="K445" s="1">
        <f>IF(B445="", "", "cm")</f>
        <v>0</v>
      </c>
      <c r="L445" s="1">
        <f>IF(B445="", "", "Homo sapiens")</f>
        <v>0</v>
      </c>
      <c r="M445" s="1">
        <f>IF(B445="", "", "9606")</f>
        <v>0</v>
      </c>
      <c r="O445" s="1">
        <f>IF(B445="", "", "kg")</f>
        <v>0</v>
      </c>
    </row>
    <row r="446" spans="1:15">
      <c r="A446">
        <f>IF(COUNTBLANK(B446:Q446)&lt;&gt;COLUMNS(B446:Q446),445,"")</f>
        <v>0</v>
      </c>
      <c r="C446" s="1">
        <f>IF(B446="", "", "urban biome")</f>
        <v>0</v>
      </c>
      <c r="D446" s="1">
        <f>IF(B446="", "", "human-associated habitat")</f>
        <v>0</v>
      </c>
      <c r="G446" s="1">
        <f>IF(B446="", "", "years")</f>
        <v>0</v>
      </c>
      <c r="I446" s="1">
        <f>IF(B446="", "", "human")</f>
        <v>0</v>
      </c>
      <c r="K446" s="1">
        <f>IF(B446="", "", "cm")</f>
        <v>0</v>
      </c>
      <c r="L446" s="1">
        <f>IF(B446="", "", "Homo sapiens")</f>
        <v>0</v>
      </c>
      <c r="M446" s="1">
        <f>IF(B446="", "", "9606")</f>
        <v>0</v>
      </c>
      <c r="O446" s="1">
        <f>IF(B446="", "", "kg")</f>
        <v>0</v>
      </c>
    </row>
    <row r="447" spans="1:15">
      <c r="A447">
        <f>IF(COUNTBLANK(B447:Q447)&lt;&gt;COLUMNS(B447:Q447),446,"")</f>
        <v>0</v>
      </c>
      <c r="C447" s="1">
        <f>IF(B447="", "", "urban biome")</f>
        <v>0</v>
      </c>
      <c r="D447" s="1">
        <f>IF(B447="", "", "human-associated habitat")</f>
        <v>0</v>
      </c>
      <c r="G447" s="1">
        <f>IF(B447="", "", "years")</f>
        <v>0</v>
      </c>
      <c r="I447" s="1">
        <f>IF(B447="", "", "human")</f>
        <v>0</v>
      </c>
      <c r="K447" s="1">
        <f>IF(B447="", "", "cm")</f>
        <v>0</v>
      </c>
      <c r="L447" s="1">
        <f>IF(B447="", "", "Homo sapiens")</f>
        <v>0</v>
      </c>
      <c r="M447" s="1">
        <f>IF(B447="", "", "9606")</f>
        <v>0</v>
      </c>
      <c r="O447" s="1">
        <f>IF(B447="", "", "kg")</f>
        <v>0</v>
      </c>
    </row>
    <row r="448" spans="1:15">
      <c r="A448">
        <f>IF(COUNTBLANK(B448:Q448)&lt;&gt;COLUMNS(B448:Q448),447,"")</f>
        <v>0</v>
      </c>
      <c r="C448" s="1">
        <f>IF(B448="", "", "urban biome")</f>
        <v>0</v>
      </c>
      <c r="D448" s="1">
        <f>IF(B448="", "", "human-associated habitat")</f>
        <v>0</v>
      </c>
      <c r="G448" s="1">
        <f>IF(B448="", "", "years")</f>
        <v>0</v>
      </c>
      <c r="I448" s="1">
        <f>IF(B448="", "", "human")</f>
        <v>0</v>
      </c>
      <c r="K448" s="1">
        <f>IF(B448="", "", "cm")</f>
        <v>0</v>
      </c>
      <c r="L448" s="1">
        <f>IF(B448="", "", "Homo sapiens")</f>
        <v>0</v>
      </c>
      <c r="M448" s="1">
        <f>IF(B448="", "", "9606")</f>
        <v>0</v>
      </c>
      <c r="O448" s="1">
        <f>IF(B448="", "", "kg")</f>
        <v>0</v>
      </c>
    </row>
    <row r="449" spans="1:15">
      <c r="A449">
        <f>IF(COUNTBLANK(B449:Q449)&lt;&gt;COLUMNS(B449:Q449),448,"")</f>
        <v>0</v>
      </c>
      <c r="C449" s="1">
        <f>IF(B449="", "", "urban biome")</f>
        <v>0</v>
      </c>
      <c r="D449" s="1">
        <f>IF(B449="", "", "human-associated habitat")</f>
        <v>0</v>
      </c>
      <c r="G449" s="1">
        <f>IF(B449="", "", "years")</f>
        <v>0</v>
      </c>
      <c r="I449" s="1">
        <f>IF(B449="", "", "human")</f>
        <v>0</v>
      </c>
      <c r="K449" s="1">
        <f>IF(B449="", "", "cm")</f>
        <v>0</v>
      </c>
      <c r="L449" s="1">
        <f>IF(B449="", "", "Homo sapiens")</f>
        <v>0</v>
      </c>
      <c r="M449" s="1">
        <f>IF(B449="", "", "9606")</f>
        <v>0</v>
      </c>
      <c r="O449" s="1">
        <f>IF(B449="", "", "kg")</f>
        <v>0</v>
      </c>
    </row>
    <row r="450" spans="1:15">
      <c r="A450">
        <f>IF(COUNTBLANK(B450:Q450)&lt;&gt;COLUMNS(B450:Q450),449,"")</f>
        <v>0</v>
      </c>
      <c r="C450" s="1">
        <f>IF(B450="", "", "urban biome")</f>
        <v>0</v>
      </c>
      <c r="D450" s="1">
        <f>IF(B450="", "", "human-associated habitat")</f>
        <v>0</v>
      </c>
      <c r="G450" s="1">
        <f>IF(B450="", "", "years")</f>
        <v>0</v>
      </c>
      <c r="I450" s="1">
        <f>IF(B450="", "", "human")</f>
        <v>0</v>
      </c>
      <c r="K450" s="1">
        <f>IF(B450="", "", "cm")</f>
        <v>0</v>
      </c>
      <c r="L450" s="1">
        <f>IF(B450="", "", "Homo sapiens")</f>
        <v>0</v>
      </c>
      <c r="M450" s="1">
        <f>IF(B450="", "", "9606")</f>
        <v>0</v>
      </c>
      <c r="O450" s="1">
        <f>IF(B450="", "", "kg")</f>
        <v>0</v>
      </c>
    </row>
    <row r="451" spans="1:15">
      <c r="A451">
        <f>IF(COUNTBLANK(B451:Q451)&lt;&gt;COLUMNS(B451:Q451),450,"")</f>
        <v>0</v>
      </c>
      <c r="C451" s="1">
        <f>IF(B451="", "", "urban biome")</f>
        <v>0</v>
      </c>
      <c r="D451" s="1">
        <f>IF(B451="", "", "human-associated habitat")</f>
        <v>0</v>
      </c>
      <c r="G451" s="1">
        <f>IF(B451="", "", "years")</f>
        <v>0</v>
      </c>
      <c r="I451" s="1">
        <f>IF(B451="", "", "human")</f>
        <v>0</v>
      </c>
      <c r="K451" s="1">
        <f>IF(B451="", "", "cm")</f>
        <v>0</v>
      </c>
      <c r="L451" s="1">
        <f>IF(B451="", "", "Homo sapiens")</f>
        <v>0</v>
      </c>
      <c r="M451" s="1">
        <f>IF(B451="", "", "9606")</f>
        <v>0</v>
      </c>
      <c r="O451" s="1">
        <f>IF(B451="", "", "kg")</f>
        <v>0</v>
      </c>
    </row>
    <row r="452" spans="1:15">
      <c r="A452">
        <f>IF(COUNTBLANK(B452:Q452)&lt;&gt;COLUMNS(B452:Q452),451,"")</f>
        <v>0</v>
      </c>
      <c r="C452" s="1">
        <f>IF(B452="", "", "urban biome")</f>
        <v>0</v>
      </c>
      <c r="D452" s="1">
        <f>IF(B452="", "", "human-associated habitat")</f>
        <v>0</v>
      </c>
      <c r="G452" s="1">
        <f>IF(B452="", "", "years")</f>
        <v>0</v>
      </c>
      <c r="I452" s="1">
        <f>IF(B452="", "", "human")</f>
        <v>0</v>
      </c>
      <c r="K452" s="1">
        <f>IF(B452="", "", "cm")</f>
        <v>0</v>
      </c>
      <c r="L452" s="1">
        <f>IF(B452="", "", "Homo sapiens")</f>
        <v>0</v>
      </c>
      <c r="M452" s="1">
        <f>IF(B452="", "", "9606")</f>
        <v>0</v>
      </c>
      <c r="O452" s="1">
        <f>IF(B452="", "", "kg")</f>
        <v>0</v>
      </c>
    </row>
    <row r="453" spans="1:15">
      <c r="A453">
        <f>IF(COUNTBLANK(B453:Q453)&lt;&gt;COLUMNS(B453:Q453),452,"")</f>
        <v>0</v>
      </c>
      <c r="C453" s="1">
        <f>IF(B453="", "", "urban biome")</f>
        <v>0</v>
      </c>
      <c r="D453" s="1">
        <f>IF(B453="", "", "human-associated habitat")</f>
        <v>0</v>
      </c>
      <c r="G453" s="1">
        <f>IF(B453="", "", "years")</f>
        <v>0</v>
      </c>
      <c r="I453" s="1">
        <f>IF(B453="", "", "human")</f>
        <v>0</v>
      </c>
      <c r="K453" s="1">
        <f>IF(B453="", "", "cm")</f>
        <v>0</v>
      </c>
      <c r="L453" s="1">
        <f>IF(B453="", "", "Homo sapiens")</f>
        <v>0</v>
      </c>
      <c r="M453" s="1">
        <f>IF(B453="", "", "9606")</f>
        <v>0</v>
      </c>
      <c r="O453" s="1">
        <f>IF(B453="", "", "kg")</f>
        <v>0</v>
      </c>
    </row>
    <row r="454" spans="1:15">
      <c r="A454">
        <f>IF(COUNTBLANK(B454:Q454)&lt;&gt;COLUMNS(B454:Q454),453,"")</f>
        <v>0</v>
      </c>
      <c r="C454" s="1">
        <f>IF(B454="", "", "urban biome")</f>
        <v>0</v>
      </c>
      <c r="D454" s="1">
        <f>IF(B454="", "", "human-associated habitat")</f>
        <v>0</v>
      </c>
      <c r="G454" s="1">
        <f>IF(B454="", "", "years")</f>
        <v>0</v>
      </c>
      <c r="I454" s="1">
        <f>IF(B454="", "", "human")</f>
        <v>0</v>
      </c>
      <c r="K454" s="1">
        <f>IF(B454="", "", "cm")</f>
        <v>0</v>
      </c>
      <c r="L454" s="1">
        <f>IF(B454="", "", "Homo sapiens")</f>
        <v>0</v>
      </c>
      <c r="M454" s="1">
        <f>IF(B454="", "", "9606")</f>
        <v>0</v>
      </c>
      <c r="O454" s="1">
        <f>IF(B454="", "", "kg")</f>
        <v>0</v>
      </c>
    </row>
    <row r="455" spans="1:15">
      <c r="A455">
        <f>IF(COUNTBLANK(B455:Q455)&lt;&gt;COLUMNS(B455:Q455),454,"")</f>
        <v>0</v>
      </c>
      <c r="C455" s="1">
        <f>IF(B455="", "", "urban biome")</f>
        <v>0</v>
      </c>
      <c r="D455" s="1">
        <f>IF(B455="", "", "human-associated habitat")</f>
        <v>0</v>
      </c>
      <c r="G455" s="1">
        <f>IF(B455="", "", "years")</f>
        <v>0</v>
      </c>
      <c r="I455" s="1">
        <f>IF(B455="", "", "human")</f>
        <v>0</v>
      </c>
      <c r="K455" s="1">
        <f>IF(B455="", "", "cm")</f>
        <v>0</v>
      </c>
      <c r="L455" s="1">
        <f>IF(B455="", "", "Homo sapiens")</f>
        <v>0</v>
      </c>
      <c r="M455" s="1">
        <f>IF(B455="", "", "9606")</f>
        <v>0</v>
      </c>
      <c r="O455" s="1">
        <f>IF(B455="", "", "kg")</f>
        <v>0</v>
      </c>
    </row>
    <row r="456" spans="1:15">
      <c r="A456">
        <f>IF(COUNTBLANK(B456:Q456)&lt;&gt;COLUMNS(B456:Q456),455,"")</f>
        <v>0</v>
      </c>
      <c r="C456" s="1">
        <f>IF(B456="", "", "urban biome")</f>
        <v>0</v>
      </c>
      <c r="D456" s="1">
        <f>IF(B456="", "", "human-associated habitat")</f>
        <v>0</v>
      </c>
      <c r="G456" s="1">
        <f>IF(B456="", "", "years")</f>
        <v>0</v>
      </c>
      <c r="I456" s="1">
        <f>IF(B456="", "", "human")</f>
        <v>0</v>
      </c>
      <c r="K456" s="1">
        <f>IF(B456="", "", "cm")</f>
        <v>0</v>
      </c>
      <c r="L456" s="1">
        <f>IF(B456="", "", "Homo sapiens")</f>
        <v>0</v>
      </c>
      <c r="M456" s="1">
        <f>IF(B456="", "", "9606")</f>
        <v>0</v>
      </c>
      <c r="O456" s="1">
        <f>IF(B456="", "", "kg")</f>
        <v>0</v>
      </c>
    </row>
    <row r="457" spans="1:15">
      <c r="A457">
        <f>IF(COUNTBLANK(B457:Q457)&lt;&gt;COLUMNS(B457:Q457),456,"")</f>
        <v>0</v>
      </c>
      <c r="C457" s="1">
        <f>IF(B457="", "", "urban biome")</f>
        <v>0</v>
      </c>
      <c r="D457" s="1">
        <f>IF(B457="", "", "human-associated habitat")</f>
        <v>0</v>
      </c>
      <c r="G457" s="1">
        <f>IF(B457="", "", "years")</f>
        <v>0</v>
      </c>
      <c r="I457" s="1">
        <f>IF(B457="", "", "human")</f>
        <v>0</v>
      </c>
      <c r="K457" s="1">
        <f>IF(B457="", "", "cm")</f>
        <v>0</v>
      </c>
      <c r="L457" s="1">
        <f>IF(B457="", "", "Homo sapiens")</f>
        <v>0</v>
      </c>
      <c r="M457" s="1">
        <f>IF(B457="", "", "9606")</f>
        <v>0</v>
      </c>
      <c r="O457" s="1">
        <f>IF(B457="", "", "kg")</f>
        <v>0</v>
      </c>
    </row>
    <row r="458" spans="1:15">
      <c r="A458">
        <f>IF(COUNTBLANK(B458:Q458)&lt;&gt;COLUMNS(B458:Q458),457,"")</f>
        <v>0</v>
      </c>
      <c r="C458" s="1">
        <f>IF(B458="", "", "urban biome")</f>
        <v>0</v>
      </c>
      <c r="D458" s="1">
        <f>IF(B458="", "", "human-associated habitat")</f>
        <v>0</v>
      </c>
      <c r="G458" s="1">
        <f>IF(B458="", "", "years")</f>
        <v>0</v>
      </c>
      <c r="I458" s="1">
        <f>IF(B458="", "", "human")</f>
        <v>0</v>
      </c>
      <c r="K458" s="1">
        <f>IF(B458="", "", "cm")</f>
        <v>0</v>
      </c>
      <c r="L458" s="1">
        <f>IF(B458="", "", "Homo sapiens")</f>
        <v>0</v>
      </c>
      <c r="M458" s="1">
        <f>IF(B458="", "", "9606")</f>
        <v>0</v>
      </c>
      <c r="O458" s="1">
        <f>IF(B458="", "", "kg")</f>
        <v>0</v>
      </c>
    </row>
    <row r="459" spans="1:15">
      <c r="A459">
        <f>IF(COUNTBLANK(B459:Q459)&lt;&gt;COLUMNS(B459:Q459),458,"")</f>
        <v>0</v>
      </c>
      <c r="C459" s="1">
        <f>IF(B459="", "", "urban biome")</f>
        <v>0</v>
      </c>
      <c r="D459" s="1">
        <f>IF(B459="", "", "human-associated habitat")</f>
        <v>0</v>
      </c>
      <c r="G459" s="1">
        <f>IF(B459="", "", "years")</f>
        <v>0</v>
      </c>
      <c r="I459" s="1">
        <f>IF(B459="", "", "human")</f>
        <v>0</v>
      </c>
      <c r="K459" s="1">
        <f>IF(B459="", "", "cm")</f>
        <v>0</v>
      </c>
      <c r="L459" s="1">
        <f>IF(B459="", "", "Homo sapiens")</f>
        <v>0</v>
      </c>
      <c r="M459" s="1">
        <f>IF(B459="", "", "9606")</f>
        <v>0</v>
      </c>
      <c r="O459" s="1">
        <f>IF(B459="", "", "kg")</f>
        <v>0</v>
      </c>
    </row>
    <row r="460" spans="1:15">
      <c r="A460">
        <f>IF(COUNTBLANK(B460:Q460)&lt;&gt;COLUMNS(B460:Q460),459,"")</f>
        <v>0</v>
      </c>
      <c r="C460" s="1">
        <f>IF(B460="", "", "urban biome")</f>
        <v>0</v>
      </c>
      <c r="D460" s="1">
        <f>IF(B460="", "", "human-associated habitat")</f>
        <v>0</v>
      </c>
      <c r="G460" s="1">
        <f>IF(B460="", "", "years")</f>
        <v>0</v>
      </c>
      <c r="I460" s="1">
        <f>IF(B460="", "", "human")</f>
        <v>0</v>
      </c>
      <c r="K460" s="1">
        <f>IF(B460="", "", "cm")</f>
        <v>0</v>
      </c>
      <c r="L460" s="1">
        <f>IF(B460="", "", "Homo sapiens")</f>
        <v>0</v>
      </c>
      <c r="M460" s="1">
        <f>IF(B460="", "", "9606")</f>
        <v>0</v>
      </c>
      <c r="O460" s="1">
        <f>IF(B460="", "", "kg")</f>
        <v>0</v>
      </c>
    </row>
    <row r="461" spans="1:15">
      <c r="A461">
        <f>IF(COUNTBLANK(B461:Q461)&lt;&gt;COLUMNS(B461:Q461),460,"")</f>
        <v>0</v>
      </c>
      <c r="C461" s="1">
        <f>IF(B461="", "", "urban biome")</f>
        <v>0</v>
      </c>
      <c r="D461" s="1">
        <f>IF(B461="", "", "human-associated habitat")</f>
        <v>0</v>
      </c>
      <c r="G461" s="1">
        <f>IF(B461="", "", "years")</f>
        <v>0</v>
      </c>
      <c r="I461" s="1">
        <f>IF(B461="", "", "human")</f>
        <v>0</v>
      </c>
      <c r="K461" s="1">
        <f>IF(B461="", "", "cm")</f>
        <v>0</v>
      </c>
      <c r="L461" s="1">
        <f>IF(B461="", "", "Homo sapiens")</f>
        <v>0</v>
      </c>
      <c r="M461" s="1">
        <f>IF(B461="", "", "9606")</f>
        <v>0</v>
      </c>
      <c r="O461" s="1">
        <f>IF(B461="", "", "kg")</f>
        <v>0</v>
      </c>
    </row>
    <row r="462" spans="1:15">
      <c r="A462">
        <f>IF(COUNTBLANK(B462:Q462)&lt;&gt;COLUMNS(B462:Q462),461,"")</f>
        <v>0</v>
      </c>
      <c r="C462" s="1">
        <f>IF(B462="", "", "urban biome")</f>
        <v>0</v>
      </c>
      <c r="D462" s="1">
        <f>IF(B462="", "", "human-associated habitat")</f>
        <v>0</v>
      </c>
      <c r="G462" s="1">
        <f>IF(B462="", "", "years")</f>
        <v>0</v>
      </c>
      <c r="I462" s="1">
        <f>IF(B462="", "", "human")</f>
        <v>0</v>
      </c>
      <c r="K462" s="1">
        <f>IF(B462="", "", "cm")</f>
        <v>0</v>
      </c>
      <c r="L462" s="1">
        <f>IF(B462="", "", "Homo sapiens")</f>
        <v>0</v>
      </c>
      <c r="M462" s="1">
        <f>IF(B462="", "", "9606")</f>
        <v>0</v>
      </c>
      <c r="O462" s="1">
        <f>IF(B462="", "", "kg")</f>
        <v>0</v>
      </c>
    </row>
    <row r="463" spans="1:15">
      <c r="A463">
        <f>IF(COUNTBLANK(B463:Q463)&lt;&gt;COLUMNS(B463:Q463),462,"")</f>
        <v>0</v>
      </c>
      <c r="C463" s="1">
        <f>IF(B463="", "", "urban biome")</f>
        <v>0</v>
      </c>
      <c r="D463" s="1">
        <f>IF(B463="", "", "human-associated habitat")</f>
        <v>0</v>
      </c>
      <c r="G463" s="1">
        <f>IF(B463="", "", "years")</f>
        <v>0</v>
      </c>
      <c r="I463" s="1">
        <f>IF(B463="", "", "human")</f>
        <v>0</v>
      </c>
      <c r="K463" s="1">
        <f>IF(B463="", "", "cm")</f>
        <v>0</v>
      </c>
      <c r="L463" s="1">
        <f>IF(B463="", "", "Homo sapiens")</f>
        <v>0</v>
      </c>
      <c r="M463" s="1">
        <f>IF(B463="", "", "9606")</f>
        <v>0</v>
      </c>
      <c r="O463" s="1">
        <f>IF(B463="", "", "kg")</f>
        <v>0</v>
      </c>
    </row>
    <row r="464" spans="1:15">
      <c r="A464">
        <f>IF(COUNTBLANK(B464:Q464)&lt;&gt;COLUMNS(B464:Q464),463,"")</f>
        <v>0</v>
      </c>
      <c r="C464" s="1">
        <f>IF(B464="", "", "urban biome")</f>
        <v>0</v>
      </c>
      <c r="D464" s="1">
        <f>IF(B464="", "", "human-associated habitat")</f>
        <v>0</v>
      </c>
      <c r="G464" s="1">
        <f>IF(B464="", "", "years")</f>
        <v>0</v>
      </c>
      <c r="I464" s="1">
        <f>IF(B464="", "", "human")</f>
        <v>0</v>
      </c>
      <c r="K464" s="1">
        <f>IF(B464="", "", "cm")</f>
        <v>0</v>
      </c>
      <c r="L464" s="1">
        <f>IF(B464="", "", "Homo sapiens")</f>
        <v>0</v>
      </c>
      <c r="M464" s="1">
        <f>IF(B464="", "", "9606")</f>
        <v>0</v>
      </c>
      <c r="O464" s="1">
        <f>IF(B464="", "", "kg")</f>
        <v>0</v>
      </c>
    </row>
    <row r="465" spans="1:15">
      <c r="A465">
        <f>IF(COUNTBLANK(B465:Q465)&lt;&gt;COLUMNS(B465:Q465),464,"")</f>
        <v>0</v>
      </c>
      <c r="C465" s="1">
        <f>IF(B465="", "", "urban biome")</f>
        <v>0</v>
      </c>
      <c r="D465" s="1">
        <f>IF(B465="", "", "human-associated habitat")</f>
        <v>0</v>
      </c>
      <c r="G465" s="1">
        <f>IF(B465="", "", "years")</f>
        <v>0</v>
      </c>
      <c r="I465" s="1">
        <f>IF(B465="", "", "human")</f>
        <v>0</v>
      </c>
      <c r="K465" s="1">
        <f>IF(B465="", "", "cm")</f>
        <v>0</v>
      </c>
      <c r="L465" s="1">
        <f>IF(B465="", "", "Homo sapiens")</f>
        <v>0</v>
      </c>
      <c r="M465" s="1">
        <f>IF(B465="", "", "9606")</f>
        <v>0</v>
      </c>
      <c r="O465" s="1">
        <f>IF(B465="", "", "kg")</f>
        <v>0</v>
      </c>
    </row>
    <row r="466" spans="1:15">
      <c r="A466">
        <f>IF(COUNTBLANK(B466:Q466)&lt;&gt;COLUMNS(B466:Q466),465,"")</f>
        <v>0</v>
      </c>
      <c r="C466" s="1">
        <f>IF(B466="", "", "urban biome")</f>
        <v>0</v>
      </c>
      <c r="D466" s="1">
        <f>IF(B466="", "", "human-associated habitat")</f>
        <v>0</v>
      </c>
      <c r="G466" s="1">
        <f>IF(B466="", "", "years")</f>
        <v>0</v>
      </c>
      <c r="I466" s="1">
        <f>IF(B466="", "", "human")</f>
        <v>0</v>
      </c>
      <c r="K466" s="1">
        <f>IF(B466="", "", "cm")</f>
        <v>0</v>
      </c>
      <c r="L466" s="1">
        <f>IF(B466="", "", "Homo sapiens")</f>
        <v>0</v>
      </c>
      <c r="M466" s="1">
        <f>IF(B466="", "", "9606")</f>
        <v>0</v>
      </c>
      <c r="O466" s="1">
        <f>IF(B466="", "", "kg")</f>
        <v>0</v>
      </c>
    </row>
    <row r="467" spans="1:15">
      <c r="A467">
        <f>IF(COUNTBLANK(B467:Q467)&lt;&gt;COLUMNS(B467:Q467),466,"")</f>
        <v>0</v>
      </c>
      <c r="C467" s="1">
        <f>IF(B467="", "", "urban biome")</f>
        <v>0</v>
      </c>
      <c r="D467" s="1">
        <f>IF(B467="", "", "human-associated habitat")</f>
        <v>0</v>
      </c>
      <c r="G467" s="1">
        <f>IF(B467="", "", "years")</f>
        <v>0</v>
      </c>
      <c r="I467" s="1">
        <f>IF(B467="", "", "human")</f>
        <v>0</v>
      </c>
      <c r="K467" s="1">
        <f>IF(B467="", "", "cm")</f>
        <v>0</v>
      </c>
      <c r="L467" s="1">
        <f>IF(B467="", "", "Homo sapiens")</f>
        <v>0</v>
      </c>
      <c r="M467" s="1">
        <f>IF(B467="", "", "9606")</f>
        <v>0</v>
      </c>
      <c r="O467" s="1">
        <f>IF(B467="", "", "kg")</f>
        <v>0</v>
      </c>
    </row>
    <row r="468" spans="1:15">
      <c r="A468">
        <f>IF(COUNTBLANK(B468:Q468)&lt;&gt;COLUMNS(B468:Q468),467,"")</f>
        <v>0</v>
      </c>
      <c r="C468" s="1">
        <f>IF(B468="", "", "urban biome")</f>
        <v>0</v>
      </c>
      <c r="D468" s="1">
        <f>IF(B468="", "", "human-associated habitat")</f>
        <v>0</v>
      </c>
      <c r="G468" s="1">
        <f>IF(B468="", "", "years")</f>
        <v>0</v>
      </c>
      <c r="I468" s="1">
        <f>IF(B468="", "", "human")</f>
        <v>0</v>
      </c>
      <c r="K468" s="1">
        <f>IF(B468="", "", "cm")</f>
        <v>0</v>
      </c>
      <c r="L468" s="1">
        <f>IF(B468="", "", "Homo sapiens")</f>
        <v>0</v>
      </c>
      <c r="M468" s="1">
        <f>IF(B468="", "", "9606")</f>
        <v>0</v>
      </c>
      <c r="O468" s="1">
        <f>IF(B468="", "", "kg")</f>
        <v>0</v>
      </c>
    </row>
    <row r="469" spans="1:15">
      <c r="A469">
        <f>IF(COUNTBLANK(B469:Q469)&lt;&gt;COLUMNS(B469:Q469),468,"")</f>
        <v>0</v>
      </c>
      <c r="C469" s="1">
        <f>IF(B469="", "", "urban biome")</f>
        <v>0</v>
      </c>
      <c r="D469" s="1">
        <f>IF(B469="", "", "human-associated habitat")</f>
        <v>0</v>
      </c>
      <c r="G469" s="1">
        <f>IF(B469="", "", "years")</f>
        <v>0</v>
      </c>
      <c r="I469" s="1">
        <f>IF(B469="", "", "human")</f>
        <v>0</v>
      </c>
      <c r="K469" s="1">
        <f>IF(B469="", "", "cm")</f>
        <v>0</v>
      </c>
      <c r="L469" s="1">
        <f>IF(B469="", "", "Homo sapiens")</f>
        <v>0</v>
      </c>
      <c r="M469" s="1">
        <f>IF(B469="", "", "9606")</f>
        <v>0</v>
      </c>
      <c r="O469" s="1">
        <f>IF(B469="", "", "kg")</f>
        <v>0</v>
      </c>
    </row>
    <row r="470" spans="1:15">
      <c r="A470">
        <f>IF(COUNTBLANK(B470:Q470)&lt;&gt;COLUMNS(B470:Q470),469,"")</f>
        <v>0</v>
      </c>
      <c r="C470" s="1">
        <f>IF(B470="", "", "urban biome")</f>
        <v>0</v>
      </c>
      <c r="D470" s="1">
        <f>IF(B470="", "", "human-associated habitat")</f>
        <v>0</v>
      </c>
      <c r="G470" s="1">
        <f>IF(B470="", "", "years")</f>
        <v>0</v>
      </c>
      <c r="I470" s="1">
        <f>IF(B470="", "", "human")</f>
        <v>0</v>
      </c>
      <c r="K470" s="1">
        <f>IF(B470="", "", "cm")</f>
        <v>0</v>
      </c>
      <c r="L470" s="1">
        <f>IF(B470="", "", "Homo sapiens")</f>
        <v>0</v>
      </c>
      <c r="M470" s="1">
        <f>IF(B470="", "", "9606")</f>
        <v>0</v>
      </c>
      <c r="O470" s="1">
        <f>IF(B470="", "", "kg")</f>
        <v>0</v>
      </c>
    </row>
    <row r="471" spans="1:15">
      <c r="A471">
        <f>IF(COUNTBLANK(B471:Q471)&lt;&gt;COLUMNS(B471:Q471),470,"")</f>
        <v>0</v>
      </c>
      <c r="C471" s="1">
        <f>IF(B471="", "", "urban biome")</f>
        <v>0</v>
      </c>
      <c r="D471" s="1">
        <f>IF(B471="", "", "human-associated habitat")</f>
        <v>0</v>
      </c>
      <c r="G471" s="1">
        <f>IF(B471="", "", "years")</f>
        <v>0</v>
      </c>
      <c r="I471" s="1">
        <f>IF(B471="", "", "human")</f>
        <v>0</v>
      </c>
      <c r="K471" s="1">
        <f>IF(B471="", "", "cm")</f>
        <v>0</v>
      </c>
      <c r="L471" s="1">
        <f>IF(B471="", "", "Homo sapiens")</f>
        <v>0</v>
      </c>
      <c r="M471" s="1">
        <f>IF(B471="", "", "9606")</f>
        <v>0</v>
      </c>
      <c r="O471" s="1">
        <f>IF(B471="", "", "kg")</f>
        <v>0</v>
      </c>
    </row>
    <row r="472" spans="1:15">
      <c r="A472">
        <f>IF(COUNTBLANK(B472:Q472)&lt;&gt;COLUMNS(B472:Q472),471,"")</f>
        <v>0</v>
      </c>
      <c r="C472" s="1">
        <f>IF(B472="", "", "urban biome")</f>
        <v>0</v>
      </c>
      <c r="D472" s="1">
        <f>IF(B472="", "", "human-associated habitat")</f>
        <v>0</v>
      </c>
      <c r="G472" s="1">
        <f>IF(B472="", "", "years")</f>
        <v>0</v>
      </c>
      <c r="I472" s="1">
        <f>IF(B472="", "", "human")</f>
        <v>0</v>
      </c>
      <c r="K472" s="1">
        <f>IF(B472="", "", "cm")</f>
        <v>0</v>
      </c>
      <c r="L472" s="1">
        <f>IF(B472="", "", "Homo sapiens")</f>
        <v>0</v>
      </c>
      <c r="M472" s="1">
        <f>IF(B472="", "", "9606")</f>
        <v>0</v>
      </c>
      <c r="O472" s="1">
        <f>IF(B472="", "", "kg")</f>
        <v>0</v>
      </c>
    </row>
    <row r="473" spans="1:15">
      <c r="A473">
        <f>IF(COUNTBLANK(B473:Q473)&lt;&gt;COLUMNS(B473:Q473),472,"")</f>
        <v>0</v>
      </c>
      <c r="C473" s="1">
        <f>IF(B473="", "", "urban biome")</f>
        <v>0</v>
      </c>
      <c r="D473" s="1">
        <f>IF(B473="", "", "human-associated habitat")</f>
        <v>0</v>
      </c>
      <c r="G473" s="1">
        <f>IF(B473="", "", "years")</f>
        <v>0</v>
      </c>
      <c r="I473" s="1">
        <f>IF(B473="", "", "human")</f>
        <v>0</v>
      </c>
      <c r="K473" s="1">
        <f>IF(B473="", "", "cm")</f>
        <v>0</v>
      </c>
      <c r="L473" s="1">
        <f>IF(B473="", "", "Homo sapiens")</f>
        <v>0</v>
      </c>
      <c r="M473" s="1">
        <f>IF(B473="", "", "9606")</f>
        <v>0</v>
      </c>
      <c r="O473" s="1">
        <f>IF(B473="", "", "kg")</f>
        <v>0</v>
      </c>
    </row>
    <row r="474" spans="1:15">
      <c r="A474">
        <f>IF(COUNTBLANK(B474:Q474)&lt;&gt;COLUMNS(B474:Q474),473,"")</f>
        <v>0</v>
      </c>
      <c r="C474" s="1">
        <f>IF(B474="", "", "urban biome")</f>
        <v>0</v>
      </c>
      <c r="D474" s="1">
        <f>IF(B474="", "", "human-associated habitat")</f>
        <v>0</v>
      </c>
      <c r="G474" s="1">
        <f>IF(B474="", "", "years")</f>
        <v>0</v>
      </c>
      <c r="I474" s="1">
        <f>IF(B474="", "", "human")</f>
        <v>0</v>
      </c>
      <c r="K474" s="1">
        <f>IF(B474="", "", "cm")</f>
        <v>0</v>
      </c>
      <c r="L474" s="1">
        <f>IF(B474="", "", "Homo sapiens")</f>
        <v>0</v>
      </c>
      <c r="M474" s="1">
        <f>IF(B474="", "", "9606")</f>
        <v>0</v>
      </c>
      <c r="O474" s="1">
        <f>IF(B474="", "", "kg")</f>
        <v>0</v>
      </c>
    </row>
    <row r="475" spans="1:15">
      <c r="A475">
        <f>IF(COUNTBLANK(B475:Q475)&lt;&gt;COLUMNS(B475:Q475),474,"")</f>
        <v>0</v>
      </c>
      <c r="C475" s="1">
        <f>IF(B475="", "", "urban biome")</f>
        <v>0</v>
      </c>
      <c r="D475" s="1">
        <f>IF(B475="", "", "human-associated habitat")</f>
        <v>0</v>
      </c>
      <c r="G475" s="1">
        <f>IF(B475="", "", "years")</f>
        <v>0</v>
      </c>
      <c r="I475" s="1">
        <f>IF(B475="", "", "human")</f>
        <v>0</v>
      </c>
      <c r="K475" s="1">
        <f>IF(B475="", "", "cm")</f>
        <v>0</v>
      </c>
      <c r="L475" s="1">
        <f>IF(B475="", "", "Homo sapiens")</f>
        <v>0</v>
      </c>
      <c r="M475" s="1">
        <f>IF(B475="", "", "9606")</f>
        <v>0</v>
      </c>
      <c r="O475" s="1">
        <f>IF(B475="", "", "kg")</f>
        <v>0</v>
      </c>
    </row>
    <row r="476" spans="1:15">
      <c r="A476">
        <f>IF(COUNTBLANK(B476:Q476)&lt;&gt;COLUMNS(B476:Q476),475,"")</f>
        <v>0</v>
      </c>
      <c r="C476" s="1">
        <f>IF(B476="", "", "urban biome")</f>
        <v>0</v>
      </c>
      <c r="D476" s="1">
        <f>IF(B476="", "", "human-associated habitat")</f>
        <v>0</v>
      </c>
      <c r="G476" s="1">
        <f>IF(B476="", "", "years")</f>
        <v>0</v>
      </c>
      <c r="I476" s="1">
        <f>IF(B476="", "", "human")</f>
        <v>0</v>
      </c>
      <c r="K476" s="1">
        <f>IF(B476="", "", "cm")</f>
        <v>0</v>
      </c>
      <c r="L476" s="1">
        <f>IF(B476="", "", "Homo sapiens")</f>
        <v>0</v>
      </c>
      <c r="M476" s="1">
        <f>IF(B476="", "", "9606")</f>
        <v>0</v>
      </c>
      <c r="O476" s="1">
        <f>IF(B476="", "", "kg")</f>
        <v>0</v>
      </c>
    </row>
    <row r="477" spans="1:15">
      <c r="A477">
        <f>IF(COUNTBLANK(B477:Q477)&lt;&gt;COLUMNS(B477:Q477),476,"")</f>
        <v>0</v>
      </c>
      <c r="C477" s="1">
        <f>IF(B477="", "", "urban biome")</f>
        <v>0</v>
      </c>
      <c r="D477" s="1">
        <f>IF(B477="", "", "human-associated habitat")</f>
        <v>0</v>
      </c>
      <c r="G477" s="1">
        <f>IF(B477="", "", "years")</f>
        <v>0</v>
      </c>
      <c r="I477" s="1">
        <f>IF(B477="", "", "human")</f>
        <v>0</v>
      </c>
      <c r="K477" s="1">
        <f>IF(B477="", "", "cm")</f>
        <v>0</v>
      </c>
      <c r="L477" s="1">
        <f>IF(B477="", "", "Homo sapiens")</f>
        <v>0</v>
      </c>
      <c r="M477" s="1">
        <f>IF(B477="", "", "9606")</f>
        <v>0</v>
      </c>
      <c r="O477" s="1">
        <f>IF(B477="", "", "kg")</f>
        <v>0</v>
      </c>
    </row>
    <row r="478" spans="1:15">
      <c r="A478">
        <f>IF(COUNTBLANK(B478:Q478)&lt;&gt;COLUMNS(B478:Q478),477,"")</f>
        <v>0</v>
      </c>
      <c r="C478" s="1">
        <f>IF(B478="", "", "urban biome")</f>
        <v>0</v>
      </c>
      <c r="D478" s="1">
        <f>IF(B478="", "", "human-associated habitat")</f>
        <v>0</v>
      </c>
      <c r="G478" s="1">
        <f>IF(B478="", "", "years")</f>
        <v>0</v>
      </c>
      <c r="I478" s="1">
        <f>IF(B478="", "", "human")</f>
        <v>0</v>
      </c>
      <c r="K478" s="1">
        <f>IF(B478="", "", "cm")</f>
        <v>0</v>
      </c>
      <c r="L478" s="1">
        <f>IF(B478="", "", "Homo sapiens")</f>
        <v>0</v>
      </c>
      <c r="M478" s="1">
        <f>IF(B478="", "", "9606")</f>
        <v>0</v>
      </c>
      <c r="O478" s="1">
        <f>IF(B478="", "", "kg")</f>
        <v>0</v>
      </c>
    </row>
    <row r="479" spans="1:15">
      <c r="A479">
        <f>IF(COUNTBLANK(B479:Q479)&lt;&gt;COLUMNS(B479:Q479),478,"")</f>
        <v>0</v>
      </c>
      <c r="C479" s="1">
        <f>IF(B479="", "", "urban biome")</f>
        <v>0</v>
      </c>
      <c r="D479" s="1">
        <f>IF(B479="", "", "human-associated habitat")</f>
        <v>0</v>
      </c>
      <c r="G479" s="1">
        <f>IF(B479="", "", "years")</f>
        <v>0</v>
      </c>
      <c r="I479" s="1">
        <f>IF(B479="", "", "human")</f>
        <v>0</v>
      </c>
      <c r="K479" s="1">
        <f>IF(B479="", "", "cm")</f>
        <v>0</v>
      </c>
      <c r="L479" s="1">
        <f>IF(B479="", "", "Homo sapiens")</f>
        <v>0</v>
      </c>
      <c r="M479" s="1">
        <f>IF(B479="", "", "9606")</f>
        <v>0</v>
      </c>
      <c r="O479" s="1">
        <f>IF(B479="", "", "kg")</f>
        <v>0</v>
      </c>
    </row>
    <row r="480" spans="1:15">
      <c r="A480">
        <f>IF(COUNTBLANK(B480:Q480)&lt;&gt;COLUMNS(B480:Q480),479,"")</f>
        <v>0</v>
      </c>
      <c r="C480" s="1">
        <f>IF(B480="", "", "urban biome")</f>
        <v>0</v>
      </c>
      <c r="D480" s="1">
        <f>IF(B480="", "", "human-associated habitat")</f>
        <v>0</v>
      </c>
      <c r="G480" s="1">
        <f>IF(B480="", "", "years")</f>
        <v>0</v>
      </c>
      <c r="I480" s="1">
        <f>IF(B480="", "", "human")</f>
        <v>0</v>
      </c>
      <c r="K480" s="1">
        <f>IF(B480="", "", "cm")</f>
        <v>0</v>
      </c>
      <c r="L480" s="1">
        <f>IF(B480="", "", "Homo sapiens")</f>
        <v>0</v>
      </c>
      <c r="M480" s="1">
        <f>IF(B480="", "", "9606")</f>
        <v>0</v>
      </c>
      <c r="O480" s="1">
        <f>IF(B480="", "", "kg")</f>
        <v>0</v>
      </c>
    </row>
    <row r="481" spans="1:15">
      <c r="A481">
        <f>IF(COUNTBLANK(B481:Q481)&lt;&gt;COLUMNS(B481:Q481),480,"")</f>
        <v>0</v>
      </c>
      <c r="C481" s="1">
        <f>IF(B481="", "", "urban biome")</f>
        <v>0</v>
      </c>
      <c r="D481" s="1">
        <f>IF(B481="", "", "human-associated habitat")</f>
        <v>0</v>
      </c>
      <c r="G481" s="1">
        <f>IF(B481="", "", "years")</f>
        <v>0</v>
      </c>
      <c r="I481" s="1">
        <f>IF(B481="", "", "human")</f>
        <v>0</v>
      </c>
      <c r="K481" s="1">
        <f>IF(B481="", "", "cm")</f>
        <v>0</v>
      </c>
      <c r="L481" s="1">
        <f>IF(B481="", "", "Homo sapiens")</f>
        <v>0</v>
      </c>
      <c r="M481" s="1">
        <f>IF(B481="", "", "9606")</f>
        <v>0</v>
      </c>
      <c r="O481" s="1">
        <f>IF(B481="", "", "kg")</f>
        <v>0</v>
      </c>
    </row>
    <row r="482" spans="1:15">
      <c r="A482">
        <f>IF(COUNTBLANK(B482:Q482)&lt;&gt;COLUMNS(B482:Q482),481,"")</f>
        <v>0</v>
      </c>
      <c r="C482" s="1">
        <f>IF(B482="", "", "urban biome")</f>
        <v>0</v>
      </c>
      <c r="D482" s="1">
        <f>IF(B482="", "", "human-associated habitat")</f>
        <v>0</v>
      </c>
      <c r="G482" s="1">
        <f>IF(B482="", "", "years")</f>
        <v>0</v>
      </c>
      <c r="I482" s="1">
        <f>IF(B482="", "", "human")</f>
        <v>0</v>
      </c>
      <c r="K482" s="1">
        <f>IF(B482="", "", "cm")</f>
        <v>0</v>
      </c>
      <c r="L482" s="1">
        <f>IF(B482="", "", "Homo sapiens")</f>
        <v>0</v>
      </c>
      <c r="M482" s="1">
        <f>IF(B482="", "", "9606")</f>
        <v>0</v>
      </c>
      <c r="O482" s="1">
        <f>IF(B482="", "", "kg")</f>
        <v>0</v>
      </c>
    </row>
    <row r="483" spans="1:15">
      <c r="A483">
        <f>IF(COUNTBLANK(B483:Q483)&lt;&gt;COLUMNS(B483:Q483),482,"")</f>
        <v>0</v>
      </c>
      <c r="C483" s="1">
        <f>IF(B483="", "", "urban biome")</f>
        <v>0</v>
      </c>
      <c r="D483" s="1">
        <f>IF(B483="", "", "human-associated habitat")</f>
        <v>0</v>
      </c>
      <c r="G483" s="1">
        <f>IF(B483="", "", "years")</f>
        <v>0</v>
      </c>
      <c r="I483" s="1">
        <f>IF(B483="", "", "human")</f>
        <v>0</v>
      </c>
      <c r="K483" s="1">
        <f>IF(B483="", "", "cm")</f>
        <v>0</v>
      </c>
      <c r="L483" s="1">
        <f>IF(B483="", "", "Homo sapiens")</f>
        <v>0</v>
      </c>
      <c r="M483" s="1">
        <f>IF(B483="", "", "9606")</f>
        <v>0</v>
      </c>
      <c r="O483" s="1">
        <f>IF(B483="", "", "kg")</f>
        <v>0</v>
      </c>
    </row>
    <row r="484" spans="1:15">
      <c r="A484">
        <f>IF(COUNTBLANK(B484:Q484)&lt;&gt;COLUMNS(B484:Q484),483,"")</f>
        <v>0</v>
      </c>
      <c r="C484" s="1">
        <f>IF(B484="", "", "urban biome")</f>
        <v>0</v>
      </c>
      <c r="D484" s="1">
        <f>IF(B484="", "", "human-associated habitat")</f>
        <v>0</v>
      </c>
      <c r="G484" s="1">
        <f>IF(B484="", "", "years")</f>
        <v>0</v>
      </c>
      <c r="I484" s="1">
        <f>IF(B484="", "", "human")</f>
        <v>0</v>
      </c>
      <c r="K484" s="1">
        <f>IF(B484="", "", "cm")</f>
        <v>0</v>
      </c>
      <c r="L484" s="1">
        <f>IF(B484="", "", "Homo sapiens")</f>
        <v>0</v>
      </c>
      <c r="M484" s="1">
        <f>IF(B484="", "", "9606")</f>
        <v>0</v>
      </c>
      <c r="O484" s="1">
        <f>IF(B484="", "", "kg")</f>
        <v>0</v>
      </c>
    </row>
    <row r="485" spans="1:15">
      <c r="A485">
        <f>IF(COUNTBLANK(B485:Q485)&lt;&gt;COLUMNS(B485:Q485),484,"")</f>
        <v>0</v>
      </c>
      <c r="C485" s="1">
        <f>IF(B485="", "", "urban biome")</f>
        <v>0</v>
      </c>
      <c r="D485" s="1">
        <f>IF(B485="", "", "human-associated habitat")</f>
        <v>0</v>
      </c>
      <c r="G485" s="1">
        <f>IF(B485="", "", "years")</f>
        <v>0</v>
      </c>
      <c r="I485" s="1">
        <f>IF(B485="", "", "human")</f>
        <v>0</v>
      </c>
      <c r="K485" s="1">
        <f>IF(B485="", "", "cm")</f>
        <v>0</v>
      </c>
      <c r="L485" s="1">
        <f>IF(B485="", "", "Homo sapiens")</f>
        <v>0</v>
      </c>
      <c r="M485" s="1">
        <f>IF(B485="", "", "9606")</f>
        <v>0</v>
      </c>
      <c r="O485" s="1">
        <f>IF(B485="", "", "kg")</f>
        <v>0</v>
      </c>
    </row>
    <row r="486" spans="1:15">
      <c r="A486">
        <f>IF(COUNTBLANK(B486:Q486)&lt;&gt;COLUMNS(B486:Q486),485,"")</f>
        <v>0</v>
      </c>
      <c r="C486" s="1">
        <f>IF(B486="", "", "urban biome")</f>
        <v>0</v>
      </c>
      <c r="D486" s="1">
        <f>IF(B486="", "", "human-associated habitat")</f>
        <v>0</v>
      </c>
      <c r="G486" s="1">
        <f>IF(B486="", "", "years")</f>
        <v>0</v>
      </c>
      <c r="I486" s="1">
        <f>IF(B486="", "", "human")</f>
        <v>0</v>
      </c>
      <c r="K486" s="1">
        <f>IF(B486="", "", "cm")</f>
        <v>0</v>
      </c>
      <c r="L486" s="1">
        <f>IF(B486="", "", "Homo sapiens")</f>
        <v>0</v>
      </c>
      <c r="M486" s="1">
        <f>IF(B486="", "", "9606")</f>
        <v>0</v>
      </c>
      <c r="O486" s="1">
        <f>IF(B486="", "", "kg")</f>
        <v>0</v>
      </c>
    </row>
    <row r="487" spans="1:15">
      <c r="A487">
        <f>IF(COUNTBLANK(B487:Q487)&lt;&gt;COLUMNS(B487:Q487),486,"")</f>
        <v>0</v>
      </c>
      <c r="C487" s="1">
        <f>IF(B487="", "", "urban biome")</f>
        <v>0</v>
      </c>
      <c r="D487" s="1">
        <f>IF(B487="", "", "human-associated habitat")</f>
        <v>0</v>
      </c>
      <c r="G487" s="1">
        <f>IF(B487="", "", "years")</f>
        <v>0</v>
      </c>
      <c r="I487" s="1">
        <f>IF(B487="", "", "human")</f>
        <v>0</v>
      </c>
      <c r="K487" s="1">
        <f>IF(B487="", "", "cm")</f>
        <v>0</v>
      </c>
      <c r="L487" s="1">
        <f>IF(B487="", "", "Homo sapiens")</f>
        <v>0</v>
      </c>
      <c r="M487" s="1">
        <f>IF(B487="", "", "9606")</f>
        <v>0</v>
      </c>
      <c r="O487" s="1">
        <f>IF(B487="", "", "kg")</f>
        <v>0</v>
      </c>
    </row>
    <row r="488" spans="1:15">
      <c r="A488">
        <f>IF(COUNTBLANK(B488:Q488)&lt;&gt;COLUMNS(B488:Q488),487,"")</f>
        <v>0</v>
      </c>
      <c r="C488" s="1">
        <f>IF(B488="", "", "urban biome")</f>
        <v>0</v>
      </c>
      <c r="D488" s="1">
        <f>IF(B488="", "", "human-associated habitat")</f>
        <v>0</v>
      </c>
      <c r="G488" s="1">
        <f>IF(B488="", "", "years")</f>
        <v>0</v>
      </c>
      <c r="I488" s="1">
        <f>IF(B488="", "", "human")</f>
        <v>0</v>
      </c>
      <c r="K488" s="1">
        <f>IF(B488="", "", "cm")</f>
        <v>0</v>
      </c>
      <c r="L488" s="1">
        <f>IF(B488="", "", "Homo sapiens")</f>
        <v>0</v>
      </c>
      <c r="M488" s="1">
        <f>IF(B488="", "", "9606")</f>
        <v>0</v>
      </c>
      <c r="O488" s="1">
        <f>IF(B488="", "", "kg")</f>
        <v>0</v>
      </c>
    </row>
    <row r="489" spans="1:15">
      <c r="A489">
        <f>IF(COUNTBLANK(B489:Q489)&lt;&gt;COLUMNS(B489:Q489),488,"")</f>
        <v>0</v>
      </c>
      <c r="C489" s="1">
        <f>IF(B489="", "", "urban biome")</f>
        <v>0</v>
      </c>
      <c r="D489" s="1">
        <f>IF(B489="", "", "human-associated habitat")</f>
        <v>0</v>
      </c>
      <c r="G489" s="1">
        <f>IF(B489="", "", "years")</f>
        <v>0</v>
      </c>
      <c r="I489" s="1">
        <f>IF(B489="", "", "human")</f>
        <v>0</v>
      </c>
      <c r="K489" s="1">
        <f>IF(B489="", "", "cm")</f>
        <v>0</v>
      </c>
      <c r="L489" s="1">
        <f>IF(B489="", "", "Homo sapiens")</f>
        <v>0</v>
      </c>
      <c r="M489" s="1">
        <f>IF(B489="", "", "9606")</f>
        <v>0</v>
      </c>
      <c r="O489" s="1">
        <f>IF(B489="", "", "kg")</f>
        <v>0</v>
      </c>
    </row>
    <row r="490" spans="1:15">
      <c r="A490">
        <f>IF(COUNTBLANK(B490:Q490)&lt;&gt;COLUMNS(B490:Q490),489,"")</f>
        <v>0</v>
      </c>
      <c r="C490" s="1">
        <f>IF(B490="", "", "urban biome")</f>
        <v>0</v>
      </c>
      <c r="D490" s="1">
        <f>IF(B490="", "", "human-associated habitat")</f>
        <v>0</v>
      </c>
      <c r="G490" s="1">
        <f>IF(B490="", "", "years")</f>
        <v>0</v>
      </c>
      <c r="I490" s="1">
        <f>IF(B490="", "", "human")</f>
        <v>0</v>
      </c>
      <c r="K490" s="1">
        <f>IF(B490="", "", "cm")</f>
        <v>0</v>
      </c>
      <c r="L490" s="1">
        <f>IF(B490="", "", "Homo sapiens")</f>
        <v>0</v>
      </c>
      <c r="M490" s="1">
        <f>IF(B490="", "", "9606")</f>
        <v>0</v>
      </c>
      <c r="O490" s="1">
        <f>IF(B490="", "", "kg")</f>
        <v>0</v>
      </c>
    </row>
    <row r="491" spans="1:15">
      <c r="A491">
        <f>IF(COUNTBLANK(B491:Q491)&lt;&gt;COLUMNS(B491:Q491),490,"")</f>
        <v>0</v>
      </c>
      <c r="C491" s="1">
        <f>IF(B491="", "", "urban biome")</f>
        <v>0</v>
      </c>
      <c r="D491" s="1">
        <f>IF(B491="", "", "human-associated habitat")</f>
        <v>0</v>
      </c>
      <c r="G491" s="1">
        <f>IF(B491="", "", "years")</f>
        <v>0</v>
      </c>
      <c r="I491" s="1">
        <f>IF(B491="", "", "human")</f>
        <v>0</v>
      </c>
      <c r="K491" s="1">
        <f>IF(B491="", "", "cm")</f>
        <v>0</v>
      </c>
      <c r="L491" s="1">
        <f>IF(B491="", "", "Homo sapiens")</f>
        <v>0</v>
      </c>
      <c r="M491" s="1">
        <f>IF(B491="", "", "9606")</f>
        <v>0</v>
      </c>
      <c r="O491" s="1">
        <f>IF(B491="", "", "kg")</f>
        <v>0</v>
      </c>
    </row>
    <row r="492" spans="1:15">
      <c r="A492">
        <f>IF(COUNTBLANK(B492:Q492)&lt;&gt;COLUMNS(B492:Q492),491,"")</f>
        <v>0</v>
      </c>
      <c r="C492" s="1">
        <f>IF(B492="", "", "urban biome")</f>
        <v>0</v>
      </c>
      <c r="D492" s="1">
        <f>IF(B492="", "", "human-associated habitat")</f>
        <v>0</v>
      </c>
      <c r="G492" s="1">
        <f>IF(B492="", "", "years")</f>
        <v>0</v>
      </c>
      <c r="I492" s="1">
        <f>IF(B492="", "", "human")</f>
        <v>0</v>
      </c>
      <c r="K492" s="1">
        <f>IF(B492="", "", "cm")</f>
        <v>0</v>
      </c>
      <c r="L492" s="1">
        <f>IF(B492="", "", "Homo sapiens")</f>
        <v>0</v>
      </c>
      <c r="M492" s="1">
        <f>IF(B492="", "", "9606")</f>
        <v>0</v>
      </c>
      <c r="O492" s="1">
        <f>IF(B492="", "", "kg")</f>
        <v>0</v>
      </c>
    </row>
    <row r="493" spans="1:15">
      <c r="A493">
        <f>IF(COUNTBLANK(B493:Q493)&lt;&gt;COLUMNS(B493:Q493),492,"")</f>
        <v>0</v>
      </c>
      <c r="C493" s="1">
        <f>IF(B493="", "", "urban biome")</f>
        <v>0</v>
      </c>
      <c r="D493" s="1">
        <f>IF(B493="", "", "human-associated habitat")</f>
        <v>0</v>
      </c>
      <c r="G493" s="1">
        <f>IF(B493="", "", "years")</f>
        <v>0</v>
      </c>
      <c r="I493" s="1">
        <f>IF(B493="", "", "human")</f>
        <v>0</v>
      </c>
      <c r="K493" s="1">
        <f>IF(B493="", "", "cm")</f>
        <v>0</v>
      </c>
      <c r="L493" s="1">
        <f>IF(B493="", "", "Homo sapiens")</f>
        <v>0</v>
      </c>
      <c r="M493" s="1">
        <f>IF(B493="", "", "9606")</f>
        <v>0</v>
      </c>
      <c r="O493" s="1">
        <f>IF(B493="", "", "kg")</f>
        <v>0</v>
      </c>
    </row>
    <row r="494" spans="1:15">
      <c r="A494">
        <f>IF(COUNTBLANK(B494:Q494)&lt;&gt;COLUMNS(B494:Q494),493,"")</f>
        <v>0</v>
      </c>
      <c r="C494" s="1">
        <f>IF(B494="", "", "urban biome")</f>
        <v>0</v>
      </c>
      <c r="D494" s="1">
        <f>IF(B494="", "", "human-associated habitat")</f>
        <v>0</v>
      </c>
      <c r="G494" s="1">
        <f>IF(B494="", "", "years")</f>
        <v>0</v>
      </c>
      <c r="I494" s="1">
        <f>IF(B494="", "", "human")</f>
        <v>0</v>
      </c>
      <c r="K494" s="1">
        <f>IF(B494="", "", "cm")</f>
        <v>0</v>
      </c>
      <c r="L494" s="1">
        <f>IF(B494="", "", "Homo sapiens")</f>
        <v>0</v>
      </c>
      <c r="M494" s="1">
        <f>IF(B494="", "", "9606")</f>
        <v>0</v>
      </c>
      <c r="O494" s="1">
        <f>IF(B494="", "", "kg")</f>
        <v>0</v>
      </c>
    </row>
    <row r="495" spans="1:15">
      <c r="A495">
        <f>IF(COUNTBLANK(B495:Q495)&lt;&gt;COLUMNS(B495:Q495),494,"")</f>
        <v>0</v>
      </c>
      <c r="C495" s="1">
        <f>IF(B495="", "", "urban biome")</f>
        <v>0</v>
      </c>
      <c r="D495" s="1">
        <f>IF(B495="", "", "human-associated habitat")</f>
        <v>0</v>
      </c>
      <c r="G495" s="1">
        <f>IF(B495="", "", "years")</f>
        <v>0</v>
      </c>
      <c r="I495" s="1">
        <f>IF(B495="", "", "human")</f>
        <v>0</v>
      </c>
      <c r="K495" s="1">
        <f>IF(B495="", "", "cm")</f>
        <v>0</v>
      </c>
      <c r="L495" s="1">
        <f>IF(B495="", "", "Homo sapiens")</f>
        <v>0</v>
      </c>
      <c r="M495" s="1">
        <f>IF(B495="", "", "9606")</f>
        <v>0</v>
      </c>
      <c r="O495" s="1">
        <f>IF(B495="", "", "kg")</f>
        <v>0</v>
      </c>
    </row>
    <row r="496" spans="1:15">
      <c r="A496">
        <f>IF(COUNTBLANK(B496:Q496)&lt;&gt;COLUMNS(B496:Q496),495,"")</f>
        <v>0</v>
      </c>
      <c r="C496" s="1">
        <f>IF(B496="", "", "urban biome")</f>
        <v>0</v>
      </c>
      <c r="D496" s="1">
        <f>IF(B496="", "", "human-associated habitat")</f>
        <v>0</v>
      </c>
      <c r="G496" s="1">
        <f>IF(B496="", "", "years")</f>
        <v>0</v>
      </c>
      <c r="I496" s="1">
        <f>IF(B496="", "", "human")</f>
        <v>0</v>
      </c>
      <c r="K496" s="1">
        <f>IF(B496="", "", "cm")</f>
        <v>0</v>
      </c>
      <c r="L496" s="1">
        <f>IF(B496="", "", "Homo sapiens")</f>
        <v>0</v>
      </c>
      <c r="M496" s="1">
        <f>IF(B496="", "", "9606")</f>
        <v>0</v>
      </c>
      <c r="O496" s="1">
        <f>IF(B496="", "", "kg")</f>
        <v>0</v>
      </c>
    </row>
    <row r="497" spans="1:15">
      <c r="A497">
        <f>IF(COUNTBLANK(B497:Q497)&lt;&gt;COLUMNS(B497:Q497),496,"")</f>
        <v>0</v>
      </c>
      <c r="C497" s="1">
        <f>IF(B497="", "", "urban biome")</f>
        <v>0</v>
      </c>
      <c r="D497" s="1">
        <f>IF(B497="", "", "human-associated habitat")</f>
        <v>0</v>
      </c>
      <c r="G497" s="1">
        <f>IF(B497="", "", "years")</f>
        <v>0</v>
      </c>
      <c r="I497" s="1">
        <f>IF(B497="", "", "human")</f>
        <v>0</v>
      </c>
      <c r="K497" s="1">
        <f>IF(B497="", "", "cm")</f>
        <v>0</v>
      </c>
      <c r="L497" s="1">
        <f>IF(B497="", "", "Homo sapiens")</f>
        <v>0</v>
      </c>
      <c r="M497" s="1">
        <f>IF(B497="", "", "9606")</f>
        <v>0</v>
      </c>
      <c r="O497" s="1">
        <f>IF(B497="", "", "kg")</f>
        <v>0</v>
      </c>
    </row>
    <row r="498" spans="1:15">
      <c r="A498">
        <f>IF(COUNTBLANK(B498:Q498)&lt;&gt;COLUMNS(B498:Q498),497,"")</f>
        <v>0</v>
      </c>
      <c r="C498" s="1">
        <f>IF(B498="", "", "urban biome")</f>
        <v>0</v>
      </c>
      <c r="D498" s="1">
        <f>IF(B498="", "", "human-associated habitat")</f>
        <v>0</v>
      </c>
      <c r="G498" s="1">
        <f>IF(B498="", "", "years")</f>
        <v>0</v>
      </c>
      <c r="I498" s="1">
        <f>IF(B498="", "", "human")</f>
        <v>0</v>
      </c>
      <c r="K498" s="1">
        <f>IF(B498="", "", "cm")</f>
        <v>0</v>
      </c>
      <c r="L498" s="1">
        <f>IF(B498="", "", "Homo sapiens")</f>
        <v>0</v>
      </c>
      <c r="M498" s="1">
        <f>IF(B498="", "", "9606")</f>
        <v>0</v>
      </c>
      <c r="O498" s="1">
        <f>IF(B498="", "", "kg")</f>
        <v>0</v>
      </c>
    </row>
    <row r="499" spans="1:15">
      <c r="A499">
        <f>IF(COUNTBLANK(B499:Q499)&lt;&gt;COLUMNS(B499:Q499),498,"")</f>
        <v>0</v>
      </c>
      <c r="C499" s="1">
        <f>IF(B499="", "", "urban biome")</f>
        <v>0</v>
      </c>
      <c r="D499" s="1">
        <f>IF(B499="", "", "human-associated habitat")</f>
        <v>0</v>
      </c>
      <c r="G499" s="1">
        <f>IF(B499="", "", "years")</f>
        <v>0</v>
      </c>
      <c r="I499" s="1">
        <f>IF(B499="", "", "human")</f>
        <v>0</v>
      </c>
      <c r="K499" s="1">
        <f>IF(B499="", "", "cm")</f>
        <v>0</v>
      </c>
      <c r="L499" s="1">
        <f>IF(B499="", "", "Homo sapiens")</f>
        <v>0</v>
      </c>
      <c r="M499" s="1">
        <f>IF(B499="", "", "9606")</f>
        <v>0</v>
      </c>
      <c r="O499" s="1">
        <f>IF(B499="", "", "kg")</f>
        <v>0</v>
      </c>
    </row>
    <row r="500" spans="1:15">
      <c r="A500">
        <f>IF(COUNTBLANK(B500:Q500)&lt;&gt;COLUMNS(B500:Q500),499,"")</f>
        <v>0</v>
      </c>
      <c r="C500" s="1">
        <f>IF(B500="", "", "urban biome")</f>
        <v>0</v>
      </c>
      <c r="D500" s="1">
        <f>IF(B500="", "", "human-associated habitat")</f>
        <v>0</v>
      </c>
      <c r="G500" s="1">
        <f>IF(B500="", "", "years")</f>
        <v>0</v>
      </c>
      <c r="I500" s="1">
        <f>IF(B500="", "", "human")</f>
        <v>0</v>
      </c>
      <c r="K500" s="1">
        <f>IF(B500="", "", "cm")</f>
        <v>0</v>
      </c>
      <c r="L500" s="1">
        <f>IF(B500="", "", "Homo sapiens")</f>
        <v>0</v>
      </c>
      <c r="M500" s="1">
        <f>IF(B500="", "", "9606")</f>
        <v>0</v>
      </c>
      <c r="O500" s="1">
        <f>IF(B500="", "", "kg")</f>
        <v>0</v>
      </c>
    </row>
    <row r="501" spans="1:15">
      <c r="A501">
        <f>IF(COUNTBLANK(B501:Q501)&lt;&gt;COLUMNS(B501:Q501),500,"")</f>
        <v>0</v>
      </c>
      <c r="C501" s="1">
        <f>IF(B501="", "", "urban biome")</f>
        <v>0</v>
      </c>
      <c r="D501" s="1">
        <f>IF(B501="", "", "human-associated habitat")</f>
        <v>0</v>
      </c>
      <c r="G501" s="1">
        <f>IF(B501="", "", "years")</f>
        <v>0</v>
      </c>
      <c r="I501" s="1">
        <f>IF(B501="", "", "human")</f>
        <v>0</v>
      </c>
      <c r="K501" s="1">
        <f>IF(B501="", "", "cm")</f>
        <v>0</v>
      </c>
      <c r="L501" s="1">
        <f>IF(B501="", "", "Homo sapiens")</f>
        <v>0</v>
      </c>
      <c r="M501" s="1">
        <f>IF(B501="", "", "9606")</f>
        <v>0</v>
      </c>
      <c r="O501" s="1">
        <f>IF(B501="", "", "kg")</f>
        <v>0</v>
      </c>
    </row>
    <row r="502" spans="1:15">
      <c r="A502">
        <f>IF(COUNTBLANK(B502:Q502)&lt;&gt;COLUMNS(B502:Q502),501,"")</f>
        <v>0</v>
      </c>
      <c r="C502" s="1">
        <f>IF(B502="", "", "urban biome")</f>
        <v>0</v>
      </c>
      <c r="D502" s="1">
        <f>IF(B502="", "", "human-associated habitat")</f>
        <v>0</v>
      </c>
      <c r="G502" s="1">
        <f>IF(B502="", "", "years")</f>
        <v>0</v>
      </c>
      <c r="I502" s="1">
        <f>IF(B502="", "", "human")</f>
        <v>0</v>
      </c>
      <c r="K502" s="1">
        <f>IF(B502="", "", "cm")</f>
        <v>0</v>
      </c>
      <c r="L502" s="1">
        <f>IF(B502="", "", "Homo sapiens")</f>
        <v>0</v>
      </c>
      <c r="M502" s="1">
        <f>IF(B502="", "", "9606")</f>
        <v>0</v>
      </c>
      <c r="O502" s="1">
        <f>IF(B502="", "", "kg")</f>
        <v>0</v>
      </c>
    </row>
    <row r="503" spans="1:15">
      <c r="A503">
        <f>IF(COUNTBLANK(B503:Q503)&lt;&gt;COLUMNS(B503:Q503),502,"")</f>
        <v>0</v>
      </c>
      <c r="C503" s="1">
        <f>IF(B503="", "", "urban biome")</f>
        <v>0</v>
      </c>
      <c r="D503" s="1">
        <f>IF(B503="", "", "human-associated habitat")</f>
        <v>0</v>
      </c>
      <c r="G503" s="1">
        <f>IF(B503="", "", "years")</f>
        <v>0</v>
      </c>
      <c r="I503" s="1">
        <f>IF(B503="", "", "human")</f>
        <v>0</v>
      </c>
      <c r="K503" s="1">
        <f>IF(B503="", "", "cm")</f>
        <v>0</v>
      </c>
      <c r="L503" s="1">
        <f>IF(B503="", "", "Homo sapiens")</f>
        <v>0</v>
      </c>
      <c r="M503" s="1">
        <f>IF(B503="", "", "9606")</f>
        <v>0</v>
      </c>
      <c r="O503" s="1">
        <f>IF(B503="", "", "kg")</f>
        <v>0</v>
      </c>
    </row>
    <row r="504" spans="1:15">
      <c r="A504">
        <f>IF(COUNTBLANK(B504:Q504)&lt;&gt;COLUMNS(B504:Q504),503,"")</f>
        <v>0</v>
      </c>
      <c r="C504" s="1">
        <f>IF(B504="", "", "urban biome")</f>
        <v>0</v>
      </c>
      <c r="D504" s="1">
        <f>IF(B504="", "", "human-associated habitat")</f>
        <v>0</v>
      </c>
      <c r="G504" s="1">
        <f>IF(B504="", "", "years")</f>
        <v>0</v>
      </c>
      <c r="I504" s="1">
        <f>IF(B504="", "", "human")</f>
        <v>0</v>
      </c>
      <c r="K504" s="1">
        <f>IF(B504="", "", "cm")</f>
        <v>0</v>
      </c>
      <c r="L504" s="1">
        <f>IF(B504="", "", "Homo sapiens")</f>
        <v>0</v>
      </c>
      <c r="M504" s="1">
        <f>IF(B504="", "", "9606")</f>
        <v>0</v>
      </c>
      <c r="O504" s="1">
        <f>IF(B504="", "", "kg")</f>
        <v>0</v>
      </c>
    </row>
    <row r="505" spans="1:15">
      <c r="A505">
        <f>IF(COUNTBLANK(B505:Q505)&lt;&gt;COLUMNS(B505:Q505),504,"")</f>
        <v>0</v>
      </c>
      <c r="C505" s="1">
        <f>IF(B505="", "", "urban biome")</f>
        <v>0</v>
      </c>
      <c r="D505" s="1">
        <f>IF(B505="", "", "human-associated habitat")</f>
        <v>0</v>
      </c>
      <c r="G505" s="1">
        <f>IF(B505="", "", "years")</f>
        <v>0</v>
      </c>
      <c r="I505" s="1">
        <f>IF(B505="", "", "human")</f>
        <v>0</v>
      </c>
      <c r="K505" s="1">
        <f>IF(B505="", "", "cm")</f>
        <v>0</v>
      </c>
      <c r="L505" s="1">
        <f>IF(B505="", "", "Homo sapiens")</f>
        <v>0</v>
      </c>
      <c r="M505" s="1">
        <f>IF(B505="", "", "9606")</f>
        <v>0</v>
      </c>
      <c r="O505" s="1">
        <f>IF(B505="", "", "kg")</f>
        <v>0</v>
      </c>
    </row>
    <row r="506" spans="1:15">
      <c r="A506">
        <f>IF(COUNTBLANK(B506:Q506)&lt;&gt;COLUMNS(B506:Q506),505,"")</f>
        <v>0</v>
      </c>
      <c r="C506" s="1">
        <f>IF(B506="", "", "urban biome")</f>
        <v>0</v>
      </c>
      <c r="D506" s="1">
        <f>IF(B506="", "", "human-associated habitat")</f>
        <v>0</v>
      </c>
      <c r="G506" s="1">
        <f>IF(B506="", "", "years")</f>
        <v>0</v>
      </c>
      <c r="I506" s="1">
        <f>IF(B506="", "", "human")</f>
        <v>0</v>
      </c>
      <c r="K506" s="1">
        <f>IF(B506="", "", "cm")</f>
        <v>0</v>
      </c>
      <c r="L506" s="1">
        <f>IF(B506="", "", "Homo sapiens")</f>
        <v>0</v>
      </c>
      <c r="M506" s="1">
        <f>IF(B506="", "", "9606")</f>
        <v>0</v>
      </c>
      <c r="O506" s="1">
        <f>IF(B506="", "", "kg")</f>
        <v>0</v>
      </c>
    </row>
    <row r="507" spans="1:15">
      <c r="A507">
        <f>IF(COUNTBLANK(B507:Q507)&lt;&gt;COLUMNS(B507:Q507),506,"")</f>
        <v>0</v>
      </c>
      <c r="C507" s="1">
        <f>IF(B507="", "", "urban biome")</f>
        <v>0</v>
      </c>
      <c r="D507" s="1">
        <f>IF(B507="", "", "human-associated habitat")</f>
        <v>0</v>
      </c>
      <c r="G507" s="1">
        <f>IF(B507="", "", "years")</f>
        <v>0</v>
      </c>
      <c r="I507" s="1">
        <f>IF(B507="", "", "human")</f>
        <v>0</v>
      </c>
      <c r="K507" s="1">
        <f>IF(B507="", "", "cm")</f>
        <v>0</v>
      </c>
      <c r="L507" s="1">
        <f>IF(B507="", "", "Homo sapiens")</f>
        <v>0</v>
      </c>
      <c r="M507" s="1">
        <f>IF(B507="", "", "9606")</f>
        <v>0</v>
      </c>
      <c r="O507" s="1">
        <f>IF(B507="", "", "kg")</f>
        <v>0</v>
      </c>
    </row>
    <row r="508" spans="1:15">
      <c r="A508">
        <f>IF(COUNTBLANK(B508:Q508)&lt;&gt;COLUMNS(B508:Q508),507,"")</f>
        <v>0</v>
      </c>
      <c r="C508" s="1">
        <f>IF(B508="", "", "urban biome")</f>
        <v>0</v>
      </c>
      <c r="D508" s="1">
        <f>IF(B508="", "", "human-associated habitat")</f>
        <v>0</v>
      </c>
      <c r="G508" s="1">
        <f>IF(B508="", "", "years")</f>
        <v>0</v>
      </c>
      <c r="I508" s="1">
        <f>IF(B508="", "", "human")</f>
        <v>0</v>
      </c>
      <c r="K508" s="1">
        <f>IF(B508="", "", "cm")</f>
        <v>0</v>
      </c>
      <c r="L508" s="1">
        <f>IF(B508="", "", "Homo sapiens")</f>
        <v>0</v>
      </c>
      <c r="M508" s="1">
        <f>IF(B508="", "", "9606")</f>
        <v>0</v>
      </c>
      <c r="O508" s="1">
        <f>IF(B508="", "", "kg")</f>
        <v>0</v>
      </c>
    </row>
    <row r="509" spans="1:15">
      <c r="A509">
        <f>IF(COUNTBLANK(B509:Q509)&lt;&gt;COLUMNS(B509:Q509),508,"")</f>
        <v>0</v>
      </c>
      <c r="C509" s="1">
        <f>IF(B509="", "", "urban biome")</f>
        <v>0</v>
      </c>
      <c r="D509" s="1">
        <f>IF(B509="", "", "human-associated habitat")</f>
        <v>0</v>
      </c>
      <c r="G509" s="1">
        <f>IF(B509="", "", "years")</f>
        <v>0</v>
      </c>
      <c r="I509" s="1">
        <f>IF(B509="", "", "human")</f>
        <v>0</v>
      </c>
      <c r="K509" s="1">
        <f>IF(B509="", "", "cm")</f>
        <v>0</v>
      </c>
      <c r="L509" s="1">
        <f>IF(B509="", "", "Homo sapiens")</f>
        <v>0</v>
      </c>
      <c r="M509" s="1">
        <f>IF(B509="", "", "9606")</f>
        <v>0</v>
      </c>
      <c r="O509" s="1">
        <f>IF(B509="", "", "kg")</f>
        <v>0</v>
      </c>
    </row>
    <row r="510" spans="1:15">
      <c r="A510">
        <f>IF(COUNTBLANK(B510:Q510)&lt;&gt;COLUMNS(B510:Q510),509,"")</f>
        <v>0</v>
      </c>
      <c r="C510" s="1">
        <f>IF(B510="", "", "urban biome")</f>
        <v>0</v>
      </c>
      <c r="D510" s="1">
        <f>IF(B510="", "", "human-associated habitat")</f>
        <v>0</v>
      </c>
      <c r="G510" s="1">
        <f>IF(B510="", "", "years")</f>
        <v>0</v>
      </c>
      <c r="I510" s="1">
        <f>IF(B510="", "", "human")</f>
        <v>0</v>
      </c>
      <c r="K510" s="1">
        <f>IF(B510="", "", "cm")</f>
        <v>0</v>
      </c>
      <c r="L510" s="1">
        <f>IF(B510="", "", "Homo sapiens")</f>
        <v>0</v>
      </c>
      <c r="M510" s="1">
        <f>IF(B510="", "", "9606")</f>
        <v>0</v>
      </c>
      <c r="O510" s="1">
        <f>IF(B510="", "", "kg")</f>
        <v>0</v>
      </c>
    </row>
    <row r="511" spans="1:15">
      <c r="A511">
        <f>IF(COUNTBLANK(B511:Q511)&lt;&gt;COLUMNS(B511:Q511),510,"")</f>
        <v>0</v>
      </c>
      <c r="C511" s="1">
        <f>IF(B511="", "", "urban biome")</f>
        <v>0</v>
      </c>
      <c r="D511" s="1">
        <f>IF(B511="", "", "human-associated habitat")</f>
        <v>0</v>
      </c>
      <c r="G511" s="1">
        <f>IF(B511="", "", "years")</f>
        <v>0</v>
      </c>
      <c r="I511" s="1">
        <f>IF(B511="", "", "human")</f>
        <v>0</v>
      </c>
      <c r="K511" s="1">
        <f>IF(B511="", "", "cm")</f>
        <v>0</v>
      </c>
      <c r="L511" s="1">
        <f>IF(B511="", "", "Homo sapiens")</f>
        <v>0</v>
      </c>
      <c r="M511" s="1">
        <f>IF(B511="", "", "9606")</f>
        <v>0</v>
      </c>
      <c r="O511" s="1">
        <f>IF(B511="", "", "kg")</f>
        <v>0</v>
      </c>
    </row>
    <row r="512" spans="1:15">
      <c r="A512">
        <f>IF(COUNTBLANK(B512:Q512)&lt;&gt;COLUMNS(B512:Q512),511,"")</f>
        <v>0</v>
      </c>
      <c r="C512" s="1">
        <f>IF(B512="", "", "urban biome")</f>
        <v>0</v>
      </c>
      <c r="D512" s="1">
        <f>IF(B512="", "", "human-associated habitat")</f>
        <v>0</v>
      </c>
      <c r="G512" s="1">
        <f>IF(B512="", "", "years")</f>
        <v>0</v>
      </c>
      <c r="I512" s="1">
        <f>IF(B512="", "", "human")</f>
        <v>0</v>
      </c>
      <c r="K512" s="1">
        <f>IF(B512="", "", "cm")</f>
        <v>0</v>
      </c>
      <c r="L512" s="1">
        <f>IF(B512="", "", "Homo sapiens")</f>
        <v>0</v>
      </c>
      <c r="M512" s="1">
        <f>IF(B512="", "", "9606")</f>
        <v>0</v>
      </c>
      <c r="O512" s="1">
        <f>IF(B512="", "", "kg")</f>
        <v>0</v>
      </c>
    </row>
    <row r="513" spans="1:15">
      <c r="A513">
        <f>IF(COUNTBLANK(B513:Q513)&lt;&gt;COLUMNS(B513:Q513),512,"")</f>
        <v>0</v>
      </c>
      <c r="C513" s="1">
        <f>IF(B513="", "", "urban biome")</f>
        <v>0</v>
      </c>
      <c r="D513" s="1">
        <f>IF(B513="", "", "human-associated habitat")</f>
        <v>0</v>
      </c>
      <c r="G513" s="1">
        <f>IF(B513="", "", "years")</f>
        <v>0</v>
      </c>
      <c r="I513" s="1">
        <f>IF(B513="", "", "human")</f>
        <v>0</v>
      </c>
      <c r="K513" s="1">
        <f>IF(B513="", "", "cm")</f>
        <v>0</v>
      </c>
      <c r="L513" s="1">
        <f>IF(B513="", "", "Homo sapiens")</f>
        <v>0</v>
      </c>
      <c r="M513" s="1">
        <f>IF(B513="", "", "9606")</f>
        <v>0</v>
      </c>
      <c r="O513" s="1">
        <f>IF(B513="", "", "kg")</f>
        <v>0</v>
      </c>
    </row>
    <row r="514" spans="1:15">
      <c r="A514">
        <f>IF(COUNTBLANK(B514:Q514)&lt;&gt;COLUMNS(B514:Q514),513,"")</f>
        <v>0</v>
      </c>
      <c r="C514" s="1">
        <f>IF(B514="", "", "urban biome")</f>
        <v>0</v>
      </c>
      <c r="D514" s="1">
        <f>IF(B514="", "", "human-associated habitat")</f>
        <v>0</v>
      </c>
      <c r="G514" s="1">
        <f>IF(B514="", "", "years")</f>
        <v>0</v>
      </c>
      <c r="I514" s="1">
        <f>IF(B514="", "", "human")</f>
        <v>0</v>
      </c>
      <c r="K514" s="1">
        <f>IF(B514="", "", "cm")</f>
        <v>0</v>
      </c>
      <c r="L514" s="1">
        <f>IF(B514="", "", "Homo sapiens")</f>
        <v>0</v>
      </c>
      <c r="M514" s="1">
        <f>IF(B514="", "", "9606")</f>
        <v>0</v>
      </c>
      <c r="O514" s="1">
        <f>IF(B514="", "", "kg")</f>
        <v>0</v>
      </c>
    </row>
    <row r="515" spans="1:15">
      <c r="A515">
        <f>IF(COUNTBLANK(B515:Q515)&lt;&gt;COLUMNS(B515:Q515),514,"")</f>
        <v>0</v>
      </c>
      <c r="C515" s="1">
        <f>IF(B515="", "", "urban biome")</f>
        <v>0</v>
      </c>
      <c r="D515" s="1">
        <f>IF(B515="", "", "human-associated habitat")</f>
        <v>0</v>
      </c>
      <c r="G515" s="1">
        <f>IF(B515="", "", "years")</f>
        <v>0</v>
      </c>
      <c r="I515" s="1">
        <f>IF(B515="", "", "human")</f>
        <v>0</v>
      </c>
      <c r="K515" s="1">
        <f>IF(B515="", "", "cm")</f>
        <v>0</v>
      </c>
      <c r="L515" s="1">
        <f>IF(B515="", "", "Homo sapiens")</f>
        <v>0</v>
      </c>
      <c r="M515" s="1">
        <f>IF(B515="", "", "9606")</f>
        <v>0</v>
      </c>
      <c r="O515" s="1">
        <f>IF(B515="", "", "kg")</f>
        <v>0</v>
      </c>
    </row>
    <row r="516" spans="1:15">
      <c r="A516">
        <f>IF(COUNTBLANK(B516:Q516)&lt;&gt;COLUMNS(B516:Q516),515,"")</f>
        <v>0</v>
      </c>
      <c r="C516" s="1">
        <f>IF(B516="", "", "urban biome")</f>
        <v>0</v>
      </c>
      <c r="D516" s="1">
        <f>IF(B516="", "", "human-associated habitat")</f>
        <v>0</v>
      </c>
      <c r="G516" s="1">
        <f>IF(B516="", "", "years")</f>
        <v>0</v>
      </c>
      <c r="I516" s="1">
        <f>IF(B516="", "", "human")</f>
        <v>0</v>
      </c>
      <c r="K516" s="1">
        <f>IF(B516="", "", "cm")</f>
        <v>0</v>
      </c>
      <c r="L516" s="1">
        <f>IF(B516="", "", "Homo sapiens")</f>
        <v>0</v>
      </c>
      <c r="M516" s="1">
        <f>IF(B516="", "", "9606")</f>
        <v>0</v>
      </c>
      <c r="O516" s="1">
        <f>IF(B516="", "", "kg")</f>
        <v>0</v>
      </c>
    </row>
    <row r="517" spans="1:15">
      <c r="A517">
        <f>IF(COUNTBLANK(B517:Q517)&lt;&gt;COLUMNS(B517:Q517),516,"")</f>
        <v>0</v>
      </c>
      <c r="C517" s="1">
        <f>IF(B517="", "", "urban biome")</f>
        <v>0</v>
      </c>
      <c r="D517" s="1">
        <f>IF(B517="", "", "human-associated habitat")</f>
        <v>0</v>
      </c>
      <c r="G517" s="1">
        <f>IF(B517="", "", "years")</f>
        <v>0</v>
      </c>
      <c r="I517" s="1">
        <f>IF(B517="", "", "human")</f>
        <v>0</v>
      </c>
      <c r="K517" s="1">
        <f>IF(B517="", "", "cm")</f>
        <v>0</v>
      </c>
      <c r="L517" s="1">
        <f>IF(B517="", "", "Homo sapiens")</f>
        <v>0</v>
      </c>
      <c r="M517" s="1">
        <f>IF(B517="", "", "9606")</f>
        <v>0</v>
      </c>
      <c r="O517" s="1">
        <f>IF(B517="", "", "kg")</f>
        <v>0</v>
      </c>
    </row>
    <row r="518" spans="1:15">
      <c r="A518">
        <f>IF(COUNTBLANK(B518:Q518)&lt;&gt;COLUMNS(B518:Q518),517,"")</f>
        <v>0</v>
      </c>
      <c r="C518" s="1">
        <f>IF(B518="", "", "urban biome")</f>
        <v>0</v>
      </c>
      <c r="D518" s="1">
        <f>IF(B518="", "", "human-associated habitat")</f>
        <v>0</v>
      </c>
      <c r="G518" s="1">
        <f>IF(B518="", "", "years")</f>
        <v>0</v>
      </c>
      <c r="I518" s="1">
        <f>IF(B518="", "", "human")</f>
        <v>0</v>
      </c>
      <c r="K518" s="1">
        <f>IF(B518="", "", "cm")</f>
        <v>0</v>
      </c>
      <c r="L518" s="1">
        <f>IF(B518="", "", "Homo sapiens")</f>
        <v>0</v>
      </c>
      <c r="M518" s="1">
        <f>IF(B518="", "", "9606")</f>
        <v>0</v>
      </c>
      <c r="O518" s="1">
        <f>IF(B518="", "", "kg")</f>
        <v>0</v>
      </c>
    </row>
    <row r="519" spans="1:15">
      <c r="A519">
        <f>IF(COUNTBLANK(B519:Q519)&lt;&gt;COLUMNS(B519:Q519),518,"")</f>
        <v>0</v>
      </c>
      <c r="C519" s="1">
        <f>IF(B519="", "", "urban biome")</f>
        <v>0</v>
      </c>
      <c r="D519" s="1">
        <f>IF(B519="", "", "human-associated habitat")</f>
        <v>0</v>
      </c>
      <c r="G519" s="1">
        <f>IF(B519="", "", "years")</f>
        <v>0</v>
      </c>
      <c r="I519" s="1">
        <f>IF(B519="", "", "human")</f>
        <v>0</v>
      </c>
      <c r="K519" s="1">
        <f>IF(B519="", "", "cm")</f>
        <v>0</v>
      </c>
      <c r="L519" s="1">
        <f>IF(B519="", "", "Homo sapiens")</f>
        <v>0</v>
      </c>
      <c r="M519" s="1">
        <f>IF(B519="", "", "9606")</f>
        <v>0</v>
      </c>
      <c r="O519" s="1">
        <f>IF(B519="", "", "kg")</f>
        <v>0</v>
      </c>
    </row>
    <row r="520" spans="1:15">
      <c r="A520">
        <f>IF(COUNTBLANK(B520:Q520)&lt;&gt;COLUMNS(B520:Q520),519,"")</f>
        <v>0</v>
      </c>
      <c r="C520" s="1">
        <f>IF(B520="", "", "urban biome")</f>
        <v>0</v>
      </c>
      <c r="D520" s="1">
        <f>IF(B520="", "", "human-associated habitat")</f>
        <v>0</v>
      </c>
      <c r="G520" s="1">
        <f>IF(B520="", "", "years")</f>
        <v>0</v>
      </c>
      <c r="I520" s="1">
        <f>IF(B520="", "", "human")</f>
        <v>0</v>
      </c>
      <c r="K520" s="1">
        <f>IF(B520="", "", "cm")</f>
        <v>0</v>
      </c>
      <c r="L520" s="1">
        <f>IF(B520="", "", "Homo sapiens")</f>
        <v>0</v>
      </c>
      <c r="M520" s="1">
        <f>IF(B520="", "", "9606")</f>
        <v>0</v>
      </c>
      <c r="O520" s="1">
        <f>IF(B520="", "", "kg")</f>
        <v>0</v>
      </c>
    </row>
    <row r="521" spans="1:15">
      <c r="A521">
        <f>IF(COUNTBLANK(B521:Q521)&lt;&gt;COLUMNS(B521:Q521),520,"")</f>
        <v>0</v>
      </c>
      <c r="C521" s="1">
        <f>IF(B521="", "", "urban biome")</f>
        <v>0</v>
      </c>
      <c r="D521" s="1">
        <f>IF(B521="", "", "human-associated habitat")</f>
        <v>0</v>
      </c>
      <c r="G521" s="1">
        <f>IF(B521="", "", "years")</f>
        <v>0</v>
      </c>
      <c r="I521" s="1">
        <f>IF(B521="", "", "human")</f>
        <v>0</v>
      </c>
      <c r="K521" s="1">
        <f>IF(B521="", "", "cm")</f>
        <v>0</v>
      </c>
      <c r="L521" s="1">
        <f>IF(B521="", "", "Homo sapiens")</f>
        <v>0</v>
      </c>
      <c r="M521" s="1">
        <f>IF(B521="", "", "9606")</f>
        <v>0</v>
      </c>
      <c r="O521" s="1">
        <f>IF(B521="", "", "kg")</f>
        <v>0</v>
      </c>
    </row>
    <row r="522" spans="1:15">
      <c r="A522">
        <f>IF(COUNTBLANK(B522:Q522)&lt;&gt;COLUMNS(B522:Q522),521,"")</f>
        <v>0</v>
      </c>
      <c r="C522" s="1">
        <f>IF(B522="", "", "urban biome")</f>
        <v>0</v>
      </c>
      <c r="D522" s="1">
        <f>IF(B522="", "", "human-associated habitat")</f>
        <v>0</v>
      </c>
      <c r="G522" s="1">
        <f>IF(B522="", "", "years")</f>
        <v>0</v>
      </c>
      <c r="I522" s="1">
        <f>IF(B522="", "", "human")</f>
        <v>0</v>
      </c>
      <c r="K522" s="1">
        <f>IF(B522="", "", "cm")</f>
        <v>0</v>
      </c>
      <c r="L522" s="1">
        <f>IF(B522="", "", "Homo sapiens")</f>
        <v>0</v>
      </c>
      <c r="M522" s="1">
        <f>IF(B522="", "", "9606")</f>
        <v>0</v>
      </c>
      <c r="O522" s="1">
        <f>IF(B522="", "", "kg")</f>
        <v>0</v>
      </c>
    </row>
    <row r="523" spans="1:15">
      <c r="A523">
        <f>IF(COUNTBLANK(B523:Q523)&lt;&gt;COLUMNS(B523:Q523),522,"")</f>
        <v>0</v>
      </c>
      <c r="C523" s="1">
        <f>IF(B523="", "", "urban biome")</f>
        <v>0</v>
      </c>
      <c r="D523" s="1">
        <f>IF(B523="", "", "human-associated habitat")</f>
        <v>0</v>
      </c>
      <c r="G523" s="1">
        <f>IF(B523="", "", "years")</f>
        <v>0</v>
      </c>
      <c r="I523" s="1">
        <f>IF(B523="", "", "human")</f>
        <v>0</v>
      </c>
      <c r="K523" s="1">
        <f>IF(B523="", "", "cm")</f>
        <v>0</v>
      </c>
      <c r="L523" s="1">
        <f>IF(B523="", "", "Homo sapiens")</f>
        <v>0</v>
      </c>
      <c r="M523" s="1">
        <f>IF(B523="", "", "9606")</f>
        <v>0</v>
      </c>
      <c r="O523" s="1">
        <f>IF(B523="", "", "kg")</f>
        <v>0</v>
      </c>
    </row>
    <row r="524" spans="1:15">
      <c r="A524">
        <f>IF(COUNTBLANK(B524:Q524)&lt;&gt;COLUMNS(B524:Q524),523,"")</f>
        <v>0</v>
      </c>
      <c r="C524" s="1">
        <f>IF(B524="", "", "urban biome")</f>
        <v>0</v>
      </c>
      <c r="D524" s="1">
        <f>IF(B524="", "", "human-associated habitat")</f>
        <v>0</v>
      </c>
      <c r="G524" s="1">
        <f>IF(B524="", "", "years")</f>
        <v>0</v>
      </c>
      <c r="I524" s="1">
        <f>IF(B524="", "", "human")</f>
        <v>0</v>
      </c>
      <c r="K524" s="1">
        <f>IF(B524="", "", "cm")</f>
        <v>0</v>
      </c>
      <c r="L524" s="1">
        <f>IF(B524="", "", "Homo sapiens")</f>
        <v>0</v>
      </c>
      <c r="M524" s="1">
        <f>IF(B524="", "", "9606")</f>
        <v>0</v>
      </c>
      <c r="O524" s="1">
        <f>IF(B524="", "", "kg")</f>
        <v>0</v>
      </c>
    </row>
    <row r="525" spans="1:15">
      <c r="A525">
        <f>IF(COUNTBLANK(B525:Q525)&lt;&gt;COLUMNS(B525:Q525),524,"")</f>
        <v>0</v>
      </c>
      <c r="C525" s="1">
        <f>IF(B525="", "", "urban biome")</f>
        <v>0</v>
      </c>
      <c r="D525" s="1">
        <f>IF(B525="", "", "human-associated habitat")</f>
        <v>0</v>
      </c>
      <c r="G525" s="1">
        <f>IF(B525="", "", "years")</f>
        <v>0</v>
      </c>
      <c r="I525" s="1">
        <f>IF(B525="", "", "human")</f>
        <v>0</v>
      </c>
      <c r="K525" s="1">
        <f>IF(B525="", "", "cm")</f>
        <v>0</v>
      </c>
      <c r="L525" s="1">
        <f>IF(B525="", "", "Homo sapiens")</f>
        <v>0</v>
      </c>
      <c r="M525" s="1">
        <f>IF(B525="", "", "9606")</f>
        <v>0</v>
      </c>
      <c r="O525" s="1">
        <f>IF(B525="", "", "kg")</f>
        <v>0</v>
      </c>
    </row>
    <row r="526" spans="1:15">
      <c r="A526">
        <f>IF(COUNTBLANK(B526:Q526)&lt;&gt;COLUMNS(B526:Q526),525,"")</f>
        <v>0</v>
      </c>
      <c r="C526" s="1">
        <f>IF(B526="", "", "urban biome")</f>
        <v>0</v>
      </c>
      <c r="D526" s="1">
        <f>IF(B526="", "", "human-associated habitat")</f>
        <v>0</v>
      </c>
      <c r="G526" s="1">
        <f>IF(B526="", "", "years")</f>
        <v>0</v>
      </c>
      <c r="I526" s="1">
        <f>IF(B526="", "", "human")</f>
        <v>0</v>
      </c>
      <c r="K526" s="1">
        <f>IF(B526="", "", "cm")</f>
        <v>0</v>
      </c>
      <c r="L526" s="1">
        <f>IF(B526="", "", "Homo sapiens")</f>
        <v>0</v>
      </c>
      <c r="M526" s="1">
        <f>IF(B526="", "", "9606")</f>
        <v>0</v>
      </c>
      <c r="O526" s="1">
        <f>IF(B526="", "", "kg")</f>
        <v>0</v>
      </c>
    </row>
    <row r="527" spans="1:15">
      <c r="A527">
        <f>IF(COUNTBLANK(B527:Q527)&lt;&gt;COLUMNS(B527:Q527),526,"")</f>
        <v>0</v>
      </c>
      <c r="C527" s="1">
        <f>IF(B527="", "", "urban biome")</f>
        <v>0</v>
      </c>
      <c r="D527" s="1">
        <f>IF(B527="", "", "human-associated habitat")</f>
        <v>0</v>
      </c>
      <c r="G527" s="1">
        <f>IF(B527="", "", "years")</f>
        <v>0</v>
      </c>
      <c r="I527" s="1">
        <f>IF(B527="", "", "human")</f>
        <v>0</v>
      </c>
      <c r="K527" s="1">
        <f>IF(B527="", "", "cm")</f>
        <v>0</v>
      </c>
      <c r="L527" s="1">
        <f>IF(B527="", "", "Homo sapiens")</f>
        <v>0</v>
      </c>
      <c r="M527" s="1">
        <f>IF(B527="", "", "9606")</f>
        <v>0</v>
      </c>
      <c r="O527" s="1">
        <f>IF(B527="", "", "kg")</f>
        <v>0</v>
      </c>
    </row>
    <row r="528" spans="1:15">
      <c r="A528">
        <f>IF(COUNTBLANK(B528:Q528)&lt;&gt;COLUMNS(B528:Q528),527,"")</f>
        <v>0</v>
      </c>
      <c r="C528" s="1">
        <f>IF(B528="", "", "urban biome")</f>
        <v>0</v>
      </c>
      <c r="D528" s="1">
        <f>IF(B528="", "", "human-associated habitat")</f>
        <v>0</v>
      </c>
      <c r="G528" s="1">
        <f>IF(B528="", "", "years")</f>
        <v>0</v>
      </c>
      <c r="I528" s="1">
        <f>IF(B528="", "", "human")</f>
        <v>0</v>
      </c>
      <c r="K528" s="1">
        <f>IF(B528="", "", "cm")</f>
        <v>0</v>
      </c>
      <c r="L528" s="1">
        <f>IF(B528="", "", "Homo sapiens")</f>
        <v>0</v>
      </c>
      <c r="M528" s="1">
        <f>IF(B528="", "", "9606")</f>
        <v>0</v>
      </c>
      <c r="O528" s="1">
        <f>IF(B528="", "", "kg")</f>
        <v>0</v>
      </c>
    </row>
    <row r="529" spans="1:15">
      <c r="A529">
        <f>IF(COUNTBLANK(B529:Q529)&lt;&gt;COLUMNS(B529:Q529),528,"")</f>
        <v>0</v>
      </c>
      <c r="C529" s="1">
        <f>IF(B529="", "", "urban biome")</f>
        <v>0</v>
      </c>
      <c r="D529" s="1">
        <f>IF(B529="", "", "human-associated habitat")</f>
        <v>0</v>
      </c>
      <c r="G529" s="1">
        <f>IF(B529="", "", "years")</f>
        <v>0</v>
      </c>
      <c r="I529" s="1">
        <f>IF(B529="", "", "human")</f>
        <v>0</v>
      </c>
      <c r="K529" s="1">
        <f>IF(B529="", "", "cm")</f>
        <v>0</v>
      </c>
      <c r="L529" s="1">
        <f>IF(B529="", "", "Homo sapiens")</f>
        <v>0</v>
      </c>
      <c r="M529" s="1">
        <f>IF(B529="", "", "9606")</f>
        <v>0</v>
      </c>
      <c r="O529" s="1">
        <f>IF(B529="", "", "kg")</f>
        <v>0</v>
      </c>
    </row>
    <row r="530" spans="1:15">
      <c r="A530">
        <f>IF(COUNTBLANK(B530:Q530)&lt;&gt;COLUMNS(B530:Q530),529,"")</f>
        <v>0</v>
      </c>
      <c r="C530" s="1">
        <f>IF(B530="", "", "urban biome")</f>
        <v>0</v>
      </c>
      <c r="D530" s="1">
        <f>IF(B530="", "", "human-associated habitat")</f>
        <v>0</v>
      </c>
      <c r="G530" s="1">
        <f>IF(B530="", "", "years")</f>
        <v>0</v>
      </c>
      <c r="I530" s="1">
        <f>IF(B530="", "", "human")</f>
        <v>0</v>
      </c>
      <c r="K530" s="1">
        <f>IF(B530="", "", "cm")</f>
        <v>0</v>
      </c>
      <c r="L530" s="1">
        <f>IF(B530="", "", "Homo sapiens")</f>
        <v>0</v>
      </c>
      <c r="M530" s="1">
        <f>IF(B530="", "", "9606")</f>
        <v>0</v>
      </c>
      <c r="O530" s="1">
        <f>IF(B530="", "", "kg")</f>
        <v>0</v>
      </c>
    </row>
    <row r="531" spans="1:15">
      <c r="A531">
        <f>IF(COUNTBLANK(B531:Q531)&lt;&gt;COLUMNS(B531:Q531),530,"")</f>
        <v>0</v>
      </c>
      <c r="C531" s="1">
        <f>IF(B531="", "", "urban biome")</f>
        <v>0</v>
      </c>
      <c r="D531" s="1">
        <f>IF(B531="", "", "human-associated habitat")</f>
        <v>0</v>
      </c>
      <c r="G531" s="1">
        <f>IF(B531="", "", "years")</f>
        <v>0</v>
      </c>
      <c r="I531" s="1">
        <f>IF(B531="", "", "human")</f>
        <v>0</v>
      </c>
      <c r="K531" s="1">
        <f>IF(B531="", "", "cm")</f>
        <v>0</v>
      </c>
      <c r="L531" s="1">
        <f>IF(B531="", "", "Homo sapiens")</f>
        <v>0</v>
      </c>
      <c r="M531" s="1">
        <f>IF(B531="", "", "9606")</f>
        <v>0</v>
      </c>
      <c r="O531" s="1">
        <f>IF(B531="", "", "kg")</f>
        <v>0</v>
      </c>
    </row>
    <row r="532" spans="1:15">
      <c r="A532">
        <f>IF(COUNTBLANK(B532:Q532)&lt;&gt;COLUMNS(B532:Q532),531,"")</f>
        <v>0</v>
      </c>
      <c r="C532" s="1">
        <f>IF(B532="", "", "urban biome")</f>
        <v>0</v>
      </c>
      <c r="D532" s="1">
        <f>IF(B532="", "", "human-associated habitat")</f>
        <v>0</v>
      </c>
      <c r="G532" s="1">
        <f>IF(B532="", "", "years")</f>
        <v>0</v>
      </c>
      <c r="I532" s="1">
        <f>IF(B532="", "", "human")</f>
        <v>0</v>
      </c>
      <c r="K532" s="1">
        <f>IF(B532="", "", "cm")</f>
        <v>0</v>
      </c>
      <c r="L532" s="1">
        <f>IF(B532="", "", "Homo sapiens")</f>
        <v>0</v>
      </c>
      <c r="M532" s="1">
        <f>IF(B532="", "", "9606")</f>
        <v>0</v>
      </c>
      <c r="O532" s="1">
        <f>IF(B532="", "", "kg")</f>
        <v>0</v>
      </c>
    </row>
    <row r="533" spans="1:15">
      <c r="A533">
        <f>IF(COUNTBLANK(B533:Q533)&lt;&gt;COLUMNS(B533:Q533),532,"")</f>
        <v>0</v>
      </c>
      <c r="C533" s="1">
        <f>IF(B533="", "", "urban biome")</f>
        <v>0</v>
      </c>
      <c r="D533" s="1">
        <f>IF(B533="", "", "human-associated habitat")</f>
        <v>0</v>
      </c>
      <c r="G533" s="1">
        <f>IF(B533="", "", "years")</f>
        <v>0</v>
      </c>
      <c r="I533" s="1">
        <f>IF(B533="", "", "human")</f>
        <v>0</v>
      </c>
      <c r="K533" s="1">
        <f>IF(B533="", "", "cm")</f>
        <v>0</v>
      </c>
      <c r="L533" s="1">
        <f>IF(B533="", "", "Homo sapiens")</f>
        <v>0</v>
      </c>
      <c r="M533" s="1">
        <f>IF(B533="", "", "9606")</f>
        <v>0</v>
      </c>
      <c r="O533" s="1">
        <f>IF(B533="", "", "kg")</f>
        <v>0</v>
      </c>
    </row>
    <row r="534" spans="1:15">
      <c r="A534">
        <f>IF(COUNTBLANK(B534:Q534)&lt;&gt;COLUMNS(B534:Q534),533,"")</f>
        <v>0</v>
      </c>
      <c r="C534" s="1">
        <f>IF(B534="", "", "urban biome")</f>
        <v>0</v>
      </c>
      <c r="D534" s="1">
        <f>IF(B534="", "", "human-associated habitat")</f>
        <v>0</v>
      </c>
      <c r="G534" s="1">
        <f>IF(B534="", "", "years")</f>
        <v>0</v>
      </c>
      <c r="I534" s="1">
        <f>IF(B534="", "", "human")</f>
        <v>0</v>
      </c>
      <c r="K534" s="1">
        <f>IF(B534="", "", "cm")</f>
        <v>0</v>
      </c>
      <c r="L534" s="1">
        <f>IF(B534="", "", "Homo sapiens")</f>
        <v>0</v>
      </c>
      <c r="M534" s="1">
        <f>IF(B534="", "", "9606")</f>
        <v>0</v>
      </c>
      <c r="O534" s="1">
        <f>IF(B534="", "", "kg")</f>
        <v>0</v>
      </c>
    </row>
    <row r="535" spans="1:15">
      <c r="A535">
        <f>IF(COUNTBLANK(B535:Q535)&lt;&gt;COLUMNS(B535:Q535),534,"")</f>
        <v>0</v>
      </c>
      <c r="C535" s="1">
        <f>IF(B535="", "", "urban biome")</f>
        <v>0</v>
      </c>
      <c r="D535" s="1">
        <f>IF(B535="", "", "human-associated habitat")</f>
        <v>0</v>
      </c>
      <c r="G535" s="1">
        <f>IF(B535="", "", "years")</f>
        <v>0</v>
      </c>
      <c r="I535" s="1">
        <f>IF(B535="", "", "human")</f>
        <v>0</v>
      </c>
      <c r="K535" s="1">
        <f>IF(B535="", "", "cm")</f>
        <v>0</v>
      </c>
      <c r="L535" s="1">
        <f>IF(B535="", "", "Homo sapiens")</f>
        <v>0</v>
      </c>
      <c r="M535" s="1">
        <f>IF(B535="", "", "9606")</f>
        <v>0</v>
      </c>
      <c r="O535" s="1">
        <f>IF(B535="", "", "kg")</f>
        <v>0</v>
      </c>
    </row>
    <row r="536" spans="1:15">
      <c r="A536">
        <f>IF(COUNTBLANK(B536:Q536)&lt;&gt;COLUMNS(B536:Q536),535,"")</f>
        <v>0</v>
      </c>
      <c r="C536" s="1">
        <f>IF(B536="", "", "urban biome")</f>
        <v>0</v>
      </c>
      <c r="D536" s="1">
        <f>IF(B536="", "", "human-associated habitat")</f>
        <v>0</v>
      </c>
      <c r="G536" s="1">
        <f>IF(B536="", "", "years")</f>
        <v>0</v>
      </c>
      <c r="I536" s="1">
        <f>IF(B536="", "", "human")</f>
        <v>0</v>
      </c>
      <c r="K536" s="1">
        <f>IF(B536="", "", "cm")</f>
        <v>0</v>
      </c>
      <c r="L536" s="1">
        <f>IF(B536="", "", "Homo sapiens")</f>
        <v>0</v>
      </c>
      <c r="M536" s="1">
        <f>IF(B536="", "", "9606")</f>
        <v>0</v>
      </c>
      <c r="O536" s="1">
        <f>IF(B536="", "", "kg")</f>
        <v>0</v>
      </c>
    </row>
    <row r="537" spans="1:15">
      <c r="A537">
        <f>IF(COUNTBLANK(B537:Q537)&lt;&gt;COLUMNS(B537:Q537),536,"")</f>
        <v>0</v>
      </c>
      <c r="C537" s="1">
        <f>IF(B537="", "", "urban biome")</f>
        <v>0</v>
      </c>
      <c r="D537" s="1">
        <f>IF(B537="", "", "human-associated habitat")</f>
        <v>0</v>
      </c>
      <c r="G537" s="1">
        <f>IF(B537="", "", "years")</f>
        <v>0</v>
      </c>
      <c r="I537" s="1">
        <f>IF(B537="", "", "human")</f>
        <v>0</v>
      </c>
      <c r="K537" s="1">
        <f>IF(B537="", "", "cm")</f>
        <v>0</v>
      </c>
      <c r="L537" s="1">
        <f>IF(B537="", "", "Homo sapiens")</f>
        <v>0</v>
      </c>
      <c r="M537" s="1">
        <f>IF(B537="", "", "9606")</f>
        <v>0</v>
      </c>
      <c r="O537" s="1">
        <f>IF(B537="", "", "kg")</f>
        <v>0</v>
      </c>
    </row>
    <row r="538" spans="1:15">
      <c r="A538">
        <f>IF(COUNTBLANK(B538:Q538)&lt;&gt;COLUMNS(B538:Q538),537,"")</f>
        <v>0</v>
      </c>
      <c r="C538" s="1">
        <f>IF(B538="", "", "urban biome")</f>
        <v>0</v>
      </c>
      <c r="D538" s="1">
        <f>IF(B538="", "", "human-associated habitat")</f>
        <v>0</v>
      </c>
      <c r="G538" s="1">
        <f>IF(B538="", "", "years")</f>
        <v>0</v>
      </c>
      <c r="I538" s="1">
        <f>IF(B538="", "", "human")</f>
        <v>0</v>
      </c>
      <c r="K538" s="1">
        <f>IF(B538="", "", "cm")</f>
        <v>0</v>
      </c>
      <c r="L538" s="1">
        <f>IF(B538="", "", "Homo sapiens")</f>
        <v>0</v>
      </c>
      <c r="M538" s="1">
        <f>IF(B538="", "", "9606")</f>
        <v>0</v>
      </c>
      <c r="O538" s="1">
        <f>IF(B538="", "", "kg")</f>
        <v>0</v>
      </c>
    </row>
    <row r="539" spans="1:15">
      <c r="A539">
        <f>IF(COUNTBLANK(B539:Q539)&lt;&gt;COLUMNS(B539:Q539),538,"")</f>
        <v>0</v>
      </c>
      <c r="C539" s="1">
        <f>IF(B539="", "", "urban biome")</f>
        <v>0</v>
      </c>
      <c r="D539" s="1">
        <f>IF(B539="", "", "human-associated habitat")</f>
        <v>0</v>
      </c>
      <c r="G539" s="1">
        <f>IF(B539="", "", "years")</f>
        <v>0</v>
      </c>
      <c r="I539" s="1">
        <f>IF(B539="", "", "human")</f>
        <v>0</v>
      </c>
      <c r="K539" s="1">
        <f>IF(B539="", "", "cm")</f>
        <v>0</v>
      </c>
      <c r="L539" s="1">
        <f>IF(B539="", "", "Homo sapiens")</f>
        <v>0</v>
      </c>
      <c r="M539" s="1">
        <f>IF(B539="", "", "9606")</f>
        <v>0</v>
      </c>
      <c r="O539" s="1">
        <f>IF(B539="", "", "kg")</f>
        <v>0</v>
      </c>
    </row>
    <row r="540" spans="1:15">
      <c r="A540">
        <f>IF(COUNTBLANK(B540:Q540)&lt;&gt;COLUMNS(B540:Q540),539,"")</f>
        <v>0</v>
      </c>
      <c r="C540" s="1">
        <f>IF(B540="", "", "urban biome")</f>
        <v>0</v>
      </c>
      <c r="D540" s="1">
        <f>IF(B540="", "", "human-associated habitat")</f>
        <v>0</v>
      </c>
      <c r="G540" s="1">
        <f>IF(B540="", "", "years")</f>
        <v>0</v>
      </c>
      <c r="I540" s="1">
        <f>IF(B540="", "", "human")</f>
        <v>0</v>
      </c>
      <c r="K540" s="1">
        <f>IF(B540="", "", "cm")</f>
        <v>0</v>
      </c>
      <c r="L540" s="1">
        <f>IF(B540="", "", "Homo sapiens")</f>
        <v>0</v>
      </c>
      <c r="M540" s="1">
        <f>IF(B540="", "", "9606")</f>
        <v>0</v>
      </c>
      <c r="O540" s="1">
        <f>IF(B540="", "", "kg")</f>
        <v>0</v>
      </c>
    </row>
    <row r="541" spans="1:15">
      <c r="A541">
        <f>IF(COUNTBLANK(B541:Q541)&lt;&gt;COLUMNS(B541:Q541),540,"")</f>
        <v>0</v>
      </c>
      <c r="C541" s="1">
        <f>IF(B541="", "", "urban biome")</f>
        <v>0</v>
      </c>
      <c r="D541" s="1">
        <f>IF(B541="", "", "human-associated habitat")</f>
        <v>0</v>
      </c>
      <c r="G541" s="1">
        <f>IF(B541="", "", "years")</f>
        <v>0</v>
      </c>
      <c r="I541" s="1">
        <f>IF(B541="", "", "human")</f>
        <v>0</v>
      </c>
      <c r="K541" s="1">
        <f>IF(B541="", "", "cm")</f>
        <v>0</v>
      </c>
      <c r="L541" s="1">
        <f>IF(B541="", "", "Homo sapiens")</f>
        <v>0</v>
      </c>
      <c r="M541" s="1">
        <f>IF(B541="", "", "9606")</f>
        <v>0</v>
      </c>
      <c r="O541" s="1">
        <f>IF(B541="", "", "kg")</f>
        <v>0</v>
      </c>
    </row>
    <row r="542" spans="1:15">
      <c r="A542">
        <f>IF(COUNTBLANK(B542:Q542)&lt;&gt;COLUMNS(B542:Q542),541,"")</f>
        <v>0</v>
      </c>
      <c r="C542" s="1">
        <f>IF(B542="", "", "urban biome")</f>
        <v>0</v>
      </c>
      <c r="D542" s="1">
        <f>IF(B542="", "", "human-associated habitat")</f>
        <v>0</v>
      </c>
      <c r="G542" s="1">
        <f>IF(B542="", "", "years")</f>
        <v>0</v>
      </c>
      <c r="I542" s="1">
        <f>IF(B542="", "", "human")</f>
        <v>0</v>
      </c>
      <c r="K542" s="1">
        <f>IF(B542="", "", "cm")</f>
        <v>0</v>
      </c>
      <c r="L542" s="1">
        <f>IF(B542="", "", "Homo sapiens")</f>
        <v>0</v>
      </c>
      <c r="M542" s="1">
        <f>IF(B542="", "", "9606")</f>
        <v>0</v>
      </c>
      <c r="O542" s="1">
        <f>IF(B542="", "", "kg")</f>
        <v>0</v>
      </c>
    </row>
    <row r="543" spans="1:15">
      <c r="A543">
        <f>IF(COUNTBLANK(B543:Q543)&lt;&gt;COLUMNS(B543:Q543),542,"")</f>
        <v>0</v>
      </c>
      <c r="C543" s="1">
        <f>IF(B543="", "", "urban biome")</f>
        <v>0</v>
      </c>
      <c r="D543" s="1">
        <f>IF(B543="", "", "human-associated habitat")</f>
        <v>0</v>
      </c>
      <c r="G543" s="1">
        <f>IF(B543="", "", "years")</f>
        <v>0</v>
      </c>
      <c r="I543" s="1">
        <f>IF(B543="", "", "human")</f>
        <v>0</v>
      </c>
      <c r="K543" s="1">
        <f>IF(B543="", "", "cm")</f>
        <v>0</v>
      </c>
      <c r="L543" s="1">
        <f>IF(B543="", "", "Homo sapiens")</f>
        <v>0</v>
      </c>
      <c r="M543" s="1">
        <f>IF(B543="", "", "9606")</f>
        <v>0</v>
      </c>
      <c r="O543" s="1">
        <f>IF(B543="", "", "kg")</f>
        <v>0</v>
      </c>
    </row>
    <row r="544" spans="1:15">
      <c r="A544">
        <f>IF(COUNTBLANK(B544:Q544)&lt;&gt;COLUMNS(B544:Q544),543,"")</f>
        <v>0</v>
      </c>
      <c r="C544" s="1">
        <f>IF(B544="", "", "urban biome")</f>
        <v>0</v>
      </c>
      <c r="D544" s="1">
        <f>IF(B544="", "", "human-associated habitat")</f>
        <v>0</v>
      </c>
      <c r="G544" s="1">
        <f>IF(B544="", "", "years")</f>
        <v>0</v>
      </c>
      <c r="I544" s="1">
        <f>IF(B544="", "", "human")</f>
        <v>0</v>
      </c>
      <c r="K544" s="1">
        <f>IF(B544="", "", "cm")</f>
        <v>0</v>
      </c>
      <c r="L544" s="1">
        <f>IF(B544="", "", "Homo sapiens")</f>
        <v>0</v>
      </c>
      <c r="M544" s="1">
        <f>IF(B544="", "", "9606")</f>
        <v>0</v>
      </c>
      <c r="O544" s="1">
        <f>IF(B544="", "", "kg")</f>
        <v>0</v>
      </c>
    </row>
    <row r="545" spans="1:15">
      <c r="A545">
        <f>IF(COUNTBLANK(B545:Q545)&lt;&gt;COLUMNS(B545:Q545),544,"")</f>
        <v>0</v>
      </c>
      <c r="C545" s="1">
        <f>IF(B545="", "", "urban biome")</f>
        <v>0</v>
      </c>
      <c r="D545" s="1">
        <f>IF(B545="", "", "human-associated habitat")</f>
        <v>0</v>
      </c>
      <c r="G545" s="1">
        <f>IF(B545="", "", "years")</f>
        <v>0</v>
      </c>
      <c r="I545" s="1">
        <f>IF(B545="", "", "human")</f>
        <v>0</v>
      </c>
      <c r="K545" s="1">
        <f>IF(B545="", "", "cm")</f>
        <v>0</v>
      </c>
      <c r="L545" s="1">
        <f>IF(B545="", "", "Homo sapiens")</f>
        <v>0</v>
      </c>
      <c r="M545" s="1">
        <f>IF(B545="", "", "9606")</f>
        <v>0</v>
      </c>
      <c r="O545" s="1">
        <f>IF(B545="", "", "kg")</f>
        <v>0</v>
      </c>
    </row>
    <row r="546" spans="1:15">
      <c r="A546">
        <f>IF(COUNTBLANK(B546:Q546)&lt;&gt;COLUMNS(B546:Q546),545,"")</f>
        <v>0</v>
      </c>
      <c r="C546" s="1">
        <f>IF(B546="", "", "urban biome")</f>
        <v>0</v>
      </c>
      <c r="D546" s="1">
        <f>IF(B546="", "", "human-associated habitat")</f>
        <v>0</v>
      </c>
      <c r="G546" s="1">
        <f>IF(B546="", "", "years")</f>
        <v>0</v>
      </c>
      <c r="I546" s="1">
        <f>IF(B546="", "", "human")</f>
        <v>0</v>
      </c>
      <c r="K546" s="1">
        <f>IF(B546="", "", "cm")</f>
        <v>0</v>
      </c>
      <c r="L546" s="1">
        <f>IF(B546="", "", "Homo sapiens")</f>
        <v>0</v>
      </c>
      <c r="M546" s="1">
        <f>IF(B546="", "", "9606")</f>
        <v>0</v>
      </c>
      <c r="O546" s="1">
        <f>IF(B546="", "", "kg")</f>
        <v>0</v>
      </c>
    </row>
    <row r="547" spans="1:15">
      <c r="A547">
        <f>IF(COUNTBLANK(B547:Q547)&lt;&gt;COLUMNS(B547:Q547),546,"")</f>
        <v>0</v>
      </c>
      <c r="C547" s="1">
        <f>IF(B547="", "", "urban biome")</f>
        <v>0</v>
      </c>
      <c r="D547" s="1">
        <f>IF(B547="", "", "human-associated habitat")</f>
        <v>0</v>
      </c>
      <c r="G547" s="1">
        <f>IF(B547="", "", "years")</f>
        <v>0</v>
      </c>
      <c r="I547" s="1">
        <f>IF(B547="", "", "human")</f>
        <v>0</v>
      </c>
      <c r="K547" s="1">
        <f>IF(B547="", "", "cm")</f>
        <v>0</v>
      </c>
      <c r="L547" s="1">
        <f>IF(B547="", "", "Homo sapiens")</f>
        <v>0</v>
      </c>
      <c r="M547" s="1">
        <f>IF(B547="", "", "9606")</f>
        <v>0</v>
      </c>
      <c r="O547" s="1">
        <f>IF(B547="", "", "kg")</f>
        <v>0</v>
      </c>
    </row>
    <row r="548" spans="1:15">
      <c r="A548">
        <f>IF(COUNTBLANK(B548:Q548)&lt;&gt;COLUMNS(B548:Q548),547,"")</f>
        <v>0</v>
      </c>
      <c r="C548" s="1">
        <f>IF(B548="", "", "urban biome")</f>
        <v>0</v>
      </c>
      <c r="D548" s="1">
        <f>IF(B548="", "", "human-associated habitat")</f>
        <v>0</v>
      </c>
      <c r="G548" s="1">
        <f>IF(B548="", "", "years")</f>
        <v>0</v>
      </c>
      <c r="I548" s="1">
        <f>IF(B548="", "", "human")</f>
        <v>0</v>
      </c>
      <c r="K548" s="1">
        <f>IF(B548="", "", "cm")</f>
        <v>0</v>
      </c>
      <c r="L548" s="1">
        <f>IF(B548="", "", "Homo sapiens")</f>
        <v>0</v>
      </c>
      <c r="M548" s="1">
        <f>IF(B548="", "", "9606")</f>
        <v>0</v>
      </c>
      <c r="O548" s="1">
        <f>IF(B548="", "", "kg")</f>
        <v>0</v>
      </c>
    </row>
    <row r="549" spans="1:15">
      <c r="A549">
        <f>IF(COUNTBLANK(B549:Q549)&lt;&gt;COLUMNS(B549:Q549),548,"")</f>
        <v>0</v>
      </c>
      <c r="C549" s="1">
        <f>IF(B549="", "", "urban biome")</f>
        <v>0</v>
      </c>
      <c r="D549" s="1">
        <f>IF(B549="", "", "human-associated habitat")</f>
        <v>0</v>
      </c>
      <c r="G549" s="1">
        <f>IF(B549="", "", "years")</f>
        <v>0</v>
      </c>
      <c r="I549" s="1">
        <f>IF(B549="", "", "human")</f>
        <v>0</v>
      </c>
      <c r="K549" s="1">
        <f>IF(B549="", "", "cm")</f>
        <v>0</v>
      </c>
      <c r="L549" s="1">
        <f>IF(B549="", "", "Homo sapiens")</f>
        <v>0</v>
      </c>
      <c r="M549" s="1">
        <f>IF(B549="", "", "9606")</f>
        <v>0</v>
      </c>
      <c r="O549" s="1">
        <f>IF(B549="", "", "kg")</f>
        <v>0</v>
      </c>
    </row>
    <row r="550" spans="1:15">
      <c r="A550">
        <f>IF(COUNTBLANK(B550:Q550)&lt;&gt;COLUMNS(B550:Q550),549,"")</f>
        <v>0</v>
      </c>
      <c r="C550" s="1">
        <f>IF(B550="", "", "urban biome")</f>
        <v>0</v>
      </c>
      <c r="D550" s="1">
        <f>IF(B550="", "", "human-associated habitat")</f>
        <v>0</v>
      </c>
      <c r="G550" s="1">
        <f>IF(B550="", "", "years")</f>
        <v>0</v>
      </c>
      <c r="I550" s="1">
        <f>IF(B550="", "", "human")</f>
        <v>0</v>
      </c>
      <c r="K550" s="1">
        <f>IF(B550="", "", "cm")</f>
        <v>0</v>
      </c>
      <c r="L550" s="1">
        <f>IF(B550="", "", "Homo sapiens")</f>
        <v>0</v>
      </c>
      <c r="M550" s="1">
        <f>IF(B550="", "", "9606")</f>
        <v>0</v>
      </c>
      <c r="O550" s="1">
        <f>IF(B550="", "", "kg")</f>
        <v>0</v>
      </c>
    </row>
    <row r="551" spans="1:15">
      <c r="A551">
        <f>IF(COUNTBLANK(B551:Q551)&lt;&gt;COLUMNS(B551:Q551),550,"")</f>
        <v>0</v>
      </c>
      <c r="C551" s="1">
        <f>IF(B551="", "", "urban biome")</f>
        <v>0</v>
      </c>
      <c r="D551" s="1">
        <f>IF(B551="", "", "human-associated habitat")</f>
        <v>0</v>
      </c>
      <c r="G551" s="1">
        <f>IF(B551="", "", "years")</f>
        <v>0</v>
      </c>
      <c r="I551" s="1">
        <f>IF(B551="", "", "human")</f>
        <v>0</v>
      </c>
      <c r="K551" s="1">
        <f>IF(B551="", "", "cm")</f>
        <v>0</v>
      </c>
      <c r="L551" s="1">
        <f>IF(B551="", "", "Homo sapiens")</f>
        <v>0</v>
      </c>
      <c r="M551" s="1">
        <f>IF(B551="", "", "9606")</f>
        <v>0</v>
      </c>
      <c r="O551" s="1">
        <f>IF(B551="", "", "kg")</f>
        <v>0</v>
      </c>
    </row>
    <row r="552" spans="1:15">
      <c r="A552">
        <f>IF(COUNTBLANK(B552:Q552)&lt;&gt;COLUMNS(B552:Q552),551,"")</f>
        <v>0</v>
      </c>
      <c r="C552" s="1">
        <f>IF(B552="", "", "urban biome")</f>
        <v>0</v>
      </c>
      <c r="D552" s="1">
        <f>IF(B552="", "", "human-associated habitat")</f>
        <v>0</v>
      </c>
      <c r="G552" s="1">
        <f>IF(B552="", "", "years")</f>
        <v>0</v>
      </c>
      <c r="I552" s="1">
        <f>IF(B552="", "", "human")</f>
        <v>0</v>
      </c>
      <c r="K552" s="1">
        <f>IF(B552="", "", "cm")</f>
        <v>0</v>
      </c>
      <c r="L552" s="1">
        <f>IF(B552="", "", "Homo sapiens")</f>
        <v>0</v>
      </c>
      <c r="M552" s="1">
        <f>IF(B552="", "", "9606")</f>
        <v>0</v>
      </c>
      <c r="O552" s="1">
        <f>IF(B552="", "", "kg")</f>
        <v>0</v>
      </c>
    </row>
    <row r="553" spans="1:15">
      <c r="A553">
        <f>IF(COUNTBLANK(B553:Q553)&lt;&gt;COLUMNS(B553:Q553),552,"")</f>
        <v>0</v>
      </c>
      <c r="C553" s="1">
        <f>IF(B553="", "", "urban biome")</f>
        <v>0</v>
      </c>
      <c r="D553" s="1">
        <f>IF(B553="", "", "human-associated habitat")</f>
        <v>0</v>
      </c>
      <c r="G553" s="1">
        <f>IF(B553="", "", "years")</f>
        <v>0</v>
      </c>
      <c r="I553" s="1">
        <f>IF(B553="", "", "human")</f>
        <v>0</v>
      </c>
      <c r="K553" s="1">
        <f>IF(B553="", "", "cm")</f>
        <v>0</v>
      </c>
      <c r="L553" s="1">
        <f>IF(B553="", "", "Homo sapiens")</f>
        <v>0</v>
      </c>
      <c r="M553" s="1">
        <f>IF(B553="", "", "9606")</f>
        <v>0</v>
      </c>
      <c r="O553" s="1">
        <f>IF(B553="", "", "kg")</f>
        <v>0</v>
      </c>
    </row>
    <row r="554" spans="1:15">
      <c r="A554">
        <f>IF(COUNTBLANK(B554:Q554)&lt;&gt;COLUMNS(B554:Q554),553,"")</f>
        <v>0</v>
      </c>
      <c r="C554" s="1">
        <f>IF(B554="", "", "urban biome")</f>
        <v>0</v>
      </c>
      <c r="D554" s="1">
        <f>IF(B554="", "", "human-associated habitat")</f>
        <v>0</v>
      </c>
      <c r="G554" s="1">
        <f>IF(B554="", "", "years")</f>
        <v>0</v>
      </c>
      <c r="I554" s="1">
        <f>IF(B554="", "", "human")</f>
        <v>0</v>
      </c>
      <c r="K554" s="1">
        <f>IF(B554="", "", "cm")</f>
        <v>0</v>
      </c>
      <c r="L554" s="1">
        <f>IF(B554="", "", "Homo sapiens")</f>
        <v>0</v>
      </c>
      <c r="M554" s="1">
        <f>IF(B554="", "", "9606")</f>
        <v>0</v>
      </c>
      <c r="O554" s="1">
        <f>IF(B554="", "", "kg")</f>
        <v>0</v>
      </c>
    </row>
    <row r="555" spans="1:15">
      <c r="A555">
        <f>IF(COUNTBLANK(B555:Q555)&lt;&gt;COLUMNS(B555:Q555),554,"")</f>
        <v>0</v>
      </c>
      <c r="C555" s="1">
        <f>IF(B555="", "", "urban biome")</f>
        <v>0</v>
      </c>
      <c r="D555" s="1">
        <f>IF(B555="", "", "human-associated habitat")</f>
        <v>0</v>
      </c>
      <c r="G555" s="1">
        <f>IF(B555="", "", "years")</f>
        <v>0</v>
      </c>
      <c r="I555" s="1">
        <f>IF(B555="", "", "human")</f>
        <v>0</v>
      </c>
      <c r="K555" s="1">
        <f>IF(B555="", "", "cm")</f>
        <v>0</v>
      </c>
      <c r="L555" s="1">
        <f>IF(B555="", "", "Homo sapiens")</f>
        <v>0</v>
      </c>
      <c r="M555" s="1">
        <f>IF(B555="", "", "9606")</f>
        <v>0</v>
      </c>
      <c r="O555" s="1">
        <f>IF(B555="", "", "kg")</f>
        <v>0</v>
      </c>
    </row>
    <row r="556" spans="1:15">
      <c r="A556">
        <f>IF(COUNTBLANK(B556:Q556)&lt;&gt;COLUMNS(B556:Q556),555,"")</f>
        <v>0</v>
      </c>
      <c r="C556" s="1">
        <f>IF(B556="", "", "urban biome")</f>
        <v>0</v>
      </c>
      <c r="D556" s="1">
        <f>IF(B556="", "", "human-associated habitat")</f>
        <v>0</v>
      </c>
      <c r="G556" s="1">
        <f>IF(B556="", "", "years")</f>
        <v>0</v>
      </c>
      <c r="I556" s="1">
        <f>IF(B556="", "", "human")</f>
        <v>0</v>
      </c>
      <c r="K556" s="1">
        <f>IF(B556="", "", "cm")</f>
        <v>0</v>
      </c>
      <c r="L556" s="1">
        <f>IF(B556="", "", "Homo sapiens")</f>
        <v>0</v>
      </c>
      <c r="M556" s="1">
        <f>IF(B556="", "", "9606")</f>
        <v>0</v>
      </c>
      <c r="O556" s="1">
        <f>IF(B556="", "", "kg")</f>
        <v>0</v>
      </c>
    </row>
    <row r="557" spans="1:15">
      <c r="A557">
        <f>IF(COUNTBLANK(B557:Q557)&lt;&gt;COLUMNS(B557:Q557),556,"")</f>
        <v>0</v>
      </c>
      <c r="C557" s="1">
        <f>IF(B557="", "", "urban biome")</f>
        <v>0</v>
      </c>
      <c r="D557" s="1">
        <f>IF(B557="", "", "human-associated habitat")</f>
        <v>0</v>
      </c>
      <c r="G557" s="1">
        <f>IF(B557="", "", "years")</f>
        <v>0</v>
      </c>
      <c r="I557" s="1">
        <f>IF(B557="", "", "human")</f>
        <v>0</v>
      </c>
      <c r="K557" s="1">
        <f>IF(B557="", "", "cm")</f>
        <v>0</v>
      </c>
      <c r="L557" s="1">
        <f>IF(B557="", "", "Homo sapiens")</f>
        <v>0</v>
      </c>
      <c r="M557" s="1">
        <f>IF(B557="", "", "9606")</f>
        <v>0</v>
      </c>
      <c r="O557" s="1">
        <f>IF(B557="", "", "kg")</f>
        <v>0</v>
      </c>
    </row>
    <row r="558" spans="1:15">
      <c r="A558">
        <f>IF(COUNTBLANK(B558:Q558)&lt;&gt;COLUMNS(B558:Q558),557,"")</f>
        <v>0</v>
      </c>
      <c r="C558" s="1">
        <f>IF(B558="", "", "urban biome")</f>
        <v>0</v>
      </c>
      <c r="D558" s="1">
        <f>IF(B558="", "", "human-associated habitat")</f>
        <v>0</v>
      </c>
      <c r="G558" s="1">
        <f>IF(B558="", "", "years")</f>
        <v>0</v>
      </c>
      <c r="I558" s="1">
        <f>IF(B558="", "", "human")</f>
        <v>0</v>
      </c>
      <c r="K558" s="1">
        <f>IF(B558="", "", "cm")</f>
        <v>0</v>
      </c>
      <c r="L558" s="1">
        <f>IF(B558="", "", "Homo sapiens")</f>
        <v>0</v>
      </c>
      <c r="M558" s="1">
        <f>IF(B558="", "", "9606")</f>
        <v>0</v>
      </c>
      <c r="O558" s="1">
        <f>IF(B558="", "", "kg")</f>
        <v>0</v>
      </c>
    </row>
    <row r="559" spans="1:15">
      <c r="A559">
        <f>IF(COUNTBLANK(B559:Q559)&lt;&gt;COLUMNS(B559:Q559),558,"")</f>
        <v>0</v>
      </c>
      <c r="C559" s="1">
        <f>IF(B559="", "", "urban biome")</f>
        <v>0</v>
      </c>
      <c r="D559" s="1">
        <f>IF(B559="", "", "human-associated habitat")</f>
        <v>0</v>
      </c>
      <c r="G559" s="1">
        <f>IF(B559="", "", "years")</f>
        <v>0</v>
      </c>
      <c r="I559" s="1">
        <f>IF(B559="", "", "human")</f>
        <v>0</v>
      </c>
      <c r="K559" s="1">
        <f>IF(B559="", "", "cm")</f>
        <v>0</v>
      </c>
      <c r="L559" s="1">
        <f>IF(B559="", "", "Homo sapiens")</f>
        <v>0</v>
      </c>
      <c r="M559" s="1">
        <f>IF(B559="", "", "9606")</f>
        <v>0</v>
      </c>
      <c r="O559" s="1">
        <f>IF(B559="", "", "kg")</f>
        <v>0</v>
      </c>
    </row>
    <row r="560" spans="1:15">
      <c r="A560">
        <f>IF(COUNTBLANK(B560:Q560)&lt;&gt;COLUMNS(B560:Q560),559,"")</f>
        <v>0</v>
      </c>
      <c r="C560" s="1">
        <f>IF(B560="", "", "urban biome")</f>
        <v>0</v>
      </c>
      <c r="D560" s="1">
        <f>IF(B560="", "", "human-associated habitat")</f>
        <v>0</v>
      </c>
      <c r="G560" s="1">
        <f>IF(B560="", "", "years")</f>
        <v>0</v>
      </c>
      <c r="I560" s="1">
        <f>IF(B560="", "", "human")</f>
        <v>0</v>
      </c>
      <c r="K560" s="1">
        <f>IF(B560="", "", "cm")</f>
        <v>0</v>
      </c>
      <c r="L560" s="1">
        <f>IF(B560="", "", "Homo sapiens")</f>
        <v>0</v>
      </c>
      <c r="M560" s="1">
        <f>IF(B560="", "", "9606")</f>
        <v>0</v>
      </c>
      <c r="O560" s="1">
        <f>IF(B560="", "", "kg")</f>
        <v>0</v>
      </c>
    </row>
    <row r="561" spans="1:15">
      <c r="A561">
        <f>IF(COUNTBLANK(B561:Q561)&lt;&gt;COLUMNS(B561:Q561),560,"")</f>
        <v>0</v>
      </c>
      <c r="C561" s="1">
        <f>IF(B561="", "", "urban biome")</f>
        <v>0</v>
      </c>
      <c r="D561" s="1">
        <f>IF(B561="", "", "human-associated habitat")</f>
        <v>0</v>
      </c>
      <c r="G561" s="1">
        <f>IF(B561="", "", "years")</f>
        <v>0</v>
      </c>
      <c r="I561" s="1">
        <f>IF(B561="", "", "human")</f>
        <v>0</v>
      </c>
      <c r="K561" s="1">
        <f>IF(B561="", "", "cm")</f>
        <v>0</v>
      </c>
      <c r="L561" s="1">
        <f>IF(B561="", "", "Homo sapiens")</f>
        <v>0</v>
      </c>
      <c r="M561" s="1">
        <f>IF(B561="", "", "9606")</f>
        <v>0</v>
      </c>
      <c r="O561" s="1">
        <f>IF(B561="", "", "kg")</f>
        <v>0</v>
      </c>
    </row>
    <row r="562" spans="1:15">
      <c r="A562">
        <f>IF(COUNTBLANK(B562:Q562)&lt;&gt;COLUMNS(B562:Q562),561,"")</f>
        <v>0</v>
      </c>
      <c r="C562" s="1">
        <f>IF(B562="", "", "urban biome")</f>
        <v>0</v>
      </c>
      <c r="D562" s="1">
        <f>IF(B562="", "", "human-associated habitat")</f>
        <v>0</v>
      </c>
      <c r="G562" s="1">
        <f>IF(B562="", "", "years")</f>
        <v>0</v>
      </c>
      <c r="I562" s="1">
        <f>IF(B562="", "", "human")</f>
        <v>0</v>
      </c>
      <c r="K562" s="1">
        <f>IF(B562="", "", "cm")</f>
        <v>0</v>
      </c>
      <c r="L562" s="1">
        <f>IF(B562="", "", "Homo sapiens")</f>
        <v>0</v>
      </c>
      <c r="M562" s="1">
        <f>IF(B562="", "", "9606")</f>
        <v>0</v>
      </c>
      <c r="O562" s="1">
        <f>IF(B562="", "", "kg")</f>
        <v>0</v>
      </c>
    </row>
    <row r="563" spans="1:15">
      <c r="A563">
        <f>IF(COUNTBLANK(B563:Q563)&lt;&gt;COLUMNS(B563:Q563),562,"")</f>
        <v>0</v>
      </c>
      <c r="C563" s="1">
        <f>IF(B563="", "", "urban biome")</f>
        <v>0</v>
      </c>
      <c r="D563" s="1">
        <f>IF(B563="", "", "human-associated habitat")</f>
        <v>0</v>
      </c>
      <c r="G563" s="1">
        <f>IF(B563="", "", "years")</f>
        <v>0</v>
      </c>
      <c r="I563" s="1">
        <f>IF(B563="", "", "human")</f>
        <v>0</v>
      </c>
      <c r="K563" s="1">
        <f>IF(B563="", "", "cm")</f>
        <v>0</v>
      </c>
      <c r="L563" s="1">
        <f>IF(B563="", "", "Homo sapiens")</f>
        <v>0</v>
      </c>
      <c r="M563" s="1">
        <f>IF(B563="", "", "9606")</f>
        <v>0</v>
      </c>
      <c r="O563" s="1">
        <f>IF(B563="", "", "kg")</f>
        <v>0</v>
      </c>
    </row>
    <row r="564" spans="1:15">
      <c r="A564">
        <f>IF(COUNTBLANK(B564:Q564)&lt;&gt;COLUMNS(B564:Q564),563,"")</f>
        <v>0</v>
      </c>
      <c r="C564" s="1">
        <f>IF(B564="", "", "urban biome")</f>
        <v>0</v>
      </c>
      <c r="D564" s="1">
        <f>IF(B564="", "", "human-associated habitat")</f>
        <v>0</v>
      </c>
      <c r="G564" s="1">
        <f>IF(B564="", "", "years")</f>
        <v>0</v>
      </c>
      <c r="I564" s="1">
        <f>IF(B564="", "", "human")</f>
        <v>0</v>
      </c>
      <c r="K564" s="1">
        <f>IF(B564="", "", "cm")</f>
        <v>0</v>
      </c>
      <c r="L564" s="1">
        <f>IF(B564="", "", "Homo sapiens")</f>
        <v>0</v>
      </c>
      <c r="M564" s="1">
        <f>IF(B564="", "", "9606")</f>
        <v>0</v>
      </c>
      <c r="O564" s="1">
        <f>IF(B564="", "", "kg")</f>
        <v>0</v>
      </c>
    </row>
    <row r="565" spans="1:15">
      <c r="A565">
        <f>IF(COUNTBLANK(B565:Q565)&lt;&gt;COLUMNS(B565:Q565),564,"")</f>
        <v>0</v>
      </c>
      <c r="C565" s="1">
        <f>IF(B565="", "", "urban biome")</f>
        <v>0</v>
      </c>
      <c r="D565" s="1">
        <f>IF(B565="", "", "human-associated habitat")</f>
        <v>0</v>
      </c>
      <c r="G565" s="1">
        <f>IF(B565="", "", "years")</f>
        <v>0</v>
      </c>
      <c r="I565" s="1">
        <f>IF(B565="", "", "human")</f>
        <v>0</v>
      </c>
      <c r="K565" s="1">
        <f>IF(B565="", "", "cm")</f>
        <v>0</v>
      </c>
      <c r="L565" s="1">
        <f>IF(B565="", "", "Homo sapiens")</f>
        <v>0</v>
      </c>
      <c r="M565" s="1">
        <f>IF(B565="", "", "9606")</f>
        <v>0</v>
      </c>
      <c r="O565" s="1">
        <f>IF(B565="", "", "kg")</f>
        <v>0</v>
      </c>
    </row>
    <row r="566" spans="1:15">
      <c r="A566">
        <f>IF(COUNTBLANK(B566:Q566)&lt;&gt;COLUMNS(B566:Q566),565,"")</f>
        <v>0</v>
      </c>
      <c r="C566" s="1">
        <f>IF(B566="", "", "urban biome")</f>
        <v>0</v>
      </c>
      <c r="D566" s="1">
        <f>IF(B566="", "", "human-associated habitat")</f>
        <v>0</v>
      </c>
      <c r="G566" s="1">
        <f>IF(B566="", "", "years")</f>
        <v>0</v>
      </c>
      <c r="I566" s="1">
        <f>IF(B566="", "", "human")</f>
        <v>0</v>
      </c>
      <c r="K566" s="1">
        <f>IF(B566="", "", "cm")</f>
        <v>0</v>
      </c>
      <c r="L566" s="1">
        <f>IF(B566="", "", "Homo sapiens")</f>
        <v>0</v>
      </c>
      <c r="M566" s="1">
        <f>IF(B566="", "", "9606")</f>
        <v>0</v>
      </c>
      <c r="O566" s="1">
        <f>IF(B566="", "", "kg")</f>
        <v>0</v>
      </c>
    </row>
    <row r="567" spans="1:15">
      <c r="A567">
        <f>IF(COUNTBLANK(B567:Q567)&lt;&gt;COLUMNS(B567:Q567),566,"")</f>
        <v>0</v>
      </c>
      <c r="C567" s="1">
        <f>IF(B567="", "", "urban biome")</f>
        <v>0</v>
      </c>
      <c r="D567" s="1">
        <f>IF(B567="", "", "human-associated habitat")</f>
        <v>0</v>
      </c>
      <c r="G567" s="1">
        <f>IF(B567="", "", "years")</f>
        <v>0</v>
      </c>
      <c r="I567" s="1">
        <f>IF(B567="", "", "human")</f>
        <v>0</v>
      </c>
      <c r="K567" s="1">
        <f>IF(B567="", "", "cm")</f>
        <v>0</v>
      </c>
      <c r="L567" s="1">
        <f>IF(B567="", "", "Homo sapiens")</f>
        <v>0</v>
      </c>
      <c r="M567" s="1">
        <f>IF(B567="", "", "9606")</f>
        <v>0</v>
      </c>
      <c r="O567" s="1">
        <f>IF(B567="", "", "kg")</f>
        <v>0</v>
      </c>
    </row>
    <row r="568" spans="1:15">
      <c r="A568">
        <f>IF(COUNTBLANK(B568:Q568)&lt;&gt;COLUMNS(B568:Q568),567,"")</f>
        <v>0</v>
      </c>
      <c r="C568" s="1">
        <f>IF(B568="", "", "urban biome")</f>
        <v>0</v>
      </c>
      <c r="D568" s="1">
        <f>IF(B568="", "", "human-associated habitat")</f>
        <v>0</v>
      </c>
      <c r="G568" s="1">
        <f>IF(B568="", "", "years")</f>
        <v>0</v>
      </c>
      <c r="I568" s="1">
        <f>IF(B568="", "", "human")</f>
        <v>0</v>
      </c>
      <c r="K568" s="1">
        <f>IF(B568="", "", "cm")</f>
        <v>0</v>
      </c>
      <c r="L568" s="1">
        <f>IF(B568="", "", "Homo sapiens")</f>
        <v>0</v>
      </c>
      <c r="M568" s="1">
        <f>IF(B568="", "", "9606")</f>
        <v>0</v>
      </c>
      <c r="O568" s="1">
        <f>IF(B568="", "", "kg")</f>
        <v>0</v>
      </c>
    </row>
    <row r="569" spans="1:15">
      <c r="A569">
        <f>IF(COUNTBLANK(B569:Q569)&lt;&gt;COLUMNS(B569:Q569),568,"")</f>
        <v>0</v>
      </c>
      <c r="C569" s="1">
        <f>IF(B569="", "", "urban biome")</f>
        <v>0</v>
      </c>
      <c r="D569" s="1">
        <f>IF(B569="", "", "human-associated habitat")</f>
        <v>0</v>
      </c>
      <c r="G569" s="1">
        <f>IF(B569="", "", "years")</f>
        <v>0</v>
      </c>
      <c r="I569" s="1">
        <f>IF(B569="", "", "human")</f>
        <v>0</v>
      </c>
      <c r="K569" s="1">
        <f>IF(B569="", "", "cm")</f>
        <v>0</v>
      </c>
      <c r="L569" s="1">
        <f>IF(B569="", "", "Homo sapiens")</f>
        <v>0</v>
      </c>
      <c r="M569" s="1">
        <f>IF(B569="", "", "9606")</f>
        <v>0</v>
      </c>
      <c r="O569" s="1">
        <f>IF(B569="", "", "kg")</f>
        <v>0</v>
      </c>
    </row>
    <row r="570" spans="1:15">
      <c r="A570">
        <f>IF(COUNTBLANK(B570:Q570)&lt;&gt;COLUMNS(B570:Q570),569,"")</f>
        <v>0</v>
      </c>
      <c r="C570" s="1">
        <f>IF(B570="", "", "urban biome")</f>
        <v>0</v>
      </c>
      <c r="D570" s="1">
        <f>IF(B570="", "", "human-associated habitat")</f>
        <v>0</v>
      </c>
      <c r="G570" s="1">
        <f>IF(B570="", "", "years")</f>
        <v>0</v>
      </c>
      <c r="I570" s="1">
        <f>IF(B570="", "", "human")</f>
        <v>0</v>
      </c>
      <c r="K570" s="1">
        <f>IF(B570="", "", "cm")</f>
        <v>0</v>
      </c>
      <c r="L570" s="1">
        <f>IF(B570="", "", "Homo sapiens")</f>
        <v>0</v>
      </c>
      <c r="M570" s="1">
        <f>IF(B570="", "", "9606")</f>
        <v>0</v>
      </c>
      <c r="O570" s="1">
        <f>IF(B570="", "", "kg")</f>
        <v>0</v>
      </c>
    </row>
    <row r="571" spans="1:15">
      <c r="A571">
        <f>IF(COUNTBLANK(B571:Q571)&lt;&gt;COLUMNS(B571:Q571),570,"")</f>
        <v>0</v>
      </c>
      <c r="C571" s="1">
        <f>IF(B571="", "", "urban biome")</f>
        <v>0</v>
      </c>
      <c r="D571" s="1">
        <f>IF(B571="", "", "human-associated habitat")</f>
        <v>0</v>
      </c>
      <c r="G571" s="1">
        <f>IF(B571="", "", "years")</f>
        <v>0</v>
      </c>
      <c r="I571" s="1">
        <f>IF(B571="", "", "human")</f>
        <v>0</v>
      </c>
      <c r="K571" s="1">
        <f>IF(B571="", "", "cm")</f>
        <v>0</v>
      </c>
      <c r="L571" s="1">
        <f>IF(B571="", "", "Homo sapiens")</f>
        <v>0</v>
      </c>
      <c r="M571" s="1">
        <f>IF(B571="", "", "9606")</f>
        <v>0</v>
      </c>
      <c r="O571" s="1">
        <f>IF(B571="", "", "kg")</f>
        <v>0</v>
      </c>
    </row>
    <row r="572" spans="1:15">
      <c r="A572">
        <f>IF(COUNTBLANK(B572:Q572)&lt;&gt;COLUMNS(B572:Q572),571,"")</f>
        <v>0</v>
      </c>
      <c r="C572" s="1">
        <f>IF(B572="", "", "urban biome")</f>
        <v>0</v>
      </c>
      <c r="D572" s="1">
        <f>IF(B572="", "", "human-associated habitat")</f>
        <v>0</v>
      </c>
      <c r="G572" s="1">
        <f>IF(B572="", "", "years")</f>
        <v>0</v>
      </c>
      <c r="I572" s="1">
        <f>IF(B572="", "", "human")</f>
        <v>0</v>
      </c>
      <c r="K572" s="1">
        <f>IF(B572="", "", "cm")</f>
        <v>0</v>
      </c>
      <c r="L572" s="1">
        <f>IF(B572="", "", "Homo sapiens")</f>
        <v>0</v>
      </c>
      <c r="M572" s="1">
        <f>IF(B572="", "", "9606")</f>
        <v>0</v>
      </c>
      <c r="O572" s="1">
        <f>IF(B572="", "", "kg")</f>
        <v>0</v>
      </c>
    </row>
    <row r="573" spans="1:15">
      <c r="A573">
        <f>IF(COUNTBLANK(B573:Q573)&lt;&gt;COLUMNS(B573:Q573),572,"")</f>
        <v>0</v>
      </c>
      <c r="C573" s="1">
        <f>IF(B573="", "", "urban biome")</f>
        <v>0</v>
      </c>
      <c r="D573" s="1">
        <f>IF(B573="", "", "human-associated habitat")</f>
        <v>0</v>
      </c>
      <c r="G573" s="1">
        <f>IF(B573="", "", "years")</f>
        <v>0</v>
      </c>
      <c r="I573" s="1">
        <f>IF(B573="", "", "human")</f>
        <v>0</v>
      </c>
      <c r="K573" s="1">
        <f>IF(B573="", "", "cm")</f>
        <v>0</v>
      </c>
      <c r="L573" s="1">
        <f>IF(B573="", "", "Homo sapiens")</f>
        <v>0</v>
      </c>
      <c r="M573" s="1">
        <f>IF(B573="", "", "9606")</f>
        <v>0</v>
      </c>
      <c r="O573" s="1">
        <f>IF(B573="", "", "kg")</f>
        <v>0</v>
      </c>
    </row>
    <row r="574" spans="1:15">
      <c r="A574">
        <f>IF(COUNTBLANK(B574:Q574)&lt;&gt;COLUMNS(B574:Q574),573,"")</f>
        <v>0</v>
      </c>
      <c r="C574" s="1">
        <f>IF(B574="", "", "urban biome")</f>
        <v>0</v>
      </c>
      <c r="D574" s="1">
        <f>IF(B574="", "", "human-associated habitat")</f>
        <v>0</v>
      </c>
      <c r="G574" s="1">
        <f>IF(B574="", "", "years")</f>
        <v>0</v>
      </c>
      <c r="I574" s="1">
        <f>IF(B574="", "", "human")</f>
        <v>0</v>
      </c>
      <c r="K574" s="1">
        <f>IF(B574="", "", "cm")</f>
        <v>0</v>
      </c>
      <c r="L574" s="1">
        <f>IF(B574="", "", "Homo sapiens")</f>
        <v>0</v>
      </c>
      <c r="M574" s="1">
        <f>IF(B574="", "", "9606")</f>
        <v>0</v>
      </c>
      <c r="O574" s="1">
        <f>IF(B574="", "", "kg")</f>
        <v>0</v>
      </c>
    </row>
    <row r="575" spans="1:15">
      <c r="A575">
        <f>IF(COUNTBLANK(B575:Q575)&lt;&gt;COLUMNS(B575:Q575),574,"")</f>
        <v>0</v>
      </c>
      <c r="C575" s="1">
        <f>IF(B575="", "", "urban biome")</f>
        <v>0</v>
      </c>
      <c r="D575" s="1">
        <f>IF(B575="", "", "human-associated habitat")</f>
        <v>0</v>
      </c>
      <c r="G575" s="1">
        <f>IF(B575="", "", "years")</f>
        <v>0</v>
      </c>
      <c r="I575" s="1">
        <f>IF(B575="", "", "human")</f>
        <v>0</v>
      </c>
      <c r="K575" s="1">
        <f>IF(B575="", "", "cm")</f>
        <v>0</v>
      </c>
      <c r="L575" s="1">
        <f>IF(B575="", "", "Homo sapiens")</f>
        <v>0</v>
      </c>
      <c r="M575" s="1">
        <f>IF(B575="", "", "9606")</f>
        <v>0</v>
      </c>
      <c r="O575" s="1">
        <f>IF(B575="", "", "kg")</f>
        <v>0</v>
      </c>
    </row>
    <row r="576" spans="1:15">
      <c r="A576">
        <f>IF(COUNTBLANK(B576:Q576)&lt;&gt;COLUMNS(B576:Q576),575,"")</f>
        <v>0</v>
      </c>
      <c r="C576" s="1">
        <f>IF(B576="", "", "urban biome")</f>
        <v>0</v>
      </c>
      <c r="D576" s="1">
        <f>IF(B576="", "", "human-associated habitat")</f>
        <v>0</v>
      </c>
      <c r="G576" s="1">
        <f>IF(B576="", "", "years")</f>
        <v>0</v>
      </c>
      <c r="I576" s="1">
        <f>IF(B576="", "", "human")</f>
        <v>0</v>
      </c>
      <c r="K576" s="1">
        <f>IF(B576="", "", "cm")</f>
        <v>0</v>
      </c>
      <c r="L576" s="1">
        <f>IF(B576="", "", "Homo sapiens")</f>
        <v>0</v>
      </c>
      <c r="M576" s="1">
        <f>IF(B576="", "", "9606")</f>
        <v>0</v>
      </c>
      <c r="O576" s="1">
        <f>IF(B576="", "", "kg")</f>
        <v>0</v>
      </c>
    </row>
    <row r="577" spans="1:15">
      <c r="A577">
        <f>IF(COUNTBLANK(B577:Q577)&lt;&gt;COLUMNS(B577:Q577),576,"")</f>
        <v>0</v>
      </c>
      <c r="C577" s="1">
        <f>IF(B577="", "", "urban biome")</f>
        <v>0</v>
      </c>
      <c r="D577" s="1">
        <f>IF(B577="", "", "human-associated habitat")</f>
        <v>0</v>
      </c>
      <c r="G577" s="1">
        <f>IF(B577="", "", "years")</f>
        <v>0</v>
      </c>
      <c r="I577" s="1">
        <f>IF(B577="", "", "human")</f>
        <v>0</v>
      </c>
      <c r="K577" s="1">
        <f>IF(B577="", "", "cm")</f>
        <v>0</v>
      </c>
      <c r="L577" s="1">
        <f>IF(B577="", "", "Homo sapiens")</f>
        <v>0</v>
      </c>
      <c r="M577" s="1">
        <f>IF(B577="", "", "9606")</f>
        <v>0</v>
      </c>
      <c r="O577" s="1">
        <f>IF(B577="", "", "kg")</f>
        <v>0</v>
      </c>
    </row>
    <row r="578" spans="1:15">
      <c r="A578">
        <f>IF(COUNTBLANK(B578:Q578)&lt;&gt;COLUMNS(B578:Q578),577,"")</f>
        <v>0</v>
      </c>
      <c r="C578" s="1">
        <f>IF(B578="", "", "urban biome")</f>
        <v>0</v>
      </c>
      <c r="D578" s="1">
        <f>IF(B578="", "", "human-associated habitat")</f>
        <v>0</v>
      </c>
      <c r="G578" s="1">
        <f>IF(B578="", "", "years")</f>
        <v>0</v>
      </c>
      <c r="I578" s="1">
        <f>IF(B578="", "", "human")</f>
        <v>0</v>
      </c>
      <c r="K578" s="1">
        <f>IF(B578="", "", "cm")</f>
        <v>0</v>
      </c>
      <c r="L578" s="1">
        <f>IF(B578="", "", "Homo sapiens")</f>
        <v>0</v>
      </c>
      <c r="M578" s="1">
        <f>IF(B578="", "", "9606")</f>
        <v>0</v>
      </c>
      <c r="O578" s="1">
        <f>IF(B578="", "", "kg")</f>
        <v>0</v>
      </c>
    </row>
    <row r="579" spans="1:15">
      <c r="A579">
        <f>IF(COUNTBLANK(B579:Q579)&lt;&gt;COLUMNS(B579:Q579),578,"")</f>
        <v>0</v>
      </c>
      <c r="C579" s="1">
        <f>IF(B579="", "", "urban biome")</f>
        <v>0</v>
      </c>
      <c r="D579" s="1">
        <f>IF(B579="", "", "human-associated habitat")</f>
        <v>0</v>
      </c>
      <c r="G579" s="1">
        <f>IF(B579="", "", "years")</f>
        <v>0</v>
      </c>
      <c r="I579" s="1">
        <f>IF(B579="", "", "human")</f>
        <v>0</v>
      </c>
      <c r="K579" s="1">
        <f>IF(B579="", "", "cm")</f>
        <v>0</v>
      </c>
      <c r="L579" s="1">
        <f>IF(B579="", "", "Homo sapiens")</f>
        <v>0</v>
      </c>
      <c r="M579" s="1">
        <f>IF(B579="", "", "9606")</f>
        <v>0</v>
      </c>
      <c r="O579" s="1">
        <f>IF(B579="", "", "kg")</f>
        <v>0</v>
      </c>
    </row>
    <row r="580" spans="1:15">
      <c r="A580">
        <f>IF(COUNTBLANK(B580:Q580)&lt;&gt;COLUMNS(B580:Q580),579,"")</f>
        <v>0</v>
      </c>
      <c r="C580" s="1">
        <f>IF(B580="", "", "urban biome")</f>
        <v>0</v>
      </c>
      <c r="D580" s="1">
        <f>IF(B580="", "", "human-associated habitat")</f>
        <v>0</v>
      </c>
      <c r="G580" s="1">
        <f>IF(B580="", "", "years")</f>
        <v>0</v>
      </c>
      <c r="I580" s="1">
        <f>IF(B580="", "", "human")</f>
        <v>0</v>
      </c>
      <c r="K580" s="1">
        <f>IF(B580="", "", "cm")</f>
        <v>0</v>
      </c>
      <c r="L580" s="1">
        <f>IF(B580="", "", "Homo sapiens")</f>
        <v>0</v>
      </c>
      <c r="M580" s="1">
        <f>IF(B580="", "", "9606")</f>
        <v>0</v>
      </c>
      <c r="O580" s="1">
        <f>IF(B580="", "", "kg")</f>
        <v>0</v>
      </c>
    </row>
    <row r="581" spans="1:15">
      <c r="A581">
        <f>IF(COUNTBLANK(B581:Q581)&lt;&gt;COLUMNS(B581:Q581),580,"")</f>
        <v>0</v>
      </c>
      <c r="C581" s="1">
        <f>IF(B581="", "", "urban biome")</f>
        <v>0</v>
      </c>
      <c r="D581" s="1">
        <f>IF(B581="", "", "human-associated habitat")</f>
        <v>0</v>
      </c>
      <c r="G581" s="1">
        <f>IF(B581="", "", "years")</f>
        <v>0</v>
      </c>
      <c r="I581" s="1">
        <f>IF(B581="", "", "human")</f>
        <v>0</v>
      </c>
      <c r="K581" s="1">
        <f>IF(B581="", "", "cm")</f>
        <v>0</v>
      </c>
      <c r="L581" s="1">
        <f>IF(B581="", "", "Homo sapiens")</f>
        <v>0</v>
      </c>
      <c r="M581" s="1">
        <f>IF(B581="", "", "9606")</f>
        <v>0</v>
      </c>
      <c r="O581" s="1">
        <f>IF(B581="", "", "kg")</f>
        <v>0</v>
      </c>
    </row>
    <row r="582" spans="1:15">
      <c r="A582">
        <f>IF(COUNTBLANK(B582:Q582)&lt;&gt;COLUMNS(B582:Q582),581,"")</f>
        <v>0</v>
      </c>
      <c r="C582" s="1">
        <f>IF(B582="", "", "urban biome")</f>
        <v>0</v>
      </c>
      <c r="D582" s="1">
        <f>IF(B582="", "", "human-associated habitat")</f>
        <v>0</v>
      </c>
      <c r="G582" s="1">
        <f>IF(B582="", "", "years")</f>
        <v>0</v>
      </c>
      <c r="I582" s="1">
        <f>IF(B582="", "", "human")</f>
        <v>0</v>
      </c>
      <c r="K582" s="1">
        <f>IF(B582="", "", "cm")</f>
        <v>0</v>
      </c>
      <c r="L582" s="1">
        <f>IF(B582="", "", "Homo sapiens")</f>
        <v>0</v>
      </c>
      <c r="M582" s="1">
        <f>IF(B582="", "", "9606")</f>
        <v>0</v>
      </c>
      <c r="O582" s="1">
        <f>IF(B582="", "", "kg")</f>
        <v>0</v>
      </c>
    </row>
    <row r="583" spans="1:15">
      <c r="A583">
        <f>IF(COUNTBLANK(B583:Q583)&lt;&gt;COLUMNS(B583:Q583),582,"")</f>
        <v>0</v>
      </c>
      <c r="C583" s="1">
        <f>IF(B583="", "", "urban biome")</f>
        <v>0</v>
      </c>
      <c r="D583" s="1">
        <f>IF(B583="", "", "human-associated habitat")</f>
        <v>0</v>
      </c>
      <c r="G583" s="1">
        <f>IF(B583="", "", "years")</f>
        <v>0</v>
      </c>
      <c r="I583" s="1">
        <f>IF(B583="", "", "human")</f>
        <v>0</v>
      </c>
      <c r="K583" s="1">
        <f>IF(B583="", "", "cm")</f>
        <v>0</v>
      </c>
      <c r="L583" s="1">
        <f>IF(B583="", "", "Homo sapiens")</f>
        <v>0</v>
      </c>
      <c r="M583" s="1">
        <f>IF(B583="", "", "9606")</f>
        <v>0</v>
      </c>
      <c r="O583" s="1">
        <f>IF(B583="", "", "kg")</f>
        <v>0</v>
      </c>
    </row>
    <row r="584" spans="1:15">
      <c r="A584">
        <f>IF(COUNTBLANK(B584:Q584)&lt;&gt;COLUMNS(B584:Q584),583,"")</f>
        <v>0</v>
      </c>
      <c r="C584" s="1">
        <f>IF(B584="", "", "urban biome")</f>
        <v>0</v>
      </c>
      <c r="D584" s="1">
        <f>IF(B584="", "", "human-associated habitat")</f>
        <v>0</v>
      </c>
      <c r="G584" s="1">
        <f>IF(B584="", "", "years")</f>
        <v>0</v>
      </c>
      <c r="I584" s="1">
        <f>IF(B584="", "", "human")</f>
        <v>0</v>
      </c>
      <c r="K584" s="1">
        <f>IF(B584="", "", "cm")</f>
        <v>0</v>
      </c>
      <c r="L584" s="1">
        <f>IF(B584="", "", "Homo sapiens")</f>
        <v>0</v>
      </c>
      <c r="M584" s="1">
        <f>IF(B584="", "", "9606")</f>
        <v>0</v>
      </c>
      <c r="O584" s="1">
        <f>IF(B584="", "", "kg")</f>
        <v>0</v>
      </c>
    </row>
    <row r="585" spans="1:15">
      <c r="A585">
        <f>IF(COUNTBLANK(B585:Q585)&lt;&gt;COLUMNS(B585:Q585),584,"")</f>
        <v>0</v>
      </c>
      <c r="C585" s="1">
        <f>IF(B585="", "", "urban biome")</f>
        <v>0</v>
      </c>
      <c r="D585" s="1">
        <f>IF(B585="", "", "human-associated habitat")</f>
        <v>0</v>
      </c>
      <c r="G585" s="1">
        <f>IF(B585="", "", "years")</f>
        <v>0</v>
      </c>
      <c r="I585" s="1">
        <f>IF(B585="", "", "human")</f>
        <v>0</v>
      </c>
      <c r="K585" s="1">
        <f>IF(B585="", "", "cm")</f>
        <v>0</v>
      </c>
      <c r="L585" s="1">
        <f>IF(B585="", "", "Homo sapiens")</f>
        <v>0</v>
      </c>
      <c r="M585" s="1">
        <f>IF(B585="", "", "9606")</f>
        <v>0</v>
      </c>
      <c r="O585" s="1">
        <f>IF(B585="", "", "kg")</f>
        <v>0</v>
      </c>
    </row>
    <row r="586" spans="1:15">
      <c r="A586">
        <f>IF(COUNTBLANK(B586:Q586)&lt;&gt;COLUMNS(B586:Q586),585,"")</f>
        <v>0</v>
      </c>
      <c r="C586" s="1">
        <f>IF(B586="", "", "urban biome")</f>
        <v>0</v>
      </c>
      <c r="D586" s="1">
        <f>IF(B586="", "", "human-associated habitat")</f>
        <v>0</v>
      </c>
      <c r="G586" s="1">
        <f>IF(B586="", "", "years")</f>
        <v>0</v>
      </c>
      <c r="I586" s="1">
        <f>IF(B586="", "", "human")</f>
        <v>0</v>
      </c>
      <c r="K586" s="1">
        <f>IF(B586="", "", "cm")</f>
        <v>0</v>
      </c>
      <c r="L586" s="1">
        <f>IF(B586="", "", "Homo sapiens")</f>
        <v>0</v>
      </c>
      <c r="M586" s="1">
        <f>IF(B586="", "", "9606")</f>
        <v>0</v>
      </c>
      <c r="O586" s="1">
        <f>IF(B586="", "", "kg")</f>
        <v>0</v>
      </c>
    </row>
    <row r="587" spans="1:15">
      <c r="A587">
        <f>IF(COUNTBLANK(B587:Q587)&lt;&gt;COLUMNS(B587:Q587),586,"")</f>
        <v>0</v>
      </c>
      <c r="C587" s="1">
        <f>IF(B587="", "", "urban biome")</f>
        <v>0</v>
      </c>
      <c r="D587" s="1">
        <f>IF(B587="", "", "human-associated habitat")</f>
        <v>0</v>
      </c>
      <c r="G587" s="1">
        <f>IF(B587="", "", "years")</f>
        <v>0</v>
      </c>
      <c r="I587" s="1">
        <f>IF(B587="", "", "human")</f>
        <v>0</v>
      </c>
      <c r="K587" s="1">
        <f>IF(B587="", "", "cm")</f>
        <v>0</v>
      </c>
      <c r="L587" s="1">
        <f>IF(B587="", "", "Homo sapiens")</f>
        <v>0</v>
      </c>
      <c r="M587" s="1">
        <f>IF(B587="", "", "9606")</f>
        <v>0</v>
      </c>
      <c r="O587" s="1">
        <f>IF(B587="", "", "kg")</f>
        <v>0</v>
      </c>
    </row>
    <row r="588" spans="1:15">
      <c r="A588">
        <f>IF(COUNTBLANK(B588:Q588)&lt;&gt;COLUMNS(B588:Q588),587,"")</f>
        <v>0</v>
      </c>
      <c r="C588" s="1">
        <f>IF(B588="", "", "urban biome")</f>
        <v>0</v>
      </c>
      <c r="D588" s="1">
        <f>IF(B588="", "", "human-associated habitat")</f>
        <v>0</v>
      </c>
      <c r="G588" s="1">
        <f>IF(B588="", "", "years")</f>
        <v>0</v>
      </c>
      <c r="I588" s="1">
        <f>IF(B588="", "", "human")</f>
        <v>0</v>
      </c>
      <c r="K588" s="1">
        <f>IF(B588="", "", "cm")</f>
        <v>0</v>
      </c>
      <c r="L588" s="1">
        <f>IF(B588="", "", "Homo sapiens")</f>
        <v>0</v>
      </c>
      <c r="M588" s="1">
        <f>IF(B588="", "", "9606")</f>
        <v>0</v>
      </c>
      <c r="O588" s="1">
        <f>IF(B588="", "", "kg")</f>
        <v>0</v>
      </c>
    </row>
    <row r="589" spans="1:15">
      <c r="A589">
        <f>IF(COUNTBLANK(B589:Q589)&lt;&gt;COLUMNS(B589:Q589),588,"")</f>
        <v>0</v>
      </c>
      <c r="C589" s="1">
        <f>IF(B589="", "", "urban biome")</f>
        <v>0</v>
      </c>
      <c r="D589" s="1">
        <f>IF(B589="", "", "human-associated habitat")</f>
        <v>0</v>
      </c>
      <c r="G589" s="1">
        <f>IF(B589="", "", "years")</f>
        <v>0</v>
      </c>
      <c r="I589" s="1">
        <f>IF(B589="", "", "human")</f>
        <v>0</v>
      </c>
      <c r="K589" s="1">
        <f>IF(B589="", "", "cm")</f>
        <v>0</v>
      </c>
      <c r="L589" s="1">
        <f>IF(B589="", "", "Homo sapiens")</f>
        <v>0</v>
      </c>
      <c r="M589" s="1">
        <f>IF(B589="", "", "9606")</f>
        <v>0</v>
      </c>
      <c r="O589" s="1">
        <f>IF(B589="", "", "kg")</f>
        <v>0</v>
      </c>
    </row>
    <row r="590" spans="1:15">
      <c r="A590">
        <f>IF(COUNTBLANK(B590:Q590)&lt;&gt;COLUMNS(B590:Q590),589,"")</f>
        <v>0</v>
      </c>
      <c r="C590" s="1">
        <f>IF(B590="", "", "urban biome")</f>
        <v>0</v>
      </c>
      <c r="D590" s="1">
        <f>IF(B590="", "", "human-associated habitat")</f>
        <v>0</v>
      </c>
      <c r="G590" s="1">
        <f>IF(B590="", "", "years")</f>
        <v>0</v>
      </c>
      <c r="I590" s="1">
        <f>IF(B590="", "", "human")</f>
        <v>0</v>
      </c>
      <c r="K590" s="1">
        <f>IF(B590="", "", "cm")</f>
        <v>0</v>
      </c>
      <c r="L590" s="1">
        <f>IF(B590="", "", "Homo sapiens")</f>
        <v>0</v>
      </c>
      <c r="M590" s="1">
        <f>IF(B590="", "", "9606")</f>
        <v>0</v>
      </c>
      <c r="O590" s="1">
        <f>IF(B590="", "", "kg")</f>
        <v>0</v>
      </c>
    </row>
    <row r="591" spans="1:15">
      <c r="A591">
        <f>IF(COUNTBLANK(B591:Q591)&lt;&gt;COLUMNS(B591:Q591),590,"")</f>
        <v>0</v>
      </c>
      <c r="C591" s="1">
        <f>IF(B591="", "", "urban biome")</f>
        <v>0</v>
      </c>
      <c r="D591" s="1">
        <f>IF(B591="", "", "human-associated habitat")</f>
        <v>0</v>
      </c>
      <c r="G591" s="1">
        <f>IF(B591="", "", "years")</f>
        <v>0</v>
      </c>
      <c r="I591" s="1">
        <f>IF(B591="", "", "human")</f>
        <v>0</v>
      </c>
      <c r="K591" s="1">
        <f>IF(B591="", "", "cm")</f>
        <v>0</v>
      </c>
      <c r="L591" s="1">
        <f>IF(B591="", "", "Homo sapiens")</f>
        <v>0</v>
      </c>
      <c r="M591" s="1">
        <f>IF(B591="", "", "9606")</f>
        <v>0</v>
      </c>
      <c r="O591" s="1">
        <f>IF(B591="", "", "kg")</f>
        <v>0</v>
      </c>
    </row>
    <row r="592" spans="1:15">
      <c r="A592">
        <f>IF(COUNTBLANK(B592:Q592)&lt;&gt;COLUMNS(B592:Q592),591,"")</f>
        <v>0</v>
      </c>
      <c r="C592" s="1">
        <f>IF(B592="", "", "urban biome")</f>
        <v>0</v>
      </c>
      <c r="D592" s="1">
        <f>IF(B592="", "", "human-associated habitat")</f>
        <v>0</v>
      </c>
      <c r="G592" s="1">
        <f>IF(B592="", "", "years")</f>
        <v>0</v>
      </c>
      <c r="I592" s="1">
        <f>IF(B592="", "", "human")</f>
        <v>0</v>
      </c>
      <c r="K592" s="1">
        <f>IF(B592="", "", "cm")</f>
        <v>0</v>
      </c>
      <c r="L592" s="1">
        <f>IF(B592="", "", "Homo sapiens")</f>
        <v>0</v>
      </c>
      <c r="M592" s="1">
        <f>IF(B592="", "", "9606")</f>
        <v>0</v>
      </c>
      <c r="O592" s="1">
        <f>IF(B592="", "", "kg")</f>
        <v>0</v>
      </c>
    </row>
    <row r="593" spans="1:15">
      <c r="A593">
        <f>IF(COUNTBLANK(B593:Q593)&lt;&gt;COLUMNS(B593:Q593),592,"")</f>
        <v>0</v>
      </c>
      <c r="C593" s="1">
        <f>IF(B593="", "", "urban biome")</f>
        <v>0</v>
      </c>
      <c r="D593" s="1">
        <f>IF(B593="", "", "human-associated habitat")</f>
        <v>0</v>
      </c>
      <c r="G593" s="1">
        <f>IF(B593="", "", "years")</f>
        <v>0</v>
      </c>
      <c r="I593" s="1">
        <f>IF(B593="", "", "human")</f>
        <v>0</v>
      </c>
      <c r="K593" s="1">
        <f>IF(B593="", "", "cm")</f>
        <v>0</v>
      </c>
      <c r="L593" s="1">
        <f>IF(B593="", "", "Homo sapiens")</f>
        <v>0</v>
      </c>
      <c r="M593" s="1">
        <f>IF(B593="", "", "9606")</f>
        <v>0</v>
      </c>
      <c r="O593" s="1">
        <f>IF(B593="", "", "kg")</f>
        <v>0</v>
      </c>
    </row>
    <row r="594" spans="1:15">
      <c r="A594">
        <f>IF(COUNTBLANK(B594:Q594)&lt;&gt;COLUMNS(B594:Q594),593,"")</f>
        <v>0</v>
      </c>
      <c r="C594" s="1">
        <f>IF(B594="", "", "urban biome")</f>
        <v>0</v>
      </c>
      <c r="D594" s="1">
        <f>IF(B594="", "", "human-associated habitat")</f>
        <v>0</v>
      </c>
      <c r="G594" s="1">
        <f>IF(B594="", "", "years")</f>
        <v>0</v>
      </c>
      <c r="I594" s="1">
        <f>IF(B594="", "", "human")</f>
        <v>0</v>
      </c>
      <c r="K594" s="1">
        <f>IF(B594="", "", "cm")</f>
        <v>0</v>
      </c>
      <c r="L594" s="1">
        <f>IF(B594="", "", "Homo sapiens")</f>
        <v>0</v>
      </c>
      <c r="M594" s="1">
        <f>IF(B594="", "", "9606")</f>
        <v>0</v>
      </c>
      <c r="O594" s="1">
        <f>IF(B594="", "", "kg")</f>
        <v>0</v>
      </c>
    </row>
    <row r="595" spans="1:15">
      <c r="A595">
        <f>IF(COUNTBLANK(B595:Q595)&lt;&gt;COLUMNS(B595:Q595),594,"")</f>
        <v>0</v>
      </c>
      <c r="C595" s="1">
        <f>IF(B595="", "", "urban biome")</f>
        <v>0</v>
      </c>
      <c r="D595" s="1">
        <f>IF(B595="", "", "human-associated habitat")</f>
        <v>0</v>
      </c>
      <c r="G595" s="1">
        <f>IF(B595="", "", "years")</f>
        <v>0</v>
      </c>
      <c r="I595" s="1">
        <f>IF(B595="", "", "human")</f>
        <v>0</v>
      </c>
      <c r="K595" s="1">
        <f>IF(B595="", "", "cm")</f>
        <v>0</v>
      </c>
      <c r="L595" s="1">
        <f>IF(B595="", "", "Homo sapiens")</f>
        <v>0</v>
      </c>
      <c r="M595" s="1">
        <f>IF(B595="", "", "9606")</f>
        <v>0</v>
      </c>
      <c r="O595" s="1">
        <f>IF(B595="", "", "kg")</f>
        <v>0</v>
      </c>
    </row>
    <row r="596" spans="1:15">
      <c r="A596">
        <f>IF(COUNTBLANK(B596:Q596)&lt;&gt;COLUMNS(B596:Q596),595,"")</f>
        <v>0</v>
      </c>
      <c r="C596" s="1">
        <f>IF(B596="", "", "urban biome")</f>
        <v>0</v>
      </c>
      <c r="D596" s="1">
        <f>IF(B596="", "", "human-associated habitat")</f>
        <v>0</v>
      </c>
      <c r="G596" s="1">
        <f>IF(B596="", "", "years")</f>
        <v>0</v>
      </c>
      <c r="I596" s="1">
        <f>IF(B596="", "", "human")</f>
        <v>0</v>
      </c>
      <c r="K596" s="1">
        <f>IF(B596="", "", "cm")</f>
        <v>0</v>
      </c>
      <c r="L596" s="1">
        <f>IF(B596="", "", "Homo sapiens")</f>
        <v>0</v>
      </c>
      <c r="M596" s="1">
        <f>IF(B596="", "", "9606")</f>
        <v>0</v>
      </c>
      <c r="O596" s="1">
        <f>IF(B596="", "", "kg")</f>
        <v>0</v>
      </c>
    </row>
    <row r="597" spans="1:15">
      <c r="A597">
        <f>IF(COUNTBLANK(B597:Q597)&lt;&gt;COLUMNS(B597:Q597),596,"")</f>
        <v>0</v>
      </c>
      <c r="C597" s="1">
        <f>IF(B597="", "", "urban biome")</f>
        <v>0</v>
      </c>
      <c r="D597" s="1">
        <f>IF(B597="", "", "human-associated habitat")</f>
        <v>0</v>
      </c>
      <c r="G597" s="1">
        <f>IF(B597="", "", "years")</f>
        <v>0</v>
      </c>
      <c r="I597" s="1">
        <f>IF(B597="", "", "human")</f>
        <v>0</v>
      </c>
      <c r="K597" s="1">
        <f>IF(B597="", "", "cm")</f>
        <v>0</v>
      </c>
      <c r="L597" s="1">
        <f>IF(B597="", "", "Homo sapiens")</f>
        <v>0</v>
      </c>
      <c r="M597" s="1">
        <f>IF(B597="", "", "9606")</f>
        <v>0</v>
      </c>
      <c r="O597" s="1">
        <f>IF(B597="", "", "kg")</f>
        <v>0</v>
      </c>
    </row>
    <row r="598" spans="1:15">
      <c r="A598">
        <f>IF(COUNTBLANK(B598:Q598)&lt;&gt;COLUMNS(B598:Q598),597,"")</f>
        <v>0</v>
      </c>
      <c r="C598" s="1">
        <f>IF(B598="", "", "urban biome")</f>
        <v>0</v>
      </c>
      <c r="D598" s="1">
        <f>IF(B598="", "", "human-associated habitat")</f>
        <v>0</v>
      </c>
      <c r="G598" s="1">
        <f>IF(B598="", "", "years")</f>
        <v>0</v>
      </c>
      <c r="I598" s="1">
        <f>IF(B598="", "", "human")</f>
        <v>0</v>
      </c>
      <c r="K598" s="1">
        <f>IF(B598="", "", "cm")</f>
        <v>0</v>
      </c>
      <c r="L598" s="1">
        <f>IF(B598="", "", "Homo sapiens")</f>
        <v>0</v>
      </c>
      <c r="M598" s="1">
        <f>IF(B598="", "", "9606")</f>
        <v>0</v>
      </c>
      <c r="O598" s="1">
        <f>IF(B598="", "", "kg")</f>
        <v>0</v>
      </c>
    </row>
    <row r="599" spans="1:15">
      <c r="A599">
        <f>IF(COUNTBLANK(B599:Q599)&lt;&gt;COLUMNS(B599:Q599),598,"")</f>
        <v>0</v>
      </c>
      <c r="C599" s="1">
        <f>IF(B599="", "", "urban biome")</f>
        <v>0</v>
      </c>
      <c r="D599" s="1">
        <f>IF(B599="", "", "human-associated habitat")</f>
        <v>0</v>
      </c>
      <c r="G599" s="1">
        <f>IF(B599="", "", "years")</f>
        <v>0</v>
      </c>
      <c r="I599" s="1">
        <f>IF(B599="", "", "human")</f>
        <v>0</v>
      </c>
      <c r="K599" s="1">
        <f>IF(B599="", "", "cm")</f>
        <v>0</v>
      </c>
      <c r="L599" s="1">
        <f>IF(B599="", "", "Homo sapiens")</f>
        <v>0</v>
      </c>
      <c r="M599" s="1">
        <f>IF(B599="", "", "9606")</f>
        <v>0</v>
      </c>
      <c r="O599" s="1">
        <f>IF(B599="", "", "kg")</f>
        <v>0</v>
      </c>
    </row>
    <row r="600" spans="1:15">
      <c r="A600">
        <f>IF(COUNTBLANK(B600:Q600)&lt;&gt;COLUMNS(B600:Q600),599,"")</f>
        <v>0</v>
      </c>
      <c r="C600" s="1">
        <f>IF(B600="", "", "urban biome")</f>
        <v>0</v>
      </c>
      <c r="D600" s="1">
        <f>IF(B600="", "", "human-associated habitat")</f>
        <v>0</v>
      </c>
      <c r="G600" s="1">
        <f>IF(B600="", "", "years")</f>
        <v>0</v>
      </c>
      <c r="I600" s="1">
        <f>IF(B600="", "", "human")</f>
        <v>0</v>
      </c>
      <c r="K600" s="1">
        <f>IF(B600="", "", "cm")</f>
        <v>0</v>
      </c>
      <c r="L600" s="1">
        <f>IF(B600="", "", "Homo sapiens")</f>
        <v>0</v>
      </c>
      <c r="M600" s="1">
        <f>IF(B600="", "", "9606")</f>
        <v>0</v>
      </c>
      <c r="O600" s="1">
        <f>IF(B600="", "", "kg")</f>
        <v>0</v>
      </c>
    </row>
    <row r="601" spans="1:15">
      <c r="A601">
        <f>IF(COUNTBLANK(B601:Q601)&lt;&gt;COLUMNS(B601:Q601),600,"")</f>
        <v>0</v>
      </c>
      <c r="C601" s="1">
        <f>IF(B601="", "", "urban biome")</f>
        <v>0</v>
      </c>
      <c r="D601" s="1">
        <f>IF(B601="", "", "human-associated habitat")</f>
        <v>0</v>
      </c>
      <c r="G601" s="1">
        <f>IF(B601="", "", "years")</f>
        <v>0</v>
      </c>
      <c r="I601" s="1">
        <f>IF(B601="", "", "human")</f>
        <v>0</v>
      </c>
      <c r="K601" s="1">
        <f>IF(B601="", "", "cm")</f>
        <v>0</v>
      </c>
      <c r="L601" s="1">
        <f>IF(B601="", "", "Homo sapiens")</f>
        <v>0</v>
      </c>
      <c r="M601" s="1">
        <f>IF(B601="", "", "9606")</f>
        <v>0</v>
      </c>
      <c r="O601" s="1">
        <f>IF(B601="", "", "kg")</f>
        <v>0</v>
      </c>
    </row>
    <row r="602" spans="1:15">
      <c r="A602">
        <f>IF(COUNTBLANK(B602:Q602)&lt;&gt;COLUMNS(B602:Q602),601,"")</f>
        <v>0</v>
      </c>
      <c r="C602" s="1">
        <f>IF(B602="", "", "urban biome")</f>
        <v>0</v>
      </c>
      <c r="D602" s="1">
        <f>IF(B602="", "", "human-associated habitat")</f>
        <v>0</v>
      </c>
      <c r="G602" s="1">
        <f>IF(B602="", "", "years")</f>
        <v>0</v>
      </c>
      <c r="I602" s="1">
        <f>IF(B602="", "", "human")</f>
        <v>0</v>
      </c>
      <c r="K602" s="1">
        <f>IF(B602="", "", "cm")</f>
        <v>0</v>
      </c>
      <c r="L602" s="1">
        <f>IF(B602="", "", "Homo sapiens")</f>
        <v>0</v>
      </c>
      <c r="M602" s="1">
        <f>IF(B602="", "", "9606")</f>
        <v>0</v>
      </c>
      <c r="O602" s="1">
        <f>IF(B602="", "", "kg")</f>
        <v>0</v>
      </c>
    </row>
    <row r="603" spans="1:15">
      <c r="A603">
        <f>IF(COUNTBLANK(B603:Q603)&lt;&gt;COLUMNS(B603:Q603),602,"")</f>
        <v>0</v>
      </c>
      <c r="C603" s="1">
        <f>IF(B603="", "", "urban biome")</f>
        <v>0</v>
      </c>
      <c r="D603" s="1">
        <f>IF(B603="", "", "human-associated habitat")</f>
        <v>0</v>
      </c>
      <c r="G603" s="1">
        <f>IF(B603="", "", "years")</f>
        <v>0</v>
      </c>
      <c r="I603" s="1">
        <f>IF(B603="", "", "human")</f>
        <v>0</v>
      </c>
      <c r="K603" s="1">
        <f>IF(B603="", "", "cm")</f>
        <v>0</v>
      </c>
      <c r="L603" s="1">
        <f>IF(B603="", "", "Homo sapiens")</f>
        <v>0</v>
      </c>
      <c r="M603" s="1">
        <f>IF(B603="", "", "9606")</f>
        <v>0</v>
      </c>
      <c r="O603" s="1">
        <f>IF(B603="", "", "kg")</f>
        <v>0</v>
      </c>
    </row>
    <row r="604" spans="1:15">
      <c r="A604">
        <f>IF(COUNTBLANK(B604:Q604)&lt;&gt;COLUMNS(B604:Q604),603,"")</f>
        <v>0</v>
      </c>
      <c r="C604" s="1">
        <f>IF(B604="", "", "urban biome")</f>
        <v>0</v>
      </c>
      <c r="D604" s="1">
        <f>IF(B604="", "", "human-associated habitat")</f>
        <v>0</v>
      </c>
      <c r="G604" s="1">
        <f>IF(B604="", "", "years")</f>
        <v>0</v>
      </c>
      <c r="I604" s="1">
        <f>IF(B604="", "", "human")</f>
        <v>0</v>
      </c>
      <c r="K604" s="1">
        <f>IF(B604="", "", "cm")</f>
        <v>0</v>
      </c>
      <c r="L604" s="1">
        <f>IF(B604="", "", "Homo sapiens")</f>
        <v>0</v>
      </c>
      <c r="M604" s="1">
        <f>IF(B604="", "", "9606")</f>
        <v>0</v>
      </c>
      <c r="O604" s="1">
        <f>IF(B604="", "", "kg")</f>
        <v>0</v>
      </c>
    </row>
    <row r="605" spans="1:15">
      <c r="A605">
        <f>IF(COUNTBLANK(B605:Q605)&lt;&gt;COLUMNS(B605:Q605),604,"")</f>
        <v>0</v>
      </c>
      <c r="C605" s="1">
        <f>IF(B605="", "", "urban biome")</f>
        <v>0</v>
      </c>
      <c r="D605" s="1">
        <f>IF(B605="", "", "human-associated habitat")</f>
        <v>0</v>
      </c>
      <c r="G605" s="1">
        <f>IF(B605="", "", "years")</f>
        <v>0</v>
      </c>
      <c r="I605" s="1">
        <f>IF(B605="", "", "human")</f>
        <v>0</v>
      </c>
      <c r="K605" s="1">
        <f>IF(B605="", "", "cm")</f>
        <v>0</v>
      </c>
      <c r="L605" s="1">
        <f>IF(B605="", "", "Homo sapiens")</f>
        <v>0</v>
      </c>
      <c r="M605" s="1">
        <f>IF(B605="", "", "9606")</f>
        <v>0</v>
      </c>
      <c r="O605" s="1">
        <f>IF(B605="", "", "kg")</f>
        <v>0</v>
      </c>
    </row>
    <row r="606" spans="1:15">
      <c r="A606">
        <f>IF(COUNTBLANK(B606:Q606)&lt;&gt;COLUMNS(B606:Q606),605,"")</f>
        <v>0</v>
      </c>
      <c r="C606" s="1">
        <f>IF(B606="", "", "urban biome")</f>
        <v>0</v>
      </c>
      <c r="D606" s="1">
        <f>IF(B606="", "", "human-associated habitat")</f>
        <v>0</v>
      </c>
      <c r="G606" s="1">
        <f>IF(B606="", "", "years")</f>
        <v>0</v>
      </c>
      <c r="I606" s="1">
        <f>IF(B606="", "", "human")</f>
        <v>0</v>
      </c>
      <c r="K606" s="1">
        <f>IF(B606="", "", "cm")</f>
        <v>0</v>
      </c>
      <c r="L606" s="1">
        <f>IF(B606="", "", "Homo sapiens")</f>
        <v>0</v>
      </c>
      <c r="M606" s="1">
        <f>IF(B606="", "", "9606")</f>
        <v>0</v>
      </c>
      <c r="O606" s="1">
        <f>IF(B606="", "", "kg")</f>
        <v>0</v>
      </c>
    </row>
    <row r="607" spans="1:15">
      <c r="A607">
        <f>IF(COUNTBLANK(B607:Q607)&lt;&gt;COLUMNS(B607:Q607),606,"")</f>
        <v>0</v>
      </c>
      <c r="C607" s="1">
        <f>IF(B607="", "", "urban biome")</f>
        <v>0</v>
      </c>
      <c r="D607" s="1">
        <f>IF(B607="", "", "human-associated habitat")</f>
        <v>0</v>
      </c>
      <c r="G607" s="1">
        <f>IF(B607="", "", "years")</f>
        <v>0</v>
      </c>
      <c r="I607" s="1">
        <f>IF(B607="", "", "human")</f>
        <v>0</v>
      </c>
      <c r="K607" s="1">
        <f>IF(B607="", "", "cm")</f>
        <v>0</v>
      </c>
      <c r="L607" s="1">
        <f>IF(B607="", "", "Homo sapiens")</f>
        <v>0</v>
      </c>
      <c r="M607" s="1">
        <f>IF(B607="", "", "9606")</f>
        <v>0</v>
      </c>
      <c r="O607" s="1">
        <f>IF(B607="", "", "kg")</f>
        <v>0</v>
      </c>
    </row>
    <row r="608" spans="1:15">
      <c r="A608">
        <f>IF(COUNTBLANK(B608:Q608)&lt;&gt;COLUMNS(B608:Q608),607,"")</f>
        <v>0</v>
      </c>
      <c r="C608" s="1">
        <f>IF(B608="", "", "urban biome")</f>
        <v>0</v>
      </c>
      <c r="D608" s="1">
        <f>IF(B608="", "", "human-associated habitat")</f>
        <v>0</v>
      </c>
      <c r="G608" s="1">
        <f>IF(B608="", "", "years")</f>
        <v>0</v>
      </c>
      <c r="I608" s="1">
        <f>IF(B608="", "", "human")</f>
        <v>0</v>
      </c>
      <c r="K608" s="1">
        <f>IF(B608="", "", "cm")</f>
        <v>0</v>
      </c>
      <c r="L608" s="1">
        <f>IF(B608="", "", "Homo sapiens")</f>
        <v>0</v>
      </c>
      <c r="M608" s="1">
        <f>IF(B608="", "", "9606")</f>
        <v>0</v>
      </c>
      <c r="O608" s="1">
        <f>IF(B608="", "", "kg")</f>
        <v>0</v>
      </c>
    </row>
    <row r="609" spans="1:15">
      <c r="A609">
        <f>IF(COUNTBLANK(B609:Q609)&lt;&gt;COLUMNS(B609:Q609),608,"")</f>
        <v>0</v>
      </c>
      <c r="C609" s="1">
        <f>IF(B609="", "", "urban biome")</f>
        <v>0</v>
      </c>
      <c r="D609" s="1">
        <f>IF(B609="", "", "human-associated habitat")</f>
        <v>0</v>
      </c>
      <c r="G609" s="1">
        <f>IF(B609="", "", "years")</f>
        <v>0</v>
      </c>
      <c r="I609" s="1">
        <f>IF(B609="", "", "human")</f>
        <v>0</v>
      </c>
      <c r="K609" s="1">
        <f>IF(B609="", "", "cm")</f>
        <v>0</v>
      </c>
      <c r="L609" s="1">
        <f>IF(B609="", "", "Homo sapiens")</f>
        <v>0</v>
      </c>
      <c r="M609" s="1">
        <f>IF(B609="", "", "9606")</f>
        <v>0</v>
      </c>
      <c r="O609" s="1">
        <f>IF(B609="", "", "kg")</f>
        <v>0</v>
      </c>
    </row>
    <row r="610" spans="1:15">
      <c r="A610">
        <f>IF(COUNTBLANK(B610:Q610)&lt;&gt;COLUMNS(B610:Q610),609,"")</f>
        <v>0</v>
      </c>
      <c r="C610" s="1">
        <f>IF(B610="", "", "urban biome")</f>
        <v>0</v>
      </c>
      <c r="D610" s="1">
        <f>IF(B610="", "", "human-associated habitat")</f>
        <v>0</v>
      </c>
      <c r="G610" s="1">
        <f>IF(B610="", "", "years")</f>
        <v>0</v>
      </c>
      <c r="I610" s="1">
        <f>IF(B610="", "", "human")</f>
        <v>0</v>
      </c>
      <c r="K610" s="1">
        <f>IF(B610="", "", "cm")</f>
        <v>0</v>
      </c>
      <c r="L610" s="1">
        <f>IF(B610="", "", "Homo sapiens")</f>
        <v>0</v>
      </c>
      <c r="M610" s="1">
        <f>IF(B610="", "", "9606")</f>
        <v>0</v>
      </c>
      <c r="O610" s="1">
        <f>IF(B610="", "", "kg")</f>
        <v>0</v>
      </c>
    </row>
    <row r="611" spans="1:15">
      <c r="A611">
        <f>IF(COUNTBLANK(B611:Q611)&lt;&gt;COLUMNS(B611:Q611),610,"")</f>
        <v>0</v>
      </c>
      <c r="C611" s="1">
        <f>IF(B611="", "", "urban biome")</f>
        <v>0</v>
      </c>
      <c r="D611" s="1">
        <f>IF(B611="", "", "human-associated habitat")</f>
        <v>0</v>
      </c>
      <c r="G611" s="1">
        <f>IF(B611="", "", "years")</f>
        <v>0</v>
      </c>
      <c r="I611" s="1">
        <f>IF(B611="", "", "human")</f>
        <v>0</v>
      </c>
      <c r="K611" s="1">
        <f>IF(B611="", "", "cm")</f>
        <v>0</v>
      </c>
      <c r="L611" s="1">
        <f>IF(B611="", "", "Homo sapiens")</f>
        <v>0</v>
      </c>
      <c r="M611" s="1">
        <f>IF(B611="", "", "9606")</f>
        <v>0</v>
      </c>
      <c r="O611" s="1">
        <f>IF(B611="", "", "kg")</f>
        <v>0</v>
      </c>
    </row>
    <row r="612" spans="1:15">
      <c r="A612">
        <f>IF(COUNTBLANK(B612:Q612)&lt;&gt;COLUMNS(B612:Q612),611,"")</f>
        <v>0</v>
      </c>
      <c r="C612" s="1">
        <f>IF(B612="", "", "urban biome")</f>
        <v>0</v>
      </c>
      <c r="D612" s="1">
        <f>IF(B612="", "", "human-associated habitat")</f>
        <v>0</v>
      </c>
      <c r="G612" s="1">
        <f>IF(B612="", "", "years")</f>
        <v>0</v>
      </c>
      <c r="I612" s="1">
        <f>IF(B612="", "", "human")</f>
        <v>0</v>
      </c>
      <c r="K612" s="1">
        <f>IF(B612="", "", "cm")</f>
        <v>0</v>
      </c>
      <c r="L612" s="1">
        <f>IF(B612="", "", "Homo sapiens")</f>
        <v>0</v>
      </c>
      <c r="M612" s="1">
        <f>IF(B612="", "", "9606")</f>
        <v>0</v>
      </c>
      <c r="O612" s="1">
        <f>IF(B612="", "", "kg")</f>
        <v>0</v>
      </c>
    </row>
    <row r="613" spans="1:15">
      <c r="A613">
        <f>IF(COUNTBLANK(B613:Q613)&lt;&gt;COLUMNS(B613:Q613),612,"")</f>
        <v>0</v>
      </c>
      <c r="C613" s="1">
        <f>IF(B613="", "", "urban biome")</f>
        <v>0</v>
      </c>
      <c r="D613" s="1">
        <f>IF(B613="", "", "human-associated habitat")</f>
        <v>0</v>
      </c>
      <c r="G613" s="1">
        <f>IF(B613="", "", "years")</f>
        <v>0</v>
      </c>
      <c r="I613" s="1">
        <f>IF(B613="", "", "human")</f>
        <v>0</v>
      </c>
      <c r="K613" s="1">
        <f>IF(B613="", "", "cm")</f>
        <v>0</v>
      </c>
      <c r="L613" s="1">
        <f>IF(B613="", "", "Homo sapiens")</f>
        <v>0</v>
      </c>
      <c r="M613" s="1">
        <f>IF(B613="", "", "9606")</f>
        <v>0</v>
      </c>
      <c r="O613" s="1">
        <f>IF(B613="", "", "kg")</f>
        <v>0</v>
      </c>
    </row>
    <row r="614" spans="1:15">
      <c r="A614">
        <f>IF(COUNTBLANK(B614:Q614)&lt;&gt;COLUMNS(B614:Q614),613,"")</f>
        <v>0</v>
      </c>
      <c r="C614" s="1">
        <f>IF(B614="", "", "urban biome")</f>
        <v>0</v>
      </c>
      <c r="D614" s="1">
        <f>IF(B614="", "", "human-associated habitat")</f>
        <v>0</v>
      </c>
      <c r="G614" s="1">
        <f>IF(B614="", "", "years")</f>
        <v>0</v>
      </c>
      <c r="I614" s="1">
        <f>IF(B614="", "", "human")</f>
        <v>0</v>
      </c>
      <c r="K614" s="1">
        <f>IF(B614="", "", "cm")</f>
        <v>0</v>
      </c>
      <c r="L614" s="1">
        <f>IF(B614="", "", "Homo sapiens")</f>
        <v>0</v>
      </c>
      <c r="M614" s="1">
        <f>IF(B614="", "", "9606")</f>
        <v>0</v>
      </c>
      <c r="O614" s="1">
        <f>IF(B614="", "", "kg")</f>
        <v>0</v>
      </c>
    </row>
    <row r="615" spans="1:15">
      <c r="A615">
        <f>IF(COUNTBLANK(B615:Q615)&lt;&gt;COLUMNS(B615:Q615),614,"")</f>
        <v>0</v>
      </c>
      <c r="C615" s="1">
        <f>IF(B615="", "", "urban biome")</f>
        <v>0</v>
      </c>
      <c r="D615" s="1">
        <f>IF(B615="", "", "human-associated habitat")</f>
        <v>0</v>
      </c>
      <c r="G615" s="1">
        <f>IF(B615="", "", "years")</f>
        <v>0</v>
      </c>
      <c r="I615" s="1">
        <f>IF(B615="", "", "human")</f>
        <v>0</v>
      </c>
      <c r="K615" s="1">
        <f>IF(B615="", "", "cm")</f>
        <v>0</v>
      </c>
      <c r="L615" s="1">
        <f>IF(B615="", "", "Homo sapiens")</f>
        <v>0</v>
      </c>
      <c r="M615" s="1">
        <f>IF(B615="", "", "9606")</f>
        <v>0</v>
      </c>
      <c r="O615" s="1">
        <f>IF(B615="", "", "kg")</f>
        <v>0</v>
      </c>
    </row>
    <row r="616" spans="1:15">
      <c r="A616">
        <f>IF(COUNTBLANK(B616:Q616)&lt;&gt;COLUMNS(B616:Q616),615,"")</f>
        <v>0</v>
      </c>
      <c r="C616" s="1">
        <f>IF(B616="", "", "urban biome")</f>
        <v>0</v>
      </c>
      <c r="D616" s="1">
        <f>IF(B616="", "", "human-associated habitat")</f>
        <v>0</v>
      </c>
      <c r="G616" s="1">
        <f>IF(B616="", "", "years")</f>
        <v>0</v>
      </c>
      <c r="I616" s="1">
        <f>IF(B616="", "", "human")</f>
        <v>0</v>
      </c>
      <c r="K616" s="1">
        <f>IF(B616="", "", "cm")</f>
        <v>0</v>
      </c>
      <c r="L616" s="1">
        <f>IF(B616="", "", "Homo sapiens")</f>
        <v>0</v>
      </c>
      <c r="M616" s="1">
        <f>IF(B616="", "", "9606")</f>
        <v>0</v>
      </c>
      <c r="O616" s="1">
        <f>IF(B616="", "", "kg")</f>
        <v>0</v>
      </c>
    </row>
    <row r="617" spans="1:15">
      <c r="A617">
        <f>IF(COUNTBLANK(B617:Q617)&lt;&gt;COLUMNS(B617:Q617),616,"")</f>
        <v>0</v>
      </c>
      <c r="C617" s="1">
        <f>IF(B617="", "", "urban biome")</f>
        <v>0</v>
      </c>
      <c r="D617" s="1">
        <f>IF(B617="", "", "human-associated habitat")</f>
        <v>0</v>
      </c>
      <c r="G617" s="1">
        <f>IF(B617="", "", "years")</f>
        <v>0</v>
      </c>
      <c r="I617" s="1">
        <f>IF(B617="", "", "human")</f>
        <v>0</v>
      </c>
      <c r="K617" s="1">
        <f>IF(B617="", "", "cm")</f>
        <v>0</v>
      </c>
      <c r="L617" s="1">
        <f>IF(B617="", "", "Homo sapiens")</f>
        <v>0</v>
      </c>
      <c r="M617" s="1">
        <f>IF(B617="", "", "9606")</f>
        <v>0</v>
      </c>
      <c r="O617" s="1">
        <f>IF(B617="", "", "kg")</f>
        <v>0</v>
      </c>
    </row>
    <row r="618" spans="1:15">
      <c r="A618">
        <f>IF(COUNTBLANK(B618:Q618)&lt;&gt;COLUMNS(B618:Q618),617,"")</f>
        <v>0</v>
      </c>
      <c r="C618" s="1">
        <f>IF(B618="", "", "urban biome")</f>
        <v>0</v>
      </c>
      <c r="D618" s="1">
        <f>IF(B618="", "", "human-associated habitat")</f>
        <v>0</v>
      </c>
      <c r="G618" s="1">
        <f>IF(B618="", "", "years")</f>
        <v>0</v>
      </c>
      <c r="I618" s="1">
        <f>IF(B618="", "", "human")</f>
        <v>0</v>
      </c>
      <c r="K618" s="1">
        <f>IF(B618="", "", "cm")</f>
        <v>0</v>
      </c>
      <c r="L618" s="1">
        <f>IF(B618="", "", "Homo sapiens")</f>
        <v>0</v>
      </c>
      <c r="M618" s="1">
        <f>IF(B618="", "", "9606")</f>
        <v>0</v>
      </c>
      <c r="O618" s="1">
        <f>IF(B618="", "", "kg")</f>
        <v>0</v>
      </c>
    </row>
    <row r="619" spans="1:15">
      <c r="A619">
        <f>IF(COUNTBLANK(B619:Q619)&lt;&gt;COLUMNS(B619:Q619),618,"")</f>
        <v>0</v>
      </c>
      <c r="C619" s="1">
        <f>IF(B619="", "", "urban biome")</f>
        <v>0</v>
      </c>
      <c r="D619" s="1">
        <f>IF(B619="", "", "human-associated habitat")</f>
        <v>0</v>
      </c>
      <c r="G619" s="1">
        <f>IF(B619="", "", "years")</f>
        <v>0</v>
      </c>
      <c r="I619" s="1">
        <f>IF(B619="", "", "human")</f>
        <v>0</v>
      </c>
      <c r="K619" s="1">
        <f>IF(B619="", "", "cm")</f>
        <v>0</v>
      </c>
      <c r="L619" s="1">
        <f>IF(B619="", "", "Homo sapiens")</f>
        <v>0</v>
      </c>
      <c r="M619" s="1">
        <f>IF(B619="", "", "9606")</f>
        <v>0</v>
      </c>
      <c r="O619" s="1">
        <f>IF(B619="", "", "kg")</f>
        <v>0</v>
      </c>
    </row>
    <row r="620" spans="1:15">
      <c r="A620">
        <f>IF(COUNTBLANK(B620:Q620)&lt;&gt;COLUMNS(B620:Q620),619,"")</f>
        <v>0</v>
      </c>
      <c r="C620" s="1">
        <f>IF(B620="", "", "urban biome")</f>
        <v>0</v>
      </c>
      <c r="D620" s="1">
        <f>IF(B620="", "", "human-associated habitat")</f>
        <v>0</v>
      </c>
      <c r="G620" s="1">
        <f>IF(B620="", "", "years")</f>
        <v>0</v>
      </c>
      <c r="I620" s="1">
        <f>IF(B620="", "", "human")</f>
        <v>0</v>
      </c>
      <c r="K620" s="1">
        <f>IF(B620="", "", "cm")</f>
        <v>0</v>
      </c>
      <c r="L620" s="1">
        <f>IF(B620="", "", "Homo sapiens")</f>
        <v>0</v>
      </c>
      <c r="M620" s="1">
        <f>IF(B620="", "", "9606")</f>
        <v>0</v>
      </c>
      <c r="O620" s="1">
        <f>IF(B620="", "", "kg")</f>
        <v>0</v>
      </c>
    </row>
    <row r="621" spans="1:15">
      <c r="A621">
        <f>IF(COUNTBLANK(B621:Q621)&lt;&gt;COLUMNS(B621:Q621),620,"")</f>
        <v>0</v>
      </c>
      <c r="C621" s="1">
        <f>IF(B621="", "", "urban biome")</f>
        <v>0</v>
      </c>
      <c r="D621" s="1">
        <f>IF(B621="", "", "human-associated habitat")</f>
        <v>0</v>
      </c>
      <c r="G621" s="1">
        <f>IF(B621="", "", "years")</f>
        <v>0</v>
      </c>
      <c r="I621" s="1">
        <f>IF(B621="", "", "human")</f>
        <v>0</v>
      </c>
      <c r="K621" s="1">
        <f>IF(B621="", "", "cm")</f>
        <v>0</v>
      </c>
      <c r="L621" s="1">
        <f>IF(B621="", "", "Homo sapiens")</f>
        <v>0</v>
      </c>
      <c r="M621" s="1">
        <f>IF(B621="", "", "9606")</f>
        <v>0</v>
      </c>
      <c r="O621" s="1">
        <f>IF(B621="", "", "kg")</f>
        <v>0</v>
      </c>
    </row>
    <row r="622" spans="1:15">
      <c r="A622">
        <f>IF(COUNTBLANK(B622:Q622)&lt;&gt;COLUMNS(B622:Q622),621,"")</f>
        <v>0</v>
      </c>
      <c r="C622" s="1">
        <f>IF(B622="", "", "urban biome")</f>
        <v>0</v>
      </c>
      <c r="D622" s="1">
        <f>IF(B622="", "", "human-associated habitat")</f>
        <v>0</v>
      </c>
      <c r="G622" s="1">
        <f>IF(B622="", "", "years")</f>
        <v>0</v>
      </c>
      <c r="I622" s="1">
        <f>IF(B622="", "", "human")</f>
        <v>0</v>
      </c>
      <c r="K622" s="1">
        <f>IF(B622="", "", "cm")</f>
        <v>0</v>
      </c>
      <c r="L622" s="1">
        <f>IF(B622="", "", "Homo sapiens")</f>
        <v>0</v>
      </c>
      <c r="M622" s="1">
        <f>IF(B622="", "", "9606")</f>
        <v>0</v>
      </c>
      <c r="O622" s="1">
        <f>IF(B622="", "", "kg")</f>
        <v>0</v>
      </c>
    </row>
    <row r="623" spans="1:15">
      <c r="A623">
        <f>IF(COUNTBLANK(B623:Q623)&lt;&gt;COLUMNS(B623:Q623),622,"")</f>
        <v>0</v>
      </c>
      <c r="C623" s="1">
        <f>IF(B623="", "", "urban biome")</f>
        <v>0</v>
      </c>
      <c r="D623" s="1">
        <f>IF(B623="", "", "human-associated habitat")</f>
        <v>0</v>
      </c>
      <c r="G623" s="1">
        <f>IF(B623="", "", "years")</f>
        <v>0</v>
      </c>
      <c r="I623" s="1">
        <f>IF(B623="", "", "human")</f>
        <v>0</v>
      </c>
      <c r="K623" s="1">
        <f>IF(B623="", "", "cm")</f>
        <v>0</v>
      </c>
      <c r="L623" s="1">
        <f>IF(B623="", "", "Homo sapiens")</f>
        <v>0</v>
      </c>
      <c r="M623" s="1">
        <f>IF(B623="", "", "9606")</f>
        <v>0</v>
      </c>
      <c r="O623" s="1">
        <f>IF(B623="", "", "kg")</f>
        <v>0</v>
      </c>
    </row>
    <row r="624" spans="1:15">
      <c r="A624">
        <f>IF(COUNTBLANK(B624:Q624)&lt;&gt;COLUMNS(B624:Q624),623,"")</f>
        <v>0</v>
      </c>
      <c r="C624" s="1">
        <f>IF(B624="", "", "urban biome")</f>
        <v>0</v>
      </c>
      <c r="D624" s="1">
        <f>IF(B624="", "", "human-associated habitat")</f>
        <v>0</v>
      </c>
      <c r="G624" s="1">
        <f>IF(B624="", "", "years")</f>
        <v>0</v>
      </c>
      <c r="I624" s="1">
        <f>IF(B624="", "", "human")</f>
        <v>0</v>
      </c>
      <c r="K624" s="1">
        <f>IF(B624="", "", "cm")</f>
        <v>0</v>
      </c>
      <c r="L624" s="1">
        <f>IF(B624="", "", "Homo sapiens")</f>
        <v>0</v>
      </c>
      <c r="M624" s="1">
        <f>IF(B624="", "", "9606")</f>
        <v>0</v>
      </c>
      <c r="O624" s="1">
        <f>IF(B624="", "", "kg")</f>
        <v>0</v>
      </c>
    </row>
    <row r="625" spans="1:15">
      <c r="A625">
        <f>IF(COUNTBLANK(B625:Q625)&lt;&gt;COLUMNS(B625:Q625),624,"")</f>
        <v>0</v>
      </c>
      <c r="C625" s="1">
        <f>IF(B625="", "", "urban biome")</f>
        <v>0</v>
      </c>
      <c r="D625" s="1">
        <f>IF(B625="", "", "human-associated habitat")</f>
        <v>0</v>
      </c>
      <c r="G625" s="1">
        <f>IF(B625="", "", "years")</f>
        <v>0</v>
      </c>
      <c r="I625" s="1">
        <f>IF(B625="", "", "human")</f>
        <v>0</v>
      </c>
      <c r="K625" s="1">
        <f>IF(B625="", "", "cm")</f>
        <v>0</v>
      </c>
      <c r="L625" s="1">
        <f>IF(B625="", "", "Homo sapiens")</f>
        <v>0</v>
      </c>
      <c r="M625" s="1">
        <f>IF(B625="", "", "9606")</f>
        <v>0</v>
      </c>
      <c r="O625" s="1">
        <f>IF(B625="", "", "kg")</f>
        <v>0</v>
      </c>
    </row>
    <row r="626" spans="1:15">
      <c r="A626">
        <f>IF(COUNTBLANK(B626:Q626)&lt;&gt;COLUMNS(B626:Q626),625,"")</f>
        <v>0</v>
      </c>
      <c r="C626" s="1">
        <f>IF(B626="", "", "urban biome")</f>
        <v>0</v>
      </c>
      <c r="D626" s="1">
        <f>IF(B626="", "", "human-associated habitat")</f>
        <v>0</v>
      </c>
      <c r="G626" s="1">
        <f>IF(B626="", "", "years")</f>
        <v>0</v>
      </c>
      <c r="I626" s="1">
        <f>IF(B626="", "", "human")</f>
        <v>0</v>
      </c>
      <c r="K626" s="1">
        <f>IF(B626="", "", "cm")</f>
        <v>0</v>
      </c>
      <c r="L626" s="1">
        <f>IF(B626="", "", "Homo sapiens")</f>
        <v>0</v>
      </c>
      <c r="M626" s="1">
        <f>IF(B626="", "", "9606")</f>
        <v>0</v>
      </c>
      <c r="O626" s="1">
        <f>IF(B626="", "", "kg")</f>
        <v>0</v>
      </c>
    </row>
    <row r="627" spans="1:15">
      <c r="A627">
        <f>IF(COUNTBLANK(B627:Q627)&lt;&gt;COLUMNS(B627:Q627),626,"")</f>
        <v>0</v>
      </c>
      <c r="C627" s="1">
        <f>IF(B627="", "", "urban biome")</f>
        <v>0</v>
      </c>
      <c r="D627" s="1">
        <f>IF(B627="", "", "human-associated habitat")</f>
        <v>0</v>
      </c>
      <c r="G627" s="1">
        <f>IF(B627="", "", "years")</f>
        <v>0</v>
      </c>
      <c r="I627" s="1">
        <f>IF(B627="", "", "human")</f>
        <v>0</v>
      </c>
      <c r="K627" s="1">
        <f>IF(B627="", "", "cm")</f>
        <v>0</v>
      </c>
      <c r="L627" s="1">
        <f>IF(B627="", "", "Homo sapiens")</f>
        <v>0</v>
      </c>
      <c r="M627" s="1">
        <f>IF(B627="", "", "9606")</f>
        <v>0</v>
      </c>
      <c r="O627" s="1">
        <f>IF(B627="", "", "kg")</f>
        <v>0</v>
      </c>
    </row>
    <row r="628" spans="1:15">
      <c r="A628">
        <f>IF(COUNTBLANK(B628:Q628)&lt;&gt;COLUMNS(B628:Q628),627,"")</f>
        <v>0</v>
      </c>
      <c r="C628" s="1">
        <f>IF(B628="", "", "urban biome")</f>
        <v>0</v>
      </c>
      <c r="D628" s="1">
        <f>IF(B628="", "", "human-associated habitat")</f>
        <v>0</v>
      </c>
      <c r="G628" s="1">
        <f>IF(B628="", "", "years")</f>
        <v>0</v>
      </c>
      <c r="I628" s="1">
        <f>IF(B628="", "", "human")</f>
        <v>0</v>
      </c>
      <c r="K628" s="1">
        <f>IF(B628="", "", "cm")</f>
        <v>0</v>
      </c>
      <c r="L628" s="1">
        <f>IF(B628="", "", "Homo sapiens")</f>
        <v>0</v>
      </c>
      <c r="M628" s="1">
        <f>IF(B628="", "", "9606")</f>
        <v>0</v>
      </c>
      <c r="O628" s="1">
        <f>IF(B628="", "", "kg")</f>
        <v>0</v>
      </c>
    </row>
    <row r="629" spans="1:15">
      <c r="A629">
        <f>IF(COUNTBLANK(B629:Q629)&lt;&gt;COLUMNS(B629:Q629),628,"")</f>
        <v>0</v>
      </c>
      <c r="C629" s="1">
        <f>IF(B629="", "", "urban biome")</f>
        <v>0</v>
      </c>
      <c r="D629" s="1">
        <f>IF(B629="", "", "human-associated habitat")</f>
        <v>0</v>
      </c>
      <c r="G629" s="1">
        <f>IF(B629="", "", "years")</f>
        <v>0</v>
      </c>
      <c r="I629" s="1">
        <f>IF(B629="", "", "human")</f>
        <v>0</v>
      </c>
      <c r="K629" s="1">
        <f>IF(B629="", "", "cm")</f>
        <v>0</v>
      </c>
      <c r="L629" s="1">
        <f>IF(B629="", "", "Homo sapiens")</f>
        <v>0</v>
      </c>
      <c r="M629" s="1">
        <f>IF(B629="", "", "9606")</f>
        <v>0</v>
      </c>
      <c r="O629" s="1">
        <f>IF(B629="", "", "kg")</f>
        <v>0</v>
      </c>
    </row>
    <row r="630" spans="1:15">
      <c r="A630">
        <f>IF(COUNTBLANK(B630:Q630)&lt;&gt;COLUMNS(B630:Q630),629,"")</f>
        <v>0</v>
      </c>
      <c r="C630" s="1">
        <f>IF(B630="", "", "urban biome")</f>
        <v>0</v>
      </c>
      <c r="D630" s="1">
        <f>IF(B630="", "", "human-associated habitat")</f>
        <v>0</v>
      </c>
      <c r="G630" s="1">
        <f>IF(B630="", "", "years")</f>
        <v>0</v>
      </c>
      <c r="I630" s="1">
        <f>IF(B630="", "", "human")</f>
        <v>0</v>
      </c>
      <c r="K630" s="1">
        <f>IF(B630="", "", "cm")</f>
        <v>0</v>
      </c>
      <c r="L630" s="1">
        <f>IF(B630="", "", "Homo sapiens")</f>
        <v>0</v>
      </c>
      <c r="M630" s="1">
        <f>IF(B630="", "", "9606")</f>
        <v>0</v>
      </c>
      <c r="O630" s="1">
        <f>IF(B630="", "", "kg")</f>
        <v>0</v>
      </c>
    </row>
    <row r="631" spans="1:15">
      <c r="A631">
        <f>IF(COUNTBLANK(B631:Q631)&lt;&gt;COLUMNS(B631:Q631),630,"")</f>
        <v>0</v>
      </c>
      <c r="C631" s="1">
        <f>IF(B631="", "", "urban biome")</f>
        <v>0</v>
      </c>
      <c r="D631" s="1">
        <f>IF(B631="", "", "human-associated habitat")</f>
        <v>0</v>
      </c>
      <c r="G631" s="1">
        <f>IF(B631="", "", "years")</f>
        <v>0</v>
      </c>
      <c r="I631" s="1">
        <f>IF(B631="", "", "human")</f>
        <v>0</v>
      </c>
      <c r="K631" s="1">
        <f>IF(B631="", "", "cm")</f>
        <v>0</v>
      </c>
      <c r="L631" s="1">
        <f>IF(B631="", "", "Homo sapiens")</f>
        <v>0</v>
      </c>
      <c r="M631" s="1">
        <f>IF(B631="", "", "9606")</f>
        <v>0</v>
      </c>
      <c r="O631" s="1">
        <f>IF(B631="", "", "kg")</f>
        <v>0</v>
      </c>
    </row>
    <row r="632" spans="1:15">
      <c r="A632">
        <f>IF(COUNTBLANK(B632:Q632)&lt;&gt;COLUMNS(B632:Q632),631,"")</f>
        <v>0</v>
      </c>
      <c r="C632" s="1">
        <f>IF(B632="", "", "urban biome")</f>
        <v>0</v>
      </c>
      <c r="D632" s="1">
        <f>IF(B632="", "", "human-associated habitat")</f>
        <v>0</v>
      </c>
      <c r="G632" s="1">
        <f>IF(B632="", "", "years")</f>
        <v>0</v>
      </c>
      <c r="I632" s="1">
        <f>IF(B632="", "", "human")</f>
        <v>0</v>
      </c>
      <c r="K632" s="1">
        <f>IF(B632="", "", "cm")</f>
        <v>0</v>
      </c>
      <c r="L632" s="1">
        <f>IF(B632="", "", "Homo sapiens")</f>
        <v>0</v>
      </c>
      <c r="M632" s="1">
        <f>IF(B632="", "", "9606")</f>
        <v>0</v>
      </c>
      <c r="O632" s="1">
        <f>IF(B632="", "", "kg")</f>
        <v>0</v>
      </c>
    </row>
    <row r="633" spans="1:15">
      <c r="A633">
        <f>IF(COUNTBLANK(B633:Q633)&lt;&gt;COLUMNS(B633:Q633),632,"")</f>
        <v>0</v>
      </c>
      <c r="C633" s="1">
        <f>IF(B633="", "", "urban biome")</f>
        <v>0</v>
      </c>
      <c r="D633" s="1">
        <f>IF(B633="", "", "human-associated habitat")</f>
        <v>0</v>
      </c>
      <c r="G633" s="1">
        <f>IF(B633="", "", "years")</f>
        <v>0</v>
      </c>
      <c r="I633" s="1">
        <f>IF(B633="", "", "human")</f>
        <v>0</v>
      </c>
      <c r="K633" s="1">
        <f>IF(B633="", "", "cm")</f>
        <v>0</v>
      </c>
      <c r="L633" s="1">
        <f>IF(B633="", "", "Homo sapiens")</f>
        <v>0</v>
      </c>
      <c r="M633" s="1">
        <f>IF(B633="", "", "9606")</f>
        <v>0</v>
      </c>
      <c r="O633" s="1">
        <f>IF(B633="", "", "kg")</f>
        <v>0</v>
      </c>
    </row>
    <row r="634" spans="1:15">
      <c r="A634">
        <f>IF(COUNTBLANK(B634:Q634)&lt;&gt;COLUMNS(B634:Q634),633,"")</f>
        <v>0</v>
      </c>
      <c r="C634" s="1">
        <f>IF(B634="", "", "urban biome")</f>
        <v>0</v>
      </c>
      <c r="D634" s="1">
        <f>IF(B634="", "", "human-associated habitat")</f>
        <v>0</v>
      </c>
      <c r="G634" s="1">
        <f>IF(B634="", "", "years")</f>
        <v>0</v>
      </c>
      <c r="I634" s="1">
        <f>IF(B634="", "", "human")</f>
        <v>0</v>
      </c>
      <c r="K634" s="1">
        <f>IF(B634="", "", "cm")</f>
        <v>0</v>
      </c>
      <c r="L634" s="1">
        <f>IF(B634="", "", "Homo sapiens")</f>
        <v>0</v>
      </c>
      <c r="M634" s="1">
        <f>IF(B634="", "", "9606")</f>
        <v>0</v>
      </c>
      <c r="O634" s="1">
        <f>IF(B634="", "", "kg")</f>
        <v>0</v>
      </c>
    </row>
    <row r="635" spans="1:15">
      <c r="A635">
        <f>IF(COUNTBLANK(B635:Q635)&lt;&gt;COLUMNS(B635:Q635),634,"")</f>
        <v>0</v>
      </c>
      <c r="C635" s="1">
        <f>IF(B635="", "", "urban biome")</f>
        <v>0</v>
      </c>
      <c r="D635" s="1">
        <f>IF(B635="", "", "human-associated habitat")</f>
        <v>0</v>
      </c>
      <c r="G635" s="1">
        <f>IF(B635="", "", "years")</f>
        <v>0</v>
      </c>
      <c r="I635" s="1">
        <f>IF(B635="", "", "human")</f>
        <v>0</v>
      </c>
      <c r="K635" s="1">
        <f>IF(B635="", "", "cm")</f>
        <v>0</v>
      </c>
      <c r="L635" s="1">
        <f>IF(B635="", "", "Homo sapiens")</f>
        <v>0</v>
      </c>
      <c r="M635" s="1">
        <f>IF(B635="", "", "9606")</f>
        <v>0</v>
      </c>
      <c r="O635" s="1">
        <f>IF(B635="", "", "kg")</f>
        <v>0</v>
      </c>
    </row>
    <row r="636" spans="1:15">
      <c r="A636">
        <f>IF(COUNTBLANK(B636:Q636)&lt;&gt;COLUMNS(B636:Q636),635,"")</f>
        <v>0</v>
      </c>
      <c r="C636" s="1">
        <f>IF(B636="", "", "urban biome")</f>
        <v>0</v>
      </c>
      <c r="D636" s="1">
        <f>IF(B636="", "", "human-associated habitat")</f>
        <v>0</v>
      </c>
      <c r="G636" s="1">
        <f>IF(B636="", "", "years")</f>
        <v>0</v>
      </c>
      <c r="I636" s="1">
        <f>IF(B636="", "", "human")</f>
        <v>0</v>
      </c>
      <c r="K636" s="1">
        <f>IF(B636="", "", "cm")</f>
        <v>0</v>
      </c>
      <c r="L636" s="1">
        <f>IF(B636="", "", "Homo sapiens")</f>
        <v>0</v>
      </c>
      <c r="M636" s="1">
        <f>IF(B636="", "", "9606")</f>
        <v>0</v>
      </c>
      <c r="O636" s="1">
        <f>IF(B636="", "", "kg")</f>
        <v>0</v>
      </c>
    </row>
    <row r="637" spans="1:15">
      <c r="A637">
        <f>IF(COUNTBLANK(B637:Q637)&lt;&gt;COLUMNS(B637:Q637),636,"")</f>
        <v>0</v>
      </c>
      <c r="C637" s="1">
        <f>IF(B637="", "", "urban biome")</f>
        <v>0</v>
      </c>
      <c r="D637" s="1">
        <f>IF(B637="", "", "human-associated habitat")</f>
        <v>0</v>
      </c>
      <c r="G637" s="1">
        <f>IF(B637="", "", "years")</f>
        <v>0</v>
      </c>
      <c r="I637" s="1">
        <f>IF(B637="", "", "human")</f>
        <v>0</v>
      </c>
      <c r="K637" s="1">
        <f>IF(B637="", "", "cm")</f>
        <v>0</v>
      </c>
      <c r="L637" s="1">
        <f>IF(B637="", "", "Homo sapiens")</f>
        <v>0</v>
      </c>
      <c r="M637" s="1">
        <f>IF(B637="", "", "9606")</f>
        <v>0</v>
      </c>
      <c r="O637" s="1">
        <f>IF(B637="", "", "kg")</f>
        <v>0</v>
      </c>
    </row>
    <row r="638" spans="1:15">
      <c r="A638">
        <f>IF(COUNTBLANK(B638:Q638)&lt;&gt;COLUMNS(B638:Q638),637,"")</f>
        <v>0</v>
      </c>
      <c r="C638" s="1">
        <f>IF(B638="", "", "urban biome")</f>
        <v>0</v>
      </c>
      <c r="D638" s="1">
        <f>IF(B638="", "", "human-associated habitat")</f>
        <v>0</v>
      </c>
      <c r="G638" s="1">
        <f>IF(B638="", "", "years")</f>
        <v>0</v>
      </c>
      <c r="I638" s="1">
        <f>IF(B638="", "", "human")</f>
        <v>0</v>
      </c>
      <c r="K638" s="1">
        <f>IF(B638="", "", "cm")</f>
        <v>0</v>
      </c>
      <c r="L638" s="1">
        <f>IF(B638="", "", "Homo sapiens")</f>
        <v>0</v>
      </c>
      <c r="M638" s="1">
        <f>IF(B638="", "", "9606")</f>
        <v>0</v>
      </c>
      <c r="O638" s="1">
        <f>IF(B638="", "", "kg")</f>
        <v>0</v>
      </c>
    </row>
    <row r="639" spans="1:15">
      <c r="A639">
        <f>IF(COUNTBLANK(B639:Q639)&lt;&gt;COLUMNS(B639:Q639),638,"")</f>
        <v>0</v>
      </c>
      <c r="C639" s="1">
        <f>IF(B639="", "", "urban biome")</f>
        <v>0</v>
      </c>
      <c r="D639" s="1">
        <f>IF(B639="", "", "human-associated habitat")</f>
        <v>0</v>
      </c>
      <c r="G639" s="1">
        <f>IF(B639="", "", "years")</f>
        <v>0</v>
      </c>
      <c r="I639" s="1">
        <f>IF(B639="", "", "human")</f>
        <v>0</v>
      </c>
      <c r="K639" s="1">
        <f>IF(B639="", "", "cm")</f>
        <v>0</v>
      </c>
      <c r="L639" s="1">
        <f>IF(B639="", "", "Homo sapiens")</f>
        <v>0</v>
      </c>
      <c r="M639" s="1">
        <f>IF(B639="", "", "9606")</f>
        <v>0</v>
      </c>
      <c r="O639" s="1">
        <f>IF(B639="", "", "kg")</f>
        <v>0</v>
      </c>
    </row>
    <row r="640" spans="1:15">
      <c r="A640">
        <f>IF(COUNTBLANK(B640:Q640)&lt;&gt;COLUMNS(B640:Q640),639,"")</f>
        <v>0</v>
      </c>
      <c r="C640" s="1">
        <f>IF(B640="", "", "urban biome")</f>
        <v>0</v>
      </c>
      <c r="D640" s="1">
        <f>IF(B640="", "", "human-associated habitat")</f>
        <v>0</v>
      </c>
      <c r="G640" s="1">
        <f>IF(B640="", "", "years")</f>
        <v>0</v>
      </c>
      <c r="I640" s="1">
        <f>IF(B640="", "", "human")</f>
        <v>0</v>
      </c>
      <c r="K640" s="1">
        <f>IF(B640="", "", "cm")</f>
        <v>0</v>
      </c>
      <c r="L640" s="1">
        <f>IF(B640="", "", "Homo sapiens")</f>
        <v>0</v>
      </c>
      <c r="M640" s="1">
        <f>IF(B640="", "", "9606")</f>
        <v>0</v>
      </c>
      <c r="O640" s="1">
        <f>IF(B640="", "", "kg")</f>
        <v>0</v>
      </c>
    </row>
    <row r="641" spans="1:15">
      <c r="A641">
        <f>IF(COUNTBLANK(B641:Q641)&lt;&gt;COLUMNS(B641:Q641),640,"")</f>
        <v>0</v>
      </c>
      <c r="C641" s="1">
        <f>IF(B641="", "", "urban biome")</f>
        <v>0</v>
      </c>
      <c r="D641" s="1">
        <f>IF(B641="", "", "human-associated habitat")</f>
        <v>0</v>
      </c>
      <c r="G641" s="1">
        <f>IF(B641="", "", "years")</f>
        <v>0</v>
      </c>
      <c r="I641" s="1">
        <f>IF(B641="", "", "human")</f>
        <v>0</v>
      </c>
      <c r="K641" s="1">
        <f>IF(B641="", "", "cm")</f>
        <v>0</v>
      </c>
      <c r="L641" s="1">
        <f>IF(B641="", "", "Homo sapiens")</f>
        <v>0</v>
      </c>
      <c r="M641" s="1">
        <f>IF(B641="", "", "9606")</f>
        <v>0</v>
      </c>
      <c r="O641" s="1">
        <f>IF(B641="", "", "kg")</f>
        <v>0</v>
      </c>
    </row>
    <row r="642" spans="1:15">
      <c r="A642">
        <f>IF(COUNTBLANK(B642:Q642)&lt;&gt;COLUMNS(B642:Q642),641,"")</f>
        <v>0</v>
      </c>
      <c r="C642" s="1">
        <f>IF(B642="", "", "urban biome")</f>
        <v>0</v>
      </c>
      <c r="D642" s="1">
        <f>IF(B642="", "", "human-associated habitat")</f>
        <v>0</v>
      </c>
      <c r="G642" s="1">
        <f>IF(B642="", "", "years")</f>
        <v>0</v>
      </c>
      <c r="I642" s="1">
        <f>IF(B642="", "", "human")</f>
        <v>0</v>
      </c>
      <c r="K642" s="1">
        <f>IF(B642="", "", "cm")</f>
        <v>0</v>
      </c>
      <c r="L642" s="1">
        <f>IF(B642="", "", "Homo sapiens")</f>
        <v>0</v>
      </c>
      <c r="M642" s="1">
        <f>IF(B642="", "", "9606")</f>
        <v>0</v>
      </c>
      <c r="O642" s="1">
        <f>IF(B642="", "", "kg")</f>
        <v>0</v>
      </c>
    </row>
    <row r="643" spans="1:15">
      <c r="A643">
        <f>IF(COUNTBLANK(B643:Q643)&lt;&gt;COLUMNS(B643:Q643),642,"")</f>
        <v>0</v>
      </c>
      <c r="C643" s="1">
        <f>IF(B643="", "", "urban biome")</f>
        <v>0</v>
      </c>
      <c r="D643" s="1">
        <f>IF(B643="", "", "human-associated habitat")</f>
        <v>0</v>
      </c>
      <c r="G643" s="1">
        <f>IF(B643="", "", "years")</f>
        <v>0</v>
      </c>
      <c r="I643" s="1">
        <f>IF(B643="", "", "human")</f>
        <v>0</v>
      </c>
      <c r="K643" s="1">
        <f>IF(B643="", "", "cm")</f>
        <v>0</v>
      </c>
      <c r="L643" s="1">
        <f>IF(B643="", "", "Homo sapiens")</f>
        <v>0</v>
      </c>
      <c r="M643" s="1">
        <f>IF(B643="", "", "9606")</f>
        <v>0</v>
      </c>
      <c r="O643" s="1">
        <f>IF(B643="", "", "kg")</f>
        <v>0</v>
      </c>
    </row>
    <row r="644" spans="1:15">
      <c r="A644">
        <f>IF(COUNTBLANK(B644:Q644)&lt;&gt;COLUMNS(B644:Q644),643,"")</f>
        <v>0</v>
      </c>
      <c r="C644" s="1">
        <f>IF(B644="", "", "urban biome")</f>
        <v>0</v>
      </c>
      <c r="D644" s="1">
        <f>IF(B644="", "", "human-associated habitat")</f>
        <v>0</v>
      </c>
      <c r="G644" s="1">
        <f>IF(B644="", "", "years")</f>
        <v>0</v>
      </c>
      <c r="I644" s="1">
        <f>IF(B644="", "", "human")</f>
        <v>0</v>
      </c>
      <c r="K644" s="1">
        <f>IF(B644="", "", "cm")</f>
        <v>0</v>
      </c>
      <c r="L644" s="1">
        <f>IF(B644="", "", "Homo sapiens")</f>
        <v>0</v>
      </c>
      <c r="M644" s="1">
        <f>IF(B644="", "", "9606")</f>
        <v>0</v>
      </c>
      <c r="O644" s="1">
        <f>IF(B644="", "", "kg")</f>
        <v>0</v>
      </c>
    </row>
    <row r="645" spans="1:15">
      <c r="A645">
        <f>IF(COUNTBLANK(B645:Q645)&lt;&gt;COLUMNS(B645:Q645),644,"")</f>
        <v>0</v>
      </c>
      <c r="C645" s="1">
        <f>IF(B645="", "", "urban biome")</f>
        <v>0</v>
      </c>
      <c r="D645" s="1">
        <f>IF(B645="", "", "human-associated habitat")</f>
        <v>0</v>
      </c>
      <c r="G645" s="1">
        <f>IF(B645="", "", "years")</f>
        <v>0</v>
      </c>
      <c r="I645" s="1">
        <f>IF(B645="", "", "human")</f>
        <v>0</v>
      </c>
      <c r="K645" s="1">
        <f>IF(B645="", "", "cm")</f>
        <v>0</v>
      </c>
      <c r="L645" s="1">
        <f>IF(B645="", "", "Homo sapiens")</f>
        <v>0</v>
      </c>
      <c r="M645" s="1">
        <f>IF(B645="", "", "9606")</f>
        <v>0</v>
      </c>
      <c r="O645" s="1">
        <f>IF(B645="", "", "kg")</f>
        <v>0</v>
      </c>
    </row>
    <row r="646" spans="1:15">
      <c r="A646">
        <f>IF(COUNTBLANK(B646:Q646)&lt;&gt;COLUMNS(B646:Q646),645,"")</f>
        <v>0</v>
      </c>
      <c r="C646" s="1">
        <f>IF(B646="", "", "urban biome")</f>
        <v>0</v>
      </c>
      <c r="D646" s="1">
        <f>IF(B646="", "", "human-associated habitat")</f>
        <v>0</v>
      </c>
      <c r="G646" s="1">
        <f>IF(B646="", "", "years")</f>
        <v>0</v>
      </c>
      <c r="I646" s="1">
        <f>IF(B646="", "", "human")</f>
        <v>0</v>
      </c>
      <c r="K646" s="1">
        <f>IF(B646="", "", "cm")</f>
        <v>0</v>
      </c>
      <c r="L646" s="1">
        <f>IF(B646="", "", "Homo sapiens")</f>
        <v>0</v>
      </c>
      <c r="M646" s="1">
        <f>IF(B646="", "", "9606")</f>
        <v>0</v>
      </c>
      <c r="O646" s="1">
        <f>IF(B646="", "", "kg")</f>
        <v>0</v>
      </c>
    </row>
    <row r="647" spans="1:15">
      <c r="A647">
        <f>IF(COUNTBLANK(B647:Q647)&lt;&gt;COLUMNS(B647:Q647),646,"")</f>
        <v>0</v>
      </c>
      <c r="C647" s="1">
        <f>IF(B647="", "", "urban biome")</f>
        <v>0</v>
      </c>
      <c r="D647" s="1">
        <f>IF(B647="", "", "human-associated habitat")</f>
        <v>0</v>
      </c>
      <c r="G647" s="1">
        <f>IF(B647="", "", "years")</f>
        <v>0</v>
      </c>
      <c r="I647" s="1">
        <f>IF(B647="", "", "human")</f>
        <v>0</v>
      </c>
      <c r="K647" s="1">
        <f>IF(B647="", "", "cm")</f>
        <v>0</v>
      </c>
      <c r="L647" s="1">
        <f>IF(B647="", "", "Homo sapiens")</f>
        <v>0</v>
      </c>
      <c r="M647" s="1">
        <f>IF(B647="", "", "9606")</f>
        <v>0</v>
      </c>
      <c r="O647" s="1">
        <f>IF(B647="", "", "kg")</f>
        <v>0</v>
      </c>
    </row>
    <row r="648" spans="1:15">
      <c r="A648">
        <f>IF(COUNTBLANK(B648:Q648)&lt;&gt;COLUMNS(B648:Q648),647,"")</f>
        <v>0</v>
      </c>
      <c r="C648" s="1">
        <f>IF(B648="", "", "urban biome")</f>
        <v>0</v>
      </c>
      <c r="D648" s="1">
        <f>IF(B648="", "", "human-associated habitat")</f>
        <v>0</v>
      </c>
      <c r="G648" s="1">
        <f>IF(B648="", "", "years")</f>
        <v>0</v>
      </c>
      <c r="I648" s="1">
        <f>IF(B648="", "", "human")</f>
        <v>0</v>
      </c>
      <c r="K648" s="1">
        <f>IF(B648="", "", "cm")</f>
        <v>0</v>
      </c>
      <c r="L648" s="1">
        <f>IF(B648="", "", "Homo sapiens")</f>
        <v>0</v>
      </c>
      <c r="M648" s="1">
        <f>IF(B648="", "", "9606")</f>
        <v>0</v>
      </c>
      <c r="O648" s="1">
        <f>IF(B648="", "", "kg")</f>
        <v>0</v>
      </c>
    </row>
    <row r="649" spans="1:15">
      <c r="A649">
        <f>IF(COUNTBLANK(B649:Q649)&lt;&gt;COLUMNS(B649:Q649),648,"")</f>
        <v>0</v>
      </c>
      <c r="C649" s="1">
        <f>IF(B649="", "", "urban biome")</f>
        <v>0</v>
      </c>
      <c r="D649" s="1">
        <f>IF(B649="", "", "human-associated habitat")</f>
        <v>0</v>
      </c>
      <c r="G649" s="1">
        <f>IF(B649="", "", "years")</f>
        <v>0</v>
      </c>
      <c r="I649" s="1">
        <f>IF(B649="", "", "human")</f>
        <v>0</v>
      </c>
      <c r="K649" s="1">
        <f>IF(B649="", "", "cm")</f>
        <v>0</v>
      </c>
      <c r="L649" s="1">
        <f>IF(B649="", "", "Homo sapiens")</f>
        <v>0</v>
      </c>
      <c r="M649" s="1">
        <f>IF(B649="", "", "9606")</f>
        <v>0</v>
      </c>
      <c r="O649" s="1">
        <f>IF(B649="", "", "kg")</f>
        <v>0</v>
      </c>
    </row>
    <row r="650" spans="1:15">
      <c r="A650">
        <f>IF(COUNTBLANK(B650:Q650)&lt;&gt;COLUMNS(B650:Q650),649,"")</f>
        <v>0</v>
      </c>
      <c r="C650" s="1">
        <f>IF(B650="", "", "urban biome")</f>
        <v>0</v>
      </c>
      <c r="D650" s="1">
        <f>IF(B650="", "", "human-associated habitat")</f>
        <v>0</v>
      </c>
      <c r="G650" s="1">
        <f>IF(B650="", "", "years")</f>
        <v>0</v>
      </c>
      <c r="I650" s="1">
        <f>IF(B650="", "", "human")</f>
        <v>0</v>
      </c>
      <c r="K650" s="1">
        <f>IF(B650="", "", "cm")</f>
        <v>0</v>
      </c>
      <c r="L650" s="1">
        <f>IF(B650="", "", "Homo sapiens")</f>
        <v>0</v>
      </c>
      <c r="M650" s="1">
        <f>IF(B650="", "", "9606")</f>
        <v>0</v>
      </c>
      <c r="O650" s="1">
        <f>IF(B650="", "", "kg")</f>
        <v>0</v>
      </c>
    </row>
    <row r="651" spans="1:15">
      <c r="A651">
        <f>IF(COUNTBLANK(B651:Q651)&lt;&gt;COLUMNS(B651:Q651),650,"")</f>
        <v>0</v>
      </c>
      <c r="C651" s="1">
        <f>IF(B651="", "", "urban biome")</f>
        <v>0</v>
      </c>
      <c r="D651" s="1">
        <f>IF(B651="", "", "human-associated habitat")</f>
        <v>0</v>
      </c>
      <c r="G651" s="1">
        <f>IF(B651="", "", "years")</f>
        <v>0</v>
      </c>
      <c r="I651" s="1">
        <f>IF(B651="", "", "human")</f>
        <v>0</v>
      </c>
      <c r="K651" s="1">
        <f>IF(B651="", "", "cm")</f>
        <v>0</v>
      </c>
      <c r="L651" s="1">
        <f>IF(B651="", "", "Homo sapiens")</f>
        <v>0</v>
      </c>
      <c r="M651" s="1">
        <f>IF(B651="", "", "9606")</f>
        <v>0</v>
      </c>
      <c r="O651" s="1">
        <f>IF(B651="", "", "kg")</f>
        <v>0</v>
      </c>
    </row>
    <row r="652" spans="1:15">
      <c r="A652">
        <f>IF(COUNTBLANK(B652:Q652)&lt;&gt;COLUMNS(B652:Q652),651,"")</f>
        <v>0</v>
      </c>
      <c r="C652" s="1">
        <f>IF(B652="", "", "urban biome")</f>
        <v>0</v>
      </c>
      <c r="D652" s="1">
        <f>IF(B652="", "", "human-associated habitat")</f>
        <v>0</v>
      </c>
      <c r="G652" s="1">
        <f>IF(B652="", "", "years")</f>
        <v>0</v>
      </c>
      <c r="I652" s="1">
        <f>IF(B652="", "", "human")</f>
        <v>0</v>
      </c>
      <c r="K652" s="1">
        <f>IF(B652="", "", "cm")</f>
        <v>0</v>
      </c>
      <c r="L652" s="1">
        <f>IF(B652="", "", "Homo sapiens")</f>
        <v>0</v>
      </c>
      <c r="M652" s="1">
        <f>IF(B652="", "", "9606")</f>
        <v>0</v>
      </c>
      <c r="O652" s="1">
        <f>IF(B652="", "", "kg")</f>
        <v>0</v>
      </c>
    </row>
    <row r="653" spans="1:15">
      <c r="A653">
        <f>IF(COUNTBLANK(B653:Q653)&lt;&gt;COLUMNS(B653:Q653),652,"")</f>
        <v>0</v>
      </c>
      <c r="C653" s="1">
        <f>IF(B653="", "", "urban biome")</f>
        <v>0</v>
      </c>
      <c r="D653" s="1">
        <f>IF(B653="", "", "human-associated habitat")</f>
        <v>0</v>
      </c>
      <c r="G653" s="1">
        <f>IF(B653="", "", "years")</f>
        <v>0</v>
      </c>
      <c r="I653" s="1">
        <f>IF(B653="", "", "human")</f>
        <v>0</v>
      </c>
      <c r="K653" s="1">
        <f>IF(B653="", "", "cm")</f>
        <v>0</v>
      </c>
      <c r="L653" s="1">
        <f>IF(B653="", "", "Homo sapiens")</f>
        <v>0</v>
      </c>
      <c r="M653" s="1">
        <f>IF(B653="", "", "9606")</f>
        <v>0</v>
      </c>
      <c r="O653" s="1">
        <f>IF(B653="", "", "kg")</f>
        <v>0</v>
      </c>
    </row>
    <row r="654" spans="1:15">
      <c r="A654">
        <f>IF(COUNTBLANK(B654:Q654)&lt;&gt;COLUMNS(B654:Q654),653,"")</f>
        <v>0</v>
      </c>
      <c r="C654" s="1">
        <f>IF(B654="", "", "urban biome")</f>
        <v>0</v>
      </c>
      <c r="D654" s="1">
        <f>IF(B654="", "", "human-associated habitat")</f>
        <v>0</v>
      </c>
      <c r="G654" s="1">
        <f>IF(B654="", "", "years")</f>
        <v>0</v>
      </c>
      <c r="I654" s="1">
        <f>IF(B654="", "", "human")</f>
        <v>0</v>
      </c>
      <c r="K654" s="1">
        <f>IF(B654="", "", "cm")</f>
        <v>0</v>
      </c>
      <c r="L654" s="1">
        <f>IF(B654="", "", "Homo sapiens")</f>
        <v>0</v>
      </c>
      <c r="M654" s="1">
        <f>IF(B654="", "", "9606")</f>
        <v>0</v>
      </c>
      <c r="O654" s="1">
        <f>IF(B654="", "", "kg")</f>
        <v>0</v>
      </c>
    </row>
    <row r="655" spans="1:15">
      <c r="A655">
        <f>IF(COUNTBLANK(B655:Q655)&lt;&gt;COLUMNS(B655:Q655),654,"")</f>
        <v>0</v>
      </c>
      <c r="C655" s="1">
        <f>IF(B655="", "", "urban biome")</f>
        <v>0</v>
      </c>
      <c r="D655" s="1">
        <f>IF(B655="", "", "human-associated habitat")</f>
        <v>0</v>
      </c>
      <c r="G655" s="1">
        <f>IF(B655="", "", "years")</f>
        <v>0</v>
      </c>
      <c r="I655" s="1">
        <f>IF(B655="", "", "human")</f>
        <v>0</v>
      </c>
      <c r="K655" s="1">
        <f>IF(B655="", "", "cm")</f>
        <v>0</v>
      </c>
      <c r="L655" s="1">
        <f>IF(B655="", "", "Homo sapiens")</f>
        <v>0</v>
      </c>
      <c r="M655" s="1">
        <f>IF(B655="", "", "9606")</f>
        <v>0</v>
      </c>
      <c r="O655" s="1">
        <f>IF(B655="", "", "kg")</f>
        <v>0</v>
      </c>
    </row>
    <row r="656" spans="1:15">
      <c r="A656">
        <f>IF(COUNTBLANK(B656:Q656)&lt;&gt;COLUMNS(B656:Q656),655,"")</f>
        <v>0</v>
      </c>
      <c r="C656" s="1">
        <f>IF(B656="", "", "urban biome")</f>
        <v>0</v>
      </c>
      <c r="D656" s="1">
        <f>IF(B656="", "", "human-associated habitat")</f>
        <v>0</v>
      </c>
      <c r="G656" s="1">
        <f>IF(B656="", "", "years")</f>
        <v>0</v>
      </c>
      <c r="I656" s="1">
        <f>IF(B656="", "", "human")</f>
        <v>0</v>
      </c>
      <c r="K656" s="1">
        <f>IF(B656="", "", "cm")</f>
        <v>0</v>
      </c>
      <c r="L656" s="1">
        <f>IF(B656="", "", "Homo sapiens")</f>
        <v>0</v>
      </c>
      <c r="M656" s="1">
        <f>IF(B656="", "", "9606")</f>
        <v>0</v>
      </c>
      <c r="O656" s="1">
        <f>IF(B656="", "", "kg")</f>
        <v>0</v>
      </c>
    </row>
    <row r="657" spans="1:15">
      <c r="A657">
        <f>IF(COUNTBLANK(B657:Q657)&lt;&gt;COLUMNS(B657:Q657),656,"")</f>
        <v>0</v>
      </c>
      <c r="C657" s="1">
        <f>IF(B657="", "", "urban biome")</f>
        <v>0</v>
      </c>
      <c r="D657" s="1">
        <f>IF(B657="", "", "human-associated habitat")</f>
        <v>0</v>
      </c>
      <c r="G657" s="1">
        <f>IF(B657="", "", "years")</f>
        <v>0</v>
      </c>
      <c r="I657" s="1">
        <f>IF(B657="", "", "human")</f>
        <v>0</v>
      </c>
      <c r="K657" s="1">
        <f>IF(B657="", "", "cm")</f>
        <v>0</v>
      </c>
      <c r="L657" s="1">
        <f>IF(B657="", "", "Homo sapiens")</f>
        <v>0</v>
      </c>
      <c r="M657" s="1">
        <f>IF(B657="", "", "9606")</f>
        <v>0</v>
      </c>
      <c r="O657" s="1">
        <f>IF(B657="", "", "kg")</f>
        <v>0</v>
      </c>
    </row>
    <row r="658" spans="1:15">
      <c r="A658">
        <f>IF(COUNTBLANK(B658:Q658)&lt;&gt;COLUMNS(B658:Q658),657,"")</f>
        <v>0</v>
      </c>
      <c r="C658" s="1">
        <f>IF(B658="", "", "urban biome")</f>
        <v>0</v>
      </c>
      <c r="D658" s="1">
        <f>IF(B658="", "", "human-associated habitat")</f>
        <v>0</v>
      </c>
      <c r="G658" s="1">
        <f>IF(B658="", "", "years")</f>
        <v>0</v>
      </c>
      <c r="I658" s="1">
        <f>IF(B658="", "", "human")</f>
        <v>0</v>
      </c>
      <c r="K658" s="1">
        <f>IF(B658="", "", "cm")</f>
        <v>0</v>
      </c>
      <c r="L658" s="1">
        <f>IF(B658="", "", "Homo sapiens")</f>
        <v>0</v>
      </c>
      <c r="M658" s="1">
        <f>IF(B658="", "", "9606")</f>
        <v>0</v>
      </c>
      <c r="O658" s="1">
        <f>IF(B658="", "", "kg")</f>
        <v>0</v>
      </c>
    </row>
    <row r="659" spans="1:15">
      <c r="A659">
        <f>IF(COUNTBLANK(B659:Q659)&lt;&gt;COLUMNS(B659:Q659),658,"")</f>
        <v>0</v>
      </c>
      <c r="C659" s="1">
        <f>IF(B659="", "", "urban biome")</f>
        <v>0</v>
      </c>
      <c r="D659" s="1">
        <f>IF(B659="", "", "human-associated habitat")</f>
        <v>0</v>
      </c>
      <c r="G659" s="1">
        <f>IF(B659="", "", "years")</f>
        <v>0</v>
      </c>
      <c r="I659" s="1">
        <f>IF(B659="", "", "human")</f>
        <v>0</v>
      </c>
      <c r="K659" s="1">
        <f>IF(B659="", "", "cm")</f>
        <v>0</v>
      </c>
      <c r="L659" s="1">
        <f>IF(B659="", "", "Homo sapiens")</f>
        <v>0</v>
      </c>
      <c r="M659" s="1">
        <f>IF(B659="", "", "9606")</f>
        <v>0</v>
      </c>
      <c r="O659" s="1">
        <f>IF(B659="", "", "kg")</f>
        <v>0</v>
      </c>
    </row>
    <row r="660" spans="1:15">
      <c r="A660">
        <f>IF(COUNTBLANK(B660:Q660)&lt;&gt;COLUMNS(B660:Q660),659,"")</f>
        <v>0</v>
      </c>
      <c r="C660" s="1">
        <f>IF(B660="", "", "urban biome")</f>
        <v>0</v>
      </c>
      <c r="D660" s="1">
        <f>IF(B660="", "", "human-associated habitat")</f>
        <v>0</v>
      </c>
      <c r="G660" s="1">
        <f>IF(B660="", "", "years")</f>
        <v>0</v>
      </c>
      <c r="I660" s="1">
        <f>IF(B660="", "", "human")</f>
        <v>0</v>
      </c>
      <c r="K660" s="1">
        <f>IF(B660="", "", "cm")</f>
        <v>0</v>
      </c>
      <c r="L660" s="1">
        <f>IF(B660="", "", "Homo sapiens")</f>
        <v>0</v>
      </c>
      <c r="M660" s="1">
        <f>IF(B660="", "", "9606")</f>
        <v>0</v>
      </c>
      <c r="O660" s="1">
        <f>IF(B660="", "", "kg")</f>
        <v>0</v>
      </c>
    </row>
    <row r="661" spans="1:15">
      <c r="A661">
        <f>IF(COUNTBLANK(B661:Q661)&lt;&gt;COLUMNS(B661:Q661),660,"")</f>
        <v>0</v>
      </c>
      <c r="C661" s="1">
        <f>IF(B661="", "", "urban biome")</f>
        <v>0</v>
      </c>
      <c r="D661" s="1">
        <f>IF(B661="", "", "human-associated habitat")</f>
        <v>0</v>
      </c>
      <c r="G661" s="1">
        <f>IF(B661="", "", "years")</f>
        <v>0</v>
      </c>
      <c r="I661" s="1">
        <f>IF(B661="", "", "human")</f>
        <v>0</v>
      </c>
      <c r="K661" s="1">
        <f>IF(B661="", "", "cm")</f>
        <v>0</v>
      </c>
      <c r="L661" s="1">
        <f>IF(B661="", "", "Homo sapiens")</f>
        <v>0</v>
      </c>
      <c r="M661" s="1">
        <f>IF(B661="", "", "9606")</f>
        <v>0</v>
      </c>
      <c r="O661" s="1">
        <f>IF(B661="", "", "kg")</f>
        <v>0</v>
      </c>
    </row>
    <row r="662" spans="1:15">
      <c r="A662">
        <f>IF(COUNTBLANK(B662:Q662)&lt;&gt;COLUMNS(B662:Q662),661,"")</f>
        <v>0</v>
      </c>
      <c r="C662" s="1">
        <f>IF(B662="", "", "urban biome")</f>
        <v>0</v>
      </c>
      <c r="D662" s="1">
        <f>IF(B662="", "", "human-associated habitat")</f>
        <v>0</v>
      </c>
      <c r="G662" s="1">
        <f>IF(B662="", "", "years")</f>
        <v>0</v>
      </c>
      <c r="I662" s="1">
        <f>IF(B662="", "", "human")</f>
        <v>0</v>
      </c>
      <c r="K662" s="1">
        <f>IF(B662="", "", "cm")</f>
        <v>0</v>
      </c>
      <c r="L662" s="1">
        <f>IF(B662="", "", "Homo sapiens")</f>
        <v>0</v>
      </c>
      <c r="M662" s="1">
        <f>IF(B662="", "", "9606")</f>
        <v>0</v>
      </c>
      <c r="O662" s="1">
        <f>IF(B662="", "", "kg")</f>
        <v>0</v>
      </c>
    </row>
    <row r="663" spans="1:15">
      <c r="A663">
        <f>IF(COUNTBLANK(B663:Q663)&lt;&gt;COLUMNS(B663:Q663),662,"")</f>
        <v>0</v>
      </c>
      <c r="C663" s="1">
        <f>IF(B663="", "", "urban biome")</f>
        <v>0</v>
      </c>
      <c r="D663" s="1">
        <f>IF(B663="", "", "human-associated habitat")</f>
        <v>0</v>
      </c>
      <c r="G663" s="1">
        <f>IF(B663="", "", "years")</f>
        <v>0</v>
      </c>
      <c r="I663" s="1">
        <f>IF(B663="", "", "human")</f>
        <v>0</v>
      </c>
      <c r="K663" s="1">
        <f>IF(B663="", "", "cm")</f>
        <v>0</v>
      </c>
      <c r="L663" s="1">
        <f>IF(B663="", "", "Homo sapiens")</f>
        <v>0</v>
      </c>
      <c r="M663" s="1">
        <f>IF(B663="", "", "9606")</f>
        <v>0</v>
      </c>
      <c r="O663" s="1">
        <f>IF(B663="", "", "kg")</f>
        <v>0</v>
      </c>
    </row>
    <row r="664" spans="1:15">
      <c r="A664">
        <f>IF(COUNTBLANK(B664:Q664)&lt;&gt;COLUMNS(B664:Q664),663,"")</f>
        <v>0</v>
      </c>
      <c r="C664" s="1">
        <f>IF(B664="", "", "urban biome")</f>
        <v>0</v>
      </c>
      <c r="D664" s="1">
        <f>IF(B664="", "", "human-associated habitat")</f>
        <v>0</v>
      </c>
      <c r="G664" s="1">
        <f>IF(B664="", "", "years")</f>
        <v>0</v>
      </c>
      <c r="I664" s="1">
        <f>IF(B664="", "", "human")</f>
        <v>0</v>
      </c>
      <c r="K664" s="1">
        <f>IF(B664="", "", "cm")</f>
        <v>0</v>
      </c>
      <c r="L664" s="1">
        <f>IF(B664="", "", "Homo sapiens")</f>
        <v>0</v>
      </c>
      <c r="M664" s="1">
        <f>IF(B664="", "", "9606")</f>
        <v>0</v>
      </c>
      <c r="O664" s="1">
        <f>IF(B664="", "", "kg")</f>
        <v>0</v>
      </c>
    </row>
    <row r="665" spans="1:15">
      <c r="A665">
        <f>IF(COUNTBLANK(B665:Q665)&lt;&gt;COLUMNS(B665:Q665),664,"")</f>
        <v>0</v>
      </c>
      <c r="C665" s="1">
        <f>IF(B665="", "", "urban biome")</f>
        <v>0</v>
      </c>
      <c r="D665" s="1">
        <f>IF(B665="", "", "human-associated habitat")</f>
        <v>0</v>
      </c>
      <c r="G665" s="1">
        <f>IF(B665="", "", "years")</f>
        <v>0</v>
      </c>
      <c r="I665" s="1">
        <f>IF(B665="", "", "human")</f>
        <v>0</v>
      </c>
      <c r="K665" s="1">
        <f>IF(B665="", "", "cm")</f>
        <v>0</v>
      </c>
      <c r="L665" s="1">
        <f>IF(B665="", "", "Homo sapiens")</f>
        <v>0</v>
      </c>
      <c r="M665" s="1">
        <f>IF(B665="", "", "9606")</f>
        <v>0</v>
      </c>
      <c r="O665" s="1">
        <f>IF(B665="", "", "kg")</f>
        <v>0</v>
      </c>
    </row>
    <row r="666" spans="1:15">
      <c r="A666">
        <f>IF(COUNTBLANK(B666:Q666)&lt;&gt;COLUMNS(B666:Q666),665,"")</f>
        <v>0</v>
      </c>
      <c r="C666" s="1">
        <f>IF(B666="", "", "urban biome")</f>
        <v>0</v>
      </c>
      <c r="D666" s="1">
        <f>IF(B666="", "", "human-associated habitat")</f>
        <v>0</v>
      </c>
      <c r="G666" s="1">
        <f>IF(B666="", "", "years")</f>
        <v>0</v>
      </c>
      <c r="I666" s="1">
        <f>IF(B666="", "", "human")</f>
        <v>0</v>
      </c>
      <c r="K666" s="1">
        <f>IF(B666="", "", "cm")</f>
        <v>0</v>
      </c>
      <c r="L666" s="1">
        <f>IF(B666="", "", "Homo sapiens")</f>
        <v>0</v>
      </c>
      <c r="M666" s="1">
        <f>IF(B666="", "", "9606")</f>
        <v>0</v>
      </c>
      <c r="O666" s="1">
        <f>IF(B666="", "", "kg")</f>
        <v>0</v>
      </c>
    </row>
    <row r="667" spans="1:15">
      <c r="A667">
        <f>IF(COUNTBLANK(B667:Q667)&lt;&gt;COLUMNS(B667:Q667),666,"")</f>
        <v>0</v>
      </c>
      <c r="C667" s="1">
        <f>IF(B667="", "", "urban biome")</f>
        <v>0</v>
      </c>
      <c r="D667" s="1">
        <f>IF(B667="", "", "human-associated habitat")</f>
        <v>0</v>
      </c>
      <c r="G667" s="1">
        <f>IF(B667="", "", "years")</f>
        <v>0</v>
      </c>
      <c r="I667" s="1">
        <f>IF(B667="", "", "human")</f>
        <v>0</v>
      </c>
      <c r="K667" s="1">
        <f>IF(B667="", "", "cm")</f>
        <v>0</v>
      </c>
      <c r="L667" s="1">
        <f>IF(B667="", "", "Homo sapiens")</f>
        <v>0</v>
      </c>
      <c r="M667" s="1">
        <f>IF(B667="", "", "9606")</f>
        <v>0</v>
      </c>
      <c r="O667" s="1">
        <f>IF(B667="", "", "kg")</f>
        <v>0</v>
      </c>
    </row>
    <row r="668" spans="1:15">
      <c r="A668">
        <f>IF(COUNTBLANK(B668:Q668)&lt;&gt;COLUMNS(B668:Q668),667,"")</f>
        <v>0</v>
      </c>
      <c r="C668" s="1">
        <f>IF(B668="", "", "urban biome")</f>
        <v>0</v>
      </c>
      <c r="D668" s="1">
        <f>IF(B668="", "", "human-associated habitat")</f>
        <v>0</v>
      </c>
      <c r="G668" s="1">
        <f>IF(B668="", "", "years")</f>
        <v>0</v>
      </c>
      <c r="I668" s="1">
        <f>IF(B668="", "", "human")</f>
        <v>0</v>
      </c>
      <c r="K668" s="1">
        <f>IF(B668="", "", "cm")</f>
        <v>0</v>
      </c>
      <c r="L668" s="1">
        <f>IF(B668="", "", "Homo sapiens")</f>
        <v>0</v>
      </c>
      <c r="M668" s="1">
        <f>IF(B668="", "", "9606")</f>
        <v>0</v>
      </c>
      <c r="O668" s="1">
        <f>IF(B668="", "", "kg")</f>
        <v>0</v>
      </c>
    </row>
    <row r="669" spans="1:15">
      <c r="A669">
        <f>IF(COUNTBLANK(B669:Q669)&lt;&gt;COLUMNS(B669:Q669),668,"")</f>
        <v>0</v>
      </c>
      <c r="C669" s="1">
        <f>IF(B669="", "", "urban biome")</f>
        <v>0</v>
      </c>
      <c r="D669" s="1">
        <f>IF(B669="", "", "human-associated habitat")</f>
        <v>0</v>
      </c>
      <c r="G669" s="1">
        <f>IF(B669="", "", "years")</f>
        <v>0</v>
      </c>
      <c r="I669" s="1">
        <f>IF(B669="", "", "human")</f>
        <v>0</v>
      </c>
      <c r="K669" s="1">
        <f>IF(B669="", "", "cm")</f>
        <v>0</v>
      </c>
      <c r="L669" s="1">
        <f>IF(B669="", "", "Homo sapiens")</f>
        <v>0</v>
      </c>
      <c r="M669" s="1">
        <f>IF(B669="", "", "9606")</f>
        <v>0</v>
      </c>
      <c r="O669" s="1">
        <f>IF(B669="", "", "kg")</f>
        <v>0</v>
      </c>
    </row>
    <row r="670" spans="1:15">
      <c r="A670">
        <f>IF(COUNTBLANK(B670:Q670)&lt;&gt;COLUMNS(B670:Q670),669,"")</f>
        <v>0</v>
      </c>
      <c r="C670" s="1">
        <f>IF(B670="", "", "urban biome")</f>
        <v>0</v>
      </c>
      <c r="D670" s="1">
        <f>IF(B670="", "", "human-associated habitat")</f>
        <v>0</v>
      </c>
      <c r="G670" s="1">
        <f>IF(B670="", "", "years")</f>
        <v>0</v>
      </c>
      <c r="I670" s="1">
        <f>IF(B670="", "", "human")</f>
        <v>0</v>
      </c>
      <c r="K670" s="1">
        <f>IF(B670="", "", "cm")</f>
        <v>0</v>
      </c>
      <c r="L670" s="1">
        <f>IF(B670="", "", "Homo sapiens")</f>
        <v>0</v>
      </c>
      <c r="M670" s="1">
        <f>IF(B670="", "", "9606")</f>
        <v>0</v>
      </c>
      <c r="O670" s="1">
        <f>IF(B670="", "", "kg")</f>
        <v>0</v>
      </c>
    </row>
    <row r="671" spans="1:15">
      <c r="A671">
        <f>IF(COUNTBLANK(B671:Q671)&lt;&gt;COLUMNS(B671:Q671),670,"")</f>
        <v>0</v>
      </c>
      <c r="C671" s="1">
        <f>IF(B671="", "", "urban biome")</f>
        <v>0</v>
      </c>
      <c r="D671" s="1">
        <f>IF(B671="", "", "human-associated habitat")</f>
        <v>0</v>
      </c>
      <c r="G671" s="1">
        <f>IF(B671="", "", "years")</f>
        <v>0</v>
      </c>
      <c r="I671" s="1">
        <f>IF(B671="", "", "human")</f>
        <v>0</v>
      </c>
      <c r="K671" s="1">
        <f>IF(B671="", "", "cm")</f>
        <v>0</v>
      </c>
      <c r="L671" s="1">
        <f>IF(B671="", "", "Homo sapiens")</f>
        <v>0</v>
      </c>
      <c r="M671" s="1">
        <f>IF(B671="", "", "9606")</f>
        <v>0</v>
      </c>
      <c r="O671" s="1">
        <f>IF(B671="", "", "kg")</f>
        <v>0</v>
      </c>
    </row>
    <row r="672" spans="1:15">
      <c r="A672">
        <f>IF(COUNTBLANK(B672:Q672)&lt;&gt;COLUMNS(B672:Q672),671,"")</f>
        <v>0</v>
      </c>
      <c r="C672" s="1">
        <f>IF(B672="", "", "urban biome")</f>
        <v>0</v>
      </c>
      <c r="D672" s="1">
        <f>IF(B672="", "", "human-associated habitat")</f>
        <v>0</v>
      </c>
      <c r="G672" s="1">
        <f>IF(B672="", "", "years")</f>
        <v>0</v>
      </c>
      <c r="I672" s="1">
        <f>IF(B672="", "", "human")</f>
        <v>0</v>
      </c>
      <c r="K672" s="1">
        <f>IF(B672="", "", "cm")</f>
        <v>0</v>
      </c>
      <c r="L672" s="1">
        <f>IF(B672="", "", "Homo sapiens")</f>
        <v>0</v>
      </c>
      <c r="M672" s="1">
        <f>IF(B672="", "", "9606")</f>
        <v>0</v>
      </c>
      <c r="O672" s="1">
        <f>IF(B672="", "", "kg")</f>
        <v>0</v>
      </c>
    </row>
    <row r="673" spans="1:15">
      <c r="A673">
        <f>IF(COUNTBLANK(B673:Q673)&lt;&gt;COLUMNS(B673:Q673),672,"")</f>
        <v>0</v>
      </c>
      <c r="C673" s="1">
        <f>IF(B673="", "", "urban biome")</f>
        <v>0</v>
      </c>
      <c r="D673" s="1">
        <f>IF(B673="", "", "human-associated habitat")</f>
        <v>0</v>
      </c>
      <c r="G673" s="1">
        <f>IF(B673="", "", "years")</f>
        <v>0</v>
      </c>
      <c r="I673" s="1">
        <f>IF(B673="", "", "human")</f>
        <v>0</v>
      </c>
      <c r="K673" s="1">
        <f>IF(B673="", "", "cm")</f>
        <v>0</v>
      </c>
      <c r="L673" s="1">
        <f>IF(B673="", "", "Homo sapiens")</f>
        <v>0</v>
      </c>
      <c r="M673" s="1">
        <f>IF(B673="", "", "9606")</f>
        <v>0</v>
      </c>
      <c r="O673" s="1">
        <f>IF(B673="", "", "kg")</f>
        <v>0</v>
      </c>
    </row>
    <row r="674" spans="1:15">
      <c r="A674">
        <f>IF(COUNTBLANK(B674:Q674)&lt;&gt;COLUMNS(B674:Q674),673,"")</f>
        <v>0</v>
      </c>
      <c r="C674" s="1">
        <f>IF(B674="", "", "urban biome")</f>
        <v>0</v>
      </c>
      <c r="D674" s="1">
        <f>IF(B674="", "", "human-associated habitat")</f>
        <v>0</v>
      </c>
      <c r="G674" s="1">
        <f>IF(B674="", "", "years")</f>
        <v>0</v>
      </c>
      <c r="I674" s="1">
        <f>IF(B674="", "", "human")</f>
        <v>0</v>
      </c>
      <c r="K674" s="1">
        <f>IF(B674="", "", "cm")</f>
        <v>0</v>
      </c>
      <c r="L674" s="1">
        <f>IF(B674="", "", "Homo sapiens")</f>
        <v>0</v>
      </c>
      <c r="M674" s="1">
        <f>IF(B674="", "", "9606")</f>
        <v>0</v>
      </c>
      <c r="O674" s="1">
        <f>IF(B674="", "", "kg")</f>
        <v>0</v>
      </c>
    </row>
    <row r="675" spans="1:15">
      <c r="A675">
        <f>IF(COUNTBLANK(B675:Q675)&lt;&gt;COLUMNS(B675:Q675),674,"")</f>
        <v>0</v>
      </c>
      <c r="C675" s="1">
        <f>IF(B675="", "", "urban biome")</f>
        <v>0</v>
      </c>
      <c r="D675" s="1">
        <f>IF(B675="", "", "human-associated habitat")</f>
        <v>0</v>
      </c>
      <c r="G675" s="1">
        <f>IF(B675="", "", "years")</f>
        <v>0</v>
      </c>
      <c r="I675" s="1">
        <f>IF(B675="", "", "human")</f>
        <v>0</v>
      </c>
      <c r="K675" s="1">
        <f>IF(B675="", "", "cm")</f>
        <v>0</v>
      </c>
      <c r="L675" s="1">
        <f>IF(B675="", "", "Homo sapiens")</f>
        <v>0</v>
      </c>
      <c r="M675" s="1">
        <f>IF(B675="", "", "9606")</f>
        <v>0</v>
      </c>
      <c r="O675" s="1">
        <f>IF(B675="", "", "kg")</f>
        <v>0</v>
      </c>
    </row>
    <row r="676" spans="1:15">
      <c r="A676">
        <f>IF(COUNTBLANK(B676:Q676)&lt;&gt;COLUMNS(B676:Q676),675,"")</f>
        <v>0</v>
      </c>
      <c r="C676" s="1">
        <f>IF(B676="", "", "urban biome")</f>
        <v>0</v>
      </c>
      <c r="D676" s="1">
        <f>IF(B676="", "", "human-associated habitat")</f>
        <v>0</v>
      </c>
      <c r="G676" s="1">
        <f>IF(B676="", "", "years")</f>
        <v>0</v>
      </c>
      <c r="I676" s="1">
        <f>IF(B676="", "", "human")</f>
        <v>0</v>
      </c>
      <c r="K676" s="1">
        <f>IF(B676="", "", "cm")</f>
        <v>0</v>
      </c>
      <c r="L676" s="1">
        <f>IF(B676="", "", "Homo sapiens")</f>
        <v>0</v>
      </c>
      <c r="M676" s="1">
        <f>IF(B676="", "", "9606")</f>
        <v>0</v>
      </c>
      <c r="O676" s="1">
        <f>IF(B676="", "", "kg")</f>
        <v>0</v>
      </c>
    </row>
    <row r="677" spans="1:15">
      <c r="A677">
        <f>IF(COUNTBLANK(B677:Q677)&lt;&gt;COLUMNS(B677:Q677),676,"")</f>
        <v>0</v>
      </c>
      <c r="C677" s="1">
        <f>IF(B677="", "", "urban biome")</f>
        <v>0</v>
      </c>
      <c r="D677" s="1">
        <f>IF(B677="", "", "human-associated habitat")</f>
        <v>0</v>
      </c>
      <c r="G677" s="1">
        <f>IF(B677="", "", "years")</f>
        <v>0</v>
      </c>
      <c r="I677" s="1">
        <f>IF(B677="", "", "human")</f>
        <v>0</v>
      </c>
      <c r="K677" s="1">
        <f>IF(B677="", "", "cm")</f>
        <v>0</v>
      </c>
      <c r="L677" s="1">
        <f>IF(B677="", "", "Homo sapiens")</f>
        <v>0</v>
      </c>
      <c r="M677" s="1">
        <f>IF(B677="", "", "9606")</f>
        <v>0</v>
      </c>
      <c r="O677" s="1">
        <f>IF(B677="", "", "kg")</f>
        <v>0</v>
      </c>
    </row>
    <row r="678" spans="1:15">
      <c r="A678">
        <f>IF(COUNTBLANK(B678:Q678)&lt;&gt;COLUMNS(B678:Q678),677,"")</f>
        <v>0</v>
      </c>
      <c r="C678" s="1">
        <f>IF(B678="", "", "urban biome")</f>
        <v>0</v>
      </c>
      <c r="D678" s="1">
        <f>IF(B678="", "", "human-associated habitat")</f>
        <v>0</v>
      </c>
      <c r="G678" s="1">
        <f>IF(B678="", "", "years")</f>
        <v>0</v>
      </c>
      <c r="I678" s="1">
        <f>IF(B678="", "", "human")</f>
        <v>0</v>
      </c>
      <c r="K678" s="1">
        <f>IF(B678="", "", "cm")</f>
        <v>0</v>
      </c>
      <c r="L678" s="1">
        <f>IF(B678="", "", "Homo sapiens")</f>
        <v>0</v>
      </c>
      <c r="M678" s="1">
        <f>IF(B678="", "", "9606")</f>
        <v>0</v>
      </c>
      <c r="O678" s="1">
        <f>IF(B678="", "", "kg")</f>
        <v>0</v>
      </c>
    </row>
    <row r="679" spans="1:15">
      <c r="A679">
        <f>IF(COUNTBLANK(B679:Q679)&lt;&gt;COLUMNS(B679:Q679),678,"")</f>
        <v>0</v>
      </c>
      <c r="C679" s="1">
        <f>IF(B679="", "", "urban biome")</f>
        <v>0</v>
      </c>
      <c r="D679" s="1">
        <f>IF(B679="", "", "human-associated habitat")</f>
        <v>0</v>
      </c>
      <c r="G679" s="1">
        <f>IF(B679="", "", "years")</f>
        <v>0</v>
      </c>
      <c r="I679" s="1">
        <f>IF(B679="", "", "human")</f>
        <v>0</v>
      </c>
      <c r="K679" s="1">
        <f>IF(B679="", "", "cm")</f>
        <v>0</v>
      </c>
      <c r="L679" s="1">
        <f>IF(B679="", "", "Homo sapiens")</f>
        <v>0</v>
      </c>
      <c r="M679" s="1">
        <f>IF(B679="", "", "9606")</f>
        <v>0</v>
      </c>
      <c r="O679" s="1">
        <f>IF(B679="", "", "kg")</f>
        <v>0</v>
      </c>
    </row>
    <row r="680" spans="1:15">
      <c r="A680">
        <f>IF(COUNTBLANK(B680:Q680)&lt;&gt;COLUMNS(B680:Q680),679,"")</f>
        <v>0</v>
      </c>
      <c r="C680" s="1">
        <f>IF(B680="", "", "urban biome")</f>
        <v>0</v>
      </c>
      <c r="D680" s="1">
        <f>IF(B680="", "", "human-associated habitat")</f>
        <v>0</v>
      </c>
      <c r="G680" s="1">
        <f>IF(B680="", "", "years")</f>
        <v>0</v>
      </c>
      <c r="I680" s="1">
        <f>IF(B680="", "", "human")</f>
        <v>0</v>
      </c>
      <c r="K680" s="1">
        <f>IF(B680="", "", "cm")</f>
        <v>0</v>
      </c>
      <c r="L680" s="1">
        <f>IF(B680="", "", "Homo sapiens")</f>
        <v>0</v>
      </c>
      <c r="M680" s="1">
        <f>IF(B680="", "", "9606")</f>
        <v>0</v>
      </c>
      <c r="O680" s="1">
        <f>IF(B680="", "", "kg")</f>
        <v>0</v>
      </c>
    </row>
    <row r="681" spans="1:15">
      <c r="A681">
        <f>IF(COUNTBLANK(B681:Q681)&lt;&gt;COLUMNS(B681:Q681),680,"")</f>
        <v>0</v>
      </c>
      <c r="C681" s="1">
        <f>IF(B681="", "", "urban biome")</f>
        <v>0</v>
      </c>
      <c r="D681" s="1">
        <f>IF(B681="", "", "human-associated habitat")</f>
        <v>0</v>
      </c>
      <c r="G681" s="1">
        <f>IF(B681="", "", "years")</f>
        <v>0</v>
      </c>
      <c r="I681" s="1">
        <f>IF(B681="", "", "human")</f>
        <v>0</v>
      </c>
      <c r="K681" s="1">
        <f>IF(B681="", "", "cm")</f>
        <v>0</v>
      </c>
      <c r="L681" s="1">
        <f>IF(B681="", "", "Homo sapiens")</f>
        <v>0</v>
      </c>
      <c r="M681" s="1">
        <f>IF(B681="", "", "9606")</f>
        <v>0</v>
      </c>
      <c r="O681" s="1">
        <f>IF(B681="", "", "kg")</f>
        <v>0</v>
      </c>
    </row>
    <row r="682" spans="1:15">
      <c r="A682">
        <f>IF(COUNTBLANK(B682:Q682)&lt;&gt;COLUMNS(B682:Q682),681,"")</f>
        <v>0</v>
      </c>
      <c r="C682" s="1">
        <f>IF(B682="", "", "urban biome")</f>
        <v>0</v>
      </c>
      <c r="D682" s="1">
        <f>IF(B682="", "", "human-associated habitat")</f>
        <v>0</v>
      </c>
      <c r="G682" s="1">
        <f>IF(B682="", "", "years")</f>
        <v>0</v>
      </c>
      <c r="I682" s="1">
        <f>IF(B682="", "", "human")</f>
        <v>0</v>
      </c>
      <c r="K682" s="1">
        <f>IF(B682="", "", "cm")</f>
        <v>0</v>
      </c>
      <c r="L682" s="1">
        <f>IF(B682="", "", "Homo sapiens")</f>
        <v>0</v>
      </c>
      <c r="M682" s="1">
        <f>IF(B682="", "", "9606")</f>
        <v>0</v>
      </c>
      <c r="O682" s="1">
        <f>IF(B682="", "", "kg")</f>
        <v>0</v>
      </c>
    </row>
    <row r="683" spans="1:15">
      <c r="A683">
        <f>IF(COUNTBLANK(B683:Q683)&lt;&gt;COLUMNS(B683:Q683),682,"")</f>
        <v>0</v>
      </c>
      <c r="C683" s="1">
        <f>IF(B683="", "", "urban biome")</f>
        <v>0</v>
      </c>
      <c r="D683" s="1">
        <f>IF(B683="", "", "human-associated habitat")</f>
        <v>0</v>
      </c>
      <c r="G683" s="1">
        <f>IF(B683="", "", "years")</f>
        <v>0</v>
      </c>
      <c r="I683" s="1">
        <f>IF(B683="", "", "human")</f>
        <v>0</v>
      </c>
      <c r="K683" s="1">
        <f>IF(B683="", "", "cm")</f>
        <v>0</v>
      </c>
      <c r="L683" s="1">
        <f>IF(B683="", "", "Homo sapiens")</f>
        <v>0</v>
      </c>
      <c r="M683" s="1">
        <f>IF(B683="", "", "9606")</f>
        <v>0</v>
      </c>
      <c r="O683" s="1">
        <f>IF(B683="", "", "kg")</f>
        <v>0</v>
      </c>
    </row>
    <row r="684" spans="1:15">
      <c r="A684">
        <f>IF(COUNTBLANK(B684:Q684)&lt;&gt;COLUMNS(B684:Q684),683,"")</f>
        <v>0</v>
      </c>
      <c r="C684" s="1">
        <f>IF(B684="", "", "urban biome")</f>
        <v>0</v>
      </c>
      <c r="D684" s="1">
        <f>IF(B684="", "", "human-associated habitat")</f>
        <v>0</v>
      </c>
      <c r="G684" s="1">
        <f>IF(B684="", "", "years")</f>
        <v>0</v>
      </c>
      <c r="I684" s="1">
        <f>IF(B684="", "", "human")</f>
        <v>0</v>
      </c>
      <c r="K684" s="1">
        <f>IF(B684="", "", "cm")</f>
        <v>0</v>
      </c>
      <c r="L684" s="1">
        <f>IF(B684="", "", "Homo sapiens")</f>
        <v>0</v>
      </c>
      <c r="M684" s="1">
        <f>IF(B684="", "", "9606")</f>
        <v>0</v>
      </c>
      <c r="O684" s="1">
        <f>IF(B684="", "", "kg")</f>
        <v>0</v>
      </c>
    </row>
    <row r="685" spans="1:15">
      <c r="A685">
        <f>IF(COUNTBLANK(B685:Q685)&lt;&gt;COLUMNS(B685:Q685),684,"")</f>
        <v>0</v>
      </c>
      <c r="C685" s="1">
        <f>IF(B685="", "", "urban biome")</f>
        <v>0</v>
      </c>
      <c r="D685" s="1">
        <f>IF(B685="", "", "human-associated habitat")</f>
        <v>0</v>
      </c>
      <c r="G685" s="1">
        <f>IF(B685="", "", "years")</f>
        <v>0</v>
      </c>
      <c r="I685" s="1">
        <f>IF(B685="", "", "human")</f>
        <v>0</v>
      </c>
      <c r="K685" s="1">
        <f>IF(B685="", "", "cm")</f>
        <v>0</v>
      </c>
      <c r="L685" s="1">
        <f>IF(B685="", "", "Homo sapiens")</f>
        <v>0</v>
      </c>
      <c r="M685" s="1">
        <f>IF(B685="", "", "9606")</f>
        <v>0</v>
      </c>
      <c r="O685" s="1">
        <f>IF(B685="", "", "kg")</f>
        <v>0</v>
      </c>
    </row>
    <row r="686" spans="1:15">
      <c r="A686">
        <f>IF(COUNTBLANK(B686:Q686)&lt;&gt;COLUMNS(B686:Q686),685,"")</f>
        <v>0</v>
      </c>
      <c r="C686" s="1">
        <f>IF(B686="", "", "urban biome")</f>
        <v>0</v>
      </c>
      <c r="D686" s="1">
        <f>IF(B686="", "", "human-associated habitat")</f>
        <v>0</v>
      </c>
      <c r="G686" s="1">
        <f>IF(B686="", "", "years")</f>
        <v>0</v>
      </c>
      <c r="I686" s="1">
        <f>IF(B686="", "", "human")</f>
        <v>0</v>
      </c>
      <c r="K686" s="1">
        <f>IF(B686="", "", "cm")</f>
        <v>0</v>
      </c>
      <c r="L686" s="1">
        <f>IF(B686="", "", "Homo sapiens")</f>
        <v>0</v>
      </c>
      <c r="M686" s="1">
        <f>IF(B686="", "", "9606")</f>
        <v>0</v>
      </c>
      <c r="O686" s="1">
        <f>IF(B686="", "", "kg")</f>
        <v>0</v>
      </c>
    </row>
    <row r="687" spans="1:15">
      <c r="A687">
        <f>IF(COUNTBLANK(B687:Q687)&lt;&gt;COLUMNS(B687:Q687),686,"")</f>
        <v>0</v>
      </c>
      <c r="C687" s="1">
        <f>IF(B687="", "", "urban biome")</f>
        <v>0</v>
      </c>
      <c r="D687" s="1">
        <f>IF(B687="", "", "human-associated habitat")</f>
        <v>0</v>
      </c>
      <c r="G687" s="1">
        <f>IF(B687="", "", "years")</f>
        <v>0</v>
      </c>
      <c r="I687" s="1">
        <f>IF(B687="", "", "human")</f>
        <v>0</v>
      </c>
      <c r="K687" s="1">
        <f>IF(B687="", "", "cm")</f>
        <v>0</v>
      </c>
      <c r="L687" s="1">
        <f>IF(B687="", "", "Homo sapiens")</f>
        <v>0</v>
      </c>
      <c r="M687" s="1">
        <f>IF(B687="", "", "9606")</f>
        <v>0</v>
      </c>
      <c r="O687" s="1">
        <f>IF(B687="", "", "kg")</f>
        <v>0</v>
      </c>
    </row>
    <row r="688" spans="1:15">
      <c r="A688">
        <f>IF(COUNTBLANK(B688:Q688)&lt;&gt;COLUMNS(B688:Q688),687,"")</f>
        <v>0</v>
      </c>
      <c r="C688" s="1">
        <f>IF(B688="", "", "urban biome")</f>
        <v>0</v>
      </c>
      <c r="D688" s="1">
        <f>IF(B688="", "", "human-associated habitat")</f>
        <v>0</v>
      </c>
      <c r="G688" s="1">
        <f>IF(B688="", "", "years")</f>
        <v>0</v>
      </c>
      <c r="I688" s="1">
        <f>IF(B688="", "", "human")</f>
        <v>0</v>
      </c>
      <c r="K688" s="1">
        <f>IF(B688="", "", "cm")</f>
        <v>0</v>
      </c>
      <c r="L688" s="1">
        <f>IF(B688="", "", "Homo sapiens")</f>
        <v>0</v>
      </c>
      <c r="M688" s="1">
        <f>IF(B688="", "", "9606")</f>
        <v>0</v>
      </c>
      <c r="O688" s="1">
        <f>IF(B688="", "", "kg")</f>
        <v>0</v>
      </c>
    </row>
    <row r="689" spans="1:15">
      <c r="A689">
        <f>IF(COUNTBLANK(B689:Q689)&lt;&gt;COLUMNS(B689:Q689),688,"")</f>
        <v>0</v>
      </c>
      <c r="C689" s="1">
        <f>IF(B689="", "", "urban biome")</f>
        <v>0</v>
      </c>
      <c r="D689" s="1">
        <f>IF(B689="", "", "human-associated habitat")</f>
        <v>0</v>
      </c>
      <c r="G689" s="1">
        <f>IF(B689="", "", "years")</f>
        <v>0</v>
      </c>
      <c r="I689" s="1">
        <f>IF(B689="", "", "human")</f>
        <v>0</v>
      </c>
      <c r="K689" s="1">
        <f>IF(B689="", "", "cm")</f>
        <v>0</v>
      </c>
      <c r="L689" s="1">
        <f>IF(B689="", "", "Homo sapiens")</f>
        <v>0</v>
      </c>
      <c r="M689" s="1">
        <f>IF(B689="", "", "9606")</f>
        <v>0</v>
      </c>
      <c r="O689" s="1">
        <f>IF(B689="", "", "kg")</f>
        <v>0</v>
      </c>
    </row>
    <row r="690" spans="1:15">
      <c r="A690">
        <f>IF(COUNTBLANK(B690:Q690)&lt;&gt;COLUMNS(B690:Q690),689,"")</f>
        <v>0</v>
      </c>
      <c r="C690" s="1">
        <f>IF(B690="", "", "urban biome")</f>
        <v>0</v>
      </c>
      <c r="D690" s="1">
        <f>IF(B690="", "", "human-associated habitat")</f>
        <v>0</v>
      </c>
      <c r="G690" s="1">
        <f>IF(B690="", "", "years")</f>
        <v>0</v>
      </c>
      <c r="I690" s="1">
        <f>IF(B690="", "", "human")</f>
        <v>0</v>
      </c>
      <c r="K690" s="1">
        <f>IF(B690="", "", "cm")</f>
        <v>0</v>
      </c>
      <c r="L690" s="1">
        <f>IF(B690="", "", "Homo sapiens")</f>
        <v>0</v>
      </c>
      <c r="M690" s="1">
        <f>IF(B690="", "", "9606")</f>
        <v>0</v>
      </c>
      <c r="O690" s="1">
        <f>IF(B690="", "", "kg")</f>
        <v>0</v>
      </c>
    </row>
    <row r="691" spans="1:15">
      <c r="A691">
        <f>IF(COUNTBLANK(B691:Q691)&lt;&gt;COLUMNS(B691:Q691),690,"")</f>
        <v>0</v>
      </c>
      <c r="C691" s="1">
        <f>IF(B691="", "", "urban biome")</f>
        <v>0</v>
      </c>
      <c r="D691" s="1">
        <f>IF(B691="", "", "human-associated habitat")</f>
        <v>0</v>
      </c>
      <c r="G691" s="1">
        <f>IF(B691="", "", "years")</f>
        <v>0</v>
      </c>
      <c r="I691" s="1">
        <f>IF(B691="", "", "human")</f>
        <v>0</v>
      </c>
      <c r="K691" s="1">
        <f>IF(B691="", "", "cm")</f>
        <v>0</v>
      </c>
      <c r="L691" s="1">
        <f>IF(B691="", "", "Homo sapiens")</f>
        <v>0</v>
      </c>
      <c r="M691" s="1">
        <f>IF(B691="", "", "9606")</f>
        <v>0</v>
      </c>
      <c r="O691" s="1">
        <f>IF(B691="", "", "kg")</f>
        <v>0</v>
      </c>
    </row>
    <row r="692" spans="1:15">
      <c r="A692">
        <f>IF(COUNTBLANK(B692:Q692)&lt;&gt;COLUMNS(B692:Q692),691,"")</f>
        <v>0</v>
      </c>
      <c r="C692" s="1">
        <f>IF(B692="", "", "urban biome")</f>
        <v>0</v>
      </c>
      <c r="D692" s="1">
        <f>IF(B692="", "", "human-associated habitat")</f>
        <v>0</v>
      </c>
      <c r="G692" s="1">
        <f>IF(B692="", "", "years")</f>
        <v>0</v>
      </c>
      <c r="I692" s="1">
        <f>IF(B692="", "", "human")</f>
        <v>0</v>
      </c>
      <c r="K692" s="1">
        <f>IF(B692="", "", "cm")</f>
        <v>0</v>
      </c>
      <c r="L692" s="1">
        <f>IF(B692="", "", "Homo sapiens")</f>
        <v>0</v>
      </c>
      <c r="M692" s="1">
        <f>IF(B692="", "", "9606")</f>
        <v>0</v>
      </c>
      <c r="O692" s="1">
        <f>IF(B692="", "", "kg")</f>
        <v>0</v>
      </c>
    </row>
    <row r="693" spans="1:15">
      <c r="A693">
        <f>IF(COUNTBLANK(B693:Q693)&lt;&gt;COLUMNS(B693:Q693),692,"")</f>
        <v>0</v>
      </c>
      <c r="C693" s="1">
        <f>IF(B693="", "", "urban biome")</f>
        <v>0</v>
      </c>
      <c r="D693" s="1">
        <f>IF(B693="", "", "human-associated habitat")</f>
        <v>0</v>
      </c>
      <c r="G693" s="1">
        <f>IF(B693="", "", "years")</f>
        <v>0</v>
      </c>
      <c r="I693" s="1">
        <f>IF(B693="", "", "human")</f>
        <v>0</v>
      </c>
      <c r="K693" s="1">
        <f>IF(B693="", "", "cm")</f>
        <v>0</v>
      </c>
      <c r="L693" s="1">
        <f>IF(B693="", "", "Homo sapiens")</f>
        <v>0</v>
      </c>
      <c r="M693" s="1">
        <f>IF(B693="", "", "9606")</f>
        <v>0</v>
      </c>
      <c r="O693" s="1">
        <f>IF(B693="", "", "kg")</f>
        <v>0</v>
      </c>
    </row>
    <row r="694" spans="1:15">
      <c r="A694">
        <f>IF(COUNTBLANK(B694:Q694)&lt;&gt;COLUMNS(B694:Q694),693,"")</f>
        <v>0</v>
      </c>
      <c r="C694" s="1">
        <f>IF(B694="", "", "urban biome")</f>
        <v>0</v>
      </c>
      <c r="D694" s="1">
        <f>IF(B694="", "", "human-associated habitat")</f>
        <v>0</v>
      </c>
      <c r="G694" s="1">
        <f>IF(B694="", "", "years")</f>
        <v>0</v>
      </c>
      <c r="I694" s="1">
        <f>IF(B694="", "", "human")</f>
        <v>0</v>
      </c>
      <c r="K694" s="1">
        <f>IF(B694="", "", "cm")</f>
        <v>0</v>
      </c>
      <c r="L694" s="1">
        <f>IF(B694="", "", "Homo sapiens")</f>
        <v>0</v>
      </c>
      <c r="M694" s="1">
        <f>IF(B694="", "", "9606")</f>
        <v>0</v>
      </c>
      <c r="O694" s="1">
        <f>IF(B694="", "", "kg")</f>
        <v>0</v>
      </c>
    </row>
    <row r="695" spans="1:15">
      <c r="A695">
        <f>IF(COUNTBLANK(B695:Q695)&lt;&gt;COLUMNS(B695:Q695),694,"")</f>
        <v>0</v>
      </c>
      <c r="C695" s="1">
        <f>IF(B695="", "", "urban biome")</f>
        <v>0</v>
      </c>
      <c r="D695" s="1">
        <f>IF(B695="", "", "human-associated habitat")</f>
        <v>0</v>
      </c>
      <c r="G695" s="1">
        <f>IF(B695="", "", "years")</f>
        <v>0</v>
      </c>
      <c r="I695" s="1">
        <f>IF(B695="", "", "human")</f>
        <v>0</v>
      </c>
      <c r="K695" s="1">
        <f>IF(B695="", "", "cm")</f>
        <v>0</v>
      </c>
      <c r="L695" s="1">
        <f>IF(B695="", "", "Homo sapiens")</f>
        <v>0</v>
      </c>
      <c r="M695" s="1">
        <f>IF(B695="", "", "9606")</f>
        <v>0</v>
      </c>
      <c r="O695" s="1">
        <f>IF(B695="", "", "kg")</f>
        <v>0</v>
      </c>
    </row>
    <row r="696" spans="1:15">
      <c r="A696">
        <f>IF(COUNTBLANK(B696:Q696)&lt;&gt;COLUMNS(B696:Q696),695,"")</f>
        <v>0</v>
      </c>
      <c r="C696" s="1">
        <f>IF(B696="", "", "urban biome")</f>
        <v>0</v>
      </c>
      <c r="D696" s="1">
        <f>IF(B696="", "", "human-associated habitat")</f>
        <v>0</v>
      </c>
      <c r="G696" s="1">
        <f>IF(B696="", "", "years")</f>
        <v>0</v>
      </c>
      <c r="I696" s="1">
        <f>IF(B696="", "", "human")</f>
        <v>0</v>
      </c>
      <c r="K696" s="1">
        <f>IF(B696="", "", "cm")</f>
        <v>0</v>
      </c>
      <c r="L696" s="1">
        <f>IF(B696="", "", "Homo sapiens")</f>
        <v>0</v>
      </c>
      <c r="M696" s="1">
        <f>IF(B696="", "", "9606")</f>
        <v>0</v>
      </c>
      <c r="O696" s="1">
        <f>IF(B696="", "", "kg")</f>
        <v>0</v>
      </c>
    </row>
    <row r="697" spans="1:15">
      <c r="A697">
        <f>IF(COUNTBLANK(B697:Q697)&lt;&gt;COLUMNS(B697:Q697),696,"")</f>
        <v>0</v>
      </c>
      <c r="C697" s="1">
        <f>IF(B697="", "", "urban biome")</f>
        <v>0</v>
      </c>
      <c r="D697" s="1">
        <f>IF(B697="", "", "human-associated habitat")</f>
        <v>0</v>
      </c>
      <c r="G697" s="1">
        <f>IF(B697="", "", "years")</f>
        <v>0</v>
      </c>
      <c r="I697" s="1">
        <f>IF(B697="", "", "human")</f>
        <v>0</v>
      </c>
      <c r="K697" s="1">
        <f>IF(B697="", "", "cm")</f>
        <v>0</v>
      </c>
      <c r="L697" s="1">
        <f>IF(B697="", "", "Homo sapiens")</f>
        <v>0</v>
      </c>
      <c r="M697" s="1">
        <f>IF(B697="", "", "9606")</f>
        <v>0</v>
      </c>
      <c r="O697" s="1">
        <f>IF(B697="", "", "kg")</f>
        <v>0</v>
      </c>
    </row>
    <row r="698" spans="1:15">
      <c r="A698">
        <f>IF(COUNTBLANK(B698:Q698)&lt;&gt;COLUMNS(B698:Q698),697,"")</f>
        <v>0</v>
      </c>
      <c r="C698" s="1">
        <f>IF(B698="", "", "urban biome")</f>
        <v>0</v>
      </c>
      <c r="D698" s="1">
        <f>IF(B698="", "", "human-associated habitat")</f>
        <v>0</v>
      </c>
      <c r="G698" s="1">
        <f>IF(B698="", "", "years")</f>
        <v>0</v>
      </c>
      <c r="I698" s="1">
        <f>IF(B698="", "", "human")</f>
        <v>0</v>
      </c>
      <c r="K698" s="1">
        <f>IF(B698="", "", "cm")</f>
        <v>0</v>
      </c>
      <c r="L698" s="1">
        <f>IF(B698="", "", "Homo sapiens")</f>
        <v>0</v>
      </c>
      <c r="M698" s="1">
        <f>IF(B698="", "", "9606")</f>
        <v>0</v>
      </c>
      <c r="O698" s="1">
        <f>IF(B698="", "", "kg")</f>
        <v>0</v>
      </c>
    </row>
    <row r="699" spans="1:15">
      <c r="A699">
        <f>IF(COUNTBLANK(B699:Q699)&lt;&gt;COLUMNS(B699:Q699),698,"")</f>
        <v>0</v>
      </c>
      <c r="C699" s="1">
        <f>IF(B699="", "", "urban biome")</f>
        <v>0</v>
      </c>
      <c r="D699" s="1">
        <f>IF(B699="", "", "human-associated habitat")</f>
        <v>0</v>
      </c>
      <c r="G699" s="1">
        <f>IF(B699="", "", "years")</f>
        <v>0</v>
      </c>
      <c r="I699" s="1">
        <f>IF(B699="", "", "human")</f>
        <v>0</v>
      </c>
      <c r="K699" s="1">
        <f>IF(B699="", "", "cm")</f>
        <v>0</v>
      </c>
      <c r="L699" s="1">
        <f>IF(B699="", "", "Homo sapiens")</f>
        <v>0</v>
      </c>
      <c r="M699" s="1">
        <f>IF(B699="", "", "9606")</f>
        <v>0</v>
      </c>
      <c r="O699" s="1">
        <f>IF(B699="", "", "kg")</f>
        <v>0</v>
      </c>
    </row>
    <row r="700" spans="1:15">
      <c r="A700">
        <f>IF(COUNTBLANK(B700:Q700)&lt;&gt;COLUMNS(B700:Q700),699,"")</f>
        <v>0</v>
      </c>
      <c r="C700" s="1">
        <f>IF(B700="", "", "urban biome")</f>
        <v>0</v>
      </c>
      <c r="D700" s="1">
        <f>IF(B700="", "", "human-associated habitat")</f>
        <v>0</v>
      </c>
      <c r="G700" s="1">
        <f>IF(B700="", "", "years")</f>
        <v>0</v>
      </c>
      <c r="I700" s="1">
        <f>IF(B700="", "", "human")</f>
        <v>0</v>
      </c>
      <c r="K700" s="1">
        <f>IF(B700="", "", "cm")</f>
        <v>0</v>
      </c>
      <c r="L700" s="1">
        <f>IF(B700="", "", "Homo sapiens")</f>
        <v>0</v>
      </c>
      <c r="M700" s="1">
        <f>IF(B700="", "", "9606")</f>
        <v>0</v>
      </c>
      <c r="O700" s="1">
        <f>IF(B700="", "", "kg")</f>
        <v>0</v>
      </c>
    </row>
    <row r="701" spans="1:15">
      <c r="A701">
        <f>IF(COUNTBLANK(B701:Q701)&lt;&gt;COLUMNS(B701:Q701),700,"")</f>
        <v>0</v>
      </c>
      <c r="C701" s="1">
        <f>IF(B701="", "", "urban biome")</f>
        <v>0</v>
      </c>
      <c r="D701" s="1">
        <f>IF(B701="", "", "human-associated habitat")</f>
        <v>0</v>
      </c>
      <c r="G701" s="1">
        <f>IF(B701="", "", "years")</f>
        <v>0</v>
      </c>
      <c r="I701" s="1">
        <f>IF(B701="", "", "human")</f>
        <v>0</v>
      </c>
      <c r="K701" s="1">
        <f>IF(B701="", "", "cm")</f>
        <v>0</v>
      </c>
      <c r="L701" s="1">
        <f>IF(B701="", "", "Homo sapiens")</f>
        <v>0</v>
      </c>
      <c r="M701" s="1">
        <f>IF(B701="", "", "9606")</f>
        <v>0</v>
      </c>
      <c r="O701" s="1">
        <f>IF(B701="", "", "kg")</f>
        <v>0</v>
      </c>
    </row>
    <row r="702" spans="1:15">
      <c r="A702">
        <f>IF(COUNTBLANK(B702:Q702)&lt;&gt;COLUMNS(B702:Q702),701,"")</f>
        <v>0</v>
      </c>
      <c r="C702" s="1">
        <f>IF(B702="", "", "urban biome")</f>
        <v>0</v>
      </c>
      <c r="D702" s="1">
        <f>IF(B702="", "", "human-associated habitat")</f>
        <v>0</v>
      </c>
      <c r="G702" s="1">
        <f>IF(B702="", "", "years")</f>
        <v>0</v>
      </c>
      <c r="I702" s="1">
        <f>IF(B702="", "", "human")</f>
        <v>0</v>
      </c>
      <c r="K702" s="1">
        <f>IF(B702="", "", "cm")</f>
        <v>0</v>
      </c>
      <c r="L702" s="1">
        <f>IF(B702="", "", "Homo sapiens")</f>
        <v>0</v>
      </c>
      <c r="M702" s="1">
        <f>IF(B702="", "", "9606")</f>
        <v>0</v>
      </c>
      <c r="O702" s="1">
        <f>IF(B702="", "", "kg")</f>
        <v>0</v>
      </c>
    </row>
    <row r="703" spans="1:15">
      <c r="A703">
        <f>IF(COUNTBLANK(B703:Q703)&lt;&gt;COLUMNS(B703:Q703),702,"")</f>
        <v>0</v>
      </c>
      <c r="C703" s="1">
        <f>IF(B703="", "", "urban biome")</f>
        <v>0</v>
      </c>
      <c r="D703" s="1">
        <f>IF(B703="", "", "human-associated habitat")</f>
        <v>0</v>
      </c>
      <c r="G703" s="1">
        <f>IF(B703="", "", "years")</f>
        <v>0</v>
      </c>
      <c r="I703" s="1">
        <f>IF(B703="", "", "human")</f>
        <v>0</v>
      </c>
      <c r="K703" s="1">
        <f>IF(B703="", "", "cm")</f>
        <v>0</v>
      </c>
      <c r="L703" s="1">
        <f>IF(B703="", "", "Homo sapiens")</f>
        <v>0</v>
      </c>
      <c r="M703" s="1">
        <f>IF(B703="", "", "9606")</f>
        <v>0</v>
      </c>
      <c r="O703" s="1">
        <f>IF(B703="", "", "kg")</f>
        <v>0</v>
      </c>
    </row>
    <row r="704" spans="1:15">
      <c r="A704">
        <f>IF(COUNTBLANK(B704:Q704)&lt;&gt;COLUMNS(B704:Q704),703,"")</f>
        <v>0</v>
      </c>
      <c r="C704" s="1">
        <f>IF(B704="", "", "urban biome")</f>
        <v>0</v>
      </c>
      <c r="D704" s="1">
        <f>IF(B704="", "", "human-associated habitat")</f>
        <v>0</v>
      </c>
      <c r="G704" s="1">
        <f>IF(B704="", "", "years")</f>
        <v>0</v>
      </c>
      <c r="I704" s="1">
        <f>IF(B704="", "", "human")</f>
        <v>0</v>
      </c>
      <c r="K704" s="1">
        <f>IF(B704="", "", "cm")</f>
        <v>0</v>
      </c>
      <c r="L704" s="1">
        <f>IF(B704="", "", "Homo sapiens")</f>
        <v>0</v>
      </c>
      <c r="M704" s="1">
        <f>IF(B704="", "", "9606")</f>
        <v>0</v>
      </c>
      <c r="O704" s="1">
        <f>IF(B704="", "", "kg")</f>
        <v>0</v>
      </c>
    </row>
    <row r="705" spans="1:15">
      <c r="A705">
        <f>IF(COUNTBLANK(B705:Q705)&lt;&gt;COLUMNS(B705:Q705),704,"")</f>
        <v>0</v>
      </c>
      <c r="C705" s="1">
        <f>IF(B705="", "", "urban biome")</f>
        <v>0</v>
      </c>
      <c r="D705" s="1">
        <f>IF(B705="", "", "human-associated habitat")</f>
        <v>0</v>
      </c>
      <c r="G705" s="1">
        <f>IF(B705="", "", "years")</f>
        <v>0</v>
      </c>
      <c r="I705" s="1">
        <f>IF(B705="", "", "human")</f>
        <v>0</v>
      </c>
      <c r="K705" s="1">
        <f>IF(B705="", "", "cm")</f>
        <v>0</v>
      </c>
      <c r="L705" s="1">
        <f>IF(B705="", "", "Homo sapiens")</f>
        <v>0</v>
      </c>
      <c r="M705" s="1">
        <f>IF(B705="", "", "9606")</f>
        <v>0</v>
      </c>
      <c r="O705" s="1">
        <f>IF(B705="", "", "kg")</f>
        <v>0</v>
      </c>
    </row>
    <row r="706" spans="1:15">
      <c r="A706">
        <f>IF(COUNTBLANK(B706:Q706)&lt;&gt;COLUMNS(B706:Q706),705,"")</f>
        <v>0</v>
      </c>
      <c r="C706" s="1">
        <f>IF(B706="", "", "urban biome")</f>
        <v>0</v>
      </c>
      <c r="D706" s="1">
        <f>IF(B706="", "", "human-associated habitat")</f>
        <v>0</v>
      </c>
      <c r="G706" s="1">
        <f>IF(B706="", "", "years")</f>
        <v>0</v>
      </c>
      <c r="I706" s="1">
        <f>IF(B706="", "", "human")</f>
        <v>0</v>
      </c>
      <c r="K706" s="1">
        <f>IF(B706="", "", "cm")</f>
        <v>0</v>
      </c>
      <c r="L706" s="1">
        <f>IF(B706="", "", "Homo sapiens")</f>
        <v>0</v>
      </c>
      <c r="M706" s="1">
        <f>IF(B706="", "", "9606")</f>
        <v>0</v>
      </c>
      <c r="O706" s="1">
        <f>IF(B706="", "", "kg")</f>
        <v>0</v>
      </c>
    </row>
    <row r="707" spans="1:15">
      <c r="A707">
        <f>IF(COUNTBLANK(B707:Q707)&lt;&gt;COLUMNS(B707:Q707),706,"")</f>
        <v>0</v>
      </c>
      <c r="C707" s="1">
        <f>IF(B707="", "", "urban biome")</f>
        <v>0</v>
      </c>
      <c r="D707" s="1">
        <f>IF(B707="", "", "human-associated habitat")</f>
        <v>0</v>
      </c>
      <c r="G707" s="1">
        <f>IF(B707="", "", "years")</f>
        <v>0</v>
      </c>
      <c r="I707" s="1">
        <f>IF(B707="", "", "human")</f>
        <v>0</v>
      </c>
      <c r="K707" s="1">
        <f>IF(B707="", "", "cm")</f>
        <v>0</v>
      </c>
      <c r="L707" s="1">
        <f>IF(B707="", "", "Homo sapiens")</f>
        <v>0</v>
      </c>
      <c r="M707" s="1">
        <f>IF(B707="", "", "9606")</f>
        <v>0</v>
      </c>
      <c r="O707" s="1">
        <f>IF(B707="", "", "kg")</f>
        <v>0</v>
      </c>
    </row>
    <row r="708" spans="1:15">
      <c r="A708">
        <f>IF(COUNTBLANK(B708:Q708)&lt;&gt;COLUMNS(B708:Q708),707,"")</f>
        <v>0</v>
      </c>
      <c r="C708" s="1">
        <f>IF(B708="", "", "urban biome")</f>
        <v>0</v>
      </c>
      <c r="D708" s="1">
        <f>IF(B708="", "", "human-associated habitat")</f>
        <v>0</v>
      </c>
      <c r="G708" s="1">
        <f>IF(B708="", "", "years")</f>
        <v>0</v>
      </c>
      <c r="I708" s="1">
        <f>IF(B708="", "", "human")</f>
        <v>0</v>
      </c>
      <c r="K708" s="1">
        <f>IF(B708="", "", "cm")</f>
        <v>0</v>
      </c>
      <c r="L708" s="1">
        <f>IF(B708="", "", "Homo sapiens")</f>
        <v>0</v>
      </c>
      <c r="M708" s="1">
        <f>IF(B708="", "", "9606")</f>
        <v>0</v>
      </c>
      <c r="O708" s="1">
        <f>IF(B708="", "", "kg")</f>
        <v>0</v>
      </c>
    </row>
    <row r="709" spans="1:15">
      <c r="A709">
        <f>IF(COUNTBLANK(B709:Q709)&lt;&gt;COLUMNS(B709:Q709),708,"")</f>
        <v>0</v>
      </c>
      <c r="C709" s="1">
        <f>IF(B709="", "", "urban biome")</f>
        <v>0</v>
      </c>
      <c r="D709" s="1">
        <f>IF(B709="", "", "human-associated habitat")</f>
        <v>0</v>
      </c>
      <c r="G709" s="1">
        <f>IF(B709="", "", "years")</f>
        <v>0</v>
      </c>
      <c r="I709" s="1">
        <f>IF(B709="", "", "human")</f>
        <v>0</v>
      </c>
      <c r="K709" s="1">
        <f>IF(B709="", "", "cm")</f>
        <v>0</v>
      </c>
      <c r="L709" s="1">
        <f>IF(B709="", "", "Homo sapiens")</f>
        <v>0</v>
      </c>
      <c r="M709" s="1">
        <f>IF(B709="", "", "9606")</f>
        <v>0</v>
      </c>
      <c r="O709" s="1">
        <f>IF(B709="", "", "kg")</f>
        <v>0</v>
      </c>
    </row>
    <row r="710" spans="1:15">
      <c r="A710">
        <f>IF(COUNTBLANK(B710:Q710)&lt;&gt;COLUMNS(B710:Q710),709,"")</f>
        <v>0</v>
      </c>
      <c r="C710" s="1">
        <f>IF(B710="", "", "urban biome")</f>
        <v>0</v>
      </c>
      <c r="D710" s="1">
        <f>IF(B710="", "", "human-associated habitat")</f>
        <v>0</v>
      </c>
      <c r="G710" s="1">
        <f>IF(B710="", "", "years")</f>
        <v>0</v>
      </c>
      <c r="I710" s="1">
        <f>IF(B710="", "", "human")</f>
        <v>0</v>
      </c>
      <c r="K710" s="1">
        <f>IF(B710="", "", "cm")</f>
        <v>0</v>
      </c>
      <c r="L710" s="1">
        <f>IF(B710="", "", "Homo sapiens")</f>
        <v>0</v>
      </c>
      <c r="M710" s="1">
        <f>IF(B710="", "", "9606")</f>
        <v>0</v>
      </c>
      <c r="O710" s="1">
        <f>IF(B710="", "", "kg")</f>
        <v>0</v>
      </c>
    </row>
    <row r="711" spans="1:15">
      <c r="A711">
        <f>IF(COUNTBLANK(B711:Q711)&lt;&gt;COLUMNS(B711:Q711),710,"")</f>
        <v>0</v>
      </c>
      <c r="C711" s="1">
        <f>IF(B711="", "", "urban biome")</f>
        <v>0</v>
      </c>
      <c r="D711" s="1">
        <f>IF(B711="", "", "human-associated habitat")</f>
        <v>0</v>
      </c>
      <c r="G711" s="1">
        <f>IF(B711="", "", "years")</f>
        <v>0</v>
      </c>
      <c r="I711" s="1">
        <f>IF(B711="", "", "human")</f>
        <v>0</v>
      </c>
      <c r="K711" s="1">
        <f>IF(B711="", "", "cm")</f>
        <v>0</v>
      </c>
      <c r="L711" s="1">
        <f>IF(B711="", "", "Homo sapiens")</f>
        <v>0</v>
      </c>
      <c r="M711" s="1">
        <f>IF(B711="", "", "9606")</f>
        <v>0</v>
      </c>
      <c r="O711" s="1">
        <f>IF(B711="", "", "kg")</f>
        <v>0</v>
      </c>
    </row>
    <row r="712" spans="1:15">
      <c r="A712">
        <f>IF(COUNTBLANK(B712:Q712)&lt;&gt;COLUMNS(B712:Q712),711,"")</f>
        <v>0</v>
      </c>
      <c r="C712" s="1">
        <f>IF(B712="", "", "urban biome")</f>
        <v>0</v>
      </c>
      <c r="D712" s="1">
        <f>IF(B712="", "", "human-associated habitat")</f>
        <v>0</v>
      </c>
      <c r="G712" s="1">
        <f>IF(B712="", "", "years")</f>
        <v>0</v>
      </c>
      <c r="I712" s="1">
        <f>IF(B712="", "", "human")</f>
        <v>0</v>
      </c>
      <c r="K712" s="1">
        <f>IF(B712="", "", "cm")</f>
        <v>0</v>
      </c>
      <c r="L712" s="1">
        <f>IF(B712="", "", "Homo sapiens")</f>
        <v>0</v>
      </c>
      <c r="M712" s="1">
        <f>IF(B712="", "", "9606")</f>
        <v>0</v>
      </c>
      <c r="O712" s="1">
        <f>IF(B712="", "", "kg")</f>
        <v>0</v>
      </c>
    </row>
    <row r="713" spans="1:15">
      <c r="A713">
        <f>IF(COUNTBLANK(B713:Q713)&lt;&gt;COLUMNS(B713:Q713),712,"")</f>
        <v>0</v>
      </c>
      <c r="C713" s="1">
        <f>IF(B713="", "", "urban biome")</f>
        <v>0</v>
      </c>
      <c r="D713" s="1">
        <f>IF(B713="", "", "human-associated habitat")</f>
        <v>0</v>
      </c>
      <c r="G713" s="1">
        <f>IF(B713="", "", "years")</f>
        <v>0</v>
      </c>
      <c r="I713" s="1">
        <f>IF(B713="", "", "human")</f>
        <v>0</v>
      </c>
      <c r="K713" s="1">
        <f>IF(B713="", "", "cm")</f>
        <v>0</v>
      </c>
      <c r="L713" s="1">
        <f>IF(B713="", "", "Homo sapiens")</f>
        <v>0</v>
      </c>
      <c r="M713" s="1">
        <f>IF(B713="", "", "9606")</f>
        <v>0</v>
      </c>
      <c r="O713" s="1">
        <f>IF(B713="", "", "kg")</f>
        <v>0</v>
      </c>
    </row>
    <row r="714" spans="1:15">
      <c r="A714">
        <f>IF(COUNTBLANK(B714:Q714)&lt;&gt;COLUMNS(B714:Q714),713,"")</f>
        <v>0</v>
      </c>
      <c r="C714" s="1">
        <f>IF(B714="", "", "urban biome")</f>
        <v>0</v>
      </c>
      <c r="D714" s="1">
        <f>IF(B714="", "", "human-associated habitat")</f>
        <v>0</v>
      </c>
      <c r="G714" s="1">
        <f>IF(B714="", "", "years")</f>
        <v>0</v>
      </c>
      <c r="I714" s="1">
        <f>IF(B714="", "", "human")</f>
        <v>0</v>
      </c>
      <c r="K714" s="1">
        <f>IF(B714="", "", "cm")</f>
        <v>0</v>
      </c>
      <c r="L714" s="1">
        <f>IF(B714="", "", "Homo sapiens")</f>
        <v>0</v>
      </c>
      <c r="M714" s="1">
        <f>IF(B714="", "", "9606")</f>
        <v>0</v>
      </c>
      <c r="O714" s="1">
        <f>IF(B714="", "", "kg")</f>
        <v>0</v>
      </c>
    </row>
    <row r="715" spans="1:15">
      <c r="A715">
        <f>IF(COUNTBLANK(B715:Q715)&lt;&gt;COLUMNS(B715:Q715),714,"")</f>
        <v>0</v>
      </c>
      <c r="C715" s="1">
        <f>IF(B715="", "", "urban biome")</f>
        <v>0</v>
      </c>
      <c r="D715" s="1">
        <f>IF(B715="", "", "human-associated habitat")</f>
        <v>0</v>
      </c>
      <c r="G715" s="1">
        <f>IF(B715="", "", "years")</f>
        <v>0</v>
      </c>
      <c r="I715" s="1">
        <f>IF(B715="", "", "human")</f>
        <v>0</v>
      </c>
      <c r="K715" s="1">
        <f>IF(B715="", "", "cm")</f>
        <v>0</v>
      </c>
      <c r="L715" s="1">
        <f>IF(B715="", "", "Homo sapiens")</f>
        <v>0</v>
      </c>
      <c r="M715" s="1">
        <f>IF(B715="", "", "9606")</f>
        <v>0</v>
      </c>
      <c r="O715" s="1">
        <f>IF(B715="", "", "kg")</f>
        <v>0</v>
      </c>
    </row>
    <row r="716" spans="1:15">
      <c r="A716">
        <f>IF(COUNTBLANK(B716:Q716)&lt;&gt;COLUMNS(B716:Q716),715,"")</f>
        <v>0</v>
      </c>
      <c r="C716" s="1">
        <f>IF(B716="", "", "urban biome")</f>
        <v>0</v>
      </c>
      <c r="D716" s="1">
        <f>IF(B716="", "", "human-associated habitat")</f>
        <v>0</v>
      </c>
      <c r="G716" s="1">
        <f>IF(B716="", "", "years")</f>
        <v>0</v>
      </c>
      <c r="I716" s="1">
        <f>IF(B716="", "", "human")</f>
        <v>0</v>
      </c>
      <c r="K716" s="1">
        <f>IF(B716="", "", "cm")</f>
        <v>0</v>
      </c>
      <c r="L716" s="1">
        <f>IF(B716="", "", "Homo sapiens")</f>
        <v>0</v>
      </c>
      <c r="M716" s="1">
        <f>IF(B716="", "", "9606")</f>
        <v>0</v>
      </c>
      <c r="O716" s="1">
        <f>IF(B716="", "", "kg")</f>
        <v>0</v>
      </c>
    </row>
    <row r="717" spans="1:15">
      <c r="A717">
        <f>IF(COUNTBLANK(B717:Q717)&lt;&gt;COLUMNS(B717:Q717),716,"")</f>
        <v>0</v>
      </c>
      <c r="C717" s="1">
        <f>IF(B717="", "", "urban biome")</f>
        <v>0</v>
      </c>
      <c r="D717" s="1">
        <f>IF(B717="", "", "human-associated habitat")</f>
        <v>0</v>
      </c>
      <c r="G717" s="1">
        <f>IF(B717="", "", "years")</f>
        <v>0</v>
      </c>
      <c r="I717" s="1">
        <f>IF(B717="", "", "human")</f>
        <v>0</v>
      </c>
      <c r="K717" s="1">
        <f>IF(B717="", "", "cm")</f>
        <v>0</v>
      </c>
      <c r="L717" s="1">
        <f>IF(B717="", "", "Homo sapiens")</f>
        <v>0</v>
      </c>
      <c r="M717" s="1">
        <f>IF(B717="", "", "9606")</f>
        <v>0</v>
      </c>
      <c r="O717" s="1">
        <f>IF(B717="", "", "kg")</f>
        <v>0</v>
      </c>
    </row>
    <row r="718" spans="1:15">
      <c r="A718">
        <f>IF(COUNTBLANK(B718:Q718)&lt;&gt;COLUMNS(B718:Q718),717,"")</f>
        <v>0</v>
      </c>
      <c r="C718" s="1">
        <f>IF(B718="", "", "urban biome")</f>
        <v>0</v>
      </c>
      <c r="D718" s="1">
        <f>IF(B718="", "", "human-associated habitat")</f>
        <v>0</v>
      </c>
      <c r="G718" s="1">
        <f>IF(B718="", "", "years")</f>
        <v>0</v>
      </c>
      <c r="I718" s="1">
        <f>IF(B718="", "", "human")</f>
        <v>0</v>
      </c>
      <c r="K718" s="1">
        <f>IF(B718="", "", "cm")</f>
        <v>0</v>
      </c>
      <c r="L718" s="1">
        <f>IF(B718="", "", "Homo sapiens")</f>
        <v>0</v>
      </c>
      <c r="M718" s="1">
        <f>IF(B718="", "", "9606")</f>
        <v>0</v>
      </c>
      <c r="O718" s="1">
        <f>IF(B718="", "", "kg")</f>
        <v>0</v>
      </c>
    </row>
    <row r="719" spans="1:15">
      <c r="A719">
        <f>IF(COUNTBLANK(B719:Q719)&lt;&gt;COLUMNS(B719:Q719),718,"")</f>
        <v>0</v>
      </c>
      <c r="C719" s="1">
        <f>IF(B719="", "", "urban biome")</f>
        <v>0</v>
      </c>
      <c r="D719" s="1">
        <f>IF(B719="", "", "human-associated habitat")</f>
        <v>0</v>
      </c>
      <c r="G719" s="1">
        <f>IF(B719="", "", "years")</f>
        <v>0</v>
      </c>
      <c r="I719" s="1">
        <f>IF(B719="", "", "human")</f>
        <v>0</v>
      </c>
      <c r="K719" s="1">
        <f>IF(B719="", "", "cm")</f>
        <v>0</v>
      </c>
      <c r="L719" s="1">
        <f>IF(B719="", "", "Homo sapiens")</f>
        <v>0</v>
      </c>
      <c r="M719" s="1">
        <f>IF(B719="", "", "9606")</f>
        <v>0</v>
      </c>
      <c r="O719" s="1">
        <f>IF(B719="", "", "kg")</f>
        <v>0</v>
      </c>
    </row>
    <row r="720" spans="1:15">
      <c r="A720">
        <f>IF(COUNTBLANK(B720:Q720)&lt;&gt;COLUMNS(B720:Q720),719,"")</f>
        <v>0</v>
      </c>
      <c r="C720" s="1">
        <f>IF(B720="", "", "urban biome")</f>
        <v>0</v>
      </c>
      <c r="D720" s="1">
        <f>IF(B720="", "", "human-associated habitat")</f>
        <v>0</v>
      </c>
      <c r="G720" s="1">
        <f>IF(B720="", "", "years")</f>
        <v>0</v>
      </c>
      <c r="I720" s="1">
        <f>IF(B720="", "", "human")</f>
        <v>0</v>
      </c>
      <c r="K720" s="1">
        <f>IF(B720="", "", "cm")</f>
        <v>0</v>
      </c>
      <c r="L720" s="1">
        <f>IF(B720="", "", "Homo sapiens")</f>
        <v>0</v>
      </c>
      <c r="M720" s="1">
        <f>IF(B720="", "", "9606")</f>
        <v>0</v>
      </c>
      <c r="O720" s="1">
        <f>IF(B720="", "", "kg")</f>
        <v>0</v>
      </c>
    </row>
    <row r="721" spans="1:15">
      <c r="A721">
        <f>IF(COUNTBLANK(B721:Q721)&lt;&gt;COLUMNS(B721:Q721),720,"")</f>
        <v>0</v>
      </c>
      <c r="C721" s="1">
        <f>IF(B721="", "", "urban biome")</f>
        <v>0</v>
      </c>
      <c r="D721" s="1">
        <f>IF(B721="", "", "human-associated habitat")</f>
        <v>0</v>
      </c>
      <c r="G721" s="1">
        <f>IF(B721="", "", "years")</f>
        <v>0</v>
      </c>
      <c r="I721" s="1">
        <f>IF(B721="", "", "human")</f>
        <v>0</v>
      </c>
      <c r="K721" s="1">
        <f>IF(B721="", "", "cm")</f>
        <v>0</v>
      </c>
      <c r="L721" s="1">
        <f>IF(B721="", "", "Homo sapiens")</f>
        <v>0</v>
      </c>
      <c r="M721" s="1">
        <f>IF(B721="", "", "9606")</f>
        <v>0</v>
      </c>
      <c r="O721" s="1">
        <f>IF(B721="", "", "kg")</f>
        <v>0</v>
      </c>
    </row>
    <row r="722" spans="1:15">
      <c r="A722">
        <f>IF(COUNTBLANK(B722:Q722)&lt;&gt;COLUMNS(B722:Q722),721,"")</f>
        <v>0</v>
      </c>
      <c r="C722" s="1">
        <f>IF(B722="", "", "urban biome")</f>
        <v>0</v>
      </c>
      <c r="D722" s="1">
        <f>IF(B722="", "", "human-associated habitat")</f>
        <v>0</v>
      </c>
      <c r="G722" s="1">
        <f>IF(B722="", "", "years")</f>
        <v>0</v>
      </c>
      <c r="I722" s="1">
        <f>IF(B722="", "", "human")</f>
        <v>0</v>
      </c>
      <c r="K722" s="1">
        <f>IF(B722="", "", "cm")</f>
        <v>0</v>
      </c>
      <c r="L722" s="1">
        <f>IF(B722="", "", "Homo sapiens")</f>
        <v>0</v>
      </c>
      <c r="M722" s="1">
        <f>IF(B722="", "", "9606")</f>
        <v>0</v>
      </c>
      <c r="O722" s="1">
        <f>IF(B722="", "", "kg")</f>
        <v>0</v>
      </c>
    </row>
    <row r="723" spans="1:15">
      <c r="A723">
        <f>IF(COUNTBLANK(B723:Q723)&lt;&gt;COLUMNS(B723:Q723),722,"")</f>
        <v>0</v>
      </c>
      <c r="C723" s="1">
        <f>IF(B723="", "", "urban biome")</f>
        <v>0</v>
      </c>
      <c r="D723" s="1">
        <f>IF(B723="", "", "human-associated habitat")</f>
        <v>0</v>
      </c>
      <c r="G723" s="1">
        <f>IF(B723="", "", "years")</f>
        <v>0</v>
      </c>
      <c r="I723" s="1">
        <f>IF(B723="", "", "human")</f>
        <v>0</v>
      </c>
      <c r="K723" s="1">
        <f>IF(B723="", "", "cm")</f>
        <v>0</v>
      </c>
      <c r="L723" s="1">
        <f>IF(B723="", "", "Homo sapiens")</f>
        <v>0</v>
      </c>
      <c r="M723" s="1">
        <f>IF(B723="", "", "9606")</f>
        <v>0</v>
      </c>
      <c r="O723" s="1">
        <f>IF(B723="", "", "kg")</f>
        <v>0</v>
      </c>
    </row>
    <row r="724" spans="1:15">
      <c r="A724">
        <f>IF(COUNTBLANK(B724:Q724)&lt;&gt;COLUMNS(B724:Q724),723,"")</f>
        <v>0</v>
      </c>
      <c r="C724" s="1">
        <f>IF(B724="", "", "urban biome")</f>
        <v>0</v>
      </c>
      <c r="D724" s="1">
        <f>IF(B724="", "", "human-associated habitat")</f>
        <v>0</v>
      </c>
      <c r="G724" s="1">
        <f>IF(B724="", "", "years")</f>
        <v>0</v>
      </c>
      <c r="I724" s="1">
        <f>IF(B724="", "", "human")</f>
        <v>0</v>
      </c>
      <c r="K724" s="1">
        <f>IF(B724="", "", "cm")</f>
        <v>0</v>
      </c>
      <c r="L724" s="1">
        <f>IF(B724="", "", "Homo sapiens")</f>
        <v>0</v>
      </c>
      <c r="M724" s="1">
        <f>IF(B724="", "", "9606")</f>
        <v>0</v>
      </c>
      <c r="O724" s="1">
        <f>IF(B724="", "", "kg")</f>
        <v>0</v>
      </c>
    </row>
    <row r="725" spans="1:15">
      <c r="A725">
        <f>IF(COUNTBLANK(B725:Q725)&lt;&gt;COLUMNS(B725:Q725),724,"")</f>
        <v>0</v>
      </c>
      <c r="C725" s="1">
        <f>IF(B725="", "", "urban biome")</f>
        <v>0</v>
      </c>
      <c r="D725" s="1">
        <f>IF(B725="", "", "human-associated habitat")</f>
        <v>0</v>
      </c>
      <c r="G725" s="1">
        <f>IF(B725="", "", "years")</f>
        <v>0</v>
      </c>
      <c r="I725" s="1">
        <f>IF(B725="", "", "human")</f>
        <v>0</v>
      </c>
      <c r="K725" s="1">
        <f>IF(B725="", "", "cm")</f>
        <v>0</v>
      </c>
      <c r="L725" s="1">
        <f>IF(B725="", "", "Homo sapiens")</f>
        <v>0</v>
      </c>
      <c r="M725" s="1">
        <f>IF(B725="", "", "9606")</f>
        <v>0</v>
      </c>
      <c r="O725" s="1">
        <f>IF(B725="", "", "kg")</f>
        <v>0</v>
      </c>
    </row>
    <row r="726" spans="1:15">
      <c r="A726">
        <f>IF(COUNTBLANK(B726:Q726)&lt;&gt;COLUMNS(B726:Q726),725,"")</f>
        <v>0</v>
      </c>
      <c r="C726" s="1">
        <f>IF(B726="", "", "urban biome")</f>
        <v>0</v>
      </c>
      <c r="D726" s="1">
        <f>IF(B726="", "", "human-associated habitat")</f>
        <v>0</v>
      </c>
      <c r="G726" s="1">
        <f>IF(B726="", "", "years")</f>
        <v>0</v>
      </c>
      <c r="I726" s="1">
        <f>IF(B726="", "", "human")</f>
        <v>0</v>
      </c>
      <c r="K726" s="1">
        <f>IF(B726="", "", "cm")</f>
        <v>0</v>
      </c>
      <c r="L726" s="1">
        <f>IF(B726="", "", "Homo sapiens")</f>
        <v>0</v>
      </c>
      <c r="M726" s="1">
        <f>IF(B726="", "", "9606")</f>
        <v>0</v>
      </c>
      <c r="O726" s="1">
        <f>IF(B726="", "", "kg")</f>
        <v>0</v>
      </c>
    </row>
    <row r="727" spans="1:15">
      <c r="A727">
        <f>IF(COUNTBLANK(B727:Q727)&lt;&gt;COLUMNS(B727:Q727),726,"")</f>
        <v>0</v>
      </c>
      <c r="C727" s="1">
        <f>IF(B727="", "", "urban biome")</f>
        <v>0</v>
      </c>
      <c r="D727" s="1">
        <f>IF(B727="", "", "human-associated habitat")</f>
        <v>0</v>
      </c>
      <c r="G727" s="1">
        <f>IF(B727="", "", "years")</f>
        <v>0</v>
      </c>
      <c r="I727" s="1">
        <f>IF(B727="", "", "human")</f>
        <v>0</v>
      </c>
      <c r="K727" s="1">
        <f>IF(B727="", "", "cm")</f>
        <v>0</v>
      </c>
      <c r="L727" s="1">
        <f>IF(B727="", "", "Homo sapiens")</f>
        <v>0</v>
      </c>
      <c r="M727" s="1">
        <f>IF(B727="", "", "9606")</f>
        <v>0</v>
      </c>
      <c r="O727" s="1">
        <f>IF(B727="", "", "kg")</f>
        <v>0</v>
      </c>
    </row>
    <row r="728" spans="1:15">
      <c r="A728">
        <f>IF(COUNTBLANK(B728:Q728)&lt;&gt;COLUMNS(B728:Q728),727,"")</f>
        <v>0</v>
      </c>
      <c r="C728" s="1">
        <f>IF(B728="", "", "urban biome")</f>
        <v>0</v>
      </c>
      <c r="D728" s="1">
        <f>IF(B728="", "", "human-associated habitat")</f>
        <v>0</v>
      </c>
      <c r="G728" s="1">
        <f>IF(B728="", "", "years")</f>
        <v>0</v>
      </c>
      <c r="I728" s="1">
        <f>IF(B728="", "", "human")</f>
        <v>0</v>
      </c>
      <c r="K728" s="1">
        <f>IF(B728="", "", "cm")</f>
        <v>0</v>
      </c>
      <c r="L728" s="1">
        <f>IF(B728="", "", "Homo sapiens")</f>
        <v>0</v>
      </c>
      <c r="M728" s="1">
        <f>IF(B728="", "", "9606")</f>
        <v>0</v>
      </c>
      <c r="O728" s="1">
        <f>IF(B728="", "", "kg")</f>
        <v>0</v>
      </c>
    </row>
    <row r="729" spans="1:15">
      <c r="A729">
        <f>IF(COUNTBLANK(B729:Q729)&lt;&gt;COLUMNS(B729:Q729),728,"")</f>
        <v>0</v>
      </c>
      <c r="C729" s="1">
        <f>IF(B729="", "", "urban biome")</f>
        <v>0</v>
      </c>
      <c r="D729" s="1">
        <f>IF(B729="", "", "human-associated habitat")</f>
        <v>0</v>
      </c>
      <c r="G729" s="1">
        <f>IF(B729="", "", "years")</f>
        <v>0</v>
      </c>
      <c r="I729" s="1">
        <f>IF(B729="", "", "human")</f>
        <v>0</v>
      </c>
      <c r="K729" s="1">
        <f>IF(B729="", "", "cm")</f>
        <v>0</v>
      </c>
      <c r="L729" s="1">
        <f>IF(B729="", "", "Homo sapiens")</f>
        <v>0</v>
      </c>
      <c r="M729" s="1">
        <f>IF(B729="", "", "9606")</f>
        <v>0</v>
      </c>
      <c r="O729" s="1">
        <f>IF(B729="", "", "kg")</f>
        <v>0</v>
      </c>
    </row>
    <row r="730" spans="1:15">
      <c r="A730">
        <f>IF(COUNTBLANK(B730:Q730)&lt;&gt;COLUMNS(B730:Q730),729,"")</f>
        <v>0</v>
      </c>
      <c r="C730" s="1">
        <f>IF(B730="", "", "urban biome")</f>
        <v>0</v>
      </c>
      <c r="D730" s="1">
        <f>IF(B730="", "", "human-associated habitat")</f>
        <v>0</v>
      </c>
      <c r="G730" s="1">
        <f>IF(B730="", "", "years")</f>
        <v>0</v>
      </c>
      <c r="I730" s="1">
        <f>IF(B730="", "", "human")</f>
        <v>0</v>
      </c>
      <c r="K730" s="1">
        <f>IF(B730="", "", "cm")</f>
        <v>0</v>
      </c>
      <c r="L730" s="1">
        <f>IF(B730="", "", "Homo sapiens")</f>
        <v>0</v>
      </c>
      <c r="M730" s="1">
        <f>IF(B730="", "", "9606")</f>
        <v>0</v>
      </c>
      <c r="O730" s="1">
        <f>IF(B730="", "", "kg")</f>
        <v>0</v>
      </c>
    </row>
    <row r="731" spans="1:15">
      <c r="A731">
        <f>IF(COUNTBLANK(B731:Q731)&lt;&gt;COLUMNS(B731:Q731),730,"")</f>
        <v>0</v>
      </c>
      <c r="C731" s="1">
        <f>IF(B731="", "", "urban biome")</f>
        <v>0</v>
      </c>
      <c r="D731" s="1">
        <f>IF(B731="", "", "human-associated habitat")</f>
        <v>0</v>
      </c>
      <c r="G731" s="1">
        <f>IF(B731="", "", "years")</f>
        <v>0</v>
      </c>
      <c r="I731" s="1">
        <f>IF(B731="", "", "human")</f>
        <v>0</v>
      </c>
      <c r="K731" s="1">
        <f>IF(B731="", "", "cm")</f>
        <v>0</v>
      </c>
      <c r="L731" s="1">
        <f>IF(B731="", "", "Homo sapiens")</f>
        <v>0</v>
      </c>
      <c r="M731" s="1">
        <f>IF(B731="", "", "9606")</f>
        <v>0</v>
      </c>
      <c r="O731" s="1">
        <f>IF(B731="", "", "kg")</f>
        <v>0</v>
      </c>
    </row>
    <row r="732" spans="1:15">
      <c r="A732">
        <f>IF(COUNTBLANK(B732:Q732)&lt;&gt;COLUMNS(B732:Q732),731,"")</f>
        <v>0</v>
      </c>
      <c r="C732" s="1">
        <f>IF(B732="", "", "urban biome")</f>
        <v>0</v>
      </c>
      <c r="D732" s="1">
        <f>IF(B732="", "", "human-associated habitat")</f>
        <v>0</v>
      </c>
      <c r="G732" s="1">
        <f>IF(B732="", "", "years")</f>
        <v>0</v>
      </c>
      <c r="I732" s="1">
        <f>IF(B732="", "", "human")</f>
        <v>0</v>
      </c>
      <c r="K732" s="1">
        <f>IF(B732="", "", "cm")</f>
        <v>0</v>
      </c>
      <c r="L732" s="1">
        <f>IF(B732="", "", "Homo sapiens")</f>
        <v>0</v>
      </c>
      <c r="M732" s="1">
        <f>IF(B732="", "", "9606")</f>
        <v>0</v>
      </c>
      <c r="O732" s="1">
        <f>IF(B732="", "", "kg")</f>
        <v>0</v>
      </c>
    </row>
    <row r="733" spans="1:15">
      <c r="A733">
        <f>IF(COUNTBLANK(B733:Q733)&lt;&gt;COLUMNS(B733:Q733),732,"")</f>
        <v>0</v>
      </c>
      <c r="C733" s="1">
        <f>IF(B733="", "", "urban biome")</f>
        <v>0</v>
      </c>
      <c r="D733" s="1">
        <f>IF(B733="", "", "human-associated habitat")</f>
        <v>0</v>
      </c>
      <c r="G733" s="1">
        <f>IF(B733="", "", "years")</f>
        <v>0</v>
      </c>
      <c r="I733" s="1">
        <f>IF(B733="", "", "human")</f>
        <v>0</v>
      </c>
      <c r="K733" s="1">
        <f>IF(B733="", "", "cm")</f>
        <v>0</v>
      </c>
      <c r="L733" s="1">
        <f>IF(B733="", "", "Homo sapiens")</f>
        <v>0</v>
      </c>
      <c r="M733" s="1">
        <f>IF(B733="", "", "9606")</f>
        <v>0</v>
      </c>
      <c r="O733" s="1">
        <f>IF(B733="", "", "kg")</f>
        <v>0</v>
      </c>
    </row>
    <row r="734" spans="1:15">
      <c r="A734">
        <f>IF(COUNTBLANK(B734:Q734)&lt;&gt;COLUMNS(B734:Q734),733,"")</f>
        <v>0</v>
      </c>
      <c r="C734" s="1">
        <f>IF(B734="", "", "urban biome")</f>
        <v>0</v>
      </c>
      <c r="D734" s="1">
        <f>IF(B734="", "", "human-associated habitat")</f>
        <v>0</v>
      </c>
      <c r="G734" s="1">
        <f>IF(B734="", "", "years")</f>
        <v>0</v>
      </c>
      <c r="I734" s="1">
        <f>IF(B734="", "", "human")</f>
        <v>0</v>
      </c>
      <c r="K734" s="1">
        <f>IF(B734="", "", "cm")</f>
        <v>0</v>
      </c>
      <c r="L734" s="1">
        <f>IF(B734="", "", "Homo sapiens")</f>
        <v>0</v>
      </c>
      <c r="M734" s="1">
        <f>IF(B734="", "", "9606")</f>
        <v>0</v>
      </c>
      <c r="O734" s="1">
        <f>IF(B734="", "", "kg")</f>
        <v>0</v>
      </c>
    </row>
    <row r="735" spans="1:15">
      <c r="A735">
        <f>IF(COUNTBLANK(B735:Q735)&lt;&gt;COLUMNS(B735:Q735),734,"")</f>
        <v>0</v>
      </c>
      <c r="C735" s="1">
        <f>IF(B735="", "", "urban biome")</f>
        <v>0</v>
      </c>
      <c r="D735" s="1">
        <f>IF(B735="", "", "human-associated habitat")</f>
        <v>0</v>
      </c>
      <c r="G735" s="1">
        <f>IF(B735="", "", "years")</f>
        <v>0</v>
      </c>
      <c r="I735" s="1">
        <f>IF(B735="", "", "human")</f>
        <v>0</v>
      </c>
      <c r="K735" s="1">
        <f>IF(B735="", "", "cm")</f>
        <v>0</v>
      </c>
      <c r="L735" s="1">
        <f>IF(B735="", "", "Homo sapiens")</f>
        <v>0</v>
      </c>
      <c r="M735" s="1">
        <f>IF(B735="", "", "9606")</f>
        <v>0</v>
      </c>
      <c r="O735" s="1">
        <f>IF(B735="", "", "kg")</f>
        <v>0</v>
      </c>
    </row>
    <row r="736" spans="1:15">
      <c r="A736">
        <f>IF(COUNTBLANK(B736:Q736)&lt;&gt;COLUMNS(B736:Q736),735,"")</f>
        <v>0</v>
      </c>
      <c r="C736" s="1">
        <f>IF(B736="", "", "urban biome")</f>
        <v>0</v>
      </c>
      <c r="D736" s="1">
        <f>IF(B736="", "", "human-associated habitat")</f>
        <v>0</v>
      </c>
      <c r="G736" s="1">
        <f>IF(B736="", "", "years")</f>
        <v>0</v>
      </c>
      <c r="I736" s="1">
        <f>IF(B736="", "", "human")</f>
        <v>0</v>
      </c>
      <c r="K736" s="1">
        <f>IF(B736="", "", "cm")</f>
        <v>0</v>
      </c>
      <c r="L736" s="1">
        <f>IF(B736="", "", "Homo sapiens")</f>
        <v>0</v>
      </c>
      <c r="M736" s="1">
        <f>IF(B736="", "", "9606")</f>
        <v>0</v>
      </c>
      <c r="O736" s="1">
        <f>IF(B736="", "", "kg")</f>
        <v>0</v>
      </c>
    </row>
    <row r="737" spans="1:15">
      <c r="A737">
        <f>IF(COUNTBLANK(B737:Q737)&lt;&gt;COLUMNS(B737:Q737),736,"")</f>
        <v>0</v>
      </c>
      <c r="C737" s="1">
        <f>IF(B737="", "", "urban biome")</f>
        <v>0</v>
      </c>
      <c r="D737" s="1">
        <f>IF(B737="", "", "human-associated habitat")</f>
        <v>0</v>
      </c>
      <c r="G737" s="1">
        <f>IF(B737="", "", "years")</f>
        <v>0</v>
      </c>
      <c r="I737" s="1">
        <f>IF(B737="", "", "human")</f>
        <v>0</v>
      </c>
      <c r="K737" s="1">
        <f>IF(B737="", "", "cm")</f>
        <v>0</v>
      </c>
      <c r="L737" s="1">
        <f>IF(B737="", "", "Homo sapiens")</f>
        <v>0</v>
      </c>
      <c r="M737" s="1">
        <f>IF(B737="", "", "9606")</f>
        <v>0</v>
      </c>
      <c r="O737" s="1">
        <f>IF(B737="", "", "kg")</f>
        <v>0</v>
      </c>
    </row>
    <row r="738" spans="1:15">
      <c r="A738">
        <f>IF(COUNTBLANK(B738:Q738)&lt;&gt;COLUMNS(B738:Q738),737,"")</f>
        <v>0</v>
      </c>
      <c r="C738" s="1">
        <f>IF(B738="", "", "urban biome")</f>
        <v>0</v>
      </c>
      <c r="D738" s="1">
        <f>IF(B738="", "", "human-associated habitat")</f>
        <v>0</v>
      </c>
      <c r="G738" s="1">
        <f>IF(B738="", "", "years")</f>
        <v>0</v>
      </c>
      <c r="I738" s="1">
        <f>IF(B738="", "", "human")</f>
        <v>0</v>
      </c>
      <c r="K738" s="1">
        <f>IF(B738="", "", "cm")</f>
        <v>0</v>
      </c>
      <c r="L738" s="1">
        <f>IF(B738="", "", "Homo sapiens")</f>
        <v>0</v>
      </c>
      <c r="M738" s="1">
        <f>IF(B738="", "", "9606")</f>
        <v>0</v>
      </c>
      <c r="O738" s="1">
        <f>IF(B738="", "", "kg")</f>
        <v>0</v>
      </c>
    </row>
    <row r="739" spans="1:15">
      <c r="A739">
        <f>IF(COUNTBLANK(B739:Q739)&lt;&gt;COLUMNS(B739:Q739),738,"")</f>
        <v>0</v>
      </c>
      <c r="C739" s="1">
        <f>IF(B739="", "", "urban biome")</f>
        <v>0</v>
      </c>
      <c r="D739" s="1">
        <f>IF(B739="", "", "human-associated habitat")</f>
        <v>0</v>
      </c>
      <c r="G739" s="1">
        <f>IF(B739="", "", "years")</f>
        <v>0</v>
      </c>
      <c r="I739" s="1">
        <f>IF(B739="", "", "human")</f>
        <v>0</v>
      </c>
      <c r="K739" s="1">
        <f>IF(B739="", "", "cm")</f>
        <v>0</v>
      </c>
      <c r="L739" s="1">
        <f>IF(B739="", "", "Homo sapiens")</f>
        <v>0</v>
      </c>
      <c r="M739" s="1">
        <f>IF(B739="", "", "9606")</f>
        <v>0</v>
      </c>
      <c r="O739" s="1">
        <f>IF(B739="", "", "kg")</f>
        <v>0</v>
      </c>
    </row>
    <row r="740" spans="1:15">
      <c r="A740">
        <f>IF(COUNTBLANK(B740:Q740)&lt;&gt;COLUMNS(B740:Q740),739,"")</f>
        <v>0</v>
      </c>
      <c r="C740" s="1">
        <f>IF(B740="", "", "urban biome")</f>
        <v>0</v>
      </c>
      <c r="D740" s="1">
        <f>IF(B740="", "", "human-associated habitat")</f>
        <v>0</v>
      </c>
      <c r="G740" s="1">
        <f>IF(B740="", "", "years")</f>
        <v>0</v>
      </c>
      <c r="I740" s="1">
        <f>IF(B740="", "", "human")</f>
        <v>0</v>
      </c>
      <c r="K740" s="1">
        <f>IF(B740="", "", "cm")</f>
        <v>0</v>
      </c>
      <c r="L740" s="1">
        <f>IF(B740="", "", "Homo sapiens")</f>
        <v>0</v>
      </c>
      <c r="M740" s="1">
        <f>IF(B740="", "", "9606")</f>
        <v>0</v>
      </c>
      <c r="O740" s="1">
        <f>IF(B740="", "", "kg")</f>
        <v>0</v>
      </c>
    </row>
    <row r="741" spans="1:15">
      <c r="A741">
        <f>IF(COUNTBLANK(B741:Q741)&lt;&gt;COLUMNS(B741:Q741),740,"")</f>
        <v>0</v>
      </c>
      <c r="C741" s="1">
        <f>IF(B741="", "", "urban biome")</f>
        <v>0</v>
      </c>
      <c r="D741" s="1">
        <f>IF(B741="", "", "human-associated habitat")</f>
        <v>0</v>
      </c>
      <c r="G741" s="1">
        <f>IF(B741="", "", "years")</f>
        <v>0</v>
      </c>
      <c r="I741" s="1">
        <f>IF(B741="", "", "human")</f>
        <v>0</v>
      </c>
      <c r="K741" s="1">
        <f>IF(B741="", "", "cm")</f>
        <v>0</v>
      </c>
      <c r="L741" s="1">
        <f>IF(B741="", "", "Homo sapiens")</f>
        <v>0</v>
      </c>
      <c r="M741" s="1">
        <f>IF(B741="", "", "9606")</f>
        <v>0</v>
      </c>
      <c r="O741" s="1">
        <f>IF(B741="", "", "kg")</f>
        <v>0</v>
      </c>
    </row>
    <row r="742" spans="1:15">
      <c r="A742">
        <f>IF(COUNTBLANK(B742:Q742)&lt;&gt;COLUMNS(B742:Q742),741,"")</f>
        <v>0</v>
      </c>
      <c r="C742" s="1">
        <f>IF(B742="", "", "urban biome")</f>
        <v>0</v>
      </c>
      <c r="D742" s="1">
        <f>IF(B742="", "", "human-associated habitat")</f>
        <v>0</v>
      </c>
      <c r="G742" s="1">
        <f>IF(B742="", "", "years")</f>
        <v>0</v>
      </c>
      <c r="I742" s="1">
        <f>IF(B742="", "", "human")</f>
        <v>0</v>
      </c>
      <c r="K742" s="1">
        <f>IF(B742="", "", "cm")</f>
        <v>0</v>
      </c>
      <c r="L742" s="1">
        <f>IF(B742="", "", "Homo sapiens")</f>
        <v>0</v>
      </c>
      <c r="M742" s="1">
        <f>IF(B742="", "", "9606")</f>
        <v>0</v>
      </c>
      <c r="O742" s="1">
        <f>IF(B742="", "", "kg")</f>
        <v>0</v>
      </c>
    </row>
    <row r="743" spans="1:15">
      <c r="A743">
        <f>IF(COUNTBLANK(B743:Q743)&lt;&gt;COLUMNS(B743:Q743),742,"")</f>
        <v>0</v>
      </c>
      <c r="C743" s="1">
        <f>IF(B743="", "", "urban biome")</f>
        <v>0</v>
      </c>
      <c r="D743" s="1">
        <f>IF(B743="", "", "human-associated habitat")</f>
        <v>0</v>
      </c>
      <c r="G743" s="1">
        <f>IF(B743="", "", "years")</f>
        <v>0</v>
      </c>
      <c r="I743" s="1">
        <f>IF(B743="", "", "human")</f>
        <v>0</v>
      </c>
      <c r="K743" s="1">
        <f>IF(B743="", "", "cm")</f>
        <v>0</v>
      </c>
      <c r="L743" s="1">
        <f>IF(B743="", "", "Homo sapiens")</f>
        <v>0</v>
      </c>
      <c r="M743" s="1">
        <f>IF(B743="", "", "9606")</f>
        <v>0</v>
      </c>
      <c r="O743" s="1">
        <f>IF(B743="", "", "kg")</f>
        <v>0</v>
      </c>
    </row>
    <row r="744" spans="1:15">
      <c r="A744">
        <f>IF(COUNTBLANK(B744:Q744)&lt;&gt;COLUMNS(B744:Q744),743,"")</f>
        <v>0</v>
      </c>
      <c r="C744" s="1">
        <f>IF(B744="", "", "urban biome")</f>
        <v>0</v>
      </c>
      <c r="D744" s="1">
        <f>IF(B744="", "", "human-associated habitat")</f>
        <v>0</v>
      </c>
      <c r="G744" s="1">
        <f>IF(B744="", "", "years")</f>
        <v>0</v>
      </c>
      <c r="I744" s="1">
        <f>IF(B744="", "", "human")</f>
        <v>0</v>
      </c>
      <c r="K744" s="1">
        <f>IF(B744="", "", "cm")</f>
        <v>0</v>
      </c>
      <c r="L744" s="1">
        <f>IF(B744="", "", "Homo sapiens")</f>
        <v>0</v>
      </c>
      <c r="M744" s="1">
        <f>IF(B744="", "", "9606")</f>
        <v>0</v>
      </c>
      <c r="O744" s="1">
        <f>IF(B744="", "", "kg")</f>
        <v>0</v>
      </c>
    </row>
    <row r="745" spans="1:15">
      <c r="A745">
        <f>IF(COUNTBLANK(B745:Q745)&lt;&gt;COLUMNS(B745:Q745),744,"")</f>
        <v>0</v>
      </c>
      <c r="C745" s="1">
        <f>IF(B745="", "", "urban biome")</f>
        <v>0</v>
      </c>
      <c r="D745" s="1">
        <f>IF(B745="", "", "human-associated habitat")</f>
        <v>0</v>
      </c>
      <c r="G745" s="1">
        <f>IF(B745="", "", "years")</f>
        <v>0</v>
      </c>
      <c r="I745" s="1">
        <f>IF(B745="", "", "human")</f>
        <v>0</v>
      </c>
      <c r="K745" s="1">
        <f>IF(B745="", "", "cm")</f>
        <v>0</v>
      </c>
      <c r="L745" s="1">
        <f>IF(B745="", "", "Homo sapiens")</f>
        <v>0</v>
      </c>
      <c r="M745" s="1">
        <f>IF(B745="", "", "9606")</f>
        <v>0</v>
      </c>
      <c r="O745" s="1">
        <f>IF(B745="", "", "kg")</f>
        <v>0</v>
      </c>
    </row>
    <row r="746" spans="1:15">
      <c r="A746">
        <f>IF(COUNTBLANK(B746:Q746)&lt;&gt;COLUMNS(B746:Q746),745,"")</f>
        <v>0</v>
      </c>
      <c r="C746" s="1">
        <f>IF(B746="", "", "urban biome")</f>
        <v>0</v>
      </c>
      <c r="D746" s="1">
        <f>IF(B746="", "", "human-associated habitat")</f>
        <v>0</v>
      </c>
      <c r="G746" s="1">
        <f>IF(B746="", "", "years")</f>
        <v>0</v>
      </c>
      <c r="I746" s="1">
        <f>IF(B746="", "", "human")</f>
        <v>0</v>
      </c>
      <c r="K746" s="1">
        <f>IF(B746="", "", "cm")</f>
        <v>0</v>
      </c>
      <c r="L746" s="1">
        <f>IF(B746="", "", "Homo sapiens")</f>
        <v>0</v>
      </c>
      <c r="M746" s="1">
        <f>IF(B746="", "", "9606")</f>
        <v>0</v>
      </c>
      <c r="O746" s="1">
        <f>IF(B746="", "", "kg")</f>
        <v>0</v>
      </c>
    </row>
    <row r="747" spans="1:15">
      <c r="A747">
        <f>IF(COUNTBLANK(B747:Q747)&lt;&gt;COLUMNS(B747:Q747),746,"")</f>
        <v>0</v>
      </c>
      <c r="C747" s="1">
        <f>IF(B747="", "", "urban biome")</f>
        <v>0</v>
      </c>
      <c r="D747" s="1">
        <f>IF(B747="", "", "human-associated habitat")</f>
        <v>0</v>
      </c>
      <c r="G747" s="1">
        <f>IF(B747="", "", "years")</f>
        <v>0</v>
      </c>
      <c r="I747" s="1">
        <f>IF(B747="", "", "human")</f>
        <v>0</v>
      </c>
      <c r="K747" s="1">
        <f>IF(B747="", "", "cm")</f>
        <v>0</v>
      </c>
      <c r="L747" s="1">
        <f>IF(B747="", "", "Homo sapiens")</f>
        <v>0</v>
      </c>
      <c r="M747" s="1">
        <f>IF(B747="", "", "9606")</f>
        <v>0</v>
      </c>
      <c r="O747" s="1">
        <f>IF(B747="", "", "kg")</f>
        <v>0</v>
      </c>
    </row>
    <row r="748" spans="1:15">
      <c r="A748">
        <f>IF(COUNTBLANK(B748:Q748)&lt;&gt;COLUMNS(B748:Q748),747,"")</f>
        <v>0</v>
      </c>
      <c r="C748" s="1">
        <f>IF(B748="", "", "urban biome")</f>
        <v>0</v>
      </c>
      <c r="D748" s="1">
        <f>IF(B748="", "", "human-associated habitat")</f>
        <v>0</v>
      </c>
      <c r="G748" s="1">
        <f>IF(B748="", "", "years")</f>
        <v>0</v>
      </c>
      <c r="I748" s="1">
        <f>IF(B748="", "", "human")</f>
        <v>0</v>
      </c>
      <c r="K748" s="1">
        <f>IF(B748="", "", "cm")</f>
        <v>0</v>
      </c>
      <c r="L748" s="1">
        <f>IF(B748="", "", "Homo sapiens")</f>
        <v>0</v>
      </c>
      <c r="M748" s="1">
        <f>IF(B748="", "", "9606")</f>
        <v>0</v>
      </c>
      <c r="O748" s="1">
        <f>IF(B748="", "", "kg")</f>
        <v>0</v>
      </c>
    </row>
    <row r="749" spans="1:15">
      <c r="A749">
        <f>IF(COUNTBLANK(B749:Q749)&lt;&gt;COLUMNS(B749:Q749),748,"")</f>
        <v>0</v>
      </c>
      <c r="C749" s="1">
        <f>IF(B749="", "", "urban biome")</f>
        <v>0</v>
      </c>
      <c r="D749" s="1">
        <f>IF(B749="", "", "human-associated habitat")</f>
        <v>0</v>
      </c>
      <c r="G749" s="1">
        <f>IF(B749="", "", "years")</f>
        <v>0</v>
      </c>
      <c r="I749" s="1">
        <f>IF(B749="", "", "human")</f>
        <v>0</v>
      </c>
      <c r="K749" s="1">
        <f>IF(B749="", "", "cm")</f>
        <v>0</v>
      </c>
      <c r="L749" s="1">
        <f>IF(B749="", "", "Homo sapiens")</f>
        <v>0</v>
      </c>
      <c r="M749" s="1">
        <f>IF(B749="", "", "9606")</f>
        <v>0</v>
      </c>
      <c r="O749" s="1">
        <f>IF(B749="", "", "kg")</f>
        <v>0</v>
      </c>
    </row>
    <row r="750" spans="1:15">
      <c r="A750">
        <f>IF(COUNTBLANK(B750:Q750)&lt;&gt;COLUMNS(B750:Q750),749,"")</f>
        <v>0</v>
      </c>
      <c r="C750" s="1">
        <f>IF(B750="", "", "urban biome")</f>
        <v>0</v>
      </c>
      <c r="D750" s="1">
        <f>IF(B750="", "", "human-associated habitat")</f>
        <v>0</v>
      </c>
      <c r="G750" s="1">
        <f>IF(B750="", "", "years")</f>
        <v>0</v>
      </c>
      <c r="I750" s="1">
        <f>IF(B750="", "", "human")</f>
        <v>0</v>
      </c>
      <c r="K750" s="1">
        <f>IF(B750="", "", "cm")</f>
        <v>0</v>
      </c>
      <c r="L750" s="1">
        <f>IF(B750="", "", "Homo sapiens")</f>
        <v>0</v>
      </c>
      <c r="M750" s="1">
        <f>IF(B750="", "", "9606")</f>
        <v>0</v>
      </c>
      <c r="O750" s="1">
        <f>IF(B750="", "", "kg")</f>
        <v>0</v>
      </c>
    </row>
    <row r="751" spans="1:15">
      <c r="A751">
        <f>IF(COUNTBLANK(B751:Q751)&lt;&gt;COLUMNS(B751:Q751),750,"")</f>
        <v>0</v>
      </c>
      <c r="C751" s="1">
        <f>IF(B751="", "", "urban biome")</f>
        <v>0</v>
      </c>
      <c r="D751" s="1">
        <f>IF(B751="", "", "human-associated habitat")</f>
        <v>0</v>
      </c>
      <c r="G751" s="1">
        <f>IF(B751="", "", "years")</f>
        <v>0</v>
      </c>
      <c r="I751" s="1">
        <f>IF(B751="", "", "human")</f>
        <v>0</v>
      </c>
      <c r="K751" s="1">
        <f>IF(B751="", "", "cm")</f>
        <v>0</v>
      </c>
      <c r="L751" s="1">
        <f>IF(B751="", "", "Homo sapiens")</f>
        <v>0</v>
      </c>
      <c r="M751" s="1">
        <f>IF(B751="", "", "9606")</f>
        <v>0</v>
      </c>
      <c r="O751" s="1">
        <f>IF(B751="", "", "kg")</f>
        <v>0</v>
      </c>
    </row>
    <row r="752" spans="1:15">
      <c r="A752">
        <f>IF(COUNTBLANK(B752:Q752)&lt;&gt;COLUMNS(B752:Q752),751,"")</f>
        <v>0</v>
      </c>
      <c r="C752" s="1">
        <f>IF(B752="", "", "urban biome")</f>
        <v>0</v>
      </c>
      <c r="D752" s="1">
        <f>IF(B752="", "", "human-associated habitat")</f>
        <v>0</v>
      </c>
      <c r="G752" s="1">
        <f>IF(B752="", "", "years")</f>
        <v>0</v>
      </c>
      <c r="I752" s="1">
        <f>IF(B752="", "", "human")</f>
        <v>0</v>
      </c>
      <c r="K752" s="1">
        <f>IF(B752="", "", "cm")</f>
        <v>0</v>
      </c>
      <c r="L752" s="1">
        <f>IF(B752="", "", "Homo sapiens")</f>
        <v>0</v>
      </c>
      <c r="M752" s="1">
        <f>IF(B752="", "", "9606")</f>
        <v>0</v>
      </c>
      <c r="O752" s="1">
        <f>IF(B752="", "", "kg")</f>
        <v>0</v>
      </c>
    </row>
    <row r="753" spans="1:15">
      <c r="A753">
        <f>IF(COUNTBLANK(B753:Q753)&lt;&gt;COLUMNS(B753:Q753),752,"")</f>
        <v>0</v>
      </c>
      <c r="C753" s="1">
        <f>IF(B753="", "", "urban biome")</f>
        <v>0</v>
      </c>
      <c r="D753" s="1">
        <f>IF(B753="", "", "human-associated habitat")</f>
        <v>0</v>
      </c>
      <c r="G753" s="1">
        <f>IF(B753="", "", "years")</f>
        <v>0</v>
      </c>
      <c r="I753" s="1">
        <f>IF(B753="", "", "human")</f>
        <v>0</v>
      </c>
      <c r="K753" s="1">
        <f>IF(B753="", "", "cm")</f>
        <v>0</v>
      </c>
      <c r="L753" s="1">
        <f>IF(B753="", "", "Homo sapiens")</f>
        <v>0</v>
      </c>
      <c r="M753" s="1">
        <f>IF(B753="", "", "9606")</f>
        <v>0</v>
      </c>
      <c r="O753" s="1">
        <f>IF(B753="", "", "kg")</f>
        <v>0</v>
      </c>
    </row>
    <row r="754" spans="1:15">
      <c r="A754">
        <f>IF(COUNTBLANK(B754:Q754)&lt;&gt;COLUMNS(B754:Q754),753,"")</f>
        <v>0</v>
      </c>
      <c r="C754" s="1">
        <f>IF(B754="", "", "urban biome")</f>
        <v>0</v>
      </c>
      <c r="D754" s="1">
        <f>IF(B754="", "", "human-associated habitat")</f>
        <v>0</v>
      </c>
      <c r="G754" s="1">
        <f>IF(B754="", "", "years")</f>
        <v>0</v>
      </c>
      <c r="I754" s="1">
        <f>IF(B754="", "", "human")</f>
        <v>0</v>
      </c>
      <c r="K754" s="1">
        <f>IF(B754="", "", "cm")</f>
        <v>0</v>
      </c>
      <c r="L754" s="1">
        <f>IF(B754="", "", "Homo sapiens")</f>
        <v>0</v>
      </c>
      <c r="M754" s="1">
        <f>IF(B754="", "", "9606")</f>
        <v>0</v>
      </c>
      <c r="O754" s="1">
        <f>IF(B754="", "", "kg")</f>
        <v>0</v>
      </c>
    </row>
    <row r="755" spans="1:15">
      <c r="A755">
        <f>IF(COUNTBLANK(B755:Q755)&lt;&gt;COLUMNS(B755:Q755),754,"")</f>
        <v>0</v>
      </c>
      <c r="C755" s="1">
        <f>IF(B755="", "", "urban biome")</f>
        <v>0</v>
      </c>
      <c r="D755" s="1">
        <f>IF(B755="", "", "human-associated habitat")</f>
        <v>0</v>
      </c>
      <c r="G755" s="1">
        <f>IF(B755="", "", "years")</f>
        <v>0</v>
      </c>
      <c r="I755" s="1">
        <f>IF(B755="", "", "human")</f>
        <v>0</v>
      </c>
      <c r="K755" s="1">
        <f>IF(B755="", "", "cm")</f>
        <v>0</v>
      </c>
      <c r="L755" s="1">
        <f>IF(B755="", "", "Homo sapiens")</f>
        <v>0</v>
      </c>
      <c r="M755" s="1">
        <f>IF(B755="", "", "9606")</f>
        <v>0</v>
      </c>
      <c r="O755" s="1">
        <f>IF(B755="", "", "kg")</f>
        <v>0</v>
      </c>
    </row>
    <row r="756" spans="1:15">
      <c r="A756">
        <f>IF(COUNTBLANK(B756:Q756)&lt;&gt;COLUMNS(B756:Q756),755,"")</f>
        <v>0</v>
      </c>
      <c r="C756" s="1">
        <f>IF(B756="", "", "urban biome")</f>
        <v>0</v>
      </c>
      <c r="D756" s="1">
        <f>IF(B756="", "", "human-associated habitat")</f>
        <v>0</v>
      </c>
      <c r="G756" s="1">
        <f>IF(B756="", "", "years")</f>
        <v>0</v>
      </c>
      <c r="I756" s="1">
        <f>IF(B756="", "", "human")</f>
        <v>0</v>
      </c>
      <c r="K756" s="1">
        <f>IF(B756="", "", "cm")</f>
        <v>0</v>
      </c>
      <c r="L756" s="1">
        <f>IF(B756="", "", "Homo sapiens")</f>
        <v>0</v>
      </c>
      <c r="M756" s="1">
        <f>IF(B756="", "", "9606")</f>
        <v>0</v>
      </c>
      <c r="O756" s="1">
        <f>IF(B756="", "", "kg")</f>
        <v>0</v>
      </c>
    </row>
    <row r="757" spans="1:15">
      <c r="A757">
        <f>IF(COUNTBLANK(B757:Q757)&lt;&gt;COLUMNS(B757:Q757),756,"")</f>
        <v>0</v>
      </c>
      <c r="C757" s="1">
        <f>IF(B757="", "", "urban biome")</f>
        <v>0</v>
      </c>
      <c r="D757" s="1">
        <f>IF(B757="", "", "human-associated habitat")</f>
        <v>0</v>
      </c>
      <c r="G757" s="1">
        <f>IF(B757="", "", "years")</f>
        <v>0</v>
      </c>
      <c r="I757" s="1">
        <f>IF(B757="", "", "human")</f>
        <v>0</v>
      </c>
      <c r="K757" s="1">
        <f>IF(B757="", "", "cm")</f>
        <v>0</v>
      </c>
      <c r="L757" s="1">
        <f>IF(B757="", "", "Homo sapiens")</f>
        <v>0</v>
      </c>
      <c r="M757" s="1">
        <f>IF(B757="", "", "9606")</f>
        <v>0</v>
      </c>
      <c r="O757" s="1">
        <f>IF(B757="", "", "kg")</f>
        <v>0</v>
      </c>
    </row>
    <row r="758" spans="1:15">
      <c r="A758">
        <f>IF(COUNTBLANK(B758:Q758)&lt;&gt;COLUMNS(B758:Q758),757,"")</f>
        <v>0</v>
      </c>
      <c r="C758" s="1">
        <f>IF(B758="", "", "urban biome")</f>
        <v>0</v>
      </c>
      <c r="D758" s="1">
        <f>IF(B758="", "", "human-associated habitat")</f>
        <v>0</v>
      </c>
      <c r="G758" s="1">
        <f>IF(B758="", "", "years")</f>
        <v>0</v>
      </c>
      <c r="I758" s="1">
        <f>IF(B758="", "", "human")</f>
        <v>0</v>
      </c>
      <c r="K758" s="1">
        <f>IF(B758="", "", "cm")</f>
        <v>0</v>
      </c>
      <c r="L758" s="1">
        <f>IF(B758="", "", "Homo sapiens")</f>
        <v>0</v>
      </c>
      <c r="M758" s="1">
        <f>IF(B758="", "", "9606")</f>
        <v>0</v>
      </c>
      <c r="O758" s="1">
        <f>IF(B758="", "", "kg")</f>
        <v>0</v>
      </c>
    </row>
    <row r="759" spans="1:15">
      <c r="A759">
        <f>IF(COUNTBLANK(B759:Q759)&lt;&gt;COLUMNS(B759:Q759),758,"")</f>
        <v>0</v>
      </c>
      <c r="C759" s="1">
        <f>IF(B759="", "", "urban biome")</f>
        <v>0</v>
      </c>
      <c r="D759" s="1">
        <f>IF(B759="", "", "human-associated habitat")</f>
        <v>0</v>
      </c>
      <c r="G759" s="1">
        <f>IF(B759="", "", "years")</f>
        <v>0</v>
      </c>
      <c r="I759" s="1">
        <f>IF(B759="", "", "human")</f>
        <v>0</v>
      </c>
      <c r="K759" s="1">
        <f>IF(B759="", "", "cm")</f>
        <v>0</v>
      </c>
      <c r="L759" s="1">
        <f>IF(B759="", "", "Homo sapiens")</f>
        <v>0</v>
      </c>
      <c r="M759" s="1">
        <f>IF(B759="", "", "9606")</f>
        <v>0</v>
      </c>
      <c r="O759" s="1">
        <f>IF(B759="", "", "kg")</f>
        <v>0</v>
      </c>
    </row>
    <row r="760" spans="1:15">
      <c r="A760">
        <f>IF(COUNTBLANK(B760:Q760)&lt;&gt;COLUMNS(B760:Q760),759,"")</f>
        <v>0</v>
      </c>
      <c r="C760" s="1">
        <f>IF(B760="", "", "urban biome")</f>
        <v>0</v>
      </c>
      <c r="D760" s="1">
        <f>IF(B760="", "", "human-associated habitat")</f>
        <v>0</v>
      </c>
      <c r="G760" s="1">
        <f>IF(B760="", "", "years")</f>
        <v>0</v>
      </c>
      <c r="I760" s="1">
        <f>IF(B760="", "", "human")</f>
        <v>0</v>
      </c>
      <c r="K760" s="1">
        <f>IF(B760="", "", "cm")</f>
        <v>0</v>
      </c>
      <c r="L760" s="1">
        <f>IF(B760="", "", "Homo sapiens")</f>
        <v>0</v>
      </c>
      <c r="M760" s="1">
        <f>IF(B760="", "", "9606")</f>
        <v>0</v>
      </c>
      <c r="O760" s="1">
        <f>IF(B760="", "", "kg")</f>
        <v>0</v>
      </c>
    </row>
    <row r="761" spans="1:15">
      <c r="A761">
        <f>IF(COUNTBLANK(B761:Q761)&lt;&gt;COLUMNS(B761:Q761),760,"")</f>
        <v>0</v>
      </c>
      <c r="C761" s="1">
        <f>IF(B761="", "", "urban biome")</f>
        <v>0</v>
      </c>
      <c r="D761" s="1">
        <f>IF(B761="", "", "human-associated habitat")</f>
        <v>0</v>
      </c>
      <c r="G761" s="1">
        <f>IF(B761="", "", "years")</f>
        <v>0</v>
      </c>
      <c r="I761" s="1">
        <f>IF(B761="", "", "human")</f>
        <v>0</v>
      </c>
      <c r="K761" s="1">
        <f>IF(B761="", "", "cm")</f>
        <v>0</v>
      </c>
      <c r="L761" s="1">
        <f>IF(B761="", "", "Homo sapiens")</f>
        <v>0</v>
      </c>
      <c r="M761" s="1">
        <f>IF(B761="", "", "9606")</f>
        <v>0</v>
      </c>
      <c r="O761" s="1">
        <f>IF(B761="", "", "kg")</f>
        <v>0</v>
      </c>
    </row>
    <row r="762" spans="1:15">
      <c r="A762">
        <f>IF(COUNTBLANK(B762:Q762)&lt;&gt;COLUMNS(B762:Q762),761,"")</f>
        <v>0</v>
      </c>
      <c r="C762" s="1">
        <f>IF(B762="", "", "urban biome")</f>
        <v>0</v>
      </c>
      <c r="D762" s="1">
        <f>IF(B762="", "", "human-associated habitat")</f>
        <v>0</v>
      </c>
      <c r="G762" s="1">
        <f>IF(B762="", "", "years")</f>
        <v>0</v>
      </c>
      <c r="I762" s="1">
        <f>IF(B762="", "", "human")</f>
        <v>0</v>
      </c>
      <c r="K762" s="1">
        <f>IF(B762="", "", "cm")</f>
        <v>0</v>
      </c>
      <c r="L762" s="1">
        <f>IF(B762="", "", "Homo sapiens")</f>
        <v>0</v>
      </c>
      <c r="M762" s="1">
        <f>IF(B762="", "", "9606")</f>
        <v>0</v>
      </c>
      <c r="O762" s="1">
        <f>IF(B762="", "", "kg")</f>
        <v>0</v>
      </c>
    </row>
    <row r="763" spans="1:15">
      <c r="A763">
        <f>IF(COUNTBLANK(B763:Q763)&lt;&gt;COLUMNS(B763:Q763),762,"")</f>
        <v>0</v>
      </c>
      <c r="C763" s="1">
        <f>IF(B763="", "", "urban biome")</f>
        <v>0</v>
      </c>
      <c r="D763" s="1">
        <f>IF(B763="", "", "human-associated habitat")</f>
        <v>0</v>
      </c>
      <c r="G763" s="1">
        <f>IF(B763="", "", "years")</f>
        <v>0</v>
      </c>
      <c r="I763" s="1">
        <f>IF(B763="", "", "human")</f>
        <v>0</v>
      </c>
      <c r="K763" s="1">
        <f>IF(B763="", "", "cm")</f>
        <v>0</v>
      </c>
      <c r="L763" s="1">
        <f>IF(B763="", "", "Homo sapiens")</f>
        <v>0</v>
      </c>
      <c r="M763" s="1">
        <f>IF(B763="", "", "9606")</f>
        <v>0</v>
      </c>
      <c r="O763" s="1">
        <f>IF(B763="", "", "kg")</f>
        <v>0</v>
      </c>
    </row>
    <row r="764" spans="1:15">
      <c r="A764">
        <f>IF(COUNTBLANK(B764:Q764)&lt;&gt;COLUMNS(B764:Q764),763,"")</f>
        <v>0</v>
      </c>
      <c r="C764" s="1">
        <f>IF(B764="", "", "urban biome")</f>
        <v>0</v>
      </c>
      <c r="D764" s="1">
        <f>IF(B764="", "", "human-associated habitat")</f>
        <v>0</v>
      </c>
      <c r="G764" s="1">
        <f>IF(B764="", "", "years")</f>
        <v>0</v>
      </c>
      <c r="I764" s="1">
        <f>IF(B764="", "", "human")</f>
        <v>0</v>
      </c>
      <c r="K764" s="1">
        <f>IF(B764="", "", "cm")</f>
        <v>0</v>
      </c>
      <c r="L764" s="1">
        <f>IF(B764="", "", "Homo sapiens")</f>
        <v>0</v>
      </c>
      <c r="M764" s="1">
        <f>IF(B764="", "", "9606")</f>
        <v>0</v>
      </c>
      <c r="O764" s="1">
        <f>IF(B764="", "", "kg")</f>
        <v>0</v>
      </c>
    </row>
    <row r="765" spans="1:15">
      <c r="A765">
        <f>IF(COUNTBLANK(B765:Q765)&lt;&gt;COLUMNS(B765:Q765),764,"")</f>
        <v>0</v>
      </c>
      <c r="C765" s="1">
        <f>IF(B765="", "", "urban biome")</f>
        <v>0</v>
      </c>
      <c r="D765" s="1">
        <f>IF(B765="", "", "human-associated habitat")</f>
        <v>0</v>
      </c>
      <c r="G765" s="1">
        <f>IF(B765="", "", "years")</f>
        <v>0</v>
      </c>
      <c r="I765" s="1">
        <f>IF(B765="", "", "human")</f>
        <v>0</v>
      </c>
      <c r="K765" s="1">
        <f>IF(B765="", "", "cm")</f>
        <v>0</v>
      </c>
      <c r="L765" s="1">
        <f>IF(B765="", "", "Homo sapiens")</f>
        <v>0</v>
      </c>
      <c r="M765" s="1">
        <f>IF(B765="", "", "9606")</f>
        <v>0</v>
      </c>
      <c r="O765" s="1">
        <f>IF(B765="", "", "kg")</f>
        <v>0</v>
      </c>
    </row>
    <row r="766" spans="1:15">
      <c r="A766">
        <f>IF(COUNTBLANK(B766:Q766)&lt;&gt;COLUMNS(B766:Q766),765,"")</f>
        <v>0</v>
      </c>
      <c r="C766" s="1">
        <f>IF(B766="", "", "urban biome")</f>
        <v>0</v>
      </c>
      <c r="D766" s="1">
        <f>IF(B766="", "", "human-associated habitat")</f>
        <v>0</v>
      </c>
      <c r="G766" s="1">
        <f>IF(B766="", "", "years")</f>
        <v>0</v>
      </c>
      <c r="I766" s="1">
        <f>IF(B766="", "", "human")</f>
        <v>0</v>
      </c>
      <c r="K766" s="1">
        <f>IF(B766="", "", "cm")</f>
        <v>0</v>
      </c>
      <c r="L766" s="1">
        <f>IF(B766="", "", "Homo sapiens")</f>
        <v>0</v>
      </c>
      <c r="M766" s="1">
        <f>IF(B766="", "", "9606")</f>
        <v>0</v>
      </c>
      <c r="O766" s="1">
        <f>IF(B766="", "", "kg")</f>
        <v>0</v>
      </c>
    </row>
    <row r="767" spans="1:15">
      <c r="A767">
        <f>IF(COUNTBLANK(B767:Q767)&lt;&gt;COLUMNS(B767:Q767),766,"")</f>
        <v>0</v>
      </c>
      <c r="C767" s="1">
        <f>IF(B767="", "", "urban biome")</f>
        <v>0</v>
      </c>
      <c r="D767" s="1">
        <f>IF(B767="", "", "human-associated habitat")</f>
        <v>0</v>
      </c>
      <c r="G767" s="1">
        <f>IF(B767="", "", "years")</f>
        <v>0</v>
      </c>
      <c r="I767" s="1">
        <f>IF(B767="", "", "human")</f>
        <v>0</v>
      </c>
      <c r="K767" s="1">
        <f>IF(B767="", "", "cm")</f>
        <v>0</v>
      </c>
      <c r="L767" s="1">
        <f>IF(B767="", "", "Homo sapiens")</f>
        <v>0</v>
      </c>
      <c r="M767" s="1">
        <f>IF(B767="", "", "9606")</f>
        <v>0</v>
      </c>
      <c r="O767" s="1">
        <f>IF(B767="", "", "kg")</f>
        <v>0</v>
      </c>
    </row>
    <row r="768" spans="1:15">
      <c r="A768">
        <f>IF(COUNTBLANK(B768:Q768)&lt;&gt;COLUMNS(B768:Q768),767,"")</f>
        <v>0</v>
      </c>
      <c r="C768" s="1">
        <f>IF(B768="", "", "urban biome")</f>
        <v>0</v>
      </c>
      <c r="D768" s="1">
        <f>IF(B768="", "", "human-associated habitat")</f>
        <v>0</v>
      </c>
      <c r="G768" s="1">
        <f>IF(B768="", "", "years")</f>
        <v>0</v>
      </c>
      <c r="I768" s="1">
        <f>IF(B768="", "", "human")</f>
        <v>0</v>
      </c>
      <c r="K768" s="1">
        <f>IF(B768="", "", "cm")</f>
        <v>0</v>
      </c>
      <c r="L768" s="1">
        <f>IF(B768="", "", "Homo sapiens")</f>
        <v>0</v>
      </c>
      <c r="M768" s="1">
        <f>IF(B768="", "", "9606")</f>
        <v>0</v>
      </c>
      <c r="O768" s="1">
        <f>IF(B768="", "", "kg")</f>
        <v>0</v>
      </c>
    </row>
    <row r="769" spans="1:15">
      <c r="A769">
        <f>IF(COUNTBLANK(B769:Q769)&lt;&gt;COLUMNS(B769:Q769),768,"")</f>
        <v>0</v>
      </c>
      <c r="C769" s="1">
        <f>IF(B769="", "", "urban biome")</f>
        <v>0</v>
      </c>
      <c r="D769" s="1">
        <f>IF(B769="", "", "human-associated habitat")</f>
        <v>0</v>
      </c>
      <c r="G769" s="1">
        <f>IF(B769="", "", "years")</f>
        <v>0</v>
      </c>
      <c r="I769" s="1">
        <f>IF(B769="", "", "human")</f>
        <v>0</v>
      </c>
      <c r="K769" s="1">
        <f>IF(B769="", "", "cm")</f>
        <v>0</v>
      </c>
      <c r="L769" s="1">
        <f>IF(B769="", "", "Homo sapiens")</f>
        <v>0</v>
      </c>
      <c r="M769" s="1">
        <f>IF(B769="", "", "9606")</f>
        <v>0</v>
      </c>
      <c r="O769" s="1">
        <f>IF(B769="", "", "kg")</f>
        <v>0</v>
      </c>
    </row>
    <row r="770" spans="1:15">
      <c r="A770">
        <f>IF(COUNTBLANK(B770:Q770)&lt;&gt;COLUMNS(B770:Q770),769,"")</f>
        <v>0</v>
      </c>
      <c r="C770" s="1">
        <f>IF(B770="", "", "urban biome")</f>
        <v>0</v>
      </c>
      <c r="D770" s="1">
        <f>IF(B770="", "", "human-associated habitat")</f>
        <v>0</v>
      </c>
      <c r="G770" s="1">
        <f>IF(B770="", "", "years")</f>
        <v>0</v>
      </c>
      <c r="I770" s="1">
        <f>IF(B770="", "", "human")</f>
        <v>0</v>
      </c>
      <c r="K770" s="1">
        <f>IF(B770="", "", "cm")</f>
        <v>0</v>
      </c>
      <c r="L770" s="1">
        <f>IF(B770="", "", "Homo sapiens")</f>
        <v>0</v>
      </c>
      <c r="M770" s="1">
        <f>IF(B770="", "", "9606")</f>
        <v>0</v>
      </c>
      <c r="O770" s="1">
        <f>IF(B770="", "", "kg")</f>
        <v>0</v>
      </c>
    </row>
    <row r="771" spans="1:15">
      <c r="A771">
        <f>IF(COUNTBLANK(B771:Q771)&lt;&gt;COLUMNS(B771:Q771),770,"")</f>
        <v>0</v>
      </c>
      <c r="C771" s="1">
        <f>IF(B771="", "", "urban biome")</f>
        <v>0</v>
      </c>
      <c r="D771" s="1">
        <f>IF(B771="", "", "human-associated habitat")</f>
        <v>0</v>
      </c>
      <c r="G771" s="1">
        <f>IF(B771="", "", "years")</f>
        <v>0</v>
      </c>
      <c r="I771" s="1">
        <f>IF(B771="", "", "human")</f>
        <v>0</v>
      </c>
      <c r="K771" s="1">
        <f>IF(B771="", "", "cm")</f>
        <v>0</v>
      </c>
      <c r="L771" s="1">
        <f>IF(B771="", "", "Homo sapiens")</f>
        <v>0</v>
      </c>
      <c r="M771" s="1">
        <f>IF(B771="", "", "9606")</f>
        <v>0</v>
      </c>
      <c r="O771" s="1">
        <f>IF(B771="", "", "kg")</f>
        <v>0</v>
      </c>
    </row>
    <row r="772" spans="1:15">
      <c r="A772">
        <f>IF(COUNTBLANK(B772:Q772)&lt;&gt;COLUMNS(B772:Q772),771,"")</f>
        <v>0</v>
      </c>
      <c r="C772" s="1">
        <f>IF(B772="", "", "urban biome")</f>
        <v>0</v>
      </c>
      <c r="D772" s="1">
        <f>IF(B772="", "", "human-associated habitat")</f>
        <v>0</v>
      </c>
      <c r="G772" s="1">
        <f>IF(B772="", "", "years")</f>
        <v>0</v>
      </c>
      <c r="I772" s="1">
        <f>IF(B772="", "", "human")</f>
        <v>0</v>
      </c>
      <c r="K772" s="1">
        <f>IF(B772="", "", "cm")</f>
        <v>0</v>
      </c>
      <c r="L772" s="1">
        <f>IF(B772="", "", "Homo sapiens")</f>
        <v>0</v>
      </c>
      <c r="M772" s="1">
        <f>IF(B772="", "", "9606")</f>
        <v>0</v>
      </c>
      <c r="O772" s="1">
        <f>IF(B772="", "", "kg")</f>
        <v>0</v>
      </c>
    </row>
    <row r="773" spans="1:15">
      <c r="A773">
        <f>IF(COUNTBLANK(B773:Q773)&lt;&gt;COLUMNS(B773:Q773),772,"")</f>
        <v>0</v>
      </c>
      <c r="C773" s="1">
        <f>IF(B773="", "", "urban biome")</f>
        <v>0</v>
      </c>
      <c r="D773" s="1">
        <f>IF(B773="", "", "human-associated habitat")</f>
        <v>0</v>
      </c>
      <c r="G773" s="1">
        <f>IF(B773="", "", "years")</f>
        <v>0</v>
      </c>
      <c r="I773" s="1">
        <f>IF(B773="", "", "human")</f>
        <v>0</v>
      </c>
      <c r="K773" s="1">
        <f>IF(B773="", "", "cm")</f>
        <v>0</v>
      </c>
      <c r="L773" s="1">
        <f>IF(B773="", "", "Homo sapiens")</f>
        <v>0</v>
      </c>
      <c r="M773" s="1">
        <f>IF(B773="", "", "9606")</f>
        <v>0</v>
      </c>
      <c r="O773" s="1">
        <f>IF(B773="", "", "kg")</f>
        <v>0</v>
      </c>
    </row>
    <row r="774" spans="1:15">
      <c r="A774">
        <f>IF(COUNTBLANK(B774:Q774)&lt;&gt;COLUMNS(B774:Q774),773,"")</f>
        <v>0</v>
      </c>
      <c r="C774" s="1">
        <f>IF(B774="", "", "urban biome")</f>
        <v>0</v>
      </c>
      <c r="D774" s="1">
        <f>IF(B774="", "", "human-associated habitat")</f>
        <v>0</v>
      </c>
      <c r="G774" s="1">
        <f>IF(B774="", "", "years")</f>
        <v>0</v>
      </c>
      <c r="I774" s="1">
        <f>IF(B774="", "", "human")</f>
        <v>0</v>
      </c>
      <c r="K774" s="1">
        <f>IF(B774="", "", "cm")</f>
        <v>0</v>
      </c>
      <c r="L774" s="1">
        <f>IF(B774="", "", "Homo sapiens")</f>
        <v>0</v>
      </c>
      <c r="M774" s="1">
        <f>IF(B774="", "", "9606")</f>
        <v>0</v>
      </c>
      <c r="O774" s="1">
        <f>IF(B774="", "", "kg")</f>
        <v>0</v>
      </c>
    </row>
    <row r="775" spans="1:15">
      <c r="A775">
        <f>IF(COUNTBLANK(B775:Q775)&lt;&gt;COLUMNS(B775:Q775),774,"")</f>
        <v>0</v>
      </c>
      <c r="C775" s="1">
        <f>IF(B775="", "", "urban biome")</f>
        <v>0</v>
      </c>
      <c r="D775" s="1">
        <f>IF(B775="", "", "human-associated habitat")</f>
        <v>0</v>
      </c>
      <c r="G775" s="1">
        <f>IF(B775="", "", "years")</f>
        <v>0</v>
      </c>
      <c r="I775" s="1">
        <f>IF(B775="", "", "human")</f>
        <v>0</v>
      </c>
      <c r="K775" s="1">
        <f>IF(B775="", "", "cm")</f>
        <v>0</v>
      </c>
      <c r="L775" s="1">
        <f>IF(B775="", "", "Homo sapiens")</f>
        <v>0</v>
      </c>
      <c r="M775" s="1">
        <f>IF(B775="", "", "9606")</f>
        <v>0</v>
      </c>
      <c r="O775" s="1">
        <f>IF(B775="", "", "kg")</f>
        <v>0</v>
      </c>
    </row>
    <row r="776" spans="1:15">
      <c r="A776">
        <f>IF(COUNTBLANK(B776:Q776)&lt;&gt;COLUMNS(B776:Q776),775,"")</f>
        <v>0</v>
      </c>
      <c r="C776" s="1">
        <f>IF(B776="", "", "urban biome")</f>
        <v>0</v>
      </c>
      <c r="D776" s="1">
        <f>IF(B776="", "", "human-associated habitat")</f>
        <v>0</v>
      </c>
      <c r="G776" s="1">
        <f>IF(B776="", "", "years")</f>
        <v>0</v>
      </c>
      <c r="I776" s="1">
        <f>IF(B776="", "", "human")</f>
        <v>0</v>
      </c>
      <c r="K776" s="1">
        <f>IF(B776="", "", "cm")</f>
        <v>0</v>
      </c>
      <c r="L776" s="1">
        <f>IF(B776="", "", "Homo sapiens")</f>
        <v>0</v>
      </c>
      <c r="M776" s="1">
        <f>IF(B776="", "", "9606")</f>
        <v>0</v>
      </c>
      <c r="O776" s="1">
        <f>IF(B776="", "", "kg")</f>
        <v>0</v>
      </c>
    </row>
    <row r="777" spans="1:15">
      <c r="A777">
        <f>IF(COUNTBLANK(B777:Q777)&lt;&gt;COLUMNS(B777:Q777),776,"")</f>
        <v>0</v>
      </c>
      <c r="C777" s="1">
        <f>IF(B777="", "", "urban biome")</f>
        <v>0</v>
      </c>
      <c r="D777" s="1">
        <f>IF(B777="", "", "human-associated habitat")</f>
        <v>0</v>
      </c>
      <c r="G777" s="1">
        <f>IF(B777="", "", "years")</f>
        <v>0</v>
      </c>
      <c r="I777" s="1">
        <f>IF(B777="", "", "human")</f>
        <v>0</v>
      </c>
      <c r="K777" s="1">
        <f>IF(B777="", "", "cm")</f>
        <v>0</v>
      </c>
      <c r="L777" s="1">
        <f>IF(B777="", "", "Homo sapiens")</f>
        <v>0</v>
      </c>
      <c r="M777" s="1">
        <f>IF(B777="", "", "9606")</f>
        <v>0</v>
      </c>
      <c r="O777" s="1">
        <f>IF(B777="", "", "kg")</f>
        <v>0</v>
      </c>
    </row>
    <row r="778" spans="1:15">
      <c r="A778">
        <f>IF(COUNTBLANK(B778:Q778)&lt;&gt;COLUMNS(B778:Q778),777,"")</f>
        <v>0</v>
      </c>
      <c r="C778" s="1">
        <f>IF(B778="", "", "urban biome")</f>
        <v>0</v>
      </c>
      <c r="D778" s="1">
        <f>IF(B778="", "", "human-associated habitat")</f>
        <v>0</v>
      </c>
      <c r="G778" s="1">
        <f>IF(B778="", "", "years")</f>
        <v>0</v>
      </c>
      <c r="I778" s="1">
        <f>IF(B778="", "", "human")</f>
        <v>0</v>
      </c>
      <c r="K778" s="1">
        <f>IF(B778="", "", "cm")</f>
        <v>0</v>
      </c>
      <c r="L778" s="1">
        <f>IF(B778="", "", "Homo sapiens")</f>
        <v>0</v>
      </c>
      <c r="M778" s="1">
        <f>IF(B778="", "", "9606")</f>
        <v>0</v>
      </c>
      <c r="O778" s="1">
        <f>IF(B778="", "", "kg")</f>
        <v>0</v>
      </c>
    </row>
    <row r="779" spans="1:15">
      <c r="A779">
        <f>IF(COUNTBLANK(B779:Q779)&lt;&gt;COLUMNS(B779:Q779),778,"")</f>
        <v>0</v>
      </c>
      <c r="C779" s="1">
        <f>IF(B779="", "", "urban biome")</f>
        <v>0</v>
      </c>
      <c r="D779" s="1">
        <f>IF(B779="", "", "human-associated habitat")</f>
        <v>0</v>
      </c>
      <c r="G779" s="1">
        <f>IF(B779="", "", "years")</f>
        <v>0</v>
      </c>
      <c r="I779" s="1">
        <f>IF(B779="", "", "human")</f>
        <v>0</v>
      </c>
      <c r="K779" s="1">
        <f>IF(B779="", "", "cm")</f>
        <v>0</v>
      </c>
      <c r="L779" s="1">
        <f>IF(B779="", "", "Homo sapiens")</f>
        <v>0</v>
      </c>
      <c r="M779" s="1">
        <f>IF(B779="", "", "9606")</f>
        <v>0</v>
      </c>
      <c r="O779" s="1">
        <f>IF(B779="", "", "kg")</f>
        <v>0</v>
      </c>
    </row>
    <row r="780" spans="1:15">
      <c r="A780">
        <f>IF(COUNTBLANK(B780:Q780)&lt;&gt;COLUMNS(B780:Q780),779,"")</f>
        <v>0</v>
      </c>
      <c r="C780" s="1">
        <f>IF(B780="", "", "urban biome")</f>
        <v>0</v>
      </c>
      <c r="D780" s="1">
        <f>IF(B780="", "", "human-associated habitat")</f>
        <v>0</v>
      </c>
      <c r="G780" s="1">
        <f>IF(B780="", "", "years")</f>
        <v>0</v>
      </c>
      <c r="I780" s="1">
        <f>IF(B780="", "", "human")</f>
        <v>0</v>
      </c>
      <c r="K780" s="1">
        <f>IF(B780="", "", "cm")</f>
        <v>0</v>
      </c>
      <c r="L780" s="1">
        <f>IF(B780="", "", "Homo sapiens")</f>
        <v>0</v>
      </c>
      <c r="M780" s="1">
        <f>IF(B780="", "", "9606")</f>
        <v>0</v>
      </c>
      <c r="O780" s="1">
        <f>IF(B780="", "", "kg")</f>
        <v>0</v>
      </c>
    </row>
    <row r="781" spans="1:15">
      <c r="A781">
        <f>IF(COUNTBLANK(B781:Q781)&lt;&gt;COLUMNS(B781:Q781),780,"")</f>
        <v>0</v>
      </c>
      <c r="C781" s="1">
        <f>IF(B781="", "", "urban biome")</f>
        <v>0</v>
      </c>
      <c r="D781" s="1">
        <f>IF(B781="", "", "human-associated habitat")</f>
        <v>0</v>
      </c>
      <c r="G781" s="1">
        <f>IF(B781="", "", "years")</f>
        <v>0</v>
      </c>
      <c r="I781" s="1">
        <f>IF(B781="", "", "human")</f>
        <v>0</v>
      </c>
      <c r="K781" s="1">
        <f>IF(B781="", "", "cm")</f>
        <v>0</v>
      </c>
      <c r="L781" s="1">
        <f>IF(B781="", "", "Homo sapiens")</f>
        <v>0</v>
      </c>
      <c r="M781" s="1">
        <f>IF(B781="", "", "9606")</f>
        <v>0</v>
      </c>
      <c r="O781" s="1">
        <f>IF(B781="", "", "kg")</f>
        <v>0</v>
      </c>
    </row>
    <row r="782" spans="1:15">
      <c r="A782">
        <f>IF(COUNTBLANK(B782:Q782)&lt;&gt;COLUMNS(B782:Q782),781,"")</f>
        <v>0</v>
      </c>
      <c r="C782" s="1">
        <f>IF(B782="", "", "urban biome")</f>
        <v>0</v>
      </c>
      <c r="D782" s="1">
        <f>IF(B782="", "", "human-associated habitat")</f>
        <v>0</v>
      </c>
      <c r="G782" s="1">
        <f>IF(B782="", "", "years")</f>
        <v>0</v>
      </c>
      <c r="I782" s="1">
        <f>IF(B782="", "", "human")</f>
        <v>0</v>
      </c>
      <c r="K782" s="1">
        <f>IF(B782="", "", "cm")</f>
        <v>0</v>
      </c>
      <c r="L782" s="1">
        <f>IF(B782="", "", "Homo sapiens")</f>
        <v>0</v>
      </c>
      <c r="M782" s="1">
        <f>IF(B782="", "", "9606")</f>
        <v>0</v>
      </c>
      <c r="O782" s="1">
        <f>IF(B782="", "", "kg")</f>
        <v>0</v>
      </c>
    </row>
    <row r="783" spans="1:15">
      <c r="A783">
        <f>IF(COUNTBLANK(B783:Q783)&lt;&gt;COLUMNS(B783:Q783),782,"")</f>
        <v>0</v>
      </c>
      <c r="C783" s="1">
        <f>IF(B783="", "", "urban biome")</f>
        <v>0</v>
      </c>
      <c r="D783" s="1">
        <f>IF(B783="", "", "human-associated habitat")</f>
        <v>0</v>
      </c>
      <c r="G783" s="1">
        <f>IF(B783="", "", "years")</f>
        <v>0</v>
      </c>
      <c r="I783" s="1">
        <f>IF(B783="", "", "human")</f>
        <v>0</v>
      </c>
      <c r="K783" s="1">
        <f>IF(B783="", "", "cm")</f>
        <v>0</v>
      </c>
      <c r="L783" s="1">
        <f>IF(B783="", "", "Homo sapiens")</f>
        <v>0</v>
      </c>
      <c r="M783" s="1">
        <f>IF(B783="", "", "9606")</f>
        <v>0</v>
      </c>
      <c r="O783" s="1">
        <f>IF(B783="", "", "kg")</f>
        <v>0</v>
      </c>
    </row>
    <row r="784" spans="1:15">
      <c r="A784">
        <f>IF(COUNTBLANK(B784:Q784)&lt;&gt;COLUMNS(B784:Q784),783,"")</f>
        <v>0</v>
      </c>
      <c r="C784" s="1">
        <f>IF(B784="", "", "urban biome")</f>
        <v>0</v>
      </c>
      <c r="D784" s="1">
        <f>IF(B784="", "", "human-associated habitat")</f>
        <v>0</v>
      </c>
      <c r="G784" s="1">
        <f>IF(B784="", "", "years")</f>
        <v>0</v>
      </c>
      <c r="I784" s="1">
        <f>IF(B784="", "", "human")</f>
        <v>0</v>
      </c>
      <c r="K784" s="1">
        <f>IF(B784="", "", "cm")</f>
        <v>0</v>
      </c>
      <c r="L784" s="1">
        <f>IF(B784="", "", "Homo sapiens")</f>
        <v>0</v>
      </c>
      <c r="M784" s="1">
        <f>IF(B784="", "", "9606")</f>
        <v>0</v>
      </c>
      <c r="O784" s="1">
        <f>IF(B784="", "", "kg")</f>
        <v>0</v>
      </c>
    </row>
    <row r="785" spans="1:15">
      <c r="A785">
        <f>IF(COUNTBLANK(B785:Q785)&lt;&gt;COLUMNS(B785:Q785),784,"")</f>
        <v>0</v>
      </c>
      <c r="C785" s="1">
        <f>IF(B785="", "", "urban biome")</f>
        <v>0</v>
      </c>
      <c r="D785" s="1">
        <f>IF(B785="", "", "human-associated habitat")</f>
        <v>0</v>
      </c>
      <c r="G785" s="1">
        <f>IF(B785="", "", "years")</f>
        <v>0</v>
      </c>
      <c r="I785" s="1">
        <f>IF(B785="", "", "human")</f>
        <v>0</v>
      </c>
      <c r="K785" s="1">
        <f>IF(B785="", "", "cm")</f>
        <v>0</v>
      </c>
      <c r="L785" s="1">
        <f>IF(B785="", "", "Homo sapiens")</f>
        <v>0</v>
      </c>
      <c r="M785" s="1">
        <f>IF(B785="", "", "9606")</f>
        <v>0</v>
      </c>
      <c r="O785" s="1">
        <f>IF(B785="", "", "kg")</f>
        <v>0</v>
      </c>
    </row>
    <row r="786" spans="1:15">
      <c r="A786">
        <f>IF(COUNTBLANK(B786:Q786)&lt;&gt;COLUMNS(B786:Q786),785,"")</f>
        <v>0</v>
      </c>
      <c r="C786" s="1">
        <f>IF(B786="", "", "urban biome")</f>
        <v>0</v>
      </c>
      <c r="D786" s="1">
        <f>IF(B786="", "", "human-associated habitat")</f>
        <v>0</v>
      </c>
      <c r="G786" s="1">
        <f>IF(B786="", "", "years")</f>
        <v>0</v>
      </c>
      <c r="I786" s="1">
        <f>IF(B786="", "", "human")</f>
        <v>0</v>
      </c>
      <c r="K786" s="1">
        <f>IF(B786="", "", "cm")</f>
        <v>0</v>
      </c>
      <c r="L786" s="1">
        <f>IF(B786="", "", "Homo sapiens")</f>
        <v>0</v>
      </c>
      <c r="M786" s="1">
        <f>IF(B786="", "", "9606")</f>
        <v>0</v>
      </c>
      <c r="O786" s="1">
        <f>IF(B786="", "", "kg")</f>
        <v>0</v>
      </c>
    </row>
    <row r="787" spans="1:15">
      <c r="A787">
        <f>IF(COUNTBLANK(B787:Q787)&lt;&gt;COLUMNS(B787:Q787),786,"")</f>
        <v>0</v>
      </c>
      <c r="C787" s="1">
        <f>IF(B787="", "", "urban biome")</f>
        <v>0</v>
      </c>
      <c r="D787" s="1">
        <f>IF(B787="", "", "human-associated habitat")</f>
        <v>0</v>
      </c>
      <c r="G787" s="1">
        <f>IF(B787="", "", "years")</f>
        <v>0</v>
      </c>
      <c r="I787" s="1">
        <f>IF(B787="", "", "human")</f>
        <v>0</v>
      </c>
      <c r="K787" s="1">
        <f>IF(B787="", "", "cm")</f>
        <v>0</v>
      </c>
      <c r="L787" s="1">
        <f>IF(B787="", "", "Homo sapiens")</f>
        <v>0</v>
      </c>
      <c r="M787" s="1">
        <f>IF(B787="", "", "9606")</f>
        <v>0</v>
      </c>
      <c r="O787" s="1">
        <f>IF(B787="", "", "kg")</f>
        <v>0</v>
      </c>
    </row>
    <row r="788" spans="1:15">
      <c r="A788">
        <f>IF(COUNTBLANK(B788:Q788)&lt;&gt;COLUMNS(B788:Q788),787,"")</f>
        <v>0</v>
      </c>
      <c r="C788" s="1">
        <f>IF(B788="", "", "urban biome")</f>
        <v>0</v>
      </c>
      <c r="D788" s="1">
        <f>IF(B788="", "", "human-associated habitat")</f>
        <v>0</v>
      </c>
      <c r="G788" s="1">
        <f>IF(B788="", "", "years")</f>
        <v>0</v>
      </c>
      <c r="I788" s="1">
        <f>IF(B788="", "", "human")</f>
        <v>0</v>
      </c>
      <c r="K788" s="1">
        <f>IF(B788="", "", "cm")</f>
        <v>0</v>
      </c>
      <c r="L788" s="1">
        <f>IF(B788="", "", "Homo sapiens")</f>
        <v>0</v>
      </c>
      <c r="M788" s="1">
        <f>IF(B788="", "", "9606")</f>
        <v>0</v>
      </c>
      <c r="O788" s="1">
        <f>IF(B788="", "", "kg")</f>
        <v>0</v>
      </c>
    </row>
    <row r="789" spans="1:15">
      <c r="A789">
        <f>IF(COUNTBLANK(B789:Q789)&lt;&gt;COLUMNS(B789:Q789),788,"")</f>
        <v>0</v>
      </c>
      <c r="C789" s="1">
        <f>IF(B789="", "", "urban biome")</f>
        <v>0</v>
      </c>
      <c r="D789" s="1">
        <f>IF(B789="", "", "human-associated habitat")</f>
        <v>0</v>
      </c>
      <c r="G789" s="1">
        <f>IF(B789="", "", "years")</f>
        <v>0</v>
      </c>
      <c r="I789" s="1">
        <f>IF(B789="", "", "human")</f>
        <v>0</v>
      </c>
      <c r="K789" s="1">
        <f>IF(B789="", "", "cm")</f>
        <v>0</v>
      </c>
      <c r="L789" s="1">
        <f>IF(B789="", "", "Homo sapiens")</f>
        <v>0</v>
      </c>
      <c r="M789" s="1">
        <f>IF(B789="", "", "9606")</f>
        <v>0</v>
      </c>
      <c r="O789" s="1">
        <f>IF(B789="", "", "kg")</f>
        <v>0</v>
      </c>
    </row>
    <row r="790" spans="1:15">
      <c r="A790">
        <f>IF(COUNTBLANK(B790:Q790)&lt;&gt;COLUMNS(B790:Q790),789,"")</f>
        <v>0</v>
      </c>
      <c r="C790" s="1">
        <f>IF(B790="", "", "urban biome")</f>
        <v>0</v>
      </c>
      <c r="D790" s="1">
        <f>IF(B790="", "", "human-associated habitat")</f>
        <v>0</v>
      </c>
      <c r="G790" s="1">
        <f>IF(B790="", "", "years")</f>
        <v>0</v>
      </c>
      <c r="I790" s="1">
        <f>IF(B790="", "", "human")</f>
        <v>0</v>
      </c>
      <c r="K790" s="1">
        <f>IF(B790="", "", "cm")</f>
        <v>0</v>
      </c>
      <c r="L790" s="1">
        <f>IF(B790="", "", "Homo sapiens")</f>
        <v>0</v>
      </c>
      <c r="M790" s="1">
        <f>IF(B790="", "", "9606")</f>
        <v>0</v>
      </c>
      <c r="O790" s="1">
        <f>IF(B790="", "", "kg")</f>
        <v>0</v>
      </c>
    </row>
    <row r="791" spans="1:15">
      <c r="A791">
        <f>IF(COUNTBLANK(B791:Q791)&lt;&gt;COLUMNS(B791:Q791),790,"")</f>
        <v>0</v>
      </c>
      <c r="C791" s="1">
        <f>IF(B791="", "", "urban biome")</f>
        <v>0</v>
      </c>
      <c r="D791" s="1">
        <f>IF(B791="", "", "human-associated habitat")</f>
        <v>0</v>
      </c>
      <c r="G791" s="1">
        <f>IF(B791="", "", "years")</f>
        <v>0</v>
      </c>
      <c r="I791" s="1">
        <f>IF(B791="", "", "human")</f>
        <v>0</v>
      </c>
      <c r="K791" s="1">
        <f>IF(B791="", "", "cm")</f>
        <v>0</v>
      </c>
      <c r="L791" s="1">
        <f>IF(B791="", "", "Homo sapiens")</f>
        <v>0</v>
      </c>
      <c r="M791" s="1">
        <f>IF(B791="", "", "9606")</f>
        <v>0</v>
      </c>
      <c r="O791" s="1">
        <f>IF(B791="", "", "kg")</f>
        <v>0</v>
      </c>
    </row>
    <row r="792" spans="1:15">
      <c r="A792">
        <f>IF(COUNTBLANK(B792:Q792)&lt;&gt;COLUMNS(B792:Q792),791,"")</f>
        <v>0</v>
      </c>
      <c r="C792" s="1">
        <f>IF(B792="", "", "urban biome")</f>
        <v>0</v>
      </c>
      <c r="D792" s="1">
        <f>IF(B792="", "", "human-associated habitat")</f>
        <v>0</v>
      </c>
      <c r="G792" s="1">
        <f>IF(B792="", "", "years")</f>
        <v>0</v>
      </c>
      <c r="I792" s="1">
        <f>IF(B792="", "", "human")</f>
        <v>0</v>
      </c>
      <c r="K792" s="1">
        <f>IF(B792="", "", "cm")</f>
        <v>0</v>
      </c>
      <c r="L792" s="1">
        <f>IF(B792="", "", "Homo sapiens")</f>
        <v>0</v>
      </c>
      <c r="M792" s="1">
        <f>IF(B792="", "", "9606")</f>
        <v>0</v>
      </c>
      <c r="O792" s="1">
        <f>IF(B792="", "", "kg")</f>
        <v>0</v>
      </c>
    </row>
    <row r="793" spans="1:15">
      <c r="A793">
        <f>IF(COUNTBLANK(B793:Q793)&lt;&gt;COLUMNS(B793:Q793),792,"")</f>
        <v>0</v>
      </c>
      <c r="C793" s="1">
        <f>IF(B793="", "", "urban biome")</f>
        <v>0</v>
      </c>
      <c r="D793" s="1">
        <f>IF(B793="", "", "human-associated habitat")</f>
        <v>0</v>
      </c>
      <c r="G793" s="1">
        <f>IF(B793="", "", "years")</f>
        <v>0</v>
      </c>
      <c r="I793" s="1">
        <f>IF(B793="", "", "human")</f>
        <v>0</v>
      </c>
      <c r="K793" s="1">
        <f>IF(B793="", "", "cm")</f>
        <v>0</v>
      </c>
      <c r="L793" s="1">
        <f>IF(B793="", "", "Homo sapiens")</f>
        <v>0</v>
      </c>
      <c r="M793" s="1">
        <f>IF(B793="", "", "9606")</f>
        <v>0</v>
      </c>
      <c r="O793" s="1">
        <f>IF(B793="", "", "kg")</f>
        <v>0</v>
      </c>
    </row>
    <row r="794" spans="1:15">
      <c r="A794">
        <f>IF(COUNTBLANK(B794:Q794)&lt;&gt;COLUMNS(B794:Q794),793,"")</f>
        <v>0</v>
      </c>
      <c r="C794" s="1">
        <f>IF(B794="", "", "urban biome")</f>
        <v>0</v>
      </c>
      <c r="D794" s="1">
        <f>IF(B794="", "", "human-associated habitat")</f>
        <v>0</v>
      </c>
      <c r="G794" s="1">
        <f>IF(B794="", "", "years")</f>
        <v>0</v>
      </c>
      <c r="I794" s="1">
        <f>IF(B794="", "", "human")</f>
        <v>0</v>
      </c>
      <c r="K794" s="1">
        <f>IF(B794="", "", "cm")</f>
        <v>0</v>
      </c>
      <c r="L794" s="1">
        <f>IF(B794="", "", "Homo sapiens")</f>
        <v>0</v>
      </c>
      <c r="M794" s="1">
        <f>IF(B794="", "", "9606")</f>
        <v>0</v>
      </c>
      <c r="O794" s="1">
        <f>IF(B794="", "", "kg")</f>
        <v>0</v>
      </c>
    </row>
    <row r="795" spans="1:15">
      <c r="A795">
        <f>IF(COUNTBLANK(B795:Q795)&lt;&gt;COLUMNS(B795:Q795),794,"")</f>
        <v>0</v>
      </c>
      <c r="C795" s="1">
        <f>IF(B795="", "", "urban biome")</f>
        <v>0</v>
      </c>
      <c r="D795" s="1">
        <f>IF(B795="", "", "human-associated habitat")</f>
        <v>0</v>
      </c>
      <c r="G795" s="1">
        <f>IF(B795="", "", "years")</f>
        <v>0</v>
      </c>
      <c r="I795" s="1">
        <f>IF(B795="", "", "human")</f>
        <v>0</v>
      </c>
      <c r="K795" s="1">
        <f>IF(B795="", "", "cm")</f>
        <v>0</v>
      </c>
      <c r="L795" s="1">
        <f>IF(B795="", "", "Homo sapiens")</f>
        <v>0</v>
      </c>
      <c r="M795" s="1">
        <f>IF(B795="", "", "9606")</f>
        <v>0</v>
      </c>
      <c r="O795" s="1">
        <f>IF(B795="", "", "kg")</f>
        <v>0</v>
      </c>
    </row>
    <row r="796" spans="1:15">
      <c r="A796">
        <f>IF(COUNTBLANK(B796:Q796)&lt;&gt;COLUMNS(B796:Q796),795,"")</f>
        <v>0</v>
      </c>
      <c r="C796" s="1">
        <f>IF(B796="", "", "urban biome")</f>
        <v>0</v>
      </c>
      <c r="D796" s="1">
        <f>IF(B796="", "", "human-associated habitat")</f>
        <v>0</v>
      </c>
      <c r="G796" s="1">
        <f>IF(B796="", "", "years")</f>
        <v>0</v>
      </c>
      <c r="I796" s="1">
        <f>IF(B796="", "", "human")</f>
        <v>0</v>
      </c>
      <c r="K796" s="1">
        <f>IF(B796="", "", "cm")</f>
        <v>0</v>
      </c>
      <c r="L796" s="1">
        <f>IF(B796="", "", "Homo sapiens")</f>
        <v>0</v>
      </c>
      <c r="M796" s="1">
        <f>IF(B796="", "", "9606")</f>
        <v>0</v>
      </c>
      <c r="O796" s="1">
        <f>IF(B796="", "", "kg")</f>
        <v>0</v>
      </c>
    </row>
    <row r="797" spans="1:15">
      <c r="A797">
        <f>IF(COUNTBLANK(B797:Q797)&lt;&gt;COLUMNS(B797:Q797),796,"")</f>
        <v>0</v>
      </c>
      <c r="C797" s="1">
        <f>IF(B797="", "", "urban biome")</f>
        <v>0</v>
      </c>
      <c r="D797" s="1">
        <f>IF(B797="", "", "human-associated habitat")</f>
        <v>0</v>
      </c>
      <c r="G797" s="1">
        <f>IF(B797="", "", "years")</f>
        <v>0</v>
      </c>
      <c r="I797" s="1">
        <f>IF(B797="", "", "human")</f>
        <v>0</v>
      </c>
      <c r="K797" s="1">
        <f>IF(B797="", "", "cm")</f>
        <v>0</v>
      </c>
      <c r="L797" s="1">
        <f>IF(B797="", "", "Homo sapiens")</f>
        <v>0</v>
      </c>
      <c r="M797" s="1">
        <f>IF(B797="", "", "9606")</f>
        <v>0</v>
      </c>
      <c r="O797" s="1">
        <f>IF(B797="", "", "kg")</f>
        <v>0</v>
      </c>
    </row>
    <row r="798" spans="1:15">
      <c r="A798">
        <f>IF(COUNTBLANK(B798:Q798)&lt;&gt;COLUMNS(B798:Q798),797,"")</f>
        <v>0</v>
      </c>
      <c r="C798" s="1">
        <f>IF(B798="", "", "urban biome")</f>
        <v>0</v>
      </c>
      <c r="D798" s="1">
        <f>IF(B798="", "", "human-associated habitat")</f>
        <v>0</v>
      </c>
      <c r="G798" s="1">
        <f>IF(B798="", "", "years")</f>
        <v>0</v>
      </c>
      <c r="I798" s="1">
        <f>IF(B798="", "", "human")</f>
        <v>0</v>
      </c>
      <c r="K798" s="1">
        <f>IF(B798="", "", "cm")</f>
        <v>0</v>
      </c>
      <c r="L798" s="1">
        <f>IF(B798="", "", "Homo sapiens")</f>
        <v>0</v>
      </c>
      <c r="M798" s="1">
        <f>IF(B798="", "", "9606")</f>
        <v>0</v>
      </c>
      <c r="O798" s="1">
        <f>IF(B798="", "", "kg")</f>
        <v>0</v>
      </c>
    </row>
    <row r="799" spans="1:15">
      <c r="A799">
        <f>IF(COUNTBLANK(B799:Q799)&lt;&gt;COLUMNS(B799:Q799),798,"")</f>
        <v>0</v>
      </c>
      <c r="C799" s="1">
        <f>IF(B799="", "", "urban biome")</f>
        <v>0</v>
      </c>
      <c r="D799" s="1">
        <f>IF(B799="", "", "human-associated habitat")</f>
        <v>0</v>
      </c>
      <c r="G799" s="1">
        <f>IF(B799="", "", "years")</f>
        <v>0</v>
      </c>
      <c r="I799" s="1">
        <f>IF(B799="", "", "human")</f>
        <v>0</v>
      </c>
      <c r="K799" s="1">
        <f>IF(B799="", "", "cm")</f>
        <v>0</v>
      </c>
      <c r="L799" s="1">
        <f>IF(B799="", "", "Homo sapiens")</f>
        <v>0</v>
      </c>
      <c r="M799" s="1">
        <f>IF(B799="", "", "9606")</f>
        <v>0</v>
      </c>
      <c r="O799" s="1">
        <f>IF(B799="", "", "kg")</f>
        <v>0</v>
      </c>
    </row>
    <row r="800" spans="1:15">
      <c r="A800">
        <f>IF(COUNTBLANK(B800:Q800)&lt;&gt;COLUMNS(B800:Q800),799,"")</f>
        <v>0</v>
      </c>
      <c r="C800" s="1">
        <f>IF(B800="", "", "urban biome")</f>
        <v>0</v>
      </c>
      <c r="D800" s="1">
        <f>IF(B800="", "", "human-associated habitat")</f>
        <v>0</v>
      </c>
      <c r="G800" s="1">
        <f>IF(B800="", "", "years")</f>
        <v>0</v>
      </c>
      <c r="I800" s="1">
        <f>IF(B800="", "", "human")</f>
        <v>0</v>
      </c>
      <c r="K800" s="1">
        <f>IF(B800="", "", "cm")</f>
        <v>0</v>
      </c>
      <c r="L800" s="1">
        <f>IF(B800="", "", "Homo sapiens")</f>
        <v>0</v>
      </c>
      <c r="M800" s="1">
        <f>IF(B800="", "", "9606")</f>
        <v>0</v>
      </c>
      <c r="O800" s="1">
        <f>IF(B800="", "", "kg")</f>
        <v>0</v>
      </c>
    </row>
    <row r="801" spans="1:15">
      <c r="A801">
        <f>IF(COUNTBLANK(B801:Q801)&lt;&gt;COLUMNS(B801:Q801),800,"")</f>
        <v>0</v>
      </c>
      <c r="C801" s="1">
        <f>IF(B801="", "", "urban biome")</f>
        <v>0</v>
      </c>
      <c r="D801" s="1">
        <f>IF(B801="", "", "human-associated habitat")</f>
        <v>0</v>
      </c>
      <c r="G801" s="1">
        <f>IF(B801="", "", "years")</f>
        <v>0</v>
      </c>
      <c r="I801" s="1">
        <f>IF(B801="", "", "human")</f>
        <v>0</v>
      </c>
      <c r="K801" s="1">
        <f>IF(B801="", "", "cm")</f>
        <v>0</v>
      </c>
      <c r="L801" s="1">
        <f>IF(B801="", "", "Homo sapiens")</f>
        <v>0</v>
      </c>
      <c r="M801" s="1">
        <f>IF(B801="", "", "9606")</f>
        <v>0</v>
      </c>
      <c r="O801" s="1">
        <f>IF(B801="", "", "kg")</f>
        <v>0</v>
      </c>
    </row>
    <row r="802" spans="1:15">
      <c r="A802">
        <f>IF(COUNTBLANK(B802:Q802)&lt;&gt;COLUMNS(B802:Q802),801,"")</f>
        <v>0</v>
      </c>
      <c r="C802" s="1">
        <f>IF(B802="", "", "urban biome")</f>
        <v>0</v>
      </c>
      <c r="D802" s="1">
        <f>IF(B802="", "", "human-associated habitat")</f>
        <v>0</v>
      </c>
      <c r="G802" s="1">
        <f>IF(B802="", "", "years")</f>
        <v>0</v>
      </c>
      <c r="I802" s="1">
        <f>IF(B802="", "", "human")</f>
        <v>0</v>
      </c>
      <c r="K802" s="1">
        <f>IF(B802="", "", "cm")</f>
        <v>0</v>
      </c>
      <c r="L802" s="1">
        <f>IF(B802="", "", "Homo sapiens")</f>
        <v>0</v>
      </c>
      <c r="M802" s="1">
        <f>IF(B802="", "", "9606")</f>
        <v>0</v>
      </c>
      <c r="O802" s="1">
        <f>IF(B802="", "", "kg")</f>
        <v>0</v>
      </c>
    </row>
    <row r="803" spans="1:15">
      <c r="A803">
        <f>IF(COUNTBLANK(B803:Q803)&lt;&gt;COLUMNS(B803:Q803),802,"")</f>
        <v>0</v>
      </c>
      <c r="C803" s="1">
        <f>IF(B803="", "", "urban biome")</f>
        <v>0</v>
      </c>
      <c r="D803" s="1">
        <f>IF(B803="", "", "human-associated habitat")</f>
        <v>0</v>
      </c>
      <c r="G803" s="1">
        <f>IF(B803="", "", "years")</f>
        <v>0</v>
      </c>
      <c r="I803" s="1">
        <f>IF(B803="", "", "human")</f>
        <v>0</v>
      </c>
      <c r="K803" s="1">
        <f>IF(B803="", "", "cm")</f>
        <v>0</v>
      </c>
      <c r="L803" s="1">
        <f>IF(B803="", "", "Homo sapiens")</f>
        <v>0</v>
      </c>
      <c r="M803" s="1">
        <f>IF(B803="", "", "9606")</f>
        <v>0</v>
      </c>
      <c r="O803" s="1">
        <f>IF(B803="", "", "kg")</f>
        <v>0</v>
      </c>
    </row>
    <row r="804" spans="1:15">
      <c r="A804">
        <f>IF(COUNTBLANK(B804:Q804)&lt;&gt;COLUMNS(B804:Q804),803,"")</f>
        <v>0</v>
      </c>
      <c r="C804" s="1">
        <f>IF(B804="", "", "urban biome")</f>
        <v>0</v>
      </c>
      <c r="D804" s="1">
        <f>IF(B804="", "", "human-associated habitat")</f>
        <v>0</v>
      </c>
      <c r="G804" s="1">
        <f>IF(B804="", "", "years")</f>
        <v>0</v>
      </c>
      <c r="I804" s="1">
        <f>IF(B804="", "", "human")</f>
        <v>0</v>
      </c>
      <c r="K804" s="1">
        <f>IF(B804="", "", "cm")</f>
        <v>0</v>
      </c>
      <c r="L804" s="1">
        <f>IF(B804="", "", "Homo sapiens")</f>
        <v>0</v>
      </c>
      <c r="M804" s="1">
        <f>IF(B804="", "", "9606")</f>
        <v>0</v>
      </c>
      <c r="O804" s="1">
        <f>IF(B804="", "", "kg")</f>
        <v>0</v>
      </c>
    </row>
    <row r="805" spans="1:15">
      <c r="A805">
        <f>IF(COUNTBLANK(B805:Q805)&lt;&gt;COLUMNS(B805:Q805),804,"")</f>
        <v>0</v>
      </c>
      <c r="C805" s="1">
        <f>IF(B805="", "", "urban biome")</f>
        <v>0</v>
      </c>
      <c r="D805" s="1">
        <f>IF(B805="", "", "human-associated habitat")</f>
        <v>0</v>
      </c>
      <c r="G805" s="1">
        <f>IF(B805="", "", "years")</f>
        <v>0</v>
      </c>
      <c r="I805" s="1">
        <f>IF(B805="", "", "human")</f>
        <v>0</v>
      </c>
      <c r="K805" s="1">
        <f>IF(B805="", "", "cm")</f>
        <v>0</v>
      </c>
      <c r="L805" s="1">
        <f>IF(B805="", "", "Homo sapiens")</f>
        <v>0</v>
      </c>
      <c r="M805" s="1">
        <f>IF(B805="", "", "9606")</f>
        <v>0</v>
      </c>
      <c r="O805" s="1">
        <f>IF(B805="", "", "kg")</f>
        <v>0</v>
      </c>
    </row>
    <row r="806" spans="1:15">
      <c r="A806">
        <f>IF(COUNTBLANK(B806:Q806)&lt;&gt;COLUMNS(B806:Q806),805,"")</f>
        <v>0</v>
      </c>
      <c r="C806" s="1">
        <f>IF(B806="", "", "urban biome")</f>
        <v>0</v>
      </c>
      <c r="D806" s="1">
        <f>IF(B806="", "", "human-associated habitat")</f>
        <v>0</v>
      </c>
      <c r="G806" s="1">
        <f>IF(B806="", "", "years")</f>
        <v>0</v>
      </c>
      <c r="I806" s="1">
        <f>IF(B806="", "", "human")</f>
        <v>0</v>
      </c>
      <c r="K806" s="1">
        <f>IF(B806="", "", "cm")</f>
        <v>0</v>
      </c>
      <c r="L806" s="1">
        <f>IF(B806="", "", "Homo sapiens")</f>
        <v>0</v>
      </c>
      <c r="M806" s="1">
        <f>IF(B806="", "", "9606")</f>
        <v>0</v>
      </c>
      <c r="O806" s="1">
        <f>IF(B806="", "", "kg")</f>
        <v>0</v>
      </c>
    </row>
    <row r="807" spans="1:15">
      <c r="A807">
        <f>IF(COUNTBLANK(B807:Q807)&lt;&gt;COLUMNS(B807:Q807),806,"")</f>
        <v>0</v>
      </c>
      <c r="C807" s="1">
        <f>IF(B807="", "", "urban biome")</f>
        <v>0</v>
      </c>
      <c r="D807" s="1">
        <f>IF(B807="", "", "human-associated habitat")</f>
        <v>0</v>
      </c>
      <c r="G807" s="1">
        <f>IF(B807="", "", "years")</f>
        <v>0</v>
      </c>
      <c r="I807" s="1">
        <f>IF(B807="", "", "human")</f>
        <v>0</v>
      </c>
      <c r="K807" s="1">
        <f>IF(B807="", "", "cm")</f>
        <v>0</v>
      </c>
      <c r="L807" s="1">
        <f>IF(B807="", "", "Homo sapiens")</f>
        <v>0</v>
      </c>
      <c r="M807" s="1">
        <f>IF(B807="", "", "9606")</f>
        <v>0</v>
      </c>
      <c r="O807" s="1">
        <f>IF(B807="", "", "kg")</f>
        <v>0</v>
      </c>
    </row>
    <row r="808" spans="1:15">
      <c r="A808">
        <f>IF(COUNTBLANK(B808:Q808)&lt;&gt;COLUMNS(B808:Q808),807,"")</f>
        <v>0</v>
      </c>
      <c r="C808" s="1">
        <f>IF(B808="", "", "urban biome")</f>
        <v>0</v>
      </c>
      <c r="D808" s="1">
        <f>IF(B808="", "", "human-associated habitat")</f>
        <v>0</v>
      </c>
      <c r="G808" s="1">
        <f>IF(B808="", "", "years")</f>
        <v>0</v>
      </c>
      <c r="I808" s="1">
        <f>IF(B808="", "", "human")</f>
        <v>0</v>
      </c>
      <c r="K808" s="1">
        <f>IF(B808="", "", "cm")</f>
        <v>0</v>
      </c>
      <c r="L808" s="1">
        <f>IF(B808="", "", "Homo sapiens")</f>
        <v>0</v>
      </c>
      <c r="M808" s="1">
        <f>IF(B808="", "", "9606")</f>
        <v>0</v>
      </c>
      <c r="O808" s="1">
        <f>IF(B808="", "", "kg")</f>
        <v>0</v>
      </c>
    </row>
    <row r="809" spans="1:15">
      <c r="A809">
        <f>IF(COUNTBLANK(B809:Q809)&lt;&gt;COLUMNS(B809:Q809),808,"")</f>
        <v>0</v>
      </c>
      <c r="C809" s="1">
        <f>IF(B809="", "", "urban biome")</f>
        <v>0</v>
      </c>
      <c r="D809" s="1">
        <f>IF(B809="", "", "human-associated habitat")</f>
        <v>0</v>
      </c>
      <c r="G809" s="1">
        <f>IF(B809="", "", "years")</f>
        <v>0</v>
      </c>
      <c r="I809" s="1">
        <f>IF(B809="", "", "human")</f>
        <v>0</v>
      </c>
      <c r="K809" s="1">
        <f>IF(B809="", "", "cm")</f>
        <v>0</v>
      </c>
      <c r="L809" s="1">
        <f>IF(B809="", "", "Homo sapiens")</f>
        <v>0</v>
      </c>
      <c r="M809" s="1">
        <f>IF(B809="", "", "9606")</f>
        <v>0</v>
      </c>
      <c r="O809" s="1">
        <f>IF(B809="", "", "kg")</f>
        <v>0</v>
      </c>
    </row>
    <row r="810" spans="1:15">
      <c r="A810">
        <f>IF(COUNTBLANK(B810:Q810)&lt;&gt;COLUMNS(B810:Q810),809,"")</f>
        <v>0</v>
      </c>
      <c r="C810" s="1">
        <f>IF(B810="", "", "urban biome")</f>
        <v>0</v>
      </c>
      <c r="D810" s="1">
        <f>IF(B810="", "", "human-associated habitat")</f>
        <v>0</v>
      </c>
      <c r="G810" s="1">
        <f>IF(B810="", "", "years")</f>
        <v>0</v>
      </c>
      <c r="I810" s="1">
        <f>IF(B810="", "", "human")</f>
        <v>0</v>
      </c>
      <c r="K810" s="1">
        <f>IF(B810="", "", "cm")</f>
        <v>0</v>
      </c>
      <c r="L810" s="1">
        <f>IF(B810="", "", "Homo sapiens")</f>
        <v>0</v>
      </c>
      <c r="M810" s="1">
        <f>IF(B810="", "", "9606")</f>
        <v>0</v>
      </c>
      <c r="O810" s="1">
        <f>IF(B810="", "", "kg")</f>
        <v>0</v>
      </c>
    </row>
    <row r="811" spans="1:15">
      <c r="A811">
        <f>IF(COUNTBLANK(B811:Q811)&lt;&gt;COLUMNS(B811:Q811),810,"")</f>
        <v>0</v>
      </c>
      <c r="C811" s="1">
        <f>IF(B811="", "", "urban biome")</f>
        <v>0</v>
      </c>
      <c r="D811" s="1">
        <f>IF(B811="", "", "human-associated habitat")</f>
        <v>0</v>
      </c>
      <c r="G811" s="1">
        <f>IF(B811="", "", "years")</f>
        <v>0</v>
      </c>
      <c r="I811" s="1">
        <f>IF(B811="", "", "human")</f>
        <v>0</v>
      </c>
      <c r="K811" s="1">
        <f>IF(B811="", "", "cm")</f>
        <v>0</v>
      </c>
      <c r="L811" s="1">
        <f>IF(B811="", "", "Homo sapiens")</f>
        <v>0</v>
      </c>
      <c r="M811" s="1">
        <f>IF(B811="", "", "9606")</f>
        <v>0</v>
      </c>
      <c r="O811" s="1">
        <f>IF(B811="", "", "kg")</f>
        <v>0</v>
      </c>
    </row>
    <row r="812" spans="1:15">
      <c r="A812">
        <f>IF(COUNTBLANK(B812:Q812)&lt;&gt;COLUMNS(B812:Q812),811,"")</f>
        <v>0</v>
      </c>
      <c r="C812" s="1">
        <f>IF(B812="", "", "urban biome")</f>
        <v>0</v>
      </c>
      <c r="D812" s="1">
        <f>IF(B812="", "", "human-associated habitat")</f>
        <v>0</v>
      </c>
      <c r="G812" s="1">
        <f>IF(B812="", "", "years")</f>
        <v>0</v>
      </c>
      <c r="I812" s="1">
        <f>IF(B812="", "", "human")</f>
        <v>0</v>
      </c>
      <c r="K812" s="1">
        <f>IF(B812="", "", "cm")</f>
        <v>0</v>
      </c>
      <c r="L812" s="1">
        <f>IF(B812="", "", "Homo sapiens")</f>
        <v>0</v>
      </c>
      <c r="M812" s="1">
        <f>IF(B812="", "", "9606")</f>
        <v>0</v>
      </c>
      <c r="O812" s="1">
        <f>IF(B812="", "", "kg")</f>
        <v>0</v>
      </c>
    </row>
    <row r="813" spans="1:15">
      <c r="A813">
        <f>IF(COUNTBLANK(B813:Q813)&lt;&gt;COLUMNS(B813:Q813),812,"")</f>
        <v>0</v>
      </c>
      <c r="C813" s="1">
        <f>IF(B813="", "", "urban biome")</f>
        <v>0</v>
      </c>
      <c r="D813" s="1">
        <f>IF(B813="", "", "human-associated habitat")</f>
        <v>0</v>
      </c>
      <c r="G813" s="1">
        <f>IF(B813="", "", "years")</f>
        <v>0</v>
      </c>
      <c r="I813" s="1">
        <f>IF(B813="", "", "human")</f>
        <v>0</v>
      </c>
      <c r="K813" s="1">
        <f>IF(B813="", "", "cm")</f>
        <v>0</v>
      </c>
      <c r="L813" s="1">
        <f>IF(B813="", "", "Homo sapiens")</f>
        <v>0</v>
      </c>
      <c r="M813" s="1">
        <f>IF(B813="", "", "9606")</f>
        <v>0</v>
      </c>
      <c r="O813" s="1">
        <f>IF(B813="", "", "kg")</f>
        <v>0</v>
      </c>
    </row>
    <row r="814" spans="1:15">
      <c r="A814">
        <f>IF(COUNTBLANK(B814:Q814)&lt;&gt;COLUMNS(B814:Q814),813,"")</f>
        <v>0</v>
      </c>
      <c r="C814" s="1">
        <f>IF(B814="", "", "urban biome")</f>
        <v>0</v>
      </c>
      <c r="D814" s="1">
        <f>IF(B814="", "", "human-associated habitat")</f>
        <v>0</v>
      </c>
      <c r="G814" s="1">
        <f>IF(B814="", "", "years")</f>
        <v>0</v>
      </c>
      <c r="I814" s="1">
        <f>IF(B814="", "", "human")</f>
        <v>0</v>
      </c>
      <c r="K814" s="1">
        <f>IF(B814="", "", "cm")</f>
        <v>0</v>
      </c>
      <c r="L814" s="1">
        <f>IF(B814="", "", "Homo sapiens")</f>
        <v>0</v>
      </c>
      <c r="M814" s="1">
        <f>IF(B814="", "", "9606")</f>
        <v>0</v>
      </c>
      <c r="O814" s="1">
        <f>IF(B814="", "", "kg")</f>
        <v>0</v>
      </c>
    </row>
    <row r="815" spans="1:15">
      <c r="A815">
        <f>IF(COUNTBLANK(B815:Q815)&lt;&gt;COLUMNS(B815:Q815),814,"")</f>
        <v>0</v>
      </c>
      <c r="C815" s="1">
        <f>IF(B815="", "", "urban biome")</f>
        <v>0</v>
      </c>
      <c r="D815" s="1">
        <f>IF(B815="", "", "human-associated habitat")</f>
        <v>0</v>
      </c>
      <c r="G815" s="1">
        <f>IF(B815="", "", "years")</f>
        <v>0</v>
      </c>
      <c r="I815" s="1">
        <f>IF(B815="", "", "human")</f>
        <v>0</v>
      </c>
      <c r="K815" s="1">
        <f>IF(B815="", "", "cm")</f>
        <v>0</v>
      </c>
      <c r="L815" s="1">
        <f>IF(B815="", "", "Homo sapiens")</f>
        <v>0</v>
      </c>
      <c r="M815" s="1">
        <f>IF(B815="", "", "9606")</f>
        <v>0</v>
      </c>
      <c r="O815" s="1">
        <f>IF(B815="", "", "kg")</f>
        <v>0</v>
      </c>
    </row>
    <row r="816" spans="1:15">
      <c r="A816">
        <f>IF(COUNTBLANK(B816:Q816)&lt;&gt;COLUMNS(B816:Q816),815,"")</f>
        <v>0</v>
      </c>
      <c r="C816" s="1">
        <f>IF(B816="", "", "urban biome")</f>
        <v>0</v>
      </c>
      <c r="D816" s="1">
        <f>IF(B816="", "", "human-associated habitat")</f>
        <v>0</v>
      </c>
      <c r="G816" s="1">
        <f>IF(B816="", "", "years")</f>
        <v>0</v>
      </c>
      <c r="I816" s="1">
        <f>IF(B816="", "", "human")</f>
        <v>0</v>
      </c>
      <c r="K816" s="1">
        <f>IF(B816="", "", "cm")</f>
        <v>0</v>
      </c>
      <c r="L816" s="1">
        <f>IF(B816="", "", "Homo sapiens")</f>
        <v>0</v>
      </c>
      <c r="M816" s="1">
        <f>IF(B816="", "", "9606")</f>
        <v>0</v>
      </c>
      <c r="O816" s="1">
        <f>IF(B816="", "", "kg")</f>
        <v>0</v>
      </c>
    </row>
    <row r="817" spans="1:15">
      <c r="A817">
        <f>IF(COUNTBLANK(B817:Q817)&lt;&gt;COLUMNS(B817:Q817),816,"")</f>
        <v>0</v>
      </c>
      <c r="C817" s="1">
        <f>IF(B817="", "", "urban biome")</f>
        <v>0</v>
      </c>
      <c r="D817" s="1">
        <f>IF(B817="", "", "human-associated habitat")</f>
        <v>0</v>
      </c>
      <c r="G817" s="1">
        <f>IF(B817="", "", "years")</f>
        <v>0</v>
      </c>
      <c r="I817" s="1">
        <f>IF(B817="", "", "human")</f>
        <v>0</v>
      </c>
      <c r="K817" s="1">
        <f>IF(B817="", "", "cm")</f>
        <v>0</v>
      </c>
      <c r="L817" s="1">
        <f>IF(B817="", "", "Homo sapiens")</f>
        <v>0</v>
      </c>
      <c r="M817" s="1">
        <f>IF(B817="", "", "9606")</f>
        <v>0</v>
      </c>
      <c r="O817" s="1">
        <f>IF(B817="", "", "kg")</f>
        <v>0</v>
      </c>
    </row>
    <row r="818" spans="1:15">
      <c r="A818">
        <f>IF(COUNTBLANK(B818:Q818)&lt;&gt;COLUMNS(B818:Q818),817,"")</f>
        <v>0</v>
      </c>
      <c r="C818" s="1">
        <f>IF(B818="", "", "urban biome")</f>
        <v>0</v>
      </c>
      <c r="D818" s="1">
        <f>IF(B818="", "", "human-associated habitat")</f>
        <v>0</v>
      </c>
      <c r="G818" s="1">
        <f>IF(B818="", "", "years")</f>
        <v>0</v>
      </c>
      <c r="I818" s="1">
        <f>IF(B818="", "", "human")</f>
        <v>0</v>
      </c>
      <c r="K818" s="1">
        <f>IF(B818="", "", "cm")</f>
        <v>0</v>
      </c>
      <c r="L818" s="1">
        <f>IF(B818="", "", "Homo sapiens")</f>
        <v>0</v>
      </c>
      <c r="M818" s="1">
        <f>IF(B818="", "", "9606")</f>
        <v>0</v>
      </c>
      <c r="O818" s="1">
        <f>IF(B818="", "", "kg")</f>
        <v>0</v>
      </c>
    </row>
    <row r="819" spans="1:15">
      <c r="A819">
        <f>IF(COUNTBLANK(B819:Q819)&lt;&gt;COLUMNS(B819:Q819),818,"")</f>
        <v>0</v>
      </c>
      <c r="C819" s="1">
        <f>IF(B819="", "", "urban biome")</f>
        <v>0</v>
      </c>
      <c r="D819" s="1">
        <f>IF(B819="", "", "human-associated habitat")</f>
        <v>0</v>
      </c>
      <c r="G819" s="1">
        <f>IF(B819="", "", "years")</f>
        <v>0</v>
      </c>
      <c r="I819" s="1">
        <f>IF(B819="", "", "human")</f>
        <v>0</v>
      </c>
      <c r="K819" s="1">
        <f>IF(B819="", "", "cm")</f>
        <v>0</v>
      </c>
      <c r="L819" s="1">
        <f>IF(B819="", "", "Homo sapiens")</f>
        <v>0</v>
      </c>
      <c r="M819" s="1">
        <f>IF(B819="", "", "9606")</f>
        <v>0</v>
      </c>
      <c r="O819" s="1">
        <f>IF(B819="", "", "kg")</f>
        <v>0</v>
      </c>
    </row>
    <row r="820" spans="1:15">
      <c r="A820">
        <f>IF(COUNTBLANK(B820:Q820)&lt;&gt;COLUMNS(B820:Q820),819,"")</f>
        <v>0</v>
      </c>
      <c r="C820" s="1">
        <f>IF(B820="", "", "urban biome")</f>
        <v>0</v>
      </c>
      <c r="D820" s="1">
        <f>IF(B820="", "", "human-associated habitat")</f>
        <v>0</v>
      </c>
      <c r="G820" s="1">
        <f>IF(B820="", "", "years")</f>
        <v>0</v>
      </c>
      <c r="I820" s="1">
        <f>IF(B820="", "", "human")</f>
        <v>0</v>
      </c>
      <c r="K820" s="1">
        <f>IF(B820="", "", "cm")</f>
        <v>0</v>
      </c>
      <c r="L820" s="1">
        <f>IF(B820="", "", "Homo sapiens")</f>
        <v>0</v>
      </c>
      <c r="M820" s="1">
        <f>IF(B820="", "", "9606")</f>
        <v>0</v>
      </c>
      <c r="O820" s="1">
        <f>IF(B820="", "", "kg")</f>
        <v>0</v>
      </c>
    </row>
    <row r="821" spans="1:15">
      <c r="A821">
        <f>IF(COUNTBLANK(B821:Q821)&lt;&gt;COLUMNS(B821:Q821),820,"")</f>
        <v>0</v>
      </c>
      <c r="C821" s="1">
        <f>IF(B821="", "", "urban biome")</f>
        <v>0</v>
      </c>
      <c r="D821" s="1">
        <f>IF(B821="", "", "human-associated habitat")</f>
        <v>0</v>
      </c>
      <c r="G821" s="1">
        <f>IF(B821="", "", "years")</f>
        <v>0</v>
      </c>
      <c r="I821" s="1">
        <f>IF(B821="", "", "human")</f>
        <v>0</v>
      </c>
      <c r="K821" s="1">
        <f>IF(B821="", "", "cm")</f>
        <v>0</v>
      </c>
      <c r="L821" s="1">
        <f>IF(B821="", "", "Homo sapiens")</f>
        <v>0</v>
      </c>
      <c r="M821" s="1">
        <f>IF(B821="", "", "9606")</f>
        <v>0</v>
      </c>
      <c r="O821" s="1">
        <f>IF(B821="", "", "kg")</f>
        <v>0</v>
      </c>
    </row>
    <row r="822" spans="1:15">
      <c r="A822">
        <f>IF(COUNTBLANK(B822:Q822)&lt;&gt;COLUMNS(B822:Q822),821,"")</f>
        <v>0</v>
      </c>
      <c r="C822" s="1">
        <f>IF(B822="", "", "urban biome")</f>
        <v>0</v>
      </c>
      <c r="D822" s="1">
        <f>IF(B822="", "", "human-associated habitat")</f>
        <v>0</v>
      </c>
      <c r="G822" s="1">
        <f>IF(B822="", "", "years")</f>
        <v>0</v>
      </c>
      <c r="I822" s="1">
        <f>IF(B822="", "", "human")</f>
        <v>0</v>
      </c>
      <c r="K822" s="1">
        <f>IF(B822="", "", "cm")</f>
        <v>0</v>
      </c>
      <c r="L822" s="1">
        <f>IF(B822="", "", "Homo sapiens")</f>
        <v>0</v>
      </c>
      <c r="M822" s="1">
        <f>IF(B822="", "", "9606")</f>
        <v>0</v>
      </c>
      <c r="O822" s="1">
        <f>IF(B822="", "", "kg")</f>
        <v>0</v>
      </c>
    </row>
    <row r="823" spans="1:15">
      <c r="A823">
        <f>IF(COUNTBLANK(B823:Q823)&lt;&gt;COLUMNS(B823:Q823),822,"")</f>
        <v>0</v>
      </c>
      <c r="C823" s="1">
        <f>IF(B823="", "", "urban biome")</f>
        <v>0</v>
      </c>
      <c r="D823" s="1">
        <f>IF(B823="", "", "human-associated habitat")</f>
        <v>0</v>
      </c>
      <c r="G823" s="1">
        <f>IF(B823="", "", "years")</f>
        <v>0</v>
      </c>
      <c r="I823" s="1">
        <f>IF(B823="", "", "human")</f>
        <v>0</v>
      </c>
      <c r="K823" s="1">
        <f>IF(B823="", "", "cm")</f>
        <v>0</v>
      </c>
      <c r="L823" s="1">
        <f>IF(B823="", "", "Homo sapiens")</f>
        <v>0</v>
      </c>
      <c r="M823" s="1">
        <f>IF(B823="", "", "9606")</f>
        <v>0</v>
      </c>
      <c r="O823" s="1">
        <f>IF(B823="", "", "kg")</f>
        <v>0</v>
      </c>
    </row>
    <row r="824" spans="1:15">
      <c r="A824">
        <f>IF(COUNTBLANK(B824:Q824)&lt;&gt;COLUMNS(B824:Q824),823,"")</f>
        <v>0</v>
      </c>
      <c r="C824" s="1">
        <f>IF(B824="", "", "urban biome")</f>
        <v>0</v>
      </c>
      <c r="D824" s="1">
        <f>IF(B824="", "", "human-associated habitat")</f>
        <v>0</v>
      </c>
      <c r="G824" s="1">
        <f>IF(B824="", "", "years")</f>
        <v>0</v>
      </c>
      <c r="I824" s="1">
        <f>IF(B824="", "", "human")</f>
        <v>0</v>
      </c>
      <c r="K824" s="1">
        <f>IF(B824="", "", "cm")</f>
        <v>0</v>
      </c>
      <c r="L824" s="1">
        <f>IF(B824="", "", "Homo sapiens")</f>
        <v>0</v>
      </c>
      <c r="M824" s="1">
        <f>IF(B824="", "", "9606")</f>
        <v>0</v>
      </c>
      <c r="O824" s="1">
        <f>IF(B824="", "", "kg")</f>
        <v>0</v>
      </c>
    </row>
    <row r="825" spans="1:15">
      <c r="A825">
        <f>IF(COUNTBLANK(B825:Q825)&lt;&gt;COLUMNS(B825:Q825),824,"")</f>
        <v>0</v>
      </c>
      <c r="C825" s="1">
        <f>IF(B825="", "", "urban biome")</f>
        <v>0</v>
      </c>
      <c r="D825" s="1">
        <f>IF(B825="", "", "human-associated habitat")</f>
        <v>0</v>
      </c>
      <c r="G825" s="1">
        <f>IF(B825="", "", "years")</f>
        <v>0</v>
      </c>
      <c r="I825" s="1">
        <f>IF(B825="", "", "human")</f>
        <v>0</v>
      </c>
      <c r="K825" s="1">
        <f>IF(B825="", "", "cm")</f>
        <v>0</v>
      </c>
      <c r="L825" s="1">
        <f>IF(B825="", "", "Homo sapiens")</f>
        <v>0</v>
      </c>
      <c r="M825" s="1">
        <f>IF(B825="", "", "9606")</f>
        <v>0</v>
      </c>
      <c r="O825" s="1">
        <f>IF(B825="", "", "kg")</f>
        <v>0</v>
      </c>
    </row>
    <row r="826" spans="1:15">
      <c r="A826">
        <f>IF(COUNTBLANK(B826:Q826)&lt;&gt;COLUMNS(B826:Q826),825,"")</f>
        <v>0</v>
      </c>
      <c r="C826" s="1">
        <f>IF(B826="", "", "urban biome")</f>
        <v>0</v>
      </c>
      <c r="D826" s="1">
        <f>IF(B826="", "", "human-associated habitat")</f>
        <v>0</v>
      </c>
      <c r="G826" s="1">
        <f>IF(B826="", "", "years")</f>
        <v>0</v>
      </c>
      <c r="I826" s="1">
        <f>IF(B826="", "", "human")</f>
        <v>0</v>
      </c>
      <c r="K826" s="1">
        <f>IF(B826="", "", "cm")</f>
        <v>0</v>
      </c>
      <c r="L826" s="1">
        <f>IF(B826="", "", "Homo sapiens")</f>
        <v>0</v>
      </c>
      <c r="M826" s="1">
        <f>IF(B826="", "", "9606")</f>
        <v>0</v>
      </c>
      <c r="O826" s="1">
        <f>IF(B826="", "", "kg")</f>
        <v>0</v>
      </c>
    </row>
    <row r="827" spans="1:15">
      <c r="A827">
        <f>IF(COUNTBLANK(B827:Q827)&lt;&gt;COLUMNS(B827:Q827),826,"")</f>
        <v>0</v>
      </c>
      <c r="C827" s="1">
        <f>IF(B827="", "", "urban biome")</f>
        <v>0</v>
      </c>
      <c r="D827" s="1">
        <f>IF(B827="", "", "human-associated habitat")</f>
        <v>0</v>
      </c>
      <c r="G827" s="1">
        <f>IF(B827="", "", "years")</f>
        <v>0</v>
      </c>
      <c r="I827" s="1">
        <f>IF(B827="", "", "human")</f>
        <v>0</v>
      </c>
      <c r="K827" s="1">
        <f>IF(B827="", "", "cm")</f>
        <v>0</v>
      </c>
      <c r="L827" s="1">
        <f>IF(B827="", "", "Homo sapiens")</f>
        <v>0</v>
      </c>
      <c r="M827" s="1">
        <f>IF(B827="", "", "9606")</f>
        <v>0</v>
      </c>
      <c r="O827" s="1">
        <f>IF(B827="", "", "kg")</f>
        <v>0</v>
      </c>
    </row>
    <row r="828" spans="1:15">
      <c r="A828">
        <f>IF(COUNTBLANK(B828:Q828)&lt;&gt;COLUMNS(B828:Q828),827,"")</f>
        <v>0</v>
      </c>
      <c r="C828" s="1">
        <f>IF(B828="", "", "urban biome")</f>
        <v>0</v>
      </c>
      <c r="D828" s="1">
        <f>IF(B828="", "", "human-associated habitat")</f>
        <v>0</v>
      </c>
      <c r="G828" s="1">
        <f>IF(B828="", "", "years")</f>
        <v>0</v>
      </c>
      <c r="I828" s="1">
        <f>IF(B828="", "", "human")</f>
        <v>0</v>
      </c>
      <c r="K828" s="1">
        <f>IF(B828="", "", "cm")</f>
        <v>0</v>
      </c>
      <c r="L828" s="1">
        <f>IF(B828="", "", "Homo sapiens")</f>
        <v>0</v>
      </c>
      <c r="M828" s="1">
        <f>IF(B828="", "", "9606")</f>
        <v>0</v>
      </c>
      <c r="O828" s="1">
        <f>IF(B828="", "", "kg")</f>
        <v>0</v>
      </c>
    </row>
    <row r="829" spans="1:15">
      <c r="A829">
        <f>IF(COUNTBLANK(B829:Q829)&lt;&gt;COLUMNS(B829:Q829),828,"")</f>
        <v>0</v>
      </c>
      <c r="C829" s="1">
        <f>IF(B829="", "", "urban biome")</f>
        <v>0</v>
      </c>
      <c r="D829" s="1">
        <f>IF(B829="", "", "human-associated habitat")</f>
        <v>0</v>
      </c>
      <c r="G829" s="1">
        <f>IF(B829="", "", "years")</f>
        <v>0</v>
      </c>
      <c r="I829" s="1">
        <f>IF(B829="", "", "human")</f>
        <v>0</v>
      </c>
      <c r="K829" s="1">
        <f>IF(B829="", "", "cm")</f>
        <v>0</v>
      </c>
      <c r="L829" s="1">
        <f>IF(B829="", "", "Homo sapiens")</f>
        <v>0</v>
      </c>
      <c r="M829" s="1">
        <f>IF(B829="", "", "9606")</f>
        <v>0</v>
      </c>
      <c r="O829" s="1">
        <f>IF(B829="", "", "kg")</f>
        <v>0</v>
      </c>
    </row>
    <row r="830" spans="1:15">
      <c r="A830">
        <f>IF(COUNTBLANK(B830:Q830)&lt;&gt;COLUMNS(B830:Q830),829,"")</f>
        <v>0</v>
      </c>
      <c r="C830" s="1">
        <f>IF(B830="", "", "urban biome")</f>
        <v>0</v>
      </c>
      <c r="D830" s="1">
        <f>IF(B830="", "", "human-associated habitat")</f>
        <v>0</v>
      </c>
      <c r="G830" s="1">
        <f>IF(B830="", "", "years")</f>
        <v>0</v>
      </c>
      <c r="I830" s="1">
        <f>IF(B830="", "", "human")</f>
        <v>0</v>
      </c>
      <c r="K830" s="1">
        <f>IF(B830="", "", "cm")</f>
        <v>0</v>
      </c>
      <c r="L830" s="1">
        <f>IF(B830="", "", "Homo sapiens")</f>
        <v>0</v>
      </c>
      <c r="M830" s="1">
        <f>IF(B830="", "", "9606")</f>
        <v>0</v>
      </c>
      <c r="O830" s="1">
        <f>IF(B830="", "", "kg")</f>
        <v>0</v>
      </c>
    </row>
    <row r="831" spans="1:15">
      <c r="A831">
        <f>IF(COUNTBLANK(B831:Q831)&lt;&gt;COLUMNS(B831:Q831),830,"")</f>
        <v>0</v>
      </c>
      <c r="C831" s="1">
        <f>IF(B831="", "", "urban biome")</f>
        <v>0</v>
      </c>
      <c r="D831" s="1">
        <f>IF(B831="", "", "human-associated habitat")</f>
        <v>0</v>
      </c>
      <c r="G831" s="1">
        <f>IF(B831="", "", "years")</f>
        <v>0</v>
      </c>
      <c r="I831" s="1">
        <f>IF(B831="", "", "human")</f>
        <v>0</v>
      </c>
      <c r="K831" s="1">
        <f>IF(B831="", "", "cm")</f>
        <v>0</v>
      </c>
      <c r="L831" s="1">
        <f>IF(B831="", "", "Homo sapiens")</f>
        <v>0</v>
      </c>
      <c r="M831" s="1">
        <f>IF(B831="", "", "9606")</f>
        <v>0</v>
      </c>
      <c r="O831" s="1">
        <f>IF(B831="", "", "kg")</f>
        <v>0</v>
      </c>
    </row>
    <row r="832" spans="1:15">
      <c r="A832">
        <f>IF(COUNTBLANK(B832:Q832)&lt;&gt;COLUMNS(B832:Q832),831,"")</f>
        <v>0</v>
      </c>
      <c r="C832" s="1">
        <f>IF(B832="", "", "urban biome")</f>
        <v>0</v>
      </c>
      <c r="D832" s="1">
        <f>IF(B832="", "", "human-associated habitat")</f>
        <v>0</v>
      </c>
      <c r="G832" s="1">
        <f>IF(B832="", "", "years")</f>
        <v>0</v>
      </c>
      <c r="I832" s="1">
        <f>IF(B832="", "", "human")</f>
        <v>0</v>
      </c>
      <c r="K832" s="1">
        <f>IF(B832="", "", "cm")</f>
        <v>0</v>
      </c>
      <c r="L832" s="1">
        <f>IF(B832="", "", "Homo sapiens")</f>
        <v>0</v>
      </c>
      <c r="M832" s="1">
        <f>IF(B832="", "", "9606")</f>
        <v>0</v>
      </c>
      <c r="O832" s="1">
        <f>IF(B832="", "", "kg")</f>
        <v>0</v>
      </c>
    </row>
    <row r="833" spans="1:15">
      <c r="A833">
        <f>IF(COUNTBLANK(B833:Q833)&lt;&gt;COLUMNS(B833:Q833),832,"")</f>
        <v>0</v>
      </c>
      <c r="C833" s="1">
        <f>IF(B833="", "", "urban biome")</f>
        <v>0</v>
      </c>
      <c r="D833" s="1">
        <f>IF(B833="", "", "human-associated habitat")</f>
        <v>0</v>
      </c>
      <c r="G833" s="1">
        <f>IF(B833="", "", "years")</f>
        <v>0</v>
      </c>
      <c r="I833" s="1">
        <f>IF(B833="", "", "human")</f>
        <v>0</v>
      </c>
      <c r="K833" s="1">
        <f>IF(B833="", "", "cm")</f>
        <v>0</v>
      </c>
      <c r="L833" s="1">
        <f>IF(B833="", "", "Homo sapiens")</f>
        <v>0</v>
      </c>
      <c r="M833" s="1">
        <f>IF(B833="", "", "9606")</f>
        <v>0</v>
      </c>
      <c r="O833" s="1">
        <f>IF(B833="", "", "kg")</f>
        <v>0</v>
      </c>
    </row>
    <row r="834" spans="1:15">
      <c r="A834">
        <f>IF(COUNTBLANK(B834:Q834)&lt;&gt;COLUMNS(B834:Q834),833,"")</f>
        <v>0</v>
      </c>
      <c r="C834" s="1">
        <f>IF(B834="", "", "urban biome")</f>
        <v>0</v>
      </c>
      <c r="D834" s="1">
        <f>IF(B834="", "", "human-associated habitat")</f>
        <v>0</v>
      </c>
      <c r="G834" s="1">
        <f>IF(B834="", "", "years")</f>
        <v>0</v>
      </c>
      <c r="I834" s="1">
        <f>IF(B834="", "", "human")</f>
        <v>0</v>
      </c>
      <c r="K834" s="1">
        <f>IF(B834="", "", "cm")</f>
        <v>0</v>
      </c>
      <c r="L834" s="1">
        <f>IF(B834="", "", "Homo sapiens")</f>
        <v>0</v>
      </c>
      <c r="M834" s="1">
        <f>IF(B834="", "", "9606")</f>
        <v>0</v>
      </c>
      <c r="O834" s="1">
        <f>IF(B834="", "", "kg")</f>
        <v>0</v>
      </c>
    </row>
    <row r="835" spans="1:15">
      <c r="A835">
        <f>IF(COUNTBLANK(B835:Q835)&lt;&gt;COLUMNS(B835:Q835),834,"")</f>
        <v>0</v>
      </c>
      <c r="C835" s="1">
        <f>IF(B835="", "", "urban biome")</f>
        <v>0</v>
      </c>
      <c r="D835" s="1">
        <f>IF(B835="", "", "human-associated habitat")</f>
        <v>0</v>
      </c>
      <c r="G835" s="1">
        <f>IF(B835="", "", "years")</f>
        <v>0</v>
      </c>
      <c r="I835" s="1">
        <f>IF(B835="", "", "human")</f>
        <v>0</v>
      </c>
      <c r="K835" s="1">
        <f>IF(B835="", "", "cm")</f>
        <v>0</v>
      </c>
      <c r="L835" s="1">
        <f>IF(B835="", "", "Homo sapiens")</f>
        <v>0</v>
      </c>
      <c r="M835" s="1">
        <f>IF(B835="", "", "9606")</f>
        <v>0</v>
      </c>
      <c r="O835" s="1">
        <f>IF(B835="", "", "kg")</f>
        <v>0</v>
      </c>
    </row>
    <row r="836" spans="1:15">
      <c r="A836">
        <f>IF(COUNTBLANK(B836:Q836)&lt;&gt;COLUMNS(B836:Q836),835,"")</f>
        <v>0</v>
      </c>
      <c r="C836" s="1">
        <f>IF(B836="", "", "urban biome")</f>
        <v>0</v>
      </c>
      <c r="D836" s="1">
        <f>IF(B836="", "", "human-associated habitat")</f>
        <v>0</v>
      </c>
      <c r="G836" s="1">
        <f>IF(B836="", "", "years")</f>
        <v>0</v>
      </c>
      <c r="I836" s="1">
        <f>IF(B836="", "", "human")</f>
        <v>0</v>
      </c>
      <c r="K836" s="1">
        <f>IF(B836="", "", "cm")</f>
        <v>0</v>
      </c>
      <c r="L836" s="1">
        <f>IF(B836="", "", "Homo sapiens")</f>
        <v>0</v>
      </c>
      <c r="M836" s="1">
        <f>IF(B836="", "", "9606")</f>
        <v>0</v>
      </c>
      <c r="O836" s="1">
        <f>IF(B836="", "", "kg")</f>
        <v>0</v>
      </c>
    </row>
    <row r="837" spans="1:15">
      <c r="A837">
        <f>IF(COUNTBLANK(B837:Q837)&lt;&gt;COLUMNS(B837:Q837),836,"")</f>
        <v>0</v>
      </c>
      <c r="C837" s="1">
        <f>IF(B837="", "", "urban biome")</f>
        <v>0</v>
      </c>
      <c r="D837" s="1">
        <f>IF(B837="", "", "human-associated habitat")</f>
        <v>0</v>
      </c>
      <c r="G837" s="1">
        <f>IF(B837="", "", "years")</f>
        <v>0</v>
      </c>
      <c r="I837" s="1">
        <f>IF(B837="", "", "human")</f>
        <v>0</v>
      </c>
      <c r="K837" s="1">
        <f>IF(B837="", "", "cm")</f>
        <v>0</v>
      </c>
      <c r="L837" s="1">
        <f>IF(B837="", "", "Homo sapiens")</f>
        <v>0</v>
      </c>
      <c r="M837" s="1">
        <f>IF(B837="", "", "9606")</f>
        <v>0</v>
      </c>
      <c r="O837" s="1">
        <f>IF(B837="", "", "kg")</f>
        <v>0</v>
      </c>
    </row>
    <row r="838" spans="1:15">
      <c r="A838">
        <f>IF(COUNTBLANK(B838:Q838)&lt;&gt;COLUMNS(B838:Q838),837,"")</f>
        <v>0</v>
      </c>
      <c r="C838" s="1">
        <f>IF(B838="", "", "urban biome")</f>
        <v>0</v>
      </c>
      <c r="D838" s="1">
        <f>IF(B838="", "", "human-associated habitat")</f>
        <v>0</v>
      </c>
      <c r="G838" s="1">
        <f>IF(B838="", "", "years")</f>
        <v>0</v>
      </c>
      <c r="I838" s="1">
        <f>IF(B838="", "", "human")</f>
        <v>0</v>
      </c>
      <c r="K838" s="1">
        <f>IF(B838="", "", "cm")</f>
        <v>0</v>
      </c>
      <c r="L838" s="1">
        <f>IF(B838="", "", "Homo sapiens")</f>
        <v>0</v>
      </c>
      <c r="M838" s="1">
        <f>IF(B838="", "", "9606")</f>
        <v>0</v>
      </c>
      <c r="O838" s="1">
        <f>IF(B838="", "", "kg")</f>
        <v>0</v>
      </c>
    </row>
    <row r="839" spans="1:15">
      <c r="A839">
        <f>IF(COUNTBLANK(B839:Q839)&lt;&gt;COLUMNS(B839:Q839),838,"")</f>
        <v>0</v>
      </c>
      <c r="C839" s="1">
        <f>IF(B839="", "", "urban biome")</f>
        <v>0</v>
      </c>
      <c r="D839" s="1">
        <f>IF(B839="", "", "human-associated habitat")</f>
        <v>0</v>
      </c>
      <c r="G839" s="1">
        <f>IF(B839="", "", "years")</f>
        <v>0</v>
      </c>
      <c r="I839" s="1">
        <f>IF(B839="", "", "human")</f>
        <v>0</v>
      </c>
      <c r="K839" s="1">
        <f>IF(B839="", "", "cm")</f>
        <v>0</v>
      </c>
      <c r="L839" s="1">
        <f>IF(B839="", "", "Homo sapiens")</f>
        <v>0</v>
      </c>
      <c r="M839" s="1">
        <f>IF(B839="", "", "9606")</f>
        <v>0</v>
      </c>
      <c r="O839" s="1">
        <f>IF(B839="", "", "kg")</f>
        <v>0</v>
      </c>
    </row>
    <row r="840" spans="1:15">
      <c r="A840">
        <f>IF(COUNTBLANK(B840:Q840)&lt;&gt;COLUMNS(B840:Q840),839,"")</f>
        <v>0</v>
      </c>
      <c r="C840" s="1">
        <f>IF(B840="", "", "urban biome")</f>
        <v>0</v>
      </c>
      <c r="D840" s="1">
        <f>IF(B840="", "", "human-associated habitat")</f>
        <v>0</v>
      </c>
      <c r="G840" s="1">
        <f>IF(B840="", "", "years")</f>
        <v>0</v>
      </c>
      <c r="I840" s="1">
        <f>IF(B840="", "", "human")</f>
        <v>0</v>
      </c>
      <c r="K840" s="1">
        <f>IF(B840="", "", "cm")</f>
        <v>0</v>
      </c>
      <c r="L840" s="1">
        <f>IF(B840="", "", "Homo sapiens")</f>
        <v>0</v>
      </c>
      <c r="M840" s="1">
        <f>IF(B840="", "", "9606")</f>
        <v>0</v>
      </c>
      <c r="O840" s="1">
        <f>IF(B840="", "", "kg")</f>
        <v>0</v>
      </c>
    </row>
    <row r="841" spans="1:15">
      <c r="A841">
        <f>IF(COUNTBLANK(B841:Q841)&lt;&gt;COLUMNS(B841:Q841),840,"")</f>
        <v>0</v>
      </c>
      <c r="C841" s="1">
        <f>IF(B841="", "", "urban biome")</f>
        <v>0</v>
      </c>
      <c r="D841" s="1">
        <f>IF(B841="", "", "human-associated habitat")</f>
        <v>0</v>
      </c>
      <c r="G841" s="1">
        <f>IF(B841="", "", "years")</f>
        <v>0</v>
      </c>
      <c r="I841" s="1">
        <f>IF(B841="", "", "human")</f>
        <v>0</v>
      </c>
      <c r="K841" s="1">
        <f>IF(B841="", "", "cm")</f>
        <v>0</v>
      </c>
      <c r="L841" s="1">
        <f>IF(B841="", "", "Homo sapiens")</f>
        <v>0</v>
      </c>
      <c r="M841" s="1">
        <f>IF(B841="", "", "9606")</f>
        <v>0</v>
      </c>
      <c r="O841" s="1">
        <f>IF(B841="", "", "kg")</f>
        <v>0</v>
      </c>
    </row>
    <row r="842" spans="1:15">
      <c r="A842">
        <f>IF(COUNTBLANK(B842:Q842)&lt;&gt;COLUMNS(B842:Q842),841,"")</f>
        <v>0</v>
      </c>
      <c r="C842" s="1">
        <f>IF(B842="", "", "urban biome")</f>
        <v>0</v>
      </c>
      <c r="D842" s="1">
        <f>IF(B842="", "", "human-associated habitat")</f>
        <v>0</v>
      </c>
      <c r="G842" s="1">
        <f>IF(B842="", "", "years")</f>
        <v>0</v>
      </c>
      <c r="I842" s="1">
        <f>IF(B842="", "", "human")</f>
        <v>0</v>
      </c>
      <c r="K842" s="1">
        <f>IF(B842="", "", "cm")</f>
        <v>0</v>
      </c>
      <c r="L842" s="1">
        <f>IF(B842="", "", "Homo sapiens")</f>
        <v>0</v>
      </c>
      <c r="M842" s="1">
        <f>IF(B842="", "", "9606")</f>
        <v>0</v>
      </c>
      <c r="O842" s="1">
        <f>IF(B842="", "", "kg")</f>
        <v>0</v>
      </c>
    </row>
    <row r="843" spans="1:15">
      <c r="A843">
        <f>IF(COUNTBLANK(B843:Q843)&lt;&gt;COLUMNS(B843:Q843),842,"")</f>
        <v>0</v>
      </c>
      <c r="C843" s="1">
        <f>IF(B843="", "", "urban biome")</f>
        <v>0</v>
      </c>
      <c r="D843" s="1">
        <f>IF(B843="", "", "human-associated habitat")</f>
        <v>0</v>
      </c>
      <c r="G843" s="1">
        <f>IF(B843="", "", "years")</f>
        <v>0</v>
      </c>
      <c r="I843" s="1">
        <f>IF(B843="", "", "human")</f>
        <v>0</v>
      </c>
      <c r="K843" s="1">
        <f>IF(B843="", "", "cm")</f>
        <v>0</v>
      </c>
      <c r="L843" s="1">
        <f>IF(B843="", "", "Homo sapiens")</f>
        <v>0</v>
      </c>
      <c r="M843" s="1">
        <f>IF(B843="", "", "9606")</f>
        <v>0</v>
      </c>
      <c r="O843" s="1">
        <f>IF(B843="", "", "kg")</f>
        <v>0</v>
      </c>
    </row>
    <row r="844" spans="1:15">
      <c r="A844">
        <f>IF(COUNTBLANK(B844:Q844)&lt;&gt;COLUMNS(B844:Q844),843,"")</f>
        <v>0</v>
      </c>
      <c r="C844" s="1">
        <f>IF(B844="", "", "urban biome")</f>
        <v>0</v>
      </c>
      <c r="D844" s="1">
        <f>IF(B844="", "", "human-associated habitat")</f>
        <v>0</v>
      </c>
      <c r="G844" s="1">
        <f>IF(B844="", "", "years")</f>
        <v>0</v>
      </c>
      <c r="I844" s="1">
        <f>IF(B844="", "", "human")</f>
        <v>0</v>
      </c>
      <c r="K844" s="1">
        <f>IF(B844="", "", "cm")</f>
        <v>0</v>
      </c>
      <c r="L844" s="1">
        <f>IF(B844="", "", "Homo sapiens")</f>
        <v>0</v>
      </c>
      <c r="M844" s="1">
        <f>IF(B844="", "", "9606")</f>
        <v>0</v>
      </c>
      <c r="O844" s="1">
        <f>IF(B844="", "", "kg")</f>
        <v>0</v>
      </c>
    </row>
    <row r="845" spans="1:15">
      <c r="A845">
        <f>IF(COUNTBLANK(B845:Q845)&lt;&gt;COLUMNS(B845:Q845),844,"")</f>
        <v>0</v>
      </c>
      <c r="C845" s="1">
        <f>IF(B845="", "", "urban biome")</f>
        <v>0</v>
      </c>
      <c r="D845" s="1">
        <f>IF(B845="", "", "human-associated habitat")</f>
        <v>0</v>
      </c>
      <c r="G845" s="1">
        <f>IF(B845="", "", "years")</f>
        <v>0</v>
      </c>
      <c r="I845" s="1">
        <f>IF(B845="", "", "human")</f>
        <v>0</v>
      </c>
      <c r="K845" s="1">
        <f>IF(B845="", "", "cm")</f>
        <v>0</v>
      </c>
      <c r="L845" s="1">
        <f>IF(B845="", "", "Homo sapiens")</f>
        <v>0</v>
      </c>
      <c r="M845" s="1">
        <f>IF(B845="", "", "9606")</f>
        <v>0</v>
      </c>
      <c r="O845" s="1">
        <f>IF(B845="", "", "kg")</f>
        <v>0</v>
      </c>
    </row>
    <row r="846" spans="1:15">
      <c r="A846">
        <f>IF(COUNTBLANK(B846:Q846)&lt;&gt;COLUMNS(B846:Q846),845,"")</f>
        <v>0</v>
      </c>
      <c r="C846" s="1">
        <f>IF(B846="", "", "urban biome")</f>
        <v>0</v>
      </c>
      <c r="D846" s="1">
        <f>IF(B846="", "", "human-associated habitat")</f>
        <v>0</v>
      </c>
      <c r="G846" s="1">
        <f>IF(B846="", "", "years")</f>
        <v>0</v>
      </c>
      <c r="I846" s="1">
        <f>IF(B846="", "", "human")</f>
        <v>0</v>
      </c>
      <c r="K846" s="1">
        <f>IF(B846="", "", "cm")</f>
        <v>0</v>
      </c>
      <c r="L846" s="1">
        <f>IF(B846="", "", "Homo sapiens")</f>
        <v>0</v>
      </c>
      <c r="M846" s="1">
        <f>IF(B846="", "", "9606")</f>
        <v>0</v>
      </c>
      <c r="O846" s="1">
        <f>IF(B846="", "", "kg")</f>
        <v>0</v>
      </c>
    </row>
    <row r="847" spans="1:15">
      <c r="A847">
        <f>IF(COUNTBLANK(B847:Q847)&lt;&gt;COLUMNS(B847:Q847),846,"")</f>
        <v>0</v>
      </c>
      <c r="C847" s="1">
        <f>IF(B847="", "", "urban biome")</f>
        <v>0</v>
      </c>
      <c r="D847" s="1">
        <f>IF(B847="", "", "human-associated habitat")</f>
        <v>0</v>
      </c>
      <c r="G847" s="1">
        <f>IF(B847="", "", "years")</f>
        <v>0</v>
      </c>
      <c r="I847" s="1">
        <f>IF(B847="", "", "human")</f>
        <v>0</v>
      </c>
      <c r="K847" s="1">
        <f>IF(B847="", "", "cm")</f>
        <v>0</v>
      </c>
      <c r="L847" s="1">
        <f>IF(B847="", "", "Homo sapiens")</f>
        <v>0</v>
      </c>
      <c r="M847" s="1">
        <f>IF(B847="", "", "9606")</f>
        <v>0</v>
      </c>
      <c r="O847" s="1">
        <f>IF(B847="", "", "kg")</f>
        <v>0</v>
      </c>
    </row>
    <row r="848" spans="1:15">
      <c r="A848">
        <f>IF(COUNTBLANK(B848:Q848)&lt;&gt;COLUMNS(B848:Q848),847,"")</f>
        <v>0</v>
      </c>
      <c r="C848" s="1">
        <f>IF(B848="", "", "urban biome")</f>
        <v>0</v>
      </c>
      <c r="D848" s="1">
        <f>IF(B848="", "", "human-associated habitat")</f>
        <v>0</v>
      </c>
      <c r="G848" s="1">
        <f>IF(B848="", "", "years")</f>
        <v>0</v>
      </c>
      <c r="I848" s="1">
        <f>IF(B848="", "", "human")</f>
        <v>0</v>
      </c>
      <c r="K848" s="1">
        <f>IF(B848="", "", "cm")</f>
        <v>0</v>
      </c>
      <c r="L848" s="1">
        <f>IF(B848="", "", "Homo sapiens")</f>
        <v>0</v>
      </c>
      <c r="M848" s="1">
        <f>IF(B848="", "", "9606")</f>
        <v>0</v>
      </c>
      <c r="O848" s="1">
        <f>IF(B848="", "", "kg")</f>
        <v>0</v>
      </c>
    </row>
    <row r="849" spans="1:15">
      <c r="A849">
        <f>IF(COUNTBLANK(B849:Q849)&lt;&gt;COLUMNS(B849:Q849),848,"")</f>
        <v>0</v>
      </c>
      <c r="C849" s="1">
        <f>IF(B849="", "", "urban biome")</f>
        <v>0</v>
      </c>
      <c r="D849" s="1">
        <f>IF(B849="", "", "human-associated habitat")</f>
        <v>0</v>
      </c>
      <c r="G849" s="1">
        <f>IF(B849="", "", "years")</f>
        <v>0</v>
      </c>
      <c r="I849" s="1">
        <f>IF(B849="", "", "human")</f>
        <v>0</v>
      </c>
      <c r="K849" s="1">
        <f>IF(B849="", "", "cm")</f>
        <v>0</v>
      </c>
      <c r="L849" s="1">
        <f>IF(B849="", "", "Homo sapiens")</f>
        <v>0</v>
      </c>
      <c r="M849" s="1">
        <f>IF(B849="", "", "9606")</f>
        <v>0</v>
      </c>
      <c r="O849" s="1">
        <f>IF(B849="", "", "kg")</f>
        <v>0</v>
      </c>
    </row>
    <row r="850" spans="1:15">
      <c r="A850">
        <f>IF(COUNTBLANK(B850:Q850)&lt;&gt;COLUMNS(B850:Q850),849,"")</f>
        <v>0</v>
      </c>
      <c r="C850" s="1">
        <f>IF(B850="", "", "urban biome")</f>
        <v>0</v>
      </c>
      <c r="D850" s="1">
        <f>IF(B850="", "", "human-associated habitat")</f>
        <v>0</v>
      </c>
      <c r="G850" s="1">
        <f>IF(B850="", "", "years")</f>
        <v>0</v>
      </c>
      <c r="I850" s="1">
        <f>IF(B850="", "", "human")</f>
        <v>0</v>
      </c>
      <c r="K850" s="1">
        <f>IF(B850="", "", "cm")</f>
        <v>0</v>
      </c>
      <c r="L850" s="1">
        <f>IF(B850="", "", "Homo sapiens")</f>
        <v>0</v>
      </c>
      <c r="M850" s="1">
        <f>IF(B850="", "", "9606")</f>
        <v>0</v>
      </c>
      <c r="O850" s="1">
        <f>IF(B850="", "", "kg")</f>
        <v>0</v>
      </c>
    </row>
    <row r="851" spans="1:15">
      <c r="A851">
        <f>IF(COUNTBLANK(B851:Q851)&lt;&gt;COLUMNS(B851:Q851),850,"")</f>
        <v>0</v>
      </c>
      <c r="C851" s="1">
        <f>IF(B851="", "", "urban biome")</f>
        <v>0</v>
      </c>
      <c r="D851" s="1">
        <f>IF(B851="", "", "human-associated habitat")</f>
        <v>0</v>
      </c>
      <c r="G851" s="1">
        <f>IF(B851="", "", "years")</f>
        <v>0</v>
      </c>
      <c r="I851" s="1">
        <f>IF(B851="", "", "human")</f>
        <v>0</v>
      </c>
      <c r="K851" s="1">
        <f>IF(B851="", "", "cm")</f>
        <v>0</v>
      </c>
      <c r="L851" s="1">
        <f>IF(B851="", "", "Homo sapiens")</f>
        <v>0</v>
      </c>
      <c r="M851" s="1">
        <f>IF(B851="", "", "9606")</f>
        <v>0</v>
      </c>
      <c r="O851" s="1">
        <f>IF(B851="", "", "kg")</f>
        <v>0</v>
      </c>
    </row>
    <row r="852" spans="1:15">
      <c r="A852">
        <f>IF(COUNTBLANK(B852:Q852)&lt;&gt;COLUMNS(B852:Q852),851,"")</f>
        <v>0</v>
      </c>
      <c r="C852" s="1">
        <f>IF(B852="", "", "urban biome")</f>
        <v>0</v>
      </c>
      <c r="D852" s="1">
        <f>IF(B852="", "", "human-associated habitat")</f>
        <v>0</v>
      </c>
      <c r="G852" s="1">
        <f>IF(B852="", "", "years")</f>
        <v>0</v>
      </c>
      <c r="I852" s="1">
        <f>IF(B852="", "", "human")</f>
        <v>0</v>
      </c>
      <c r="K852" s="1">
        <f>IF(B852="", "", "cm")</f>
        <v>0</v>
      </c>
      <c r="L852" s="1">
        <f>IF(B852="", "", "Homo sapiens")</f>
        <v>0</v>
      </c>
      <c r="M852" s="1">
        <f>IF(B852="", "", "9606")</f>
        <v>0</v>
      </c>
      <c r="O852" s="1">
        <f>IF(B852="", "", "kg")</f>
        <v>0</v>
      </c>
    </row>
    <row r="853" spans="1:15">
      <c r="A853">
        <f>IF(COUNTBLANK(B853:Q853)&lt;&gt;COLUMNS(B853:Q853),852,"")</f>
        <v>0</v>
      </c>
      <c r="C853" s="1">
        <f>IF(B853="", "", "urban biome")</f>
        <v>0</v>
      </c>
      <c r="D853" s="1">
        <f>IF(B853="", "", "human-associated habitat")</f>
        <v>0</v>
      </c>
      <c r="G853" s="1">
        <f>IF(B853="", "", "years")</f>
        <v>0</v>
      </c>
      <c r="I853" s="1">
        <f>IF(B853="", "", "human")</f>
        <v>0</v>
      </c>
      <c r="K853" s="1">
        <f>IF(B853="", "", "cm")</f>
        <v>0</v>
      </c>
      <c r="L853" s="1">
        <f>IF(B853="", "", "Homo sapiens")</f>
        <v>0</v>
      </c>
      <c r="M853" s="1">
        <f>IF(B853="", "", "9606")</f>
        <v>0</v>
      </c>
      <c r="O853" s="1">
        <f>IF(B853="", "", "kg")</f>
        <v>0</v>
      </c>
    </row>
    <row r="854" spans="1:15">
      <c r="A854">
        <f>IF(COUNTBLANK(B854:Q854)&lt;&gt;COLUMNS(B854:Q854),853,"")</f>
        <v>0</v>
      </c>
      <c r="C854" s="1">
        <f>IF(B854="", "", "urban biome")</f>
        <v>0</v>
      </c>
      <c r="D854" s="1">
        <f>IF(B854="", "", "human-associated habitat")</f>
        <v>0</v>
      </c>
      <c r="G854" s="1">
        <f>IF(B854="", "", "years")</f>
        <v>0</v>
      </c>
      <c r="I854" s="1">
        <f>IF(B854="", "", "human")</f>
        <v>0</v>
      </c>
      <c r="K854" s="1">
        <f>IF(B854="", "", "cm")</f>
        <v>0</v>
      </c>
      <c r="L854" s="1">
        <f>IF(B854="", "", "Homo sapiens")</f>
        <v>0</v>
      </c>
      <c r="M854" s="1">
        <f>IF(B854="", "", "9606")</f>
        <v>0</v>
      </c>
      <c r="O854" s="1">
        <f>IF(B854="", "", "kg")</f>
        <v>0</v>
      </c>
    </row>
    <row r="855" spans="1:15">
      <c r="A855">
        <f>IF(COUNTBLANK(B855:Q855)&lt;&gt;COLUMNS(B855:Q855),854,"")</f>
        <v>0</v>
      </c>
      <c r="C855" s="1">
        <f>IF(B855="", "", "urban biome")</f>
        <v>0</v>
      </c>
      <c r="D855" s="1">
        <f>IF(B855="", "", "human-associated habitat")</f>
        <v>0</v>
      </c>
      <c r="G855" s="1">
        <f>IF(B855="", "", "years")</f>
        <v>0</v>
      </c>
      <c r="I855" s="1">
        <f>IF(B855="", "", "human")</f>
        <v>0</v>
      </c>
      <c r="K855" s="1">
        <f>IF(B855="", "", "cm")</f>
        <v>0</v>
      </c>
      <c r="L855" s="1">
        <f>IF(B855="", "", "Homo sapiens")</f>
        <v>0</v>
      </c>
      <c r="M855" s="1">
        <f>IF(B855="", "", "9606")</f>
        <v>0</v>
      </c>
      <c r="O855" s="1">
        <f>IF(B855="", "", "kg")</f>
        <v>0</v>
      </c>
    </row>
    <row r="856" spans="1:15">
      <c r="A856">
        <f>IF(COUNTBLANK(B856:Q856)&lt;&gt;COLUMNS(B856:Q856),855,"")</f>
        <v>0</v>
      </c>
      <c r="C856" s="1">
        <f>IF(B856="", "", "urban biome")</f>
        <v>0</v>
      </c>
      <c r="D856" s="1">
        <f>IF(B856="", "", "human-associated habitat")</f>
        <v>0</v>
      </c>
      <c r="G856" s="1">
        <f>IF(B856="", "", "years")</f>
        <v>0</v>
      </c>
      <c r="I856" s="1">
        <f>IF(B856="", "", "human")</f>
        <v>0</v>
      </c>
      <c r="K856" s="1">
        <f>IF(B856="", "", "cm")</f>
        <v>0</v>
      </c>
      <c r="L856" s="1">
        <f>IF(B856="", "", "Homo sapiens")</f>
        <v>0</v>
      </c>
      <c r="M856" s="1">
        <f>IF(B856="", "", "9606")</f>
        <v>0</v>
      </c>
      <c r="O856" s="1">
        <f>IF(B856="", "", "kg")</f>
        <v>0</v>
      </c>
    </row>
    <row r="857" spans="1:15">
      <c r="A857">
        <f>IF(COUNTBLANK(B857:Q857)&lt;&gt;COLUMNS(B857:Q857),856,"")</f>
        <v>0</v>
      </c>
      <c r="C857" s="1">
        <f>IF(B857="", "", "urban biome")</f>
        <v>0</v>
      </c>
      <c r="D857" s="1">
        <f>IF(B857="", "", "human-associated habitat")</f>
        <v>0</v>
      </c>
      <c r="G857" s="1">
        <f>IF(B857="", "", "years")</f>
        <v>0</v>
      </c>
      <c r="I857" s="1">
        <f>IF(B857="", "", "human")</f>
        <v>0</v>
      </c>
      <c r="K857" s="1">
        <f>IF(B857="", "", "cm")</f>
        <v>0</v>
      </c>
      <c r="L857" s="1">
        <f>IF(B857="", "", "Homo sapiens")</f>
        <v>0</v>
      </c>
      <c r="M857" s="1">
        <f>IF(B857="", "", "9606")</f>
        <v>0</v>
      </c>
      <c r="O857" s="1">
        <f>IF(B857="", "", "kg")</f>
        <v>0</v>
      </c>
    </row>
    <row r="858" spans="1:15">
      <c r="A858">
        <f>IF(COUNTBLANK(B858:Q858)&lt;&gt;COLUMNS(B858:Q858),857,"")</f>
        <v>0</v>
      </c>
      <c r="C858" s="1">
        <f>IF(B858="", "", "urban biome")</f>
        <v>0</v>
      </c>
      <c r="D858" s="1">
        <f>IF(B858="", "", "human-associated habitat")</f>
        <v>0</v>
      </c>
      <c r="G858" s="1">
        <f>IF(B858="", "", "years")</f>
        <v>0</v>
      </c>
      <c r="I858" s="1">
        <f>IF(B858="", "", "human")</f>
        <v>0</v>
      </c>
      <c r="K858" s="1">
        <f>IF(B858="", "", "cm")</f>
        <v>0</v>
      </c>
      <c r="L858" s="1">
        <f>IF(B858="", "", "Homo sapiens")</f>
        <v>0</v>
      </c>
      <c r="M858" s="1">
        <f>IF(B858="", "", "9606")</f>
        <v>0</v>
      </c>
      <c r="O858" s="1">
        <f>IF(B858="", "", "kg")</f>
        <v>0</v>
      </c>
    </row>
    <row r="859" spans="1:15">
      <c r="A859">
        <f>IF(COUNTBLANK(B859:Q859)&lt;&gt;COLUMNS(B859:Q859),858,"")</f>
        <v>0</v>
      </c>
      <c r="C859" s="1">
        <f>IF(B859="", "", "urban biome")</f>
        <v>0</v>
      </c>
      <c r="D859" s="1">
        <f>IF(B859="", "", "human-associated habitat")</f>
        <v>0</v>
      </c>
      <c r="G859" s="1">
        <f>IF(B859="", "", "years")</f>
        <v>0</v>
      </c>
      <c r="I859" s="1">
        <f>IF(B859="", "", "human")</f>
        <v>0</v>
      </c>
      <c r="K859" s="1">
        <f>IF(B859="", "", "cm")</f>
        <v>0</v>
      </c>
      <c r="L859" s="1">
        <f>IF(B859="", "", "Homo sapiens")</f>
        <v>0</v>
      </c>
      <c r="M859" s="1">
        <f>IF(B859="", "", "9606")</f>
        <v>0</v>
      </c>
      <c r="O859" s="1">
        <f>IF(B859="", "", "kg")</f>
        <v>0</v>
      </c>
    </row>
    <row r="860" spans="1:15">
      <c r="A860">
        <f>IF(COUNTBLANK(B860:Q860)&lt;&gt;COLUMNS(B860:Q860),859,"")</f>
        <v>0</v>
      </c>
      <c r="C860" s="1">
        <f>IF(B860="", "", "urban biome")</f>
        <v>0</v>
      </c>
      <c r="D860" s="1">
        <f>IF(B860="", "", "human-associated habitat")</f>
        <v>0</v>
      </c>
      <c r="G860" s="1">
        <f>IF(B860="", "", "years")</f>
        <v>0</v>
      </c>
      <c r="I860" s="1">
        <f>IF(B860="", "", "human")</f>
        <v>0</v>
      </c>
      <c r="K860" s="1">
        <f>IF(B860="", "", "cm")</f>
        <v>0</v>
      </c>
      <c r="L860" s="1">
        <f>IF(B860="", "", "Homo sapiens")</f>
        <v>0</v>
      </c>
      <c r="M860" s="1">
        <f>IF(B860="", "", "9606")</f>
        <v>0</v>
      </c>
      <c r="O860" s="1">
        <f>IF(B860="", "", "kg")</f>
        <v>0</v>
      </c>
    </row>
    <row r="861" spans="1:15">
      <c r="A861">
        <f>IF(COUNTBLANK(B861:Q861)&lt;&gt;COLUMNS(B861:Q861),860,"")</f>
        <v>0</v>
      </c>
      <c r="C861" s="1">
        <f>IF(B861="", "", "urban biome")</f>
        <v>0</v>
      </c>
      <c r="D861" s="1">
        <f>IF(B861="", "", "human-associated habitat")</f>
        <v>0</v>
      </c>
      <c r="G861" s="1">
        <f>IF(B861="", "", "years")</f>
        <v>0</v>
      </c>
      <c r="I861" s="1">
        <f>IF(B861="", "", "human")</f>
        <v>0</v>
      </c>
      <c r="K861" s="1">
        <f>IF(B861="", "", "cm")</f>
        <v>0</v>
      </c>
      <c r="L861" s="1">
        <f>IF(B861="", "", "Homo sapiens")</f>
        <v>0</v>
      </c>
      <c r="M861" s="1">
        <f>IF(B861="", "", "9606")</f>
        <v>0</v>
      </c>
      <c r="O861" s="1">
        <f>IF(B861="", "", "kg")</f>
        <v>0</v>
      </c>
    </row>
    <row r="862" spans="1:15">
      <c r="A862">
        <f>IF(COUNTBLANK(B862:Q862)&lt;&gt;COLUMNS(B862:Q862),861,"")</f>
        <v>0</v>
      </c>
      <c r="C862" s="1">
        <f>IF(B862="", "", "urban biome")</f>
        <v>0</v>
      </c>
      <c r="D862" s="1">
        <f>IF(B862="", "", "human-associated habitat")</f>
        <v>0</v>
      </c>
      <c r="G862" s="1">
        <f>IF(B862="", "", "years")</f>
        <v>0</v>
      </c>
      <c r="I862" s="1">
        <f>IF(B862="", "", "human")</f>
        <v>0</v>
      </c>
      <c r="K862" s="1">
        <f>IF(B862="", "", "cm")</f>
        <v>0</v>
      </c>
      <c r="L862" s="1">
        <f>IF(B862="", "", "Homo sapiens")</f>
        <v>0</v>
      </c>
      <c r="M862" s="1">
        <f>IF(B862="", "", "9606")</f>
        <v>0</v>
      </c>
      <c r="O862" s="1">
        <f>IF(B862="", "", "kg")</f>
        <v>0</v>
      </c>
    </row>
    <row r="863" spans="1:15">
      <c r="A863">
        <f>IF(COUNTBLANK(B863:Q863)&lt;&gt;COLUMNS(B863:Q863),862,"")</f>
        <v>0</v>
      </c>
      <c r="C863" s="1">
        <f>IF(B863="", "", "urban biome")</f>
        <v>0</v>
      </c>
      <c r="D863" s="1">
        <f>IF(B863="", "", "human-associated habitat")</f>
        <v>0</v>
      </c>
      <c r="G863" s="1">
        <f>IF(B863="", "", "years")</f>
        <v>0</v>
      </c>
      <c r="I863" s="1">
        <f>IF(B863="", "", "human")</f>
        <v>0</v>
      </c>
      <c r="K863" s="1">
        <f>IF(B863="", "", "cm")</f>
        <v>0</v>
      </c>
      <c r="L863" s="1">
        <f>IF(B863="", "", "Homo sapiens")</f>
        <v>0</v>
      </c>
      <c r="M863" s="1">
        <f>IF(B863="", "", "9606")</f>
        <v>0</v>
      </c>
      <c r="O863" s="1">
        <f>IF(B863="", "", "kg")</f>
        <v>0</v>
      </c>
    </row>
    <row r="864" spans="1:15">
      <c r="A864">
        <f>IF(COUNTBLANK(B864:Q864)&lt;&gt;COLUMNS(B864:Q864),863,"")</f>
        <v>0</v>
      </c>
      <c r="C864" s="1">
        <f>IF(B864="", "", "urban biome")</f>
        <v>0</v>
      </c>
      <c r="D864" s="1">
        <f>IF(B864="", "", "human-associated habitat")</f>
        <v>0</v>
      </c>
      <c r="G864" s="1">
        <f>IF(B864="", "", "years")</f>
        <v>0</v>
      </c>
      <c r="I864" s="1">
        <f>IF(B864="", "", "human")</f>
        <v>0</v>
      </c>
      <c r="K864" s="1">
        <f>IF(B864="", "", "cm")</f>
        <v>0</v>
      </c>
      <c r="L864" s="1">
        <f>IF(B864="", "", "Homo sapiens")</f>
        <v>0</v>
      </c>
      <c r="M864" s="1">
        <f>IF(B864="", "", "9606")</f>
        <v>0</v>
      </c>
      <c r="O864" s="1">
        <f>IF(B864="", "", "kg")</f>
        <v>0</v>
      </c>
    </row>
    <row r="865" spans="1:15">
      <c r="A865">
        <f>IF(COUNTBLANK(B865:Q865)&lt;&gt;COLUMNS(B865:Q865),864,"")</f>
        <v>0</v>
      </c>
      <c r="C865" s="1">
        <f>IF(B865="", "", "urban biome")</f>
        <v>0</v>
      </c>
      <c r="D865" s="1">
        <f>IF(B865="", "", "human-associated habitat")</f>
        <v>0</v>
      </c>
      <c r="G865" s="1">
        <f>IF(B865="", "", "years")</f>
        <v>0</v>
      </c>
      <c r="I865" s="1">
        <f>IF(B865="", "", "human")</f>
        <v>0</v>
      </c>
      <c r="K865" s="1">
        <f>IF(B865="", "", "cm")</f>
        <v>0</v>
      </c>
      <c r="L865" s="1">
        <f>IF(B865="", "", "Homo sapiens")</f>
        <v>0</v>
      </c>
      <c r="M865" s="1">
        <f>IF(B865="", "", "9606")</f>
        <v>0</v>
      </c>
      <c r="O865" s="1">
        <f>IF(B865="", "", "kg")</f>
        <v>0</v>
      </c>
    </row>
    <row r="866" spans="1:15">
      <c r="A866">
        <f>IF(COUNTBLANK(B866:Q866)&lt;&gt;COLUMNS(B866:Q866),865,"")</f>
        <v>0</v>
      </c>
      <c r="C866" s="1">
        <f>IF(B866="", "", "urban biome")</f>
        <v>0</v>
      </c>
      <c r="D866" s="1">
        <f>IF(B866="", "", "human-associated habitat")</f>
        <v>0</v>
      </c>
      <c r="G866" s="1">
        <f>IF(B866="", "", "years")</f>
        <v>0</v>
      </c>
      <c r="I866" s="1">
        <f>IF(B866="", "", "human")</f>
        <v>0</v>
      </c>
      <c r="K866" s="1">
        <f>IF(B866="", "", "cm")</f>
        <v>0</v>
      </c>
      <c r="L866" s="1">
        <f>IF(B866="", "", "Homo sapiens")</f>
        <v>0</v>
      </c>
      <c r="M866" s="1">
        <f>IF(B866="", "", "9606")</f>
        <v>0</v>
      </c>
      <c r="O866" s="1">
        <f>IF(B866="", "", "kg")</f>
        <v>0</v>
      </c>
    </row>
    <row r="867" spans="1:15">
      <c r="A867">
        <f>IF(COUNTBLANK(B867:Q867)&lt;&gt;COLUMNS(B867:Q867),866,"")</f>
        <v>0</v>
      </c>
      <c r="C867" s="1">
        <f>IF(B867="", "", "urban biome")</f>
        <v>0</v>
      </c>
      <c r="D867" s="1">
        <f>IF(B867="", "", "human-associated habitat")</f>
        <v>0</v>
      </c>
      <c r="G867" s="1">
        <f>IF(B867="", "", "years")</f>
        <v>0</v>
      </c>
      <c r="I867" s="1">
        <f>IF(B867="", "", "human")</f>
        <v>0</v>
      </c>
      <c r="K867" s="1">
        <f>IF(B867="", "", "cm")</f>
        <v>0</v>
      </c>
      <c r="L867" s="1">
        <f>IF(B867="", "", "Homo sapiens")</f>
        <v>0</v>
      </c>
      <c r="M867" s="1">
        <f>IF(B867="", "", "9606")</f>
        <v>0</v>
      </c>
      <c r="O867" s="1">
        <f>IF(B867="", "", "kg")</f>
        <v>0</v>
      </c>
    </row>
    <row r="868" spans="1:15">
      <c r="A868">
        <f>IF(COUNTBLANK(B868:Q868)&lt;&gt;COLUMNS(B868:Q868),867,"")</f>
        <v>0</v>
      </c>
      <c r="C868" s="1">
        <f>IF(B868="", "", "urban biome")</f>
        <v>0</v>
      </c>
      <c r="D868" s="1">
        <f>IF(B868="", "", "human-associated habitat")</f>
        <v>0</v>
      </c>
      <c r="G868" s="1">
        <f>IF(B868="", "", "years")</f>
        <v>0</v>
      </c>
      <c r="I868" s="1">
        <f>IF(B868="", "", "human")</f>
        <v>0</v>
      </c>
      <c r="K868" s="1">
        <f>IF(B868="", "", "cm")</f>
        <v>0</v>
      </c>
      <c r="L868" s="1">
        <f>IF(B868="", "", "Homo sapiens")</f>
        <v>0</v>
      </c>
      <c r="M868" s="1">
        <f>IF(B868="", "", "9606")</f>
        <v>0</v>
      </c>
      <c r="O868" s="1">
        <f>IF(B868="", "", "kg")</f>
        <v>0</v>
      </c>
    </row>
    <row r="869" spans="1:15">
      <c r="A869">
        <f>IF(COUNTBLANK(B869:Q869)&lt;&gt;COLUMNS(B869:Q869),868,"")</f>
        <v>0</v>
      </c>
      <c r="C869" s="1">
        <f>IF(B869="", "", "urban biome")</f>
        <v>0</v>
      </c>
      <c r="D869" s="1">
        <f>IF(B869="", "", "human-associated habitat")</f>
        <v>0</v>
      </c>
      <c r="G869" s="1">
        <f>IF(B869="", "", "years")</f>
        <v>0</v>
      </c>
      <c r="I869" s="1">
        <f>IF(B869="", "", "human")</f>
        <v>0</v>
      </c>
      <c r="K869" s="1">
        <f>IF(B869="", "", "cm")</f>
        <v>0</v>
      </c>
      <c r="L869" s="1">
        <f>IF(B869="", "", "Homo sapiens")</f>
        <v>0</v>
      </c>
      <c r="M869" s="1">
        <f>IF(B869="", "", "9606")</f>
        <v>0</v>
      </c>
      <c r="O869" s="1">
        <f>IF(B869="", "", "kg")</f>
        <v>0</v>
      </c>
    </row>
    <row r="870" spans="1:15">
      <c r="A870">
        <f>IF(COUNTBLANK(B870:Q870)&lt;&gt;COLUMNS(B870:Q870),869,"")</f>
        <v>0</v>
      </c>
      <c r="C870" s="1">
        <f>IF(B870="", "", "urban biome")</f>
        <v>0</v>
      </c>
      <c r="D870" s="1">
        <f>IF(B870="", "", "human-associated habitat")</f>
        <v>0</v>
      </c>
      <c r="G870" s="1">
        <f>IF(B870="", "", "years")</f>
        <v>0</v>
      </c>
      <c r="I870" s="1">
        <f>IF(B870="", "", "human")</f>
        <v>0</v>
      </c>
      <c r="K870" s="1">
        <f>IF(B870="", "", "cm")</f>
        <v>0</v>
      </c>
      <c r="L870" s="1">
        <f>IF(B870="", "", "Homo sapiens")</f>
        <v>0</v>
      </c>
      <c r="M870" s="1">
        <f>IF(B870="", "", "9606")</f>
        <v>0</v>
      </c>
      <c r="O870" s="1">
        <f>IF(B870="", "", "kg")</f>
        <v>0</v>
      </c>
    </row>
    <row r="871" spans="1:15">
      <c r="A871">
        <f>IF(COUNTBLANK(B871:Q871)&lt;&gt;COLUMNS(B871:Q871),870,"")</f>
        <v>0</v>
      </c>
      <c r="C871" s="1">
        <f>IF(B871="", "", "urban biome")</f>
        <v>0</v>
      </c>
      <c r="D871" s="1">
        <f>IF(B871="", "", "human-associated habitat")</f>
        <v>0</v>
      </c>
      <c r="G871" s="1">
        <f>IF(B871="", "", "years")</f>
        <v>0</v>
      </c>
      <c r="I871" s="1">
        <f>IF(B871="", "", "human")</f>
        <v>0</v>
      </c>
      <c r="K871" s="1">
        <f>IF(B871="", "", "cm")</f>
        <v>0</v>
      </c>
      <c r="L871" s="1">
        <f>IF(B871="", "", "Homo sapiens")</f>
        <v>0</v>
      </c>
      <c r="M871" s="1">
        <f>IF(B871="", "", "9606")</f>
        <v>0</v>
      </c>
      <c r="O871" s="1">
        <f>IF(B871="", "", "kg")</f>
        <v>0</v>
      </c>
    </row>
    <row r="872" spans="1:15">
      <c r="A872">
        <f>IF(COUNTBLANK(B872:Q872)&lt;&gt;COLUMNS(B872:Q872),871,"")</f>
        <v>0</v>
      </c>
      <c r="C872" s="1">
        <f>IF(B872="", "", "urban biome")</f>
        <v>0</v>
      </c>
      <c r="D872" s="1">
        <f>IF(B872="", "", "human-associated habitat")</f>
        <v>0</v>
      </c>
      <c r="G872" s="1">
        <f>IF(B872="", "", "years")</f>
        <v>0</v>
      </c>
      <c r="I872" s="1">
        <f>IF(B872="", "", "human")</f>
        <v>0</v>
      </c>
      <c r="K872" s="1">
        <f>IF(B872="", "", "cm")</f>
        <v>0</v>
      </c>
      <c r="L872" s="1">
        <f>IF(B872="", "", "Homo sapiens")</f>
        <v>0</v>
      </c>
      <c r="M872" s="1">
        <f>IF(B872="", "", "9606")</f>
        <v>0</v>
      </c>
      <c r="O872" s="1">
        <f>IF(B872="", "", "kg")</f>
        <v>0</v>
      </c>
    </row>
    <row r="873" spans="1:15">
      <c r="A873">
        <f>IF(COUNTBLANK(B873:Q873)&lt;&gt;COLUMNS(B873:Q873),872,"")</f>
        <v>0</v>
      </c>
      <c r="C873" s="1">
        <f>IF(B873="", "", "urban biome")</f>
        <v>0</v>
      </c>
      <c r="D873" s="1">
        <f>IF(B873="", "", "human-associated habitat")</f>
        <v>0</v>
      </c>
      <c r="G873" s="1">
        <f>IF(B873="", "", "years")</f>
        <v>0</v>
      </c>
      <c r="I873" s="1">
        <f>IF(B873="", "", "human")</f>
        <v>0</v>
      </c>
      <c r="K873" s="1">
        <f>IF(B873="", "", "cm")</f>
        <v>0</v>
      </c>
      <c r="L873" s="1">
        <f>IF(B873="", "", "Homo sapiens")</f>
        <v>0</v>
      </c>
      <c r="M873" s="1">
        <f>IF(B873="", "", "9606")</f>
        <v>0</v>
      </c>
      <c r="O873" s="1">
        <f>IF(B873="", "", "kg")</f>
        <v>0</v>
      </c>
    </row>
    <row r="874" spans="1:15">
      <c r="A874">
        <f>IF(COUNTBLANK(B874:Q874)&lt;&gt;COLUMNS(B874:Q874),873,"")</f>
        <v>0</v>
      </c>
      <c r="C874" s="1">
        <f>IF(B874="", "", "urban biome")</f>
        <v>0</v>
      </c>
      <c r="D874" s="1">
        <f>IF(B874="", "", "human-associated habitat")</f>
        <v>0</v>
      </c>
      <c r="G874" s="1">
        <f>IF(B874="", "", "years")</f>
        <v>0</v>
      </c>
      <c r="I874" s="1">
        <f>IF(B874="", "", "human")</f>
        <v>0</v>
      </c>
      <c r="K874" s="1">
        <f>IF(B874="", "", "cm")</f>
        <v>0</v>
      </c>
      <c r="L874" s="1">
        <f>IF(B874="", "", "Homo sapiens")</f>
        <v>0</v>
      </c>
      <c r="M874" s="1">
        <f>IF(B874="", "", "9606")</f>
        <v>0</v>
      </c>
      <c r="O874" s="1">
        <f>IF(B874="", "", "kg")</f>
        <v>0</v>
      </c>
    </row>
    <row r="875" spans="1:15">
      <c r="A875">
        <f>IF(COUNTBLANK(B875:Q875)&lt;&gt;COLUMNS(B875:Q875),874,"")</f>
        <v>0</v>
      </c>
      <c r="C875" s="1">
        <f>IF(B875="", "", "urban biome")</f>
        <v>0</v>
      </c>
      <c r="D875" s="1">
        <f>IF(B875="", "", "human-associated habitat")</f>
        <v>0</v>
      </c>
      <c r="G875" s="1">
        <f>IF(B875="", "", "years")</f>
        <v>0</v>
      </c>
      <c r="I875" s="1">
        <f>IF(B875="", "", "human")</f>
        <v>0</v>
      </c>
      <c r="K875" s="1">
        <f>IF(B875="", "", "cm")</f>
        <v>0</v>
      </c>
      <c r="L875" s="1">
        <f>IF(B875="", "", "Homo sapiens")</f>
        <v>0</v>
      </c>
      <c r="M875" s="1">
        <f>IF(B875="", "", "9606")</f>
        <v>0</v>
      </c>
      <c r="O875" s="1">
        <f>IF(B875="", "", "kg")</f>
        <v>0</v>
      </c>
    </row>
    <row r="876" spans="1:15">
      <c r="A876">
        <f>IF(COUNTBLANK(B876:Q876)&lt;&gt;COLUMNS(B876:Q876),875,"")</f>
        <v>0</v>
      </c>
      <c r="C876" s="1">
        <f>IF(B876="", "", "urban biome")</f>
        <v>0</v>
      </c>
      <c r="D876" s="1">
        <f>IF(B876="", "", "human-associated habitat")</f>
        <v>0</v>
      </c>
      <c r="G876" s="1">
        <f>IF(B876="", "", "years")</f>
        <v>0</v>
      </c>
      <c r="I876" s="1">
        <f>IF(B876="", "", "human")</f>
        <v>0</v>
      </c>
      <c r="K876" s="1">
        <f>IF(B876="", "", "cm")</f>
        <v>0</v>
      </c>
      <c r="L876" s="1">
        <f>IF(B876="", "", "Homo sapiens")</f>
        <v>0</v>
      </c>
      <c r="M876" s="1">
        <f>IF(B876="", "", "9606")</f>
        <v>0</v>
      </c>
      <c r="O876" s="1">
        <f>IF(B876="", "", "kg")</f>
        <v>0</v>
      </c>
    </row>
    <row r="877" spans="1:15">
      <c r="A877">
        <f>IF(COUNTBLANK(B877:Q877)&lt;&gt;COLUMNS(B877:Q877),876,"")</f>
        <v>0</v>
      </c>
      <c r="C877" s="1">
        <f>IF(B877="", "", "urban biome")</f>
        <v>0</v>
      </c>
      <c r="D877" s="1">
        <f>IF(B877="", "", "human-associated habitat")</f>
        <v>0</v>
      </c>
      <c r="G877" s="1">
        <f>IF(B877="", "", "years")</f>
        <v>0</v>
      </c>
      <c r="I877" s="1">
        <f>IF(B877="", "", "human")</f>
        <v>0</v>
      </c>
      <c r="K877" s="1">
        <f>IF(B877="", "", "cm")</f>
        <v>0</v>
      </c>
      <c r="L877" s="1">
        <f>IF(B877="", "", "Homo sapiens")</f>
        <v>0</v>
      </c>
      <c r="M877" s="1">
        <f>IF(B877="", "", "9606")</f>
        <v>0</v>
      </c>
      <c r="O877" s="1">
        <f>IF(B877="", "", "kg")</f>
        <v>0</v>
      </c>
    </row>
    <row r="878" spans="1:15">
      <c r="A878">
        <f>IF(COUNTBLANK(B878:Q878)&lt;&gt;COLUMNS(B878:Q878),877,"")</f>
        <v>0</v>
      </c>
      <c r="C878" s="1">
        <f>IF(B878="", "", "urban biome")</f>
        <v>0</v>
      </c>
      <c r="D878" s="1">
        <f>IF(B878="", "", "human-associated habitat")</f>
        <v>0</v>
      </c>
      <c r="G878" s="1">
        <f>IF(B878="", "", "years")</f>
        <v>0</v>
      </c>
      <c r="I878" s="1">
        <f>IF(B878="", "", "human")</f>
        <v>0</v>
      </c>
      <c r="K878" s="1">
        <f>IF(B878="", "", "cm")</f>
        <v>0</v>
      </c>
      <c r="L878" s="1">
        <f>IF(B878="", "", "Homo sapiens")</f>
        <v>0</v>
      </c>
      <c r="M878" s="1">
        <f>IF(B878="", "", "9606")</f>
        <v>0</v>
      </c>
      <c r="O878" s="1">
        <f>IF(B878="", "", "kg")</f>
        <v>0</v>
      </c>
    </row>
    <row r="879" spans="1:15">
      <c r="A879">
        <f>IF(COUNTBLANK(B879:Q879)&lt;&gt;COLUMNS(B879:Q879),878,"")</f>
        <v>0</v>
      </c>
      <c r="C879" s="1">
        <f>IF(B879="", "", "urban biome")</f>
        <v>0</v>
      </c>
      <c r="D879" s="1">
        <f>IF(B879="", "", "human-associated habitat")</f>
        <v>0</v>
      </c>
      <c r="G879" s="1">
        <f>IF(B879="", "", "years")</f>
        <v>0</v>
      </c>
      <c r="I879" s="1">
        <f>IF(B879="", "", "human")</f>
        <v>0</v>
      </c>
      <c r="K879" s="1">
        <f>IF(B879="", "", "cm")</f>
        <v>0</v>
      </c>
      <c r="L879" s="1">
        <f>IF(B879="", "", "Homo sapiens")</f>
        <v>0</v>
      </c>
      <c r="M879" s="1">
        <f>IF(B879="", "", "9606")</f>
        <v>0</v>
      </c>
      <c r="O879" s="1">
        <f>IF(B879="", "", "kg")</f>
        <v>0</v>
      </c>
    </row>
    <row r="880" spans="1:15">
      <c r="A880">
        <f>IF(COUNTBLANK(B880:Q880)&lt;&gt;COLUMNS(B880:Q880),879,"")</f>
        <v>0</v>
      </c>
      <c r="C880" s="1">
        <f>IF(B880="", "", "urban biome")</f>
        <v>0</v>
      </c>
      <c r="D880" s="1">
        <f>IF(B880="", "", "human-associated habitat")</f>
        <v>0</v>
      </c>
      <c r="G880" s="1">
        <f>IF(B880="", "", "years")</f>
        <v>0</v>
      </c>
      <c r="I880" s="1">
        <f>IF(B880="", "", "human")</f>
        <v>0</v>
      </c>
      <c r="K880" s="1">
        <f>IF(B880="", "", "cm")</f>
        <v>0</v>
      </c>
      <c r="L880" s="1">
        <f>IF(B880="", "", "Homo sapiens")</f>
        <v>0</v>
      </c>
      <c r="M880" s="1">
        <f>IF(B880="", "", "9606")</f>
        <v>0</v>
      </c>
      <c r="O880" s="1">
        <f>IF(B880="", "", "kg")</f>
        <v>0</v>
      </c>
    </row>
    <row r="881" spans="1:15">
      <c r="A881">
        <f>IF(COUNTBLANK(B881:Q881)&lt;&gt;COLUMNS(B881:Q881),880,"")</f>
        <v>0</v>
      </c>
      <c r="C881" s="1">
        <f>IF(B881="", "", "urban biome")</f>
        <v>0</v>
      </c>
      <c r="D881" s="1">
        <f>IF(B881="", "", "human-associated habitat")</f>
        <v>0</v>
      </c>
      <c r="G881" s="1">
        <f>IF(B881="", "", "years")</f>
        <v>0</v>
      </c>
      <c r="I881" s="1">
        <f>IF(B881="", "", "human")</f>
        <v>0</v>
      </c>
      <c r="K881" s="1">
        <f>IF(B881="", "", "cm")</f>
        <v>0</v>
      </c>
      <c r="L881" s="1">
        <f>IF(B881="", "", "Homo sapiens")</f>
        <v>0</v>
      </c>
      <c r="M881" s="1">
        <f>IF(B881="", "", "9606")</f>
        <v>0</v>
      </c>
      <c r="O881" s="1">
        <f>IF(B881="", "", "kg")</f>
        <v>0</v>
      </c>
    </row>
    <row r="882" spans="1:15">
      <c r="A882">
        <f>IF(COUNTBLANK(B882:Q882)&lt;&gt;COLUMNS(B882:Q882),881,"")</f>
        <v>0</v>
      </c>
      <c r="C882" s="1">
        <f>IF(B882="", "", "urban biome")</f>
        <v>0</v>
      </c>
      <c r="D882" s="1">
        <f>IF(B882="", "", "human-associated habitat")</f>
        <v>0</v>
      </c>
      <c r="G882" s="1">
        <f>IF(B882="", "", "years")</f>
        <v>0</v>
      </c>
      <c r="I882" s="1">
        <f>IF(B882="", "", "human")</f>
        <v>0</v>
      </c>
      <c r="K882" s="1">
        <f>IF(B882="", "", "cm")</f>
        <v>0</v>
      </c>
      <c r="L882" s="1">
        <f>IF(B882="", "", "Homo sapiens")</f>
        <v>0</v>
      </c>
      <c r="M882" s="1">
        <f>IF(B882="", "", "9606")</f>
        <v>0</v>
      </c>
      <c r="O882" s="1">
        <f>IF(B882="", "", "kg")</f>
        <v>0</v>
      </c>
    </row>
    <row r="883" spans="1:15">
      <c r="A883">
        <f>IF(COUNTBLANK(B883:Q883)&lt;&gt;COLUMNS(B883:Q883),882,"")</f>
        <v>0</v>
      </c>
      <c r="C883" s="1">
        <f>IF(B883="", "", "urban biome")</f>
        <v>0</v>
      </c>
      <c r="D883" s="1">
        <f>IF(B883="", "", "human-associated habitat")</f>
        <v>0</v>
      </c>
      <c r="G883" s="1">
        <f>IF(B883="", "", "years")</f>
        <v>0</v>
      </c>
      <c r="I883" s="1">
        <f>IF(B883="", "", "human")</f>
        <v>0</v>
      </c>
      <c r="K883" s="1">
        <f>IF(B883="", "", "cm")</f>
        <v>0</v>
      </c>
      <c r="L883" s="1">
        <f>IF(B883="", "", "Homo sapiens")</f>
        <v>0</v>
      </c>
      <c r="M883" s="1">
        <f>IF(B883="", "", "9606")</f>
        <v>0</v>
      </c>
      <c r="O883" s="1">
        <f>IF(B883="", "", "kg")</f>
        <v>0</v>
      </c>
    </row>
    <row r="884" spans="1:15">
      <c r="A884">
        <f>IF(COUNTBLANK(B884:Q884)&lt;&gt;COLUMNS(B884:Q884),883,"")</f>
        <v>0</v>
      </c>
      <c r="C884" s="1">
        <f>IF(B884="", "", "urban biome")</f>
        <v>0</v>
      </c>
      <c r="D884" s="1">
        <f>IF(B884="", "", "human-associated habitat")</f>
        <v>0</v>
      </c>
      <c r="G884" s="1">
        <f>IF(B884="", "", "years")</f>
        <v>0</v>
      </c>
      <c r="I884" s="1">
        <f>IF(B884="", "", "human")</f>
        <v>0</v>
      </c>
      <c r="K884" s="1">
        <f>IF(B884="", "", "cm")</f>
        <v>0</v>
      </c>
      <c r="L884" s="1">
        <f>IF(B884="", "", "Homo sapiens")</f>
        <v>0</v>
      </c>
      <c r="M884" s="1">
        <f>IF(B884="", "", "9606")</f>
        <v>0</v>
      </c>
      <c r="O884" s="1">
        <f>IF(B884="", "", "kg")</f>
        <v>0</v>
      </c>
    </row>
    <row r="885" spans="1:15">
      <c r="A885">
        <f>IF(COUNTBLANK(B885:Q885)&lt;&gt;COLUMNS(B885:Q885),884,"")</f>
        <v>0</v>
      </c>
      <c r="C885" s="1">
        <f>IF(B885="", "", "urban biome")</f>
        <v>0</v>
      </c>
      <c r="D885" s="1">
        <f>IF(B885="", "", "human-associated habitat")</f>
        <v>0</v>
      </c>
      <c r="G885" s="1">
        <f>IF(B885="", "", "years")</f>
        <v>0</v>
      </c>
      <c r="I885" s="1">
        <f>IF(B885="", "", "human")</f>
        <v>0</v>
      </c>
      <c r="K885" s="1">
        <f>IF(B885="", "", "cm")</f>
        <v>0</v>
      </c>
      <c r="L885" s="1">
        <f>IF(B885="", "", "Homo sapiens")</f>
        <v>0</v>
      </c>
      <c r="M885" s="1">
        <f>IF(B885="", "", "9606")</f>
        <v>0</v>
      </c>
      <c r="O885" s="1">
        <f>IF(B885="", "", "kg")</f>
        <v>0</v>
      </c>
    </row>
    <row r="886" spans="1:15">
      <c r="A886">
        <f>IF(COUNTBLANK(B886:Q886)&lt;&gt;COLUMNS(B886:Q886),885,"")</f>
        <v>0</v>
      </c>
      <c r="C886" s="1">
        <f>IF(B886="", "", "urban biome")</f>
        <v>0</v>
      </c>
      <c r="D886" s="1">
        <f>IF(B886="", "", "human-associated habitat")</f>
        <v>0</v>
      </c>
      <c r="G886" s="1">
        <f>IF(B886="", "", "years")</f>
        <v>0</v>
      </c>
      <c r="I886" s="1">
        <f>IF(B886="", "", "human")</f>
        <v>0</v>
      </c>
      <c r="K886" s="1">
        <f>IF(B886="", "", "cm")</f>
        <v>0</v>
      </c>
      <c r="L886" s="1">
        <f>IF(B886="", "", "Homo sapiens")</f>
        <v>0</v>
      </c>
      <c r="M886" s="1">
        <f>IF(B886="", "", "9606")</f>
        <v>0</v>
      </c>
      <c r="O886" s="1">
        <f>IF(B886="", "", "kg")</f>
        <v>0</v>
      </c>
    </row>
    <row r="887" spans="1:15">
      <c r="A887">
        <f>IF(COUNTBLANK(B887:Q887)&lt;&gt;COLUMNS(B887:Q887),886,"")</f>
        <v>0</v>
      </c>
      <c r="C887" s="1">
        <f>IF(B887="", "", "urban biome")</f>
        <v>0</v>
      </c>
      <c r="D887" s="1">
        <f>IF(B887="", "", "human-associated habitat")</f>
        <v>0</v>
      </c>
      <c r="G887" s="1">
        <f>IF(B887="", "", "years")</f>
        <v>0</v>
      </c>
      <c r="I887" s="1">
        <f>IF(B887="", "", "human")</f>
        <v>0</v>
      </c>
      <c r="K887" s="1">
        <f>IF(B887="", "", "cm")</f>
        <v>0</v>
      </c>
      <c r="L887" s="1">
        <f>IF(B887="", "", "Homo sapiens")</f>
        <v>0</v>
      </c>
      <c r="M887" s="1">
        <f>IF(B887="", "", "9606")</f>
        <v>0</v>
      </c>
      <c r="O887" s="1">
        <f>IF(B887="", "", "kg")</f>
        <v>0</v>
      </c>
    </row>
    <row r="888" spans="1:15">
      <c r="A888">
        <f>IF(COUNTBLANK(B888:Q888)&lt;&gt;COLUMNS(B888:Q888),887,"")</f>
        <v>0</v>
      </c>
      <c r="C888" s="1">
        <f>IF(B888="", "", "urban biome")</f>
        <v>0</v>
      </c>
      <c r="D888" s="1">
        <f>IF(B888="", "", "human-associated habitat")</f>
        <v>0</v>
      </c>
      <c r="G888" s="1">
        <f>IF(B888="", "", "years")</f>
        <v>0</v>
      </c>
      <c r="I888" s="1">
        <f>IF(B888="", "", "human")</f>
        <v>0</v>
      </c>
      <c r="K888" s="1">
        <f>IF(B888="", "", "cm")</f>
        <v>0</v>
      </c>
      <c r="L888" s="1">
        <f>IF(B888="", "", "Homo sapiens")</f>
        <v>0</v>
      </c>
      <c r="M888" s="1">
        <f>IF(B888="", "", "9606")</f>
        <v>0</v>
      </c>
      <c r="O888" s="1">
        <f>IF(B888="", "", "kg")</f>
        <v>0</v>
      </c>
    </row>
    <row r="889" spans="1:15">
      <c r="A889">
        <f>IF(COUNTBLANK(B889:Q889)&lt;&gt;COLUMNS(B889:Q889),888,"")</f>
        <v>0</v>
      </c>
      <c r="C889" s="1">
        <f>IF(B889="", "", "urban biome")</f>
        <v>0</v>
      </c>
      <c r="D889" s="1">
        <f>IF(B889="", "", "human-associated habitat")</f>
        <v>0</v>
      </c>
      <c r="G889" s="1">
        <f>IF(B889="", "", "years")</f>
        <v>0</v>
      </c>
      <c r="I889" s="1">
        <f>IF(B889="", "", "human")</f>
        <v>0</v>
      </c>
      <c r="K889" s="1">
        <f>IF(B889="", "", "cm")</f>
        <v>0</v>
      </c>
      <c r="L889" s="1">
        <f>IF(B889="", "", "Homo sapiens")</f>
        <v>0</v>
      </c>
      <c r="M889" s="1">
        <f>IF(B889="", "", "9606")</f>
        <v>0</v>
      </c>
      <c r="O889" s="1">
        <f>IF(B889="", "", "kg")</f>
        <v>0</v>
      </c>
    </row>
    <row r="890" spans="1:15">
      <c r="A890">
        <f>IF(COUNTBLANK(B890:Q890)&lt;&gt;COLUMNS(B890:Q890),889,"")</f>
        <v>0</v>
      </c>
      <c r="C890" s="1">
        <f>IF(B890="", "", "urban biome")</f>
        <v>0</v>
      </c>
      <c r="D890" s="1">
        <f>IF(B890="", "", "human-associated habitat")</f>
        <v>0</v>
      </c>
      <c r="G890" s="1">
        <f>IF(B890="", "", "years")</f>
        <v>0</v>
      </c>
      <c r="I890" s="1">
        <f>IF(B890="", "", "human")</f>
        <v>0</v>
      </c>
      <c r="K890" s="1">
        <f>IF(B890="", "", "cm")</f>
        <v>0</v>
      </c>
      <c r="L890" s="1">
        <f>IF(B890="", "", "Homo sapiens")</f>
        <v>0</v>
      </c>
      <c r="M890" s="1">
        <f>IF(B890="", "", "9606")</f>
        <v>0</v>
      </c>
      <c r="O890" s="1">
        <f>IF(B890="", "", "kg")</f>
        <v>0</v>
      </c>
    </row>
    <row r="891" spans="1:15">
      <c r="A891">
        <f>IF(COUNTBLANK(B891:Q891)&lt;&gt;COLUMNS(B891:Q891),890,"")</f>
        <v>0</v>
      </c>
      <c r="C891" s="1">
        <f>IF(B891="", "", "urban biome")</f>
        <v>0</v>
      </c>
      <c r="D891" s="1">
        <f>IF(B891="", "", "human-associated habitat")</f>
        <v>0</v>
      </c>
      <c r="G891" s="1">
        <f>IF(B891="", "", "years")</f>
        <v>0</v>
      </c>
      <c r="I891" s="1">
        <f>IF(B891="", "", "human")</f>
        <v>0</v>
      </c>
      <c r="K891" s="1">
        <f>IF(B891="", "", "cm")</f>
        <v>0</v>
      </c>
      <c r="L891" s="1">
        <f>IF(B891="", "", "Homo sapiens")</f>
        <v>0</v>
      </c>
      <c r="M891" s="1">
        <f>IF(B891="", "", "9606")</f>
        <v>0</v>
      </c>
      <c r="O891" s="1">
        <f>IF(B891="", "", "kg")</f>
        <v>0</v>
      </c>
    </row>
    <row r="892" spans="1:15">
      <c r="A892">
        <f>IF(COUNTBLANK(B892:Q892)&lt;&gt;COLUMNS(B892:Q892),891,"")</f>
        <v>0</v>
      </c>
      <c r="C892" s="1">
        <f>IF(B892="", "", "urban biome")</f>
        <v>0</v>
      </c>
      <c r="D892" s="1">
        <f>IF(B892="", "", "human-associated habitat")</f>
        <v>0</v>
      </c>
      <c r="G892" s="1">
        <f>IF(B892="", "", "years")</f>
        <v>0</v>
      </c>
      <c r="I892" s="1">
        <f>IF(B892="", "", "human")</f>
        <v>0</v>
      </c>
      <c r="K892" s="1">
        <f>IF(B892="", "", "cm")</f>
        <v>0</v>
      </c>
      <c r="L892" s="1">
        <f>IF(B892="", "", "Homo sapiens")</f>
        <v>0</v>
      </c>
      <c r="M892" s="1">
        <f>IF(B892="", "", "9606")</f>
        <v>0</v>
      </c>
      <c r="O892" s="1">
        <f>IF(B892="", "", "kg")</f>
        <v>0</v>
      </c>
    </row>
    <row r="893" spans="1:15">
      <c r="A893">
        <f>IF(COUNTBLANK(B893:Q893)&lt;&gt;COLUMNS(B893:Q893),892,"")</f>
        <v>0</v>
      </c>
      <c r="C893" s="1">
        <f>IF(B893="", "", "urban biome")</f>
        <v>0</v>
      </c>
      <c r="D893" s="1">
        <f>IF(B893="", "", "human-associated habitat")</f>
        <v>0</v>
      </c>
      <c r="G893" s="1">
        <f>IF(B893="", "", "years")</f>
        <v>0</v>
      </c>
      <c r="I893" s="1">
        <f>IF(B893="", "", "human")</f>
        <v>0</v>
      </c>
      <c r="K893" s="1">
        <f>IF(B893="", "", "cm")</f>
        <v>0</v>
      </c>
      <c r="L893" s="1">
        <f>IF(B893="", "", "Homo sapiens")</f>
        <v>0</v>
      </c>
      <c r="M893" s="1">
        <f>IF(B893="", "", "9606")</f>
        <v>0</v>
      </c>
      <c r="O893" s="1">
        <f>IF(B893="", "", "kg")</f>
        <v>0</v>
      </c>
    </row>
    <row r="894" spans="1:15">
      <c r="A894">
        <f>IF(COUNTBLANK(B894:Q894)&lt;&gt;COLUMNS(B894:Q894),893,"")</f>
        <v>0</v>
      </c>
      <c r="C894" s="1">
        <f>IF(B894="", "", "urban biome")</f>
        <v>0</v>
      </c>
      <c r="D894" s="1">
        <f>IF(B894="", "", "human-associated habitat")</f>
        <v>0</v>
      </c>
      <c r="G894" s="1">
        <f>IF(B894="", "", "years")</f>
        <v>0</v>
      </c>
      <c r="I894" s="1">
        <f>IF(B894="", "", "human")</f>
        <v>0</v>
      </c>
      <c r="K894" s="1">
        <f>IF(B894="", "", "cm")</f>
        <v>0</v>
      </c>
      <c r="L894" s="1">
        <f>IF(B894="", "", "Homo sapiens")</f>
        <v>0</v>
      </c>
      <c r="M894" s="1">
        <f>IF(B894="", "", "9606")</f>
        <v>0</v>
      </c>
      <c r="O894" s="1">
        <f>IF(B894="", "", "kg")</f>
        <v>0</v>
      </c>
    </row>
    <row r="895" spans="1:15">
      <c r="A895">
        <f>IF(COUNTBLANK(B895:Q895)&lt;&gt;COLUMNS(B895:Q895),894,"")</f>
        <v>0</v>
      </c>
      <c r="C895" s="1">
        <f>IF(B895="", "", "urban biome")</f>
        <v>0</v>
      </c>
      <c r="D895" s="1">
        <f>IF(B895="", "", "human-associated habitat")</f>
        <v>0</v>
      </c>
      <c r="G895" s="1">
        <f>IF(B895="", "", "years")</f>
        <v>0</v>
      </c>
      <c r="I895" s="1">
        <f>IF(B895="", "", "human")</f>
        <v>0</v>
      </c>
      <c r="K895" s="1">
        <f>IF(B895="", "", "cm")</f>
        <v>0</v>
      </c>
      <c r="L895" s="1">
        <f>IF(B895="", "", "Homo sapiens")</f>
        <v>0</v>
      </c>
      <c r="M895" s="1">
        <f>IF(B895="", "", "9606")</f>
        <v>0</v>
      </c>
      <c r="O895" s="1">
        <f>IF(B895="", "", "kg")</f>
        <v>0</v>
      </c>
    </row>
    <row r="896" spans="1:15">
      <c r="A896">
        <f>IF(COUNTBLANK(B896:Q896)&lt;&gt;COLUMNS(B896:Q896),895,"")</f>
        <v>0</v>
      </c>
      <c r="C896" s="1">
        <f>IF(B896="", "", "urban biome")</f>
        <v>0</v>
      </c>
      <c r="D896" s="1">
        <f>IF(B896="", "", "human-associated habitat")</f>
        <v>0</v>
      </c>
      <c r="G896" s="1">
        <f>IF(B896="", "", "years")</f>
        <v>0</v>
      </c>
      <c r="I896" s="1">
        <f>IF(B896="", "", "human")</f>
        <v>0</v>
      </c>
      <c r="K896" s="1">
        <f>IF(B896="", "", "cm")</f>
        <v>0</v>
      </c>
      <c r="L896" s="1">
        <f>IF(B896="", "", "Homo sapiens")</f>
        <v>0</v>
      </c>
      <c r="M896" s="1">
        <f>IF(B896="", "", "9606")</f>
        <v>0</v>
      </c>
      <c r="O896" s="1">
        <f>IF(B896="", "", "kg")</f>
        <v>0</v>
      </c>
    </row>
    <row r="897" spans="1:15">
      <c r="A897">
        <f>IF(COUNTBLANK(B897:Q897)&lt;&gt;COLUMNS(B897:Q897),896,"")</f>
        <v>0</v>
      </c>
      <c r="C897" s="1">
        <f>IF(B897="", "", "urban biome")</f>
        <v>0</v>
      </c>
      <c r="D897" s="1">
        <f>IF(B897="", "", "human-associated habitat")</f>
        <v>0</v>
      </c>
      <c r="G897" s="1">
        <f>IF(B897="", "", "years")</f>
        <v>0</v>
      </c>
      <c r="I897" s="1">
        <f>IF(B897="", "", "human")</f>
        <v>0</v>
      </c>
      <c r="K897" s="1">
        <f>IF(B897="", "", "cm")</f>
        <v>0</v>
      </c>
      <c r="L897" s="1">
        <f>IF(B897="", "", "Homo sapiens")</f>
        <v>0</v>
      </c>
      <c r="M897" s="1">
        <f>IF(B897="", "", "9606")</f>
        <v>0</v>
      </c>
      <c r="O897" s="1">
        <f>IF(B897="", "", "kg")</f>
        <v>0</v>
      </c>
    </row>
    <row r="898" spans="1:15">
      <c r="A898">
        <f>IF(COUNTBLANK(B898:Q898)&lt;&gt;COLUMNS(B898:Q898),897,"")</f>
        <v>0</v>
      </c>
      <c r="C898" s="1">
        <f>IF(B898="", "", "urban biome")</f>
        <v>0</v>
      </c>
      <c r="D898" s="1">
        <f>IF(B898="", "", "human-associated habitat")</f>
        <v>0</v>
      </c>
      <c r="G898" s="1">
        <f>IF(B898="", "", "years")</f>
        <v>0</v>
      </c>
      <c r="I898" s="1">
        <f>IF(B898="", "", "human")</f>
        <v>0</v>
      </c>
      <c r="K898" s="1">
        <f>IF(B898="", "", "cm")</f>
        <v>0</v>
      </c>
      <c r="L898" s="1">
        <f>IF(B898="", "", "Homo sapiens")</f>
        <v>0</v>
      </c>
      <c r="M898" s="1">
        <f>IF(B898="", "", "9606")</f>
        <v>0</v>
      </c>
      <c r="O898" s="1">
        <f>IF(B898="", "", "kg")</f>
        <v>0</v>
      </c>
    </row>
    <row r="899" spans="1:15">
      <c r="A899">
        <f>IF(COUNTBLANK(B899:Q899)&lt;&gt;COLUMNS(B899:Q899),898,"")</f>
        <v>0</v>
      </c>
      <c r="C899" s="1">
        <f>IF(B899="", "", "urban biome")</f>
        <v>0</v>
      </c>
      <c r="D899" s="1">
        <f>IF(B899="", "", "human-associated habitat")</f>
        <v>0</v>
      </c>
      <c r="G899" s="1">
        <f>IF(B899="", "", "years")</f>
        <v>0</v>
      </c>
      <c r="I899" s="1">
        <f>IF(B899="", "", "human")</f>
        <v>0</v>
      </c>
      <c r="K899" s="1">
        <f>IF(B899="", "", "cm")</f>
        <v>0</v>
      </c>
      <c r="L899" s="1">
        <f>IF(B899="", "", "Homo sapiens")</f>
        <v>0</v>
      </c>
      <c r="M899" s="1">
        <f>IF(B899="", "", "9606")</f>
        <v>0</v>
      </c>
      <c r="O899" s="1">
        <f>IF(B899="", "", "kg")</f>
        <v>0</v>
      </c>
    </row>
    <row r="900" spans="1:15">
      <c r="A900">
        <f>IF(COUNTBLANK(B900:Q900)&lt;&gt;COLUMNS(B900:Q900),899,"")</f>
        <v>0</v>
      </c>
      <c r="C900" s="1">
        <f>IF(B900="", "", "urban biome")</f>
        <v>0</v>
      </c>
      <c r="D900" s="1">
        <f>IF(B900="", "", "human-associated habitat")</f>
        <v>0</v>
      </c>
      <c r="G900" s="1">
        <f>IF(B900="", "", "years")</f>
        <v>0</v>
      </c>
      <c r="I900" s="1">
        <f>IF(B900="", "", "human")</f>
        <v>0</v>
      </c>
      <c r="K900" s="1">
        <f>IF(B900="", "", "cm")</f>
        <v>0</v>
      </c>
      <c r="L900" s="1">
        <f>IF(B900="", "", "Homo sapiens")</f>
        <v>0</v>
      </c>
      <c r="M900" s="1">
        <f>IF(B900="", "", "9606")</f>
        <v>0</v>
      </c>
      <c r="O900" s="1">
        <f>IF(B900="", "", "kg")</f>
        <v>0</v>
      </c>
    </row>
    <row r="901" spans="1:15">
      <c r="A901">
        <f>IF(COUNTBLANK(B901:Q901)&lt;&gt;COLUMNS(B901:Q901),900,"")</f>
        <v>0</v>
      </c>
      <c r="C901" s="1">
        <f>IF(B901="", "", "urban biome")</f>
        <v>0</v>
      </c>
      <c r="D901" s="1">
        <f>IF(B901="", "", "human-associated habitat")</f>
        <v>0</v>
      </c>
      <c r="G901" s="1">
        <f>IF(B901="", "", "years")</f>
        <v>0</v>
      </c>
      <c r="I901" s="1">
        <f>IF(B901="", "", "human")</f>
        <v>0</v>
      </c>
      <c r="K901" s="1">
        <f>IF(B901="", "", "cm")</f>
        <v>0</v>
      </c>
      <c r="L901" s="1">
        <f>IF(B901="", "", "Homo sapiens")</f>
        <v>0</v>
      </c>
      <c r="M901" s="1">
        <f>IF(B901="", "", "9606")</f>
        <v>0</v>
      </c>
      <c r="O901" s="1">
        <f>IF(B901="", "", "kg")</f>
        <v>0</v>
      </c>
    </row>
    <row r="902" spans="1:15">
      <c r="A902">
        <f>IF(COUNTBLANK(B902:Q902)&lt;&gt;COLUMNS(B902:Q902),901,"")</f>
        <v>0</v>
      </c>
      <c r="C902" s="1">
        <f>IF(B902="", "", "urban biome")</f>
        <v>0</v>
      </c>
      <c r="D902" s="1">
        <f>IF(B902="", "", "human-associated habitat")</f>
        <v>0</v>
      </c>
      <c r="G902" s="1">
        <f>IF(B902="", "", "years")</f>
        <v>0</v>
      </c>
      <c r="I902" s="1">
        <f>IF(B902="", "", "human")</f>
        <v>0</v>
      </c>
      <c r="K902" s="1">
        <f>IF(B902="", "", "cm")</f>
        <v>0</v>
      </c>
      <c r="L902" s="1">
        <f>IF(B902="", "", "Homo sapiens")</f>
        <v>0</v>
      </c>
      <c r="M902" s="1">
        <f>IF(B902="", "", "9606")</f>
        <v>0</v>
      </c>
      <c r="O902" s="1">
        <f>IF(B902="", "", "kg")</f>
        <v>0</v>
      </c>
    </row>
    <row r="903" spans="1:15">
      <c r="A903">
        <f>IF(COUNTBLANK(B903:Q903)&lt;&gt;COLUMNS(B903:Q903),902,"")</f>
        <v>0</v>
      </c>
      <c r="C903" s="1">
        <f>IF(B903="", "", "urban biome")</f>
        <v>0</v>
      </c>
      <c r="D903" s="1">
        <f>IF(B903="", "", "human-associated habitat")</f>
        <v>0</v>
      </c>
      <c r="G903" s="1">
        <f>IF(B903="", "", "years")</f>
        <v>0</v>
      </c>
      <c r="I903" s="1">
        <f>IF(B903="", "", "human")</f>
        <v>0</v>
      </c>
      <c r="K903" s="1">
        <f>IF(B903="", "", "cm")</f>
        <v>0</v>
      </c>
      <c r="L903" s="1">
        <f>IF(B903="", "", "Homo sapiens")</f>
        <v>0</v>
      </c>
      <c r="M903" s="1">
        <f>IF(B903="", "", "9606")</f>
        <v>0</v>
      </c>
      <c r="O903" s="1">
        <f>IF(B903="", "", "kg")</f>
        <v>0</v>
      </c>
    </row>
    <row r="904" spans="1:15">
      <c r="A904">
        <f>IF(COUNTBLANK(B904:Q904)&lt;&gt;COLUMNS(B904:Q904),903,"")</f>
        <v>0</v>
      </c>
      <c r="C904" s="1">
        <f>IF(B904="", "", "urban biome")</f>
        <v>0</v>
      </c>
      <c r="D904" s="1">
        <f>IF(B904="", "", "human-associated habitat")</f>
        <v>0</v>
      </c>
      <c r="G904" s="1">
        <f>IF(B904="", "", "years")</f>
        <v>0</v>
      </c>
      <c r="I904" s="1">
        <f>IF(B904="", "", "human")</f>
        <v>0</v>
      </c>
      <c r="K904" s="1">
        <f>IF(B904="", "", "cm")</f>
        <v>0</v>
      </c>
      <c r="L904" s="1">
        <f>IF(B904="", "", "Homo sapiens")</f>
        <v>0</v>
      </c>
      <c r="M904" s="1">
        <f>IF(B904="", "", "9606")</f>
        <v>0</v>
      </c>
      <c r="O904" s="1">
        <f>IF(B904="", "", "kg")</f>
        <v>0</v>
      </c>
    </row>
    <row r="905" spans="1:15">
      <c r="A905">
        <f>IF(COUNTBLANK(B905:Q905)&lt;&gt;COLUMNS(B905:Q905),904,"")</f>
        <v>0</v>
      </c>
      <c r="C905" s="1">
        <f>IF(B905="", "", "urban biome")</f>
        <v>0</v>
      </c>
      <c r="D905" s="1">
        <f>IF(B905="", "", "human-associated habitat")</f>
        <v>0</v>
      </c>
      <c r="G905" s="1">
        <f>IF(B905="", "", "years")</f>
        <v>0</v>
      </c>
      <c r="I905" s="1">
        <f>IF(B905="", "", "human")</f>
        <v>0</v>
      </c>
      <c r="K905" s="1">
        <f>IF(B905="", "", "cm")</f>
        <v>0</v>
      </c>
      <c r="L905" s="1">
        <f>IF(B905="", "", "Homo sapiens")</f>
        <v>0</v>
      </c>
      <c r="M905" s="1">
        <f>IF(B905="", "", "9606")</f>
        <v>0</v>
      </c>
      <c r="O905" s="1">
        <f>IF(B905="", "", "kg")</f>
        <v>0</v>
      </c>
    </row>
    <row r="906" spans="1:15">
      <c r="A906">
        <f>IF(COUNTBLANK(B906:Q906)&lt;&gt;COLUMNS(B906:Q906),905,"")</f>
        <v>0</v>
      </c>
      <c r="C906" s="1">
        <f>IF(B906="", "", "urban biome")</f>
        <v>0</v>
      </c>
      <c r="D906" s="1">
        <f>IF(B906="", "", "human-associated habitat")</f>
        <v>0</v>
      </c>
      <c r="G906" s="1">
        <f>IF(B906="", "", "years")</f>
        <v>0</v>
      </c>
      <c r="I906" s="1">
        <f>IF(B906="", "", "human")</f>
        <v>0</v>
      </c>
      <c r="K906" s="1">
        <f>IF(B906="", "", "cm")</f>
        <v>0</v>
      </c>
      <c r="L906" s="1">
        <f>IF(B906="", "", "Homo sapiens")</f>
        <v>0</v>
      </c>
      <c r="M906" s="1">
        <f>IF(B906="", "", "9606")</f>
        <v>0</v>
      </c>
      <c r="O906" s="1">
        <f>IF(B906="", "", "kg")</f>
        <v>0</v>
      </c>
    </row>
    <row r="907" spans="1:15">
      <c r="A907">
        <f>IF(COUNTBLANK(B907:Q907)&lt;&gt;COLUMNS(B907:Q907),906,"")</f>
        <v>0</v>
      </c>
      <c r="C907" s="1">
        <f>IF(B907="", "", "urban biome")</f>
        <v>0</v>
      </c>
      <c r="D907" s="1">
        <f>IF(B907="", "", "human-associated habitat")</f>
        <v>0</v>
      </c>
      <c r="G907" s="1">
        <f>IF(B907="", "", "years")</f>
        <v>0</v>
      </c>
      <c r="I907" s="1">
        <f>IF(B907="", "", "human")</f>
        <v>0</v>
      </c>
      <c r="K907" s="1">
        <f>IF(B907="", "", "cm")</f>
        <v>0</v>
      </c>
      <c r="L907" s="1">
        <f>IF(B907="", "", "Homo sapiens")</f>
        <v>0</v>
      </c>
      <c r="M907" s="1">
        <f>IF(B907="", "", "9606")</f>
        <v>0</v>
      </c>
      <c r="O907" s="1">
        <f>IF(B907="", "", "kg")</f>
        <v>0</v>
      </c>
    </row>
    <row r="908" spans="1:15">
      <c r="A908">
        <f>IF(COUNTBLANK(B908:Q908)&lt;&gt;COLUMNS(B908:Q908),907,"")</f>
        <v>0</v>
      </c>
      <c r="C908" s="1">
        <f>IF(B908="", "", "urban biome")</f>
        <v>0</v>
      </c>
      <c r="D908" s="1">
        <f>IF(B908="", "", "human-associated habitat")</f>
        <v>0</v>
      </c>
      <c r="G908" s="1">
        <f>IF(B908="", "", "years")</f>
        <v>0</v>
      </c>
      <c r="I908" s="1">
        <f>IF(B908="", "", "human")</f>
        <v>0</v>
      </c>
      <c r="K908" s="1">
        <f>IF(B908="", "", "cm")</f>
        <v>0</v>
      </c>
      <c r="L908" s="1">
        <f>IF(B908="", "", "Homo sapiens")</f>
        <v>0</v>
      </c>
      <c r="M908" s="1">
        <f>IF(B908="", "", "9606")</f>
        <v>0</v>
      </c>
      <c r="O908" s="1">
        <f>IF(B908="", "", "kg")</f>
        <v>0</v>
      </c>
    </row>
    <row r="909" spans="1:15">
      <c r="A909">
        <f>IF(COUNTBLANK(B909:Q909)&lt;&gt;COLUMNS(B909:Q909),908,"")</f>
        <v>0</v>
      </c>
      <c r="C909" s="1">
        <f>IF(B909="", "", "urban biome")</f>
        <v>0</v>
      </c>
      <c r="D909" s="1">
        <f>IF(B909="", "", "human-associated habitat")</f>
        <v>0</v>
      </c>
      <c r="G909" s="1">
        <f>IF(B909="", "", "years")</f>
        <v>0</v>
      </c>
      <c r="I909" s="1">
        <f>IF(B909="", "", "human")</f>
        <v>0</v>
      </c>
      <c r="K909" s="1">
        <f>IF(B909="", "", "cm")</f>
        <v>0</v>
      </c>
      <c r="L909" s="1">
        <f>IF(B909="", "", "Homo sapiens")</f>
        <v>0</v>
      </c>
      <c r="M909" s="1">
        <f>IF(B909="", "", "9606")</f>
        <v>0</v>
      </c>
      <c r="O909" s="1">
        <f>IF(B909="", "", "kg")</f>
        <v>0</v>
      </c>
    </row>
    <row r="910" spans="1:15">
      <c r="A910">
        <f>IF(COUNTBLANK(B910:Q910)&lt;&gt;COLUMNS(B910:Q910),909,"")</f>
        <v>0</v>
      </c>
      <c r="C910" s="1">
        <f>IF(B910="", "", "urban biome")</f>
        <v>0</v>
      </c>
      <c r="D910" s="1">
        <f>IF(B910="", "", "human-associated habitat")</f>
        <v>0</v>
      </c>
      <c r="G910" s="1">
        <f>IF(B910="", "", "years")</f>
        <v>0</v>
      </c>
      <c r="I910" s="1">
        <f>IF(B910="", "", "human")</f>
        <v>0</v>
      </c>
      <c r="K910" s="1">
        <f>IF(B910="", "", "cm")</f>
        <v>0</v>
      </c>
      <c r="L910" s="1">
        <f>IF(B910="", "", "Homo sapiens")</f>
        <v>0</v>
      </c>
      <c r="M910" s="1">
        <f>IF(B910="", "", "9606")</f>
        <v>0</v>
      </c>
      <c r="O910" s="1">
        <f>IF(B910="", "", "kg")</f>
        <v>0</v>
      </c>
    </row>
    <row r="911" spans="1:15">
      <c r="A911">
        <f>IF(COUNTBLANK(B911:Q911)&lt;&gt;COLUMNS(B911:Q911),910,"")</f>
        <v>0</v>
      </c>
      <c r="C911" s="1">
        <f>IF(B911="", "", "urban biome")</f>
        <v>0</v>
      </c>
      <c r="D911" s="1">
        <f>IF(B911="", "", "human-associated habitat")</f>
        <v>0</v>
      </c>
      <c r="G911" s="1">
        <f>IF(B911="", "", "years")</f>
        <v>0</v>
      </c>
      <c r="I911" s="1">
        <f>IF(B911="", "", "human")</f>
        <v>0</v>
      </c>
      <c r="K911" s="1">
        <f>IF(B911="", "", "cm")</f>
        <v>0</v>
      </c>
      <c r="L911" s="1">
        <f>IF(B911="", "", "Homo sapiens")</f>
        <v>0</v>
      </c>
      <c r="M911" s="1">
        <f>IF(B911="", "", "9606")</f>
        <v>0</v>
      </c>
      <c r="O911" s="1">
        <f>IF(B911="", "", "kg")</f>
        <v>0</v>
      </c>
    </row>
    <row r="912" spans="1:15">
      <c r="A912">
        <f>IF(COUNTBLANK(B912:Q912)&lt;&gt;COLUMNS(B912:Q912),911,"")</f>
        <v>0</v>
      </c>
      <c r="C912" s="1">
        <f>IF(B912="", "", "urban biome")</f>
        <v>0</v>
      </c>
      <c r="D912" s="1">
        <f>IF(B912="", "", "human-associated habitat")</f>
        <v>0</v>
      </c>
      <c r="G912" s="1">
        <f>IF(B912="", "", "years")</f>
        <v>0</v>
      </c>
      <c r="I912" s="1">
        <f>IF(B912="", "", "human")</f>
        <v>0</v>
      </c>
      <c r="K912" s="1">
        <f>IF(B912="", "", "cm")</f>
        <v>0</v>
      </c>
      <c r="L912" s="1">
        <f>IF(B912="", "", "Homo sapiens")</f>
        <v>0</v>
      </c>
      <c r="M912" s="1">
        <f>IF(B912="", "", "9606")</f>
        <v>0</v>
      </c>
      <c r="O912" s="1">
        <f>IF(B912="", "", "kg")</f>
        <v>0</v>
      </c>
    </row>
    <row r="913" spans="1:15">
      <c r="A913">
        <f>IF(COUNTBLANK(B913:Q913)&lt;&gt;COLUMNS(B913:Q913),912,"")</f>
        <v>0</v>
      </c>
      <c r="C913" s="1">
        <f>IF(B913="", "", "urban biome")</f>
        <v>0</v>
      </c>
      <c r="D913" s="1">
        <f>IF(B913="", "", "human-associated habitat")</f>
        <v>0</v>
      </c>
      <c r="G913" s="1">
        <f>IF(B913="", "", "years")</f>
        <v>0</v>
      </c>
      <c r="I913" s="1">
        <f>IF(B913="", "", "human")</f>
        <v>0</v>
      </c>
      <c r="K913" s="1">
        <f>IF(B913="", "", "cm")</f>
        <v>0</v>
      </c>
      <c r="L913" s="1">
        <f>IF(B913="", "", "Homo sapiens")</f>
        <v>0</v>
      </c>
      <c r="M913" s="1">
        <f>IF(B913="", "", "9606")</f>
        <v>0</v>
      </c>
      <c r="O913" s="1">
        <f>IF(B913="", "", "kg")</f>
        <v>0</v>
      </c>
    </row>
    <row r="914" spans="1:15">
      <c r="A914">
        <f>IF(COUNTBLANK(B914:Q914)&lt;&gt;COLUMNS(B914:Q914),913,"")</f>
        <v>0</v>
      </c>
      <c r="C914" s="1">
        <f>IF(B914="", "", "urban biome")</f>
        <v>0</v>
      </c>
      <c r="D914" s="1">
        <f>IF(B914="", "", "human-associated habitat")</f>
        <v>0</v>
      </c>
      <c r="G914" s="1">
        <f>IF(B914="", "", "years")</f>
        <v>0</v>
      </c>
      <c r="I914" s="1">
        <f>IF(B914="", "", "human")</f>
        <v>0</v>
      </c>
      <c r="K914" s="1">
        <f>IF(B914="", "", "cm")</f>
        <v>0</v>
      </c>
      <c r="L914" s="1">
        <f>IF(B914="", "", "Homo sapiens")</f>
        <v>0</v>
      </c>
      <c r="M914" s="1">
        <f>IF(B914="", "", "9606")</f>
        <v>0</v>
      </c>
      <c r="O914" s="1">
        <f>IF(B914="", "", "kg")</f>
        <v>0</v>
      </c>
    </row>
    <row r="915" spans="1:15">
      <c r="A915">
        <f>IF(COUNTBLANK(B915:Q915)&lt;&gt;COLUMNS(B915:Q915),914,"")</f>
        <v>0</v>
      </c>
      <c r="C915" s="1">
        <f>IF(B915="", "", "urban biome")</f>
        <v>0</v>
      </c>
      <c r="D915" s="1">
        <f>IF(B915="", "", "human-associated habitat")</f>
        <v>0</v>
      </c>
      <c r="G915" s="1">
        <f>IF(B915="", "", "years")</f>
        <v>0</v>
      </c>
      <c r="I915" s="1">
        <f>IF(B915="", "", "human")</f>
        <v>0</v>
      </c>
      <c r="K915" s="1">
        <f>IF(B915="", "", "cm")</f>
        <v>0</v>
      </c>
      <c r="L915" s="1">
        <f>IF(B915="", "", "Homo sapiens")</f>
        <v>0</v>
      </c>
      <c r="M915" s="1">
        <f>IF(B915="", "", "9606")</f>
        <v>0</v>
      </c>
      <c r="O915" s="1">
        <f>IF(B915="", "", "kg")</f>
        <v>0</v>
      </c>
    </row>
    <row r="916" spans="1:15">
      <c r="A916">
        <f>IF(COUNTBLANK(B916:Q916)&lt;&gt;COLUMNS(B916:Q916),915,"")</f>
        <v>0</v>
      </c>
      <c r="C916" s="1">
        <f>IF(B916="", "", "urban biome")</f>
        <v>0</v>
      </c>
      <c r="D916" s="1">
        <f>IF(B916="", "", "human-associated habitat")</f>
        <v>0</v>
      </c>
      <c r="G916" s="1">
        <f>IF(B916="", "", "years")</f>
        <v>0</v>
      </c>
      <c r="I916" s="1">
        <f>IF(B916="", "", "human")</f>
        <v>0</v>
      </c>
      <c r="K916" s="1">
        <f>IF(B916="", "", "cm")</f>
        <v>0</v>
      </c>
      <c r="L916" s="1">
        <f>IF(B916="", "", "Homo sapiens")</f>
        <v>0</v>
      </c>
      <c r="M916" s="1">
        <f>IF(B916="", "", "9606")</f>
        <v>0</v>
      </c>
      <c r="O916" s="1">
        <f>IF(B916="", "", "kg")</f>
        <v>0</v>
      </c>
    </row>
    <row r="917" spans="1:15">
      <c r="A917">
        <f>IF(COUNTBLANK(B917:Q917)&lt;&gt;COLUMNS(B917:Q917),916,"")</f>
        <v>0</v>
      </c>
      <c r="C917" s="1">
        <f>IF(B917="", "", "urban biome")</f>
        <v>0</v>
      </c>
      <c r="D917" s="1">
        <f>IF(B917="", "", "human-associated habitat")</f>
        <v>0</v>
      </c>
      <c r="G917" s="1">
        <f>IF(B917="", "", "years")</f>
        <v>0</v>
      </c>
      <c r="I917" s="1">
        <f>IF(B917="", "", "human")</f>
        <v>0</v>
      </c>
      <c r="K917" s="1">
        <f>IF(B917="", "", "cm")</f>
        <v>0</v>
      </c>
      <c r="L917" s="1">
        <f>IF(B917="", "", "Homo sapiens")</f>
        <v>0</v>
      </c>
      <c r="M917" s="1">
        <f>IF(B917="", "", "9606")</f>
        <v>0</v>
      </c>
      <c r="O917" s="1">
        <f>IF(B917="", "", "kg")</f>
        <v>0</v>
      </c>
    </row>
    <row r="918" spans="1:15">
      <c r="A918">
        <f>IF(COUNTBLANK(B918:Q918)&lt;&gt;COLUMNS(B918:Q918),917,"")</f>
        <v>0</v>
      </c>
      <c r="C918" s="1">
        <f>IF(B918="", "", "urban biome")</f>
        <v>0</v>
      </c>
      <c r="D918" s="1">
        <f>IF(B918="", "", "human-associated habitat")</f>
        <v>0</v>
      </c>
      <c r="G918" s="1">
        <f>IF(B918="", "", "years")</f>
        <v>0</v>
      </c>
      <c r="I918" s="1">
        <f>IF(B918="", "", "human")</f>
        <v>0</v>
      </c>
      <c r="K918" s="1">
        <f>IF(B918="", "", "cm")</f>
        <v>0</v>
      </c>
      <c r="L918" s="1">
        <f>IF(B918="", "", "Homo sapiens")</f>
        <v>0</v>
      </c>
      <c r="M918" s="1">
        <f>IF(B918="", "", "9606")</f>
        <v>0</v>
      </c>
      <c r="O918" s="1">
        <f>IF(B918="", "", "kg")</f>
        <v>0</v>
      </c>
    </row>
    <row r="919" spans="1:15">
      <c r="A919">
        <f>IF(COUNTBLANK(B919:Q919)&lt;&gt;COLUMNS(B919:Q919),918,"")</f>
        <v>0</v>
      </c>
      <c r="C919" s="1">
        <f>IF(B919="", "", "urban biome")</f>
        <v>0</v>
      </c>
      <c r="D919" s="1">
        <f>IF(B919="", "", "human-associated habitat")</f>
        <v>0</v>
      </c>
      <c r="G919" s="1">
        <f>IF(B919="", "", "years")</f>
        <v>0</v>
      </c>
      <c r="I919" s="1">
        <f>IF(B919="", "", "human")</f>
        <v>0</v>
      </c>
      <c r="K919" s="1">
        <f>IF(B919="", "", "cm")</f>
        <v>0</v>
      </c>
      <c r="L919" s="1">
        <f>IF(B919="", "", "Homo sapiens")</f>
        <v>0</v>
      </c>
      <c r="M919" s="1">
        <f>IF(B919="", "", "9606")</f>
        <v>0</v>
      </c>
      <c r="O919" s="1">
        <f>IF(B919="", "", "kg")</f>
        <v>0</v>
      </c>
    </row>
    <row r="920" spans="1:15">
      <c r="A920">
        <f>IF(COUNTBLANK(B920:Q920)&lt;&gt;COLUMNS(B920:Q920),919,"")</f>
        <v>0</v>
      </c>
      <c r="C920" s="1">
        <f>IF(B920="", "", "urban biome")</f>
        <v>0</v>
      </c>
      <c r="D920" s="1">
        <f>IF(B920="", "", "human-associated habitat")</f>
        <v>0</v>
      </c>
      <c r="G920" s="1">
        <f>IF(B920="", "", "years")</f>
        <v>0</v>
      </c>
      <c r="I920" s="1">
        <f>IF(B920="", "", "human")</f>
        <v>0</v>
      </c>
      <c r="K920" s="1">
        <f>IF(B920="", "", "cm")</f>
        <v>0</v>
      </c>
      <c r="L920" s="1">
        <f>IF(B920="", "", "Homo sapiens")</f>
        <v>0</v>
      </c>
      <c r="M920" s="1">
        <f>IF(B920="", "", "9606")</f>
        <v>0</v>
      </c>
      <c r="O920" s="1">
        <f>IF(B920="", "", "kg")</f>
        <v>0</v>
      </c>
    </row>
    <row r="921" spans="1:15">
      <c r="A921">
        <f>IF(COUNTBLANK(B921:Q921)&lt;&gt;COLUMNS(B921:Q921),920,"")</f>
        <v>0</v>
      </c>
      <c r="C921" s="1">
        <f>IF(B921="", "", "urban biome")</f>
        <v>0</v>
      </c>
      <c r="D921" s="1">
        <f>IF(B921="", "", "human-associated habitat")</f>
        <v>0</v>
      </c>
      <c r="G921" s="1">
        <f>IF(B921="", "", "years")</f>
        <v>0</v>
      </c>
      <c r="I921" s="1">
        <f>IF(B921="", "", "human")</f>
        <v>0</v>
      </c>
      <c r="K921" s="1">
        <f>IF(B921="", "", "cm")</f>
        <v>0</v>
      </c>
      <c r="L921" s="1">
        <f>IF(B921="", "", "Homo sapiens")</f>
        <v>0</v>
      </c>
      <c r="M921" s="1">
        <f>IF(B921="", "", "9606")</f>
        <v>0</v>
      </c>
      <c r="O921" s="1">
        <f>IF(B921="", "", "kg")</f>
        <v>0</v>
      </c>
    </row>
    <row r="922" spans="1:15">
      <c r="A922">
        <f>IF(COUNTBLANK(B922:Q922)&lt;&gt;COLUMNS(B922:Q922),921,"")</f>
        <v>0</v>
      </c>
      <c r="C922" s="1">
        <f>IF(B922="", "", "urban biome")</f>
        <v>0</v>
      </c>
      <c r="D922" s="1">
        <f>IF(B922="", "", "human-associated habitat")</f>
        <v>0</v>
      </c>
      <c r="G922" s="1">
        <f>IF(B922="", "", "years")</f>
        <v>0</v>
      </c>
      <c r="I922" s="1">
        <f>IF(B922="", "", "human")</f>
        <v>0</v>
      </c>
      <c r="K922" s="1">
        <f>IF(B922="", "", "cm")</f>
        <v>0</v>
      </c>
      <c r="L922" s="1">
        <f>IF(B922="", "", "Homo sapiens")</f>
        <v>0</v>
      </c>
      <c r="M922" s="1">
        <f>IF(B922="", "", "9606")</f>
        <v>0</v>
      </c>
      <c r="O922" s="1">
        <f>IF(B922="", "", "kg")</f>
        <v>0</v>
      </c>
    </row>
    <row r="923" spans="1:15">
      <c r="A923">
        <f>IF(COUNTBLANK(B923:Q923)&lt;&gt;COLUMNS(B923:Q923),922,"")</f>
        <v>0</v>
      </c>
      <c r="C923" s="1">
        <f>IF(B923="", "", "urban biome")</f>
        <v>0</v>
      </c>
      <c r="D923" s="1">
        <f>IF(B923="", "", "human-associated habitat")</f>
        <v>0</v>
      </c>
      <c r="G923" s="1">
        <f>IF(B923="", "", "years")</f>
        <v>0</v>
      </c>
      <c r="I923" s="1">
        <f>IF(B923="", "", "human")</f>
        <v>0</v>
      </c>
      <c r="K923" s="1">
        <f>IF(B923="", "", "cm")</f>
        <v>0</v>
      </c>
      <c r="L923" s="1">
        <f>IF(B923="", "", "Homo sapiens")</f>
        <v>0</v>
      </c>
      <c r="M923" s="1">
        <f>IF(B923="", "", "9606")</f>
        <v>0</v>
      </c>
      <c r="O923" s="1">
        <f>IF(B923="", "", "kg")</f>
        <v>0</v>
      </c>
    </row>
    <row r="924" spans="1:15">
      <c r="A924">
        <f>IF(COUNTBLANK(B924:Q924)&lt;&gt;COLUMNS(B924:Q924),923,"")</f>
        <v>0</v>
      </c>
      <c r="C924" s="1">
        <f>IF(B924="", "", "urban biome")</f>
        <v>0</v>
      </c>
      <c r="D924" s="1">
        <f>IF(B924="", "", "human-associated habitat")</f>
        <v>0</v>
      </c>
      <c r="G924" s="1">
        <f>IF(B924="", "", "years")</f>
        <v>0</v>
      </c>
      <c r="I924" s="1">
        <f>IF(B924="", "", "human")</f>
        <v>0</v>
      </c>
      <c r="K924" s="1">
        <f>IF(B924="", "", "cm")</f>
        <v>0</v>
      </c>
      <c r="L924" s="1">
        <f>IF(B924="", "", "Homo sapiens")</f>
        <v>0</v>
      </c>
      <c r="M924" s="1">
        <f>IF(B924="", "", "9606")</f>
        <v>0</v>
      </c>
      <c r="O924" s="1">
        <f>IF(B924="", "", "kg")</f>
        <v>0</v>
      </c>
    </row>
    <row r="925" spans="1:15">
      <c r="A925">
        <f>IF(COUNTBLANK(B925:Q925)&lt;&gt;COLUMNS(B925:Q925),924,"")</f>
        <v>0</v>
      </c>
      <c r="C925" s="1">
        <f>IF(B925="", "", "urban biome")</f>
        <v>0</v>
      </c>
      <c r="D925" s="1">
        <f>IF(B925="", "", "human-associated habitat")</f>
        <v>0</v>
      </c>
      <c r="G925" s="1">
        <f>IF(B925="", "", "years")</f>
        <v>0</v>
      </c>
      <c r="I925" s="1">
        <f>IF(B925="", "", "human")</f>
        <v>0</v>
      </c>
      <c r="K925" s="1">
        <f>IF(B925="", "", "cm")</f>
        <v>0</v>
      </c>
      <c r="L925" s="1">
        <f>IF(B925="", "", "Homo sapiens")</f>
        <v>0</v>
      </c>
      <c r="M925" s="1">
        <f>IF(B925="", "", "9606")</f>
        <v>0</v>
      </c>
      <c r="O925" s="1">
        <f>IF(B925="", "", "kg")</f>
        <v>0</v>
      </c>
    </row>
    <row r="926" spans="1:15">
      <c r="A926">
        <f>IF(COUNTBLANK(B926:Q926)&lt;&gt;COLUMNS(B926:Q926),925,"")</f>
        <v>0</v>
      </c>
      <c r="C926" s="1">
        <f>IF(B926="", "", "urban biome")</f>
        <v>0</v>
      </c>
      <c r="D926" s="1">
        <f>IF(B926="", "", "human-associated habitat")</f>
        <v>0</v>
      </c>
      <c r="G926" s="1">
        <f>IF(B926="", "", "years")</f>
        <v>0</v>
      </c>
      <c r="I926" s="1">
        <f>IF(B926="", "", "human")</f>
        <v>0</v>
      </c>
      <c r="K926" s="1">
        <f>IF(B926="", "", "cm")</f>
        <v>0</v>
      </c>
      <c r="L926" s="1">
        <f>IF(B926="", "", "Homo sapiens")</f>
        <v>0</v>
      </c>
      <c r="M926" s="1">
        <f>IF(B926="", "", "9606")</f>
        <v>0</v>
      </c>
      <c r="O926" s="1">
        <f>IF(B926="", "", "kg")</f>
        <v>0</v>
      </c>
    </row>
    <row r="927" spans="1:15">
      <c r="A927">
        <f>IF(COUNTBLANK(B927:Q927)&lt;&gt;COLUMNS(B927:Q927),926,"")</f>
        <v>0</v>
      </c>
      <c r="C927" s="1">
        <f>IF(B927="", "", "urban biome")</f>
        <v>0</v>
      </c>
      <c r="D927" s="1">
        <f>IF(B927="", "", "human-associated habitat")</f>
        <v>0</v>
      </c>
      <c r="G927" s="1">
        <f>IF(B927="", "", "years")</f>
        <v>0</v>
      </c>
      <c r="I927" s="1">
        <f>IF(B927="", "", "human")</f>
        <v>0</v>
      </c>
      <c r="K927" s="1">
        <f>IF(B927="", "", "cm")</f>
        <v>0</v>
      </c>
      <c r="L927" s="1">
        <f>IF(B927="", "", "Homo sapiens")</f>
        <v>0</v>
      </c>
      <c r="M927" s="1">
        <f>IF(B927="", "", "9606")</f>
        <v>0</v>
      </c>
      <c r="O927" s="1">
        <f>IF(B927="", "", "kg")</f>
        <v>0</v>
      </c>
    </row>
    <row r="928" spans="1:15">
      <c r="A928">
        <f>IF(COUNTBLANK(B928:Q928)&lt;&gt;COLUMNS(B928:Q928),927,"")</f>
        <v>0</v>
      </c>
      <c r="C928" s="1">
        <f>IF(B928="", "", "urban biome")</f>
        <v>0</v>
      </c>
      <c r="D928" s="1">
        <f>IF(B928="", "", "human-associated habitat")</f>
        <v>0</v>
      </c>
      <c r="G928" s="1">
        <f>IF(B928="", "", "years")</f>
        <v>0</v>
      </c>
      <c r="I928" s="1">
        <f>IF(B928="", "", "human")</f>
        <v>0</v>
      </c>
      <c r="K928" s="1">
        <f>IF(B928="", "", "cm")</f>
        <v>0</v>
      </c>
      <c r="L928" s="1">
        <f>IF(B928="", "", "Homo sapiens")</f>
        <v>0</v>
      </c>
      <c r="M928" s="1">
        <f>IF(B928="", "", "9606")</f>
        <v>0</v>
      </c>
      <c r="O928" s="1">
        <f>IF(B928="", "", "kg")</f>
        <v>0</v>
      </c>
    </row>
    <row r="929" spans="1:15">
      <c r="A929">
        <f>IF(COUNTBLANK(B929:Q929)&lt;&gt;COLUMNS(B929:Q929),928,"")</f>
        <v>0</v>
      </c>
      <c r="C929" s="1">
        <f>IF(B929="", "", "urban biome")</f>
        <v>0</v>
      </c>
      <c r="D929" s="1">
        <f>IF(B929="", "", "human-associated habitat")</f>
        <v>0</v>
      </c>
      <c r="G929" s="1">
        <f>IF(B929="", "", "years")</f>
        <v>0</v>
      </c>
      <c r="I929" s="1">
        <f>IF(B929="", "", "human")</f>
        <v>0</v>
      </c>
      <c r="K929" s="1">
        <f>IF(B929="", "", "cm")</f>
        <v>0</v>
      </c>
      <c r="L929" s="1">
        <f>IF(B929="", "", "Homo sapiens")</f>
        <v>0</v>
      </c>
      <c r="M929" s="1">
        <f>IF(B929="", "", "9606")</f>
        <v>0</v>
      </c>
      <c r="O929" s="1">
        <f>IF(B929="", "", "kg")</f>
        <v>0</v>
      </c>
    </row>
    <row r="930" spans="1:15">
      <c r="A930">
        <f>IF(COUNTBLANK(B930:Q930)&lt;&gt;COLUMNS(B930:Q930),929,"")</f>
        <v>0</v>
      </c>
      <c r="C930" s="1">
        <f>IF(B930="", "", "urban biome")</f>
        <v>0</v>
      </c>
      <c r="D930" s="1">
        <f>IF(B930="", "", "human-associated habitat")</f>
        <v>0</v>
      </c>
      <c r="G930" s="1">
        <f>IF(B930="", "", "years")</f>
        <v>0</v>
      </c>
      <c r="I930" s="1">
        <f>IF(B930="", "", "human")</f>
        <v>0</v>
      </c>
      <c r="K930" s="1">
        <f>IF(B930="", "", "cm")</f>
        <v>0</v>
      </c>
      <c r="L930" s="1">
        <f>IF(B930="", "", "Homo sapiens")</f>
        <v>0</v>
      </c>
      <c r="M930" s="1">
        <f>IF(B930="", "", "9606")</f>
        <v>0</v>
      </c>
      <c r="O930" s="1">
        <f>IF(B930="", "", "kg")</f>
        <v>0</v>
      </c>
    </row>
    <row r="931" spans="1:15">
      <c r="A931">
        <f>IF(COUNTBLANK(B931:Q931)&lt;&gt;COLUMNS(B931:Q931),930,"")</f>
        <v>0</v>
      </c>
      <c r="C931" s="1">
        <f>IF(B931="", "", "urban biome")</f>
        <v>0</v>
      </c>
      <c r="D931" s="1">
        <f>IF(B931="", "", "human-associated habitat")</f>
        <v>0</v>
      </c>
      <c r="G931" s="1">
        <f>IF(B931="", "", "years")</f>
        <v>0</v>
      </c>
      <c r="I931" s="1">
        <f>IF(B931="", "", "human")</f>
        <v>0</v>
      </c>
      <c r="K931" s="1">
        <f>IF(B931="", "", "cm")</f>
        <v>0</v>
      </c>
      <c r="L931" s="1">
        <f>IF(B931="", "", "Homo sapiens")</f>
        <v>0</v>
      </c>
      <c r="M931" s="1">
        <f>IF(B931="", "", "9606")</f>
        <v>0</v>
      </c>
      <c r="O931" s="1">
        <f>IF(B931="", "", "kg")</f>
        <v>0</v>
      </c>
    </row>
    <row r="932" spans="1:15">
      <c r="A932">
        <f>IF(COUNTBLANK(B932:Q932)&lt;&gt;COLUMNS(B932:Q932),931,"")</f>
        <v>0</v>
      </c>
      <c r="C932" s="1">
        <f>IF(B932="", "", "urban biome")</f>
        <v>0</v>
      </c>
      <c r="D932" s="1">
        <f>IF(B932="", "", "human-associated habitat")</f>
        <v>0</v>
      </c>
      <c r="G932" s="1">
        <f>IF(B932="", "", "years")</f>
        <v>0</v>
      </c>
      <c r="I932" s="1">
        <f>IF(B932="", "", "human")</f>
        <v>0</v>
      </c>
      <c r="K932" s="1">
        <f>IF(B932="", "", "cm")</f>
        <v>0</v>
      </c>
      <c r="L932" s="1">
        <f>IF(B932="", "", "Homo sapiens")</f>
        <v>0</v>
      </c>
      <c r="M932" s="1">
        <f>IF(B932="", "", "9606")</f>
        <v>0</v>
      </c>
      <c r="O932" s="1">
        <f>IF(B932="", "", "kg")</f>
        <v>0</v>
      </c>
    </row>
    <row r="933" spans="1:15">
      <c r="A933">
        <f>IF(COUNTBLANK(B933:Q933)&lt;&gt;COLUMNS(B933:Q933),932,"")</f>
        <v>0</v>
      </c>
      <c r="C933" s="1">
        <f>IF(B933="", "", "urban biome")</f>
        <v>0</v>
      </c>
      <c r="D933" s="1">
        <f>IF(B933="", "", "human-associated habitat")</f>
        <v>0</v>
      </c>
      <c r="G933" s="1">
        <f>IF(B933="", "", "years")</f>
        <v>0</v>
      </c>
      <c r="I933" s="1">
        <f>IF(B933="", "", "human")</f>
        <v>0</v>
      </c>
      <c r="K933" s="1">
        <f>IF(B933="", "", "cm")</f>
        <v>0</v>
      </c>
      <c r="L933" s="1">
        <f>IF(B933="", "", "Homo sapiens")</f>
        <v>0</v>
      </c>
      <c r="M933" s="1">
        <f>IF(B933="", "", "9606")</f>
        <v>0</v>
      </c>
      <c r="O933" s="1">
        <f>IF(B933="", "", "kg")</f>
        <v>0</v>
      </c>
    </row>
    <row r="934" spans="1:15">
      <c r="A934">
        <f>IF(COUNTBLANK(B934:Q934)&lt;&gt;COLUMNS(B934:Q934),933,"")</f>
        <v>0</v>
      </c>
      <c r="C934" s="1">
        <f>IF(B934="", "", "urban biome")</f>
        <v>0</v>
      </c>
      <c r="D934" s="1">
        <f>IF(B934="", "", "human-associated habitat")</f>
        <v>0</v>
      </c>
      <c r="G934" s="1">
        <f>IF(B934="", "", "years")</f>
        <v>0</v>
      </c>
      <c r="I934" s="1">
        <f>IF(B934="", "", "human")</f>
        <v>0</v>
      </c>
      <c r="K934" s="1">
        <f>IF(B934="", "", "cm")</f>
        <v>0</v>
      </c>
      <c r="L934" s="1">
        <f>IF(B934="", "", "Homo sapiens")</f>
        <v>0</v>
      </c>
      <c r="M934" s="1">
        <f>IF(B934="", "", "9606")</f>
        <v>0</v>
      </c>
      <c r="O934" s="1">
        <f>IF(B934="", "", "kg")</f>
        <v>0</v>
      </c>
    </row>
    <row r="935" spans="1:15">
      <c r="A935">
        <f>IF(COUNTBLANK(B935:Q935)&lt;&gt;COLUMNS(B935:Q935),934,"")</f>
        <v>0</v>
      </c>
      <c r="C935" s="1">
        <f>IF(B935="", "", "urban biome")</f>
        <v>0</v>
      </c>
      <c r="D935" s="1">
        <f>IF(B935="", "", "human-associated habitat")</f>
        <v>0</v>
      </c>
      <c r="G935" s="1">
        <f>IF(B935="", "", "years")</f>
        <v>0</v>
      </c>
      <c r="I935" s="1">
        <f>IF(B935="", "", "human")</f>
        <v>0</v>
      </c>
      <c r="K935" s="1">
        <f>IF(B935="", "", "cm")</f>
        <v>0</v>
      </c>
      <c r="L935" s="1">
        <f>IF(B935="", "", "Homo sapiens")</f>
        <v>0</v>
      </c>
      <c r="M935" s="1">
        <f>IF(B935="", "", "9606")</f>
        <v>0</v>
      </c>
      <c r="O935" s="1">
        <f>IF(B935="", "", "kg")</f>
        <v>0</v>
      </c>
    </row>
    <row r="936" spans="1:15">
      <c r="A936">
        <f>IF(COUNTBLANK(B936:Q936)&lt;&gt;COLUMNS(B936:Q936),935,"")</f>
        <v>0</v>
      </c>
      <c r="C936" s="1">
        <f>IF(B936="", "", "urban biome")</f>
        <v>0</v>
      </c>
      <c r="D936" s="1">
        <f>IF(B936="", "", "human-associated habitat")</f>
        <v>0</v>
      </c>
      <c r="G936" s="1">
        <f>IF(B936="", "", "years")</f>
        <v>0</v>
      </c>
      <c r="I936" s="1">
        <f>IF(B936="", "", "human")</f>
        <v>0</v>
      </c>
      <c r="K936" s="1">
        <f>IF(B936="", "", "cm")</f>
        <v>0</v>
      </c>
      <c r="L936" s="1">
        <f>IF(B936="", "", "Homo sapiens")</f>
        <v>0</v>
      </c>
      <c r="M936" s="1">
        <f>IF(B936="", "", "9606")</f>
        <v>0</v>
      </c>
      <c r="O936" s="1">
        <f>IF(B936="", "", "kg")</f>
        <v>0</v>
      </c>
    </row>
    <row r="937" spans="1:15">
      <c r="A937">
        <f>IF(COUNTBLANK(B937:Q937)&lt;&gt;COLUMNS(B937:Q937),936,"")</f>
        <v>0</v>
      </c>
      <c r="C937" s="1">
        <f>IF(B937="", "", "urban biome")</f>
        <v>0</v>
      </c>
      <c r="D937" s="1">
        <f>IF(B937="", "", "human-associated habitat")</f>
        <v>0</v>
      </c>
      <c r="G937" s="1">
        <f>IF(B937="", "", "years")</f>
        <v>0</v>
      </c>
      <c r="I937" s="1">
        <f>IF(B937="", "", "human")</f>
        <v>0</v>
      </c>
      <c r="K937" s="1">
        <f>IF(B937="", "", "cm")</f>
        <v>0</v>
      </c>
      <c r="L937" s="1">
        <f>IF(B937="", "", "Homo sapiens")</f>
        <v>0</v>
      </c>
      <c r="M937" s="1">
        <f>IF(B937="", "", "9606")</f>
        <v>0</v>
      </c>
      <c r="O937" s="1">
        <f>IF(B937="", "", "kg")</f>
        <v>0</v>
      </c>
    </row>
    <row r="938" spans="1:15">
      <c r="A938">
        <f>IF(COUNTBLANK(B938:Q938)&lt;&gt;COLUMNS(B938:Q938),937,"")</f>
        <v>0</v>
      </c>
      <c r="C938" s="1">
        <f>IF(B938="", "", "urban biome")</f>
        <v>0</v>
      </c>
      <c r="D938" s="1">
        <f>IF(B938="", "", "human-associated habitat")</f>
        <v>0</v>
      </c>
      <c r="G938" s="1">
        <f>IF(B938="", "", "years")</f>
        <v>0</v>
      </c>
      <c r="I938" s="1">
        <f>IF(B938="", "", "human")</f>
        <v>0</v>
      </c>
      <c r="K938" s="1">
        <f>IF(B938="", "", "cm")</f>
        <v>0</v>
      </c>
      <c r="L938" s="1">
        <f>IF(B938="", "", "Homo sapiens")</f>
        <v>0</v>
      </c>
      <c r="M938" s="1">
        <f>IF(B938="", "", "9606")</f>
        <v>0</v>
      </c>
      <c r="O938" s="1">
        <f>IF(B938="", "", "kg")</f>
        <v>0</v>
      </c>
    </row>
    <row r="939" spans="1:15">
      <c r="A939">
        <f>IF(COUNTBLANK(B939:Q939)&lt;&gt;COLUMNS(B939:Q939),938,"")</f>
        <v>0</v>
      </c>
      <c r="C939" s="1">
        <f>IF(B939="", "", "urban biome")</f>
        <v>0</v>
      </c>
      <c r="D939" s="1">
        <f>IF(B939="", "", "human-associated habitat")</f>
        <v>0</v>
      </c>
      <c r="G939" s="1">
        <f>IF(B939="", "", "years")</f>
        <v>0</v>
      </c>
      <c r="I939" s="1">
        <f>IF(B939="", "", "human")</f>
        <v>0</v>
      </c>
      <c r="K939" s="1">
        <f>IF(B939="", "", "cm")</f>
        <v>0</v>
      </c>
      <c r="L939" s="1">
        <f>IF(B939="", "", "Homo sapiens")</f>
        <v>0</v>
      </c>
      <c r="M939" s="1">
        <f>IF(B939="", "", "9606")</f>
        <v>0</v>
      </c>
      <c r="O939" s="1">
        <f>IF(B939="", "", "kg")</f>
        <v>0</v>
      </c>
    </row>
    <row r="940" spans="1:15">
      <c r="A940">
        <f>IF(COUNTBLANK(B940:Q940)&lt;&gt;COLUMNS(B940:Q940),939,"")</f>
        <v>0</v>
      </c>
      <c r="C940" s="1">
        <f>IF(B940="", "", "urban biome")</f>
        <v>0</v>
      </c>
      <c r="D940" s="1">
        <f>IF(B940="", "", "human-associated habitat")</f>
        <v>0</v>
      </c>
      <c r="G940" s="1">
        <f>IF(B940="", "", "years")</f>
        <v>0</v>
      </c>
      <c r="I940" s="1">
        <f>IF(B940="", "", "human")</f>
        <v>0</v>
      </c>
      <c r="K940" s="1">
        <f>IF(B940="", "", "cm")</f>
        <v>0</v>
      </c>
      <c r="L940" s="1">
        <f>IF(B940="", "", "Homo sapiens")</f>
        <v>0</v>
      </c>
      <c r="M940" s="1">
        <f>IF(B940="", "", "9606")</f>
        <v>0</v>
      </c>
      <c r="O940" s="1">
        <f>IF(B940="", "", "kg")</f>
        <v>0</v>
      </c>
    </row>
    <row r="941" spans="1:15">
      <c r="A941">
        <f>IF(COUNTBLANK(B941:Q941)&lt;&gt;COLUMNS(B941:Q941),940,"")</f>
        <v>0</v>
      </c>
      <c r="C941" s="1">
        <f>IF(B941="", "", "urban biome")</f>
        <v>0</v>
      </c>
      <c r="D941" s="1">
        <f>IF(B941="", "", "human-associated habitat")</f>
        <v>0</v>
      </c>
      <c r="G941" s="1">
        <f>IF(B941="", "", "years")</f>
        <v>0</v>
      </c>
      <c r="I941" s="1">
        <f>IF(B941="", "", "human")</f>
        <v>0</v>
      </c>
      <c r="K941" s="1">
        <f>IF(B941="", "", "cm")</f>
        <v>0</v>
      </c>
      <c r="L941" s="1">
        <f>IF(B941="", "", "Homo sapiens")</f>
        <v>0</v>
      </c>
      <c r="M941" s="1">
        <f>IF(B941="", "", "9606")</f>
        <v>0</v>
      </c>
      <c r="O941" s="1">
        <f>IF(B941="", "", "kg")</f>
        <v>0</v>
      </c>
    </row>
    <row r="942" spans="1:15">
      <c r="A942">
        <f>IF(COUNTBLANK(B942:Q942)&lt;&gt;COLUMNS(B942:Q942),941,"")</f>
        <v>0</v>
      </c>
      <c r="C942" s="1">
        <f>IF(B942="", "", "urban biome")</f>
        <v>0</v>
      </c>
      <c r="D942" s="1">
        <f>IF(B942="", "", "human-associated habitat")</f>
        <v>0</v>
      </c>
      <c r="G942" s="1">
        <f>IF(B942="", "", "years")</f>
        <v>0</v>
      </c>
      <c r="I942" s="1">
        <f>IF(B942="", "", "human")</f>
        <v>0</v>
      </c>
      <c r="K942" s="1">
        <f>IF(B942="", "", "cm")</f>
        <v>0</v>
      </c>
      <c r="L942" s="1">
        <f>IF(B942="", "", "Homo sapiens")</f>
        <v>0</v>
      </c>
      <c r="M942" s="1">
        <f>IF(B942="", "", "9606")</f>
        <v>0</v>
      </c>
      <c r="O942" s="1">
        <f>IF(B942="", "", "kg")</f>
        <v>0</v>
      </c>
    </row>
    <row r="943" spans="1:15">
      <c r="A943">
        <f>IF(COUNTBLANK(B943:Q943)&lt;&gt;COLUMNS(B943:Q943),942,"")</f>
        <v>0</v>
      </c>
      <c r="C943" s="1">
        <f>IF(B943="", "", "urban biome")</f>
        <v>0</v>
      </c>
      <c r="D943" s="1">
        <f>IF(B943="", "", "human-associated habitat")</f>
        <v>0</v>
      </c>
      <c r="G943" s="1">
        <f>IF(B943="", "", "years")</f>
        <v>0</v>
      </c>
      <c r="I943" s="1">
        <f>IF(B943="", "", "human")</f>
        <v>0</v>
      </c>
      <c r="K943" s="1">
        <f>IF(B943="", "", "cm")</f>
        <v>0</v>
      </c>
      <c r="L943" s="1">
        <f>IF(B943="", "", "Homo sapiens")</f>
        <v>0</v>
      </c>
      <c r="M943" s="1">
        <f>IF(B943="", "", "9606")</f>
        <v>0</v>
      </c>
      <c r="O943" s="1">
        <f>IF(B943="", "", "kg")</f>
        <v>0</v>
      </c>
    </row>
    <row r="944" spans="1:15">
      <c r="A944">
        <f>IF(COUNTBLANK(B944:Q944)&lt;&gt;COLUMNS(B944:Q944),943,"")</f>
        <v>0</v>
      </c>
      <c r="C944" s="1">
        <f>IF(B944="", "", "urban biome")</f>
        <v>0</v>
      </c>
      <c r="D944" s="1">
        <f>IF(B944="", "", "human-associated habitat")</f>
        <v>0</v>
      </c>
      <c r="G944" s="1">
        <f>IF(B944="", "", "years")</f>
        <v>0</v>
      </c>
      <c r="I944" s="1">
        <f>IF(B944="", "", "human")</f>
        <v>0</v>
      </c>
      <c r="K944" s="1">
        <f>IF(B944="", "", "cm")</f>
        <v>0</v>
      </c>
      <c r="L944" s="1">
        <f>IF(B944="", "", "Homo sapiens")</f>
        <v>0</v>
      </c>
      <c r="M944" s="1">
        <f>IF(B944="", "", "9606")</f>
        <v>0</v>
      </c>
      <c r="O944" s="1">
        <f>IF(B944="", "", "kg")</f>
        <v>0</v>
      </c>
    </row>
    <row r="945" spans="1:15">
      <c r="A945">
        <f>IF(COUNTBLANK(B945:Q945)&lt;&gt;COLUMNS(B945:Q945),944,"")</f>
        <v>0</v>
      </c>
      <c r="C945" s="1">
        <f>IF(B945="", "", "urban biome")</f>
        <v>0</v>
      </c>
      <c r="D945" s="1">
        <f>IF(B945="", "", "human-associated habitat")</f>
        <v>0</v>
      </c>
      <c r="G945" s="1">
        <f>IF(B945="", "", "years")</f>
        <v>0</v>
      </c>
      <c r="I945" s="1">
        <f>IF(B945="", "", "human")</f>
        <v>0</v>
      </c>
      <c r="K945" s="1">
        <f>IF(B945="", "", "cm")</f>
        <v>0</v>
      </c>
      <c r="L945" s="1">
        <f>IF(B945="", "", "Homo sapiens")</f>
        <v>0</v>
      </c>
      <c r="M945" s="1">
        <f>IF(B945="", "", "9606")</f>
        <v>0</v>
      </c>
      <c r="O945" s="1">
        <f>IF(B945="", "", "kg")</f>
        <v>0</v>
      </c>
    </row>
    <row r="946" spans="1:15">
      <c r="A946">
        <f>IF(COUNTBLANK(B946:Q946)&lt;&gt;COLUMNS(B946:Q946),945,"")</f>
        <v>0</v>
      </c>
      <c r="C946" s="1">
        <f>IF(B946="", "", "urban biome")</f>
        <v>0</v>
      </c>
      <c r="D946" s="1">
        <f>IF(B946="", "", "human-associated habitat")</f>
        <v>0</v>
      </c>
      <c r="G946" s="1">
        <f>IF(B946="", "", "years")</f>
        <v>0</v>
      </c>
      <c r="I946" s="1">
        <f>IF(B946="", "", "human")</f>
        <v>0</v>
      </c>
      <c r="K946" s="1">
        <f>IF(B946="", "", "cm")</f>
        <v>0</v>
      </c>
      <c r="L946" s="1">
        <f>IF(B946="", "", "Homo sapiens")</f>
        <v>0</v>
      </c>
      <c r="M946" s="1">
        <f>IF(B946="", "", "9606")</f>
        <v>0</v>
      </c>
      <c r="O946" s="1">
        <f>IF(B946="", "", "kg")</f>
        <v>0</v>
      </c>
    </row>
    <row r="947" spans="1:15">
      <c r="A947">
        <f>IF(COUNTBLANK(B947:Q947)&lt;&gt;COLUMNS(B947:Q947),946,"")</f>
        <v>0</v>
      </c>
      <c r="C947" s="1">
        <f>IF(B947="", "", "urban biome")</f>
        <v>0</v>
      </c>
      <c r="D947" s="1">
        <f>IF(B947="", "", "human-associated habitat")</f>
        <v>0</v>
      </c>
      <c r="G947" s="1">
        <f>IF(B947="", "", "years")</f>
        <v>0</v>
      </c>
      <c r="I947" s="1">
        <f>IF(B947="", "", "human")</f>
        <v>0</v>
      </c>
      <c r="K947" s="1">
        <f>IF(B947="", "", "cm")</f>
        <v>0</v>
      </c>
      <c r="L947" s="1">
        <f>IF(B947="", "", "Homo sapiens")</f>
        <v>0</v>
      </c>
      <c r="M947" s="1">
        <f>IF(B947="", "", "9606")</f>
        <v>0</v>
      </c>
      <c r="O947" s="1">
        <f>IF(B947="", "", "kg")</f>
        <v>0</v>
      </c>
    </row>
    <row r="948" spans="1:15">
      <c r="A948">
        <f>IF(COUNTBLANK(B948:Q948)&lt;&gt;COLUMNS(B948:Q948),947,"")</f>
        <v>0</v>
      </c>
      <c r="C948" s="1">
        <f>IF(B948="", "", "urban biome")</f>
        <v>0</v>
      </c>
      <c r="D948" s="1">
        <f>IF(B948="", "", "human-associated habitat")</f>
        <v>0</v>
      </c>
      <c r="G948" s="1">
        <f>IF(B948="", "", "years")</f>
        <v>0</v>
      </c>
      <c r="I948" s="1">
        <f>IF(B948="", "", "human")</f>
        <v>0</v>
      </c>
      <c r="K948" s="1">
        <f>IF(B948="", "", "cm")</f>
        <v>0</v>
      </c>
      <c r="L948" s="1">
        <f>IF(B948="", "", "Homo sapiens")</f>
        <v>0</v>
      </c>
      <c r="M948" s="1">
        <f>IF(B948="", "", "9606")</f>
        <v>0</v>
      </c>
      <c r="O948" s="1">
        <f>IF(B948="", "", "kg")</f>
        <v>0</v>
      </c>
    </row>
    <row r="949" spans="1:15">
      <c r="A949">
        <f>IF(COUNTBLANK(B949:Q949)&lt;&gt;COLUMNS(B949:Q949),948,"")</f>
        <v>0</v>
      </c>
      <c r="C949" s="1">
        <f>IF(B949="", "", "urban biome")</f>
        <v>0</v>
      </c>
      <c r="D949" s="1">
        <f>IF(B949="", "", "human-associated habitat")</f>
        <v>0</v>
      </c>
      <c r="G949" s="1">
        <f>IF(B949="", "", "years")</f>
        <v>0</v>
      </c>
      <c r="I949" s="1">
        <f>IF(B949="", "", "human")</f>
        <v>0</v>
      </c>
      <c r="K949" s="1">
        <f>IF(B949="", "", "cm")</f>
        <v>0</v>
      </c>
      <c r="L949" s="1">
        <f>IF(B949="", "", "Homo sapiens")</f>
        <v>0</v>
      </c>
      <c r="M949" s="1">
        <f>IF(B949="", "", "9606")</f>
        <v>0</v>
      </c>
      <c r="O949" s="1">
        <f>IF(B949="", "", "kg")</f>
        <v>0</v>
      </c>
    </row>
    <row r="950" spans="1:15">
      <c r="A950">
        <f>IF(COUNTBLANK(B950:Q950)&lt;&gt;COLUMNS(B950:Q950),949,"")</f>
        <v>0</v>
      </c>
      <c r="C950" s="1">
        <f>IF(B950="", "", "urban biome")</f>
        <v>0</v>
      </c>
      <c r="D950" s="1">
        <f>IF(B950="", "", "human-associated habitat")</f>
        <v>0</v>
      </c>
      <c r="G950" s="1">
        <f>IF(B950="", "", "years")</f>
        <v>0</v>
      </c>
      <c r="I950" s="1">
        <f>IF(B950="", "", "human")</f>
        <v>0</v>
      </c>
      <c r="K950" s="1">
        <f>IF(B950="", "", "cm")</f>
        <v>0</v>
      </c>
      <c r="L950" s="1">
        <f>IF(B950="", "", "Homo sapiens")</f>
        <v>0</v>
      </c>
      <c r="M950" s="1">
        <f>IF(B950="", "", "9606")</f>
        <v>0</v>
      </c>
      <c r="O950" s="1">
        <f>IF(B950="", "", "kg")</f>
        <v>0</v>
      </c>
    </row>
    <row r="951" spans="1:15">
      <c r="A951">
        <f>IF(COUNTBLANK(B951:Q951)&lt;&gt;COLUMNS(B951:Q951),950,"")</f>
        <v>0</v>
      </c>
      <c r="C951" s="1">
        <f>IF(B951="", "", "urban biome")</f>
        <v>0</v>
      </c>
      <c r="D951" s="1">
        <f>IF(B951="", "", "human-associated habitat")</f>
        <v>0</v>
      </c>
      <c r="G951" s="1">
        <f>IF(B951="", "", "years")</f>
        <v>0</v>
      </c>
      <c r="I951" s="1">
        <f>IF(B951="", "", "human")</f>
        <v>0</v>
      </c>
      <c r="K951" s="1">
        <f>IF(B951="", "", "cm")</f>
        <v>0</v>
      </c>
      <c r="L951" s="1">
        <f>IF(B951="", "", "Homo sapiens")</f>
        <v>0</v>
      </c>
      <c r="M951" s="1">
        <f>IF(B951="", "", "9606")</f>
        <v>0</v>
      </c>
      <c r="O951" s="1">
        <f>IF(B951="", "", "kg")</f>
        <v>0</v>
      </c>
    </row>
    <row r="952" spans="1:15">
      <c r="A952">
        <f>IF(COUNTBLANK(B952:Q952)&lt;&gt;COLUMNS(B952:Q952),951,"")</f>
        <v>0</v>
      </c>
      <c r="C952" s="1">
        <f>IF(B952="", "", "urban biome")</f>
        <v>0</v>
      </c>
      <c r="D952" s="1">
        <f>IF(B952="", "", "human-associated habitat")</f>
        <v>0</v>
      </c>
      <c r="G952" s="1">
        <f>IF(B952="", "", "years")</f>
        <v>0</v>
      </c>
      <c r="I952" s="1">
        <f>IF(B952="", "", "human")</f>
        <v>0</v>
      </c>
      <c r="K952" s="1">
        <f>IF(B952="", "", "cm")</f>
        <v>0</v>
      </c>
      <c r="L952" s="1">
        <f>IF(B952="", "", "Homo sapiens")</f>
        <v>0</v>
      </c>
      <c r="M952" s="1">
        <f>IF(B952="", "", "9606")</f>
        <v>0</v>
      </c>
      <c r="O952" s="1">
        <f>IF(B952="", "", "kg")</f>
        <v>0</v>
      </c>
    </row>
    <row r="953" spans="1:15">
      <c r="A953">
        <f>IF(COUNTBLANK(B953:Q953)&lt;&gt;COLUMNS(B953:Q953),952,"")</f>
        <v>0</v>
      </c>
      <c r="C953" s="1">
        <f>IF(B953="", "", "urban biome")</f>
        <v>0</v>
      </c>
      <c r="D953" s="1">
        <f>IF(B953="", "", "human-associated habitat")</f>
        <v>0</v>
      </c>
      <c r="G953" s="1">
        <f>IF(B953="", "", "years")</f>
        <v>0</v>
      </c>
      <c r="I953" s="1">
        <f>IF(B953="", "", "human")</f>
        <v>0</v>
      </c>
      <c r="K953" s="1">
        <f>IF(B953="", "", "cm")</f>
        <v>0</v>
      </c>
      <c r="L953" s="1">
        <f>IF(B953="", "", "Homo sapiens")</f>
        <v>0</v>
      </c>
      <c r="M953" s="1">
        <f>IF(B953="", "", "9606")</f>
        <v>0</v>
      </c>
      <c r="O953" s="1">
        <f>IF(B953="", "", "kg")</f>
        <v>0</v>
      </c>
    </row>
    <row r="954" spans="1:15">
      <c r="A954">
        <f>IF(COUNTBLANK(B954:Q954)&lt;&gt;COLUMNS(B954:Q954),953,"")</f>
        <v>0</v>
      </c>
      <c r="C954" s="1">
        <f>IF(B954="", "", "urban biome")</f>
        <v>0</v>
      </c>
      <c r="D954" s="1">
        <f>IF(B954="", "", "human-associated habitat")</f>
        <v>0</v>
      </c>
      <c r="G954" s="1">
        <f>IF(B954="", "", "years")</f>
        <v>0</v>
      </c>
      <c r="I954" s="1">
        <f>IF(B954="", "", "human")</f>
        <v>0</v>
      </c>
      <c r="K954" s="1">
        <f>IF(B954="", "", "cm")</f>
        <v>0</v>
      </c>
      <c r="L954" s="1">
        <f>IF(B954="", "", "Homo sapiens")</f>
        <v>0</v>
      </c>
      <c r="M954" s="1">
        <f>IF(B954="", "", "9606")</f>
        <v>0</v>
      </c>
      <c r="O954" s="1">
        <f>IF(B954="", "", "kg")</f>
        <v>0</v>
      </c>
    </row>
    <row r="955" spans="1:15">
      <c r="A955">
        <f>IF(COUNTBLANK(B955:Q955)&lt;&gt;COLUMNS(B955:Q955),954,"")</f>
        <v>0</v>
      </c>
      <c r="C955" s="1">
        <f>IF(B955="", "", "urban biome")</f>
        <v>0</v>
      </c>
      <c r="D955" s="1">
        <f>IF(B955="", "", "human-associated habitat")</f>
        <v>0</v>
      </c>
      <c r="G955" s="1">
        <f>IF(B955="", "", "years")</f>
        <v>0</v>
      </c>
      <c r="I955" s="1">
        <f>IF(B955="", "", "human")</f>
        <v>0</v>
      </c>
      <c r="K955" s="1">
        <f>IF(B955="", "", "cm")</f>
        <v>0</v>
      </c>
      <c r="L955" s="1">
        <f>IF(B955="", "", "Homo sapiens")</f>
        <v>0</v>
      </c>
      <c r="M955" s="1">
        <f>IF(B955="", "", "9606")</f>
        <v>0</v>
      </c>
      <c r="O955" s="1">
        <f>IF(B955="", "", "kg")</f>
        <v>0</v>
      </c>
    </row>
    <row r="956" spans="1:15">
      <c r="A956">
        <f>IF(COUNTBLANK(B956:Q956)&lt;&gt;COLUMNS(B956:Q956),955,"")</f>
        <v>0</v>
      </c>
      <c r="C956" s="1">
        <f>IF(B956="", "", "urban biome")</f>
        <v>0</v>
      </c>
      <c r="D956" s="1">
        <f>IF(B956="", "", "human-associated habitat")</f>
        <v>0</v>
      </c>
      <c r="G956" s="1">
        <f>IF(B956="", "", "years")</f>
        <v>0</v>
      </c>
      <c r="I956" s="1">
        <f>IF(B956="", "", "human")</f>
        <v>0</v>
      </c>
      <c r="K956" s="1">
        <f>IF(B956="", "", "cm")</f>
        <v>0</v>
      </c>
      <c r="L956" s="1">
        <f>IF(B956="", "", "Homo sapiens")</f>
        <v>0</v>
      </c>
      <c r="M956" s="1">
        <f>IF(B956="", "", "9606")</f>
        <v>0</v>
      </c>
      <c r="O956" s="1">
        <f>IF(B956="", "", "kg")</f>
        <v>0</v>
      </c>
    </row>
    <row r="957" spans="1:15">
      <c r="A957">
        <f>IF(COUNTBLANK(B957:Q957)&lt;&gt;COLUMNS(B957:Q957),956,"")</f>
        <v>0</v>
      </c>
      <c r="C957" s="1">
        <f>IF(B957="", "", "urban biome")</f>
        <v>0</v>
      </c>
      <c r="D957" s="1">
        <f>IF(B957="", "", "human-associated habitat")</f>
        <v>0</v>
      </c>
      <c r="G957" s="1">
        <f>IF(B957="", "", "years")</f>
        <v>0</v>
      </c>
      <c r="I957" s="1">
        <f>IF(B957="", "", "human")</f>
        <v>0</v>
      </c>
      <c r="K957" s="1">
        <f>IF(B957="", "", "cm")</f>
        <v>0</v>
      </c>
      <c r="L957" s="1">
        <f>IF(B957="", "", "Homo sapiens")</f>
        <v>0</v>
      </c>
      <c r="M957" s="1">
        <f>IF(B957="", "", "9606")</f>
        <v>0</v>
      </c>
      <c r="O957" s="1">
        <f>IF(B957="", "", "kg")</f>
        <v>0</v>
      </c>
    </row>
    <row r="958" spans="1:15">
      <c r="A958">
        <f>IF(COUNTBLANK(B958:Q958)&lt;&gt;COLUMNS(B958:Q958),957,"")</f>
        <v>0</v>
      </c>
      <c r="C958" s="1">
        <f>IF(B958="", "", "urban biome")</f>
        <v>0</v>
      </c>
      <c r="D958" s="1">
        <f>IF(B958="", "", "human-associated habitat")</f>
        <v>0</v>
      </c>
      <c r="G958" s="1">
        <f>IF(B958="", "", "years")</f>
        <v>0</v>
      </c>
      <c r="I958" s="1">
        <f>IF(B958="", "", "human")</f>
        <v>0</v>
      </c>
      <c r="K958" s="1">
        <f>IF(B958="", "", "cm")</f>
        <v>0</v>
      </c>
      <c r="L958" s="1">
        <f>IF(B958="", "", "Homo sapiens")</f>
        <v>0</v>
      </c>
      <c r="M958" s="1">
        <f>IF(B958="", "", "9606")</f>
        <v>0</v>
      </c>
      <c r="O958" s="1">
        <f>IF(B958="", "", "kg")</f>
        <v>0</v>
      </c>
    </row>
    <row r="959" spans="1:15">
      <c r="A959">
        <f>IF(COUNTBLANK(B959:Q959)&lt;&gt;COLUMNS(B959:Q959),958,"")</f>
        <v>0</v>
      </c>
      <c r="C959" s="1">
        <f>IF(B959="", "", "urban biome")</f>
        <v>0</v>
      </c>
      <c r="D959" s="1">
        <f>IF(B959="", "", "human-associated habitat")</f>
        <v>0</v>
      </c>
      <c r="G959" s="1">
        <f>IF(B959="", "", "years")</f>
        <v>0</v>
      </c>
      <c r="I959" s="1">
        <f>IF(B959="", "", "human")</f>
        <v>0</v>
      </c>
      <c r="K959" s="1">
        <f>IF(B959="", "", "cm")</f>
        <v>0</v>
      </c>
      <c r="L959" s="1">
        <f>IF(B959="", "", "Homo sapiens")</f>
        <v>0</v>
      </c>
      <c r="M959" s="1">
        <f>IF(B959="", "", "9606")</f>
        <v>0</v>
      </c>
      <c r="O959" s="1">
        <f>IF(B959="", "", "kg")</f>
        <v>0</v>
      </c>
    </row>
    <row r="960" spans="1:15">
      <c r="A960">
        <f>IF(COUNTBLANK(B960:Q960)&lt;&gt;COLUMNS(B960:Q960),959,"")</f>
        <v>0</v>
      </c>
      <c r="C960" s="1">
        <f>IF(B960="", "", "urban biome")</f>
        <v>0</v>
      </c>
      <c r="D960" s="1">
        <f>IF(B960="", "", "human-associated habitat")</f>
        <v>0</v>
      </c>
      <c r="G960" s="1">
        <f>IF(B960="", "", "years")</f>
        <v>0</v>
      </c>
      <c r="I960" s="1">
        <f>IF(B960="", "", "human")</f>
        <v>0</v>
      </c>
      <c r="K960" s="1">
        <f>IF(B960="", "", "cm")</f>
        <v>0</v>
      </c>
      <c r="L960" s="1">
        <f>IF(B960="", "", "Homo sapiens")</f>
        <v>0</v>
      </c>
      <c r="M960" s="1">
        <f>IF(B960="", "", "9606")</f>
        <v>0</v>
      </c>
      <c r="O960" s="1">
        <f>IF(B960="", "", "kg")</f>
        <v>0</v>
      </c>
    </row>
    <row r="961" spans="1:15">
      <c r="A961">
        <f>IF(COUNTBLANK(B961:Q961)&lt;&gt;COLUMNS(B961:Q961),960,"")</f>
        <v>0</v>
      </c>
      <c r="C961" s="1">
        <f>IF(B961="", "", "urban biome")</f>
        <v>0</v>
      </c>
      <c r="D961" s="1">
        <f>IF(B961="", "", "human-associated habitat")</f>
        <v>0</v>
      </c>
      <c r="G961" s="1">
        <f>IF(B961="", "", "years")</f>
        <v>0</v>
      </c>
      <c r="I961" s="1">
        <f>IF(B961="", "", "human")</f>
        <v>0</v>
      </c>
      <c r="K961" s="1">
        <f>IF(B961="", "", "cm")</f>
        <v>0</v>
      </c>
      <c r="L961" s="1">
        <f>IF(B961="", "", "Homo sapiens")</f>
        <v>0</v>
      </c>
      <c r="M961" s="1">
        <f>IF(B961="", "", "9606")</f>
        <v>0</v>
      </c>
      <c r="O961" s="1">
        <f>IF(B961="", "", "kg")</f>
        <v>0</v>
      </c>
    </row>
    <row r="962" spans="1:15">
      <c r="A962">
        <f>IF(COUNTBLANK(B962:Q962)&lt;&gt;COLUMNS(B962:Q962),961,"")</f>
        <v>0</v>
      </c>
      <c r="C962" s="1">
        <f>IF(B962="", "", "urban biome")</f>
        <v>0</v>
      </c>
      <c r="D962" s="1">
        <f>IF(B962="", "", "human-associated habitat")</f>
        <v>0</v>
      </c>
      <c r="G962" s="1">
        <f>IF(B962="", "", "years")</f>
        <v>0</v>
      </c>
      <c r="I962" s="1">
        <f>IF(B962="", "", "human")</f>
        <v>0</v>
      </c>
      <c r="K962" s="1">
        <f>IF(B962="", "", "cm")</f>
        <v>0</v>
      </c>
      <c r="L962" s="1">
        <f>IF(B962="", "", "Homo sapiens")</f>
        <v>0</v>
      </c>
      <c r="M962" s="1">
        <f>IF(B962="", "", "9606")</f>
        <v>0</v>
      </c>
      <c r="O962" s="1">
        <f>IF(B962="", "", "kg")</f>
        <v>0</v>
      </c>
    </row>
    <row r="963" spans="1:15">
      <c r="A963">
        <f>IF(COUNTBLANK(B963:Q963)&lt;&gt;COLUMNS(B963:Q963),962,"")</f>
        <v>0</v>
      </c>
      <c r="C963" s="1">
        <f>IF(B963="", "", "urban biome")</f>
        <v>0</v>
      </c>
      <c r="D963" s="1">
        <f>IF(B963="", "", "human-associated habitat")</f>
        <v>0</v>
      </c>
      <c r="G963" s="1">
        <f>IF(B963="", "", "years")</f>
        <v>0</v>
      </c>
      <c r="I963" s="1">
        <f>IF(B963="", "", "human")</f>
        <v>0</v>
      </c>
      <c r="K963" s="1">
        <f>IF(B963="", "", "cm")</f>
        <v>0</v>
      </c>
      <c r="L963" s="1">
        <f>IF(B963="", "", "Homo sapiens")</f>
        <v>0</v>
      </c>
      <c r="M963" s="1">
        <f>IF(B963="", "", "9606")</f>
        <v>0</v>
      </c>
      <c r="O963" s="1">
        <f>IF(B963="", "", "kg")</f>
        <v>0</v>
      </c>
    </row>
    <row r="964" spans="1:15">
      <c r="A964">
        <f>IF(COUNTBLANK(B964:Q964)&lt;&gt;COLUMNS(B964:Q964),963,"")</f>
        <v>0</v>
      </c>
      <c r="C964" s="1">
        <f>IF(B964="", "", "urban biome")</f>
        <v>0</v>
      </c>
      <c r="D964" s="1">
        <f>IF(B964="", "", "human-associated habitat")</f>
        <v>0</v>
      </c>
      <c r="G964" s="1">
        <f>IF(B964="", "", "years")</f>
        <v>0</v>
      </c>
      <c r="I964" s="1">
        <f>IF(B964="", "", "human")</f>
        <v>0</v>
      </c>
      <c r="K964" s="1">
        <f>IF(B964="", "", "cm")</f>
        <v>0</v>
      </c>
      <c r="L964" s="1">
        <f>IF(B964="", "", "Homo sapiens")</f>
        <v>0</v>
      </c>
      <c r="M964" s="1">
        <f>IF(B964="", "", "9606")</f>
        <v>0</v>
      </c>
      <c r="O964" s="1">
        <f>IF(B964="", "", "kg")</f>
        <v>0</v>
      </c>
    </row>
    <row r="965" spans="1:15">
      <c r="A965">
        <f>IF(COUNTBLANK(B965:Q965)&lt;&gt;COLUMNS(B965:Q965),964,"")</f>
        <v>0</v>
      </c>
      <c r="C965" s="1">
        <f>IF(B965="", "", "urban biome")</f>
        <v>0</v>
      </c>
      <c r="D965" s="1">
        <f>IF(B965="", "", "human-associated habitat")</f>
        <v>0</v>
      </c>
      <c r="G965" s="1">
        <f>IF(B965="", "", "years")</f>
        <v>0</v>
      </c>
      <c r="I965" s="1">
        <f>IF(B965="", "", "human")</f>
        <v>0</v>
      </c>
      <c r="K965" s="1">
        <f>IF(B965="", "", "cm")</f>
        <v>0</v>
      </c>
      <c r="L965" s="1">
        <f>IF(B965="", "", "Homo sapiens")</f>
        <v>0</v>
      </c>
      <c r="M965" s="1">
        <f>IF(B965="", "", "9606")</f>
        <v>0</v>
      </c>
      <c r="O965" s="1">
        <f>IF(B965="", "", "kg")</f>
        <v>0</v>
      </c>
    </row>
    <row r="966" spans="1:15">
      <c r="A966">
        <f>IF(COUNTBLANK(B966:Q966)&lt;&gt;COLUMNS(B966:Q966),965,"")</f>
        <v>0</v>
      </c>
      <c r="C966" s="1">
        <f>IF(B966="", "", "urban biome")</f>
        <v>0</v>
      </c>
      <c r="D966" s="1">
        <f>IF(B966="", "", "human-associated habitat")</f>
        <v>0</v>
      </c>
      <c r="G966" s="1">
        <f>IF(B966="", "", "years")</f>
        <v>0</v>
      </c>
      <c r="I966" s="1">
        <f>IF(B966="", "", "human")</f>
        <v>0</v>
      </c>
      <c r="K966" s="1">
        <f>IF(B966="", "", "cm")</f>
        <v>0</v>
      </c>
      <c r="L966" s="1">
        <f>IF(B966="", "", "Homo sapiens")</f>
        <v>0</v>
      </c>
      <c r="M966" s="1">
        <f>IF(B966="", "", "9606")</f>
        <v>0</v>
      </c>
      <c r="O966" s="1">
        <f>IF(B966="", "", "kg")</f>
        <v>0</v>
      </c>
    </row>
    <row r="967" spans="1:15">
      <c r="A967">
        <f>IF(COUNTBLANK(B967:Q967)&lt;&gt;COLUMNS(B967:Q967),966,"")</f>
        <v>0</v>
      </c>
      <c r="C967" s="1">
        <f>IF(B967="", "", "urban biome")</f>
        <v>0</v>
      </c>
      <c r="D967" s="1">
        <f>IF(B967="", "", "human-associated habitat")</f>
        <v>0</v>
      </c>
      <c r="G967" s="1">
        <f>IF(B967="", "", "years")</f>
        <v>0</v>
      </c>
      <c r="I967" s="1">
        <f>IF(B967="", "", "human")</f>
        <v>0</v>
      </c>
      <c r="K967" s="1">
        <f>IF(B967="", "", "cm")</f>
        <v>0</v>
      </c>
      <c r="L967" s="1">
        <f>IF(B967="", "", "Homo sapiens")</f>
        <v>0</v>
      </c>
      <c r="M967" s="1">
        <f>IF(B967="", "", "9606")</f>
        <v>0</v>
      </c>
      <c r="O967" s="1">
        <f>IF(B967="", "", "kg")</f>
        <v>0</v>
      </c>
    </row>
    <row r="968" spans="1:15">
      <c r="A968">
        <f>IF(COUNTBLANK(B968:Q968)&lt;&gt;COLUMNS(B968:Q968),967,"")</f>
        <v>0</v>
      </c>
      <c r="C968" s="1">
        <f>IF(B968="", "", "urban biome")</f>
        <v>0</v>
      </c>
      <c r="D968" s="1">
        <f>IF(B968="", "", "human-associated habitat")</f>
        <v>0</v>
      </c>
      <c r="G968" s="1">
        <f>IF(B968="", "", "years")</f>
        <v>0</v>
      </c>
      <c r="I968" s="1">
        <f>IF(B968="", "", "human")</f>
        <v>0</v>
      </c>
      <c r="K968" s="1">
        <f>IF(B968="", "", "cm")</f>
        <v>0</v>
      </c>
      <c r="L968" s="1">
        <f>IF(B968="", "", "Homo sapiens")</f>
        <v>0</v>
      </c>
      <c r="M968" s="1">
        <f>IF(B968="", "", "9606")</f>
        <v>0</v>
      </c>
      <c r="O968" s="1">
        <f>IF(B968="", "", "kg")</f>
        <v>0</v>
      </c>
    </row>
    <row r="969" spans="1:15">
      <c r="A969">
        <f>IF(COUNTBLANK(B969:Q969)&lt;&gt;COLUMNS(B969:Q969),968,"")</f>
        <v>0</v>
      </c>
      <c r="C969" s="1">
        <f>IF(B969="", "", "urban biome")</f>
        <v>0</v>
      </c>
      <c r="D969" s="1">
        <f>IF(B969="", "", "human-associated habitat")</f>
        <v>0</v>
      </c>
      <c r="G969" s="1">
        <f>IF(B969="", "", "years")</f>
        <v>0</v>
      </c>
      <c r="I969" s="1">
        <f>IF(B969="", "", "human")</f>
        <v>0</v>
      </c>
      <c r="K969" s="1">
        <f>IF(B969="", "", "cm")</f>
        <v>0</v>
      </c>
      <c r="L969" s="1">
        <f>IF(B969="", "", "Homo sapiens")</f>
        <v>0</v>
      </c>
      <c r="M969" s="1">
        <f>IF(B969="", "", "9606")</f>
        <v>0</v>
      </c>
      <c r="O969" s="1">
        <f>IF(B969="", "", "kg")</f>
        <v>0</v>
      </c>
    </row>
    <row r="970" spans="1:15">
      <c r="A970">
        <f>IF(COUNTBLANK(B970:Q970)&lt;&gt;COLUMNS(B970:Q970),969,"")</f>
        <v>0</v>
      </c>
      <c r="C970" s="1">
        <f>IF(B970="", "", "urban biome")</f>
        <v>0</v>
      </c>
      <c r="D970" s="1">
        <f>IF(B970="", "", "human-associated habitat")</f>
        <v>0</v>
      </c>
      <c r="G970" s="1">
        <f>IF(B970="", "", "years")</f>
        <v>0</v>
      </c>
      <c r="I970" s="1">
        <f>IF(B970="", "", "human")</f>
        <v>0</v>
      </c>
      <c r="K970" s="1">
        <f>IF(B970="", "", "cm")</f>
        <v>0</v>
      </c>
      <c r="L970" s="1">
        <f>IF(B970="", "", "Homo sapiens")</f>
        <v>0</v>
      </c>
      <c r="M970" s="1">
        <f>IF(B970="", "", "9606")</f>
        <v>0</v>
      </c>
      <c r="O970" s="1">
        <f>IF(B970="", "", "kg")</f>
        <v>0</v>
      </c>
    </row>
    <row r="971" spans="1:15">
      <c r="A971">
        <f>IF(COUNTBLANK(B971:Q971)&lt;&gt;COLUMNS(B971:Q971),970,"")</f>
        <v>0</v>
      </c>
      <c r="C971" s="1">
        <f>IF(B971="", "", "urban biome")</f>
        <v>0</v>
      </c>
      <c r="D971" s="1">
        <f>IF(B971="", "", "human-associated habitat")</f>
        <v>0</v>
      </c>
      <c r="G971" s="1">
        <f>IF(B971="", "", "years")</f>
        <v>0</v>
      </c>
      <c r="I971" s="1">
        <f>IF(B971="", "", "human")</f>
        <v>0</v>
      </c>
      <c r="K971" s="1">
        <f>IF(B971="", "", "cm")</f>
        <v>0</v>
      </c>
      <c r="L971" s="1">
        <f>IF(B971="", "", "Homo sapiens")</f>
        <v>0</v>
      </c>
      <c r="M971" s="1">
        <f>IF(B971="", "", "9606")</f>
        <v>0</v>
      </c>
      <c r="O971" s="1">
        <f>IF(B971="", "", "kg")</f>
        <v>0</v>
      </c>
    </row>
    <row r="972" spans="1:15">
      <c r="A972">
        <f>IF(COUNTBLANK(B972:Q972)&lt;&gt;COLUMNS(B972:Q972),971,"")</f>
        <v>0</v>
      </c>
      <c r="C972" s="1">
        <f>IF(B972="", "", "urban biome")</f>
        <v>0</v>
      </c>
      <c r="D972" s="1">
        <f>IF(B972="", "", "human-associated habitat")</f>
        <v>0</v>
      </c>
      <c r="G972" s="1">
        <f>IF(B972="", "", "years")</f>
        <v>0</v>
      </c>
      <c r="I972" s="1">
        <f>IF(B972="", "", "human")</f>
        <v>0</v>
      </c>
      <c r="K972" s="1">
        <f>IF(B972="", "", "cm")</f>
        <v>0</v>
      </c>
      <c r="L972" s="1">
        <f>IF(B972="", "", "Homo sapiens")</f>
        <v>0</v>
      </c>
      <c r="M972" s="1">
        <f>IF(B972="", "", "9606")</f>
        <v>0</v>
      </c>
      <c r="O972" s="1">
        <f>IF(B972="", "", "kg")</f>
        <v>0</v>
      </c>
    </row>
    <row r="973" spans="1:15">
      <c r="A973">
        <f>IF(COUNTBLANK(B973:Q973)&lt;&gt;COLUMNS(B973:Q973),972,"")</f>
        <v>0</v>
      </c>
      <c r="C973" s="1">
        <f>IF(B973="", "", "urban biome")</f>
        <v>0</v>
      </c>
      <c r="D973" s="1">
        <f>IF(B973="", "", "human-associated habitat")</f>
        <v>0</v>
      </c>
      <c r="G973" s="1">
        <f>IF(B973="", "", "years")</f>
        <v>0</v>
      </c>
      <c r="I973" s="1">
        <f>IF(B973="", "", "human")</f>
        <v>0</v>
      </c>
      <c r="K973" s="1">
        <f>IF(B973="", "", "cm")</f>
        <v>0</v>
      </c>
      <c r="L973" s="1">
        <f>IF(B973="", "", "Homo sapiens")</f>
        <v>0</v>
      </c>
      <c r="M973" s="1">
        <f>IF(B973="", "", "9606")</f>
        <v>0</v>
      </c>
      <c r="O973" s="1">
        <f>IF(B973="", "", "kg")</f>
        <v>0</v>
      </c>
    </row>
    <row r="974" spans="1:15">
      <c r="A974">
        <f>IF(COUNTBLANK(B974:Q974)&lt;&gt;COLUMNS(B974:Q974),973,"")</f>
        <v>0</v>
      </c>
      <c r="C974" s="1">
        <f>IF(B974="", "", "urban biome")</f>
        <v>0</v>
      </c>
      <c r="D974" s="1">
        <f>IF(B974="", "", "human-associated habitat")</f>
        <v>0</v>
      </c>
      <c r="G974" s="1">
        <f>IF(B974="", "", "years")</f>
        <v>0</v>
      </c>
      <c r="I974" s="1">
        <f>IF(B974="", "", "human")</f>
        <v>0</v>
      </c>
      <c r="K974" s="1">
        <f>IF(B974="", "", "cm")</f>
        <v>0</v>
      </c>
      <c r="L974" s="1">
        <f>IF(B974="", "", "Homo sapiens")</f>
        <v>0</v>
      </c>
      <c r="M974" s="1">
        <f>IF(B974="", "", "9606")</f>
        <v>0</v>
      </c>
      <c r="O974" s="1">
        <f>IF(B974="", "", "kg")</f>
        <v>0</v>
      </c>
    </row>
    <row r="975" spans="1:15">
      <c r="A975">
        <f>IF(COUNTBLANK(B975:Q975)&lt;&gt;COLUMNS(B975:Q975),974,"")</f>
        <v>0</v>
      </c>
      <c r="C975" s="1">
        <f>IF(B975="", "", "urban biome")</f>
        <v>0</v>
      </c>
      <c r="D975" s="1">
        <f>IF(B975="", "", "human-associated habitat")</f>
        <v>0</v>
      </c>
      <c r="G975" s="1">
        <f>IF(B975="", "", "years")</f>
        <v>0</v>
      </c>
      <c r="I975" s="1">
        <f>IF(B975="", "", "human")</f>
        <v>0</v>
      </c>
      <c r="K975" s="1">
        <f>IF(B975="", "", "cm")</f>
        <v>0</v>
      </c>
      <c r="L975" s="1">
        <f>IF(B975="", "", "Homo sapiens")</f>
        <v>0</v>
      </c>
      <c r="M975" s="1">
        <f>IF(B975="", "", "9606")</f>
        <v>0</v>
      </c>
      <c r="O975" s="1">
        <f>IF(B975="", "", "kg")</f>
        <v>0</v>
      </c>
    </row>
    <row r="976" spans="1:15">
      <c r="A976">
        <f>IF(COUNTBLANK(B976:Q976)&lt;&gt;COLUMNS(B976:Q976),975,"")</f>
        <v>0</v>
      </c>
      <c r="C976" s="1">
        <f>IF(B976="", "", "urban biome")</f>
        <v>0</v>
      </c>
      <c r="D976" s="1">
        <f>IF(B976="", "", "human-associated habitat")</f>
        <v>0</v>
      </c>
      <c r="G976" s="1">
        <f>IF(B976="", "", "years")</f>
        <v>0</v>
      </c>
      <c r="I976" s="1">
        <f>IF(B976="", "", "human")</f>
        <v>0</v>
      </c>
      <c r="K976" s="1">
        <f>IF(B976="", "", "cm")</f>
        <v>0</v>
      </c>
      <c r="L976" s="1">
        <f>IF(B976="", "", "Homo sapiens")</f>
        <v>0</v>
      </c>
      <c r="M976" s="1">
        <f>IF(B976="", "", "9606")</f>
        <v>0</v>
      </c>
      <c r="O976" s="1">
        <f>IF(B976="", "", "kg")</f>
        <v>0</v>
      </c>
    </row>
    <row r="977" spans="1:15">
      <c r="A977">
        <f>IF(COUNTBLANK(B977:Q977)&lt;&gt;COLUMNS(B977:Q977),976,"")</f>
        <v>0</v>
      </c>
      <c r="C977" s="1">
        <f>IF(B977="", "", "urban biome")</f>
        <v>0</v>
      </c>
      <c r="D977" s="1">
        <f>IF(B977="", "", "human-associated habitat")</f>
        <v>0</v>
      </c>
      <c r="G977" s="1">
        <f>IF(B977="", "", "years")</f>
        <v>0</v>
      </c>
      <c r="I977" s="1">
        <f>IF(B977="", "", "human")</f>
        <v>0</v>
      </c>
      <c r="K977" s="1">
        <f>IF(B977="", "", "cm")</f>
        <v>0</v>
      </c>
      <c r="L977" s="1">
        <f>IF(B977="", "", "Homo sapiens")</f>
        <v>0</v>
      </c>
      <c r="M977" s="1">
        <f>IF(B977="", "", "9606")</f>
        <v>0</v>
      </c>
      <c r="O977" s="1">
        <f>IF(B977="", "", "kg")</f>
        <v>0</v>
      </c>
    </row>
    <row r="978" spans="1:15">
      <c r="A978">
        <f>IF(COUNTBLANK(B978:Q978)&lt;&gt;COLUMNS(B978:Q978),977,"")</f>
        <v>0</v>
      </c>
      <c r="C978" s="1">
        <f>IF(B978="", "", "urban biome")</f>
        <v>0</v>
      </c>
      <c r="D978" s="1">
        <f>IF(B978="", "", "human-associated habitat")</f>
        <v>0</v>
      </c>
      <c r="G978" s="1">
        <f>IF(B978="", "", "years")</f>
        <v>0</v>
      </c>
      <c r="I978" s="1">
        <f>IF(B978="", "", "human")</f>
        <v>0</v>
      </c>
      <c r="K978" s="1">
        <f>IF(B978="", "", "cm")</f>
        <v>0</v>
      </c>
      <c r="L978" s="1">
        <f>IF(B978="", "", "Homo sapiens")</f>
        <v>0</v>
      </c>
      <c r="M978" s="1">
        <f>IF(B978="", "", "9606")</f>
        <v>0</v>
      </c>
      <c r="O978" s="1">
        <f>IF(B978="", "", "kg")</f>
        <v>0</v>
      </c>
    </row>
    <row r="979" spans="1:15">
      <c r="A979">
        <f>IF(COUNTBLANK(B979:Q979)&lt;&gt;COLUMNS(B979:Q979),978,"")</f>
        <v>0</v>
      </c>
      <c r="C979" s="1">
        <f>IF(B979="", "", "urban biome")</f>
        <v>0</v>
      </c>
      <c r="D979" s="1">
        <f>IF(B979="", "", "human-associated habitat")</f>
        <v>0</v>
      </c>
      <c r="G979" s="1">
        <f>IF(B979="", "", "years")</f>
        <v>0</v>
      </c>
      <c r="I979" s="1">
        <f>IF(B979="", "", "human")</f>
        <v>0</v>
      </c>
      <c r="K979" s="1">
        <f>IF(B979="", "", "cm")</f>
        <v>0</v>
      </c>
      <c r="L979" s="1">
        <f>IF(B979="", "", "Homo sapiens")</f>
        <v>0</v>
      </c>
      <c r="M979" s="1">
        <f>IF(B979="", "", "9606")</f>
        <v>0</v>
      </c>
      <c r="O979" s="1">
        <f>IF(B979="", "", "kg")</f>
        <v>0</v>
      </c>
    </row>
    <row r="980" spans="1:15">
      <c r="A980">
        <f>IF(COUNTBLANK(B980:Q980)&lt;&gt;COLUMNS(B980:Q980),979,"")</f>
        <v>0</v>
      </c>
      <c r="C980" s="1">
        <f>IF(B980="", "", "urban biome")</f>
        <v>0</v>
      </c>
      <c r="D980" s="1">
        <f>IF(B980="", "", "human-associated habitat")</f>
        <v>0</v>
      </c>
      <c r="G980" s="1">
        <f>IF(B980="", "", "years")</f>
        <v>0</v>
      </c>
      <c r="I980" s="1">
        <f>IF(B980="", "", "human")</f>
        <v>0</v>
      </c>
      <c r="K980" s="1">
        <f>IF(B980="", "", "cm")</f>
        <v>0</v>
      </c>
      <c r="L980" s="1">
        <f>IF(B980="", "", "Homo sapiens")</f>
        <v>0</v>
      </c>
      <c r="M980" s="1">
        <f>IF(B980="", "", "9606")</f>
        <v>0</v>
      </c>
      <c r="O980" s="1">
        <f>IF(B980="", "", "kg")</f>
        <v>0</v>
      </c>
    </row>
    <row r="981" spans="1:15">
      <c r="A981">
        <f>IF(COUNTBLANK(B981:Q981)&lt;&gt;COLUMNS(B981:Q981),980,"")</f>
        <v>0</v>
      </c>
      <c r="C981" s="1">
        <f>IF(B981="", "", "urban biome")</f>
        <v>0</v>
      </c>
      <c r="D981" s="1">
        <f>IF(B981="", "", "human-associated habitat")</f>
        <v>0</v>
      </c>
      <c r="G981" s="1">
        <f>IF(B981="", "", "years")</f>
        <v>0</v>
      </c>
      <c r="I981" s="1">
        <f>IF(B981="", "", "human")</f>
        <v>0</v>
      </c>
      <c r="K981" s="1">
        <f>IF(B981="", "", "cm")</f>
        <v>0</v>
      </c>
      <c r="L981" s="1">
        <f>IF(B981="", "", "Homo sapiens")</f>
        <v>0</v>
      </c>
      <c r="M981" s="1">
        <f>IF(B981="", "", "9606")</f>
        <v>0</v>
      </c>
      <c r="O981" s="1">
        <f>IF(B981="", "", "kg")</f>
        <v>0</v>
      </c>
    </row>
    <row r="982" spans="1:15">
      <c r="A982">
        <f>IF(COUNTBLANK(B982:Q982)&lt;&gt;COLUMNS(B982:Q982),981,"")</f>
        <v>0</v>
      </c>
      <c r="C982" s="1">
        <f>IF(B982="", "", "urban biome")</f>
        <v>0</v>
      </c>
      <c r="D982" s="1">
        <f>IF(B982="", "", "human-associated habitat")</f>
        <v>0</v>
      </c>
      <c r="G982" s="1">
        <f>IF(B982="", "", "years")</f>
        <v>0</v>
      </c>
      <c r="I982" s="1">
        <f>IF(B982="", "", "human")</f>
        <v>0</v>
      </c>
      <c r="K982" s="1">
        <f>IF(B982="", "", "cm")</f>
        <v>0</v>
      </c>
      <c r="L982" s="1">
        <f>IF(B982="", "", "Homo sapiens")</f>
        <v>0</v>
      </c>
      <c r="M982" s="1">
        <f>IF(B982="", "", "9606")</f>
        <v>0</v>
      </c>
      <c r="O982" s="1">
        <f>IF(B982="", "", "kg")</f>
        <v>0</v>
      </c>
    </row>
    <row r="983" spans="1:15">
      <c r="A983">
        <f>IF(COUNTBLANK(B983:Q983)&lt;&gt;COLUMNS(B983:Q983),982,"")</f>
        <v>0</v>
      </c>
      <c r="C983" s="1">
        <f>IF(B983="", "", "urban biome")</f>
        <v>0</v>
      </c>
      <c r="D983" s="1">
        <f>IF(B983="", "", "human-associated habitat")</f>
        <v>0</v>
      </c>
      <c r="G983" s="1">
        <f>IF(B983="", "", "years")</f>
        <v>0</v>
      </c>
      <c r="I983" s="1">
        <f>IF(B983="", "", "human")</f>
        <v>0</v>
      </c>
      <c r="K983" s="1">
        <f>IF(B983="", "", "cm")</f>
        <v>0</v>
      </c>
      <c r="L983" s="1">
        <f>IF(B983="", "", "Homo sapiens")</f>
        <v>0</v>
      </c>
      <c r="M983" s="1">
        <f>IF(B983="", "", "9606")</f>
        <v>0</v>
      </c>
      <c r="O983" s="1">
        <f>IF(B983="", "", "kg")</f>
        <v>0</v>
      </c>
    </row>
    <row r="984" spans="1:15">
      <c r="A984">
        <f>IF(COUNTBLANK(B984:Q984)&lt;&gt;COLUMNS(B984:Q984),983,"")</f>
        <v>0</v>
      </c>
      <c r="C984" s="1">
        <f>IF(B984="", "", "urban biome")</f>
        <v>0</v>
      </c>
      <c r="D984" s="1">
        <f>IF(B984="", "", "human-associated habitat")</f>
        <v>0</v>
      </c>
      <c r="G984" s="1">
        <f>IF(B984="", "", "years")</f>
        <v>0</v>
      </c>
      <c r="I984" s="1">
        <f>IF(B984="", "", "human")</f>
        <v>0</v>
      </c>
      <c r="K984" s="1">
        <f>IF(B984="", "", "cm")</f>
        <v>0</v>
      </c>
      <c r="L984" s="1">
        <f>IF(B984="", "", "Homo sapiens")</f>
        <v>0</v>
      </c>
      <c r="M984" s="1">
        <f>IF(B984="", "", "9606")</f>
        <v>0</v>
      </c>
      <c r="O984" s="1">
        <f>IF(B984="", "", "kg")</f>
        <v>0</v>
      </c>
    </row>
    <row r="985" spans="1:15">
      <c r="A985">
        <f>IF(COUNTBLANK(B985:Q985)&lt;&gt;COLUMNS(B985:Q985),984,"")</f>
        <v>0</v>
      </c>
      <c r="C985" s="1">
        <f>IF(B985="", "", "urban biome")</f>
        <v>0</v>
      </c>
      <c r="D985" s="1">
        <f>IF(B985="", "", "human-associated habitat")</f>
        <v>0</v>
      </c>
      <c r="G985" s="1">
        <f>IF(B985="", "", "years")</f>
        <v>0</v>
      </c>
      <c r="I985" s="1">
        <f>IF(B985="", "", "human")</f>
        <v>0</v>
      </c>
      <c r="K985" s="1">
        <f>IF(B985="", "", "cm")</f>
        <v>0</v>
      </c>
      <c r="L985" s="1">
        <f>IF(B985="", "", "Homo sapiens")</f>
        <v>0</v>
      </c>
      <c r="M985" s="1">
        <f>IF(B985="", "", "9606")</f>
        <v>0</v>
      </c>
      <c r="O985" s="1">
        <f>IF(B985="", "", "kg")</f>
        <v>0</v>
      </c>
    </row>
    <row r="986" spans="1:15">
      <c r="A986">
        <f>IF(COUNTBLANK(B986:Q986)&lt;&gt;COLUMNS(B986:Q986),985,"")</f>
        <v>0</v>
      </c>
      <c r="C986" s="1">
        <f>IF(B986="", "", "urban biome")</f>
        <v>0</v>
      </c>
      <c r="D986" s="1">
        <f>IF(B986="", "", "human-associated habitat")</f>
        <v>0</v>
      </c>
      <c r="G986" s="1">
        <f>IF(B986="", "", "years")</f>
        <v>0</v>
      </c>
      <c r="I986" s="1">
        <f>IF(B986="", "", "human")</f>
        <v>0</v>
      </c>
      <c r="K986" s="1">
        <f>IF(B986="", "", "cm")</f>
        <v>0</v>
      </c>
      <c r="L986" s="1">
        <f>IF(B986="", "", "Homo sapiens")</f>
        <v>0</v>
      </c>
      <c r="M986" s="1">
        <f>IF(B986="", "", "9606")</f>
        <v>0</v>
      </c>
      <c r="O986" s="1">
        <f>IF(B986="", "", "kg")</f>
        <v>0</v>
      </c>
    </row>
    <row r="987" spans="1:15">
      <c r="A987">
        <f>IF(COUNTBLANK(B987:Q987)&lt;&gt;COLUMNS(B987:Q987),986,"")</f>
        <v>0</v>
      </c>
      <c r="C987" s="1">
        <f>IF(B987="", "", "urban biome")</f>
        <v>0</v>
      </c>
      <c r="D987" s="1">
        <f>IF(B987="", "", "human-associated habitat")</f>
        <v>0</v>
      </c>
      <c r="G987" s="1">
        <f>IF(B987="", "", "years")</f>
        <v>0</v>
      </c>
      <c r="I987" s="1">
        <f>IF(B987="", "", "human")</f>
        <v>0</v>
      </c>
      <c r="K987" s="1">
        <f>IF(B987="", "", "cm")</f>
        <v>0</v>
      </c>
      <c r="L987" s="1">
        <f>IF(B987="", "", "Homo sapiens")</f>
        <v>0</v>
      </c>
      <c r="M987" s="1">
        <f>IF(B987="", "", "9606")</f>
        <v>0</v>
      </c>
      <c r="O987" s="1">
        <f>IF(B987="", "", "kg")</f>
        <v>0</v>
      </c>
    </row>
    <row r="988" spans="1:15">
      <c r="A988">
        <f>IF(COUNTBLANK(B988:Q988)&lt;&gt;COLUMNS(B988:Q988),987,"")</f>
        <v>0</v>
      </c>
      <c r="C988" s="1">
        <f>IF(B988="", "", "urban biome")</f>
        <v>0</v>
      </c>
      <c r="D988" s="1">
        <f>IF(B988="", "", "human-associated habitat")</f>
        <v>0</v>
      </c>
      <c r="G988" s="1">
        <f>IF(B988="", "", "years")</f>
        <v>0</v>
      </c>
      <c r="I988" s="1">
        <f>IF(B988="", "", "human")</f>
        <v>0</v>
      </c>
      <c r="K988" s="1">
        <f>IF(B988="", "", "cm")</f>
        <v>0</v>
      </c>
      <c r="L988" s="1">
        <f>IF(B988="", "", "Homo sapiens")</f>
        <v>0</v>
      </c>
      <c r="M988" s="1">
        <f>IF(B988="", "", "9606")</f>
        <v>0</v>
      </c>
      <c r="O988" s="1">
        <f>IF(B988="", "", "kg")</f>
        <v>0</v>
      </c>
    </row>
    <row r="989" spans="1:15">
      <c r="A989">
        <f>IF(COUNTBLANK(B989:Q989)&lt;&gt;COLUMNS(B989:Q989),988,"")</f>
        <v>0</v>
      </c>
      <c r="C989" s="1">
        <f>IF(B989="", "", "urban biome")</f>
        <v>0</v>
      </c>
      <c r="D989" s="1">
        <f>IF(B989="", "", "human-associated habitat")</f>
        <v>0</v>
      </c>
      <c r="G989" s="1">
        <f>IF(B989="", "", "years")</f>
        <v>0</v>
      </c>
      <c r="I989" s="1">
        <f>IF(B989="", "", "human")</f>
        <v>0</v>
      </c>
      <c r="K989" s="1">
        <f>IF(B989="", "", "cm")</f>
        <v>0</v>
      </c>
      <c r="L989" s="1">
        <f>IF(B989="", "", "Homo sapiens")</f>
        <v>0</v>
      </c>
      <c r="M989" s="1">
        <f>IF(B989="", "", "9606")</f>
        <v>0</v>
      </c>
      <c r="O989" s="1">
        <f>IF(B989="", "", "kg")</f>
        <v>0</v>
      </c>
    </row>
    <row r="990" spans="1:15">
      <c r="A990">
        <f>IF(COUNTBLANK(B990:Q990)&lt;&gt;COLUMNS(B990:Q990),989,"")</f>
        <v>0</v>
      </c>
      <c r="C990" s="1">
        <f>IF(B990="", "", "urban biome")</f>
        <v>0</v>
      </c>
      <c r="D990" s="1">
        <f>IF(B990="", "", "human-associated habitat")</f>
        <v>0</v>
      </c>
      <c r="G990" s="1">
        <f>IF(B990="", "", "years")</f>
        <v>0</v>
      </c>
      <c r="I990" s="1">
        <f>IF(B990="", "", "human")</f>
        <v>0</v>
      </c>
      <c r="K990" s="1">
        <f>IF(B990="", "", "cm")</f>
        <v>0</v>
      </c>
      <c r="L990" s="1">
        <f>IF(B990="", "", "Homo sapiens")</f>
        <v>0</v>
      </c>
      <c r="M990" s="1">
        <f>IF(B990="", "", "9606")</f>
        <v>0</v>
      </c>
      <c r="O990" s="1">
        <f>IF(B990="", "", "kg")</f>
        <v>0</v>
      </c>
    </row>
    <row r="991" spans="1:15">
      <c r="A991">
        <f>IF(COUNTBLANK(B991:Q991)&lt;&gt;COLUMNS(B991:Q991),990,"")</f>
        <v>0</v>
      </c>
      <c r="C991" s="1">
        <f>IF(B991="", "", "urban biome")</f>
        <v>0</v>
      </c>
      <c r="D991" s="1">
        <f>IF(B991="", "", "human-associated habitat")</f>
        <v>0</v>
      </c>
      <c r="G991" s="1">
        <f>IF(B991="", "", "years")</f>
        <v>0</v>
      </c>
      <c r="I991" s="1">
        <f>IF(B991="", "", "human")</f>
        <v>0</v>
      </c>
      <c r="K991" s="1">
        <f>IF(B991="", "", "cm")</f>
        <v>0</v>
      </c>
      <c r="L991" s="1">
        <f>IF(B991="", "", "Homo sapiens")</f>
        <v>0</v>
      </c>
      <c r="M991" s="1">
        <f>IF(B991="", "", "9606")</f>
        <v>0</v>
      </c>
      <c r="O991" s="1">
        <f>IF(B991="", "", "kg")</f>
        <v>0</v>
      </c>
    </row>
    <row r="992" spans="1:15">
      <c r="A992">
        <f>IF(COUNTBLANK(B992:Q992)&lt;&gt;COLUMNS(B992:Q992),991,"")</f>
        <v>0</v>
      </c>
      <c r="C992" s="1">
        <f>IF(B992="", "", "urban biome")</f>
        <v>0</v>
      </c>
      <c r="D992" s="1">
        <f>IF(B992="", "", "human-associated habitat")</f>
        <v>0</v>
      </c>
      <c r="G992" s="1">
        <f>IF(B992="", "", "years")</f>
        <v>0</v>
      </c>
      <c r="I992" s="1">
        <f>IF(B992="", "", "human")</f>
        <v>0</v>
      </c>
      <c r="K992" s="1">
        <f>IF(B992="", "", "cm")</f>
        <v>0</v>
      </c>
      <c r="L992" s="1">
        <f>IF(B992="", "", "Homo sapiens")</f>
        <v>0</v>
      </c>
      <c r="M992" s="1">
        <f>IF(B992="", "", "9606")</f>
        <v>0</v>
      </c>
      <c r="O992" s="1">
        <f>IF(B992="", "", "kg")</f>
        <v>0</v>
      </c>
    </row>
    <row r="993" spans="1:15">
      <c r="A993">
        <f>IF(COUNTBLANK(B993:Q993)&lt;&gt;COLUMNS(B993:Q993),992,"")</f>
        <v>0</v>
      </c>
      <c r="C993" s="1">
        <f>IF(B993="", "", "urban biome")</f>
        <v>0</v>
      </c>
      <c r="D993" s="1">
        <f>IF(B993="", "", "human-associated habitat")</f>
        <v>0</v>
      </c>
      <c r="G993" s="1">
        <f>IF(B993="", "", "years")</f>
        <v>0</v>
      </c>
      <c r="I993" s="1">
        <f>IF(B993="", "", "human")</f>
        <v>0</v>
      </c>
      <c r="K993" s="1">
        <f>IF(B993="", "", "cm")</f>
        <v>0</v>
      </c>
      <c r="L993" s="1">
        <f>IF(B993="", "", "Homo sapiens")</f>
        <v>0</v>
      </c>
      <c r="M993" s="1">
        <f>IF(B993="", "", "9606")</f>
        <v>0</v>
      </c>
      <c r="O993" s="1">
        <f>IF(B993="", "", "kg")</f>
        <v>0</v>
      </c>
    </row>
    <row r="994" spans="1:15">
      <c r="A994">
        <f>IF(COUNTBLANK(B994:Q994)&lt;&gt;COLUMNS(B994:Q994),993,"")</f>
        <v>0</v>
      </c>
      <c r="C994" s="1">
        <f>IF(B994="", "", "urban biome")</f>
        <v>0</v>
      </c>
      <c r="D994" s="1">
        <f>IF(B994="", "", "human-associated habitat")</f>
        <v>0</v>
      </c>
      <c r="G994" s="1">
        <f>IF(B994="", "", "years")</f>
        <v>0</v>
      </c>
      <c r="I994" s="1">
        <f>IF(B994="", "", "human")</f>
        <v>0</v>
      </c>
      <c r="K994" s="1">
        <f>IF(B994="", "", "cm")</f>
        <v>0</v>
      </c>
      <c r="L994" s="1">
        <f>IF(B994="", "", "Homo sapiens")</f>
        <v>0</v>
      </c>
      <c r="M994" s="1">
        <f>IF(B994="", "", "9606")</f>
        <v>0</v>
      </c>
      <c r="O994" s="1">
        <f>IF(B994="", "", "kg")</f>
        <v>0</v>
      </c>
    </row>
    <row r="995" spans="1:15">
      <c r="A995">
        <f>IF(COUNTBLANK(B995:Q995)&lt;&gt;COLUMNS(B995:Q995),994,"")</f>
        <v>0</v>
      </c>
      <c r="C995" s="1">
        <f>IF(B995="", "", "urban biome")</f>
        <v>0</v>
      </c>
      <c r="D995" s="1">
        <f>IF(B995="", "", "human-associated habitat")</f>
        <v>0</v>
      </c>
      <c r="G995" s="1">
        <f>IF(B995="", "", "years")</f>
        <v>0</v>
      </c>
      <c r="I995" s="1">
        <f>IF(B995="", "", "human")</f>
        <v>0</v>
      </c>
      <c r="K995" s="1">
        <f>IF(B995="", "", "cm")</f>
        <v>0</v>
      </c>
      <c r="L995" s="1">
        <f>IF(B995="", "", "Homo sapiens")</f>
        <v>0</v>
      </c>
      <c r="M995" s="1">
        <f>IF(B995="", "", "9606")</f>
        <v>0</v>
      </c>
      <c r="O995" s="1">
        <f>IF(B995="", "", "kg")</f>
        <v>0</v>
      </c>
    </row>
    <row r="996" spans="1:15">
      <c r="A996">
        <f>IF(COUNTBLANK(B996:Q996)&lt;&gt;COLUMNS(B996:Q996),995,"")</f>
        <v>0</v>
      </c>
      <c r="C996" s="1">
        <f>IF(B996="", "", "urban biome")</f>
        <v>0</v>
      </c>
      <c r="D996" s="1">
        <f>IF(B996="", "", "human-associated habitat")</f>
        <v>0</v>
      </c>
      <c r="G996" s="1">
        <f>IF(B996="", "", "years")</f>
        <v>0</v>
      </c>
      <c r="I996" s="1">
        <f>IF(B996="", "", "human")</f>
        <v>0</v>
      </c>
      <c r="K996" s="1">
        <f>IF(B996="", "", "cm")</f>
        <v>0</v>
      </c>
      <c r="L996" s="1">
        <f>IF(B996="", "", "Homo sapiens")</f>
        <v>0</v>
      </c>
      <c r="M996" s="1">
        <f>IF(B996="", "", "9606")</f>
        <v>0</v>
      </c>
      <c r="O996" s="1">
        <f>IF(B996="", "", "kg")</f>
        <v>0</v>
      </c>
    </row>
    <row r="997" spans="1:15">
      <c r="A997">
        <f>IF(COUNTBLANK(B997:Q997)&lt;&gt;COLUMNS(B997:Q997),996,"")</f>
        <v>0</v>
      </c>
      <c r="C997" s="1">
        <f>IF(B997="", "", "urban biome")</f>
        <v>0</v>
      </c>
      <c r="D997" s="1">
        <f>IF(B997="", "", "human-associated habitat")</f>
        <v>0</v>
      </c>
      <c r="G997" s="1">
        <f>IF(B997="", "", "years")</f>
        <v>0</v>
      </c>
      <c r="I997" s="1">
        <f>IF(B997="", "", "human")</f>
        <v>0</v>
      </c>
      <c r="K997" s="1">
        <f>IF(B997="", "", "cm")</f>
        <v>0</v>
      </c>
      <c r="L997" s="1">
        <f>IF(B997="", "", "Homo sapiens")</f>
        <v>0</v>
      </c>
      <c r="M997" s="1">
        <f>IF(B997="", "", "9606")</f>
        <v>0</v>
      </c>
      <c r="O997" s="1">
        <f>IF(B997="", "", "kg")</f>
        <v>0</v>
      </c>
    </row>
    <row r="998" spans="1:15">
      <c r="A998">
        <f>IF(COUNTBLANK(B998:Q998)&lt;&gt;COLUMNS(B998:Q998),997,"")</f>
        <v>0</v>
      </c>
      <c r="C998" s="1">
        <f>IF(B998="", "", "urban biome")</f>
        <v>0</v>
      </c>
      <c r="D998" s="1">
        <f>IF(B998="", "", "human-associated habitat")</f>
        <v>0</v>
      </c>
      <c r="G998" s="1">
        <f>IF(B998="", "", "years")</f>
        <v>0</v>
      </c>
      <c r="I998" s="1">
        <f>IF(B998="", "", "human")</f>
        <v>0</v>
      </c>
      <c r="K998" s="1">
        <f>IF(B998="", "", "cm")</f>
        <v>0</v>
      </c>
      <c r="L998" s="1">
        <f>IF(B998="", "", "Homo sapiens")</f>
        <v>0</v>
      </c>
      <c r="M998" s="1">
        <f>IF(B998="", "", "9606")</f>
        <v>0</v>
      </c>
      <c r="O998" s="1">
        <f>IF(B998="", "", "kg")</f>
        <v>0</v>
      </c>
    </row>
    <row r="999" spans="1:15">
      <c r="A999">
        <f>IF(COUNTBLANK(B999:Q999)&lt;&gt;COLUMNS(B999:Q999),998,"")</f>
        <v>0</v>
      </c>
      <c r="C999" s="1">
        <f>IF(B999="", "", "urban biome")</f>
        <v>0</v>
      </c>
      <c r="D999" s="1">
        <f>IF(B999="", "", "human-associated habitat")</f>
        <v>0</v>
      </c>
      <c r="G999" s="1">
        <f>IF(B999="", "", "years")</f>
        <v>0</v>
      </c>
      <c r="I999" s="1">
        <f>IF(B999="", "", "human")</f>
        <v>0</v>
      </c>
      <c r="K999" s="1">
        <f>IF(B999="", "", "cm")</f>
        <v>0</v>
      </c>
      <c r="L999" s="1">
        <f>IF(B999="", "", "Homo sapiens")</f>
        <v>0</v>
      </c>
      <c r="M999" s="1">
        <f>IF(B999="", "", "9606")</f>
        <v>0</v>
      </c>
      <c r="O999" s="1">
        <f>IF(B999="", "", "kg")</f>
        <v>0</v>
      </c>
    </row>
    <row r="1000" spans="1:15">
      <c r="A1000">
        <f>IF(COUNTBLANK(B1000:Q1000)&lt;&gt;COLUMNS(B1000:Q1000),999,"")</f>
        <v>0</v>
      </c>
      <c r="C1000" s="1">
        <f>IF(B1000="", "", "urban biome")</f>
        <v>0</v>
      </c>
      <c r="D1000" s="1">
        <f>IF(B1000="", "", "human-associated habitat")</f>
        <v>0</v>
      </c>
      <c r="G1000" s="1">
        <f>IF(B1000="", "", "years")</f>
        <v>0</v>
      </c>
      <c r="I1000" s="1">
        <f>IF(B1000="", "", "human")</f>
        <v>0</v>
      </c>
      <c r="K1000" s="1">
        <f>IF(B1000="", "", "cm")</f>
        <v>0</v>
      </c>
      <c r="L1000" s="1">
        <f>IF(B1000="", "", "Homo sapiens")</f>
        <v>0</v>
      </c>
      <c r="M1000" s="1">
        <f>IF(B1000="", "", "9606")</f>
        <v>0</v>
      </c>
      <c r="O1000" s="1">
        <f>IF(B1000="", "", "kg")</f>
        <v>0</v>
      </c>
    </row>
    <row r="1001" spans="1:15">
      <c r="A1001">
        <f>IF(COUNTBLANK(B1001:Q1001)&lt;&gt;COLUMNS(B1001:Q1001),1000,"")</f>
        <v>0</v>
      </c>
      <c r="C1001" s="1">
        <f>IF(B1001="", "", "urban biome")</f>
        <v>0</v>
      </c>
      <c r="D1001" s="1">
        <f>IF(B1001="", "", "human-associated habitat")</f>
        <v>0</v>
      </c>
      <c r="G1001" s="1">
        <f>IF(B1001="", "", "years")</f>
        <v>0</v>
      </c>
      <c r="I1001" s="1">
        <f>IF(B1001="", "", "human")</f>
        <v>0</v>
      </c>
      <c r="K1001" s="1">
        <f>IF(B1001="", "", "cm")</f>
        <v>0</v>
      </c>
      <c r="L1001" s="1">
        <f>IF(B1001="", "", "Homo sapiens")</f>
        <v>0</v>
      </c>
      <c r="M1001" s="1">
        <f>IF(B1001="", "", "9606")</f>
        <v>0</v>
      </c>
      <c r="O1001" s="1">
        <f>IF(B1001="", "", "kg")</f>
        <v>0</v>
      </c>
    </row>
    <row r="1002" spans="1:15">
      <c r="B1002" s="3" t="s">
        <v>2</v>
      </c>
    </row>
  </sheetData>
  <sheetProtection password="EE32" sheet="1" objects="1" scenarios="1" formatCells="0" formatColumns="0" formatRows="0"/>
  <dataValidations count="16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env_biome" error="The env_biome value entered is not valid. The value must be a string and must equal &quot;urban biome&quot;. The default value is urban biome." promptTitle="Enter env_biome" prompt="The value must be a string and must equal &quot;urban biome&quot;. The default value is urban biome." sqref="C2:C1001">
      <formula1>"urban biome"</formula1>
    </dataValidation>
    <dataValidation type="list" allowBlank="1" showInputMessage="1" showErrorMessage="1" errorTitle="Invalid env_feature" error="The env_feature value entered is not valid. The value must be a string and must equal &quot;human-associated habitat&quot;. The default value is human-associated habitat." promptTitle="Enter env_feature" prompt="The value must be a string and must equal &quot;human-associated habitat&quot;. The default value is human-associated habitat." sqref="D2:D1001">
      <formula1>"human-associated habitat"</formula1>
    </dataValidation>
    <dataValidation type="list" allowBlank="1" showInputMessage="1" showErrorMessage="1" errorTitle="Invalid env_package" error="The env_package value entered is not valid. The value must be a string and must equal &quot;human-associated&quot; or must equal &quot;human-skin&quot; or must equal &quot;human-oral&quot; or must equal &quot;human-gut&quot; or must equal &quot;human-vaginal&quot;." promptTitle="Enter env_package" prompt="The value must be a string and must equal &quot;human-associated&quot; or must equal &quot;human-skin&quot; or must equal &quot;human-oral&quot; or must equal &quot;human-gut&quot; or must equal &quot;human-vaginal&quot;." sqref="E2:E1001">
      <formula1>"human-associated,human-skin,human-oral,human-gut,human-vaginal"</formula1>
    </dataValidation>
    <dataValidation type="custom" allowBlank="1" showInputMessage="1" showErrorMessage="1" errorTitle="Invalid host_age" error="The host_age value entered is not valid. The value must be a number and &gt;0." promptTitle="Enter host_age" prompt="The value must be a number and &gt;0." sqref="F2:F1001">
      <formula1>(AND(IF(F2="",FALSE,ISNUMBER(VALUE(F2))),F2&gt;0))</formula1>
    </dataValidation>
    <dataValidation type="list" allowBlank="1" showInputMessage="1" showErrorMessage="1" errorTitle="Invalid host_age_units" error="The host_age_units value entered is not valid. The value must be a string and must equal &quot;years&quot;. The default value is years." promptTitle="Enter host_age_units" prompt="The value must be a string and must equal &quot;years&quot;. The default value is years." sqref="G2:G1001">
      <formula1>"years"</formula1>
    </dataValidation>
    <dataValidation type="custom" allowBlank="1" showInputMessage="1" showErrorMessage="1" errorTitle="Invalid host_body_mass_index" error="The host_body_mass_index value entered is not valid. Body mass index. The value must be a string and must equal &quot;not applicable&quot; or must equal &quot;not collected&quot; or must equal &quot;not[text truncated: please refer to Data Dictionary sheet for full requirements]." promptTitle="Enter host_body_mass_index" prompt="Body mass index. The value must be a string and must equal &quot;not applicable&quot; or must equal &quot;not collected&quot; or must equal &quot;not provided&quot; or must equal &quot;restricted access&quot; or the value must be a number and &gt;0." sqref="H2:H1001">
      <formula1>(OR(AND(IF(H2="",FALSE,TRUE),OR(exact(H2,"not applicable"),exact(H2,"not collected"),exact(H2,"not provided"),exact(H2,"restricted access"))),AND(IF(H2="",FALSE,ISNUMBER(VALUE(H2))),H2&gt;0)))</formula1>
    </dataValidation>
    <dataValidation type="list" allowBlank="1" showInputMessage="1" showErrorMessage="1" errorTitle="Invalid host_common_name" error="The host_common_name value entered is not valid. The value must be a string and must equal &quot;human&quot;. The default value is human." promptTitle="Enter host_common_name" prompt="The value must be a string and must equal &quot;human&quot;. The default value is human." sqref="I2:I1001">
      <formula1>"human"</formula1>
    </dataValidation>
    <dataValidation type="custom" allowBlank="1" showInputMessage="1" showErrorMessage="1" errorTitle="Invalid host_height" error="The host_height value entered is not valid. The value must be a number and &gt;0." promptTitle="Enter host_height" prompt="The value must be a number and &gt;0." sqref="J2:J1001">
      <formula1>(AND(IF(J2="",FALSE,ISNUMBER(VALUE(J2))),J2&gt;0))</formula1>
    </dataValidation>
    <dataValidation type="list" allowBlank="1" showInputMessage="1" showErrorMessage="1" errorTitle="Invalid host_height_units" error="The host_height_units value entered is not valid. The value must be a string and must equal &quot;cm&quot;. The default value is cm." promptTitle="Enter host_height_units" prompt="The value must be a string and must equal &quot;cm&quot;. The default value is cm." sqref="K2:K1001">
      <formula1>"cm"</formula1>
    </dataValidation>
    <dataValidation type="list" allowBlank="1" showInputMessage="1" showErrorMessage="1" errorTitle="Invalid host_scientific_name" error="The host_scientific_name value entered is not valid. The value must be a string and must equal &quot;Homo sapiens&quot;. The default value is Homo sapiens." promptTitle="Enter host_scientific_name" prompt="The value must be a string and must equal &quot;Homo sapiens&quot;. The default value is Homo sapiens." sqref="L2:L1001">
      <formula1>"Homo sapiens"</formula1>
    </dataValidation>
    <dataValidation type="list" allowBlank="1" showInputMessage="1" showErrorMessage="1" errorTitle="Invalid host_taxid" error="The host_taxid value entered is not valid. The value must be a string and must equal &quot;9606&quot;. The default value is 9606." promptTitle="Enter host_taxid" prompt="The value must be a string and must equal &quot;9606&quot;. The default value is 9606." sqref="M2:M1001">
      <formula1>"9606"</formula1>
    </dataValidation>
    <dataValidation type="custom" allowBlank="1" showInputMessage="1" showErrorMessage="1" errorTitle="Invalid host_weight" error="The host_weight value entered is not valid. The value must be a number and &gt;0." promptTitle="Enter host_weight" prompt="The value must be a number and &gt;0." sqref="N2:N1001">
      <formula1>(AND(IF(N2="",FALSE,ISNUMBER(VALUE(N2))),N2&gt;0))</formula1>
    </dataValidation>
    <dataValidation type="list" allowBlank="1" showInputMessage="1" showErrorMessage="1" errorTitle="Invalid host_weight_units" error="The host_weight_units value entered is not valid. The value must be a string and must equal &quot;kg&quot;. The default value is kg." promptTitle="Enter host_weight_units" prompt="The value must be a string and must equal &quot;kg&quot;. The default value is kg." sqref="O2:O1001">
      <formula1>"kg"</formula1>
    </dataValidation>
    <dataValidation type="custom" allowBlank="1" showInputMessage="1" showErrorMessage="1" errorTitle="Invalid irb_institute" error="The irb_institute value entered is not valid. The name of institute that approved the IRB (human studies). The value must be a string and must equal &quot;not provided&quot; or the value must be a string." promptTitle="Enter irb_institute" prompt="The name of institute that approved the IRB (human studies). The value must be a string and must equal &quot;not provided&quot; or the value must be a string." sqref="P2:P1001">
      <formula1>(OR(AND(IF(P2="",FALSE,TRUE),exact(P2,"not provided")),IF(P2="",FALSE,TRUE)))</formula1>
    </dataValidation>
    <dataValidation type="custom" allowBlank="1" showInputMessage="1" showErrorMessage="1" errorTitle="Invalid irb_protocol_id" error="The irb_protocol_id value entered is not valid. The ID of the IRB protocol that covers the collection and analysis of this sample (human studies). The value must be a string and must equal &quot;not provided&quot; or the value must be a string." promptTitle="Enter irb_protocol_id" prompt="The ID of the IRB protocol that covers the collection and analysis of this sample (human studies). The value must be a string and must equal &quot;not provided&quot; or the value must be a string." sqref="Q2:Q1001">
      <formula1>(OR(AND(IF(Q2="",FALSE,TRUE),exact(Q2,"not provided")),IF(Q2="",FALSE,TRUE)))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25.7109375" customWidth="1"/>
    <col min="13" max="13" width="25.7109375" customWidth="1"/>
    <col min="14" max="14" width="25.7109375" customWidth="1"/>
    <col min="15" max="15" width="25.7109375" customWidth="1"/>
    <col min="16" max="16" width="25.7109375" customWidth="1"/>
    <col min="17" max="17" width="25.7109375" customWidth="1"/>
    <col min="21" max="27" width="0" hidden="1" customWidth="1"/>
    <col min="28" max="43" width="0" hidden="1" customWidth="1"/>
  </cols>
  <sheetData>
    <row r="1" spans="1:43">
      <c r="A1" s="3" t="s">
        <v>1</v>
      </c>
      <c r="B1" s="3">
        <f>IF(B2=" ", " ", INDEX($AB$1:$AQ$1, 1, MATCH(COLUMNS($AB$1006:AB1006),$AB$1006:$AQ$1006,0)))</f>
        <v>0</v>
      </c>
      <c r="C1" s="3">
        <f>IF(C2=" ", " ", INDEX($AB$1:$AQ$1, 1, MATCH(COLUMNS($AB$1006:AC1006),$AB$1006:$AQ$1006,0)))</f>
        <v>0</v>
      </c>
      <c r="D1" s="3">
        <f>IF(D2=" ", " ", INDEX($AB$1:$AQ$1, 1, MATCH(COLUMNS($AB$1006:AD1006),$AB$1006:$AQ$1006,0)))</f>
        <v>0</v>
      </c>
      <c r="E1" s="3">
        <f>IF(E2=" ", " ", INDEX($AB$1:$AQ$1, 1, MATCH(COLUMNS($AB$1006:AE1006),$AB$1006:$AQ$1006,0)))</f>
        <v>0</v>
      </c>
      <c r="F1" s="3">
        <f>IF(F2=" ", " ", INDEX($AB$1:$AQ$1, 1, MATCH(COLUMNS($AB$1006:AF1006),$AB$1006:$AQ$1006,0)))</f>
        <v>0</v>
      </c>
      <c r="G1" s="3">
        <f>IF(G2=" ", " ", INDEX($AB$1:$AQ$1, 1, MATCH(COLUMNS($AB$1006:AG1006),$AB$1006:$AQ$1006,0)))</f>
        <v>0</v>
      </c>
      <c r="H1" s="3">
        <f>IF(H2=" ", " ", INDEX($AB$1:$AQ$1, 1, MATCH(COLUMNS($AB$1006:AH1006),$AB$1006:$AQ$1006,0)))</f>
        <v>0</v>
      </c>
      <c r="I1" s="3">
        <f>IF(I2=" ", " ", INDEX($AB$1:$AQ$1, 1, MATCH(COLUMNS($AB$1006:AI1006),$AB$1006:$AQ$1006,0)))</f>
        <v>0</v>
      </c>
      <c r="J1" s="3">
        <f>IF(J2=" ", " ", INDEX($AB$1:$AQ$1, 1, MATCH(COLUMNS($AB$1006:AJ1006),$AB$1006:$AQ$1006,0)))</f>
        <v>0</v>
      </c>
      <c r="K1" s="3">
        <f>IF(K2=" ", " ", INDEX($AB$1:$AQ$1, 1, MATCH(COLUMNS($AB$1006:AK1006),$AB$1006:$AQ$1006,0)))</f>
        <v>0</v>
      </c>
      <c r="L1" s="3">
        <f>IF(L2=" ", " ", INDEX($AB$1:$AQ$1, 1, MATCH(COLUMNS($AB$1006:AL1006),$AB$1006:$AQ$1006,0)))</f>
        <v>0</v>
      </c>
      <c r="M1" s="3">
        <f>IF(M2=" ", " ", INDEX($AB$1:$AQ$1, 1, MATCH(COLUMNS($AB$1006:AM1006),$AB$1006:$AQ$1006,0)))</f>
        <v>0</v>
      </c>
      <c r="N1" s="3">
        <f>IF(N2=" ", " ", INDEX($AB$1:$AQ$1, 1, MATCH(COLUMNS($AB$1006:AN1006),$AB$1006:$AQ$1006,0)))</f>
        <v>0</v>
      </c>
      <c r="O1" s="3">
        <f>IF(O2=" ", " ", INDEX($AB$1:$AQ$1, 1, MATCH(COLUMNS($AB$1006:AO1006),$AB$1006:$AQ$1006,0)))</f>
        <v>0</v>
      </c>
      <c r="P1" s="3">
        <f>IF(P2=" ", " ", INDEX($AB$1:$AQ$1, 1, MATCH(COLUMNS($AB$1006:AP1006),$AB$1006:$AQ$1006,0)))</f>
        <v>0</v>
      </c>
      <c r="Q1" s="3">
        <f>IF(Q2=" ", " ", INDEX($AB$1:$AQ$1, 1, MATCH(COLUMNS($AB$1006:AQ1006),$AB$1006:$AQ$1006,0)))</f>
        <v>0</v>
      </c>
      <c r="U1" s="3" t="s">
        <v>22</v>
      </c>
      <c r="V1" s="3" t="s">
        <v>21</v>
      </c>
      <c r="W1" s="3" t="s">
        <v>20</v>
      </c>
      <c r="X1" s="3" t="s">
        <v>19</v>
      </c>
      <c r="Y1" s="3" t="s">
        <v>18</v>
      </c>
      <c r="Z1" s="3" t="s">
        <v>1</v>
      </c>
      <c r="AB1" s="3" t="s">
        <v>1</v>
      </c>
      <c r="AC1" s="3" t="s">
        <v>3</v>
      </c>
      <c r="AD1" s="3" t="s">
        <v>4</v>
      </c>
      <c r="AE1" s="3" t="s">
        <v>5</v>
      </c>
      <c r="AF1" s="3" t="s">
        <v>6</v>
      </c>
      <c r="AG1" s="3" t="s">
        <v>7</v>
      </c>
      <c r="AH1" s="3" t="s">
        <v>8</v>
      </c>
      <c r="AI1" s="3" t="s">
        <v>9</v>
      </c>
      <c r="AJ1" s="3" t="s">
        <v>10</v>
      </c>
      <c r="AK1" s="3" t="s">
        <v>11</v>
      </c>
      <c r="AL1" s="3" t="s">
        <v>12</v>
      </c>
      <c r="AM1" s="3" t="s">
        <v>13</v>
      </c>
      <c r="AN1" s="3" t="s">
        <v>14</v>
      </c>
      <c r="AO1" s="3" t="s">
        <v>15</v>
      </c>
      <c r="AP1" s="3" t="s">
        <v>16</v>
      </c>
      <c r="AQ1" s="3" t="s">
        <v>17</v>
      </c>
    </row>
    <row r="2" spans="1:43">
      <c r="A2" s="4">
        <f>IF(B2=" "," ",HYPERLINK(CONCATENATE("#metadata!",ADDRESS(INDEX($W$2:$W$1001,MATCH(ROWS($U$2:U2),$U$2:$U$1001,0),0),2)),INDEX($Z$2:$Z$1001,MATCH(ROWS($U$2:U2),$U$2:$U$1001,0),0)))</f>
        <v>0</v>
      </c>
      <c r="B2" s="5">
        <f>IF(OR(INDEX($V$2:$V$1001,MATCH(ROWS($U$2:U2),$U$2:$U$1001,0),1)&gt;=100000,INDEX($AB$1005:$AQ$1005,1,MATCH(COLUMNS($AB$1006:AB1006),$AB$1006:$AQ$1006,0))&gt;=100000), " ",IF(INDEX($AB$2:$AQ$1001,MATCH(ROWS($U$2:U2),$U$2:$U$1001,0),MATCH(COLUMNS($AB$1006:AB1006),$AB$1006:$AQ$1006,0)), HYPERLINK("#",""), HYPERLINK(CONCATENATE("#Metadata!", ADDRESS(INDEX($W$2:$W$1001,MATCH(ROWS($U$2:U2),$U$2:$U$1001,0),0), INDEX($AB$1004:$AQ$1004,1,MATCH(COLUMNS($AB$1006:AB1006),$AB$1006:$AQ$1006,0)))),"Fix")))</f>
        <v>0</v>
      </c>
      <c r="C2" s="5">
        <f>IF(OR(INDEX($V$2:$V$1001,MATCH(ROWS($U$2:U2),$U$2:$U$1001,0),1)&gt;=100000,INDEX($AB$1005:$AQ$1005,1,MATCH(COLUMNS($AB$1006:AC1006),$AB$1006:$AQ$1006,0))&gt;=100000), " ",IF(INDEX($AB$2:$AQ$1001,MATCH(ROWS($U$2:U2),$U$2:$U$1001,0),MATCH(COLUMNS($AB$1006:AC1006),$AB$1006:$AQ$1006,0)), HYPERLINK("#",""), HYPERLINK(CONCATENATE("#Metadata!", ADDRESS(INDEX($W$2:$W$1001,MATCH(ROWS($U$2:U2),$U$2:$U$1001,0),0), INDEX($AB$1004:$AQ$1004,1,MATCH(COLUMNS($AB$1006:AC1006),$AB$1006:$AQ$1006,0)))),"Fix")))</f>
        <v>0</v>
      </c>
      <c r="D2" s="5">
        <f>IF(OR(INDEX($V$2:$V$1001,MATCH(ROWS($U$2:U2),$U$2:$U$1001,0),1)&gt;=100000,INDEX($AB$1005:$AQ$1005,1,MATCH(COLUMNS($AB$1006:AD1006),$AB$1006:$AQ$1006,0))&gt;=100000), " ",IF(INDEX($AB$2:$AQ$1001,MATCH(ROWS($U$2:U2),$U$2:$U$1001,0),MATCH(COLUMNS($AB$1006:AD1006),$AB$1006:$AQ$1006,0)), HYPERLINK("#",""), HYPERLINK(CONCATENATE("#Metadata!", ADDRESS(INDEX($W$2:$W$1001,MATCH(ROWS($U$2:U2),$U$2:$U$1001,0),0), INDEX($AB$1004:$AQ$1004,1,MATCH(COLUMNS($AB$1006:AD1006),$AB$1006:$AQ$1006,0)))),"Fix")))</f>
        <v>0</v>
      </c>
      <c r="E2" s="5">
        <f>IF(OR(INDEX($V$2:$V$1001,MATCH(ROWS($U$2:U2),$U$2:$U$1001,0),1)&gt;=100000,INDEX($AB$1005:$AQ$1005,1,MATCH(COLUMNS($AB$1006:AE1006),$AB$1006:$AQ$1006,0))&gt;=100000), " ",IF(INDEX($AB$2:$AQ$1001,MATCH(ROWS($U$2:U2),$U$2:$U$1001,0),MATCH(COLUMNS($AB$1006:AE1006),$AB$1006:$AQ$1006,0)), HYPERLINK("#",""), HYPERLINK(CONCATENATE("#Metadata!", ADDRESS(INDEX($W$2:$W$1001,MATCH(ROWS($U$2:U2),$U$2:$U$1001,0),0), INDEX($AB$1004:$AQ$1004,1,MATCH(COLUMNS($AB$1006:AE1006),$AB$1006:$AQ$1006,0)))),"Fix")))</f>
        <v>0</v>
      </c>
      <c r="F2" s="5">
        <f>IF(OR(INDEX($V$2:$V$1001,MATCH(ROWS($U$2:U2),$U$2:$U$1001,0),1)&gt;=100000,INDEX($AB$1005:$AQ$1005,1,MATCH(COLUMNS($AB$1006:AF1006),$AB$1006:$AQ$1006,0))&gt;=100000), " ",IF(INDEX($AB$2:$AQ$1001,MATCH(ROWS($U$2:U2),$U$2:$U$1001,0),MATCH(COLUMNS($AB$1006:AF1006),$AB$1006:$AQ$1006,0)), HYPERLINK("#",""), HYPERLINK(CONCATENATE("#Metadata!", ADDRESS(INDEX($W$2:$W$1001,MATCH(ROWS($U$2:U2),$U$2:$U$1001,0),0), INDEX($AB$1004:$AQ$1004,1,MATCH(COLUMNS($AB$1006:AF1006),$AB$1006:$AQ$1006,0)))),"Fix")))</f>
        <v>0</v>
      </c>
      <c r="G2" s="5">
        <f>IF(OR(INDEX($V$2:$V$1001,MATCH(ROWS($U$2:U2),$U$2:$U$1001,0),1)&gt;=100000,INDEX($AB$1005:$AQ$1005,1,MATCH(COLUMNS($AB$1006:AG1006),$AB$1006:$AQ$1006,0))&gt;=100000), " ",IF(INDEX($AB$2:$AQ$1001,MATCH(ROWS($U$2:U2),$U$2:$U$1001,0),MATCH(COLUMNS($AB$1006:AG1006),$AB$1006:$AQ$1006,0)), HYPERLINK("#",""), HYPERLINK(CONCATENATE("#Metadata!", ADDRESS(INDEX($W$2:$W$1001,MATCH(ROWS($U$2:U2),$U$2:$U$1001,0),0), INDEX($AB$1004:$AQ$1004,1,MATCH(COLUMNS($AB$1006:AG1006),$AB$1006:$AQ$1006,0)))),"Fix")))</f>
        <v>0</v>
      </c>
      <c r="H2" s="5">
        <f>IF(OR(INDEX($V$2:$V$1001,MATCH(ROWS($U$2:U2),$U$2:$U$1001,0),1)&gt;=100000,INDEX($AB$1005:$AQ$1005,1,MATCH(COLUMNS($AB$1006:AH1006),$AB$1006:$AQ$1006,0))&gt;=100000), " ",IF(INDEX($AB$2:$AQ$1001,MATCH(ROWS($U$2:U2),$U$2:$U$1001,0),MATCH(COLUMNS($AB$1006:AH1006),$AB$1006:$AQ$1006,0)), HYPERLINK("#",""), HYPERLINK(CONCATENATE("#Metadata!", ADDRESS(INDEX($W$2:$W$1001,MATCH(ROWS($U$2:U2),$U$2:$U$1001,0),0), INDEX($AB$1004:$AQ$1004,1,MATCH(COLUMNS($AB$1006:AH1006),$AB$1006:$AQ$1006,0)))),"Fix")))</f>
        <v>0</v>
      </c>
      <c r="I2" s="5">
        <f>IF(OR(INDEX($V$2:$V$1001,MATCH(ROWS($U$2:U2),$U$2:$U$1001,0),1)&gt;=100000,INDEX($AB$1005:$AQ$1005,1,MATCH(COLUMNS($AB$1006:AI1006),$AB$1006:$AQ$1006,0))&gt;=100000), " ",IF(INDEX($AB$2:$AQ$1001,MATCH(ROWS($U$2:U2),$U$2:$U$1001,0),MATCH(COLUMNS($AB$1006:AI1006),$AB$1006:$AQ$1006,0)), HYPERLINK("#",""), HYPERLINK(CONCATENATE("#Metadata!", ADDRESS(INDEX($W$2:$W$1001,MATCH(ROWS($U$2:U2),$U$2:$U$1001,0),0), INDEX($AB$1004:$AQ$1004,1,MATCH(COLUMNS($AB$1006:AI1006),$AB$1006:$AQ$1006,0)))),"Fix")))</f>
        <v>0</v>
      </c>
      <c r="J2" s="5">
        <f>IF(OR(INDEX($V$2:$V$1001,MATCH(ROWS($U$2:U2),$U$2:$U$1001,0),1)&gt;=100000,INDEX($AB$1005:$AQ$1005,1,MATCH(COLUMNS($AB$1006:AJ1006),$AB$1006:$AQ$1006,0))&gt;=100000), " ",IF(INDEX($AB$2:$AQ$1001,MATCH(ROWS($U$2:U2),$U$2:$U$1001,0),MATCH(COLUMNS($AB$1006:AJ1006),$AB$1006:$AQ$1006,0)), HYPERLINK("#",""), HYPERLINK(CONCATENATE("#Metadata!", ADDRESS(INDEX($W$2:$W$1001,MATCH(ROWS($U$2:U2),$U$2:$U$1001,0),0), INDEX($AB$1004:$AQ$1004,1,MATCH(COLUMNS($AB$1006:AJ1006),$AB$1006:$AQ$1006,0)))),"Fix")))</f>
        <v>0</v>
      </c>
      <c r="K2" s="5">
        <f>IF(OR(INDEX($V$2:$V$1001,MATCH(ROWS($U$2:U2),$U$2:$U$1001,0),1)&gt;=100000,INDEX($AB$1005:$AQ$1005,1,MATCH(COLUMNS($AB$1006:AK1006),$AB$1006:$AQ$1006,0))&gt;=100000), " ",IF(INDEX($AB$2:$AQ$1001,MATCH(ROWS($U$2:U2),$U$2:$U$1001,0),MATCH(COLUMNS($AB$1006:AK1006),$AB$1006:$AQ$1006,0)), HYPERLINK("#",""), HYPERLINK(CONCATENATE("#Metadata!", ADDRESS(INDEX($W$2:$W$1001,MATCH(ROWS($U$2:U2),$U$2:$U$1001,0),0), INDEX($AB$1004:$AQ$1004,1,MATCH(COLUMNS($AB$1006:AK1006),$AB$1006:$AQ$1006,0)))),"Fix")))</f>
        <v>0</v>
      </c>
      <c r="L2" s="5">
        <f>IF(OR(INDEX($V$2:$V$1001,MATCH(ROWS($U$2:U2),$U$2:$U$1001,0),1)&gt;=100000,INDEX($AB$1005:$AQ$1005,1,MATCH(COLUMNS($AB$1006:AL1006),$AB$1006:$AQ$1006,0))&gt;=100000), " ",IF(INDEX($AB$2:$AQ$1001,MATCH(ROWS($U$2:U2),$U$2:$U$1001,0),MATCH(COLUMNS($AB$1006:AL1006),$AB$1006:$AQ$1006,0)), HYPERLINK("#",""), HYPERLINK(CONCATENATE("#Metadata!", ADDRESS(INDEX($W$2:$W$1001,MATCH(ROWS($U$2:U2),$U$2:$U$1001,0),0), INDEX($AB$1004:$AQ$1004,1,MATCH(COLUMNS($AB$1006:AL1006),$AB$1006:$AQ$1006,0)))),"Fix")))</f>
        <v>0</v>
      </c>
      <c r="M2" s="5">
        <f>IF(OR(INDEX($V$2:$V$1001,MATCH(ROWS($U$2:U2),$U$2:$U$1001,0),1)&gt;=100000,INDEX($AB$1005:$AQ$1005,1,MATCH(COLUMNS($AB$1006:AM1006),$AB$1006:$AQ$1006,0))&gt;=100000), " ",IF(INDEX($AB$2:$AQ$1001,MATCH(ROWS($U$2:U2),$U$2:$U$1001,0),MATCH(COLUMNS($AB$1006:AM1006),$AB$1006:$AQ$1006,0)), HYPERLINK("#",""), HYPERLINK(CONCATENATE("#Metadata!", ADDRESS(INDEX($W$2:$W$1001,MATCH(ROWS($U$2:U2),$U$2:$U$1001,0),0), INDEX($AB$1004:$AQ$1004,1,MATCH(COLUMNS($AB$1006:AM1006),$AB$1006:$AQ$1006,0)))),"Fix")))</f>
        <v>0</v>
      </c>
      <c r="N2" s="5">
        <f>IF(OR(INDEX($V$2:$V$1001,MATCH(ROWS($U$2:U2),$U$2:$U$1001,0),1)&gt;=100000,INDEX($AB$1005:$AQ$1005,1,MATCH(COLUMNS($AB$1006:AN1006),$AB$1006:$AQ$1006,0))&gt;=100000), " ",IF(INDEX($AB$2:$AQ$1001,MATCH(ROWS($U$2:U2),$U$2:$U$1001,0),MATCH(COLUMNS($AB$1006:AN1006),$AB$1006:$AQ$1006,0)), HYPERLINK("#",""), HYPERLINK(CONCATENATE("#Metadata!", ADDRESS(INDEX($W$2:$W$1001,MATCH(ROWS($U$2:U2),$U$2:$U$1001,0),0), INDEX($AB$1004:$AQ$1004,1,MATCH(COLUMNS($AB$1006:AN1006),$AB$1006:$AQ$1006,0)))),"Fix")))</f>
        <v>0</v>
      </c>
      <c r="O2" s="5">
        <f>IF(OR(INDEX($V$2:$V$1001,MATCH(ROWS($U$2:U2),$U$2:$U$1001,0),1)&gt;=100000,INDEX($AB$1005:$AQ$1005,1,MATCH(COLUMNS($AB$1006:AO1006),$AB$1006:$AQ$1006,0))&gt;=100000), " ",IF(INDEX($AB$2:$AQ$1001,MATCH(ROWS($U$2:U2),$U$2:$U$1001,0),MATCH(COLUMNS($AB$1006:AO1006),$AB$1006:$AQ$1006,0)), HYPERLINK("#",""), HYPERLINK(CONCATENATE("#Metadata!", ADDRESS(INDEX($W$2:$W$1001,MATCH(ROWS($U$2:U2),$U$2:$U$1001,0),0), INDEX($AB$1004:$AQ$1004,1,MATCH(COLUMNS($AB$1006:AO1006),$AB$1006:$AQ$1006,0)))),"Fix")))</f>
        <v>0</v>
      </c>
      <c r="P2" s="5">
        <f>IF(OR(INDEX($V$2:$V$1001,MATCH(ROWS($U$2:U2),$U$2:$U$1001,0),1)&gt;=100000,INDEX($AB$1005:$AQ$1005,1,MATCH(COLUMNS($AB$1006:AP1006),$AB$1006:$AQ$1006,0))&gt;=100000), " ",IF(INDEX($AB$2:$AQ$1001,MATCH(ROWS($U$2:U2),$U$2:$U$1001,0),MATCH(COLUMNS($AB$1006:AP1006),$AB$1006:$AQ$1006,0)), HYPERLINK("#",""), HYPERLINK(CONCATENATE("#Metadata!", ADDRESS(INDEX($W$2:$W$1001,MATCH(ROWS($U$2:U2),$U$2:$U$1001,0),0), INDEX($AB$1004:$AQ$1004,1,MATCH(COLUMNS($AB$1006:AP1006),$AB$1006:$AQ$1006,0)))),"Fix")))</f>
        <v>0</v>
      </c>
      <c r="Q2" s="5">
        <f>IF(OR(INDEX($V$2:$V$1001,MATCH(ROWS($U$2:U2),$U$2:$U$1001,0),1)&gt;=100000,INDEX($AB$1005:$AQ$1005,1,MATCH(COLUMNS($AB$1006:AQ1006),$AB$1006:$AQ$1006,0))&gt;=100000), " ",IF(INDEX($AB$2:$AQ$1001,MATCH(ROWS($U$2:U2),$U$2:$U$1001,0),MATCH(COLUMNS($AB$1006:AQ1006),$AB$1006:$AQ$1006,0)), HYPERLINK("#",""), HYPERLINK(CONCATENATE("#Metadata!", ADDRESS(INDEX($W$2:$W$1001,MATCH(ROWS($U$2:U2),$U$2:$U$1001,0),0), INDEX($AB$1004:$AQ$1004,1,MATCH(COLUMNS($AB$1006:AQ1006),$AB$1006:$AQ$1006,0)))),"Fix")))</f>
        <v>0</v>
      </c>
      <c r="U2">
        <f t="array" ref="U2:U1001">COUNTIF(V$2:V$1001,"&lt;="&amp;$V2:$V1001)</f>
        <v>0</v>
      </c>
      <c r="V2">
        <f t="array" ref="V2:V1001">INT(X2:X1001)*100000+$W$2:$W$1001</f>
        <v>0</v>
      </c>
      <c r="W2">
        <f t="array" ref="W2:W1001">ROW(Metadata!B2:B1001)</f>
        <v>0</v>
      </c>
      <c r="X2">
        <f>IF(Y2,TRUE,AND(AB2:AQ2))</f>
        <v>0</v>
      </c>
      <c r="Y2">
        <f>COUNTBLANK(Metadata!B2:Q2)=COLUMNS(Metadata!B2:Q2)</f>
        <v>0</v>
      </c>
      <c r="Z2">
        <f t="array" ref="Z2:Z1001">IF(Metadata!B2:B1001="","",Metadata!B2:B1001)</f>
        <v>0</v>
      </c>
      <c r="AB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AC2">
        <f>AND(IF(Metadata!C2="",FALSE,TRUE),exact(Metadata!C2,"urban biome"))</f>
        <v>0</v>
      </c>
      <c r="AD2">
        <f>AND(IF(Metadata!D2="",FALSE,TRUE),exact(Metadata!D2,"human-associated habitat"))</f>
        <v>0</v>
      </c>
      <c r="AE2">
        <f>AND(IF(Metadata!E2="",FALSE,TRUE),OR(exact(Metadata!E2,"human-associated"),exact(Metadata!E2,"human-skin"),exact(Metadata!E2,"human-oral"),exact(Metadata!E2,"human-gut"),exact(Metadata!E2,"human-vaginal")))</f>
        <v>0</v>
      </c>
      <c r="AF2">
        <f>AND(IF(Metadata!F2="",FALSE,ISNUMBER(VALUE(Metadata!F2))),Metadata!F2&gt;0)</f>
        <v>0</v>
      </c>
      <c r="AG2">
        <f>AND(IF(Metadata!G2="",FALSE,TRUE),exact(Metadata!G2,"years"))</f>
        <v>0</v>
      </c>
      <c r="AH2">
        <f>OR(AND(IF(Metadata!H2="",FALSE,TRUE),OR(exact(Metadata!H2,"not applicable"),exact(Metadata!H2,"not collected"),exact(Metadata!H2,"not provided"),exact(Metadata!H2,"restricted access"))),AND(IF(Metadata!H2="",FALSE,ISNUMBER(VALUE(Metadata!H2))),Metadata!H2&gt;0))</f>
        <v>0</v>
      </c>
      <c r="AI2">
        <f>AND(IF(Metadata!I2="",FALSE,TRUE),exact(Metadata!I2,"human"))</f>
        <v>0</v>
      </c>
      <c r="AJ2">
        <f>AND(IF(Metadata!J2="",FALSE,ISNUMBER(VALUE(Metadata!J2))),Metadata!J2&gt;0)</f>
        <v>0</v>
      </c>
      <c r="AK2">
        <f>AND(IF(Metadata!K2="",FALSE,TRUE),exact(Metadata!K2,"cm"))</f>
        <v>0</v>
      </c>
      <c r="AL2">
        <f>AND(IF(Metadata!L2="",FALSE,TRUE),exact(Metadata!L2,"Homo sapiens"))</f>
        <v>0</v>
      </c>
      <c r="AM2">
        <f>AND(IF(Metadata!M2="",FALSE,TRUE),exact(Metadata!M2,"9606"))</f>
        <v>0</v>
      </c>
      <c r="AN2">
        <f>AND(IF(Metadata!N2="",FALSE,ISNUMBER(VALUE(Metadata!N2))),Metadata!N2&gt;0)</f>
        <v>0</v>
      </c>
      <c r="AO2">
        <f>AND(IF(Metadata!O2="",FALSE,TRUE),exact(Metadata!O2,"kg"))</f>
        <v>0</v>
      </c>
      <c r="AP2">
        <f>OR(AND(IF(Metadata!P2="",FALSE,TRUE),exact(Metadata!P2,"not provided")),IF(Metadata!P2="",FALSE,TRUE))</f>
        <v>0</v>
      </c>
      <c r="AQ2">
        <f>OR(AND(IF(Metadata!Q2="",FALSE,TRUE),exact(Metadata!Q2,"not provided")),IF(Metadata!Q2="",FALSE,TRUE))</f>
        <v>0</v>
      </c>
    </row>
    <row r="3" spans="1:43">
      <c r="A3" s="4">
        <f>IF(B3=" "," ",HYPERLINK(CONCATENATE("#metadata!",ADDRESS(INDEX($W$2:$W$1001,MATCH(ROWS($U$2:U3),$U$2:$U$1001,0),0),2)),INDEX($Z$2:$Z$1001,MATCH(ROWS($U$2:U3),$U$2:$U$1001,0),0)))</f>
        <v>0</v>
      </c>
      <c r="B3" s="5">
        <f>IF(OR(INDEX($V$2:$V$1001,MATCH(ROWS($U$2:U3),$U$2:$U$1001,0),1)&gt;=100000,INDEX($AB$1005:$AQ$1005,1,MATCH(COLUMNS($AB$1006:AB1006),$AB$1006:$AQ$1006,0))&gt;=100000), " ",IF(INDEX($AB$2:$AQ$1001,MATCH(ROWS($U$2:U3),$U$2:$U$1001,0),MATCH(COLUMNS($AB$1006:AB1006),$AB$1006:$AQ$1006,0)), HYPERLINK("#",""), HYPERLINK(CONCATENATE("#Metadata!", ADDRESS(INDEX($W$2:$W$1001,MATCH(ROWS($U$2:U3),$U$2:$U$1001,0),0), INDEX($AB$1004:$AQ$1004,1,MATCH(COLUMNS($AB$1006:AB1006),$AB$1006:$AQ$1006,0)))),"Fix")))</f>
        <v>0</v>
      </c>
      <c r="C3" s="5">
        <f>IF(OR(INDEX($V$2:$V$1001,MATCH(ROWS($U$2:U3),$U$2:$U$1001,0),1)&gt;=100000,INDEX($AB$1005:$AQ$1005,1,MATCH(COLUMNS($AB$1006:AC1006),$AB$1006:$AQ$1006,0))&gt;=100000), " ",IF(INDEX($AB$2:$AQ$1001,MATCH(ROWS($U$2:U3),$U$2:$U$1001,0),MATCH(COLUMNS($AB$1006:AC1006),$AB$1006:$AQ$1006,0)), HYPERLINK("#",""), HYPERLINK(CONCATENATE("#Metadata!", ADDRESS(INDEX($W$2:$W$1001,MATCH(ROWS($U$2:U3),$U$2:$U$1001,0),0), INDEX($AB$1004:$AQ$1004,1,MATCH(COLUMNS($AB$1006:AC1006),$AB$1006:$AQ$1006,0)))),"Fix")))</f>
        <v>0</v>
      </c>
      <c r="D3" s="5">
        <f>IF(OR(INDEX($V$2:$V$1001,MATCH(ROWS($U$2:U3),$U$2:$U$1001,0),1)&gt;=100000,INDEX($AB$1005:$AQ$1005,1,MATCH(COLUMNS($AB$1006:AD1006),$AB$1006:$AQ$1006,0))&gt;=100000), " ",IF(INDEX($AB$2:$AQ$1001,MATCH(ROWS($U$2:U3),$U$2:$U$1001,0),MATCH(COLUMNS($AB$1006:AD1006),$AB$1006:$AQ$1006,0)), HYPERLINK("#",""), HYPERLINK(CONCATENATE("#Metadata!", ADDRESS(INDEX($W$2:$W$1001,MATCH(ROWS($U$2:U3),$U$2:$U$1001,0),0), INDEX($AB$1004:$AQ$1004,1,MATCH(COLUMNS($AB$1006:AD1006),$AB$1006:$AQ$1006,0)))),"Fix")))</f>
        <v>0</v>
      </c>
      <c r="E3" s="5">
        <f>IF(OR(INDEX($V$2:$V$1001,MATCH(ROWS($U$2:U3),$U$2:$U$1001,0),1)&gt;=100000,INDEX($AB$1005:$AQ$1005,1,MATCH(COLUMNS($AB$1006:AE1006),$AB$1006:$AQ$1006,0))&gt;=100000), " ",IF(INDEX($AB$2:$AQ$1001,MATCH(ROWS($U$2:U3),$U$2:$U$1001,0),MATCH(COLUMNS($AB$1006:AE1006),$AB$1006:$AQ$1006,0)), HYPERLINK("#",""), HYPERLINK(CONCATENATE("#Metadata!", ADDRESS(INDEX($W$2:$W$1001,MATCH(ROWS($U$2:U3),$U$2:$U$1001,0),0), INDEX($AB$1004:$AQ$1004,1,MATCH(COLUMNS($AB$1006:AE1006),$AB$1006:$AQ$1006,0)))),"Fix")))</f>
        <v>0</v>
      </c>
      <c r="F3" s="5">
        <f>IF(OR(INDEX($V$2:$V$1001,MATCH(ROWS($U$2:U3),$U$2:$U$1001,0),1)&gt;=100000,INDEX($AB$1005:$AQ$1005,1,MATCH(COLUMNS($AB$1006:AF1006),$AB$1006:$AQ$1006,0))&gt;=100000), " ",IF(INDEX($AB$2:$AQ$1001,MATCH(ROWS($U$2:U3),$U$2:$U$1001,0),MATCH(COLUMNS($AB$1006:AF1006),$AB$1006:$AQ$1006,0)), HYPERLINK("#",""), HYPERLINK(CONCATENATE("#Metadata!", ADDRESS(INDEX($W$2:$W$1001,MATCH(ROWS($U$2:U3),$U$2:$U$1001,0),0), INDEX($AB$1004:$AQ$1004,1,MATCH(COLUMNS($AB$1006:AF1006),$AB$1006:$AQ$1006,0)))),"Fix")))</f>
        <v>0</v>
      </c>
      <c r="G3" s="5">
        <f>IF(OR(INDEX($V$2:$V$1001,MATCH(ROWS($U$2:U3),$U$2:$U$1001,0),1)&gt;=100000,INDEX($AB$1005:$AQ$1005,1,MATCH(COLUMNS($AB$1006:AG1006),$AB$1006:$AQ$1006,0))&gt;=100000), " ",IF(INDEX($AB$2:$AQ$1001,MATCH(ROWS($U$2:U3),$U$2:$U$1001,0),MATCH(COLUMNS($AB$1006:AG1006),$AB$1006:$AQ$1006,0)), HYPERLINK("#",""), HYPERLINK(CONCATENATE("#Metadata!", ADDRESS(INDEX($W$2:$W$1001,MATCH(ROWS($U$2:U3),$U$2:$U$1001,0),0), INDEX($AB$1004:$AQ$1004,1,MATCH(COLUMNS($AB$1006:AG1006),$AB$1006:$AQ$1006,0)))),"Fix")))</f>
        <v>0</v>
      </c>
      <c r="H3" s="5">
        <f>IF(OR(INDEX($V$2:$V$1001,MATCH(ROWS($U$2:U3),$U$2:$U$1001,0),1)&gt;=100000,INDEX($AB$1005:$AQ$1005,1,MATCH(COLUMNS($AB$1006:AH1006),$AB$1006:$AQ$1006,0))&gt;=100000), " ",IF(INDEX($AB$2:$AQ$1001,MATCH(ROWS($U$2:U3),$U$2:$U$1001,0),MATCH(COLUMNS($AB$1006:AH1006),$AB$1006:$AQ$1006,0)), HYPERLINK("#",""), HYPERLINK(CONCATENATE("#Metadata!", ADDRESS(INDEX($W$2:$W$1001,MATCH(ROWS($U$2:U3),$U$2:$U$1001,0),0), INDEX($AB$1004:$AQ$1004,1,MATCH(COLUMNS($AB$1006:AH1006),$AB$1006:$AQ$1006,0)))),"Fix")))</f>
        <v>0</v>
      </c>
      <c r="I3" s="5">
        <f>IF(OR(INDEX($V$2:$V$1001,MATCH(ROWS($U$2:U3),$U$2:$U$1001,0),1)&gt;=100000,INDEX($AB$1005:$AQ$1005,1,MATCH(COLUMNS($AB$1006:AI1006),$AB$1006:$AQ$1006,0))&gt;=100000), " ",IF(INDEX($AB$2:$AQ$1001,MATCH(ROWS($U$2:U3),$U$2:$U$1001,0),MATCH(COLUMNS($AB$1006:AI1006),$AB$1006:$AQ$1006,0)), HYPERLINK("#",""), HYPERLINK(CONCATENATE("#Metadata!", ADDRESS(INDEX($W$2:$W$1001,MATCH(ROWS($U$2:U3),$U$2:$U$1001,0),0), INDEX($AB$1004:$AQ$1004,1,MATCH(COLUMNS($AB$1006:AI1006),$AB$1006:$AQ$1006,0)))),"Fix")))</f>
        <v>0</v>
      </c>
      <c r="J3" s="5">
        <f>IF(OR(INDEX($V$2:$V$1001,MATCH(ROWS($U$2:U3),$U$2:$U$1001,0),1)&gt;=100000,INDEX($AB$1005:$AQ$1005,1,MATCH(COLUMNS($AB$1006:AJ1006),$AB$1006:$AQ$1006,0))&gt;=100000), " ",IF(INDEX($AB$2:$AQ$1001,MATCH(ROWS($U$2:U3),$U$2:$U$1001,0),MATCH(COLUMNS($AB$1006:AJ1006),$AB$1006:$AQ$1006,0)), HYPERLINK("#",""), HYPERLINK(CONCATENATE("#Metadata!", ADDRESS(INDEX($W$2:$W$1001,MATCH(ROWS($U$2:U3),$U$2:$U$1001,0),0), INDEX($AB$1004:$AQ$1004,1,MATCH(COLUMNS($AB$1006:AJ1006),$AB$1006:$AQ$1006,0)))),"Fix")))</f>
        <v>0</v>
      </c>
      <c r="K3" s="5">
        <f>IF(OR(INDEX($V$2:$V$1001,MATCH(ROWS($U$2:U3),$U$2:$U$1001,0),1)&gt;=100000,INDEX($AB$1005:$AQ$1005,1,MATCH(COLUMNS($AB$1006:AK1006),$AB$1006:$AQ$1006,0))&gt;=100000), " ",IF(INDEX($AB$2:$AQ$1001,MATCH(ROWS($U$2:U3),$U$2:$U$1001,0),MATCH(COLUMNS($AB$1006:AK1006),$AB$1006:$AQ$1006,0)), HYPERLINK("#",""), HYPERLINK(CONCATENATE("#Metadata!", ADDRESS(INDEX($W$2:$W$1001,MATCH(ROWS($U$2:U3),$U$2:$U$1001,0),0), INDEX($AB$1004:$AQ$1004,1,MATCH(COLUMNS($AB$1006:AK1006),$AB$1006:$AQ$1006,0)))),"Fix")))</f>
        <v>0</v>
      </c>
      <c r="L3" s="5">
        <f>IF(OR(INDEX($V$2:$V$1001,MATCH(ROWS($U$2:U3),$U$2:$U$1001,0),1)&gt;=100000,INDEX($AB$1005:$AQ$1005,1,MATCH(COLUMNS($AB$1006:AL1006),$AB$1006:$AQ$1006,0))&gt;=100000), " ",IF(INDEX($AB$2:$AQ$1001,MATCH(ROWS($U$2:U3),$U$2:$U$1001,0),MATCH(COLUMNS($AB$1006:AL1006),$AB$1006:$AQ$1006,0)), HYPERLINK("#",""), HYPERLINK(CONCATENATE("#Metadata!", ADDRESS(INDEX($W$2:$W$1001,MATCH(ROWS($U$2:U3),$U$2:$U$1001,0),0), INDEX($AB$1004:$AQ$1004,1,MATCH(COLUMNS($AB$1006:AL1006),$AB$1006:$AQ$1006,0)))),"Fix")))</f>
        <v>0</v>
      </c>
      <c r="M3" s="5">
        <f>IF(OR(INDEX($V$2:$V$1001,MATCH(ROWS($U$2:U3),$U$2:$U$1001,0),1)&gt;=100000,INDEX($AB$1005:$AQ$1005,1,MATCH(COLUMNS($AB$1006:AM1006),$AB$1006:$AQ$1006,0))&gt;=100000), " ",IF(INDEX($AB$2:$AQ$1001,MATCH(ROWS($U$2:U3),$U$2:$U$1001,0),MATCH(COLUMNS($AB$1006:AM1006),$AB$1006:$AQ$1006,0)), HYPERLINK("#",""), HYPERLINK(CONCATENATE("#Metadata!", ADDRESS(INDEX($W$2:$W$1001,MATCH(ROWS($U$2:U3),$U$2:$U$1001,0),0), INDEX($AB$1004:$AQ$1004,1,MATCH(COLUMNS($AB$1006:AM1006),$AB$1006:$AQ$1006,0)))),"Fix")))</f>
        <v>0</v>
      </c>
      <c r="N3" s="5">
        <f>IF(OR(INDEX($V$2:$V$1001,MATCH(ROWS($U$2:U3),$U$2:$U$1001,0),1)&gt;=100000,INDEX($AB$1005:$AQ$1005,1,MATCH(COLUMNS($AB$1006:AN1006),$AB$1006:$AQ$1006,0))&gt;=100000), " ",IF(INDEX($AB$2:$AQ$1001,MATCH(ROWS($U$2:U3),$U$2:$U$1001,0),MATCH(COLUMNS($AB$1006:AN1006),$AB$1006:$AQ$1006,0)), HYPERLINK("#",""), HYPERLINK(CONCATENATE("#Metadata!", ADDRESS(INDEX($W$2:$W$1001,MATCH(ROWS($U$2:U3),$U$2:$U$1001,0),0), INDEX($AB$1004:$AQ$1004,1,MATCH(COLUMNS($AB$1006:AN1006),$AB$1006:$AQ$1006,0)))),"Fix")))</f>
        <v>0</v>
      </c>
      <c r="O3" s="5">
        <f>IF(OR(INDEX($V$2:$V$1001,MATCH(ROWS($U$2:U3),$U$2:$U$1001,0),1)&gt;=100000,INDEX($AB$1005:$AQ$1005,1,MATCH(COLUMNS($AB$1006:AO1006),$AB$1006:$AQ$1006,0))&gt;=100000), " ",IF(INDEX($AB$2:$AQ$1001,MATCH(ROWS($U$2:U3),$U$2:$U$1001,0),MATCH(COLUMNS($AB$1006:AO1006),$AB$1006:$AQ$1006,0)), HYPERLINK("#",""), HYPERLINK(CONCATENATE("#Metadata!", ADDRESS(INDEX($W$2:$W$1001,MATCH(ROWS($U$2:U3),$U$2:$U$1001,0),0), INDEX($AB$1004:$AQ$1004,1,MATCH(COLUMNS($AB$1006:AO1006),$AB$1006:$AQ$1006,0)))),"Fix")))</f>
        <v>0</v>
      </c>
      <c r="P3" s="5">
        <f>IF(OR(INDEX($V$2:$V$1001,MATCH(ROWS($U$2:U3),$U$2:$U$1001,0),1)&gt;=100000,INDEX($AB$1005:$AQ$1005,1,MATCH(COLUMNS($AB$1006:AP1006),$AB$1006:$AQ$1006,0))&gt;=100000), " ",IF(INDEX($AB$2:$AQ$1001,MATCH(ROWS($U$2:U3),$U$2:$U$1001,0),MATCH(COLUMNS($AB$1006:AP1006),$AB$1006:$AQ$1006,0)), HYPERLINK("#",""), HYPERLINK(CONCATENATE("#Metadata!", ADDRESS(INDEX($W$2:$W$1001,MATCH(ROWS($U$2:U3),$U$2:$U$1001,0),0), INDEX($AB$1004:$AQ$1004,1,MATCH(COLUMNS($AB$1006:AP1006),$AB$1006:$AQ$1006,0)))),"Fix")))</f>
        <v>0</v>
      </c>
      <c r="Q3" s="5">
        <f>IF(OR(INDEX($V$2:$V$1001,MATCH(ROWS($U$2:U3),$U$2:$U$1001,0),1)&gt;=100000,INDEX($AB$1005:$AQ$1005,1,MATCH(COLUMNS($AB$1006:AQ1006),$AB$1006:$AQ$1006,0))&gt;=100000), " ",IF(INDEX($AB$2:$AQ$1001,MATCH(ROWS($U$2:U3),$U$2:$U$1001,0),MATCH(COLUMNS($AB$1006:AQ1006),$AB$1006:$AQ$1006,0)), HYPERLINK("#",""), HYPERLINK(CONCATENATE("#Metadata!", ADDRESS(INDEX($W$2:$W$1001,MATCH(ROWS($U$2:U3),$U$2:$U$1001,0),0), INDEX($AB$1004:$AQ$1004,1,MATCH(COLUMNS($AB$1006:AQ1006),$AB$1006:$AQ$1006,0)))),"Fix")))</f>
        <v>0</v>
      </c>
      <c r="U3">
        <v>0</v>
      </c>
      <c r="V3">
        <v>0</v>
      </c>
      <c r="W3">
        <v>0</v>
      </c>
      <c r="X3">
        <f>IF(Y3,TRUE,AND(AB3:AQ3))</f>
        <v>0</v>
      </c>
      <c r="Y3">
        <f>COUNTBLANK(Metadata!B3:Q3)=COLUMNS(Metadata!B3:Q3)</f>
        <v>0</v>
      </c>
      <c r="Z3">
        <v>0</v>
      </c>
      <c r="AB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AC3">
        <f>AND(IF(Metadata!C3="",FALSE,TRUE),exact(Metadata!C3,"urban biome"))</f>
        <v>0</v>
      </c>
      <c r="AD3">
        <f>AND(IF(Metadata!D3="",FALSE,TRUE),exact(Metadata!D3,"human-associated habitat"))</f>
        <v>0</v>
      </c>
      <c r="AE3">
        <f>AND(IF(Metadata!E3="",FALSE,TRUE),OR(exact(Metadata!E3,"human-associated"),exact(Metadata!E3,"human-skin"),exact(Metadata!E3,"human-oral"),exact(Metadata!E3,"human-gut"),exact(Metadata!E3,"human-vaginal")))</f>
        <v>0</v>
      </c>
      <c r="AF3">
        <f>AND(IF(Metadata!F3="",FALSE,ISNUMBER(VALUE(Metadata!F3))),Metadata!F3&gt;0)</f>
        <v>0</v>
      </c>
      <c r="AG3">
        <f>AND(IF(Metadata!G3="",FALSE,TRUE),exact(Metadata!G3,"years"))</f>
        <v>0</v>
      </c>
      <c r="AH3">
        <f>OR(AND(IF(Metadata!H3="",FALSE,TRUE),OR(exact(Metadata!H3,"not applicable"),exact(Metadata!H3,"not collected"),exact(Metadata!H3,"not provided"),exact(Metadata!H3,"restricted access"))),AND(IF(Metadata!H3="",FALSE,ISNUMBER(VALUE(Metadata!H3))),Metadata!H3&gt;0))</f>
        <v>0</v>
      </c>
      <c r="AI3">
        <f>AND(IF(Metadata!I3="",FALSE,TRUE),exact(Metadata!I3,"human"))</f>
        <v>0</v>
      </c>
      <c r="AJ3">
        <f>AND(IF(Metadata!J3="",FALSE,ISNUMBER(VALUE(Metadata!J3))),Metadata!J3&gt;0)</f>
        <v>0</v>
      </c>
      <c r="AK3">
        <f>AND(IF(Metadata!K3="",FALSE,TRUE),exact(Metadata!K3,"cm"))</f>
        <v>0</v>
      </c>
      <c r="AL3">
        <f>AND(IF(Metadata!L3="",FALSE,TRUE),exact(Metadata!L3,"Homo sapiens"))</f>
        <v>0</v>
      </c>
      <c r="AM3">
        <f>AND(IF(Metadata!M3="",FALSE,TRUE),exact(Metadata!M3,"9606"))</f>
        <v>0</v>
      </c>
      <c r="AN3">
        <f>AND(IF(Metadata!N3="",FALSE,ISNUMBER(VALUE(Metadata!N3))),Metadata!N3&gt;0)</f>
        <v>0</v>
      </c>
      <c r="AO3">
        <f>AND(IF(Metadata!O3="",FALSE,TRUE),exact(Metadata!O3,"kg"))</f>
        <v>0</v>
      </c>
      <c r="AP3">
        <f>OR(AND(IF(Metadata!P3="",FALSE,TRUE),exact(Metadata!P3,"not provided")),IF(Metadata!P3="",FALSE,TRUE))</f>
        <v>0</v>
      </c>
      <c r="AQ3">
        <f>OR(AND(IF(Metadata!Q3="",FALSE,TRUE),exact(Metadata!Q3,"not provided")),IF(Metadata!Q3="",FALSE,TRUE))</f>
        <v>0</v>
      </c>
    </row>
    <row r="4" spans="1:43">
      <c r="A4" s="4">
        <f>IF(B4=" "," ",HYPERLINK(CONCATENATE("#metadata!",ADDRESS(INDEX($W$2:$W$1001,MATCH(ROWS($U$2:U4),$U$2:$U$1001,0),0),2)),INDEX($Z$2:$Z$1001,MATCH(ROWS($U$2:U4),$U$2:$U$1001,0),0)))</f>
        <v>0</v>
      </c>
      <c r="B4" s="5">
        <f>IF(OR(INDEX($V$2:$V$1001,MATCH(ROWS($U$2:U4),$U$2:$U$1001,0),1)&gt;=100000,INDEX($AB$1005:$AQ$1005,1,MATCH(COLUMNS($AB$1006:AB1006),$AB$1006:$AQ$1006,0))&gt;=100000), " ",IF(INDEX($AB$2:$AQ$1001,MATCH(ROWS($U$2:U4),$U$2:$U$1001,0),MATCH(COLUMNS($AB$1006:AB1006),$AB$1006:$AQ$1006,0)), HYPERLINK("#",""), HYPERLINK(CONCATENATE("#Metadata!", ADDRESS(INDEX($W$2:$W$1001,MATCH(ROWS($U$2:U4),$U$2:$U$1001,0),0), INDEX($AB$1004:$AQ$1004,1,MATCH(COLUMNS($AB$1006:AB1006),$AB$1006:$AQ$1006,0)))),"Fix")))</f>
        <v>0</v>
      </c>
      <c r="C4" s="5">
        <f>IF(OR(INDEX($V$2:$V$1001,MATCH(ROWS($U$2:U4),$U$2:$U$1001,0),1)&gt;=100000,INDEX($AB$1005:$AQ$1005,1,MATCH(COLUMNS($AB$1006:AC1006),$AB$1006:$AQ$1006,0))&gt;=100000), " ",IF(INDEX($AB$2:$AQ$1001,MATCH(ROWS($U$2:U4),$U$2:$U$1001,0),MATCH(COLUMNS($AB$1006:AC1006),$AB$1006:$AQ$1006,0)), HYPERLINK("#",""), HYPERLINK(CONCATENATE("#Metadata!", ADDRESS(INDEX($W$2:$W$1001,MATCH(ROWS($U$2:U4),$U$2:$U$1001,0),0), INDEX($AB$1004:$AQ$1004,1,MATCH(COLUMNS($AB$1006:AC1006),$AB$1006:$AQ$1006,0)))),"Fix")))</f>
        <v>0</v>
      </c>
      <c r="D4" s="5">
        <f>IF(OR(INDEX($V$2:$V$1001,MATCH(ROWS($U$2:U4),$U$2:$U$1001,0),1)&gt;=100000,INDEX($AB$1005:$AQ$1005,1,MATCH(COLUMNS($AB$1006:AD1006),$AB$1006:$AQ$1006,0))&gt;=100000), " ",IF(INDEX($AB$2:$AQ$1001,MATCH(ROWS($U$2:U4),$U$2:$U$1001,0),MATCH(COLUMNS($AB$1006:AD1006),$AB$1006:$AQ$1006,0)), HYPERLINK("#",""), HYPERLINK(CONCATENATE("#Metadata!", ADDRESS(INDEX($W$2:$W$1001,MATCH(ROWS($U$2:U4),$U$2:$U$1001,0),0), INDEX($AB$1004:$AQ$1004,1,MATCH(COLUMNS($AB$1006:AD1006),$AB$1006:$AQ$1006,0)))),"Fix")))</f>
        <v>0</v>
      </c>
      <c r="E4" s="5">
        <f>IF(OR(INDEX($V$2:$V$1001,MATCH(ROWS($U$2:U4),$U$2:$U$1001,0),1)&gt;=100000,INDEX($AB$1005:$AQ$1005,1,MATCH(COLUMNS($AB$1006:AE1006),$AB$1006:$AQ$1006,0))&gt;=100000), " ",IF(INDEX($AB$2:$AQ$1001,MATCH(ROWS($U$2:U4),$U$2:$U$1001,0),MATCH(COLUMNS($AB$1006:AE1006),$AB$1006:$AQ$1006,0)), HYPERLINK("#",""), HYPERLINK(CONCATENATE("#Metadata!", ADDRESS(INDEX($W$2:$W$1001,MATCH(ROWS($U$2:U4),$U$2:$U$1001,0),0), INDEX($AB$1004:$AQ$1004,1,MATCH(COLUMNS($AB$1006:AE1006),$AB$1006:$AQ$1006,0)))),"Fix")))</f>
        <v>0</v>
      </c>
      <c r="F4" s="5">
        <f>IF(OR(INDEX($V$2:$V$1001,MATCH(ROWS($U$2:U4),$U$2:$U$1001,0),1)&gt;=100000,INDEX($AB$1005:$AQ$1005,1,MATCH(COLUMNS($AB$1006:AF1006),$AB$1006:$AQ$1006,0))&gt;=100000), " ",IF(INDEX($AB$2:$AQ$1001,MATCH(ROWS($U$2:U4),$U$2:$U$1001,0),MATCH(COLUMNS($AB$1006:AF1006),$AB$1006:$AQ$1006,0)), HYPERLINK("#",""), HYPERLINK(CONCATENATE("#Metadata!", ADDRESS(INDEX($W$2:$W$1001,MATCH(ROWS($U$2:U4),$U$2:$U$1001,0),0), INDEX($AB$1004:$AQ$1004,1,MATCH(COLUMNS($AB$1006:AF1006),$AB$1006:$AQ$1006,0)))),"Fix")))</f>
        <v>0</v>
      </c>
      <c r="G4" s="5">
        <f>IF(OR(INDEX($V$2:$V$1001,MATCH(ROWS($U$2:U4),$U$2:$U$1001,0),1)&gt;=100000,INDEX($AB$1005:$AQ$1005,1,MATCH(COLUMNS($AB$1006:AG1006),$AB$1006:$AQ$1006,0))&gt;=100000), " ",IF(INDEX($AB$2:$AQ$1001,MATCH(ROWS($U$2:U4),$U$2:$U$1001,0),MATCH(COLUMNS($AB$1006:AG1006),$AB$1006:$AQ$1006,0)), HYPERLINK("#",""), HYPERLINK(CONCATENATE("#Metadata!", ADDRESS(INDEX($W$2:$W$1001,MATCH(ROWS($U$2:U4),$U$2:$U$1001,0),0), INDEX($AB$1004:$AQ$1004,1,MATCH(COLUMNS($AB$1006:AG1006),$AB$1006:$AQ$1006,0)))),"Fix")))</f>
        <v>0</v>
      </c>
      <c r="H4" s="5">
        <f>IF(OR(INDEX($V$2:$V$1001,MATCH(ROWS($U$2:U4),$U$2:$U$1001,0),1)&gt;=100000,INDEX($AB$1005:$AQ$1005,1,MATCH(COLUMNS($AB$1006:AH1006),$AB$1006:$AQ$1006,0))&gt;=100000), " ",IF(INDEX($AB$2:$AQ$1001,MATCH(ROWS($U$2:U4),$U$2:$U$1001,0),MATCH(COLUMNS($AB$1006:AH1006),$AB$1006:$AQ$1006,0)), HYPERLINK("#",""), HYPERLINK(CONCATENATE("#Metadata!", ADDRESS(INDEX($W$2:$W$1001,MATCH(ROWS($U$2:U4),$U$2:$U$1001,0),0), INDEX($AB$1004:$AQ$1004,1,MATCH(COLUMNS($AB$1006:AH1006),$AB$1006:$AQ$1006,0)))),"Fix")))</f>
        <v>0</v>
      </c>
      <c r="I4" s="5">
        <f>IF(OR(INDEX($V$2:$V$1001,MATCH(ROWS($U$2:U4),$U$2:$U$1001,0),1)&gt;=100000,INDEX($AB$1005:$AQ$1005,1,MATCH(COLUMNS($AB$1006:AI1006),$AB$1006:$AQ$1006,0))&gt;=100000), " ",IF(INDEX($AB$2:$AQ$1001,MATCH(ROWS($U$2:U4),$U$2:$U$1001,0),MATCH(COLUMNS($AB$1006:AI1006),$AB$1006:$AQ$1006,0)), HYPERLINK("#",""), HYPERLINK(CONCATENATE("#Metadata!", ADDRESS(INDEX($W$2:$W$1001,MATCH(ROWS($U$2:U4),$U$2:$U$1001,0),0), INDEX($AB$1004:$AQ$1004,1,MATCH(COLUMNS($AB$1006:AI1006),$AB$1006:$AQ$1006,0)))),"Fix")))</f>
        <v>0</v>
      </c>
      <c r="J4" s="5">
        <f>IF(OR(INDEX($V$2:$V$1001,MATCH(ROWS($U$2:U4),$U$2:$U$1001,0),1)&gt;=100000,INDEX($AB$1005:$AQ$1005,1,MATCH(COLUMNS($AB$1006:AJ1006),$AB$1006:$AQ$1006,0))&gt;=100000), " ",IF(INDEX($AB$2:$AQ$1001,MATCH(ROWS($U$2:U4),$U$2:$U$1001,0),MATCH(COLUMNS($AB$1006:AJ1006),$AB$1006:$AQ$1006,0)), HYPERLINK("#",""), HYPERLINK(CONCATENATE("#Metadata!", ADDRESS(INDEX($W$2:$W$1001,MATCH(ROWS($U$2:U4),$U$2:$U$1001,0),0), INDEX($AB$1004:$AQ$1004,1,MATCH(COLUMNS($AB$1006:AJ1006),$AB$1006:$AQ$1006,0)))),"Fix")))</f>
        <v>0</v>
      </c>
      <c r="K4" s="5">
        <f>IF(OR(INDEX($V$2:$V$1001,MATCH(ROWS($U$2:U4),$U$2:$U$1001,0),1)&gt;=100000,INDEX($AB$1005:$AQ$1005,1,MATCH(COLUMNS($AB$1006:AK1006),$AB$1006:$AQ$1006,0))&gt;=100000), " ",IF(INDEX($AB$2:$AQ$1001,MATCH(ROWS($U$2:U4),$U$2:$U$1001,0),MATCH(COLUMNS($AB$1006:AK1006),$AB$1006:$AQ$1006,0)), HYPERLINK("#",""), HYPERLINK(CONCATENATE("#Metadata!", ADDRESS(INDEX($W$2:$W$1001,MATCH(ROWS($U$2:U4),$U$2:$U$1001,0),0), INDEX($AB$1004:$AQ$1004,1,MATCH(COLUMNS($AB$1006:AK1006),$AB$1006:$AQ$1006,0)))),"Fix")))</f>
        <v>0</v>
      </c>
      <c r="L4" s="5">
        <f>IF(OR(INDEX($V$2:$V$1001,MATCH(ROWS($U$2:U4),$U$2:$U$1001,0),1)&gt;=100000,INDEX($AB$1005:$AQ$1005,1,MATCH(COLUMNS($AB$1006:AL1006),$AB$1006:$AQ$1006,0))&gt;=100000), " ",IF(INDEX($AB$2:$AQ$1001,MATCH(ROWS($U$2:U4),$U$2:$U$1001,0),MATCH(COLUMNS($AB$1006:AL1006),$AB$1006:$AQ$1006,0)), HYPERLINK("#",""), HYPERLINK(CONCATENATE("#Metadata!", ADDRESS(INDEX($W$2:$W$1001,MATCH(ROWS($U$2:U4),$U$2:$U$1001,0),0), INDEX($AB$1004:$AQ$1004,1,MATCH(COLUMNS($AB$1006:AL1006),$AB$1006:$AQ$1006,0)))),"Fix")))</f>
        <v>0</v>
      </c>
      <c r="M4" s="5">
        <f>IF(OR(INDEX($V$2:$V$1001,MATCH(ROWS($U$2:U4),$U$2:$U$1001,0),1)&gt;=100000,INDEX($AB$1005:$AQ$1005,1,MATCH(COLUMNS($AB$1006:AM1006),$AB$1006:$AQ$1006,0))&gt;=100000), " ",IF(INDEX($AB$2:$AQ$1001,MATCH(ROWS($U$2:U4),$U$2:$U$1001,0),MATCH(COLUMNS($AB$1006:AM1006),$AB$1006:$AQ$1006,0)), HYPERLINK("#",""), HYPERLINK(CONCATENATE("#Metadata!", ADDRESS(INDEX($W$2:$W$1001,MATCH(ROWS($U$2:U4),$U$2:$U$1001,0),0), INDEX($AB$1004:$AQ$1004,1,MATCH(COLUMNS($AB$1006:AM1006),$AB$1006:$AQ$1006,0)))),"Fix")))</f>
        <v>0</v>
      </c>
      <c r="N4" s="5">
        <f>IF(OR(INDEX($V$2:$V$1001,MATCH(ROWS($U$2:U4),$U$2:$U$1001,0),1)&gt;=100000,INDEX($AB$1005:$AQ$1005,1,MATCH(COLUMNS($AB$1006:AN1006),$AB$1006:$AQ$1006,0))&gt;=100000), " ",IF(INDEX($AB$2:$AQ$1001,MATCH(ROWS($U$2:U4),$U$2:$U$1001,0),MATCH(COLUMNS($AB$1006:AN1006),$AB$1006:$AQ$1006,0)), HYPERLINK("#",""), HYPERLINK(CONCATENATE("#Metadata!", ADDRESS(INDEX($W$2:$W$1001,MATCH(ROWS($U$2:U4),$U$2:$U$1001,0),0), INDEX($AB$1004:$AQ$1004,1,MATCH(COLUMNS($AB$1006:AN1006),$AB$1006:$AQ$1006,0)))),"Fix")))</f>
        <v>0</v>
      </c>
      <c r="O4" s="5">
        <f>IF(OR(INDEX($V$2:$V$1001,MATCH(ROWS($U$2:U4),$U$2:$U$1001,0),1)&gt;=100000,INDEX($AB$1005:$AQ$1005,1,MATCH(COLUMNS($AB$1006:AO1006),$AB$1006:$AQ$1006,0))&gt;=100000), " ",IF(INDEX($AB$2:$AQ$1001,MATCH(ROWS($U$2:U4),$U$2:$U$1001,0),MATCH(COLUMNS($AB$1006:AO1006),$AB$1006:$AQ$1006,0)), HYPERLINK("#",""), HYPERLINK(CONCATENATE("#Metadata!", ADDRESS(INDEX($W$2:$W$1001,MATCH(ROWS($U$2:U4),$U$2:$U$1001,0),0), INDEX($AB$1004:$AQ$1004,1,MATCH(COLUMNS($AB$1006:AO1006),$AB$1006:$AQ$1006,0)))),"Fix")))</f>
        <v>0</v>
      </c>
      <c r="P4" s="5">
        <f>IF(OR(INDEX($V$2:$V$1001,MATCH(ROWS($U$2:U4),$U$2:$U$1001,0),1)&gt;=100000,INDEX($AB$1005:$AQ$1005,1,MATCH(COLUMNS($AB$1006:AP1006),$AB$1006:$AQ$1006,0))&gt;=100000), " ",IF(INDEX($AB$2:$AQ$1001,MATCH(ROWS($U$2:U4),$U$2:$U$1001,0),MATCH(COLUMNS($AB$1006:AP1006),$AB$1006:$AQ$1006,0)), HYPERLINK("#",""), HYPERLINK(CONCATENATE("#Metadata!", ADDRESS(INDEX($W$2:$W$1001,MATCH(ROWS($U$2:U4),$U$2:$U$1001,0),0), INDEX($AB$1004:$AQ$1004,1,MATCH(COLUMNS($AB$1006:AP1006),$AB$1006:$AQ$1006,0)))),"Fix")))</f>
        <v>0</v>
      </c>
      <c r="Q4" s="5">
        <f>IF(OR(INDEX($V$2:$V$1001,MATCH(ROWS($U$2:U4),$U$2:$U$1001,0),1)&gt;=100000,INDEX($AB$1005:$AQ$1005,1,MATCH(COLUMNS($AB$1006:AQ1006),$AB$1006:$AQ$1006,0))&gt;=100000), " ",IF(INDEX($AB$2:$AQ$1001,MATCH(ROWS($U$2:U4),$U$2:$U$1001,0),MATCH(COLUMNS($AB$1006:AQ1006),$AB$1006:$AQ$1006,0)), HYPERLINK("#",""), HYPERLINK(CONCATENATE("#Metadata!", ADDRESS(INDEX($W$2:$W$1001,MATCH(ROWS($U$2:U4),$U$2:$U$1001,0),0), INDEX($AB$1004:$AQ$1004,1,MATCH(COLUMNS($AB$1006:AQ1006),$AB$1006:$AQ$1006,0)))),"Fix")))</f>
        <v>0</v>
      </c>
      <c r="U4">
        <v>0</v>
      </c>
      <c r="V4">
        <v>0</v>
      </c>
      <c r="W4">
        <v>0</v>
      </c>
      <c r="X4">
        <f>IF(Y4,TRUE,AND(AB4:AQ4))</f>
        <v>0</v>
      </c>
      <c r="Y4">
        <f>COUNTBLANK(Metadata!B4:Q4)=COLUMNS(Metadata!B4:Q4)</f>
        <v>0</v>
      </c>
      <c r="Z4">
        <v>0</v>
      </c>
      <c r="AB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AC4">
        <f>AND(IF(Metadata!C4="",FALSE,TRUE),exact(Metadata!C4,"urban biome"))</f>
        <v>0</v>
      </c>
      <c r="AD4">
        <f>AND(IF(Metadata!D4="",FALSE,TRUE),exact(Metadata!D4,"human-associated habitat"))</f>
        <v>0</v>
      </c>
      <c r="AE4">
        <f>AND(IF(Metadata!E4="",FALSE,TRUE),OR(exact(Metadata!E4,"human-associated"),exact(Metadata!E4,"human-skin"),exact(Metadata!E4,"human-oral"),exact(Metadata!E4,"human-gut"),exact(Metadata!E4,"human-vaginal")))</f>
        <v>0</v>
      </c>
      <c r="AF4">
        <f>AND(IF(Metadata!F4="",FALSE,ISNUMBER(VALUE(Metadata!F4))),Metadata!F4&gt;0)</f>
        <v>0</v>
      </c>
      <c r="AG4">
        <f>AND(IF(Metadata!G4="",FALSE,TRUE),exact(Metadata!G4,"years"))</f>
        <v>0</v>
      </c>
      <c r="AH4">
        <f>OR(AND(IF(Metadata!H4="",FALSE,TRUE),OR(exact(Metadata!H4,"not applicable"),exact(Metadata!H4,"not collected"),exact(Metadata!H4,"not provided"),exact(Metadata!H4,"restricted access"))),AND(IF(Metadata!H4="",FALSE,ISNUMBER(VALUE(Metadata!H4))),Metadata!H4&gt;0))</f>
        <v>0</v>
      </c>
      <c r="AI4">
        <f>AND(IF(Metadata!I4="",FALSE,TRUE),exact(Metadata!I4,"human"))</f>
        <v>0</v>
      </c>
      <c r="AJ4">
        <f>AND(IF(Metadata!J4="",FALSE,ISNUMBER(VALUE(Metadata!J4))),Metadata!J4&gt;0)</f>
        <v>0</v>
      </c>
      <c r="AK4">
        <f>AND(IF(Metadata!K4="",FALSE,TRUE),exact(Metadata!K4,"cm"))</f>
        <v>0</v>
      </c>
      <c r="AL4">
        <f>AND(IF(Metadata!L4="",FALSE,TRUE),exact(Metadata!L4,"Homo sapiens"))</f>
        <v>0</v>
      </c>
      <c r="AM4">
        <f>AND(IF(Metadata!M4="",FALSE,TRUE),exact(Metadata!M4,"9606"))</f>
        <v>0</v>
      </c>
      <c r="AN4">
        <f>AND(IF(Metadata!N4="",FALSE,ISNUMBER(VALUE(Metadata!N4))),Metadata!N4&gt;0)</f>
        <v>0</v>
      </c>
      <c r="AO4">
        <f>AND(IF(Metadata!O4="",FALSE,TRUE),exact(Metadata!O4,"kg"))</f>
        <v>0</v>
      </c>
      <c r="AP4">
        <f>OR(AND(IF(Metadata!P4="",FALSE,TRUE),exact(Metadata!P4,"not provided")),IF(Metadata!P4="",FALSE,TRUE))</f>
        <v>0</v>
      </c>
      <c r="AQ4">
        <f>OR(AND(IF(Metadata!Q4="",FALSE,TRUE),exact(Metadata!Q4,"not provided")),IF(Metadata!Q4="",FALSE,TRUE))</f>
        <v>0</v>
      </c>
    </row>
    <row r="5" spans="1:43">
      <c r="A5" s="4">
        <f>IF(B5=" "," ",HYPERLINK(CONCATENATE("#metadata!",ADDRESS(INDEX($W$2:$W$1001,MATCH(ROWS($U$2:U5),$U$2:$U$1001,0),0),2)),INDEX($Z$2:$Z$1001,MATCH(ROWS($U$2:U5),$U$2:$U$1001,0),0)))</f>
        <v>0</v>
      </c>
      <c r="B5" s="5">
        <f>IF(OR(INDEX($V$2:$V$1001,MATCH(ROWS($U$2:U5),$U$2:$U$1001,0),1)&gt;=100000,INDEX($AB$1005:$AQ$1005,1,MATCH(COLUMNS($AB$1006:AB1006),$AB$1006:$AQ$1006,0))&gt;=100000), " ",IF(INDEX($AB$2:$AQ$1001,MATCH(ROWS($U$2:U5),$U$2:$U$1001,0),MATCH(COLUMNS($AB$1006:AB1006),$AB$1006:$AQ$1006,0)), HYPERLINK("#",""), HYPERLINK(CONCATENATE("#Metadata!", ADDRESS(INDEX($W$2:$W$1001,MATCH(ROWS($U$2:U5),$U$2:$U$1001,0),0), INDEX($AB$1004:$AQ$1004,1,MATCH(COLUMNS($AB$1006:AB1006),$AB$1006:$AQ$1006,0)))),"Fix")))</f>
        <v>0</v>
      </c>
      <c r="C5" s="5">
        <f>IF(OR(INDEX($V$2:$V$1001,MATCH(ROWS($U$2:U5),$U$2:$U$1001,0),1)&gt;=100000,INDEX($AB$1005:$AQ$1005,1,MATCH(COLUMNS($AB$1006:AC1006),$AB$1006:$AQ$1006,0))&gt;=100000), " ",IF(INDEX($AB$2:$AQ$1001,MATCH(ROWS($U$2:U5),$U$2:$U$1001,0),MATCH(COLUMNS($AB$1006:AC1006),$AB$1006:$AQ$1006,0)), HYPERLINK("#",""), HYPERLINK(CONCATENATE("#Metadata!", ADDRESS(INDEX($W$2:$W$1001,MATCH(ROWS($U$2:U5),$U$2:$U$1001,0),0), INDEX($AB$1004:$AQ$1004,1,MATCH(COLUMNS($AB$1006:AC1006),$AB$1006:$AQ$1006,0)))),"Fix")))</f>
        <v>0</v>
      </c>
      <c r="D5" s="5">
        <f>IF(OR(INDEX($V$2:$V$1001,MATCH(ROWS($U$2:U5),$U$2:$U$1001,0),1)&gt;=100000,INDEX($AB$1005:$AQ$1005,1,MATCH(COLUMNS($AB$1006:AD1006),$AB$1006:$AQ$1006,0))&gt;=100000), " ",IF(INDEX($AB$2:$AQ$1001,MATCH(ROWS($U$2:U5),$U$2:$U$1001,0),MATCH(COLUMNS($AB$1006:AD1006),$AB$1006:$AQ$1006,0)), HYPERLINK("#",""), HYPERLINK(CONCATENATE("#Metadata!", ADDRESS(INDEX($W$2:$W$1001,MATCH(ROWS($U$2:U5),$U$2:$U$1001,0),0), INDEX($AB$1004:$AQ$1004,1,MATCH(COLUMNS($AB$1006:AD1006),$AB$1006:$AQ$1006,0)))),"Fix")))</f>
        <v>0</v>
      </c>
      <c r="E5" s="5">
        <f>IF(OR(INDEX($V$2:$V$1001,MATCH(ROWS($U$2:U5),$U$2:$U$1001,0),1)&gt;=100000,INDEX($AB$1005:$AQ$1005,1,MATCH(COLUMNS($AB$1006:AE1006),$AB$1006:$AQ$1006,0))&gt;=100000), " ",IF(INDEX($AB$2:$AQ$1001,MATCH(ROWS($U$2:U5),$U$2:$U$1001,0),MATCH(COLUMNS($AB$1006:AE1006),$AB$1006:$AQ$1006,0)), HYPERLINK("#",""), HYPERLINK(CONCATENATE("#Metadata!", ADDRESS(INDEX($W$2:$W$1001,MATCH(ROWS($U$2:U5),$U$2:$U$1001,0),0), INDEX($AB$1004:$AQ$1004,1,MATCH(COLUMNS($AB$1006:AE1006),$AB$1006:$AQ$1006,0)))),"Fix")))</f>
        <v>0</v>
      </c>
      <c r="F5" s="5">
        <f>IF(OR(INDEX($V$2:$V$1001,MATCH(ROWS($U$2:U5),$U$2:$U$1001,0),1)&gt;=100000,INDEX($AB$1005:$AQ$1005,1,MATCH(COLUMNS($AB$1006:AF1006),$AB$1006:$AQ$1006,0))&gt;=100000), " ",IF(INDEX($AB$2:$AQ$1001,MATCH(ROWS($U$2:U5),$U$2:$U$1001,0),MATCH(COLUMNS($AB$1006:AF1006),$AB$1006:$AQ$1006,0)), HYPERLINK("#",""), HYPERLINK(CONCATENATE("#Metadata!", ADDRESS(INDEX($W$2:$W$1001,MATCH(ROWS($U$2:U5),$U$2:$U$1001,0),0), INDEX($AB$1004:$AQ$1004,1,MATCH(COLUMNS($AB$1006:AF1006),$AB$1006:$AQ$1006,0)))),"Fix")))</f>
        <v>0</v>
      </c>
      <c r="G5" s="5">
        <f>IF(OR(INDEX($V$2:$V$1001,MATCH(ROWS($U$2:U5),$U$2:$U$1001,0),1)&gt;=100000,INDEX($AB$1005:$AQ$1005,1,MATCH(COLUMNS($AB$1006:AG1006),$AB$1006:$AQ$1006,0))&gt;=100000), " ",IF(INDEX($AB$2:$AQ$1001,MATCH(ROWS($U$2:U5),$U$2:$U$1001,0),MATCH(COLUMNS($AB$1006:AG1006),$AB$1006:$AQ$1006,0)), HYPERLINK("#",""), HYPERLINK(CONCATENATE("#Metadata!", ADDRESS(INDEX($W$2:$W$1001,MATCH(ROWS($U$2:U5),$U$2:$U$1001,0),0), INDEX($AB$1004:$AQ$1004,1,MATCH(COLUMNS($AB$1006:AG1006),$AB$1006:$AQ$1006,0)))),"Fix")))</f>
        <v>0</v>
      </c>
      <c r="H5" s="5">
        <f>IF(OR(INDEX($V$2:$V$1001,MATCH(ROWS($U$2:U5),$U$2:$U$1001,0),1)&gt;=100000,INDEX($AB$1005:$AQ$1005,1,MATCH(COLUMNS($AB$1006:AH1006),$AB$1006:$AQ$1006,0))&gt;=100000), " ",IF(INDEX($AB$2:$AQ$1001,MATCH(ROWS($U$2:U5),$U$2:$U$1001,0),MATCH(COLUMNS($AB$1006:AH1006),$AB$1006:$AQ$1006,0)), HYPERLINK("#",""), HYPERLINK(CONCATENATE("#Metadata!", ADDRESS(INDEX($W$2:$W$1001,MATCH(ROWS($U$2:U5),$U$2:$U$1001,0),0), INDEX($AB$1004:$AQ$1004,1,MATCH(COLUMNS($AB$1006:AH1006),$AB$1006:$AQ$1006,0)))),"Fix")))</f>
        <v>0</v>
      </c>
      <c r="I5" s="5">
        <f>IF(OR(INDEX($V$2:$V$1001,MATCH(ROWS($U$2:U5),$U$2:$U$1001,0),1)&gt;=100000,INDEX($AB$1005:$AQ$1005,1,MATCH(COLUMNS($AB$1006:AI1006),$AB$1006:$AQ$1006,0))&gt;=100000), " ",IF(INDEX($AB$2:$AQ$1001,MATCH(ROWS($U$2:U5),$U$2:$U$1001,0),MATCH(COLUMNS($AB$1006:AI1006),$AB$1006:$AQ$1006,0)), HYPERLINK("#",""), HYPERLINK(CONCATENATE("#Metadata!", ADDRESS(INDEX($W$2:$W$1001,MATCH(ROWS($U$2:U5),$U$2:$U$1001,0),0), INDEX($AB$1004:$AQ$1004,1,MATCH(COLUMNS($AB$1006:AI1006),$AB$1006:$AQ$1006,0)))),"Fix")))</f>
        <v>0</v>
      </c>
      <c r="J5" s="5">
        <f>IF(OR(INDEX($V$2:$V$1001,MATCH(ROWS($U$2:U5),$U$2:$U$1001,0),1)&gt;=100000,INDEX($AB$1005:$AQ$1005,1,MATCH(COLUMNS($AB$1006:AJ1006),$AB$1006:$AQ$1006,0))&gt;=100000), " ",IF(INDEX($AB$2:$AQ$1001,MATCH(ROWS($U$2:U5),$U$2:$U$1001,0),MATCH(COLUMNS($AB$1006:AJ1006),$AB$1006:$AQ$1006,0)), HYPERLINK("#",""), HYPERLINK(CONCATENATE("#Metadata!", ADDRESS(INDEX($W$2:$W$1001,MATCH(ROWS($U$2:U5),$U$2:$U$1001,0),0), INDEX($AB$1004:$AQ$1004,1,MATCH(COLUMNS($AB$1006:AJ1006),$AB$1006:$AQ$1006,0)))),"Fix")))</f>
        <v>0</v>
      </c>
      <c r="K5" s="5">
        <f>IF(OR(INDEX($V$2:$V$1001,MATCH(ROWS($U$2:U5),$U$2:$U$1001,0),1)&gt;=100000,INDEX($AB$1005:$AQ$1005,1,MATCH(COLUMNS($AB$1006:AK1006),$AB$1006:$AQ$1006,0))&gt;=100000), " ",IF(INDEX($AB$2:$AQ$1001,MATCH(ROWS($U$2:U5),$U$2:$U$1001,0),MATCH(COLUMNS($AB$1006:AK1006),$AB$1006:$AQ$1006,0)), HYPERLINK("#",""), HYPERLINK(CONCATENATE("#Metadata!", ADDRESS(INDEX($W$2:$W$1001,MATCH(ROWS($U$2:U5),$U$2:$U$1001,0),0), INDEX($AB$1004:$AQ$1004,1,MATCH(COLUMNS($AB$1006:AK1006),$AB$1006:$AQ$1006,0)))),"Fix")))</f>
        <v>0</v>
      </c>
      <c r="L5" s="5">
        <f>IF(OR(INDEX($V$2:$V$1001,MATCH(ROWS($U$2:U5),$U$2:$U$1001,0),1)&gt;=100000,INDEX($AB$1005:$AQ$1005,1,MATCH(COLUMNS($AB$1006:AL1006),$AB$1006:$AQ$1006,0))&gt;=100000), " ",IF(INDEX($AB$2:$AQ$1001,MATCH(ROWS($U$2:U5),$U$2:$U$1001,0),MATCH(COLUMNS($AB$1006:AL1006),$AB$1006:$AQ$1006,0)), HYPERLINK("#",""), HYPERLINK(CONCATENATE("#Metadata!", ADDRESS(INDEX($W$2:$W$1001,MATCH(ROWS($U$2:U5),$U$2:$U$1001,0),0), INDEX($AB$1004:$AQ$1004,1,MATCH(COLUMNS($AB$1006:AL1006),$AB$1006:$AQ$1006,0)))),"Fix")))</f>
        <v>0</v>
      </c>
      <c r="M5" s="5">
        <f>IF(OR(INDEX($V$2:$V$1001,MATCH(ROWS($U$2:U5),$U$2:$U$1001,0),1)&gt;=100000,INDEX($AB$1005:$AQ$1005,1,MATCH(COLUMNS($AB$1006:AM1006),$AB$1006:$AQ$1006,0))&gt;=100000), " ",IF(INDEX($AB$2:$AQ$1001,MATCH(ROWS($U$2:U5),$U$2:$U$1001,0),MATCH(COLUMNS($AB$1006:AM1006),$AB$1006:$AQ$1006,0)), HYPERLINK("#",""), HYPERLINK(CONCATENATE("#Metadata!", ADDRESS(INDEX($W$2:$W$1001,MATCH(ROWS($U$2:U5),$U$2:$U$1001,0),0), INDEX($AB$1004:$AQ$1004,1,MATCH(COLUMNS($AB$1006:AM1006),$AB$1006:$AQ$1006,0)))),"Fix")))</f>
        <v>0</v>
      </c>
      <c r="N5" s="5">
        <f>IF(OR(INDEX($V$2:$V$1001,MATCH(ROWS($U$2:U5),$U$2:$U$1001,0),1)&gt;=100000,INDEX($AB$1005:$AQ$1005,1,MATCH(COLUMNS($AB$1006:AN1006),$AB$1006:$AQ$1006,0))&gt;=100000), " ",IF(INDEX($AB$2:$AQ$1001,MATCH(ROWS($U$2:U5),$U$2:$U$1001,0),MATCH(COLUMNS($AB$1006:AN1006),$AB$1006:$AQ$1006,0)), HYPERLINK("#",""), HYPERLINK(CONCATENATE("#Metadata!", ADDRESS(INDEX($W$2:$W$1001,MATCH(ROWS($U$2:U5),$U$2:$U$1001,0),0), INDEX($AB$1004:$AQ$1004,1,MATCH(COLUMNS($AB$1006:AN1006),$AB$1006:$AQ$1006,0)))),"Fix")))</f>
        <v>0</v>
      </c>
      <c r="O5" s="5">
        <f>IF(OR(INDEX($V$2:$V$1001,MATCH(ROWS($U$2:U5),$U$2:$U$1001,0),1)&gt;=100000,INDEX($AB$1005:$AQ$1005,1,MATCH(COLUMNS($AB$1006:AO1006),$AB$1006:$AQ$1006,0))&gt;=100000), " ",IF(INDEX($AB$2:$AQ$1001,MATCH(ROWS($U$2:U5),$U$2:$U$1001,0),MATCH(COLUMNS($AB$1006:AO1006),$AB$1006:$AQ$1006,0)), HYPERLINK("#",""), HYPERLINK(CONCATENATE("#Metadata!", ADDRESS(INDEX($W$2:$W$1001,MATCH(ROWS($U$2:U5),$U$2:$U$1001,0),0), INDEX($AB$1004:$AQ$1004,1,MATCH(COLUMNS($AB$1006:AO1006),$AB$1006:$AQ$1006,0)))),"Fix")))</f>
        <v>0</v>
      </c>
      <c r="P5" s="5">
        <f>IF(OR(INDEX($V$2:$V$1001,MATCH(ROWS($U$2:U5),$U$2:$U$1001,0),1)&gt;=100000,INDEX($AB$1005:$AQ$1005,1,MATCH(COLUMNS($AB$1006:AP1006),$AB$1006:$AQ$1006,0))&gt;=100000), " ",IF(INDEX($AB$2:$AQ$1001,MATCH(ROWS($U$2:U5),$U$2:$U$1001,0),MATCH(COLUMNS($AB$1006:AP1006),$AB$1006:$AQ$1006,0)), HYPERLINK("#",""), HYPERLINK(CONCATENATE("#Metadata!", ADDRESS(INDEX($W$2:$W$1001,MATCH(ROWS($U$2:U5),$U$2:$U$1001,0),0), INDEX($AB$1004:$AQ$1004,1,MATCH(COLUMNS($AB$1006:AP1006),$AB$1006:$AQ$1006,0)))),"Fix")))</f>
        <v>0</v>
      </c>
      <c r="Q5" s="5">
        <f>IF(OR(INDEX($V$2:$V$1001,MATCH(ROWS($U$2:U5),$U$2:$U$1001,0),1)&gt;=100000,INDEX($AB$1005:$AQ$1005,1,MATCH(COLUMNS($AB$1006:AQ1006),$AB$1006:$AQ$1006,0))&gt;=100000), " ",IF(INDEX($AB$2:$AQ$1001,MATCH(ROWS($U$2:U5),$U$2:$U$1001,0),MATCH(COLUMNS($AB$1006:AQ1006),$AB$1006:$AQ$1006,0)), HYPERLINK("#",""), HYPERLINK(CONCATENATE("#Metadata!", ADDRESS(INDEX($W$2:$W$1001,MATCH(ROWS($U$2:U5),$U$2:$U$1001,0),0), INDEX($AB$1004:$AQ$1004,1,MATCH(COLUMNS($AB$1006:AQ1006),$AB$1006:$AQ$1006,0)))),"Fix")))</f>
        <v>0</v>
      </c>
      <c r="U5">
        <v>0</v>
      </c>
      <c r="V5">
        <v>0</v>
      </c>
      <c r="W5">
        <v>0</v>
      </c>
      <c r="X5">
        <f>IF(Y5,TRUE,AND(AB5:AQ5))</f>
        <v>0</v>
      </c>
      <c r="Y5">
        <f>COUNTBLANK(Metadata!B5:Q5)=COLUMNS(Metadata!B5:Q5)</f>
        <v>0</v>
      </c>
      <c r="Z5">
        <v>0</v>
      </c>
      <c r="AB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AC5">
        <f>AND(IF(Metadata!C5="",FALSE,TRUE),exact(Metadata!C5,"urban biome"))</f>
        <v>0</v>
      </c>
      <c r="AD5">
        <f>AND(IF(Metadata!D5="",FALSE,TRUE),exact(Metadata!D5,"human-associated habitat"))</f>
        <v>0</v>
      </c>
      <c r="AE5">
        <f>AND(IF(Metadata!E5="",FALSE,TRUE),OR(exact(Metadata!E5,"human-associated"),exact(Metadata!E5,"human-skin"),exact(Metadata!E5,"human-oral"),exact(Metadata!E5,"human-gut"),exact(Metadata!E5,"human-vaginal")))</f>
        <v>0</v>
      </c>
      <c r="AF5">
        <f>AND(IF(Metadata!F5="",FALSE,ISNUMBER(VALUE(Metadata!F5))),Metadata!F5&gt;0)</f>
        <v>0</v>
      </c>
      <c r="AG5">
        <f>AND(IF(Metadata!G5="",FALSE,TRUE),exact(Metadata!G5,"years"))</f>
        <v>0</v>
      </c>
      <c r="AH5">
        <f>OR(AND(IF(Metadata!H5="",FALSE,TRUE),OR(exact(Metadata!H5,"not applicable"),exact(Metadata!H5,"not collected"),exact(Metadata!H5,"not provided"),exact(Metadata!H5,"restricted access"))),AND(IF(Metadata!H5="",FALSE,ISNUMBER(VALUE(Metadata!H5))),Metadata!H5&gt;0))</f>
        <v>0</v>
      </c>
      <c r="AI5">
        <f>AND(IF(Metadata!I5="",FALSE,TRUE),exact(Metadata!I5,"human"))</f>
        <v>0</v>
      </c>
      <c r="AJ5">
        <f>AND(IF(Metadata!J5="",FALSE,ISNUMBER(VALUE(Metadata!J5))),Metadata!J5&gt;0)</f>
        <v>0</v>
      </c>
      <c r="AK5">
        <f>AND(IF(Metadata!K5="",FALSE,TRUE),exact(Metadata!K5,"cm"))</f>
        <v>0</v>
      </c>
      <c r="AL5">
        <f>AND(IF(Metadata!L5="",FALSE,TRUE),exact(Metadata!L5,"Homo sapiens"))</f>
        <v>0</v>
      </c>
      <c r="AM5">
        <f>AND(IF(Metadata!M5="",FALSE,TRUE),exact(Metadata!M5,"9606"))</f>
        <v>0</v>
      </c>
      <c r="AN5">
        <f>AND(IF(Metadata!N5="",FALSE,ISNUMBER(VALUE(Metadata!N5))),Metadata!N5&gt;0)</f>
        <v>0</v>
      </c>
      <c r="AO5">
        <f>AND(IF(Metadata!O5="",FALSE,TRUE),exact(Metadata!O5,"kg"))</f>
        <v>0</v>
      </c>
      <c r="AP5">
        <f>OR(AND(IF(Metadata!P5="",FALSE,TRUE),exact(Metadata!P5,"not provided")),IF(Metadata!P5="",FALSE,TRUE))</f>
        <v>0</v>
      </c>
      <c r="AQ5">
        <f>OR(AND(IF(Metadata!Q5="",FALSE,TRUE),exact(Metadata!Q5,"not provided")),IF(Metadata!Q5="",FALSE,TRUE))</f>
        <v>0</v>
      </c>
    </row>
    <row r="6" spans="1:43">
      <c r="A6" s="4">
        <f>IF(B6=" "," ",HYPERLINK(CONCATENATE("#metadata!",ADDRESS(INDEX($W$2:$W$1001,MATCH(ROWS($U$2:U6),$U$2:$U$1001,0),0),2)),INDEX($Z$2:$Z$1001,MATCH(ROWS($U$2:U6),$U$2:$U$1001,0),0)))</f>
        <v>0</v>
      </c>
      <c r="B6" s="5">
        <f>IF(OR(INDEX($V$2:$V$1001,MATCH(ROWS($U$2:U6),$U$2:$U$1001,0),1)&gt;=100000,INDEX($AB$1005:$AQ$1005,1,MATCH(COLUMNS($AB$1006:AB1006),$AB$1006:$AQ$1006,0))&gt;=100000), " ",IF(INDEX($AB$2:$AQ$1001,MATCH(ROWS($U$2:U6),$U$2:$U$1001,0),MATCH(COLUMNS($AB$1006:AB1006),$AB$1006:$AQ$1006,0)), HYPERLINK("#",""), HYPERLINK(CONCATENATE("#Metadata!", ADDRESS(INDEX($W$2:$W$1001,MATCH(ROWS($U$2:U6),$U$2:$U$1001,0),0), INDEX($AB$1004:$AQ$1004,1,MATCH(COLUMNS($AB$1006:AB1006),$AB$1006:$AQ$1006,0)))),"Fix")))</f>
        <v>0</v>
      </c>
      <c r="C6" s="5">
        <f>IF(OR(INDEX($V$2:$V$1001,MATCH(ROWS($U$2:U6),$U$2:$U$1001,0),1)&gt;=100000,INDEX($AB$1005:$AQ$1005,1,MATCH(COLUMNS($AB$1006:AC1006),$AB$1006:$AQ$1006,0))&gt;=100000), " ",IF(INDEX($AB$2:$AQ$1001,MATCH(ROWS($U$2:U6),$U$2:$U$1001,0),MATCH(COLUMNS($AB$1006:AC1006),$AB$1006:$AQ$1006,0)), HYPERLINK("#",""), HYPERLINK(CONCATENATE("#Metadata!", ADDRESS(INDEX($W$2:$W$1001,MATCH(ROWS($U$2:U6),$U$2:$U$1001,0),0), INDEX($AB$1004:$AQ$1004,1,MATCH(COLUMNS($AB$1006:AC1006),$AB$1006:$AQ$1006,0)))),"Fix")))</f>
        <v>0</v>
      </c>
      <c r="D6" s="5">
        <f>IF(OR(INDEX($V$2:$V$1001,MATCH(ROWS($U$2:U6),$U$2:$U$1001,0),1)&gt;=100000,INDEX($AB$1005:$AQ$1005,1,MATCH(COLUMNS($AB$1006:AD1006),$AB$1006:$AQ$1006,0))&gt;=100000), " ",IF(INDEX($AB$2:$AQ$1001,MATCH(ROWS($U$2:U6),$U$2:$U$1001,0),MATCH(COLUMNS($AB$1006:AD1006),$AB$1006:$AQ$1006,0)), HYPERLINK("#",""), HYPERLINK(CONCATENATE("#Metadata!", ADDRESS(INDEX($W$2:$W$1001,MATCH(ROWS($U$2:U6),$U$2:$U$1001,0),0), INDEX($AB$1004:$AQ$1004,1,MATCH(COLUMNS($AB$1006:AD1006),$AB$1006:$AQ$1006,0)))),"Fix")))</f>
        <v>0</v>
      </c>
      <c r="E6" s="5">
        <f>IF(OR(INDEX($V$2:$V$1001,MATCH(ROWS($U$2:U6),$U$2:$U$1001,0),1)&gt;=100000,INDEX($AB$1005:$AQ$1005,1,MATCH(COLUMNS($AB$1006:AE1006),$AB$1006:$AQ$1006,0))&gt;=100000), " ",IF(INDEX($AB$2:$AQ$1001,MATCH(ROWS($U$2:U6),$U$2:$U$1001,0),MATCH(COLUMNS($AB$1006:AE1006),$AB$1006:$AQ$1006,0)), HYPERLINK("#",""), HYPERLINK(CONCATENATE("#Metadata!", ADDRESS(INDEX($W$2:$W$1001,MATCH(ROWS($U$2:U6),$U$2:$U$1001,0),0), INDEX($AB$1004:$AQ$1004,1,MATCH(COLUMNS($AB$1006:AE1006),$AB$1006:$AQ$1006,0)))),"Fix")))</f>
        <v>0</v>
      </c>
      <c r="F6" s="5">
        <f>IF(OR(INDEX($V$2:$V$1001,MATCH(ROWS($U$2:U6),$U$2:$U$1001,0),1)&gt;=100000,INDEX($AB$1005:$AQ$1005,1,MATCH(COLUMNS($AB$1006:AF1006),$AB$1006:$AQ$1006,0))&gt;=100000), " ",IF(INDEX($AB$2:$AQ$1001,MATCH(ROWS($U$2:U6),$U$2:$U$1001,0),MATCH(COLUMNS($AB$1006:AF1006),$AB$1006:$AQ$1006,0)), HYPERLINK("#",""), HYPERLINK(CONCATENATE("#Metadata!", ADDRESS(INDEX($W$2:$W$1001,MATCH(ROWS($U$2:U6),$U$2:$U$1001,0),0), INDEX($AB$1004:$AQ$1004,1,MATCH(COLUMNS($AB$1006:AF1006),$AB$1006:$AQ$1006,0)))),"Fix")))</f>
        <v>0</v>
      </c>
      <c r="G6" s="5">
        <f>IF(OR(INDEX($V$2:$V$1001,MATCH(ROWS($U$2:U6),$U$2:$U$1001,0),1)&gt;=100000,INDEX($AB$1005:$AQ$1005,1,MATCH(COLUMNS($AB$1006:AG1006),$AB$1006:$AQ$1006,0))&gt;=100000), " ",IF(INDEX($AB$2:$AQ$1001,MATCH(ROWS($U$2:U6),$U$2:$U$1001,0),MATCH(COLUMNS($AB$1006:AG1006),$AB$1006:$AQ$1006,0)), HYPERLINK("#",""), HYPERLINK(CONCATENATE("#Metadata!", ADDRESS(INDEX($W$2:$W$1001,MATCH(ROWS($U$2:U6),$U$2:$U$1001,0),0), INDEX($AB$1004:$AQ$1004,1,MATCH(COLUMNS($AB$1006:AG1006),$AB$1006:$AQ$1006,0)))),"Fix")))</f>
        <v>0</v>
      </c>
      <c r="H6" s="5">
        <f>IF(OR(INDEX($V$2:$V$1001,MATCH(ROWS($U$2:U6),$U$2:$U$1001,0),1)&gt;=100000,INDEX($AB$1005:$AQ$1005,1,MATCH(COLUMNS($AB$1006:AH1006),$AB$1006:$AQ$1006,0))&gt;=100000), " ",IF(INDEX($AB$2:$AQ$1001,MATCH(ROWS($U$2:U6),$U$2:$U$1001,0),MATCH(COLUMNS($AB$1006:AH1006),$AB$1006:$AQ$1006,0)), HYPERLINK("#",""), HYPERLINK(CONCATENATE("#Metadata!", ADDRESS(INDEX($W$2:$W$1001,MATCH(ROWS($U$2:U6),$U$2:$U$1001,0),0), INDEX($AB$1004:$AQ$1004,1,MATCH(COLUMNS($AB$1006:AH1006),$AB$1006:$AQ$1006,0)))),"Fix")))</f>
        <v>0</v>
      </c>
      <c r="I6" s="5">
        <f>IF(OR(INDEX($V$2:$V$1001,MATCH(ROWS($U$2:U6),$U$2:$U$1001,0),1)&gt;=100000,INDEX($AB$1005:$AQ$1005,1,MATCH(COLUMNS($AB$1006:AI1006),$AB$1006:$AQ$1006,0))&gt;=100000), " ",IF(INDEX($AB$2:$AQ$1001,MATCH(ROWS($U$2:U6),$U$2:$U$1001,0),MATCH(COLUMNS($AB$1006:AI1006),$AB$1006:$AQ$1006,0)), HYPERLINK("#",""), HYPERLINK(CONCATENATE("#Metadata!", ADDRESS(INDEX($W$2:$W$1001,MATCH(ROWS($U$2:U6),$U$2:$U$1001,0),0), INDEX($AB$1004:$AQ$1004,1,MATCH(COLUMNS($AB$1006:AI1006),$AB$1006:$AQ$1006,0)))),"Fix")))</f>
        <v>0</v>
      </c>
      <c r="J6" s="5">
        <f>IF(OR(INDEX($V$2:$V$1001,MATCH(ROWS($U$2:U6),$U$2:$U$1001,0),1)&gt;=100000,INDEX($AB$1005:$AQ$1005,1,MATCH(COLUMNS($AB$1006:AJ1006),$AB$1006:$AQ$1006,0))&gt;=100000), " ",IF(INDEX($AB$2:$AQ$1001,MATCH(ROWS($U$2:U6),$U$2:$U$1001,0),MATCH(COLUMNS($AB$1006:AJ1006),$AB$1006:$AQ$1006,0)), HYPERLINK("#",""), HYPERLINK(CONCATENATE("#Metadata!", ADDRESS(INDEX($W$2:$W$1001,MATCH(ROWS($U$2:U6),$U$2:$U$1001,0),0), INDEX($AB$1004:$AQ$1004,1,MATCH(COLUMNS($AB$1006:AJ1006),$AB$1006:$AQ$1006,0)))),"Fix")))</f>
        <v>0</v>
      </c>
      <c r="K6" s="5">
        <f>IF(OR(INDEX($V$2:$V$1001,MATCH(ROWS($U$2:U6),$U$2:$U$1001,0),1)&gt;=100000,INDEX($AB$1005:$AQ$1005,1,MATCH(COLUMNS($AB$1006:AK1006),$AB$1006:$AQ$1006,0))&gt;=100000), " ",IF(INDEX($AB$2:$AQ$1001,MATCH(ROWS($U$2:U6),$U$2:$U$1001,0),MATCH(COLUMNS($AB$1006:AK1006),$AB$1006:$AQ$1006,0)), HYPERLINK("#",""), HYPERLINK(CONCATENATE("#Metadata!", ADDRESS(INDEX($W$2:$W$1001,MATCH(ROWS($U$2:U6),$U$2:$U$1001,0),0), INDEX($AB$1004:$AQ$1004,1,MATCH(COLUMNS($AB$1006:AK1006),$AB$1006:$AQ$1006,0)))),"Fix")))</f>
        <v>0</v>
      </c>
      <c r="L6" s="5">
        <f>IF(OR(INDEX($V$2:$V$1001,MATCH(ROWS($U$2:U6),$U$2:$U$1001,0),1)&gt;=100000,INDEX($AB$1005:$AQ$1005,1,MATCH(COLUMNS($AB$1006:AL1006),$AB$1006:$AQ$1006,0))&gt;=100000), " ",IF(INDEX($AB$2:$AQ$1001,MATCH(ROWS($U$2:U6),$U$2:$U$1001,0),MATCH(COLUMNS($AB$1006:AL1006),$AB$1006:$AQ$1006,0)), HYPERLINK("#",""), HYPERLINK(CONCATENATE("#Metadata!", ADDRESS(INDEX($W$2:$W$1001,MATCH(ROWS($U$2:U6),$U$2:$U$1001,0),0), INDEX($AB$1004:$AQ$1004,1,MATCH(COLUMNS($AB$1006:AL1006),$AB$1006:$AQ$1006,0)))),"Fix")))</f>
        <v>0</v>
      </c>
      <c r="M6" s="5">
        <f>IF(OR(INDEX($V$2:$V$1001,MATCH(ROWS($U$2:U6),$U$2:$U$1001,0),1)&gt;=100000,INDEX($AB$1005:$AQ$1005,1,MATCH(COLUMNS($AB$1006:AM1006),$AB$1006:$AQ$1006,0))&gt;=100000), " ",IF(INDEX($AB$2:$AQ$1001,MATCH(ROWS($U$2:U6),$U$2:$U$1001,0),MATCH(COLUMNS($AB$1006:AM1006),$AB$1006:$AQ$1006,0)), HYPERLINK("#",""), HYPERLINK(CONCATENATE("#Metadata!", ADDRESS(INDEX($W$2:$W$1001,MATCH(ROWS($U$2:U6),$U$2:$U$1001,0),0), INDEX($AB$1004:$AQ$1004,1,MATCH(COLUMNS($AB$1006:AM1006),$AB$1006:$AQ$1006,0)))),"Fix")))</f>
        <v>0</v>
      </c>
      <c r="N6" s="5">
        <f>IF(OR(INDEX($V$2:$V$1001,MATCH(ROWS($U$2:U6),$U$2:$U$1001,0),1)&gt;=100000,INDEX($AB$1005:$AQ$1005,1,MATCH(COLUMNS($AB$1006:AN1006),$AB$1006:$AQ$1006,0))&gt;=100000), " ",IF(INDEX($AB$2:$AQ$1001,MATCH(ROWS($U$2:U6),$U$2:$U$1001,0),MATCH(COLUMNS($AB$1006:AN1006),$AB$1006:$AQ$1006,0)), HYPERLINK("#",""), HYPERLINK(CONCATENATE("#Metadata!", ADDRESS(INDEX($W$2:$W$1001,MATCH(ROWS($U$2:U6),$U$2:$U$1001,0),0), INDEX($AB$1004:$AQ$1004,1,MATCH(COLUMNS($AB$1006:AN1006),$AB$1006:$AQ$1006,0)))),"Fix")))</f>
        <v>0</v>
      </c>
      <c r="O6" s="5">
        <f>IF(OR(INDEX($V$2:$V$1001,MATCH(ROWS($U$2:U6),$U$2:$U$1001,0),1)&gt;=100000,INDEX($AB$1005:$AQ$1005,1,MATCH(COLUMNS($AB$1006:AO1006),$AB$1006:$AQ$1006,0))&gt;=100000), " ",IF(INDEX($AB$2:$AQ$1001,MATCH(ROWS($U$2:U6),$U$2:$U$1001,0),MATCH(COLUMNS($AB$1006:AO1006),$AB$1006:$AQ$1006,0)), HYPERLINK("#",""), HYPERLINK(CONCATENATE("#Metadata!", ADDRESS(INDEX($W$2:$W$1001,MATCH(ROWS($U$2:U6),$U$2:$U$1001,0),0), INDEX($AB$1004:$AQ$1004,1,MATCH(COLUMNS($AB$1006:AO1006),$AB$1006:$AQ$1006,0)))),"Fix")))</f>
        <v>0</v>
      </c>
      <c r="P6" s="5">
        <f>IF(OR(INDEX($V$2:$V$1001,MATCH(ROWS($U$2:U6),$U$2:$U$1001,0),1)&gt;=100000,INDEX($AB$1005:$AQ$1005,1,MATCH(COLUMNS($AB$1006:AP1006),$AB$1006:$AQ$1006,0))&gt;=100000), " ",IF(INDEX($AB$2:$AQ$1001,MATCH(ROWS($U$2:U6),$U$2:$U$1001,0),MATCH(COLUMNS($AB$1006:AP1006),$AB$1006:$AQ$1006,0)), HYPERLINK("#",""), HYPERLINK(CONCATENATE("#Metadata!", ADDRESS(INDEX($W$2:$W$1001,MATCH(ROWS($U$2:U6),$U$2:$U$1001,0),0), INDEX($AB$1004:$AQ$1004,1,MATCH(COLUMNS($AB$1006:AP1006),$AB$1006:$AQ$1006,0)))),"Fix")))</f>
        <v>0</v>
      </c>
      <c r="Q6" s="5">
        <f>IF(OR(INDEX($V$2:$V$1001,MATCH(ROWS($U$2:U6),$U$2:$U$1001,0),1)&gt;=100000,INDEX($AB$1005:$AQ$1005,1,MATCH(COLUMNS($AB$1006:AQ1006),$AB$1006:$AQ$1006,0))&gt;=100000), " ",IF(INDEX($AB$2:$AQ$1001,MATCH(ROWS($U$2:U6),$U$2:$U$1001,0),MATCH(COLUMNS($AB$1006:AQ1006),$AB$1006:$AQ$1006,0)), HYPERLINK("#",""), HYPERLINK(CONCATENATE("#Metadata!", ADDRESS(INDEX($W$2:$W$1001,MATCH(ROWS($U$2:U6),$U$2:$U$1001,0),0), INDEX($AB$1004:$AQ$1004,1,MATCH(COLUMNS($AB$1006:AQ1006),$AB$1006:$AQ$1006,0)))),"Fix")))</f>
        <v>0</v>
      </c>
      <c r="U6">
        <v>0</v>
      </c>
      <c r="V6">
        <v>0</v>
      </c>
      <c r="W6">
        <v>0</v>
      </c>
      <c r="X6">
        <f>IF(Y6,TRUE,AND(AB6:AQ6))</f>
        <v>0</v>
      </c>
      <c r="Y6">
        <f>COUNTBLANK(Metadata!B6:Q6)=COLUMNS(Metadata!B6:Q6)</f>
        <v>0</v>
      </c>
      <c r="Z6">
        <v>0</v>
      </c>
      <c r="AB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AC6">
        <f>AND(IF(Metadata!C6="",FALSE,TRUE),exact(Metadata!C6,"urban biome"))</f>
        <v>0</v>
      </c>
      <c r="AD6">
        <f>AND(IF(Metadata!D6="",FALSE,TRUE),exact(Metadata!D6,"human-associated habitat"))</f>
        <v>0</v>
      </c>
      <c r="AE6">
        <f>AND(IF(Metadata!E6="",FALSE,TRUE),OR(exact(Metadata!E6,"human-associated"),exact(Metadata!E6,"human-skin"),exact(Metadata!E6,"human-oral"),exact(Metadata!E6,"human-gut"),exact(Metadata!E6,"human-vaginal")))</f>
        <v>0</v>
      </c>
      <c r="AF6">
        <f>AND(IF(Metadata!F6="",FALSE,ISNUMBER(VALUE(Metadata!F6))),Metadata!F6&gt;0)</f>
        <v>0</v>
      </c>
      <c r="AG6">
        <f>AND(IF(Metadata!G6="",FALSE,TRUE),exact(Metadata!G6,"years"))</f>
        <v>0</v>
      </c>
      <c r="AH6">
        <f>OR(AND(IF(Metadata!H6="",FALSE,TRUE),OR(exact(Metadata!H6,"not applicable"),exact(Metadata!H6,"not collected"),exact(Metadata!H6,"not provided"),exact(Metadata!H6,"restricted access"))),AND(IF(Metadata!H6="",FALSE,ISNUMBER(VALUE(Metadata!H6))),Metadata!H6&gt;0))</f>
        <v>0</v>
      </c>
      <c r="AI6">
        <f>AND(IF(Metadata!I6="",FALSE,TRUE),exact(Metadata!I6,"human"))</f>
        <v>0</v>
      </c>
      <c r="AJ6">
        <f>AND(IF(Metadata!J6="",FALSE,ISNUMBER(VALUE(Metadata!J6))),Metadata!J6&gt;0)</f>
        <v>0</v>
      </c>
      <c r="AK6">
        <f>AND(IF(Metadata!K6="",FALSE,TRUE),exact(Metadata!K6,"cm"))</f>
        <v>0</v>
      </c>
      <c r="AL6">
        <f>AND(IF(Metadata!L6="",FALSE,TRUE),exact(Metadata!L6,"Homo sapiens"))</f>
        <v>0</v>
      </c>
      <c r="AM6">
        <f>AND(IF(Metadata!M6="",FALSE,TRUE),exact(Metadata!M6,"9606"))</f>
        <v>0</v>
      </c>
      <c r="AN6">
        <f>AND(IF(Metadata!N6="",FALSE,ISNUMBER(VALUE(Metadata!N6))),Metadata!N6&gt;0)</f>
        <v>0</v>
      </c>
      <c r="AO6">
        <f>AND(IF(Metadata!O6="",FALSE,TRUE),exact(Metadata!O6,"kg"))</f>
        <v>0</v>
      </c>
      <c r="AP6">
        <f>OR(AND(IF(Metadata!P6="",FALSE,TRUE),exact(Metadata!P6,"not provided")),IF(Metadata!P6="",FALSE,TRUE))</f>
        <v>0</v>
      </c>
      <c r="AQ6">
        <f>OR(AND(IF(Metadata!Q6="",FALSE,TRUE),exact(Metadata!Q6,"not provided")),IF(Metadata!Q6="",FALSE,TRUE))</f>
        <v>0</v>
      </c>
    </row>
    <row r="7" spans="1:43">
      <c r="A7" s="4">
        <f>IF(B7=" "," ",HYPERLINK(CONCATENATE("#metadata!",ADDRESS(INDEX($W$2:$W$1001,MATCH(ROWS($U$2:U7),$U$2:$U$1001,0),0),2)),INDEX($Z$2:$Z$1001,MATCH(ROWS($U$2:U7),$U$2:$U$1001,0),0)))</f>
        <v>0</v>
      </c>
      <c r="B7" s="5">
        <f>IF(OR(INDEX($V$2:$V$1001,MATCH(ROWS($U$2:U7),$U$2:$U$1001,0),1)&gt;=100000,INDEX($AB$1005:$AQ$1005,1,MATCH(COLUMNS($AB$1006:AB1006),$AB$1006:$AQ$1006,0))&gt;=100000), " ",IF(INDEX($AB$2:$AQ$1001,MATCH(ROWS($U$2:U7),$U$2:$U$1001,0),MATCH(COLUMNS($AB$1006:AB1006),$AB$1006:$AQ$1006,0)), HYPERLINK("#",""), HYPERLINK(CONCATENATE("#Metadata!", ADDRESS(INDEX($W$2:$W$1001,MATCH(ROWS($U$2:U7),$U$2:$U$1001,0),0), INDEX($AB$1004:$AQ$1004,1,MATCH(COLUMNS($AB$1006:AB1006),$AB$1006:$AQ$1006,0)))),"Fix")))</f>
        <v>0</v>
      </c>
      <c r="C7" s="5">
        <f>IF(OR(INDEX($V$2:$V$1001,MATCH(ROWS($U$2:U7),$U$2:$U$1001,0),1)&gt;=100000,INDEX($AB$1005:$AQ$1005,1,MATCH(COLUMNS($AB$1006:AC1006),$AB$1006:$AQ$1006,0))&gt;=100000), " ",IF(INDEX($AB$2:$AQ$1001,MATCH(ROWS($U$2:U7),$U$2:$U$1001,0),MATCH(COLUMNS($AB$1006:AC1006),$AB$1006:$AQ$1006,0)), HYPERLINK("#",""), HYPERLINK(CONCATENATE("#Metadata!", ADDRESS(INDEX($W$2:$W$1001,MATCH(ROWS($U$2:U7),$U$2:$U$1001,0),0), INDEX($AB$1004:$AQ$1004,1,MATCH(COLUMNS($AB$1006:AC1006),$AB$1006:$AQ$1006,0)))),"Fix")))</f>
        <v>0</v>
      </c>
      <c r="D7" s="5">
        <f>IF(OR(INDEX($V$2:$V$1001,MATCH(ROWS($U$2:U7),$U$2:$U$1001,0),1)&gt;=100000,INDEX($AB$1005:$AQ$1005,1,MATCH(COLUMNS($AB$1006:AD1006),$AB$1006:$AQ$1006,0))&gt;=100000), " ",IF(INDEX($AB$2:$AQ$1001,MATCH(ROWS($U$2:U7),$U$2:$U$1001,0),MATCH(COLUMNS($AB$1006:AD1006),$AB$1006:$AQ$1006,0)), HYPERLINK("#",""), HYPERLINK(CONCATENATE("#Metadata!", ADDRESS(INDEX($W$2:$W$1001,MATCH(ROWS($U$2:U7),$U$2:$U$1001,0),0), INDEX($AB$1004:$AQ$1004,1,MATCH(COLUMNS($AB$1006:AD1006),$AB$1006:$AQ$1006,0)))),"Fix")))</f>
        <v>0</v>
      </c>
      <c r="E7" s="5">
        <f>IF(OR(INDEX($V$2:$V$1001,MATCH(ROWS($U$2:U7),$U$2:$U$1001,0),1)&gt;=100000,INDEX($AB$1005:$AQ$1005,1,MATCH(COLUMNS($AB$1006:AE1006),$AB$1006:$AQ$1006,0))&gt;=100000), " ",IF(INDEX($AB$2:$AQ$1001,MATCH(ROWS($U$2:U7),$U$2:$U$1001,0),MATCH(COLUMNS($AB$1006:AE1006),$AB$1006:$AQ$1006,0)), HYPERLINK("#",""), HYPERLINK(CONCATENATE("#Metadata!", ADDRESS(INDEX($W$2:$W$1001,MATCH(ROWS($U$2:U7),$U$2:$U$1001,0),0), INDEX($AB$1004:$AQ$1004,1,MATCH(COLUMNS($AB$1006:AE1006),$AB$1006:$AQ$1006,0)))),"Fix")))</f>
        <v>0</v>
      </c>
      <c r="F7" s="5">
        <f>IF(OR(INDEX($V$2:$V$1001,MATCH(ROWS($U$2:U7),$U$2:$U$1001,0),1)&gt;=100000,INDEX($AB$1005:$AQ$1005,1,MATCH(COLUMNS($AB$1006:AF1006),$AB$1006:$AQ$1006,0))&gt;=100000), " ",IF(INDEX($AB$2:$AQ$1001,MATCH(ROWS($U$2:U7),$U$2:$U$1001,0),MATCH(COLUMNS($AB$1006:AF1006),$AB$1006:$AQ$1006,0)), HYPERLINK("#",""), HYPERLINK(CONCATENATE("#Metadata!", ADDRESS(INDEX($W$2:$W$1001,MATCH(ROWS($U$2:U7),$U$2:$U$1001,0),0), INDEX($AB$1004:$AQ$1004,1,MATCH(COLUMNS($AB$1006:AF1006),$AB$1006:$AQ$1006,0)))),"Fix")))</f>
        <v>0</v>
      </c>
      <c r="G7" s="5">
        <f>IF(OR(INDEX($V$2:$V$1001,MATCH(ROWS($U$2:U7),$U$2:$U$1001,0),1)&gt;=100000,INDEX($AB$1005:$AQ$1005,1,MATCH(COLUMNS($AB$1006:AG1006),$AB$1006:$AQ$1006,0))&gt;=100000), " ",IF(INDEX($AB$2:$AQ$1001,MATCH(ROWS($U$2:U7),$U$2:$U$1001,0),MATCH(COLUMNS($AB$1006:AG1006),$AB$1006:$AQ$1006,0)), HYPERLINK("#",""), HYPERLINK(CONCATENATE("#Metadata!", ADDRESS(INDEX($W$2:$W$1001,MATCH(ROWS($U$2:U7),$U$2:$U$1001,0),0), INDEX($AB$1004:$AQ$1004,1,MATCH(COLUMNS($AB$1006:AG1006),$AB$1006:$AQ$1006,0)))),"Fix")))</f>
        <v>0</v>
      </c>
      <c r="H7" s="5">
        <f>IF(OR(INDEX($V$2:$V$1001,MATCH(ROWS($U$2:U7),$U$2:$U$1001,0),1)&gt;=100000,INDEX($AB$1005:$AQ$1005,1,MATCH(COLUMNS($AB$1006:AH1006),$AB$1006:$AQ$1006,0))&gt;=100000), " ",IF(INDEX($AB$2:$AQ$1001,MATCH(ROWS($U$2:U7),$U$2:$U$1001,0),MATCH(COLUMNS($AB$1006:AH1006),$AB$1006:$AQ$1006,0)), HYPERLINK("#",""), HYPERLINK(CONCATENATE("#Metadata!", ADDRESS(INDEX($W$2:$W$1001,MATCH(ROWS($U$2:U7),$U$2:$U$1001,0),0), INDEX($AB$1004:$AQ$1004,1,MATCH(COLUMNS($AB$1006:AH1006),$AB$1006:$AQ$1006,0)))),"Fix")))</f>
        <v>0</v>
      </c>
      <c r="I7" s="5">
        <f>IF(OR(INDEX($V$2:$V$1001,MATCH(ROWS($U$2:U7),$U$2:$U$1001,0),1)&gt;=100000,INDEX($AB$1005:$AQ$1005,1,MATCH(COLUMNS($AB$1006:AI1006),$AB$1006:$AQ$1006,0))&gt;=100000), " ",IF(INDEX($AB$2:$AQ$1001,MATCH(ROWS($U$2:U7),$U$2:$U$1001,0),MATCH(COLUMNS($AB$1006:AI1006),$AB$1006:$AQ$1006,0)), HYPERLINK("#",""), HYPERLINK(CONCATENATE("#Metadata!", ADDRESS(INDEX($W$2:$W$1001,MATCH(ROWS($U$2:U7),$U$2:$U$1001,0),0), INDEX($AB$1004:$AQ$1004,1,MATCH(COLUMNS($AB$1006:AI1006),$AB$1006:$AQ$1006,0)))),"Fix")))</f>
        <v>0</v>
      </c>
      <c r="J7" s="5">
        <f>IF(OR(INDEX($V$2:$V$1001,MATCH(ROWS($U$2:U7),$U$2:$U$1001,0),1)&gt;=100000,INDEX($AB$1005:$AQ$1005,1,MATCH(COLUMNS($AB$1006:AJ1006),$AB$1006:$AQ$1006,0))&gt;=100000), " ",IF(INDEX($AB$2:$AQ$1001,MATCH(ROWS($U$2:U7),$U$2:$U$1001,0),MATCH(COLUMNS($AB$1006:AJ1006),$AB$1006:$AQ$1006,0)), HYPERLINK("#",""), HYPERLINK(CONCATENATE("#Metadata!", ADDRESS(INDEX($W$2:$W$1001,MATCH(ROWS($U$2:U7),$U$2:$U$1001,0),0), INDEX($AB$1004:$AQ$1004,1,MATCH(COLUMNS($AB$1006:AJ1006),$AB$1006:$AQ$1006,0)))),"Fix")))</f>
        <v>0</v>
      </c>
      <c r="K7" s="5">
        <f>IF(OR(INDEX($V$2:$V$1001,MATCH(ROWS($U$2:U7),$U$2:$U$1001,0),1)&gt;=100000,INDEX($AB$1005:$AQ$1005,1,MATCH(COLUMNS($AB$1006:AK1006),$AB$1006:$AQ$1006,0))&gt;=100000), " ",IF(INDEX($AB$2:$AQ$1001,MATCH(ROWS($U$2:U7),$U$2:$U$1001,0),MATCH(COLUMNS($AB$1006:AK1006),$AB$1006:$AQ$1006,0)), HYPERLINK("#",""), HYPERLINK(CONCATENATE("#Metadata!", ADDRESS(INDEX($W$2:$W$1001,MATCH(ROWS($U$2:U7),$U$2:$U$1001,0),0), INDEX($AB$1004:$AQ$1004,1,MATCH(COLUMNS($AB$1006:AK1006),$AB$1006:$AQ$1006,0)))),"Fix")))</f>
        <v>0</v>
      </c>
      <c r="L7" s="5">
        <f>IF(OR(INDEX($V$2:$V$1001,MATCH(ROWS($U$2:U7),$U$2:$U$1001,0),1)&gt;=100000,INDEX($AB$1005:$AQ$1005,1,MATCH(COLUMNS($AB$1006:AL1006),$AB$1006:$AQ$1006,0))&gt;=100000), " ",IF(INDEX($AB$2:$AQ$1001,MATCH(ROWS($U$2:U7),$U$2:$U$1001,0),MATCH(COLUMNS($AB$1006:AL1006),$AB$1006:$AQ$1006,0)), HYPERLINK("#",""), HYPERLINK(CONCATENATE("#Metadata!", ADDRESS(INDEX($W$2:$W$1001,MATCH(ROWS($U$2:U7),$U$2:$U$1001,0),0), INDEX($AB$1004:$AQ$1004,1,MATCH(COLUMNS($AB$1006:AL1006),$AB$1006:$AQ$1006,0)))),"Fix")))</f>
        <v>0</v>
      </c>
      <c r="M7" s="5">
        <f>IF(OR(INDEX($V$2:$V$1001,MATCH(ROWS($U$2:U7),$U$2:$U$1001,0),1)&gt;=100000,INDEX($AB$1005:$AQ$1005,1,MATCH(COLUMNS($AB$1006:AM1006),$AB$1006:$AQ$1006,0))&gt;=100000), " ",IF(INDEX($AB$2:$AQ$1001,MATCH(ROWS($U$2:U7),$U$2:$U$1001,0),MATCH(COLUMNS($AB$1006:AM1006),$AB$1006:$AQ$1006,0)), HYPERLINK("#",""), HYPERLINK(CONCATENATE("#Metadata!", ADDRESS(INDEX($W$2:$W$1001,MATCH(ROWS($U$2:U7),$U$2:$U$1001,0),0), INDEX($AB$1004:$AQ$1004,1,MATCH(COLUMNS($AB$1006:AM1006),$AB$1006:$AQ$1006,0)))),"Fix")))</f>
        <v>0</v>
      </c>
      <c r="N7" s="5">
        <f>IF(OR(INDEX($V$2:$V$1001,MATCH(ROWS($U$2:U7),$U$2:$U$1001,0),1)&gt;=100000,INDEX($AB$1005:$AQ$1005,1,MATCH(COLUMNS($AB$1006:AN1006),$AB$1006:$AQ$1006,0))&gt;=100000), " ",IF(INDEX($AB$2:$AQ$1001,MATCH(ROWS($U$2:U7),$U$2:$U$1001,0),MATCH(COLUMNS($AB$1006:AN1006),$AB$1006:$AQ$1006,0)), HYPERLINK("#",""), HYPERLINK(CONCATENATE("#Metadata!", ADDRESS(INDEX($W$2:$W$1001,MATCH(ROWS($U$2:U7),$U$2:$U$1001,0),0), INDEX($AB$1004:$AQ$1004,1,MATCH(COLUMNS($AB$1006:AN1006),$AB$1006:$AQ$1006,0)))),"Fix")))</f>
        <v>0</v>
      </c>
      <c r="O7" s="5">
        <f>IF(OR(INDEX($V$2:$V$1001,MATCH(ROWS($U$2:U7),$U$2:$U$1001,0),1)&gt;=100000,INDEX($AB$1005:$AQ$1005,1,MATCH(COLUMNS($AB$1006:AO1006),$AB$1006:$AQ$1006,0))&gt;=100000), " ",IF(INDEX($AB$2:$AQ$1001,MATCH(ROWS($U$2:U7),$U$2:$U$1001,0),MATCH(COLUMNS($AB$1006:AO1006),$AB$1006:$AQ$1006,0)), HYPERLINK("#",""), HYPERLINK(CONCATENATE("#Metadata!", ADDRESS(INDEX($W$2:$W$1001,MATCH(ROWS($U$2:U7),$U$2:$U$1001,0),0), INDEX($AB$1004:$AQ$1004,1,MATCH(COLUMNS($AB$1006:AO1006),$AB$1006:$AQ$1006,0)))),"Fix")))</f>
        <v>0</v>
      </c>
      <c r="P7" s="5">
        <f>IF(OR(INDEX($V$2:$V$1001,MATCH(ROWS($U$2:U7),$U$2:$U$1001,0),1)&gt;=100000,INDEX($AB$1005:$AQ$1005,1,MATCH(COLUMNS($AB$1006:AP1006),$AB$1006:$AQ$1006,0))&gt;=100000), " ",IF(INDEX($AB$2:$AQ$1001,MATCH(ROWS($U$2:U7),$U$2:$U$1001,0),MATCH(COLUMNS($AB$1006:AP1006),$AB$1006:$AQ$1006,0)), HYPERLINK("#",""), HYPERLINK(CONCATENATE("#Metadata!", ADDRESS(INDEX($W$2:$W$1001,MATCH(ROWS($U$2:U7),$U$2:$U$1001,0),0), INDEX($AB$1004:$AQ$1004,1,MATCH(COLUMNS($AB$1006:AP1006),$AB$1006:$AQ$1006,0)))),"Fix")))</f>
        <v>0</v>
      </c>
      <c r="Q7" s="5">
        <f>IF(OR(INDEX($V$2:$V$1001,MATCH(ROWS($U$2:U7),$U$2:$U$1001,0),1)&gt;=100000,INDEX($AB$1005:$AQ$1005,1,MATCH(COLUMNS($AB$1006:AQ1006),$AB$1006:$AQ$1006,0))&gt;=100000), " ",IF(INDEX($AB$2:$AQ$1001,MATCH(ROWS($U$2:U7),$U$2:$U$1001,0),MATCH(COLUMNS($AB$1006:AQ1006),$AB$1006:$AQ$1006,0)), HYPERLINK("#",""), HYPERLINK(CONCATENATE("#Metadata!", ADDRESS(INDEX($W$2:$W$1001,MATCH(ROWS($U$2:U7),$U$2:$U$1001,0),0), INDEX($AB$1004:$AQ$1004,1,MATCH(COLUMNS($AB$1006:AQ1006),$AB$1006:$AQ$1006,0)))),"Fix")))</f>
        <v>0</v>
      </c>
      <c r="U7">
        <v>0</v>
      </c>
      <c r="V7">
        <v>0</v>
      </c>
      <c r="W7">
        <v>0</v>
      </c>
      <c r="X7">
        <f>IF(Y7,TRUE,AND(AB7:AQ7))</f>
        <v>0</v>
      </c>
      <c r="Y7">
        <f>COUNTBLANK(Metadata!B7:Q7)=COLUMNS(Metadata!B7:Q7)</f>
        <v>0</v>
      </c>
      <c r="Z7">
        <v>0</v>
      </c>
      <c r="AB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AC7">
        <f>AND(IF(Metadata!C7="",FALSE,TRUE),exact(Metadata!C7,"urban biome"))</f>
        <v>0</v>
      </c>
      <c r="AD7">
        <f>AND(IF(Metadata!D7="",FALSE,TRUE),exact(Metadata!D7,"human-associated habitat"))</f>
        <v>0</v>
      </c>
      <c r="AE7">
        <f>AND(IF(Metadata!E7="",FALSE,TRUE),OR(exact(Metadata!E7,"human-associated"),exact(Metadata!E7,"human-skin"),exact(Metadata!E7,"human-oral"),exact(Metadata!E7,"human-gut"),exact(Metadata!E7,"human-vaginal")))</f>
        <v>0</v>
      </c>
      <c r="AF7">
        <f>AND(IF(Metadata!F7="",FALSE,ISNUMBER(VALUE(Metadata!F7))),Metadata!F7&gt;0)</f>
        <v>0</v>
      </c>
      <c r="AG7">
        <f>AND(IF(Metadata!G7="",FALSE,TRUE),exact(Metadata!G7,"years"))</f>
        <v>0</v>
      </c>
      <c r="AH7">
        <f>OR(AND(IF(Metadata!H7="",FALSE,TRUE),OR(exact(Metadata!H7,"not applicable"),exact(Metadata!H7,"not collected"),exact(Metadata!H7,"not provided"),exact(Metadata!H7,"restricted access"))),AND(IF(Metadata!H7="",FALSE,ISNUMBER(VALUE(Metadata!H7))),Metadata!H7&gt;0))</f>
        <v>0</v>
      </c>
      <c r="AI7">
        <f>AND(IF(Metadata!I7="",FALSE,TRUE),exact(Metadata!I7,"human"))</f>
        <v>0</v>
      </c>
      <c r="AJ7">
        <f>AND(IF(Metadata!J7="",FALSE,ISNUMBER(VALUE(Metadata!J7))),Metadata!J7&gt;0)</f>
        <v>0</v>
      </c>
      <c r="AK7">
        <f>AND(IF(Metadata!K7="",FALSE,TRUE),exact(Metadata!K7,"cm"))</f>
        <v>0</v>
      </c>
      <c r="AL7">
        <f>AND(IF(Metadata!L7="",FALSE,TRUE),exact(Metadata!L7,"Homo sapiens"))</f>
        <v>0</v>
      </c>
      <c r="AM7">
        <f>AND(IF(Metadata!M7="",FALSE,TRUE),exact(Metadata!M7,"9606"))</f>
        <v>0</v>
      </c>
      <c r="AN7">
        <f>AND(IF(Metadata!N7="",FALSE,ISNUMBER(VALUE(Metadata!N7))),Metadata!N7&gt;0)</f>
        <v>0</v>
      </c>
      <c r="AO7">
        <f>AND(IF(Metadata!O7="",FALSE,TRUE),exact(Metadata!O7,"kg"))</f>
        <v>0</v>
      </c>
      <c r="AP7">
        <f>OR(AND(IF(Metadata!P7="",FALSE,TRUE),exact(Metadata!P7,"not provided")),IF(Metadata!P7="",FALSE,TRUE))</f>
        <v>0</v>
      </c>
      <c r="AQ7">
        <f>OR(AND(IF(Metadata!Q7="",FALSE,TRUE),exact(Metadata!Q7,"not provided")),IF(Metadata!Q7="",FALSE,TRUE))</f>
        <v>0</v>
      </c>
    </row>
    <row r="8" spans="1:43">
      <c r="A8" s="4">
        <f>IF(B8=" "," ",HYPERLINK(CONCATENATE("#metadata!",ADDRESS(INDEX($W$2:$W$1001,MATCH(ROWS($U$2:U8),$U$2:$U$1001,0),0),2)),INDEX($Z$2:$Z$1001,MATCH(ROWS($U$2:U8),$U$2:$U$1001,0),0)))</f>
        <v>0</v>
      </c>
      <c r="B8" s="5">
        <f>IF(OR(INDEX($V$2:$V$1001,MATCH(ROWS($U$2:U8),$U$2:$U$1001,0),1)&gt;=100000,INDEX($AB$1005:$AQ$1005,1,MATCH(COLUMNS($AB$1006:AB1006),$AB$1006:$AQ$1006,0))&gt;=100000), " ",IF(INDEX($AB$2:$AQ$1001,MATCH(ROWS($U$2:U8),$U$2:$U$1001,0),MATCH(COLUMNS($AB$1006:AB1006),$AB$1006:$AQ$1006,0)), HYPERLINK("#",""), HYPERLINK(CONCATENATE("#Metadata!", ADDRESS(INDEX($W$2:$W$1001,MATCH(ROWS($U$2:U8),$U$2:$U$1001,0),0), INDEX($AB$1004:$AQ$1004,1,MATCH(COLUMNS($AB$1006:AB1006),$AB$1006:$AQ$1006,0)))),"Fix")))</f>
        <v>0</v>
      </c>
      <c r="C8" s="5">
        <f>IF(OR(INDEX($V$2:$V$1001,MATCH(ROWS($U$2:U8),$U$2:$U$1001,0),1)&gt;=100000,INDEX($AB$1005:$AQ$1005,1,MATCH(COLUMNS($AB$1006:AC1006),$AB$1006:$AQ$1006,0))&gt;=100000), " ",IF(INDEX($AB$2:$AQ$1001,MATCH(ROWS($U$2:U8),$U$2:$U$1001,0),MATCH(COLUMNS($AB$1006:AC1006),$AB$1006:$AQ$1006,0)), HYPERLINK("#",""), HYPERLINK(CONCATENATE("#Metadata!", ADDRESS(INDEX($W$2:$W$1001,MATCH(ROWS($U$2:U8),$U$2:$U$1001,0),0), INDEX($AB$1004:$AQ$1004,1,MATCH(COLUMNS($AB$1006:AC1006),$AB$1006:$AQ$1006,0)))),"Fix")))</f>
        <v>0</v>
      </c>
      <c r="D8" s="5">
        <f>IF(OR(INDEX($V$2:$V$1001,MATCH(ROWS($U$2:U8),$U$2:$U$1001,0),1)&gt;=100000,INDEX($AB$1005:$AQ$1005,1,MATCH(COLUMNS($AB$1006:AD1006),$AB$1006:$AQ$1006,0))&gt;=100000), " ",IF(INDEX($AB$2:$AQ$1001,MATCH(ROWS($U$2:U8),$U$2:$U$1001,0),MATCH(COLUMNS($AB$1006:AD1006),$AB$1006:$AQ$1006,0)), HYPERLINK("#",""), HYPERLINK(CONCATENATE("#Metadata!", ADDRESS(INDEX($W$2:$W$1001,MATCH(ROWS($U$2:U8),$U$2:$U$1001,0),0), INDEX($AB$1004:$AQ$1004,1,MATCH(COLUMNS($AB$1006:AD1006),$AB$1006:$AQ$1006,0)))),"Fix")))</f>
        <v>0</v>
      </c>
      <c r="E8" s="5">
        <f>IF(OR(INDEX($V$2:$V$1001,MATCH(ROWS($U$2:U8),$U$2:$U$1001,0),1)&gt;=100000,INDEX($AB$1005:$AQ$1005,1,MATCH(COLUMNS($AB$1006:AE1006),$AB$1006:$AQ$1006,0))&gt;=100000), " ",IF(INDEX($AB$2:$AQ$1001,MATCH(ROWS($U$2:U8),$U$2:$U$1001,0),MATCH(COLUMNS($AB$1006:AE1006),$AB$1006:$AQ$1006,0)), HYPERLINK("#",""), HYPERLINK(CONCATENATE("#Metadata!", ADDRESS(INDEX($W$2:$W$1001,MATCH(ROWS($U$2:U8),$U$2:$U$1001,0),0), INDEX($AB$1004:$AQ$1004,1,MATCH(COLUMNS($AB$1006:AE1006),$AB$1006:$AQ$1006,0)))),"Fix")))</f>
        <v>0</v>
      </c>
      <c r="F8" s="5">
        <f>IF(OR(INDEX($V$2:$V$1001,MATCH(ROWS($U$2:U8),$U$2:$U$1001,0),1)&gt;=100000,INDEX($AB$1005:$AQ$1005,1,MATCH(COLUMNS($AB$1006:AF1006),$AB$1006:$AQ$1006,0))&gt;=100000), " ",IF(INDEX($AB$2:$AQ$1001,MATCH(ROWS($U$2:U8),$U$2:$U$1001,0),MATCH(COLUMNS($AB$1006:AF1006),$AB$1006:$AQ$1006,0)), HYPERLINK("#",""), HYPERLINK(CONCATENATE("#Metadata!", ADDRESS(INDEX($W$2:$W$1001,MATCH(ROWS($U$2:U8),$U$2:$U$1001,0),0), INDEX($AB$1004:$AQ$1004,1,MATCH(COLUMNS($AB$1006:AF1006),$AB$1006:$AQ$1006,0)))),"Fix")))</f>
        <v>0</v>
      </c>
      <c r="G8" s="5">
        <f>IF(OR(INDEX($V$2:$V$1001,MATCH(ROWS($U$2:U8),$U$2:$U$1001,0),1)&gt;=100000,INDEX($AB$1005:$AQ$1005,1,MATCH(COLUMNS($AB$1006:AG1006),$AB$1006:$AQ$1006,0))&gt;=100000), " ",IF(INDEX($AB$2:$AQ$1001,MATCH(ROWS($U$2:U8),$U$2:$U$1001,0),MATCH(COLUMNS($AB$1006:AG1006),$AB$1006:$AQ$1006,0)), HYPERLINK("#",""), HYPERLINK(CONCATENATE("#Metadata!", ADDRESS(INDEX($W$2:$W$1001,MATCH(ROWS($U$2:U8),$U$2:$U$1001,0),0), INDEX($AB$1004:$AQ$1004,1,MATCH(COLUMNS($AB$1006:AG1006),$AB$1006:$AQ$1006,0)))),"Fix")))</f>
        <v>0</v>
      </c>
      <c r="H8" s="5">
        <f>IF(OR(INDEX($V$2:$V$1001,MATCH(ROWS($U$2:U8),$U$2:$U$1001,0),1)&gt;=100000,INDEX($AB$1005:$AQ$1005,1,MATCH(COLUMNS($AB$1006:AH1006),$AB$1006:$AQ$1006,0))&gt;=100000), " ",IF(INDEX($AB$2:$AQ$1001,MATCH(ROWS($U$2:U8),$U$2:$U$1001,0),MATCH(COLUMNS($AB$1006:AH1006),$AB$1006:$AQ$1006,0)), HYPERLINK("#",""), HYPERLINK(CONCATENATE("#Metadata!", ADDRESS(INDEX($W$2:$W$1001,MATCH(ROWS($U$2:U8),$U$2:$U$1001,0),0), INDEX($AB$1004:$AQ$1004,1,MATCH(COLUMNS($AB$1006:AH1006),$AB$1006:$AQ$1006,0)))),"Fix")))</f>
        <v>0</v>
      </c>
      <c r="I8" s="5">
        <f>IF(OR(INDEX($V$2:$V$1001,MATCH(ROWS($U$2:U8),$U$2:$U$1001,0),1)&gt;=100000,INDEX($AB$1005:$AQ$1005,1,MATCH(COLUMNS($AB$1006:AI1006),$AB$1006:$AQ$1006,0))&gt;=100000), " ",IF(INDEX($AB$2:$AQ$1001,MATCH(ROWS($U$2:U8),$U$2:$U$1001,0),MATCH(COLUMNS($AB$1006:AI1006),$AB$1006:$AQ$1006,0)), HYPERLINK("#",""), HYPERLINK(CONCATENATE("#Metadata!", ADDRESS(INDEX($W$2:$W$1001,MATCH(ROWS($U$2:U8),$U$2:$U$1001,0),0), INDEX($AB$1004:$AQ$1004,1,MATCH(COLUMNS($AB$1006:AI1006),$AB$1006:$AQ$1006,0)))),"Fix")))</f>
        <v>0</v>
      </c>
      <c r="J8" s="5">
        <f>IF(OR(INDEX($V$2:$V$1001,MATCH(ROWS($U$2:U8),$U$2:$U$1001,0),1)&gt;=100000,INDEX($AB$1005:$AQ$1005,1,MATCH(COLUMNS($AB$1006:AJ1006),$AB$1006:$AQ$1006,0))&gt;=100000), " ",IF(INDEX($AB$2:$AQ$1001,MATCH(ROWS($U$2:U8),$U$2:$U$1001,0),MATCH(COLUMNS($AB$1006:AJ1006),$AB$1006:$AQ$1006,0)), HYPERLINK("#",""), HYPERLINK(CONCATENATE("#Metadata!", ADDRESS(INDEX($W$2:$W$1001,MATCH(ROWS($U$2:U8),$U$2:$U$1001,0),0), INDEX($AB$1004:$AQ$1004,1,MATCH(COLUMNS($AB$1006:AJ1006),$AB$1006:$AQ$1006,0)))),"Fix")))</f>
        <v>0</v>
      </c>
      <c r="K8" s="5">
        <f>IF(OR(INDEX($V$2:$V$1001,MATCH(ROWS($U$2:U8),$U$2:$U$1001,0),1)&gt;=100000,INDEX($AB$1005:$AQ$1005,1,MATCH(COLUMNS($AB$1006:AK1006),$AB$1006:$AQ$1006,0))&gt;=100000), " ",IF(INDEX($AB$2:$AQ$1001,MATCH(ROWS($U$2:U8),$U$2:$U$1001,0),MATCH(COLUMNS($AB$1006:AK1006),$AB$1006:$AQ$1006,0)), HYPERLINK("#",""), HYPERLINK(CONCATENATE("#Metadata!", ADDRESS(INDEX($W$2:$W$1001,MATCH(ROWS($U$2:U8),$U$2:$U$1001,0),0), INDEX($AB$1004:$AQ$1004,1,MATCH(COLUMNS($AB$1006:AK1006),$AB$1006:$AQ$1006,0)))),"Fix")))</f>
        <v>0</v>
      </c>
      <c r="L8" s="5">
        <f>IF(OR(INDEX($V$2:$V$1001,MATCH(ROWS($U$2:U8),$U$2:$U$1001,0),1)&gt;=100000,INDEX($AB$1005:$AQ$1005,1,MATCH(COLUMNS($AB$1006:AL1006),$AB$1006:$AQ$1006,0))&gt;=100000), " ",IF(INDEX($AB$2:$AQ$1001,MATCH(ROWS($U$2:U8),$U$2:$U$1001,0),MATCH(COLUMNS($AB$1006:AL1006),$AB$1006:$AQ$1006,0)), HYPERLINK("#",""), HYPERLINK(CONCATENATE("#Metadata!", ADDRESS(INDEX($W$2:$W$1001,MATCH(ROWS($U$2:U8),$U$2:$U$1001,0),0), INDEX($AB$1004:$AQ$1004,1,MATCH(COLUMNS($AB$1006:AL1006),$AB$1006:$AQ$1006,0)))),"Fix")))</f>
        <v>0</v>
      </c>
      <c r="M8" s="5">
        <f>IF(OR(INDEX($V$2:$V$1001,MATCH(ROWS($U$2:U8),$U$2:$U$1001,0),1)&gt;=100000,INDEX($AB$1005:$AQ$1005,1,MATCH(COLUMNS($AB$1006:AM1006),$AB$1006:$AQ$1006,0))&gt;=100000), " ",IF(INDEX($AB$2:$AQ$1001,MATCH(ROWS($U$2:U8),$U$2:$U$1001,0),MATCH(COLUMNS($AB$1006:AM1006),$AB$1006:$AQ$1006,0)), HYPERLINK("#",""), HYPERLINK(CONCATENATE("#Metadata!", ADDRESS(INDEX($W$2:$W$1001,MATCH(ROWS($U$2:U8),$U$2:$U$1001,0),0), INDEX($AB$1004:$AQ$1004,1,MATCH(COLUMNS($AB$1006:AM1006),$AB$1006:$AQ$1006,0)))),"Fix")))</f>
        <v>0</v>
      </c>
      <c r="N8" s="5">
        <f>IF(OR(INDEX($V$2:$V$1001,MATCH(ROWS($U$2:U8),$U$2:$U$1001,0),1)&gt;=100000,INDEX($AB$1005:$AQ$1005,1,MATCH(COLUMNS($AB$1006:AN1006),$AB$1006:$AQ$1006,0))&gt;=100000), " ",IF(INDEX($AB$2:$AQ$1001,MATCH(ROWS($U$2:U8),$U$2:$U$1001,0),MATCH(COLUMNS($AB$1006:AN1006),$AB$1006:$AQ$1006,0)), HYPERLINK("#",""), HYPERLINK(CONCATENATE("#Metadata!", ADDRESS(INDEX($W$2:$W$1001,MATCH(ROWS($U$2:U8),$U$2:$U$1001,0),0), INDEX($AB$1004:$AQ$1004,1,MATCH(COLUMNS($AB$1006:AN1006),$AB$1006:$AQ$1006,0)))),"Fix")))</f>
        <v>0</v>
      </c>
      <c r="O8" s="5">
        <f>IF(OR(INDEX($V$2:$V$1001,MATCH(ROWS($U$2:U8),$U$2:$U$1001,0),1)&gt;=100000,INDEX($AB$1005:$AQ$1005,1,MATCH(COLUMNS($AB$1006:AO1006),$AB$1006:$AQ$1006,0))&gt;=100000), " ",IF(INDEX($AB$2:$AQ$1001,MATCH(ROWS($U$2:U8),$U$2:$U$1001,0),MATCH(COLUMNS($AB$1006:AO1006),$AB$1006:$AQ$1006,0)), HYPERLINK("#",""), HYPERLINK(CONCATENATE("#Metadata!", ADDRESS(INDEX($W$2:$W$1001,MATCH(ROWS($U$2:U8),$U$2:$U$1001,0),0), INDEX($AB$1004:$AQ$1004,1,MATCH(COLUMNS($AB$1006:AO1006),$AB$1006:$AQ$1006,0)))),"Fix")))</f>
        <v>0</v>
      </c>
      <c r="P8" s="5">
        <f>IF(OR(INDEX($V$2:$V$1001,MATCH(ROWS($U$2:U8),$U$2:$U$1001,0),1)&gt;=100000,INDEX($AB$1005:$AQ$1005,1,MATCH(COLUMNS($AB$1006:AP1006),$AB$1006:$AQ$1006,0))&gt;=100000), " ",IF(INDEX($AB$2:$AQ$1001,MATCH(ROWS($U$2:U8),$U$2:$U$1001,0),MATCH(COLUMNS($AB$1006:AP1006),$AB$1006:$AQ$1006,0)), HYPERLINK("#",""), HYPERLINK(CONCATENATE("#Metadata!", ADDRESS(INDEX($W$2:$W$1001,MATCH(ROWS($U$2:U8),$U$2:$U$1001,0),0), INDEX($AB$1004:$AQ$1004,1,MATCH(COLUMNS($AB$1006:AP1006),$AB$1006:$AQ$1006,0)))),"Fix")))</f>
        <v>0</v>
      </c>
      <c r="Q8" s="5">
        <f>IF(OR(INDEX($V$2:$V$1001,MATCH(ROWS($U$2:U8),$U$2:$U$1001,0),1)&gt;=100000,INDEX($AB$1005:$AQ$1005,1,MATCH(COLUMNS($AB$1006:AQ1006),$AB$1006:$AQ$1006,0))&gt;=100000), " ",IF(INDEX($AB$2:$AQ$1001,MATCH(ROWS($U$2:U8),$U$2:$U$1001,0),MATCH(COLUMNS($AB$1006:AQ1006),$AB$1006:$AQ$1006,0)), HYPERLINK("#",""), HYPERLINK(CONCATENATE("#Metadata!", ADDRESS(INDEX($W$2:$W$1001,MATCH(ROWS($U$2:U8),$U$2:$U$1001,0),0), INDEX($AB$1004:$AQ$1004,1,MATCH(COLUMNS($AB$1006:AQ1006),$AB$1006:$AQ$1006,0)))),"Fix")))</f>
        <v>0</v>
      </c>
      <c r="U8">
        <v>0</v>
      </c>
      <c r="V8">
        <v>0</v>
      </c>
      <c r="W8">
        <v>0</v>
      </c>
      <c r="X8">
        <f>IF(Y8,TRUE,AND(AB8:AQ8))</f>
        <v>0</v>
      </c>
      <c r="Y8">
        <f>COUNTBLANK(Metadata!B8:Q8)=COLUMNS(Metadata!B8:Q8)</f>
        <v>0</v>
      </c>
      <c r="Z8">
        <v>0</v>
      </c>
      <c r="AB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AC8">
        <f>AND(IF(Metadata!C8="",FALSE,TRUE),exact(Metadata!C8,"urban biome"))</f>
        <v>0</v>
      </c>
      <c r="AD8">
        <f>AND(IF(Metadata!D8="",FALSE,TRUE),exact(Metadata!D8,"human-associated habitat"))</f>
        <v>0</v>
      </c>
      <c r="AE8">
        <f>AND(IF(Metadata!E8="",FALSE,TRUE),OR(exact(Metadata!E8,"human-associated"),exact(Metadata!E8,"human-skin"),exact(Metadata!E8,"human-oral"),exact(Metadata!E8,"human-gut"),exact(Metadata!E8,"human-vaginal")))</f>
        <v>0</v>
      </c>
      <c r="AF8">
        <f>AND(IF(Metadata!F8="",FALSE,ISNUMBER(VALUE(Metadata!F8))),Metadata!F8&gt;0)</f>
        <v>0</v>
      </c>
      <c r="AG8">
        <f>AND(IF(Metadata!G8="",FALSE,TRUE),exact(Metadata!G8,"years"))</f>
        <v>0</v>
      </c>
      <c r="AH8">
        <f>OR(AND(IF(Metadata!H8="",FALSE,TRUE),OR(exact(Metadata!H8,"not applicable"),exact(Metadata!H8,"not collected"),exact(Metadata!H8,"not provided"),exact(Metadata!H8,"restricted access"))),AND(IF(Metadata!H8="",FALSE,ISNUMBER(VALUE(Metadata!H8))),Metadata!H8&gt;0))</f>
        <v>0</v>
      </c>
      <c r="AI8">
        <f>AND(IF(Metadata!I8="",FALSE,TRUE),exact(Metadata!I8,"human"))</f>
        <v>0</v>
      </c>
      <c r="AJ8">
        <f>AND(IF(Metadata!J8="",FALSE,ISNUMBER(VALUE(Metadata!J8))),Metadata!J8&gt;0)</f>
        <v>0</v>
      </c>
      <c r="AK8">
        <f>AND(IF(Metadata!K8="",FALSE,TRUE),exact(Metadata!K8,"cm"))</f>
        <v>0</v>
      </c>
      <c r="AL8">
        <f>AND(IF(Metadata!L8="",FALSE,TRUE),exact(Metadata!L8,"Homo sapiens"))</f>
        <v>0</v>
      </c>
      <c r="AM8">
        <f>AND(IF(Metadata!M8="",FALSE,TRUE),exact(Metadata!M8,"9606"))</f>
        <v>0</v>
      </c>
      <c r="AN8">
        <f>AND(IF(Metadata!N8="",FALSE,ISNUMBER(VALUE(Metadata!N8))),Metadata!N8&gt;0)</f>
        <v>0</v>
      </c>
      <c r="AO8">
        <f>AND(IF(Metadata!O8="",FALSE,TRUE),exact(Metadata!O8,"kg"))</f>
        <v>0</v>
      </c>
      <c r="AP8">
        <f>OR(AND(IF(Metadata!P8="",FALSE,TRUE),exact(Metadata!P8,"not provided")),IF(Metadata!P8="",FALSE,TRUE))</f>
        <v>0</v>
      </c>
      <c r="AQ8">
        <f>OR(AND(IF(Metadata!Q8="",FALSE,TRUE),exact(Metadata!Q8,"not provided")),IF(Metadata!Q8="",FALSE,TRUE))</f>
        <v>0</v>
      </c>
    </row>
    <row r="9" spans="1:43">
      <c r="A9" s="4">
        <f>IF(B9=" "," ",HYPERLINK(CONCATENATE("#metadata!",ADDRESS(INDEX($W$2:$W$1001,MATCH(ROWS($U$2:U9),$U$2:$U$1001,0),0),2)),INDEX($Z$2:$Z$1001,MATCH(ROWS($U$2:U9),$U$2:$U$1001,0),0)))</f>
        <v>0</v>
      </c>
      <c r="B9" s="5">
        <f>IF(OR(INDEX($V$2:$V$1001,MATCH(ROWS($U$2:U9),$U$2:$U$1001,0),1)&gt;=100000,INDEX($AB$1005:$AQ$1005,1,MATCH(COLUMNS($AB$1006:AB1006),$AB$1006:$AQ$1006,0))&gt;=100000), " ",IF(INDEX($AB$2:$AQ$1001,MATCH(ROWS($U$2:U9),$U$2:$U$1001,0),MATCH(COLUMNS($AB$1006:AB1006),$AB$1006:$AQ$1006,0)), HYPERLINK("#",""), HYPERLINK(CONCATENATE("#Metadata!", ADDRESS(INDEX($W$2:$W$1001,MATCH(ROWS($U$2:U9),$U$2:$U$1001,0),0), INDEX($AB$1004:$AQ$1004,1,MATCH(COLUMNS($AB$1006:AB1006),$AB$1006:$AQ$1006,0)))),"Fix")))</f>
        <v>0</v>
      </c>
      <c r="C9" s="5">
        <f>IF(OR(INDEX($V$2:$V$1001,MATCH(ROWS($U$2:U9),$U$2:$U$1001,0),1)&gt;=100000,INDEX($AB$1005:$AQ$1005,1,MATCH(COLUMNS($AB$1006:AC1006),$AB$1006:$AQ$1006,0))&gt;=100000), " ",IF(INDEX($AB$2:$AQ$1001,MATCH(ROWS($U$2:U9),$U$2:$U$1001,0),MATCH(COLUMNS($AB$1006:AC1006),$AB$1006:$AQ$1006,0)), HYPERLINK("#",""), HYPERLINK(CONCATENATE("#Metadata!", ADDRESS(INDEX($W$2:$W$1001,MATCH(ROWS($U$2:U9),$U$2:$U$1001,0),0), INDEX($AB$1004:$AQ$1004,1,MATCH(COLUMNS($AB$1006:AC1006),$AB$1006:$AQ$1006,0)))),"Fix")))</f>
        <v>0</v>
      </c>
      <c r="D9" s="5">
        <f>IF(OR(INDEX($V$2:$V$1001,MATCH(ROWS($U$2:U9),$U$2:$U$1001,0),1)&gt;=100000,INDEX($AB$1005:$AQ$1005,1,MATCH(COLUMNS($AB$1006:AD1006),$AB$1006:$AQ$1006,0))&gt;=100000), " ",IF(INDEX($AB$2:$AQ$1001,MATCH(ROWS($U$2:U9),$U$2:$U$1001,0),MATCH(COLUMNS($AB$1006:AD1006),$AB$1006:$AQ$1006,0)), HYPERLINK("#",""), HYPERLINK(CONCATENATE("#Metadata!", ADDRESS(INDEX($W$2:$W$1001,MATCH(ROWS($U$2:U9),$U$2:$U$1001,0),0), INDEX($AB$1004:$AQ$1004,1,MATCH(COLUMNS($AB$1006:AD1006),$AB$1006:$AQ$1006,0)))),"Fix")))</f>
        <v>0</v>
      </c>
      <c r="E9" s="5">
        <f>IF(OR(INDEX($V$2:$V$1001,MATCH(ROWS($U$2:U9),$U$2:$U$1001,0),1)&gt;=100000,INDEX($AB$1005:$AQ$1005,1,MATCH(COLUMNS($AB$1006:AE1006),$AB$1006:$AQ$1006,0))&gt;=100000), " ",IF(INDEX($AB$2:$AQ$1001,MATCH(ROWS($U$2:U9),$U$2:$U$1001,0),MATCH(COLUMNS($AB$1006:AE1006),$AB$1006:$AQ$1006,0)), HYPERLINK("#",""), HYPERLINK(CONCATENATE("#Metadata!", ADDRESS(INDEX($W$2:$W$1001,MATCH(ROWS($U$2:U9),$U$2:$U$1001,0),0), INDEX($AB$1004:$AQ$1004,1,MATCH(COLUMNS($AB$1006:AE1006),$AB$1006:$AQ$1006,0)))),"Fix")))</f>
        <v>0</v>
      </c>
      <c r="F9" s="5">
        <f>IF(OR(INDEX($V$2:$V$1001,MATCH(ROWS($U$2:U9),$U$2:$U$1001,0),1)&gt;=100000,INDEX($AB$1005:$AQ$1005,1,MATCH(COLUMNS($AB$1006:AF1006),$AB$1006:$AQ$1006,0))&gt;=100000), " ",IF(INDEX($AB$2:$AQ$1001,MATCH(ROWS($U$2:U9),$U$2:$U$1001,0),MATCH(COLUMNS($AB$1006:AF1006),$AB$1006:$AQ$1006,0)), HYPERLINK("#",""), HYPERLINK(CONCATENATE("#Metadata!", ADDRESS(INDEX($W$2:$W$1001,MATCH(ROWS($U$2:U9),$U$2:$U$1001,0),0), INDEX($AB$1004:$AQ$1004,1,MATCH(COLUMNS($AB$1006:AF1006),$AB$1006:$AQ$1006,0)))),"Fix")))</f>
        <v>0</v>
      </c>
      <c r="G9" s="5">
        <f>IF(OR(INDEX($V$2:$V$1001,MATCH(ROWS($U$2:U9),$U$2:$U$1001,0),1)&gt;=100000,INDEX($AB$1005:$AQ$1005,1,MATCH(COLUMNS($AB$1006:AG1006),$AB$1006:$AQ$1006,0))&gt;=100000), " ",IF(INDEX($AB$2:$AQ$1001,MATCH(ROWS($U$2:U9),$U$2:$U$1001,0),MATCH(COLUMNS($AB$1006:AG1006),$AB$1006:$AQ$1006,0)), HYPERLINK("#",""), HYPERLINK(CONCATENATE("#Metadata!", ADDRESS(INDEX($W$2:$W$1001,MATCH(ROWS($U$2:U9),$U$2:$U$1001,0),0), INDEX($AB$1004:$AQ$1004,1,MATCH(COLUMNS($AB$1006:AG1006),$AB$1006:$AQ$1006,0)))),"Fix")))</f>
        <v>0</v>
      </c>
      <c r="H9" s="5">
        <f>IF(OR(INDEX($V$2:$V$1001,MATCH(ROWS($U$2:U9),$U$2:$U$1001,0),1)&gt;=100000,INDEX($AB$1005:$AQ$1005,1,MATCH(COLUMNS($AB$1006:AH1006),$AB$1006:$AQ$1006,0))&gt;=100000), " ",IF(INDEX($AB$2:$AQ$1001,MATCH(ROWS($U$2:U9),$U$2:$U$1001,0),MATCH(COLUMNS($AB$1006:AH1006),$AB$1006:$AQ$1006,0)), HYPERLINK("#",""), HYPERLINK(CONCATENATE("#Metadata!", ADDRESS(INDEX($W$2:$W$1001,MATCH(ROWS($U$2:U9),$U$2:$U$1001,0),0), INDEX($AB$1004:$AQ$1004,1,MATCH(COLUMNS($AB$1006:AH1006),$AB$1006:$AQ$1006,0)))),"Fix")))</f>
        <v>0</v>
      </c>
      <c r="I9" s="5">
        <f>IF(OR(INDEX($V$2:$V$1001,MATCH(ROWS($U$2:U9),$U$2:$U$1001,0),1)&gt;=100000,INDEX($AB$1005:$AQ$1005,1,MATCH(COLUMNS($AB$1006:AI1006),$AB$1006:$AQ$1006,0))&gt;=100000), " ",IF(INDEX($AB$2:$AQ$1001,MATCH(ROWS($U$2:U9),$U$2:$U$1001,0),MATCH(COLUMNS($AB$1006:AI1006),$AB$1006:$AQ$1006,0)), HYPERLINK("#",""), HYPERLINK(CONCATENATE("#Metadata!", ADDRESS(INDEX($W$2:$W$1001,MATCH(ROWS($U$2:U9),$U$2:$U$1001,0),0), INDEX($AB$1004:$AQ$1004,1,MATCH(COLUMNS($AB$1006:AI1006),$AB$1006:$AQ$1006,0)))),"Fix")))</f>
        <v>0</v>
      </c>
      <c r="J9" s="5">
        <f>IF(OR(INDEX($V$2:$V$1001,MATCH(ROWS($U$2:U9),$U$2:$U$1001,0),1)&gt;=100000,INDEX($AB$1005:$AQ$1005,1,MATCH(COLUMNS($AB$1006:AJ1006),$AB$1006:$AQ$1006,0))&gt;=100000), " ",IF(INDEX($AB$2:$AQ$1001,MATCH(ROWS($U$2:U9),$U$2:$U$1001,0),MATCH(COLUMNS($AB$1006:AJ1006),$AB$1006:$AQ$1006,0)), HYPERLINK("#",""), HYPERLINK(CONCATENATE("#Metadata!", ADDRESS(INDEX($W$2:$W$1001,MATCH(ROWS($U$2:U9),$U$2:$U$1001,0),0), INDEX($AB$1004:$AQ$1004,1,MATCH(COLUMNS($AB$1006:AJ1006),$AB$1006:$AQ$1006,0)))),"Fix")))</f>
        <v>0</v>
      </c>
      <c r="K9" s="5">
        <f>IF(OR(INDEX($V$2:$V$1001,MATCH(ROWS($U$2:U9),$U$2:$U$1001,0),1)&gt;=100000,INDEX($AB$1005:$AQ$1005,1,MATCH(COLUMNS($AB$1006:AK1006),$AB$1006:$AQ$1006,0))&gt;=100000), " ",IF(INDEX($AB$2:$AQ$1001,MATCH(ROWS($U$2:U9),$U$2:$U$1001,0),MATCH(COLUMNS($AB$1006:AK1006),$AB$1006:$AQ$1006,0)), HYPERLINK("#",""), HYPERLINK(CONCATENATE("#Metadata!", ADDRESS(INDEX($W$2:$W$1001,MATCH(ROWS($U$2:U9),$U$2:$U$1001,0),0), INDEX($AB$1004:$AQ$1004,1,MATCH(COLUMNS($AB$1006:AK1006),$AB$1006:$AQ$1006,0)))),"Fix")))</f>
        <v>0</v>
      </c>
      <c r="L9" s="5">
        <f>IF(OR(INDEX($V$2:$V$1001,MATCH(ROWS($U$2:U9),$U$2:$U$1001,0),1)&gt;=100000,INDEX($AB$1005:$AQ$1005,1,MATCH(COLUMNS($AB$1006:AL1006),$AB$1006:$AQ$1006,0))&gt;=100000), " ",IF(INDEX($AB$2:$AQ$1001,MATCH(ROWS($U$2:U9),$U$2:$U$1001,0),MATCH(COLUMNS($AB$1006:AL1006),$AB$1006:$AQ$1006,0)), HYPERLINK("#",""), HYPERLINK(CONCATENATE("#Metadata!", ADDRESS(INDEX($W$2:$W$1001,MATCH(ROWS($U$2:U9),$U$2:$U$1001,0),0), INDEX($AB$1004:$AQ$1004,1,MATCH(COLUMNS($AB$1006:AL1006),$AB$1006:$AQ$1006,0)))),"Fix")))</f>
        <v>0</v>
      </c>
      <c r="M9" s="5">
        <f>IF(OR(INDEX($V$2:$V$1001,MATCH(ROWS($U$2:U9),$U$2:$U$1001,0),1)&gt;=100000,INDEX($AB$1005:$AQ$1005,1,MATCH(COLUMNS($AB$1006:AM1006),$AB$1006:$AQ$1006,0))&gt;=100000), " ",IF(INDEX($AB$2:$AQ$1001,MATCH(ROWS($U$2:U9),$U$2:$U$1001,0),MATCH(COLUMNS($AB$1006:AM1006),$AB$1006:$AQ$1006,0)), HYPERLINK("#",""), HYPERLINK(CONCATENATE("#Metadata!", ADDRESS(INDEX($W$2:$W$1001,MATCH(ROWS($U$2:U9),$U$2:$U$1001,0),0), INDEX($AB$1004:$AQ$1004,1,MATCH(COLUMNS($AB$1006:AM1006),$AB$1006:$AQ$1006,0)))),"Fix")))</f>
        <v>0</v>
      </c>
      <c r="N9" s="5">
        <f>IF(OR(INDEX($V$2:$V$1001,MATCH(ROWS($U$2:U9),$U$2:$U$1001,0),1)&gt;=100000,INDEX($AB$1005:$AQ$1005,1,MATCH(COLUMNS($AB$1006:AN1006),$AB$1006:$AQ$1006,0))&gt;=100000), " ",IF(INDEX($AB$2:$AQ$1001,MATCH(ROWS($U$2:U9),$U$2:$U$1001,0),MATCH(COLUMNS($AB$1006:AN1006),$AB$1006:$AQ$1006,0)), HYPERLINK("#",""), HYPERLINK(CONCATENATE("#Metadata!", ADDRESS(INDEX($W$2:$W$1001,MATCH(ROWS($U$2:U9),$U$2:$U$1001,0),0), INDEX($AB$1004:$AQ$1004,1,MATCH(COLUMNS($AB$1006:AN1006),$AB$1006:$AQ$1006,0)))),"Fix")))</f>
        <v>0</v>
      </c>
      <c r="O9" s="5">
        <f>IF(OR(INDEX($V$2:$V$1001,MATCH(ROWS($U$2:U9),$U$2:$U$1001,0),1)&gt;=100000,INDEX($AB$1005:$AQ$1005,1,MATCH(COLUMNS($AB$1006:AO1006),$AB$1006:$AQ$1006,0))&gt;=100000), " ",IF(INDEX($AB$2:$AQ$1001,MATCH(ROWS($U$2:U9),$U$2:$U$1001,0),MATCH(COLUMNS($AB$1006:AO1006),$AB$1006:$AQ$1006,0)), HYPERLINK("#",""), HYPERLINK(CONCATENATE("#Metadata!", ADDRESS(INDEX($W$2:$W$1001,MATCH(ROWS($U$2:U9),$U$2:$U$1001,0),0), INDEX($AB$1004:$AQ$1004,1,MATCH(COLUMNS($AB$1006:AO1006),$AB$1006:$AQ$1006,0)))),"Fix")))</f>
        <v>0</v>
      </c>
      <c r="P9" s="5">
        <f>IF(OR(INDEX($V$2:$V$1001,MATCH(ROWS($U$2:U9),$U$2:$U$1001,0),1)&gt;=100000,INDEX($AB$1005:$AQ$1005,1,MATCH(COLUMNS($AB$1006:AP1006),$AB$1006:$AQ$1006,0))&gt;=100000), " ",IF(INDEX($AB$2:$AQ$1001,MATCH(ROWS($U$2:U9),$U$2:$U$1001,0),MATCH(COLUMNS($AB$1006:AP1006),$AB$1006:$AQ$1006,0)), HYPERLINK("#",""), HYPERLINK(CONCATENATE("#Metadata!", ADDRESS(INDEX($W$2:$W$1001,MATCH(ROWS($U$2:U9),$U$2:$U$1001,0),0), INDEX($AB$1004:$AQ$1004,1,MATCH(COLUMNS($AB$1006:AP1006),$AB$1006:$AQ$1006,0)))),"Fix")))</f>
        <v>0</v>
      </c>
      <c r="Q9" s="5">
        <f>IF(OR(INDEX($V$2:$V$1001,MATCH(ROWS($U$2:U9),$U$2:$U$1001,0),1)&gt;=100000,INDEX($AB$1005:$AQ$1005,1,MATCH(COLUMNS($AB$1006:AQ1006),$AB$1006:$AQ$1006,0))&gt;=100000), " ",IF(INDEX($AB$2:$AQ$1001,MATCH(ROWS($U$2:U9),$U$2:$U$1001,0),MATCH(COLUMNS($AB$1006:AQ1006),$AB$1006:$AQ$1006,0)), HYPERLINK("#",""), HYPERLINK(CONCATENATE("#Metadata!", ADDRESS(INDEX($W$2:$W$1001,MATCH(ROWS($U$2:U9),$U$2:$U$1001,0),0), INDEX($AB$1004:$AQ$1004,1,MATCH(COLUMNS($AB$1006:AQ1006),$AB$1006:$AQ$1006,0)))),"Fix")))</f>
        <v>0</v>
      </c>
      <c r="U9">
        <v>0</v>
      </c>
      <c r="V9">
        <v>0</v>
      </c>
      <c r="W9">
        <v>0</v>
      </c>
      <c r="X9">
        <f>IF(Y9,TRUE,AND(AB9:AQ9))</f>
        <v>0</v>
      </c>
      <c r="Y9">
        <f>COUNTBLANK(Metadata!B9:Q9)=COLUMNS(Metadata!B9:Q9)</f>
        <v>0</v>
      </c>
      <c r="Z9">
        <v>0</v>
      </c>
      <c r="AB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AC9">
        <f>AND(IF(Metadata!C9="",FALSE,TRUE),exact(Metadata!C9,"urban biome"))</f>
        <v>0</v>
      </c>
      <c r="AD9">
        <f>AND(IF(Metadata!D9="",FALSE,TRUE),exact(Metadata!D9,"human-associated habitat"))</f>
        <v>0</v>
      </c>
      <c r="AE9">
        <f>AND(IF(Metadata!E9="",FALSE,TRUE),OR(exact(Metadata!E9,"human-associated"),exact(Metadata!E9,"human-skin"),exact(Metadata!E9,"human-oral"),exact(Metadata!E9,"human-gut"),exact(Metadata!E9,"human-vaginal")))</f>
        <v>0</v>
      </c>
      <c r="AF9">
        <f>AND(IF(Metadata!F9="",FALSE,ISNUMBER(VALUE(Metadata!F9))),Metadata!F9&gt;0)</f>
        <v>0</v>
      </c>
      <c r="AG9">
        <f>AND(IF(Metadata!G9="",FALSE,TRUE),exact(Metadata!G9,"years"))</f>
        <v>0</v>
      </c>
      <c r="AH9">
        <f>OR(AND(IF(Metadata!H9="",FALSE,TRUE),OR(exact(Metadata!H9,"not applicable"),exact(Metadata!H9,"not collected"),exact(Metadata!H9,"not provided"),exact(Metadata!H9,"restricted access"))),AND(IF(Metadata!H9="",FALSE,ISNUMBER(VALUE(Metadata!H9))),Metadata!H9&gt;0))</f>
        <v>0</v>
      </c>
      <c r="AI9">
        <f>AND(IF(Metadata!I9="",FALSE,TRUE),exact(Metadata!I9,"human"))</f>
        <v>0</v>
      </c>
      <c r="AJ9">
        <f>AND(IF(Metadata!J9="",FALSE,ISNUMBER(VALUE(Metadata!J9))),Metadata!J9&gt;0)</f>
        <v>0</v>
      </c>
      <c r="AK9">
        <f>AND(IF(Metadata!K9="",FALSE,TRUE),exact(Metadata!K9,"cm"))</f>
        <v>0</v>
      </c>
      <c r="AL9">
        <f>AND(IF(Metadata!L9="",FALSE,TRUE),exact(Metadata!L9,"Homo sapiens"))</f>
        <v>0</v>
      </c>
      <c r="AM9">
        <f>AND(IF(Metadata!M9="",FALSE,TRUE),exact(Metadata!M9,"9606"))</f>
        <v>0</v>
      </c>
      <c r="AN9">
        <f>AND(IF(Metadata!N9="",FALSE,ISNUMBER(VALUE(Metadata!N9))),Metadata!N9&gt;0)</f>
        <v>0</v>
      </c>
      <c r="AO9">
        <f>AND(IF(Metadata!O9="",FALSE,TRUE),exact(Metadata!O9,"kg"))</f>
        <v>0</v>
      </c>
      <c r="AP9">
        <f>OR(AND(IF(Metadata!P9="",FALSE,TRUE),exact(Metadata!P9,"not provided")),IF(Metadata!P9="",FALSE,TRUE))</f>
        <v>0</v>
      </c>
      <c r="AQ9">
        <f>OR(AND(IF(Metadata!Q9="",FALSE,TRUE),exact(Metadata!Q9,"not provided")),IF(Metadata!Q9="",FALSE,TRUE))</f>
        <v>0</v>
      </c>
    </row>
    <row r="10" spans="1:43">
      <c r="A10" s="4">
        <f>IF(B10=" "," ",HYPERLINK(CONCATENATE("#metadata!",ADDRESS(INDEX($W$2:$W$1001,MATCH(ROWS($U$2:U10),$U$2:$U$1001,0),0),2)),INDEX($Z$2:$Z$1001,MATCH(ROWS($U$2:U10),$U$2:$U$1001,0),0)))</f>
        <v>0</v>
      </c>
      <c r="B10" s="5">
        <f>IF(OR(INDEX($V$2:$V$1001,MATCH(ROWS($U$2:U10),$U$2:$U$1001,0),1)&gt;=100000,INDEX($AB$1005:$AQ$1005,1,MATCH(COLUMNS($AB$1006:AB1006),$AB$1006:$AQ$1006,0))&gt;=100000), " ",IF(INDEX($AB$2:$AQ$1001,MATCH(ROWS($U$2:U10),$U$2:$U$1001,0),MATCH(COLUMNS($AB$1006:AB1006),$AB$1006:$AQ$1006,0)), HYPERLINK("#",""), HYPERLINK(CONCATENATE("#Metadata!", ADDRESS(INDEX($W$2:$W$1001,MATCH(ROWS($U$2:U10),$U$2:$U$1001,0),0), INDEX($AB$1004:$AQ$1004,1,MATCH(COLUMNS($AB$1006:AB1006),$AB$1006:$AQ$1006,0)))),"Fix")))</f>
        <v>0</v>
      </c>
      <c r="C10" s="5">
        <f>IF(OR(INDEX($V$2:$V$1001,MATCH(ROWS($U$2:U10),$U$2:$U$1001,0),1)&gt;=100000,INDEX($AB$1005:$AQ$1005,1,MATCH(COLUMNS($AB$1006:AC1006),$AB$1006:$AQ$1006,0))&gt;=100000), " ",IF(INDEX($AB$2:$AQ$1001,MATCH(ROWS($U$2:U10),$U$2:$U$1001,0),MATCH(COLUMNS($AB$1006:AC1006),$AB$1006:$AQ$1006,0)), HYPERLINK("#",""), HYPERLINK(CONCATENATE("#Metadata!", ADDRESS(INDEX($W$2:$W$1001,MATCH(ROWS($U$2:U10),$U$2:$U$1001,0),0), INDEX($AB$1004:$AQ$1004,1,MATCH(COLUMNS($AB$1006:AC1006),$AB$1006:$AQ$1006,0)))),"Fix")))</f>
        <v>0</v>
      </c>
      <c r="D10" s="5">
        <f>IF(OR(INDEX($V$2:$V$1001,MATCH(ROWS($U$2:U10),$U$2:$U$1001,0),1)&gt;=100000,INDEX($AB$1005:$AQ$1005,1,MATCH(COLUMNS($AB$1006:AD1006),$AB$1006:$AQ$1006,0))&gt;=100000), " ",IF(INDEX($AB$2:$AQ$1001,MATCH(ROWS($U$2:U10),$U$2:$U$1001,0),MATCH(COLUMNS($AB$1006:AD1006),$AB$1006:$AQ$1006,0)), HYPERLINK("#",""), HYPERLINK(CONCATENATE("#Metadata!", ADDRESS(INDEX($W$2:$W$1001,MATCH(ROWS($U$2:U10),$U$2:$U$1001,0),0), INDEX($AB$1004:$AQ$1004,1,MATCH(COLUMNS($AB$1006:AD1006),$AB$1006:$AQ$1006,0)))),"Fix")))</f>
        <v>0</v>
      </c>
      <c r="E10" s="5">
        <f>IF(OR(INDEX($V$2:$V$1001,MATCH(ROWS($U$2:U10),$U$2:$U$1001,0),1)&gt;=100000,INDEX($AB$1005:$AQ$1005,1,MATCH(COLUMNS($AB$1006:AE1006),$AB$1006:$AQ$1006,0))&gt;=100000), " ",IF(INDEX($AB$2:$AQ$1001,MATCH(ROWS($U$2:U10),$U$2:$U$1001,0),MATCH(COLUMNS($AB$1006:AE1006),$AB$1006:$AQ$1006,0)), HYPERLINK("#",""), HYPERLINK(CONCATENATE("#Metadata!", ADDRESS(INDEX($W$2:$W$1001,MATCH(ROWS($U$2:U10),$U$2:$U$1001,0),0), INDEX($AB$1004:$AQ$1004,1,MATCH(COLUMNS($AB$1006:AE1006),$AB$1006:$AQ$1006,0)))),"Fix")))</f>
        <v>0</v>
      </c>
      <c r="F10" s="5">
        <f>IF(OR(INDEX($V$2:$V$1001,MATCH(ROWS($U$2:U10),$U$2:$U$1001,0),1)&gt;=100000,INDEX($AB$1005:$AQ$1005,1,MATCH(COLUMNS($AB$1006:AF1006),$AB$1006:$AQ$1006,0))&gt;=100000), " ",IF(INDEX($AB$2:$AQ$1001,MATCH(ROWS($U$2:U10),$U$2:$U$1001,0),MATCH(COLUMNS($AB$1006:AF1006),$AB$1006:$AQ$1006,0)), HYPERLINK("#",""), HYPERLINK(CONCATENATE("#Metadata!", ADDRESS(INDEX($W$2:$W$1001,MATCH(ROWS($U$2:U10),$U$2:$U$1001,0),0), INDEX($AB$1004:$AQ$1004,1,MATCH(COLUMNS($AB$1006:AF1006),$AB$1006:$AQ$1006,0)))),"Fix")))</f>
        <v>0</v>
      </c>
      <c r="G10" s="5">
        <f>IF(OR(INDEX($V$2:$V$1001,MATCH(ROWS($U$2:U10),$U$2:$U$1001,0),1)&gt;=100000,INDEX($AB$1005:$AQ$1005,1,MATCH(COLUMNS($AB$1006:AG1006),$AB$1006:$AQ$1006,0))&gt;=100000), " ",IF(INDEX($AB$2:$AQ$1001,MATCH(ROWS($U$2:U10),$U$2:$U$1001,0),MATCH(COLUMNS($AB$1006:AG1006),$AB$1006:$AQ$1006,0)), HYPERLINK("#",""), HYPERLINK(CONCATENATE("#Metadata!", ADDRESS(INDEX($W$2:$W$1001,MATCH(ROWS($U$2:U10),$U$2:$U$1001,0),0), INDEX($AB$1004:$AQ$1004,1,MATCH(COLUMNS($AB$1006:AG1006),$AB$1006:$AQ$1006,0)))),"Fix")))</f>
        <v>0</v>
      </c>
      <c r="H10" s="5">
        <f>IF(OR(INDEX($V$2:$V$1001,MATCH(ROWS($U$2:U10),$U$2:$U$1001,0),1)&gt;=100000,INDEX($AB$1005:$AQ$1005,1,MATCH(COLUMNS($AB$1006:AH1006),$AB$1006:$AQ$1006,0))&gt;=100000), " ",IF(INDEX($AB$2:$AQ$1001,MATCH(ROWS($U$2:U10),$U$2:$U$1001,0),MATCH(COLUMNS($AB$1006:AH1006),$AB$1006:$AQ$1006,0)), HYPERLINK("#",""), HYPERLINK(CONCATENATE("#Metadata!", ADDRESS(INDEX($W$2:$W$1001,MATCH(ROWS($U$2:U10),$U$2:$U$1001,0),0), INDEX($AB$1004:$AQ$1004,1,MATCH(COLUMNS($AB$1006:AH1006),$AB$1006:$AQ$1006,0)))),"Fix")))</f>
        <v>0</v>
      </c>
      <c r="I10" s="5">
        <f>IF(OR(INDEX($V$2:$V$1001,MATCH(ROWS($U$2:U10),$U$2:$U$1001,0),1)&gt;=100000,INDEX($AB$1005:$AQ$1005,1,MATCH(COLUMNS($AB$1006:AI1006),$AB$1006:$AQ$1006,0))&gt;=100000), " ",IF(INDEX($AB$2:$AQ$1001,MATCH(ROWS($U$2:U10),$U$2:$U$1001,0),MATCH(COLUMNS($AB$1006:AI1006),$AB$1006:$AQ$1006,0)), HYPERLINK("#",""), HYPERLINK(CONCATENATE("#Metadata!", ADDRESS(INDEX($W$2:$W$1001,MATCH(ROWS($U$2:U10),$U$2:$U$1001,0),0), INDEX($AB$1004:$AQ$1004,1,MATCH(COLUMNS($AB$1006:AI1006),$AB$1006:$AQ$1006,0)))),"Fix")))</f>
        <v>0</v>
      </c>
      <c r="J10" s="5">
        <f>IF(OR(INDEX($V$2:$V$1001,MATCH(ROWS($U$2:U10),$U$2:$U$1001,0),1)&gt;=100000,INDEX($AB$1005:$AQ$1005,1,MATCH(COLUMNS($AB$1006:AJ1006),$AB$1006:$AQ$1006,0))&gt;=100000), " ",IF(INDEX($AB$2:$AQ$1001,MATCH(ROWS($U$2:U10),$U$2:$U$1001,0),MATCH(COLUMNS($AB$1006:AJ1006),$AB$1006:$AQ$1006,0)), HYPERLINK("#",""), HYPERLINK(CONCATENATE("#Metadata!", ADDRESS(INDEX($W$2:$W$1001,MATCH(ROWS($U$2:U10),$U$2:$U$1001,0),0), INDEX($AB$1004:$AQ$1004,1,MATCH(COLUMNS($AB$1006:AJ1006),$AB$1006:$AQ$1006,0)))),"Fix")))</f>
        <v>0</v>
      </c>
      <c r="K10" s="5">
        <f>IF(OR(INDEX($V$2:$V$1001,MATCH(ROWS($U$2:U10),$U$2:$U$1001,0),1)&gt;=100000,INDEX($AB$1005:$AQ$1005,1,MATCH(COLUMNS($AB$1006:AK1006),$AB$1006:$AQ$1006,0))&gt;=100000), " ",IF(INDEX($AB$2:$AQ$1001,MATCH(ROWS($U$2:U10),$U$2:$U$1001,0),MATCH(COLUMNS($AB$1006:AK1006),$AB$1006:$AQ$1006,0)), HYPERLINK("#",""), HYPERLINK(CONCATENATE("#Metadata!", ADDRESS(INDEX($W$2:$W$1001,MATCH(ROWS($U$2:U10),$U$2:$U$1001,0),0), INDEX($AB$1004:$AQ$1004,1,MATCH(COLUMNS($AB$1006:AK1006),$AB$1006:$AQ$1006,0)))),"Fix")))</f>
        <v>0</v>
      </c>
      <c r="L10" s="5">
        <f>IF(OR(INDEX($V$2:$V$1001,MATCH(ROWS($U$2:U10),$U$2:$U$1001,0),1)&gt;=100000,INDEX($AB$1005:$AQ$1005,1,MATCH(COLUMNS($AB$1006:AL1006),$AB$1006:$AQ$1006,0))&gt;=100000), " ",IF(INDEX($AB$2:$AQ$1001,MATCH(ROWS($U$2:U10),$U$2:$U$1001,0),MATCH(COLUMNS($AB$1006:AL1006),$AB$1006:$AQ$1006,0)), HYPERLINK("#",""), HYPERLINK(CONCATENATE("#Metadata!", ADDRESS(INDEX($W$2:$W$1001,MATCH(ROWS($U$2:U10),$U$2:$U$1001,0),0), INDEX($AB$1004:$AQ$1004,1,MATCH(COLUMNS($AB$1006:AL1006),$AB$1006:$AQ$1006,0)))),"Fix")))</f>
        <v>0</v>
      </c>
      <c r="M10" s="5">
        <f>IF(OR(INDEX($V$2:$V$1001,MATCH(ROWS($U$2:U10),$U$2:$U$1001,0),1)&gt;=100000,INDEX($AB$1005:$AQ$1005,1,MATCH(COLUMNS($AB$1006:AM1006),$AB$1006:$AQ$1006,0))&gt;=100000), " ",IF(INDEX($AB$2:$AQ$1001,MATCH(ROWS($U$2:U10),$U$2:$U$1001,0),MATCH(COLUMNS($AB$1006:AM1006),$AB$1006:$AQ$1006,0)), HYPERLINK("#",""), HYPERLINK(CONCATENATE("#Metadata!", ADDRESS(INDEX($W$2:$W$1001,MATCH(ROWS($U$2:U10),$U$2:$U$1001,0),0), INDEX($AB$1004:$AQ$1004,1,MATCH(COLUMNS($AB$1006:AM1006),$AB$1006:$AQ$1006,0)))),"Fix")))</f>
        <v>0</v>
      </c>
      <c r="N10" s="5">
        <f>IF(OR(INDEX($V$2:$V$1001,MATCH(ROWS($U$2:U10),$U$2:$U$1001,0),1)&gt;=100000,INDEX($AB$1005:$AQ$1005,1,MATCH(COLUMNS($AB$1006:AN1006),$AB$1006:$AQ$1006,0))&gt;=100000), " ",IF(INDEX($AB$2:$AQ$1001,MATCH(ROWS($U$2:U10),$U$2:$U$1001,0),MATCH(COLUMNS($AB$1006:AN1006),$AB$1006:$AQ$1006,0)), HYPERLINK("#",""), HYPERLINK(CONCATENATE("#Metadata!", ADDRESS(INDEX($W$2:$W$1001,MATCH(ROWS($U$2:U10),$U$2:$U$1001,0),0), INDEX($AB$1004:$AQ$1004,1,MATCH(COLUMNS($AB$1006:AN1006),$AB$1006:$AQ$1006,0)))),"Fix")))</f>
        <v>0</v>
      </c>
      <c r="O10" s="5">
        <f>IF(OR(INDEX($V$2:$V$1001,MATCH(ROWS($U$2:U10),$U$2:$U$1001,0),1)&gt;=100000,INDEX($AB$1005:$AQ$1005,1,MATCH(COLUMNS($AB$1006:AO1006),$AB$1006:$AQ$1006,0))&gt;=100000), " ",IF(INDEX($AB$2:$AQ$1001,MATCH(ROWS($U$2:U10),$U$2:$U$1001,0),MATCH(COLUMNS($AB$1006:AO1006),$AB$1006:$AQ$1006,0)), HYPERLINK("#",""), HYPERLINK(CONCATENATE("#Metadata!", ADDRESS(INDEX($W$2:$W$1001,MATCH(ROWS($U$2:U10),$U$2:$U$1001,0),0), INDEX($AB$1004:$AQ$1004,1,MATCH(COLUMNS($AB$1006:AO1006),$AB$1006:$AQ$1006,0)))),"Fix")))</f>
        <v>0</v>
      </c>
      <c r="P10" s="5">
        <f>IF(OR(INDEX($V$2:$V$1001,MATCH(ROWS($U$2:U10),$U$2:$U$1001,0),1)&gt;=100000,INDEX($AB$1005:$AQ$1005,1,MATCH(COLUMNS($AB$1006:AP1006),$AB$1006:$AQ$1006,0))&gt;=100000), " ",IF(INDEX($AB$2:$AQ$1001,MATCH(ROWS($U$2:U10),$U$2:$U$1001,0),MATCH(COLUMNS($AB$1006:AP1006),$AB$1006:$AQ$1006,0)), HYPERLINK("#",""), HYPERLINK(CONCATENATE("#Metadata!", ADDRESS(INDEX($W$2:$W$1001,MATCH(ROWS($U$2:U10),$U$2:$U$1001,0),0), INDEX($AB$1004:$AQ$1004,1,MATCH(COLUMNS($AB$1006:AP1006),$AB$1006:$AQ$1006,0)))),"Fix")))</f>
        <v>0</v>
      </c>
      <c r="Q10" s="5">
        <f>IF(OR(INDEX($V$2:$V$1001,MATCH(ROWS($U$2:U10),$U$2:$U$1001,0),1)&gt;=100000,INDEX($AB$1005:$AQ$1005,1,MATCH(COLUMNS($AB$1006:AQ1006),$AB$1006:$AQ$1006,0))&gt;=100000), " ",IF(INDEX($AB$2:$AQ$1001,MATCH(ROWS($U$2:U10),$U$2:$U$1001,0),MATCH(COLUMNS($AB$1006:AQ1006),$AB$1006:$AQ$1006,0)), HYPERLINK("#",""), HYPERLINK(CONCATENATE("#Metadata!", ADDRESS(INDEX($W$2:$W$1001,MATCH(ROWS($U$2:U10),$U$2:$U$1001,0),0), INDEX($AB$1004:$AQ$1004,1,MATCH(COLUMNS($AB$1006:AQ1006),$AB$1006:$AQ$1006,0)))),"Fix")))</f>
        <v>0</v>
      </c>
      <c r="U10">
        <v>0</v>
      </c>
      <c r="V10">
        <v>0</v>
      </c>
      <c r="W10">
        <v>0</v>
      </c>
      <c r="X10">
        <f>IF(Y10,TRUE,AND(AB10:AQ10))</f>
        <v>0</v>
      </c>
      <c r="Y10">
        <f>COUNTBLANK(Metadata!B10:Q10)=COLUMNS(Metadata!B10:Q10)</f>
        <v>0</v>
      </c>
      <c r="Z10">
        <v>0</v>
      </c>
      <c r="AB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AC10">
        <f>AND(IF(Metadata!C10="",FALSE,TRUE),exact(Metadata!C10,"urban biome"))</f>
        <v>0</v>
      </c>
      <c r="AD10">
        <f>AND(IF(Metadata!D10="",FALSE,TRUE),exact(Metadata!D10,"human-associated habitat"))</f>
        <v>0</v>
      </c>
      <c r="AE10">
        <f>AND(IF(Metadata!E10="",FALSE,TRUE),OR(exact(Metadata!E10,"human-associated"),exact(Metadata!E10,"human-skin"),exact(Metadata!E10,"human-oral"),exact(Metadata!E10,"human-gut"),exact(Metadata!E10,"human-vaginal")))</f>
        <v>0</v>
      </c>
      <c r="AF10">
        <f>AND(IF(Metadata!F10="",FALSE,ISNUMBER(VALUE(Metadata!F10))),Metadata!F10&gt;0)</f>
        <v>0</v>
      </c>
      <c r="AG10">
        <f>AND(IF(Metadata!G10="",FALSE,TRUE),exact(Metadata!G10,"years"))</f>
        <v>0</v>
      </c>
      <c r="AH10">
        <f>OR(AND(IF(Metadata!H10="",FALSE,TRUE),OR(exact(Metadata!H10,"not applicable"),exact(Metadata!H10,"not collected"),exact(Metadata!H10,"not provided"),exact(Metadata!H10,"restricted access"))),AND(IF(Metadata!H10="",FALSE,ISNUMBER(VALUE(Metadata!H10))),Metadata!H10&gt;0))</f>
        <v>0</v>
      </c>
      <c r="AI10">
        <f>AND(IF(Metadata!I10="",FALSE,TRUE),exact(Metadata!I10,"human"))</f>
        <v>0</v>
      </c>
      <c r="AJ10">
        <f>AND(IF(Metadata!J10="",FALSE,ISNUMBER(VALUE(Metadata!J10))),Metadata!J10&gt;0)</f>
        <v>0</v>
      </c>
      <c r="AK10">
        <f>AND(IF(Metadata!K10="",FALSE,TRUE),exact(Metadata!K10,"cm"))</f>
        <v>0</v>
      </c>
      <c r="AL10">
        <f>AND(IF(Metadata!L10="",FALSE,TRUE),exact(Metadata!L10,"Homo sapiens"))</f>
        <v>0</v>
      </c>
      <c r="AM10">
        <f>AND(IF(Metadata!M10="",FALSE,TRUE),exact(Metadata!M10,"9606"))</f>
        <v>0</v>
      </c>
      <c r="AN10">
        <f>AND(IF(Metadata!N10="",FALSE,ISNUMBER(VALUE(Metadata!N10))),Metadata!N10&gt;0)</f>
        <v>0</v>
      </c>
      <c r="AO10">
        <f>AND(IF(Metadata!O10="",FALSE,TRUE),exact(Metadata!O10,"kg"))</f>
        <v>0</v>
      </c>
      <c r="AP10">
        <f>OR(AND(IF(Metadata!P10="",FALSE,TRUE),exact(Metadata!P10,"not provided")),IF(Metadata!P10="",FALSE,TRUE))</f>
        <v>0</v>
      </c>
      <c r="AQ10">
        <f>OR(AND(IF(Metadata!Q10="",FALSE,TRUE),exact(Metadata!Q10,"not provided")),IF(Metadata!Q10="",FALSE,TRUE))</f>
        <v>0</v>
      </c>
    </row>
    <row r="11" spans="1:43">
      <c r="A11" s="4">
        <f>IF(B11=" "," ",HYPERLINK(CONCATENATE("#metadata!",ADDRESS(INDEX($W$2:$W$1001,MATCH(ROWS($U$2:U11),$U$2:$U$1001,0),0),2)),INDEX($Z$2:$Z$1001,MATCH(ROWS($U$2:U11),$U$2:$U$1001,0),0)))</f>
        <v>0</v>
      </c>
      <c r="B11" s="5">
        <f>IF(OR(INDEX($V$2:$V$1001,MATCH(ROWS($U$2:U11),$U$2:$U$1001,0),1)&gt;=100000,INDEX($AB$1005:$AQ$1005,1,MATCH(COLUMNS($AB$1006:AB1006),$AB$1006:$AQ$1006,0))&gt;=100000), " ",IF(INDEX($AB$2:$AQ$1001,MATCH(ROWS($U$2:U11),$U$2:$U$1001,0),MATCH(COLUMNS($AB$1006:AB1006),$AB$1006:$AQ$1006,0)), HYPERLINK("#",""), HYPERLINK(CONCATENATE("#Metadata!", ADDRESS(INDEX($W$2:$W$1001,MATCH(ROWS($U$2:U11),$U$2:$U$1001,0),0), INDEX($AB$1004:$AQ$1004,1,MATCH(COLUMNS($AB$1006:AB1006),$AB$1006:$AQ$1006,0)))),"Fix")))</f>
        <v>0</v>
      </c>
      <c r="C11" s="5">
        <f>IF(OR(INDEX($V$2:$V$1001,MATCH(ROWS($U$2:U11),$U$2:$U$1001,0),1)&gt;=100000,INDEX($AB$1005:$AQ$1005,1,MATCH(COLUMNS($AB$1006:AC1006),$AB$1006:$AQ$1006,0))&gt;=100000), " ",IF(INDEX($AB$2:$AQ$1001,MATCH(ROWS($U$2:U11),$U$2:$U$1001,0),MATCH(COLUMNS($AB$1006:AC1006),$AB$1006:$AQ$1006,0)), HYPERLINK("#",""), HYPERLINK(CONCATENATE("#Metadata!", ADDRESS(INDEX($W$2:$W$1001,MATCH(ROWS($U$2:U11),$U$2:$U$1001,0),0), INDEX($AB$1004:$AQ$1004,1,MATCH(COLUMNS($AB$1006:AC1006),$AB$1006:$AQ$1006,0)))),"Fix")))</f>
        <v>0</v>
      </c>
      <c r="D11" s="5">
        <f>IF(OR(INDEX($V$2:$V$1001,MATCH(ROWS($U$2:U11),$U$2:$U$1001,0),1)&gt;=100000,INDEX($AB$1005:$AQ$1005,1,MATCH(COLUMNS($AB$1006:AD1006),$AB$1006:$AQ$1006,0))&gt;=100000), " ",IF(INDEX($AB$2:$AQ$1001,MATCH(ROWS($U$2:U11),$U$2:$U$1001,0),MATCH(COLUMNS($AB$1006:AD1006),$AB$1006:$AQ$1006,0)), HYPERLINK("#",""), HYPERLINK(CONCATENATE("#Metadata!", ADDRESS(INDEX($W$2:$W$1001,MATCH(ROWS($U$2:U11),$U$2:$U$1001,0),0), INDEX($AB$1004:$AQ$1004,1,MATCH(COLUMNS($AB$1006:AD1006),$AB$1006:$AQ$1006,0)))),"Fix")))</f>
        <v>0</v>
      </c>
      <c r="E11" s="5">
        <f>IF(OR(INDEX($V$2:$V$1001,MATCH(ROWS($U$2:U11),$U$2:$U$1001,0),1)&gt;=100000,INDEX($AB$1005:$AQ$1005,1,MATCH(COLUMNS($AB$1006:AE1006),$AB$1006:$AQ$1006,0))&gt;=100000), " ",IF(INDEX($AB$2:$AQ$1001,MATCH(ROWS($U$2:U11),$U$2:$U$1001,0),MATCH(COLUMNS($AB$1006:AE1006),$AB$1006:$AQ$1006,0)), HYPERLINK("#",""), HYPERLINK(CONCATENATE("#Metadata!", ADDRESS(INDEX($W$2:$W$1001,MATCH(ROWS($U$2:U11),$U$2:$U$1001,0),0), INDEX($AB$1004:$AQ$1004,1,MATCH(COLUMNS($AB$1006:AE1006),$AB$1006:$AQ$1006,0)))),"Fix")))</f>
        <v>0</v>
      </c>
      <c r="F11" s="5">
        <f>IF(OR(INDEX($V$2:$V$1001,MATCH(ROWS($U$2:U11),$U$2:$U$1001,0),1)&gt;=100000,INDEX($AB$1005:$AQ$1005,1,MATCH(COLUMNS($AB$1006:AF1006),$AB$1006:$AQ$1006,0))&gt;=100000), " ",IF(INDEX($AB$2:$AQ$1001,MATCH(ROWS($U$2:U11),$U$2:$U$1001,0),MATCH(COLUMNS($AB$1006:AF1006),$AB$1006:$AQ$1006,0)), HYPERLINK("#",""), HYPERLINK(CONCATENATE("#Metadata!", ADDRESS(INDEX($W$2:$W$1001,MATCH(ROWS($U$2:U11),$U$2:$U$1001,0),0), INDEX($AB$1004:$AQ$1004,1,MATCH(COLUMNS($AB$1006:AF1006),$AB$1006:$AQ$1006,0)))),"Fix")))</f>
        <v>0</v>
      </c>
      <c r="G11" s="5">
        <f>IF(OR(INDEX($V$2:$V$1001,MATCH(ROWS($U$2:U11),$U$2:$U$1001,0),1)&gt;=100000,INDEX($AB$1005:$AQ$1005,1,MATCH(COLUMNS($AB$1006:AG1006),$AB$1006:$AQ$1006,0))&gt;=100000), " ",IF(INDEX($AB$2:$AQ$1001,MATCH(ROWS($U$2:U11),$U$2:$U$1001,0),MATCH(COLUMNS($AB$1006:AG1006),$AB$1006:$AQ$1006,0)), HYPERLINK("#",""), HYPERLINK(CONCATENATE("#Metadata!", ADDRESS(INDEX($W$2:$W$1001,MATCH(ROWS($U$2:U11),$U$2:$U$1001,0),0), INDEX($AB$1004:$AQ$1004,1,MATCH(COLUMNS($AB$1006:AG1006),$AB$1006:$AQ$1006,0)))),"Fix")))</f>
        <v>0</v>
      </c>
      <c r="H11" s="5">
        <f>IF(OR(INDEX($V$2:$V$1001,MATCH(ROWS($U$2:U11),$U$2:$U$1001,0),1)&gt;=100000,INDEX($AB$1005:$AQ$1005,1,MATCH(COLUMNS($AB$1006:AH1006),$AB$1006:$AQ$1006,0))&gt;=100000), " ",IF(INDEX($AB$2:$AQ$1001,MATCH(ROWS($U$2:U11),$U$2:$U$1001,0),MATCH(COLUMNS($AB$1006:AH1006),$AB$1006:$AQ$1006,0)), HYPERLINK("#",""), HYPERLINK(CONCATENATE("#Metadata!", ADDRESS(INDEX($W$2:$W$1001,MATCH(ROWS($U$2:U11),$U$2:$U$1001,0),0), INDEX($AB$1004:$AQ$1004,1,MATCH(COLUMNS($AB$1006:AH1006),$AB$1006:$AQ$1006,0)))),"Fix")))</f>
        <v>0</v>
      </c>
      <c r="I11" s="5">
        <f>IF(OR(INDEX($V$2:$V$1001,MATCH(ROWS($U$2:U11),$U$2:$U$1001,0),1)&gt;=100000,INDEX($AB$1005:$AQ$1005,1,MATCH(COLUMNS($AB$1006:AI1006),$AB$1006:$AQ$1006,0))&gt;=100000), " ",IF(INDEX($AB$2:$AQ$1001,MATCH(ROWS($U$2:U11),$U$2:$U$1001,0),MATCH(COLUMNS($AB$1006:AI1006),$AB$1006:$AQ$1006,0)), HYPERLINK("#",""), HYPERLINK(CONCATENATE("#Metadata!", ADDRESS(INDEX($W$2:$W$1001,MATCH(ROWS($U$2:U11),$U$2:$U$1001,0),0), INDEX($AB$1004:$AQ$1004,1,MATCH(COLUMNS($AB$1006:AI1006),$AB$1006:$AQ$1006,0)))),"Fix")))</f>
        <v>0</v>
      </c>
      <c r="J11" s="5">
        <f>IF(OR(INDEX($V$2:$V$1001,MATCH(ROWS($U$2:U11),$U$2:$U$1001,0),1)&gt;=100000,INDEX($AB$1005:$AQ$1005,1,MATCH(COLUMNS($AB$1006:AJ1006),$AB$1006:$AQ$1006,0))&gt;=100000), " ",IF(INDEX($AB$2:$AQ$1001,MATCH(ROWS($U$2:U11),$U$2:$U$1001,0),MATCH(COLUMNS($AB$1006:AJ1006),$AB$1006:$AQ$1006,0)), HYPERLINK("#",""), HYPERLINK(CONCATENATE("#Metadata!", ADDRESS(INDEX($W$2:$W$1001,MATCH(ROWS($U$2:U11),$U$2:$U$1001,0),0), INDEX($AB$1004:$AQ$1004,1,MATCH(COLUMNS($AB$1006:AJ1006),$AB$1006:$AQ$1006,0)))),"Fix")))</f>
        <v>0</v>
      </c>
      <c r="K11" s="5">
        <f>IF(OR(INDEX($V$2:$V$1001,MATCH(ROWS($U$2:U11),$U$2:$U$1001,0),1)&gt;=100000,INDEX($AB$1005:$AQ$1005,1,MATCH(COLUMNS($AB$1006:AK1006),$AB$1006:$AQ$1006,0))&gt;=100000), " ",IF(INDEX($AB$2:$AQ$1001,MATCH(ROWS($U$2:U11),$U$2:$U$1001,0),MATCH(COLUMNS($AB$1006:AK1006),$AB$1006:$AQ$1006,0)), HYPERLINK("#",""), HYPERLINK(CONCATENATE("#Metadata!", ADDRESS(INDEX($W$2:$W$1001,MATCH(ROWS($U$2:U11),$U$2:$U$1001,0),0), INDEX($AB$1004:$AQ$1004,1,MATCH(COLUMNS($AB$1006:AK1006),$AB$1006:$AQ$1006,0)))),"Fix")))</f>
        <v>0</v>
      </c>
      <c r="L11" s="5">
        <f>IF(OR(INDEX($V$2:$V$1001,MATCH(ROWS($U$2:U11),$U$2:$U$1001,0),1)&gt;=100000,INDEX($AB$1005:$AQ$1005,1,MATCH(COLUMNS($AB$1006:AL1006),$AB$1006:$AQ$1006,0))&gt;=100000), " ",IF(INDEX($AB$2:$AQ$1001,MATCH(ROWS($U$2:U11),$U$2:$U$1001,0),MATCH(COLUMNS($AB$1006:AL1006),$AB$1006:$AQ$1006,0)), HYPERLINK("#",""), HYPERLINK(CONCATENATE("#Metadata!", ADDRESS(INDEX($W$2:$W$1001,MATCH(ROWS($U$2:U11),$U$2:$U$1001,0),0), INDEX($AB$1004:$AQ$1004,1,MATCH(COLUMNS($AB$1006:AL1006),$AB$1006:$AQ$1006,0)))),"Fix")))</f>
        <v>0</v>
      </c>
      <c r="M11" s="5">
        <f>IF(OR(INDEX($V$2:$V$1001,MATCH(ROWS($U$2:U11),$U$2:$U$1001,0),1)&gt;=100000,INDEX($AB$1005:$AQ$1005,1,MATCH(COLUMNS($AB$1006:AM1006),$AB$1006:$AQ$1006,0))&gt;=100000), " ",IF(INDEX($AB$2:$AQ$1001,MATCH(ROWS($U$2:U11),$U$2:$U$1001,0),MATCH(COLUMNS($AB$1006:AM1006),$AB$1006:$AQ$1006,0)), HYPERLINK("#",""), HYPERLINK(CONCATENATE("#Metadata!", ADDRESS(INDEX($W$2:$W$1001,MATCH(ROWS($U$2:U11),$U$2:$U$1001,0),0), INDEX($AB$1004:$AQ$1004,1,MATCH(COLUMNS($AB$1006:AM1006),$AB$1006:$AQ$1006,0)))),"Fix")))</f>
        <v>0</v>
      </c>
      <c r="N11" s="5">
        <f>IF(OR(INDEX($V$2:$V$1001,MATCH(ROWS($U$2:U11),$U$2:$U$1001,0),1)&gt;=100000,INDEX($AB$1005:$AQ$1005,1,MATCH(COLUMNS($AB$1006:AN1006),$AB$1006:$AQ$1006,0))&gt;=100000), " ",IF(INDEX($AB$2:$AQ$1001,MATCH(ROWS($U$2:U11),$U$2:$U$1001,0),MATCH(COLUMNS($AB$1006:AN1006),$AB$1006:$AQ$1006,0)), HYPERLINK("#",""), HYPERLINK(CONCATENATE("#Metadata!", ADDRESS(INDEX($W$2:$W$1001,MATCH(ROWS($U$2:U11),$U$2:$U$1001,0),0), INDEX($AB$1004:$AQ$1004,1,MATCH(COLUMNS($AB$1006:AN1006),$AB$1006:$AQ$1006,0)))),"Fix")))</f>
        <v>0</v>
      </c>
      <c r="O11" s="5">
        <f>IF(OR(INDEX($V$2:$V$1001,MATCH(ROWS($U$2:U11),$U$2:$U$1001,0),1)&gt;=100000,INDEX($AB$1005:$AQ$1005,1,MATCH(COLUMNS($AB$1006:AO1006),$AB$1006:$AQ$1006,0))&gt;=100000), " ",IF(INDEX($AB$2:$AQ$1001,MATCH(ROWS($U$2:U11),$U$2:$U$1001,0),MATCH(COLUMNS($AB$1006:AO1006),$AB$1006:$AQ$1006,0)), HYPERLINK("#",""), HYPERLINK(CONCATENATE("#Metadata!", ADDRESS(INDEX($W$2:$W$1001,MATCH(ROWS($U$2:U11),$U$2:$U$1001,0),0), INDEX($AB$1004:$AQ$1004,1,MATCH(COLUMNS($AB$1006:AO1006),$AB$1006:$AQ$1006,0)))),"Fix")))</f>
        <v>0</v>
      </c>
      <c r="P11" s="5">
        <f>IF(OR(INDEX($V$2:$V$1001,MATCH(ROWS($U$2:U11),$U$2:$U$1001,0),1)&gt;=100000,INDEX($AB$1005:$AQ$1005,1,MATCH(COLUMNS($AB$1006:AP1006),$AB$1006:$AQ$1006,0))&gt;=100000), " ",IF(INDEX($AB$2:$AQ$1001,MATCH(ROWS($U$2:U11),$U$2:$U$1001,0),MATCH(COLUMNS($AB$1006:AP1006),$AB$1006:$AQ$1006,0)), HYPERLINK("#",""), HYPERLINK(CONCATENATE("#Metadata!", ADDRESS(INDEX($W$2:$W$1001,MATCH(ROWS($U$2:U11),$U$2:$U$1001,0),0), INDEX($AB$1004:$AQ$1004,1,MATCH(COLUMNS($AB$1006:AP1006),$AB$1006:$AQ$1006,0)))),"Fix")))</f>
        <v>0</v>
      </c>
      <c r="Q11" s="5">
        <f>IF(OR(INDEX($V$2:$V$1001,MATCH(ROWS($U$2:U11),$U$2:$U$1001,0),1)&gt;=100000,INDEX($AB$1005:$AQ$1005,1,MATCH(COLUMNS($AB$1006:AQ1006),$AB$1006:$AQ$1006,0))&gt;=100000), " ",IF(INDEX($AB$2:$AQ$1001,MATCH(ROWS($U$2:U11),$U$2:$U$1001,0),MATCH(COLUMNS($AB$1006:AQ1006),$AB$1006:$AQ$1006,0)), HYPERLINK("#",""), HYPERLINK(CONCATENATE("#Metadata!", ADDRESS(INDEX($W$2:$W$1001,MATCH(ROWS($U$2:U11),$U$2:$U$1001,0),0), INDEX($AB$1004:$AQ$1004,1,MATCH(COLUMNS($AB$1006:AQ1006),$AB$1006:$AQ$1006,0)))),"Fix")))</f>
        <v>0</v>
      </c>
      <c r="U11">
        <v>0</v>
      </c>
      <c r="V11">
        <v>0</v>
      </c>
      <c r="W11">
        <v>0</v>
      </c>
      <c r="X11">
        <f>IF(Y11,TRUE,AND(AB11:AQ11))</f>
        <v>0</v>
      </c>
      <c r="Y11">
        <f>COUNTBLANK(Metadata!B11:Q11)=COLUMNS(Metadata!B11:Q11)</f>
        <v>0</v>
      </c>
      <c r="Z11">
        <v>0</v>
      </c>
      <c r="AB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AC11">
        <f>AND(IF(Metadata!C11="",FALSE,TRUE),exact(Metadata!C11,"urban biome"))</f>
        <v>0</v>
      </c>
      <c r="AD11">
        <f>AND(IF(Metadata!D11="",FALSE,TRUE),exact(Metadata!D11,"human-associated habitat"))</f>
        <v>0</v>
      </c>
      <c r="AE11">
        <f>AND(IF(Metadata!E11="",FALSE,TRUE),OR(exact(Metadata!E11,"human-associated"),exact(Metadata!E11,"human-skin"),exact(Metadata!E11,"human-oral"),exact(Metadata!E11,"human-gut"),exact(Metadata!E11,"human-vaginal")))</f>
        <v>0</v>
      </c>
      <c r="AF11">
        <f>AND(IF(Metadata!F11="",FALSE,ISNUMBER(VALUE(Metadata!F11))),Metadata!F11&gt;0)</f>
        <v>0</v>
      </c>
      <c r="AG11">
        <f>AND(IF(Metadata!G11="",FALSE,TRUE),exact(Metadata!G11,"years"))</f>
        <v>0</v>
      </c>
      <c r="AH11">
        <f>OR(AND(IF(Metadata!H11="",FALSE,TRUE),OR(exact(Metadata!H11,"not applicable"),exact(Metadata!H11,"not collected"),exact(Metadata!H11,"not provided"),exact(Metadata!H11,"restricted access"))),AND(IF(Metadata!H11="",FALSE,ISNUMBER(VALUE(Metadata!H11))),Metadata!H11&gt;0))</f>
        <v>0</v>
      </c>
      <c r="AI11">
        <f>AND(IF(Metadata!I11="",FALSE,TRUE),exact(Metadata!I11,"human"))</f>
        <v>0</v>
      </c>
      <c r="AJ11">
        <f>AND(IF(Metadata!J11="",FALSE,ISNUMBER(VALUE(Metadata!J11))),Metadata!J11&gt;0)</f>
        <v>0</v>
      </c>
      <c r="AK11">
        <f>AND(IF(Metadata!K11="",FALSE,TRUE),exact(Metadata!K11,"cm"))</f>
        <v>0</v>
      </c>
      <c r="AL11">
        <f>AND(IF(Metadata!L11="",FALSE,TRUE),exact(Metadata!L11,"Homo sapiens"))</f>
        <v>0</v>
      </c>
      <c r="AM11">
        <f>AND(IF(Metadata!M11="",FALSE,TRUE),exact(Metadata!M11,"9606"))</f>
        <v>0</v>
      </c>
      <c r="AN11">
        <f>AND(IF(Metadata!N11="",FALSE,ISNUMBER(VALUE(Metadata!N11))),Metadata!N11&gt;0)</f>
        <v>0</v>
      </c>
      <c r="AO11">
        <f>AND(IF(Metadata!O11="",FALSE,TRUE),exact(Metadata!O11,"kg"))</f>
        <v>0</v>
      </c>
      <c r="AP11">
        <f>OR(AND(IF(Metadata!P11="",FALSE,TRUE),exact(Metadata!P11,"not provided")),IF(Metadata!P11="",FALSE,TRUE))</f>
        <v>0</v>
      </c>
      <c r="AQ11">
        <f>OR(AND(IF(Metadata!Q11="",FALSE,TRUE),exact(Metadata!Q11,"not provided")),IF(Metadata!Q11="",FALSE,TRUE))</f>
        <v>0</v>
      </c>
    </row>
    <row r="12" spans="1:43">
      <c r="A12" s="4">
        <f>IF(B12=" "," ",HYPERLINK(CONCATENATE("#metadata!",ADDRESS(INDEX($W$2:$W$1001,MATCH(ROWS($U$2:U12),$U$2:$U$1001,0),0),2)),INDEX($Z$2:$Z$1001,MATCH(ROWS($U$2:U12),$U$2:$U$1001,0),0)))</f>
        <v>0</v>
      </c>
      <c r="B12" s="5">
        <f>IF(OR(INDEX($V$2:$V$1001,MATCH(ROWS($U$2:U12),$U$2:$U$1001,0),1)&gt;=100000,INDEX($AB$1005:$AQ$1005,1,MATCH(COLUMNS($AB$1006:AB1006),$AB$1006:$AQ$1006,0))&gt;=100000), " ",IF(INDEX($AB$2:$AQ$1001,MATCH(ROWS($U$2:U12),$U$2:$U$1001,0),MATCH(COLUMNS($AB$1006:AB1006),$AB$1006:$AQ$1006,0)), HYPERLINK("#",""), HYPERLINK(CONCATENATE("#Metadata!", ADDRESS(INDEX($W$2:$W$1001,MATCH(ROWS($U$2:U12),$U$2:$U$1001,0),0), INDEX($AB$1004:$AQ$1004,1,MATCH(COLUMNS($AB$1006:AB1006),$AB$1006:$AQ$1006,0)))),"Fix")))</f>
        <v>0</v>
      </c>
      <c r="C12" s="5">
        <f>IF(OR(INDEX($V$2:$V$1001,MATCH(ROWS($U$2:U12),$U$2:$U$1001,0),1)&gt;=100000,INDEX($AB$1005:$AQ$1005,1,MATCH(COLUMNS($AB$1006:AC1006),$AB$1006:$AQ$1006,0))&gt;=100000), " ",IF(INDEX($AB$2:$AQ$1001,MATCH(ROWS($U$2:U12),$U$2:$U$1001,0),MATCH(COLUMNS($AB$1006:AC1006),$AB$1006:$AQ$1006,0)), HYPERLINK("#",""), HYPERLINK(CONCATENATE("#Metadata!", ADDRESS(INDEX($W$2:$W$1001,MATCH(ROWS($U$2:U12),$U$2:$U$1001,0),0), INDEX($AB$1004:$AQ$1004,1,MATCH(COLUMNS($AB$1006:AC1006),$AB$1006:$AQ$1006,0)))),"Fix")))</f>
        <v>0</v>
      </c>
      <c r="D12" s="5">
        <f>IF(OR(INDEX($V$2:$V$1001,MATCH(ROWS($U$2:U12),$U$2:$U$1001,0),1)&gt;=100000,INDEX($AB$1005:$AQ$1005,1,MATCH(COLUMNS($AB$1006:AD1006),$AB$1006:$AQ$1006,0))&gt;=100000), " ",IF(INDEX($AB$2:$AQ$1001,MATCH(ROWS($U$2:U12),$U$2:$U$1001,0),MATCH(COLUMNS($AB$1006:AD1006),$AB$1006:$AQ$1006,0)), HYPERLINK("#",""), HYPERLINK(CONCATENATE("#Metadata!", ADDRESS(INDEX($W$2:$W$1001,MATCH(ROWS($U$2:U12),$U$2:$U$1001,0),0), INDEX($AB$1004:$AQ$1004,1,MATCH(COLUMNS($AB$1006:AD1006),$AB$1006:$AQ$1006,0)))),"Fix")))</f>
        <v>0</v>
      </c>
      <c r="E12" s="5">
        <f>IF(OR(INDEX($V$2:$V$1001,MATCH(ROWS($U$2:U12),$U$2:$U$1001,0),1)&gt;=100000,INDEX($AB$1005:$AQ$1005,1,MATCH(COLUMNS($AB$1006:AE1006),$AB$1006:$AQ$1006,0))&gt;=100000), " ",IF(INDEX($AB$2:$AQ$1001,MATCH(ROWS($U$2:U12),$U$2:$U$1001,0),MATCH(COLUMNS($AB$1006:AE1006),$AB$1006:$AQ$1006,0)), HYPERLINK("#",""), HYPERLINK(CONCATENATE("#Metadata!", ADDRESS(INDEX($W$2:$W$1001,MATCH(ROWS($U$2:U12),$U$2:$U$1001,0),0), INDEX($AB$1004:$AQ$1004,1,MATCH(COLUMNS($AB$1006:AE1006),$AB$1006:$AQ$1006,0)))),"Fix")))</f>
        <v>0</v>
      </c>
      <c r="F12" s="5">
        <f>IF(OR(INDEX($V$2:$V$1001,MATCH(ROWS($U$2:U12),$U$2:$U$1001,0),1)&gt;=100000,INDEX($AB$1005:$AQ$1005,1,MATCH(COLUMNS($AB$1006:AF1006),$AB$1006:$AQ$1006,0))&gt;=100000), " ",IF(INDEX($AB$2:$AQ$1001,MATCH(ROWS($U$2:U12),$U$2:$U$1001,0),MATCH(COLUMNS($AB$1006:AF1006),$AB$1006:$AQ$1006,0)), HYPERLINK("#",""), HYPERLINK(CONCATENATE("#Metadata!", ADDRESS(INDEX($W$2:$W$1001,MATCH(ROWS($U$2:U12),$U$2:$U$1001,0),0), INDEX($AB$1004:$AQ$1004,1,MATCH(COLUMNS($AB$1006:AF1006),$AB$1006:$AQ$1006,0)))),"Fix")))</f>
        <v>0</v>
      </c>
      <c r="G12" s="5">
        <f>IF(OR(INDEX($V$2:$V$1001,MATCH(ROWS($U$2:U12),$U$2:$U$1001,0),1)&gt;=100000,INDEX($AB$1005:$AQ$1005,1,MATCH(COLUMNS($AB$1006:AG1006),$AB$1006:$AQ$1006,0))&gt;=100000), " ",IF(INDEX($AB$2:$AQ$1001,MATCH(ROWS($U$2:U12),$U$2:$U$1001,0),MATCH(COLUMNS($AB$1006:AG1006),$AB$1006:$AQ$1006,0)), HYPERLINK("#",""), HYPERLINK(CONCATENATE("#Metadata!", ADDRESS(INDEX($W$2:$W$1001,MATCH(ROWS($U$2:U12),$U$2:$U$1001,0),0), INDEX($AB$1004:$AQ$1004,1,MATCH(COLUMNS($AB$1006:AG1006),$AB$1006:$AQ$1006,0)))),"Fix")))</f>
        <v>0</v>
      </c>
      <c r="H12" s="5">
        <f>IF(OR(INDEX($V$2:$V$1001,MATCH(ROWS($U$2:U12),$U$2:$U$1001,0),1)&gt;=100000,INDEX($AB$1005:$AQ$1005,1,MATCH(COLUMNS($AB$1006:AH1006),$AB$1006:$AQ$1006,0))&gt;=100000), " ",IF(INDEX($AB$2:$AQ$1001,MATCH(ROWS($U$2:U12),$U$2:$U$1001,0),MATCH(COLUMNS($AB$1006:AH1006),$AB$1006:$AQ$1006,0)), HYPERLINK("#",""), HYPERLINK(CONCATENATE("#Metadata!", ADDRESS(INDEX($W$2:$W$1001,MATCH(ROWS($U$2:U12),$U$2:$U$1001,0),0), INDEX($AB$1004:$AQ$1004,1,MATCH(COLUMNS($AB$1006:AH1006),$AB$1006:$AQ$1006,0)))),"Fix")))</f>
        <v>0</v>
      </c>
      <c r="I12" s="5">
        <f>IF(OR(INDEX($V$2:$V$1001,MATCH(ROWS($U$2:U12),$U$2:$U$1001,0),1)&gt;=100000,INDEX($AB$1005:$AQ$1005,1,MATCH(COLUMNS($AB$1006:AI1006),$AB$1006:$AQ$1006,0))&gt;=100000), " ",IF(INDEX($AB$2:$AQ$1001,MATCH(ROWS($U$2:U12),$U$2:$U$1001,0),MATCH(COLUMNS($AB$1006:AI1006),$AB$1006:$AQ$1006,0)), HYPERLINK("#",""), HYPERLINK(CONCATENATE("#Metadata!", ADDRESS(INDEX($W$2:$W$1001,MATCH(ROWS($U$2:U12),$U$2:$U$1001,0),0), INDEX($AB$1004:$AQ$1004,1,MATCH(COLUMNS($AB$1006:AI1006),$AB$1006:$AQ$1006,0)))),"Fix")))</f>
        <v>0</v>
      </c>
      <c r="J12" s="5">
        <f>IF(OR(INDEX($V$2:$V$1001,MATCH(ROWS($U$2:U12),$U$2:$U$1001,0),1)&gt;=100000,INDEX($AB$1005:$AQ$1005,1,MATCH(COLUMNS($AB$1006:AJ1006),$AB$1006:$AQ$1006,0))&gt;=100000), " ",IF(INDEX($AB$2:$AQ$1001,MATCH(ROWS($U$2:U12),$U$2:$U$1001,0),MATCH(COLUMNS($AB$1006:AJ1006),$AB$1006:$AQ$1006,0)), HYPERLINK("#",""), HYPERLINK(CONCATENATE("#Metadata!", ADDRESS(INDEX($W$2:$W$1001,MATCH(ROWS($U$2:U12),$U$2:$U$1001,0),0), INDEX($AB$1004:$AQ$1004,1,MATCH(COLUMNS($AB$1006:AJ1006),$AB$1006:$AQ$1006,0)))),"Fix")))</f>
        <v>0</v>
      </c>
      <c r="K12" s="5">
        <f>IF(OR(INDEX($V$2:$V$1001,MATCH(ROWS($U$2:U12),$U$2:$U$1001,0),1)&gt;=100000,INDEX($AB$1005:$AQ$1005,1,MATCH(COLUMNS($AB$1006:AK1006),$AB$1006:$AQ$1006,0))&gt;=100000), " ",IF(INDEX($AB$2:$AQ$1001,MATCH(ROWS($U$2:U12),$U$2:$U$1001,0),MATCH(COLUMNS($AB$1006:AK1006),$AB$1006:$AQ$1006,0)), HYPERLINK("#",""), HYPERLINK(CONCATENATE("#Metadata!", ADDRESS(INDEX($W$2:$W$1001,MATCH(ROWS($U$2:U12),$U$2:$U$1001,0),0), INDEX($AB$1004:$AQ$1004,1,MATCH(COLUMNS($AB$1006:AK1006),$AB$1006:$AQ$1006,0)))),"Fix")))</f>
        <v>0</v>
      </c>
      <c r="L12" s="5">
        <f>IF(OR(INDEX($V$2:$V$1001,MATCH(ROWS($U$2:U12),$U$2:$U$1001,0),1)&gt;=100000,INDEX($AB$1005:$AQ$1005,1,MATCH(COLUMNS($AB$1006:AL1006),$AB$1006:$AQ$1006,0))&gt;=100000), " ",IF(INDEX($AB$2:$AQ$1001,MATCH(ROWS($U$2:U12),$U$2:$U$1001,0),MATCH(COLUMNS($AB$1006:AL1006),$AB$1006:$AQ$1006,0)), HYPERLINK("#",""), HYPERLINK(CONCATENATE("#Metadata!", ADDRESS(INDEX($W$2:$W$1001,MATCH(ROWS($U$2:U12),$U$2:$U$1001,0),0), INDEX($AB$1004:$AQ$1004,1,MATCH(COLUMNS($AB$1006:AL1006),$AB$1006:$AQ$1006,0)))),"Fix")))</f>
        <v>0</v>
      </c>
      <c r="M12" s="5">
        <f>IF(OR(INDEX($V$2:$V$1001,MATCH(ROWS($U$2:U12),$U$2:$U$1001,0),1)&gt;=100000,INDEX($AB$1005:$AQ$1005,1,MATCH(COLUMNS($AB$1006:AM1006),$AB$1006:$AQ$1006,0))&gt;=100000), " ",IF(INDEX($AB$2:$AQ$1001,MATCH(ROWS($U$2:U12),$U$2:$U$1001,0),MATCH(COLUMNS($AB$1006:AM1006),$AB$1006:$AQ$1006,0)), HYPERLINK("#",""), HYPERLINK(CONCATENATE("#Metadata!", ADDRESS(INDEX($W$2:$W$1001,MATCH(ROWS($U$2:U12),$U$2:$U$1001,0),0), INDEX($AB$1004:$AQ$1004,1,MATCH(COLUMNS($AB$1006:AM1006),$AB$1006:$AQ$1006,0)))),"Fix")))</f>
        <v>0</v>
      </c>
      <c r="N12" s="5">
        <f>IF(OR(INDEX($V$2:$V$1001,MATCH(ROWS($U$2:U12),$U$2:$U$1001,0),1)&gt;=100000,INDEX($AB$1005:$AQ$1005,1,MATCH(COLUMNS($AB$1006:AN1006),$AB$1006:$AQ$1006,0))&gt;=100000), " ",IF(INDEX($AB$2:$AQ$1001,MATCH(ROWS($U$2:U12),$U$2:$U$1001,0),MATCH(COLUMNS($AB$1006:AN1006),$AB$1006:$AQ$1006,0)), HYPERLINK("#",""), HYPERLINK(CONCATENATE("#Metadata!", ADDRESS(INDEX($W$2:$W$1001,MATCH(ROWS($U$2:U12),$U$2:$U$1001,0),0), INDEX($AB$1004:$AQ$1004,1,MATCH(COLUMNS($AB$1006:AN1006),$AB$1006:$AQ$1006,0)))),"Fix")))</f>
        <v>0</v>
      </c>
      <c r="O12" s="5">
        <f>IF(OR(INDEX($V$2:$V$1001,MATCH(ROWS($U$2:U12),$U$2:$U$1001,0),1)&gt;=100000,INDEX($AB$1005:$AQ$1005,1,MATCH(COLUMNS($AB$1006:AO1006),$AB$1006:$AQ$1006,0))&gt;=100000), " ",IF(INDEX($AB$2:$AQ$1001,MATCH(ROWS($U$2:U12),$U$2:$U$1001,0),MATCH(COLUMNS($AB$1006:AO1006),$AB$1006:$AQ$1006,0)), HYPERLINK("#",""), HYPERLINK(CONCATENATE("#Metadata!", ADDRESS(INDEX($W$2:$W$1001,MATCH(ROWS($U$2:U12),$U$2:$U$1001,0),0), INDEX($AB$1004:$AQ$1004,1,MATCH(COLUMNS($AB$1006:AO1006),$AB$1006:$AQ$1006,0)))),"Fix")))</f>
        <v>0</v>
      </c>
      <c r="P12" s="5">
        <f>IF(OR(INDEX($V$2:$V$1001,MATCH(ROWS($U$2:U12),$U$2:$U$1001,0),1)&gt;=100000,INDEX($AB$1005:$AQ$1005,1,MATCH(COLUMNS($AB$1006:AP1006),$AB$1006:$AQ$1006,0))&gt;=100000), " ",IF(INDEX($AB$2:$AQ$1001,MATCH(ROWS($U$2:U12),$U$2:$U$1001,0),MATCH(COLUMNS($AB$1006:AP1006),$AB$1006:$AQ$1006,0)), HYPERLINK("#",""), HYPERLINK(CONCATENATE("#Metadata!", ADDRESS(INDEX($W$2:$W$1001,MATCH(ROWS($U$2:U12),$U$2:$U$1001,0),0), INDEX($AB$1004:$AQ$1004,1,MATCH(COLUMNS($AB$1006:AP1006),$AB$1006:$AQ$1006,0)))),"Fix")))</f>
        <v>0</v>
      </c>
      <c r="Q12" s="5">
        <f>IF(OR(INDEX($V$2:$V$1001,MATCH(ROWS($U$2:U12),$U$2:$U$1001,0),1)&gt;=100000,INDEX($AB$1005:$AQ$1005,1,MATCH(COLUMNS($AB$1006:AQ1006),$AB$1006:$AQ$1006,0))&gt;=100000), " ",IF(INDEX($AB$2:$AQ$1001,MATCH(ROWS($U$2:U12),$U$2:$U$1001,0),MATCH(COLUMNS($AB$1006:AQ1006),$AB$1006:$AQ$1006,0)), HYPERLINK("#",""), HYPERLINK(CONCATENATE("#Metadata!", ADDRESS(INDEX($W$2:$W$1001,MATCH(ROWS($U$2:U12),$U$2:$U$1001,0),0), INDEX($AB$1004:$AQ$1004,1,MATCH(COLUMNS($AB$1006:AQ1006),$AB$1006:$AQ$1006,0)))),"Fix")))</f>
        <v>0</v>
      </c>
      <c r="U12">
        <v>0</v>
      </c>
      <c r="V12">
        <v>0</v>
      </c>
      <c r="W12">
        <v>0</v>
      </c>
      <c r="X12">
        <f>IF(Y12,TRUE,AND(AB12:AQ12))</f>
        <v>0</v>
      </c>
      <c r="Y12">
        <f>COUNTBLANK(Metadata!B12:Q12)=COLUMNS(Metadata!B12:Q12)</f>
        <v>0</v>
      </c>
      <c r="Z12">
        <v>0</v>
      </c>
      <c r="AB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AC12">
        <f>AND(IF(Metadata!C12="",FALSE,TRUE),exact(Metadata!C12,"urban biome"))</f>
        <v>0</v>
      </c>
      <c r="AD12">
        <f>AND(IF(Metadata!D12="",FALSE,TRUE),exact(Metadata!D12,"human-associated habitat"))</f>
        <v>0</v>
      </c>
      <c r="AE12">
        <f>AND(IF(Metadata!E12="",FALSE,TRUE),OR(exact(Metadata!E12,"human-associated"),exact(Metadata!E12,"human-skin"),exact(Metadata!E12,"human-oral"),exact(Metadata!E12,"human-gut"),exact(Metadata!E12,"human-vaginal")))</f>
        <v>0</v>
      </c>
      <c r="AF12">
        <f>AND(IF(Metadata!F12="",FALSE,ISNUMBER(VALUE(Metadata!F12))),Metadata!F12&gt;0)</f>
        <v>0</v>
      </c>
      <c r="AG12">
        <f>AND(IF(Metadata!G12="",FALSE,TRUE),exact(Metadata!G12,"years"))</f>
        <v>0</v>
      </c>
      <c r="AH12">
        <f>OR(AND(IF(Metadata!H12="",FALSE,TRUE),OR(exact(Metadata!H12,"not applicable"),exact(Metadata!H12,"not collected"),exact(Metadata!H12,"not provided"),exact(Metadata!H12,"restricted access"))),AND(IF(Metadata!H12="",FALSE,ISNUMBER(VALUE(Metadata!H12))),Metadata!H12&gt;0))</f>
        <v>0</v>
      </c>
      <c r="AI12">
        <f>AND(IF(Metadata!I12="",FALSE,TRUE),exact(Metadata!I12,"human"))</f>
        <v>0</v>
      </c>
      <c r="AJ12">
        <f>AND(IF(Metadata!J12="",FALSE,ISNUMBER(VALUE(Metadata!J12))),Metadata!J12&gt;0)</f>
        <v>0</v>
      </c>
      <c r="AK12">
        <f>AND(IF(Metadata!K12="",FALSE,TRUE),exact(Metadata!K12,"cm"))</f>
        <v>0</v>
      </c>
      <c r="AL12">
        <f>AND(IF(Metadata!L12="",FALSE,TRUE),exact(Metadata!L12,"Homo sapiens"))</f>
        <v>0</v>
      </c>
      <c r="AM12">
        <f>AND(IF(Metadata!M12="",FALSE,TRUE),exact(Metadata!M12,"9606"))</f>
        <v>0</v>
      </c>
      <c r="AN12">
        <f>AND(IF(Metadata!N12="",FALSE,ISNUMBER(VALUE(Metadata!N12))),Metadata!N12&gt;0)</f>
        <v>0</v>
      </c>
      <c r="AO12">
        <f>AND(IF(Metadata!O12="",FALSE,TRUE),exact(Metadata!O12,"kg"))</f>
        <v>0</v>
      </c>
      <c r="AP12">
        <f>OR(AND(IF(Metadata!P12="",FALSE,TRUE),exact(Metadata!P12,"not provided")),IF(Metadata!P12="",FALSE,TRUE))</f>
        <v>0</v>
      </c>
      <c r="AQ12">
        <f>OR(AND(IF(Metadata!Q12="",FALSE,TRUE),exact(Metadata!Q12,"not provided")),IF(Metadata!Q12="",FALSE,TRUE))</f>
        <v>0</v>
      </c>
    </row>
    <row r="13" spans="1:43">
      <c r="A13" s="4">
        <f>IF(B13=" "," ",HYPERLINK(CONCATENATE("#metadata!",ADDRESS(INDEX($W$2:$W$1001,MATCH(ROWS($U$2:U13),$U$2:$U$1001,0),0),2)),INDEX($Z$2:$Z$1001,MATCH(ROWS($U$2:U13),$U$2:$U$1001,0),0)))</f>
        <v>0</v>
      </c>
      <c r="B13" s="5">
        <f>IF(OR(INDEX($V$2:$V$1001,MATCH(ROWS($U$2:U13),$U$2:$U$1001,0),1)&gt;=100000,INDEX($AB$1005:$AQ$1005,1,MATCH(COLUMNS($AB$1006:AB1006),$AB$1006:$AQ$1006,0))&gt;=100000), " ",IF(INDEX($AB$2:$AQ$1001,MATCH(ROWS($U$2:U13),$U$2:$U$1001,0),MATCH(COLUMNS($AB$1006:AB1006),$AB$1006:$AQ$1006,0)), HYPERLINK("#",""), HYPERLINK(CONCATENATE("#Metadata!", ADDRESS(INDEX($W$2:$W$1001,MATCH(ROWS($U$2:U13),$U$2:$U$1001,0),0), INDEX($AB$1004:$AQ$1004,1,MATCH(COLUMNS($AB$1006:AB1006),$AB$1006:$AQ$1006,0)))),"Fix")))</f>
        <v>0</v>
      </c>
      <c r="C13" s="5">
        <f>IF(OR(INDEX($V$2:$V$1001,MATCH(ROWS($U$2:U13),$U$2:$U$1001,0),1)&gt;=100000,INDEX($AB$1005:$AQ$1005,1,MATCH(COLUMNS($AB$1006:AC1006),$AB$1006:$AQ$1006,0))&gt;=100000), " ",IF(INDEX($AB$2:$AQ$1001,MATCH(ROWS($U$2:U13),$U$2:$U$1001,0),MATCH(COLUMNS($AB$1006:AC1006),$AB$1006:$AQ$1006,0)), HYPERLINK("#",""), HYPERLINK(CONCATENATE("#Metadata!", ADDRESS(INDEX($W$2:$W$1001,MATCH(ROWS($U$2:U13),$U$2:$U$1001,0),0), INDEX($AB$1004:$AQ$1004,1,MATCH(COLUMNS($AB$1006:AC1006),$AB$1006:$AQ$1006,0)))),"Fix")))</f>
        <v>0</v>
      </c>
      <c r="D13" s="5">
        <f>IF(OR(INDEX($V$2:$V$1001,MATCH(ROWS($U$2:U13),$U$2:$U$1001,0),1)&gt;=100000,INDEX($AB$1005:$AQ$1005,1,MATCH(COLUMNS($AB$1006:AD1006),$AB$1006:$AQ$1006,0))&gt;=100000), " ",IF(INDEX($AB$2:$AQ$1001,MATCH(ROWS($U$2:U13),$U$2:$U$1001,0),MATCH(COLUMNS($AB$1006:AD1006),$AB$1006:$AQ$1006,0)), HYPERLINK("#",""), HYPERLINK(CONCATENATE("#Metadata!", ADDRESS(INDEX($W$2:$W$1001,MATCH(ROWS($U$2:U13),$U$2:$U$1001,0),0), INDEX($AB$1004:$AQ$1004,1,MATCH(COLUMNS($AB$1006:AD1006),$AB$1006:$AQ$1006,0)))),"Fix")))</f>
        <v>0</v>
      </c>
      <c r="E13" s="5">
        <f>IF(OR(INDEX($V$2:$V$1001,MATCH(ROWS($U$2:U13),$U$2:$U$1001,0),1)&gt;=100000,INDEX($AB$1005:$AQ$1005,1,MATCH(COLUMNS($AB$1006:AE1006),$AB$1006:$AQ$1006,0))&gt;=100000), " ",IF(INDEX($AB$2:$AQ$1001,MATCH(ROWS($U$2:U13),$U$2:$U$1001,0),MATCH(COLUMNS($AB$1006:AE1006),$AB$1006:$AQ$1006,0)), HYPERLINK("#",""), HYPERLINK(CONCATENATE("#Metadata!", ADDRESS(INDEX($W$2:$W$1001,MATCH(ROWS($U$2:U13),$U$2:$U$1001,0),0), INDEX($AB$1004:$AQ$1004,1,MATCH(COLUMNS($AB$1006:AE1006),$AB$1006:$AQ$1006,0)))),"Fix")))</f>
        <v>0</v>
      </c>
      <c r="F13" s="5">
        <f>IF(OR(INDEX($V$2:$V$1001,MATCH(ROWS($U$2:U13),$U$2:$U$1001,0),1)&gt;=100000,INDEX($AB$1005:$AQ$1005,1,MATCH(COLUMNS($AB$1006:AF1006),$AB$1006:$AQ$1006,0))&gt;=100000), " ",IF(INDEX($AB$2:$AQ$1001,MATCH(ROWS($U$2:U13),$U$2:$U$1001,0),MATCH(COLUMNS($AB$1006:AF1006),$AB$1006:$AQ$1006,0)), HYPERLINK("#",""), HYPERLINK(CONCATENATE("#Metadata!", ADDRESS(INDEX($W$2:$W$1001,MATCH(ROWS($U$2:U13),$U$2:$U$1001,0),0), INDEX($AB$1004:$AQ$1004,1,MATCH(COLUMNS($AB$1006:AF1006),$AB$1006:$AQ$1006,0)))),"Fix")))</f>
        <v>0</v>
      </c>
      <c r="G13" s="5">
        <f>IF(OR(INDEX($V$2:$V$1001,MATCH(ROWS($U$2:U13),$U$2:$U$1001,0),1)&gt;=100000,INDEX($AB$1005:$AQ$1005,1,MATCH(COLUMNS($AB$1006:AG1006),$AB$1006:$AQ$1006,0))&gt;=100000), " ",IF(INDEX($AB$2:$AQ$1001,MATCH(ROWS($U$2:U13),$U$2:$U$1001,0),MATCH(COLUMNS($AB$1006:AG1006),$AB$1006:$AQ$1006,0)), HYPERLINK("#",""), HYPERLINK(CONCATENATE("#Metadata!", ADDRESS(INDEX($W$2:$W$1001,MATCH(ROWS($U$2:U13),$U$2:$U$1001,0),0), INDEX($AB$1004:$AQ$1004,1,MATCH(COLUMNS($AB$1006:AG1006),$AB$1006:$AQ$1006,0)))),"Fix")))</f>
        <v>0</v>
      </c>
      <c r="H13" s="5">
        <f>IF(OR(INDEX($V$2:$V$1001,MATCH(ROWS($U$2:U13),$U$2:$U$1001,0),1)&gt;=100000,INDEX($AB$1005:$AQ$1005,1,MATCH(COLUMNS($AB$1006:AH1006),$AB$1006:$AQ$1006,0))&gt;=100000), " ",IF(INDEX($AB$2:$AQ$1001,MATCH(ROWS($U$2:U13),$U$2:$U$1001,0),MATCH(COLUMNS($AB$1006:AH1006),$AB$1006:$AQ$1006,0)), HYPERLINK("#",""), HYPERLINK(CONCATENATE("#Metadata!", ADDRESS(INDEX($W$2:$W$1001,MATCH(ROWS($U$2:U13),$U$2:$U$1001,0),0), INDEX($AB$1004:$AQ$1004,1,MATCH(COLUMNS($AB$1006:AH1006),$AB$1006:$AQ$1006,0)))),"Fix")))</f>
        <v>0</v>
      </c>
      <c r="I13" s="5">
        <f>IF(OR(INDEX($V$2:$V$1001,MATCH(ROWS($U$2:U13),$U$2:$U$1001,0),1)&gt;=100000,INDEX($AB$1005:$AQ$1005,1,MATCH(COLUMNS($AB$1006:AI1006),$AB$1006:$AQ$1006,0))&gt;=100000), " ",IF(INDEX($AB$2:$AQ$1001,MATCH(ROWS($U$2:U13),$U$2:$U$1001,0),MATCH(COLUMNS($AB$1006:AI1006),$AB$1006:$AQ$1006,0)), HYPERLINK("#",""), HYPERLINK(CONCATENATE("#Metadata!", ADDRESS(INDEX($W$2:$W$1001,MATCH(ROWS($U$2:U13),$U$2:$U$1001,0),0), INDEX($AB$1004:$AQ$1004,1,MATCH(COLUMNS($AB$1006:AI1006),$AB$1006:$AQ$1006,0)))),"Fix")))</f>
        <v>0</v>
      </c>
      <c r="J13" s="5">
        <f>IF(OR(INDEX($V$2:$V$1001,MATCH(ROWS($U$2:U13),$U$2:$U$1001,0),1)&gt;=100000,INDEX($AB$1005:$AQ$1005,1,MATCH(COLUMNS($AB$1006:AJ1006),$AB$1006:$AQ$1006,0))&gt;=100000), " ",IF(INDEX($AB$2:$AQ$1001,MATCH(ROWS($U$2:U13),$U$2:$U$1001,0),MATCH(COLUMNS($AB$1006:AJ1006),$AB$1006:$AQ$1006,0)), HYPERLINK("#",""), HYPERLINK(CONCATENATE("#Metadata!", ADDRESS(INDEX($W$2:$W$1001,MATCH(ROWS($U$2:U13),$U$2:$U$1001,0),0), INDEX($AB$1004:$AQ$1004,1,MATCH(COLUMNS($AB$1006:AJ1006),$AB$1006:$AQ$1006,0)))),"Fix")))</f>
        <v>0</v>
      </c>
      <c r="K13" s="5">
        <f>IF(OR(INDEX($V$2:$V$1001,MATCH(ROWS($U$2:U13),$U$2:$U$1001,0),1)&gt;=100000,INDEX($AB$1005:$AQ$1005,1,MATCH(COLUMNS($AB$1006:AK1006),$AB$1006:$AQ$1006,0))&gt;=100000), " ",IF(INDEX($AB$2:$AQ$1001,MATCH(ROWS($U$2:U13),$U$2:$U$1001,0),MATCH(COLUMNS($AB$1006:AK1006),$AB$1006:$AQ$1006,0)), HYPERLINK("#",""), HYPERLINK(CONCATENATE("#Metadata!", ADDRESS(INDEX($W$2:$W$1001,MATCH(ROWS($U$2:U13),$U$2:$U$1001,0),0), INDEX($AB$1004:$AQ$1004,1,MATCH(COLUMNS($AB$1006:AK1006),$AB$1006:$AQ$1006,0)))),"Fix")))</f>
        <v>0</v>
      </c>
      <c r="L13" s="5">
        <f>IF(OR(INDEX($V$2:$V$1001,MATCH(ROWS($U$2:U13),$U$2:$U$1001,0),1)&gt;=100000,INDEX($AB$1005:$AQ$1005,1,MATCH(COLUMNS($AB$1006:AL1006),$AB$1006:$AQ$1006,0))&gt;=100000), " ",IF(INDEX($AB$2:$AQ$1001,MATCH(ROWS($U$2:U13),$U$2:$U$1001,0),MATCH(COLUMNS($AB$1006:AL1006),$AB$1006:$AQ$1006,0)), HYPERLINK("#",""), HYPERLINK(CONCATENATE("#Metadata!", ADDRESS(INDEX($W$2:$W$1001,MATCH(ROWS($U$2:U13),$U$2:$U$1001,0),0), INDEX($AB$1004:$AQ$1004,1,MATCH(COLUMNS($AB$1006:AL1006),$AB$1006:$AQ$1006,0)))),"Fix")))</f>
        <v>0</v>
      </c>
      <c r="M13" s="5">
        <f>IF(OR(INDEX($V$2:$V$1001,MATCH(ROWS($U$2:U13),$U$2:$U$1001,0),1)&gt;=100000,INDEX($AB$1005:$AQ$1005,1,MATCH(COLUMNS($AB$1006:AM1006),$AB$1006:$AQ$1006,0))&gt;=100000), " ",IF(INDEX($AB$2:$AQ$1001,MATCH(ROWS($U$2:U13),$U$2:$U$1001,0),MATCH(COLUMNS($AB$1006:AM1006),$AB$1006:$AQ$1006,0)), HYPERLINK("#",""), HYPERLINK(CONCATENATE("#Metadata!", ADDRESS(INDEX($W$2:$W$1001,MATCH(ROWS($U$2:U13),$U$2:$U$1001,0),0), INDEX($AB$1004:$AQ$1004,1,MATCH(COLUMNS($AB$1006:AM1006),$AB$1006:$AQ$1006,0)))),"Fix")))</f>
        <v>0</v>
      </c>
      <c r="N13" s="5">
        <f>IF(OR(INDEX($V$2:$V$1001,MATCH(ROWS($U$2:U13),$U$2:$U$1001,0),1)&gt;=100000,INDEX($AB$1005:$AQ$1005,1,MATCH(COLUMNS($AB$1006:AN1006),$AB$1006:$AQ$1006,0))&gt;=100000), " ",IF(INDEX($AB$2:$AQ$1001,MATCH(ROWS($U$2:U13),$U$2:$U$1001,0),MATCH(COLUMNS($AB$1006:AN1006),$AB$1006:$AQ$1006,0)), HYPERLINK("#",""), HYPERLINK(CONCATENATE("#Metadata!", ADDRESS(INDEX($W$2:$W$1001,MATCH(ROWS($U$2:U13),$U$2:$U$1001,0),0), INDEX($AB$1004:$AQ$1004,1,MATCH(COLUMNS($AB$1006:AN1006),$AB$1006:$AQ$1006,0)))),"Fix")))</f>
        <v>0</v>
      </c>
      <c r="O13" s="5">
        <f>IF(OR(INDEX($V$2:$V$1001,MATCH(ROWS($U$2:U13),$U$2:$U$1001,0),1)&gt;=100000,INDEX($AB$1005:$AQ$1005,1,MATCH(COLUMNS($AB$1006:AO1006),$AB$1006:$AQ$1006,0))&gt;=100000), " ",IF(INDEX($AB$2:$AQ$1001,MATCH(ROWS($U$2:U13),$U$2:$U$1001,0),MATCH(COLUMNS($AB$1006:AO1006),$AB$1006:$AQ$1006,0)), HYPERLINK("#",""), HYPERLINK(CONCATENATE("#Metadata!", ADDRESS(INDEX($W$2:$W$1001,MATCH(ROWS($U$2:U13),$U$2:$U$1001,0),0), INDEX($AB$1004:$AQ$1004,1,MATCH(COLUMNS($AB$1006:AO1006),$AB$1006:$AQ$1006,0)))),"Fix")))</f>
        <v>0</v>
      </c>
      <c r="P13" s="5">
        <f>IF(OR(INDEX($V$2:$V$1001,MATCH(ROWS($U$2:U13),$U$2:$U$1001,0),1)&gt;=100000,INDEX($AB$1005:$AQ$1005,1,MATCH(COLUMNS($AB$1006:AP1006),$AB$1006:$AQ$1006,0))&gt;=100000), " ",IF(INDEX($AB$2:$AQ$1001,MATCH(ROWS($U$2:U13),$U$2:$U$1001,0),MATCH(COLUMNS($AB$1006:AP1006),$AB$1006:$AQ$1006,0)), HYPERLINK("#",""), HYPERLINK(CONCATENATE("#Metadata!", ADDRESS(INDEX($W$2:$W$1001,MATCH(ROWS($U$2:U13),$U$2:$U$1001,0),0), INDEX($AB$1004:$AQ$1004,1,MATCH(COLUMNS($AB$1006:AP1006),$AB$1006:$AQ$1006,0)))),"Fix")))</f>
        <v>0</v>
      </c>
      <c r="Q13" s="5">
        <f>IF(OR(INDEX($V$2:$V$1001,MATCH(ROWS($U$2:U13),$U$2:$U$1001,0),1)&gt;=100000,INDEX($AB$1005:$AQ$1005,1,MATCH(COLUMNS($AB$1006:AQ1006),$AB$1006:$AQ$1006,0))&gt;=100000), " ",IF(INDEX($AB$2:$AQ$1001,MATCH(ROWS($U$2:U13),$U$2:$U$1001,0),MATCH(COLUMNS($AB$1006:AQ1006),$AB$1006:$AQ$1006,0)), HYPERLINK("#",""), HYPERLINK(CONCATENATE("#Metadata!", ADDRESS(INDEX($W$2:$W$1001,MATCH(ROWS($U$2:U13),$U$2:$U$1001,0),0), INDEX($AB$1004:$AQ$1004,1,MATCH(COLUMNS($AB$1006:AQ1006),$AB$1006:$AQ$1006,0)))),"Fix")))</f>
        <v>0</v>
      </c>
      <c r="U13">
        <v>0</v>
      </c>
      <c r="V13">
        <v>0</v>
      </c>
      <c r="W13">
        <v>0</v>
      </c>
      <c r="X13">
        <f>IF(Y13,TRUE,AND(AB13:AQ13))</f>
        <v>0</v>
      </c>
      <c r="Y13">
        <f>COUNTBLANK(Metadata!B13:Q13)=COLUMNS(Metadata!B13:Q13)</f>
        <v>0</v>
      </c>
      <c r="Z13">
        <v>0</v>
      </c>
      <c r="AB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AC13">
        <f>AND(IF(Metadata!C13="",FALSE,TRUE),exact(Metadata!C13,"urban biome"))</f>
        <v>0</v>
      </c>
      <c r="AD13">
        <f>AND(IF(Metadata!D13="",FALSE,TRUE),exact(Metadata!D13,"human-associated habitat"))</f>
        <v>0</v>
      </c>
      <c r="AE13">
        <f>AND(IF(Metadata!E13="",FALSE,TRUE),OR(exact(Metadata!E13,"human-associated"),exact(Metadata!E13,"human-skin"),exact(Metadata!E13,"human-oral"),exact(Metadata!E13,"human-gut"),exact(Metadata!E13,"human-vaginal")))</f>
        <v>0</v>
      </c>
      <c r="AF13">
        <f>AND(IF(Metadata!F13="",FALSE,ISNUMBER(VALUE(Metadata!F13))),Metadata!F13&gt;0)</f>
        <v>0</v>
      </c>
      <c r="AG13">
        <f>AND(IF(Metadata!G13="",FALSE,TRUE),exact(Metadata!G13,"years"))</f>
        <v>0</v>
      </c>
      <c r="AH13">
        <f>OR(AND(IF(Metadata!H13="",FALSE,TRUE),OR(exact(Metadata!H13,"not applicable"),exact(Metadata!H13,"not collected"),exact(Metadata!H13,"not provided"),exact(Metadata!H13,"restricted access"))),AND(IF(Metadata!H13="",FALSE,ISNUMBER(VALUE(Metadata!H13))),Metadata!H13&gt;0))</f>
        <v>0</v>
      </c>
      <c r="AI13">
        <f>AND(IF(Metadata!I13="",FALSE,TRUE),exact(Metadata!I13,"human"))</f>
        <v>0</v>
      </c>
      <c r="AJ13">
        <f>AND(IF(Metadata!J13="",FALSE,ISNUMBER(VALUE(Metadata!J13))),Metadata!J13&gt;0)</f>
        <v>0</v>
      </c>
      <c r="AK13">
        <f>AND(IF(Metadata!K13="",FALSE,TRUE),exact(Metadata!K13,"cm"))</f>
        <v>0</v>
      </c>
      <c r="AL13">
        <f>AND(IF(Metadata!L13="",FALSE,TRUE),exact(Metadata!L13,"Homo sapiens"))</f>
        <v>0</v>
      </c>
      <c r="AM13">
        <f>AND(IF(Metadata!M13="",FALSE,TRUE),exact(Metadata!M13,"9606"))</f>
        <v>0</v>
      </c>
      <c r="AN13">
        <f>AND(IF(Metadata!N13="",FALSE,ISNUMBER(VALUE(Metadata!N13))),Metadata!N13&gt;0)</f>
        <v>0</v>
      </c>
      <c r="AO13">
        <f>AND(IF(Metadata!O13="",FALSE,TRUE),exact(Metadata!O13,"kg"))</f>
        <v>0</v>
      </c>
      <c r="AP13">
        <f>OR(AND(IF(Metadata!P13="",FALSE,TRUE),exact(Metadata!P13,"not provided")),IF(Metadata!P13="",FALSE,TRUE))</f>
        <v>0</v>
      </c>
      <c r="AQ13">
        <f>OR(AND(IF(Metadata!Q13="",FALSE,TRUE),exact(Metadata!Q13,"not provided")),IF(Metadata!Q13="",FALSE,TRUE))</f>
        <v>0</v>
      </c>
    </row>
    <row r="14" spans="1:43">
      <c r="A14" s="4">
        <f>IF(B14=" "," ",HYPERLINK(CONCATENATE("#metadata!",ADDRESS(INDEX($W$2:$W$1001,MATCH(ROWS($U$2:U14),$U$2:$U$1001,0),0),2)),INDEX($Z$2:$Z$1001,MATCH(ROWS($U$2:U14),$U$2:$U$1001,0),0)))</f>
        <v>0</v>
      </c>
      <c r="B14" s="5">
        <f>IF(OR(INDEX($V$2:$V$1001,MATCH(ROWS($U$2:U14),$U$2:$U$1001,0),1)&gt;=100000,INDEX($AB$1005:$AQ$1005,1,MATCH(COLUMNS($AB$1006:AB1006),$AB$1006:$AQ$1006,0))&gt;=100000), " ",IF(INDEX($AB$2:$AQ$1001,MATCH(ROWS($U$2:U14),$U$2:$U$1001,0),MATCH(COLUMNS($AB$1006:AB1006),$AB$1006:$AQ$1006,0)), HYPERLINK("#",""), HYPERLINK(CONCATENATE("#Metadata!", ADDRESS(INDEX($W$2:$W$1001,MATCH(ROWS($U$2:U14),$U$2:$U$1001,0),0), INDEX($AB$1004:$AQ$1004,1,MATCH(COLUMNS($AB$1006:AB1006),$AB$1006:$AQ$1006,0)))),"Fix")))</f>
        <v>0</v>
      </c>
      <c r="C14" s="5">
        <f>IF(OR(INDEX($V$2:$V$1001,MATCH(ROWS($U$2:U14),$U$2:$U$1001,0),1)&gt;=100000,INDEX($AB$1005:$AQ$1005,1,MATCH(COLUMNS($AB$1006:AC1006),$AB$1006:$AQ$1006,0))&gt;=100000), " ",IF(INDEX($AB$2:$AQ$1001,MATCH(ROWS($U$2:U14),$U$2:$U$1001,0),MATCH(COLUMNS($AB$1006:AC1006),$AB$1006:$AQ$1006,0)), HYPERLINK("#",""), HYPERLINK(CONCATENATE("#Metadata!", ADDRESS(INDEX($W$2:$W$1001,MATCH(ROWS($U$2:U14),$U$2:$U$1001,0),0), INDEX($AB$1004:$AQ$1004,1,MATCH(COLUMNS($AB$1006:AC1006),$AB$1006:$AQ$1006,0)))),"Fix")))</f>
        <v>0</v>
      </c>
      <c r="D14" s="5">
        <f>IF(OR(INDEX($V$2:$V$1001,MATCH(ROWS($U$2:U14),$U$2:$U$1001,0),1)&gt;=100000,INDEX($AB$1005:$AQ$1005,1,MATCH(COLUMNS($AB$1006:AD1006),$AB$1006:$AQ$1006,0))&gt;=100000), " ",IF(INDEX($AB$2:$AQ$1001,MATCH(ROWS($U$2:U14),$U$2:$U$1001,0),MATCH(COLUMNS($AB$1006:AD1006),$AB$1006:$AQ$1006,0)), HYPERLINK("#",""), HYPERLINK(CONCATENATE("#Metadata!", ADDRESS(INDEX($W$2:$W$1001,MATCH(ROWS($U$2:U14),$U$2:$U$1001,0),0), INDEX($AB$1004:$AQ$1004,1,MATCH(COLUMNS($AB$1006:AD1006),$AB$1006:$AQ$1006,0)))),"Fix")))</f>
        <v>0</v>
      </c>
      <c r="E14" s="5">
        <f>IF(OR(INDEX($V$2:$V$1001,MATCH(ROWS($U$2:U14),$U$2:$U$1001,0),1)&gt;=100000,INDEX($AB$1005:$AQ$1005,1,MATCH(COLUMNS($AB$1006:AE1006),$AB$1006:$AQ$1006,0))&gt;=100000), " ",IF(INDEX($AB$2:$AQ$1001,MATCH(ROWS($U$2:U14),$U$2:$U$1001,0),MATCH(COLUMNS($AB$1006:AE1006),$AB$1006:$AQ$1006,0)), HYPERLINK("#",""), HYPERLINK(CONCATENATE("#Metadata!", ADDRESS(INDEX($W$2:$W$1001,MATCH(ROWS($U$2:U14),$U$2:$U$1001,0),0), INDEX($AB$1004:$AQ$1004,1,MATCH(COLUMNS($AB$1006:AE1006),$AB$1006:$AQ$1006,0)))),"Fix")))</f>
        <v>0</v>
      </c>
      <c r="F14" s="5">
        <f>IF(OR(INDEX($V$2:$V$1001,MATCH(ROWS($U$2:U14),$U$2:$U$1001,0),1)&gt;=100000,INDEX($AB$1005:$AQ$1005,1,MATCH(COLUMNS($AB$1006:AF1006),$AB$1006:$AQ$1006,0))&gt;=100000), " ",IF(INDEX($AB$2:$AQ$1001,MATCH(ROWS($U$2:U14),$U$2:$U$1001,0),MATCH(COLUMNS($AB$1006:AF1006),$AB$1006:$AQ$1006,0)), HYPERLINK("#",""), HYPERLINK(CONCATENATE("#Metadata!", ADDRESS(INDEX($W$2:$W$1001,MATCH(ROWS($U$2:U14),$U$2:$U$1001,0),0), INDEX($AB$1004:$AQ$1004,1,MATCH(COLUMNS($AB$1006:AF1006),$AB$1006:$AQ$1006,0)))),"Fix")))</f>
        <v>0</v>
      </c>
      <c r="G14" s="5">
        <f>IF(OR(INDEX($V$2:$V$1001,MATCH(ROWS($U$2:U14),$U$2:$U$1001,0),1)&gt;=100000,INDEX($AB$1005:$AQ$1005,1,MATCH(COLUMNS($AB$1006:AG1006),$AB$1006:$AQ$1006,0))&gt;=100000), " ",IF(INDEX($AB$2:$AQ$1001,MATCH(ROWS($U$2:U14),$U$2:$U$1001,0),MATCH(COLUMNS($AB$1006:AG1006),$AB$1006:$AQ$1006,0)), HYPERLINK("#",""), HYPERLINK(CONCATENATE("#Metadata!", ADDRESS(INDEX($W$2:$W$1001,MATCH(ROWS($U$2:U14),$U$2:$U$1001,0),0), INDEX($AB$1004:$AQ$1004,1,MATCH(COLUMNS($AB$1006:AG1006),$AB$1006:$AQ$1006,0)))),"Fix")))</f>
        <v>0</v>
      </c>
      <c r="H14" s="5">
        <f>IF(OR(INDEX($V$2:$V$1001,MATCH(ROWS($U$2:U14),$U$2:$U$1001,0),1)&gt;=100000,INDEX($AB$1005:$AQ$1005,1,MATCH(COLUMNS($AB$1006:AH1006),$AB$1006:$AQ$1006,0))&gt;=100000), " ",IF(INDEX($AB$2:$AQ$1001,MATCH(ROWS($U$2:U14),$U$2:$U$1001,0),MATCH(COLUMNS($AB$1006:AH1006),$AB$1006:$AQ$1006,0)), HYPERLINK("#",""), HYPERLINK(CONCATENATE("#Metadata!", ADDRESS(INDEX($W$2:$W$1001,MATCH(ROWS($U$2:U14),$U$2:$U$1001,0),0), INDEX($AB$1004:$AQ$1004,1,MATCH(COLUMNS($AB$1006:AH1006),$AB$1006:$AQ$1006,0)))),"Fix")))</f>
        <v>0</v>
      </c>
      <c r="I14" s="5">
        <f>IF(OR(INDEX($V$2:$V$1001,MATCH(ROWS($U$2:U14),$U$2:$U$1001,0),1)&gt;=100000,INDEX($AB$1005:$AQ$1005,1,MATCH(COLUMNS($AB$1006:AI1006),$AB$1006:$AQ$1006,0))&gt;=100000), " ",IF(INDEX($AB$2:$AQ$1001,MATCH(ROWS($U$2:U14),$U$2:$U$1001,0),MATCH(COLUMNS($AB$1006:AI1006),$AB$1006:$AQ$1006,0)), HYPERLINK("#",""), HYPERLINK(CONCATENATE("#Metadata!", ADDRESS(INDEX($W$2:$W$1001,MATCH(ROWS($U$2:U14),$U$2:$U$1001,0),0), INDEX($AB$1004:$AQ$1004,1,MATCH(COLUMNS($AB$1006:AI1006),$AB$1006:$AQ$1006,0)))),"Fix")))</f>
        <v>0</v>
      </c>
      <c r="J14" s="5">
        <f>IF(OR(INDEX($V$2:$V$1001,MATCH(ROWS($U$2:U14),$U$2:$U$1001,0),1)&gt;=100000,INDEX($AB$1005:$AQ$1005,1,MATCH(COLUMNS($AB$1006:AJ1006),$AB$1006:$AQ$1006,0))&gt;=100000), " ",IF(INDEX($AB$2:$AQ$1001,MATCH(ROWS($U$2:U14),$U$2:$U$1001,0),MATCH(COLUMNS($AB$1006:AJ1006),$AB$1006:$AQ$1006,0)), HYPERLINK("#",""), HYPERLINK(CONCATENATE("#Metadata!", ADDRESS(INDEX($W$2:$W$1001,MATCH(ROWS($U$2:U14),$U$2:$U$1001,0),0), INDEX($AB$1004:$AQ$1004,1,MATCH(COLUMNS($AB$1006:AJ1006),$AB$1006:$AQ$1006,0)))),"Fix")))</f>
        <v>0</v>
      </c>
      <c r="K14" s="5">
        <f>IF(OR(INDEX($V$2:$V$1001,MATCH(ROWS($U$2:U14),$U$2:$U$1001,0),1)&gt;=100000,INDEX($AB$1005:$AQ$1005,1,MATCH(COLUMNS($AB$1006:AK1006),$AB$1006:$AQ$1006,0))&gt;=100000), " ",IF(INDEX($AB$2:$AQ$1001,MATCH(ROWS($U$2:U14),$U$2:$U$1001,0),MATCH(COLUMNS($AB$1006:AK1006),$AB$1006:$AQ$1006,0)), HYPERLINK("#",""), HYPERLINK(CONCATENATE("#Metadata!", ADDRESS(INDEX($W$2:$W$1001,MATCH(ROWS($U$2:U14),$U$2:$U$1001,0),0), INDEX($AB$1004:$AQ$1004,1,MATCH(COLUMNS($AB$1006:AK1006),$AB$1006:$AQ$1006,0)))),"Fix")))</f>
        <v>0</v>
      </c>
      <c r="L14" s="5">
        <f>IF(OR(INDEX($V$2:$V$1001,MATCH(ROWS($U$2:U14),$U$2:$U$1001,0),1)&gt;=100000,INDEX($AB$1005:$AQ$1005,1,MATCH(COLUMNS($AB$1006:AL1006),$AB$1006:$AQ$1006,0))&gt;=100000), " ",IF(INDEX($AB$2:$AQ$1001,MATCH(ROWS($U$2:U14),$U$2:$U$1001,0),MATCH(COLUMNS($AB$1006:AL1006),$AB$1006:$AQ$1006,0)), HYPERLINK("#",""), HYPERLINK(CONCATENATE("#Metadata!", ADDRESS(INDEX($W$2:$W$1001,MATCH(ROWS($U$2:U14),$U$2:$U$1001,0),0), INDEX($AB$1004:$AQ$1004,1,MATCH(COLUMNS($AB$1006:AL1006),$AB$1006:$AQ$1006,0)))),"Fix")))</f>
        <v>0</v>
      </c>
      <c r="M14" s="5">
        <f>IF(OR(INDEX($V$2:$V$1001,MATCH(ROWS($U$2:U14),$U$2:$U$1001,0),1)&gt;=100000,INDEX($AB$1005:$AQ$1005,1,MATCH(COLUMNS($AB$1006:AM1006),$AB$1006:$AQ$1006,0))&gt;=100000), " ",IF(INDEX($AB$2:$AQ$1001,MATCH(ROWS($U$2:U14),$U$2:$U$1001,0),MATCH(COLUMNS($AB$1006:AM1006),$AB$1006:$AQ$1006,0)), HYPERLINK("#",""), HYPERLINK(CONCATENATE("#Metadata!", ADDRESS(INDEX($W$2:$W$1001,MATCH(ROWS($U$2:U14),$U$2:$U$1001,0),0), INDEX($AB$1004:$AQ$1004,1,MATCH(COLUMNS($AB$1006:AM1006),$AB$1006:$AQ$1006,0)))),"Fix")))</f>
        <v>0</v>
      </c>
      <c r="N14" s="5">
        <f>IF(OR(INDEX($V$2:$V$1001,MATCH(ROWS($U$2:U14),$U$2:$U$1001,0),1)&gt;=100000,INDEX($AB$1005:$AQ$1005,1,MATCH(COLUMNS($AB$1006:AN1006),$AB$1006:$AQ$1006,0))&gt;=100000), " ",IF(INDEX($AB$2:$AQ$1001,MATCH(ROWS($U$2:U14),$U$2:$U$1001,0),MATCH(COLUMNS($AB$1006:AN1006),$AB$1006:$AQ$1006,0)), HYPERLINK("#",""), HYPERLINK(CONCATENATE("#Metadata!", ADDRESS(INDEX($W$2:$W$1001,MATCH(ROWS($U$2:U14),$U$2:$U$1001,0),0), INDEX($AB$1004:$AQ$1004,1,MATCH(COLUMNS($AB$1006:AN1006),$AB$1006:$AQ$1006,0)))),"Fix")))</f>
        <v>0</v>
      </c>
      <c r="O14" s="5">
        <f>IF(OR(INDEX($V$2:$V$1001,MATCH(ROWS($U$2:U14),$U$2:$U$1001,0),1)&gt;=100000,INDEX($AB$1005:$AQ$1005,1,MATCH(COLUMNS($AB$1006:AO1006),$AB$1006:$AQ$1006,0))&gt;=100000), " ",IF(INDEX($AB$2:$AQ$1001,MATCH(ROWS($U$2:U14),$U$2:$U$1001,0),MATCH(COLUMNS($AB$1006:AO1006),$AB$1006:$AQ$1006,0)), HYPERLINK("#",""), HYPERLINK(CONCATENATE("#Metadata!", ADDRESS(INDEX($W$2:$W$1001,MATCH(ROWS($U$2:U14),$U$2:$U$1001,0),0), INDEX($AB$1004:$AQ$1004,1,MATCH(COLUMNS($AB$1006:AO1006),$AB$1006:$AQ$1006,0)))),"Fix")))</f>
        <v>0</v>
      </c>
      <c r="P14" s="5">
        <f>IF(OR(INDEX($V$2:$V$1001,MATCH(ROWS($U$2:U14),$U$2:$U$1001,0),1)&gt;=100000,INDEX($AB$1005:$AQ$1005,1,MATCH(COLUMNS($AB$1006:AP1006),$AB$1006:$AQ$1006,0))&gt;=100000), " ",IF(INDEX($AB$2:$AQ$1001,MATCH(ROWS($U$2:U14),$U$2:$U$1001,0),MATCH(COLUMNS($AB$1006:AP1006),$AB$1006:$AQ$1006,0)), HYPERLINK("#",""), HYPERLINK(CONCATENATE("#Metadata!", ADDRESS(INDEX($W$2:$W$1001,MATCH(ROWS($U$2:U14),$U$2:$U$1001,0),0), INDEX($AB$1004:$AQ$1004,1,MATCH(COLUMNS($AB$1006:AP1006),$AB$1006:$AQ$1006,0)))),"Fix")))</f>
        <v>0</v>
      </c>
      <c r="Q14" s="5">
        <f>IF(OR(INDEX($V$2:$V$1001,MATCH(ROWS($U$2:U14),$U$2:$U$1001,0),1)&gt;=100000,INDEX($AB$1005:$AQ$1005,1,MATCH(COLUMNS($AB$1006:AQ1006),$AB$1006:$AQ$1006,0))&gt;=100000), " ",IF(INDEX($AB$2:$AQ$1001,MATCH(ROWS($U$2:U14),$U$2:$U$1001,0),MATCH(COLUMNS($AB$1006:AQ1006),$AB$1006:$AQ$1006,0)), HYPERLINK("#",""), HYPERLINK(CONCATENATE("#Metadata!", ADDRESS(INDEX($W$2:$W$1001,MATCH(ROWS($U$2:U14),$U$2:$U$1001,0),0), INDEX($AB$1004:$AQ$1004,1,MATCH(COLUMNS($AB$1006:AQ1006),$AB$1006:$AQ$1006,0)))),"Fix")))</f>
        <v>0</v>
      </c>
      <c r="U14">
        <v>0</v>
      </c>
      <c r="V14">
        <v>0</v>
      </c>
      <c r="W14">
        <v>0</v>
      </c>
      <c r="X14">
        <f>IF(Y14,TRUE,AND(AB14:AQ14))</f>
        <v>0</v>
      </c>
      <c r="Y14">
        <f>COUNTBLANK(Metadata!B14:Q14)=COLUMNS(Metadata!B14:Q14)</f>
        <v>0</v>
      </c>
      <c r="Z14">
        <v>0</v>
      </c>
      <c r="AB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AC14">
        <f>AND(IF(Metadata!C14="",FALSE,TRUE),exact(Metadata!C14,"urban biome"))</f>
        <v>0</v>
      </c>
      <c r="AD14">
        <f>AND(IF(Metadata!D14="",FALSE,TRUE),exact(Metadata!D14,"human-associated habitat"))</f>
        <v>0</v>
      </c>
      <c r="AE14">
        <f>AND(IF(Metadata!E14="",FALSE,TRUE),OR(exact(Metadata!E14,"human-associated"),exact(Metadata!E14,"human-skin"),exact(Metadata!E14,"human-oral"),exact(Metadata!E14,"human-gut"),exact(Metadata!E14,"human-vaginal")))</f>
        <v>0</v>
      </c>
      <c r="AF14">
        <f>AND(IF(Metadata!F14="",FALSE,ISNUMBER(VALUE(Metadata!F14))),Metadata!F14&gt;0)</f>
        <v>0</v>
      </c>
      <c r="AG14">
        <f>AND(IF(Metadata!G14="",FALSE,TRUE),exact(Metadata!G14,"years"))</f>
        <v>0</v>
      </c>
      <c r="AH14">
        <f>OR(AND(IF(Metadata!H14="",FALSE,TRUE),OR(exact(Metadata!H14,"not applicable"),exact(Metadata!H14,"not collected"),exact(Metadata!H14,"not provided"),exact(Metadata!H14,"restricted access"))),AND(IF(Metadata!H14="",FALSE,ISNUMBER(VALUE(Metadata!H14))),Metadata!H14&gt;0))</f>
        <v>0</v>
      </c>
      <c r="AI14">
        <f>AND(IF(Metadata!I14="",FALSE,TRUE),exact(Metadata!I14,"human"))</f>
        <v>0</v>
      </c>
      <c r="AJ14">
        <f>AND(IF(Metadata!J14="",FALSE,ISNUMBER(VALUE(Metadata!J14))),Metadata!J14&gt;0)</f>
        <v>0</v>
      </c>
      <c r="AK14">
        <f>AND(IF(Metadata!K14="",FALSE,TRUE),exact(Metadata!K14,"cm"))</f>
        <v>0</v>
      </c>
      <c r="AL14">
        <f>AND(IF(Metadata!L14="",FALSE,TRUE),exact(Metadata!L14,"Homo sapiens"))</f>
        <v>0</v>
      </c>
      <c r="AM14">
        <f>AND(IF(Metadata!M14="",FALSE,TRUE),exact(Metadata!M14,"9606"))</f>
        <v>0</v>
      </c>
      <c r="AN14">
        <f>AND(IF(Metadata!N14="",FALSE,ISNUMBER(VALUE(Metadata!N14))),Metadata!N14&gt;0)</f>
        <v>0</v>
      </c>
      <c r="AO14">
        <f>AND(IF(Metadata!O14="",FALSE,TRUE),exact(Metadata!O14,"kg"))</f>
        <v>0</v>
      </c>
      <c r="AP14">
        <f>OR(AND(IF(Metadata!P14="",FALSE,TRUE),exact(Metadata!P14,"not provided")),IF(Metadata!P14="",FALSE,TRUE))</f>
        <v>0</v>
      </c>
      <c r="AQ14">
        <f>OR(AND(IF(Metadata!Q14="",FALSE,TRUE),exact(Metadata!Q14,"not provided")),IF(Metadata!Q14="",FALSE,TRUE))</f>
        <v>0</v>
      </c>
    </row>
    <row r="15" spans="1:43">
      <c r="A15" s="4">
        <f>IF(B15=" "," ",HYPERLINK(CONCATENATE("#metadata!",ADDRESS(INDEX($W$2:$W$1001,MATCH(ROWS($U$2:U15),$U$2:$U$1001,0),0),2)),INDEX($Z$2:$Z$1001,MATCH(ROWS($U$2:U15),$U$2:$U$1001,0),0)))</f>
        <v>0</v>
      </c>
      <c r="B15" s="5">
        <f>IF(OR(INDEX($V$2:$V$1001,MATCH(ROWS($U$2:U15),$U$2:$U$1001,0),1)&gt;=100000,INDEX($AB$1005:$AQ$1005,1,MATCH(COLUMNS($AB$1006:AB1006),$AB$1006:$AQ$1006,0))&gt;=100000), " ",IF(INDEX($AB$2:$AQ$1001,MATCH(ROWS($U$2:U15),$U$2:$U$1001,0),MATCH(COLUMNS($AB$1006:AB1006),$AB$1006:$AQ$1006,0)), HYPERLINK("#",""), HYPERLINK(CONCATENATE("#Metadata!", ADDRESS(INDEX($W$2:$W$1001,MATCH(ROWS($U$2:U15),$U$2:$U$1001,0),0), INDEX($AB$1004:$AQ$1004,1,MATCH(COLUMNS($AB$1006:AB1006),$AB$1006:$AQ$1006,0)))),"Fix")))</f>
        <v>0</v>
      </c>
      <c r="C15" s="5">
        <f>IF(OR(INDEX($V$2:$V$1001,MATCH(ROWS($U$2:U15),$U$2:$U$1001,0),1)&gt;=100000,INDEX($AB$1005:$AQ$1005,1,MATCH(COLUMNS($AB$1006:AC1006),$AB$1006:$AQ$1006,0))&gt;=100000), " ",IF(INDEX($AB$2:$AQ$1001,MATCH(ROWS($U$2:U15),$U$2:$U$1001,0),MATCH(COLUMNS($AB$1006:AC1006),$AB$1006:$AQ$1006,0)), HYPERLINK("#",""), HYPERLINK(CONCATENATE("#Metadata!", ADDRESS(INDEX($W$2:$W$1001,MATCH(ROWS($U$2:U15),$U$2:$U$1001,0),0), INDEX($AB$1004:$AQ$1004,1,MATCH(COLUMNS($AB$1006:AC1006),$AB$1006:$AQ$1006,0)))),"Fix")))</f>
        <v>0</v>
      </c>
      <c r="D15" s="5">
        <f>IF(OR(INDEX($V$2:$V$1001,MATCH(ROWS($U$2:U15),$U$2:$U$1001,0),1)&gt;=100000,INDEX($AB$1005:$AQ$1005,1,MATCH(COLUMNS($AB$1006:AD1006),$AB$1006:$AQ$1006,0))&gt;=100000), " ",IF(INDEX($AB$2:$AQ$1001,MATCH(ROWS($U$2:U15),$U$2:$U$1001,0),MATCH(COLUMNS($AB$1006:AD1006),$AB$1006:$AQ$1006,0)), HYPERLINK("#",""), HYPERLINK(CONCATENATE("#Metadata!", ADDRESS(INDEX($W$2:$W$1001,MATCH(ROWS($U$2:U15),$U$2:$U$1001,0),0), INDEX($AB$1004:$AQ$1004,1,MATCH(COLUMNS($AB$1006:AD1006),$AB$1006:$AQ$1006,0)))),"Fix")))</f>
        <v>0</v>
      </c>
      <c r="E15" s="5">
        <f>IF(OR(INDEX($V$2:$V$1001,MATCH(ROWS($U$2:U15),$U$2:$U$1001,0),1)&gt;=100000,INDEX($AB$1005:$AQ$1005,1,MATCH(COLUMNS($AB$1006:AE1006),$AB$1006:$AQ$1006,0))&gt;=100000), " ",IF(INDEX($AB$2:$AQ$1001,MATCH(ROWS($U$2:U15),$U$2:$U$1001,0),MATCH(COLUMNS($AB$1006:AE1006),$AB$1006:$AQ$1006,0)), HYPERLINK("#",""), HYPERLINK(CONCATENATE("#Metadata!", ADDRESS(INDEX($W$2:$W$1001,MATCH(ROWS($U$2:U15),$U$2:$U$1001,0),0), INDEX($AB$1004:$AQ$1004,1,MATCH(COLUMNS($AB$1006:AE1006),$AB$1006:$AQ$1006,0)))),"Fix")))</f>
        <v>0</v>
      </c>
      <c r="F15" s="5">
        <f>IF(OR(INDEX($V$2:$V$1001,MATCH(ROWS($U$2:U15),$U$2:$U$1001,0),1)&gt;=100000,INDEX($AB$1005:$AQ$1005,1,MATCH(COLUMNS($AB$1006:AF1006),$AB$1006:$AQ$1006,0))&gt;=100000), " ",IF(INDEX($AB$2:$AQ$1001,MATCH(ROWS($U$2:U15),$U$2:$U$1001,0),MATCH(COLUMNS($AB$1006:AF1006),$AB$1006:$AQ$1006,0)), HYPERLINK("#",""), HYPERLINK(CONCATENATE("#Metadata!", ADDRESS(INDEX($W$2:$W$1001,MATCH(ROWS($U$2:U15),$U$2:$U$1001,0),0), INDEX($AB$1004:$AQ$1004,1,MATCH(COLUMNS($AB$1006:AF1006),$AB$1006:$AQ$1006,0)))),"Fix")))</f>
        <v>0</v>
      </c>
      <c r="G15" s="5">
        <f>IF(OR(INDEX($V$2:$V$1001,MATCH(ROWS($U$2:U15),$U$2:$U$1001,0),1)&gt;=100000,INDEX($AB$1005:$AQ$1005,1,MATCH(COLUMNS($AB$1006:AG1006),$AB$1006:$AQ$1006,0))&gt;=100000), " ",IF(INDEX($AB$2:$AQ$1001,MATCH(ROWS($U$2:U15),$U$2:$U$1001,0),MATCH(COLUMNS($AB$1006:AG1006),$AB$1006:$AQ$1006,0)), HYPERLINK("#",""), HYPERLINK(CONCATENATE("#Metadata!", ADDRESS(INDEX($W$2:$W$1001,MATCH(ROWS($U$2:U15),$U$2:$U$1001,0),0), INDEX($AB$1004:$AQ$1004,1,MATCH(COLUMNS($AB$1006:AG1006),$AB$1006:$AQ$1006,0)))),"Fix")))</f>
        <v>0</v>
      </c>
      <c r="H15" s="5">
        <f>IF(OR(INDEX($V$2:$V$1001,MATCH(ROWS($U$2:U15),$U$2:$U$1001,0),1)&gt;=100000,INDEX($AB$1005:$AQ$1005,1,MATCH(COLUMNS($AB$1006:AH1006),$AB$1006:$AQ$1006,0))&gt;=100000), " ",IF(INDEX($AB$2:$AQ$1001,MATCH(ROWS($U$2:U15),$U$2:$U$1001,0),MATCH(COLUMNS($AB$1006:AH1006),$AB$1006:$AQ$1006,0)), HYPERLINK("#",""), HYPERLINK(CONCATENATE("#Metadata!", ADDRESS(INDEX($W$2:$W$1001,MATCH(ROWS($U$2:U15),$U$2:$U$1001,0),0), INDEX($AB$1004:$AQ$1004,1,MATCH(COLUMNS($AB$1006:AH1006),$AB$1006:$AQ$1006,0)))),"Fix")))</f>
        <v>0</v>
      </c>
      <c r="I15" s="5">
        <f>IF(OR(INDEX($V$2:$V$1001,MATCH(ROWS($U$2:U15),$U$2:$U$1001,0),1)&gt;=100000,INDEX($AB$1005:$AQ$1005,1,MATCH(COLUMNS($AB$1006:AI1006),$AB$1006:$AQ$1006,0))&gt;=100000), " ",IF(INDEX($AB$2:$AQ$1001,MATCH(ROWS($U$2:U15),$U$2:$U$1001,0),MATCH(COLUMNS($AB$1006:AI1006),$AB$1006:$AQ$1006,0)), HYPERLINK("#",""), HYPERLINK(CONCATENATE("#Metadata!", ADDRESS(INDEX($W$2:$W$1001,MATCH(ROWS($U$2:U15),$U$2:$U$1001,0),0), INDEX($AB$1004:$AQ$1004,1,MATCH(COLUMNS($AB$1006:AI1006),$AB$1006:$AQ$1006,0)))),"Fix")))</f>
        <v>0</v>
      </c>
      <c r="J15" s="5">
        <f>IF(OR(INDEX($V$2:$V$1001,MATCH(ROWS($U$2:U15),$U$2:$U$1001,0),1)&gt;=100000,INDEX($AB$1005:$AQ$1005,1,MATCH(COLUMNS($AB$1006:AJ1006),$AB$1006:$AQ$1006,0))&gt;=100000), " ",IF(INDEX($AB$2:$AQ$1001,MATCH(ROWS($U$2:U15),$U$2:$U$1001,0),MATCH(COLUMNS($AB$1006:AJ1006),$AB$1006:$AQ$1006,0)), HYPERLINK("#",""), HYPERLINK(CONCATENATE("#Metadata!", ADDRESS(INDEX($W$2:$W$1001,MATCH(ROWS($U$2:U15),$U$2:$U$1001,0),0), INDEX($AB$1004:$AQ$1004,1,MATCH(COLUMNS($AB$1006:AJ1006),$AB$1006:$AQ$1006,0)))),"Fix")))</f>
        <v>0</v>
      </c>
      <c r="K15" s="5">
        <f>IF(OR(INDEX($V$2:$V$1001,MATCH(ROWS($U$2:U15),$U$2:$U$1001,0),1)&gt;=100000,INDEX($AB$1005:$AQ$1005,1,MATCH(COLUMNS($AB$1006:AK1006),$AB$1006:$AQ$1006,0))&gt;=100000), " ",IF(INDEX($AB$2:$AQ$1001,MATCH(ROWS($U$2:U15),$U$2:$U$1001,0),MATCH(COLUMNS($AB$1006:AK1006),$AB$1006:$AQ$1006,0)), HYPERLINK("#",""), HYPERLINK(CONCATENATE("#Metadata!", ADDRESS(INDEX($W$2:$W$1001,MATCH(ROWS($U$2:U15),$U$2:$U$1001,0),0), INDEX($AB$1004:$AQ$1004,1,MATCH(COLUMNS($AB$1006:AK1006),$AB$1006:$AQ$1006,0)))),"Fix")))</f>
        <v>0</v>
      </c>
      <c r="L15" s="5">
        <f>IF(OR(INDEX($V$2:$V$1001,MATCH(ROWS($U$2:U15),$U$2:$U$1001,0),1)&gt;=100000,INDEX($AB$1005:$AQ$1005,1,MATCH(COLUMNS($AB$1006:AL1006),$AB$1006:$AQ$1006,0))&gt;=100000), " ",IF(INDEX($AB$2:$AQ$1001,MATCH(ROWS($U$2:U15),$U$2:$U$1001,0),MATCH(COLUMNS($AB$1006:AL1006),$AB$1006:$AQ$1006,0)), HYPERLINK("#",""), HYPERLINK(CONCATENATE("#Metadata!", ADDRESS(INDEX($W$2:$W$1001,MATCH(ROWS($U$2:U15),$U$2:$U$1001,0),0), INDEX($AB$1004:$AQ$1004,1,MATCH(COLUMNS($AB$1006:AL1006),$AB$1006:$AQ$1006,0)))),"Fix")))</f>
        <v>0</v>
      </c>
      <c r="M15" s="5">
        <f>IF(OR(INDEX($V$2:$V$1001,MATCH(ROWS($U$2:U15),$U$2:$U$1001,0),1)&gt;=100000,INDEX($AB$1005:$AQ$1005,1,MATCH(COLUMNS($AB$1006:AM1006),$AB$1006:$AQ$1006,0))&gt;=100000), " ",IF(INDEX($AB$2:$AQ$1001,MATCH(ROWS($U$2:U15),$U$2:$U$1001,0),MATCH(COLUMNS($AB$1006:AM1006),$AB$1006:$AQ$1006,0)), HYPERLINK("#",""), HYPERLINK(CONCATENATE("#Metadata!", ADDRESS(INDEX($W$2:$W$1001,MATCH(ROWS($U$2:U15),$U$2:$U$1001,0),0), INDEX($AB$1004:$AQ$1004,1,MATCH(COLUMNS($AB$1006:AM1006),$AB$1006:$AQ$1006,0)))),"Fix")))</f>
        <v>0</v>
      </c>
      <c r="N15" s="5">
        <f>IF(OR(INDEX($V$2:$V$1001,MATCH(ROWS($U$2:U15),$U$2:$U$1001,0),1)&gt;=100000,INDEX($AB$1005:$AQ$1005,1,MATCH(COLUMNS($AB$1006:AN1006),$AB$1006:$AQ$1006,0))&gt;=100000), " ",IF(INDEX($AB$2:$AQ$1001,MATCH(ROWS($U$2:U15),$U$2:$U$1001,0),MATCH(COLUMNS($AB$1006:AN1006),$AB$1006:$AQ$1006,0)), HYPERLINK("#",""), HYPERLINK(CONCATENATE("#Metadata!", ADDRESS(INDEX($W$2:$W$1001,MATCH(ROWS($U$2:U15),$U$2:$U$1001,0),0), INDEX($AB$1004:$AQ$1004,1,MATCH(COLUMNS($AB$1006:AN1006),$AB$1006:$AQ$1006,0)))),"Fix")))</f>
        <v>0</v>
      </c>
      <c r="O15" s="5">
        <f>IF(OR(INDEX($V$2:$V$1001,MATCH(ROWS($U$2:U15),$U$2:$U$1001,0),1)&gt;=100000,INDEX($AB$1005:$AQ$1005,1,MATCH(COLUMNS($AB$1006:AO1006),$AB$1006:$AQ$1006,0))&gt;=100000), " ",IF(INDEX($AB$2:$AQ$1001,MATCH(ROWS($U$2:U15),$U$2:$U$1001,0),MATCH(COLUMNS($AB$1006:AO1006),$AB$1006:$AQ$1006,0)), HYPERLINK("#",""), HYPERLINK(CONCATENATE("#Metadata!", ADDRESS(INDEX($W$2:$W$1001,MATCH(ROWS($U$2:U15),$U$2:$U$1001,0),0), INDEX($AB$1004:$AQ$1004,1,MATCH(COLUMNS($AB$1006:AO1006),$AB$1006:$AQ$1006,0)))),"Fix")))</f>
        <v>0</v>
      </c>
      <c r="P15" s="5">
        <f>IF(OR(INDEX($V$2:$V$1001,MATCH(ROWS($U$2:U15),$U$2:$U$1001,0),1)&gt;=100000,INDEX($AB$1005:$AQ$1005,1,MATCH(COLUMNS($AB$1006:AP1006),$AB$1006:$AQ$1006,0))&gt;=100000), " ",IF(INDEX($AB$2:$AQ$1001,MATCH(ROWS($U$2:U15),$U$2:$U$1001,0),MATCH(COLUMNS($AB$1006:AP1006),$AB$1006:$AQ$1006,0)), HYPERLINK("#",""), HYPERLINK(CONCATENATE("#Metadata!", ADDRESS(INDEX($W$2:$W$1001,MATCH(ROWS($U$2:U15),$U$2:$U$1001,0),0), INDEX($AB$1004:$AQ$1004,1,MATCH(COLUMNS($AB$1006:AP1006),$AB$1006:$AQ$1006,0)))),"Fix")))</f>
        <v>0</v>
      </c>
      <c r="Q15" s="5">
        <f>IF(OR(INDEX($V$2:$V$1001,MATCH(ROWS($U$2:U15),$U$2:$U$1001,0),1)&gt;=100000,INDEX($AB$1005:$AQ$1005,1,MATCH(COLUMNS($AB$1006:AQ1006),$AB$1006:$AQ$1006,0))&gt;=100000), " ",IF(INDEX($AB$2:$AQ$1001,MATCH(ROWS($U$2:U15),$U$2:$U$1001,0),MATCH(COLUMNS($AB$1006:AQ1006),$AB$1006:$AQ$1006,0)), HYPERLINK("#",""), HYPERLINK(CONCATENATE("#Metadata!", ADDRESS(INDEX($W$2:$W$1001,MATCH(ROWS($U$2:U15),$U$2:$U$1001,0),0), INDEX($AB$1004:$AQ$1004,1,MATCH(COLUMNS($AB$1006:AQ1006),$AB$1006:$AQ$1006,0)))),"Fix")))</f>
        <v>0</v>
      </c>
      <c r="U15">
        <v>0</v>
      </c>
      <c r="V15">
        <v>0</v>
      </c>
      <c r="W15">
        <v>0</v>
      </c>
      <c r="X15">
        <f>IF(Y15,TRUE,AND(AB15:AQ15))</f>
        <v>0</v>
      </c>
      <c r="Y15">
        <f>COUNTBLANK(Metadata!B15:Q15)=COLUMNS(Metadata!B15:Q15)</f>
        <v>0</v>
      </c>
      <c r="Z15">
        <v>0</v>
      </c>
      <c r="AB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AC15">
        <f>AND(IF(Metadata!C15="",FALSE,TRUE),exact(Metadata!C15,"urban biome"))</f>
        <v>0</v>
      </c>
      <c r="AD15">
        <f>AND(IF(Metadata!D15="",FALSE,TRUE),exact(Metadata!D15,"human-associated habitat"))</f>
        <v>0</v>
      </c>
      <c r="AE15">
        <f>AND(IF(Metadata!E15="",FALSE,TRUE),OR(exact(Metadata!E15,"human-associated"),exact(Metadata!E15,"human-skin"),exact(Metadata!E15,"human-oral"),exact(Metadata!E15,"human-gut"),exact(Metadata!E15,"human-vaginal")))</f>
        <v>0</v>
      </c>
      <c r="AF15">
        <f>AND(IF(Metadata!F15="",FALSE,ISNUMBER(VALUE(Metadata!F15))),Metadata!F15&gt;0)</f>
        <v>0</v>
      </c>
      <c r="AG15">
        <f>AND(IF(Metadata!G15="",FALSE,TRUE),exact(Metadata!G15,"years"))</f>
        <v>0</v>
      </c>
      <c r="AH15">
        <f>OR(AND(IF(Metadata!H15="",FALSE,TRUE),OR(exact(Metadata!H15,"not applicable"),exact(Metadata!H15,"not collected"),exact(Metadata!H15,"not provided"),exact(Metadata!H15,"restricted access"))),AND(IF(Metadata!H15="",FALSE,ISNUMBER(VALUE(Metadata!H15))),Metadata!H15&gt;0))</f>
        <v>0</v>
      </c>
      <c r="AI15">
        <f>AND(IF(Metadata!I15="",FALSE,TRUE),exact(Metadata!I15,"human"))</f>
        <v>0</v>
      </c>
      <c r="AJ15">
        <f>AND(IF(Metadata!J15="",FALSE,ISNUMBER(VALUE(Metadata!J15))),Metadata!J15&gt;0)</f>
        <v>0</v>
      </c>
      <c r="AK15">
        <f>AND(IF(Metadata!K15="",FALSE,TRUE),exact(Metadata!K15,"cm"))</f>
        <v>0</v>
      </c>
      <c r="AL15">
        <f>AND(IF(Metadata!L15="",FALSE,TRUE),exact(Metadata!L15,"Homo sapiens"))</f>
        <v>0</v>
      </c>
      <c r="AM15">
        <f>AND(IF(Metadata!M15="",FALSE,TRUE),exact(Metadata!M15,"9606"))</f>
        <v>0</v>
      </c>
      <c r="AN15">
        <f>AND(IF(Metadata!N15="",FALSE,ISNUMBER(VALUE(Metadata!N15))),Metadata!N15&gt;0)</f>
        <v>0</v>
      </c>
      <c r="AO15">
        <f>AND(IF(Metadata!O15="",FALSE,TRUE),exact(Metadata!O15,"kg"))</f>
        <v>0</v>
      </c>
      <c r="AP15">
        <f>OR(AND(IF(Metadata!P15="",FALSE,TRUE),exact(Metadata!P15,"not provided")),IF(Metadata!P15="",FALSE,TRUE))</f>
        <v>0</v>
      </c>
      <c r="AQ15">
        <f>OR(AND(IF(Metadata!Q15="",FALSE,TRUE),exact(Metadata!Q15,"not provided")),IF(Metadata!Q15="",FALSE,TRUE))</f>
        <v>0</v>
      </c>
    </row>
    <row r="16" spans="1:43">
      <c r="A16" s="4">
        <f>IF(B16=" "," ",HYPERLINK(CONCATENATE("#metadata!",ADDRESS(INDEX($W$2:$W$1001,MATCH(ROWS($U$2:U16),$U$2:$U$1001,0),0),2)),INDEX($Z$2:$Z$1001,MATCH(ROWS($U$2:U16),$U$2:$U$1001,0),0)))</f>
        <v>0</v>
      </c>
      <c r="B16" s="5">
        <f>IF(OR(INDEX($V$2:$V$1001,MATCH(ROWS($U$2:U16),$U$2:$U$1001,0),1)&gt;=100000,INDEX($AB$1005:$AQ$1005,1,MATCH(COLUMNS($AB$1006:AB1006),$AB$1006:$AQ$1006,0))&gt;=100000), " ",IF(INDEX($AB$2:$AQ$1001,MATCH(ROWS($U$2:U16),$U$2:$U$1001,0),MATCH(COLUMNS($AB$1006:AB1006),$AB$1006:$AQ$1006,0)), HYPERLINK("#",""), HYPERLINK(CONCATENATE("#Metadata!", ADDRESS(INDEX($W$2:$W$1001,MATCH(ROWS($U$2:U16),$U$2:$U$1001,0),0), INDEX($AB$1004:$AQ$1004,1,MATCH(COLUMNS($AB$1006:AB1006),$AB$1006:$AQ$1006,0)))),"Fix")))</f>
        <v>0</v>
      </c>
      <c r="C16" s="5">
        <f>IF(OR(INDEX($V$2:$V$1001,MATCH(ROWS($U$2:U16),$U$2:$U$1001,0),1)&gt;=100000,INDEX($AB$1005:$AQ$1005,1,MATCH(COLUMNS($AB$1006:AC1006),$AB$1006:$AQ$1006,0))&gt;=100000), " ",IF(INDEX($AB$2:$AQ$1001,MATCH(ROWS($U$2:U16),$U$2:$U$1001,0),MATCH(COLUMNS($AB$1006:AC1006),$AB$1006:$AQ$1006,0)), HYPERLINK("#",""), HYPERLINK(CONCATENATE("#Metadata!", ADDRESS(INDEX($W$2:$W$1001,MATCH(ROWS($U$2:U16),$U$2:$U$1001,0),0), INDEX($AB$1004:$AQ$1004,1,MATCH(COLUMNS($AB$1006:AC1006),$AB$1006:$AQ$1006,0)))),"Fix")))</f>
        <v>0</v>
      </c>
      <c r="D16" s="5">
        <f>IF(OR(INDEX($V$2:$V$1001,MATCH(ROWS($U$2:U16),$U$2:$U$1001,0),1)&gt;=100000,INDEX($AB$1005:$AQ$1005,1,MATCH(COLUMNS($AB$1006:AD1006),$AB$1006:$AQ$1006,0))&gt;=100000), " ",IF(INDEX($AB$2:$AQ$1001,MATCH(ROWS($U$2:U16),$U$2:$U$1001,0),MATCH(COLUMNS($AB$1006:AD1006),$AB$1006:$AQ$1006,0)), HYPERLINK("#",""), HYPERLINK(CONCATENATE("#Metadata!", ADDRESS(INDEX($W$2:$W$1001,MATCH(ROWS($U$2:U16),$U$2:$U$1001,0),0), INDEX($AB$1004:$AQ$1004,1,MATCH(COLUMNS($AB$1006:AD1006),$AB$1006:$AQ$1006,0)))),"Fix")))</f>
        <v>0</v>
      </c>
      <c r="E16" s="5">
        <f>IF(OR(INDEX($V$2:$V$1001,MATCH(ROWS($U$2:U16),$U$2:$U$1001,0),1)&gt;=100000,INDEX($AB$1005:$AQ$1005,1,MATCH(COLUMNS($AB$1006:AE1006),$AB$1006:$AQ$1006,0))&gt;=100000), " ",IF(INDEX($AB$2:$AQ$1001,MATCH(ROWS($U$2:U16),$U$2:$U$1001,0),MATCH(COLUMNS($AB$1006:AE1006),$AB$1006:$AQ$1006,0)), HYPERLINK("#",""), HYPERLINK(CONCATENATE("#Metadata!", ADDRESS(INDEX($W$2:$W$1001,MATCH(ROWS($U$2:U16),$U$2:$U$1001,0),0), INDEX($AB$1004:$AQ$1004,1,MATCH(COLUMNS($AB$1006:AE1006),$AB$1006:$AQ$1006,0)))),"Fix")))</f>
        <v>0</v>
      </c>
      <c r="F16" s="5">
        <f>IF(OR(INDEX($V$2:$V$1001,MATCH(ROWS($U$2:U16),$U$2:$U$1001,0),1)&gt;=100000,INDEX($AB$1005:$AQ$1005,1,MATCH(COLUMNS($AB$1006:AF1006),$AB$1006:$AQ$1006,0))&gt;=100000), " ",IF(INDEX($AB$2:$AQ$1001,MATCH(ROWS($U$2:U16),$U$2:$U$1001,0),MATCH(COLUMNS($AB$1006:AF1006),$AB$1006:$AQ$1006,0)), HYPERLINK("#",""), HYPERLINK(CONCATENATE("#Metadata!", ADDRESS(INDEX($W$2:$W$1001,MATCH(ROWS($U$2:U16),$U$2:$U$1001,0),0), INDEX($AB$1004:$AQ$1004,1,MATCH(COLUMNS($AB$1006:AF1006),$AB$1006:$AQ$1006,0)))),"Fix")))</f>
        <v>0</v>
      </c>
      <c r="G16" s="5">
        <f>IF(OR(INDEX($V$2:$V$1001,MATCH(ROWS($U$2:U16),$U$2:$U$1001,0),1)&gt;=100000,INDEX($AB$1005:$AQ$1005,1,MATCH(COLUMNS($AB$1006:AG1006),$AB$1006:$AQ$1006,0))&gt;=100000), " ",IF(INDEX($AB$2:$AQ$1001,MATCH(ROWS($U$2:U16),$U$2:$U$1001,0),MATCH(COLUMNS($AB$1006:AG1006),$AB$1006:$AQ$1006,0)), HYPERLINK("#",""), HYPERLINK(CONCATENATE("#Metadata!", ADDRESS(INDEX($W$2:$W$1001,MATCH(ROWS($U$2:U16),$U$2:$U$1001,0),0), INDEX($AB$1004:$AQ$1004,1,MATCH(COLUMNS($AB$1006:AG1006),$AB$1006:$AQ$1006,0)))),"Fix")))</f>
        <v>0</v>
      </c>
      <c r="H16" s="5">
        <f>IF(OR(INDEX($V$2:$V$1001,MATCH(ROWS($U$2:U16),$U$2:$U$1001,0),1)&gt;=100000,INDEX($AB$1005:$AQ$1005,1,MATCH(COLUMNS($AB$1006:AH1006),$AB$1006:$AQ$1006,0))&gt;=100000), " ",IF(INDEX($AB$2:$AQ$1001,MATCH(ROWS($U$2:U16),$U$2:$U$1001,0),MATCH(COLUMNS($AB$1006:AH1006),$AB$1006:$AQ$1006,0)), HYPERLINK("#",""), HYPERLINK(CONCATENATE("#Metadata!", ADDRESS(INDEX($W$2:$W$1001,MATCH(ROWS($U$2:U16),$U$2:$U$1001,0),0), INDEX($AB$1004:$AQ$1004,1,MATCH(COLUMNS($AB$1006:AH1006),$AB$1006:$AQ$1006,0)))),"Fix")))</f>
        <v>0</v>
      </c>
      <c r="I16" s="5">
        <f>IF(OR(INDEX($V$2:$V$1001,MATCH(ROWS($U$2:U16),$U$2:$U$1001,0),1)&gt;=100000,INDEX($AB$1005:$AQ$1005,1,MATCH(COLUMNS($AB$1006:AI1006),$AB$1006:$AQ$1006,0))&gt;=100000), " ",IF(INDEX($AB$2:$AQ$1001,MATCH(ROWS($U$2:U16),$U$2:$U$1001,0),MATCH(COLUMNS($AB$1006:AI1006),$AB$1006:$AQ$1006,0)), HYPERLINK("#",""), HYPERLINK(CONCATENATE("#Metadata!", ADDRESS(INDEX($W$2:$W$1001,MATCH(ROWS($U$2:U16),$U$2:$U$1001,0),0), INDEX($AB$1004:$AQ$1004,1,MATCH(COLUMNS($AB$1006:AI1006),$AB$1006:$AQ$1006,0)))),"Fix")))</f>
        <v>0</v>
      </c>
      <c r="J16" s="5">
        <f>IF(OR(INDEX($V$2:$V$1001,MATCH(ROWS($U$2:U16),$U$2:$U$1001,0),1)&gt;=100000,INDEX($AB$1005:$AQ$1005,1,MATCH(COLUMNS($AB$1006:AJ1006),$AB$1006:$AQ$1006,0))&gt;=100000), " ",IF(INDEX($AB$2:$AQ$1001,MATCH(ROWS($U$2:U16),$U$2:$U$1001,0),MATCH(COLUMNS($AB$1006:AJ1006),$AB$1006:$AQ$1006,0)), HYPERLINK("#",""), HYPERLINK(CONCATENATE("#Metadata!", ADDRESS(INDEX($W$2:$W$1001,MATCH(ROWS($U$2:U16),$U$2:$U$1001,0),0), INDEX($AB$1004:$AQ$1004,1,MATCH(COLUMNS($AB$1006:AJ1006),$AB$1006:$AQ$1006,0)))),"Fix")))</f>
        <v>0</v>
      </c>
      <c r="K16" s="5">
        <f>IF(OR(INDEX($V$2:$V$1001,MATCH(ROWS($U$2:U16),$U$2:$U$1001,0),1)&gt;=100000,INDEX($AB$1005:$AQ$1005,1,MATCH(COLUMNS($AB$1006:AK1006),$AB$1006:$AQ$1006,0))&gt;=100000), " ",IF(INDEX($AB$2:$AQ$1001,MATCH(ROWS($U$2:U16),$U$2:$U$1001,0),MATCH(COLUMNS($AB$1006:AK1006),$AB$1006:$AQ$1006,0)), HYPERLINK("#",""), HYPERLINK(CONCATENATE("#Metadata!", ADDRESS(INDEX($W$2:$W$1001,MATCH(ROWS($U$2:U16),$U$2:$U$1001,0),0), INDEX($AB$1004:$AQ$1004,1,MATCH(COLUMNS($AB$1006:AK1006),$AB$1006:$AQ$1006,0)))),"Fix")))</f>
        <v>0</v>
      </c>
      <c r="L16" s="5">
        <f>IF(OR(INDEX($V$2:$V$1001,MATCH(ROWS($U$2:U16),$U$2:$U$1001,0),1)&gt;=100000,INDEX($AB$1005:$AQ$1005,1,MATCH(COLUMNS($AB$1006:AL1006),$AB$1006:$AQ$1006,0))&gt;=100000), " ",IF(INDEX($AB$2:$AQ$1001,MATCH(ROWS($U$2:U16),$U$2:$U$1001,0),MATCH(COLUMNS($AB$1006:AL1006),$AB$1006:$AQ$1006,0)), HYPERLINK("#",""), HYPERLINK(CONCATENATE("#Metadata!", ADDRESS(INDEX($W$2:$W$1001,MATCH(ROWS($U$2:U16),$U$2:$U$1001,0),0), INDEX($AB$1004:$AQ$1004,1,MATCH(COLUMNS($AB$1006:AL1006),$AB$1006:$AQ$1006,0)))),"Fix")))</f>
        <v>0</v>
      </c>
      <c r="M16" s="5">
        <f>IF(OR(INDEX($V$2:$V$1001,MATCH(ROWS($U$2:U16),$U$2:$U$1001,0),1)&gt;=100000,INDEX($AB$1005:$AQ$1005,1,MATCH(COLUMNS($AB$1006:AM1006),$AB$1006:$AQ$1006,0))&gt;=100000), " ",IF(INDEX($AB$2:$AQ$1001,MATCH(ROWS($U$2:U16),$U$2:$U$1001,0),MATCH(COLUMNS($AB$1006:AM1006),$AB$1006:$AQ$1006,0)), HYPERLINK("#",""), HYPERLINK(CONCATENATE("#Metadata!", ADDRESS(INDEX($W$2:$W$1001,MATCH(ROWS($U$2:U16),$U$2:$U$1001,0),0), INDEX($AB$1004:$AQ$1004,1,MATCH(COLUMNS($AB$1006:AM1006),$AB$1006:$AQ$1006,0)))),"Fix")))</f>
        <v>0</v>
      </c>
      <c r="N16" s="5">
        <f>IF(OR(INDEX($V$2:$V$1001,MATCH(ROWS($U$2:U16),$U$2:$U$1001,0),1)&gt;=100000,INDEX($AB$1005:$AQ$1005,1,MATCH(COLUMNS($AB$1006:AN1006),$AB$1006:$AQ$1006,0))&gt;=100000), " ",IF(INDEX($AB$2:$AQ$1001,MATCH(ROWS($U$2:U16),$U$2:$U$1001,0),MATCH(COLUMNS($AB$1006:AN1006),$AB$1006:$AQ$1006,0)), HYPERLINK("#",""), HYPERLINK(CONCATENATE("#Metadata!", ADDRESS(INDEX($W$2:$W$1001,MATCH(ROWS($U$2:U16),$U$2:$U$1001,0),0), INDEX($AB$1004:$AQ$1004,1,MATCH(COLUMNS($AB$1006:AN1006),$AB$1006:$AQ$1006,0)))),"Fix")))</f>
        <v>0</v>
      </c>
      <c r="O16" s="5">
        <f>IF(OR(INDEX($V$2:$V$1001,MATCH(ROWS($U$2:U16),$U$2:$U$1001,0),1)&gt;=100000,INDEX($AB$1005:$AQ$1005,1,MATCH(COLUMNS($AB$1006:AO1006),$AB$1006:$AQ$1006,0))&gt;=100000), " ",IF(INDEX($AB$2:$AQ$1001,MATCH(ROWS($U$2:U16),$U$2:$U$1001,0),MATCH(COLUMNS($AB$1006:AO1006),$AB$1006:$AQ$1006,0)), HYPERLINK("#",""), HYPERLINK(CONCATENATE("#Metadata!", ADDRESS(INDEX($W$2:$W$1001,MATCH(ROWS($U$2:U16),$U$2:$U$1001,0),0), INDEX($AB$1004:$AQ$1004,1,MATCH(COLUMNS($AB$1006:AO1006),$AB$1006:$AQ$1006,0)))),"Fix")))</f>
        <v>0</v>
      </c>
      <c r="P16" s="5">
        <f>IF(OR(INDEX($V$2:$V$1001,MATCH(ROWS($U$2:U16),$U$2:$U$1001,0),1)&gt;=100000,INDEX($AB$1005:$AQ$1005,1,MATCH(COLUMNS($AB$1006:AP1006),$AB$1006:$AQ$1006,0))&gt;=100000), " ",IF(INDEX($AB$2:$AQ$1001,MATCH(ROWS($U$2:U16),$U$2:$U$1001,0),MATCH(COLUMNS($AB$1006:AP1006),$AB$1006:$AQ$1006,0)), HYPERLINK("#",""), HYPERLINK(CONCATENATE("#Metadata!", ADDRESS(INDEX($W$2:$W$1001,MATCH(ROWS($U$2:U16),$U$2:$U$1001,0),0), INDEX($AB$1004:$AQ$1004,1,MATCH(COLUMNS($AB$1006:AP1006),$AB$1006:$AQ$1006,0)))),"Fix")))</f>
        <v>0</v>
      </c>
      <c r="Q16" s="5">
        <f>IF(OR(INDEX($V$2:$V$1001,MATCH(ROWS($U$2:U16),$U$2:$U$1001,0),1)&gt;=100000,INDEX($AB$1005:$AQ$1005,1,MATCH(COLUMNS($AB$1006:AQ1006),$AB$1006:$AQ$1006,0))&gt;=100000), " ",IF(INDEX($AB$2:$AQ$1001,MATCH(ROWS($U$2:U16),$U$2:$U$1001,0),MATCH(COLUMNS($AB$1006:AQ1006),$AB$1006:$AQ$1006,0)), HYPERLINK("#",""), HYPERLINK(CONCATENATE("#Metadata!", ADDRESS(INDEX($W$2:$W$1001,MATCH(ROWS($U$2:U16),$U$2:$U$1001,0),0), INDEX($AB$1004:$AQ$1004,1,MATCH(COLUMNS($AB$1006:AQ1006),$AB$1006:$AQ$1006,0)))),"Fix")))</f>
        <v>0</v>
      </c>
      <c r="U16">
        <v>0</v>
      </c>
      <c r="V16">
        <v>0</v>
      </c>
      <c r="W16">
        <v>0</v>
      </c>
      <c r="X16">
        <f>IF(Y16,TRUE,AND(AB16:AQ16))</f>
        <v>0</v>
      </c>
      <c r="Y16">
        <f>COUNTBLANK(Metadata!B16:Q16)=COLUMNS(Metadata!B16:Q16)</f>
        <v>0</v>
      </c>
      <c r="Z16">
        <v>0</v>
      </c>
      <c r="AB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AC16">
        <f>AND(IF(Metadata!C16="",FALSE,TRUE),exact(Metadata!C16,"urban biome"))</f>
        <v>0</v>
      </c>
      <c r="AD16">
        <f>AND(IF(Metadata!D16="",FALSE,TRUE),exact(Metadata!D16,"human-associated habitat"))</f>
        <v>0</v>
      </c>
      <c r="AE16">
        <f>AND(IF(Metadata!E16="",FALSE,TRUE),OR(exact(Metadata!E16,"human-associated"),exact(Metadata!E16,"human-skin"),exact(Metadata!E16,"human-oral"),exact(Metadata!E16,"human-gut"),exact(Metadata!E16,"human-vaginal")))</f>
        <v>0</v>
      </c>
      <c r="AF16">
        <f>AND(IF(Metadata!F16="",FALSE,ISNUMBER(VALUE(Metadata!F16))),Metadata!F16&gt;0)</f>
        <v>0</v>
      </c>
      <c r="AG16">
        <f>AND(IF(Metadata!G16="",FALSE,TRUE),exact(Metadata!G16,"years"))</f>
        <v>0</v>
      </c>
      <c r="AH16">
        <f>OR(AND(IF(Metadata!H16="",FALSE,TRUE),OR(exact(Metadata!H16,"not applicable"),exact(Metadata!H16,"not collected"),exact(Metadata!H16,"not provided"),exact(Metadata!H16,"restricted access"))),AND(IF(Metadata!H16="",FALSE,ISNUMBER(VALUE(Metadata!H16))),Metadata!H16&gt;0))</f>
        <v>0</v>
      </c>
      <c r="AI16">
        <f>AND(IF(Metadata!I16="",FALSE,TRUE),exact(Metadata!I16,"human"))</f>
        <v>0</v>
      </c>
      <c r="AJ16">
        <f>AND(IF(Metadata!J16="",FALSE,ISNUMBER(VALUE(Metadata!J16))),Metadata!J16&gt;0)</f>
        <v>0</v>
      </c>
      <c r="AK16">
        <f>AND(IF(Metadata!K16="",FALSE,TRUE),exact(Metadata!K16,"cm"))</f>
        <v>0</v>
      </c>
      <c r="AL16">
        <f>AND(IF(Metadata!L16="",FALSE,TRUE),exact(Metadata!L16,"Homo sapiens"))</f>
        <v>0</v>
      </c>
      <c r="AM16">
        <f>AND(IF(Metadata!M16="",FALSE,TRUE),exact(Metadata!M16,"9606"))</f>
        <v>0</v>
      </c>
      <c r="AN16">
        <f>AND(IF(Metadata!N16="",FALSE,ISNUMBER(VALUE(Metadata!N16))),Metadata!N16&gt;0)</f>
        <v>0</v>
      </c>
      <c r="AO16">
        <f>AND(IF(Metadata!O16="",FALSE,TRUE),exact(Metadata!O16,"kg"))</f>
        <v>0</v>
      </c>
      <c r="AP16">
        <f>OR(AND(IF(Metadata!P16="",FALSE,TRUE),exact(Metadata!P16,"not provided")),IF(Metadata!P16="",FALSE,TRUE))</f>
        <v>0</v>
      </c>
      <c r="AQ16">
        <f>OR(AND(IF(Metadata!Q16="",FALSE,TRUE),exact(Metadata!Q16,"not provided")),IF(Metadata!Q16="",FALSE,TRUE))</f>
        <v>0</v>
      </c>
    </row>
    <row r="17" spans="1:43">
      <c r="A17" s="4">
        <f>IF(B17=" "," ",HYPERLINK(CONCATENATE("#metadata!",ADDRESS(INDEX($W$2:$W$1001,MATCH(ROWS($U$2:U17),$U$2:$U$1001,0),0),2)),INDEX($Z$2:$Z$1001,MATCH(ROWS($U$2:U17),$U$2:$U$1001,0),0)))</f>
        <v>0</v>
      </c>
      <c r="B17" s="5">
        <f>IF(OR(INDEX($V$2:$V$1001,MATCH(ROWS($U$2:U17),$U$2:$U$1001,0),1)&gt;=100000,INDEX($AB$1005:$AQ$1005,1,MATCH(COLUMNS($AB$1006:AB1006),$AB$1006:$AQ$1006,0))&gt;=100000), " ",IF(INDEX($AB$2:$AQ$1001,MATCH(ROWS($U$2:U17),$U$2:$U$1001,0),MATCH(COLUMNS($AB$1006:AB1006),$AB$1006:$AQ$1006,0)), HYPERLINK("#",""), HYPERLINK(CONCATENATE("#Metadata!", ADDRESS(INDEX($W$2:$W$1001,MATCH(ROWS($U$2:U17),$U$2:$U$1001,0),0), INDEX($AB$1004:$AQ$1004,1,MATCH(COLUMNS($AB$1006:AB1006),$AB$1006:$AQ$1006,0)))),"Fix")))</f>
        <v>0</v>
      </c>
      <c r="C17" s="5">
        <f>IF(OR(INDEX($V$2:$V$1001,MATCH(ROWS($U$2:U17),$U$2:$U$1001,0),1)&gt;=100000,INDEX($AB$1005:$AQ$1005,1,MATCH(COLUMNS($AB$1006:AC1006),$AB$1006:$AQ$1006,0))&gt;=100000), " ",IF(INDEX($AB$2:$AQ$1001,MATCH(ROWS($U$2:U17),$U$2:$U$1001,0),MATCH(COLUMNS($AB$1006:AC1006),$AB$1006:$AQ$1006,0)), HYPERLINK("#",""), HYPERLINK(CONCATENATE("#Metadata!", ADDRESS(INDEX($W$2:$W$1001,MATCH(ROWS($U$2:U17),$U$2:$U$1001,0),0), INDEX($AB$1004:$AQ$1004,1,MATCH(COLUMNS($AB$1006:AC1006),$AB$1006:$AQ$1006,0)))),"Fix")))</f>
        <v>0</v>
      </c>
      <c r="D17" s="5">
        <f>IF(OR(INDEX($V$2:$V$1001,MATCH(ROWS($U$2:U17),$U$2:$U$1001,0),1)&gt;=100000,INDEX($AB$1005:$AQ$1005,1,MATCH(COLUMNS($AB$1006:AD1006),$AB$1006:$AQ$1006,0))&gt;=100000), " ",IF(INDEX($AB$2:$AQ$1001,MATCH(ROWS($U$2:U17),$U$2:$U$1001,0),MATCH(COLUMNS($AB$1006:AD1006),$AB$1006:$AQ$1006,0)), HYPERLINK("#",""), HYPERLINK(CONCATENATE("#Metadata!", ADDRESS(INDEX($W$2:$W$1001,MATCH(ROWS($U$2:U17),$U$2:$U$1001,0),0), INDEX($AB$1004:$AQ$1004,1,MATCH(COLUMNS($AB$1006:AD1006),$AB$1006:$AQ$1006,0)))),"Fix")))</f>
        <v>0</v>
      </c>
      <c r="E17" s="5">
        <f>IF(OR(INDEX($V$2:$V$1001,MATCH(ROWS($U$2:U17),$U$2:$U$1001,0),1)&gt;=100000,INDEX($AB$1005:$AQ$1005,1,MATCH(COLUMNS($AB$1006:AE1006),$AB$1006:$AQ$1006,0))&gt;=100000), " ",IF(INDEX($AB$2:$AQ$1001,MATCH(ROWS($U$2:U17),$U$2:$U$1001,0),MATCH(COLUMNS($AB$1006:AE1006),$AB$1006:$AQ$1006,0)), HYPERLINK("#",""), HYPERLINK(CONCATENATE("#Metadata!", ADDRESS(INDEX($W$2:$W$1001,MATCH(ROWS($U$2:U17),$U$2:$U$1001,0),0), INDEX($AB$1004:$AQ$1004,1,MATCH(COLUMNS($AB$1006:AE1006),$AB$1006:$AQ$1006,0)))),"Fix")))</f>
        <v>0</v>
      </c>
      <c r="F17" s="5">
        <f>IF(OR(INDEX($V$2:$V$1001,MATCH(ROWS($U$2:U17),$U$2:$U$1001,0),1)&gt;=100000,INDEX($AB$1005:$AQ$1005,1,MATCH(COLUMNS($AB$1006:AF1006),$AB$1006:$AQ$1006,0))&gt;=100000), " ",IF(INDEX($AB$2:$AQ$1001,MATCH(ROWS($U$2:U17),$U$2:$U$1001,0),MATCH(COLUMNS($AB$1006:AF1006),$AB$1006:$AQ$1006,0)), HYPERLINK("#",""), HYPERLINK(CONCATENATE("#Metadata!", ADDRESS(INDEX($W$2:$W$1001,MATCH(ROWS($U$2:U17),$U$2:$U$1001,0),0), INDEX($AB$1004:$AQ$1004,1,MATCH(COLUMNS($AB$1006:AF1006),$AB$1006:$AQ$1006,0)))),"Fix")))</f>
        <v>0</v>
      </c>
      <c r="G17" s="5">
        <f>IF(OR(INDEX($V$2:$V$1001,MATCH(ROWS($U$2:U17),$U$2:$U$1001,0),1)&gt;=100000,INDEX($AB$1005:$AQ$1005,1,MATCH(COLUMNS($AB$1006:AG1006),$AB$1006:$AQ$1006,0))&gt;=100000), " ",IF(INDEX($AB$2:$AQ$1001,MATCH(ROWS($U$2:U17),$U$2:$U$1001,0),MATCH(COLUMNS($AB$1006:AG1006),$AB$1006:$AQ$1006,0)), HYPERLINK("#",""), HYPERLINK(CONCATENATE("#Metadata!", ADDRESS(INDEX($W$2:$W$1001,MATCH(ROWS($U$2:U17),$U$2:$U$1001,0),0), INDEX($AB$1004:$AQ$1004,1,MATCH(COLUMNS($AB$1006:AG1006),$AB$1006:$AQ$1006,0)))),"Fix")))</f>
        <v>0</v>
      </c>
      <c r="H17" s="5">
        <f>IF(OR(INDEX($V$2:$V$1001,MATCH(ROWS($U$2:U17),$U$2:$U$1001,0),1)&gt;=100000,INDEX($AB$1005:$AQ$1005,1,MATCH(COLUMNS($AB$1006:AH1006),$AB$1006:$AQ$1006,0))&gt;=100000), " ",IF(INDEX($AB$2:$AQ$1001,MATCH(ROWS($U$2:U17),$U$2:$U$1001,0),MATCH(COLUMNS($AB$1006:AH1006),$AB$1006:$AQ$1006,0)), HYPERLINK("#",""), HYPERLINK(CONCATENATE("#Metadata!", ADDRESS(INDEX($W$2:$W$1001,MATCH(ROWS($U$2:U17),$U$2:$U$1001,0),0), INDEX($AB$1004:$AQ$1004,1,MATCH(COLUMNS($AB$1006:AH1006),$AB$1006:$AQ$1006,0)))),"Fix")))</f>
        <v>0</v>
      </c>
      <c r="I17" s="5">
        <f>IF(OR(INDEX($V$2:$V$1001,MATCH(ROWS($U$2:U17),$U$2:$U$1001,0),1)&gt;=100000,INDEX($AB$1005:$AQ$1005,1,MATCH(COLUMNS($AB$1006:AI1006),$AB$1006:$AQ$1006,0))&gt;=100000), " ",IF(INDEX($AB$2:$AQ$1001,MATCH(ROWS($U$2:U17),$U$2:$U$1001,0),MATCH(COLUMNS($AB$1006:AI1006),$AB$1006:$AQ$1006,0)), HYPERLINK("#",""), HYPERLINK(CONCATENATE("#Metadata!", ADDRESS(INDEX($W$2:$W$1001,MATCH(ROWS($U$2:U17),$U$2:$U$1001,0),0), INDEX($AB$1004:$AQ$1004,1,MATCH(COLUMNS($AB$1006:AI1006),$AB$1006:$AQ$1006,0)))),"Fix")))</f>
        <v>0</v>
      </c>
      <c r="J17" s="5">
        <f>IF(OR(INDEX($V$2:$V$1001,MATCH(ROWS($U$2:U17),$U$2:$U$1001,0),1)&gt;=100000,INDEX($AB$1005:$AQ$1005,1,MATCH(COLUMNS($AB$1006:AJ1006),$AB$1006:$AQ$1006,0))&gt;=100000), " ",IF(INDEX($AB$2:$AQ$1001,MATCH(ROWS($U$2:U17),$U$2:$U$1001,0),MATCH(COLUMNS($AB$1006:AJ1006),$AB$1006:$AQ$1006,0)), HYPERLINK("#",""), HYPERLINK(CONCATENATE("#Metadata!", ADDRESS(INDEX($W$2:$W$1001,MATCH(ROWS($U$2:U17),$U$2:$U$1001,0),0), INDEX($AB$1004:$AQ$1004,1,MATCH(COLUMNS($AB$1006:AJ1006),$AB$1006:$AQ$1006,0)))),"Fix")))</f>
        <v>0</v>
      </c>
      <c r="K17" s="5">
        <f>IF(OR(INDEX($V$2:$V$1001,MATCH(ROWS($U$2:U17),$U$2:$U$1001,0),1)&gt;=100000,INDEX($AB$1005:$AQ$1005,1,MATCH(COLUMNS($AB$1006:AK1006),$AB$1006:$AQ$1006,0))&gt;=100000), " ",IF(INDEX($AB$2:$AQ$1001,MATCH(ROWS($U$2:U17),$U$2:$U$1001,0),MATCH(COLUMNS($AB$1006:AK1006),$AB$1006:$AQ$1006,0)), HYPERLINK("#",""), HYPERLINK(CONCATENATE("#Metadata!", ADDRESS(INDEX($W$2:$W$1001,MATCH(ROWS($U$2:U17),$U$2:$U$1001,0),0), INDEX($AB$1004:$AQ$1004,1,MATCH(COLUMNS($AB$1006:AK1006),$AB$1006:$AQ$1006,0)))),"Fix")))</f>
        <v>0</v>
      </c>
      <c r="L17" s="5">
        <f>IF(OR(INDEX($V$2:$V$1001,MATCH(ROWS($U$2:U17),$U$2:$U$1001,0),1)&gt;=100000,INDEX($AB$1005:$AQ$1005,1,MATCH(COLUMNS($AB$1006:AL1006),$AB$1006:$AQ$1006,0))&gt;=100000), " ",IF(INDEX($AB$2:$AQ$1001,MATCH(ROWS($U$2:U17),$U$2:$U$1001,0),MATCH(COLUMNS($AB$1006:AL1006),$AB$1006:$AQ$1006,0)), HYPERLINK("#",""), HYPERLINK(CONCATENATE("#Metadata!", ADDRESS(INDEX($W$2:$W$1001,MATCH(ROWS($U$2:U17),$U$2:$U$1001,0),0), INDEX($AB$1004:$AQ$1004,1,MATCH(COLUMNS($AB$1006:AL1006),$AB$1006:$AQ$1006,0)))),"Fix")))</f>
        <v>0</v>
      </c>
      <c r="M17" s="5">
        <f>IF(OR(INDEX($V$2:$V$1001,MATCH(ROWS($U$2:U17),$U$2:$U$1001,0),1)&gt;=100000,INDEX($AB$1005:$AQ$1005,1,MATCH(COLUMNS($AB$1006:AM1006),$AB$1006:$AQ$1006,0))&gt;=100000), " ",IF(INDEX($AB$2:$AQ$1001,MATCH(ROWS($U$2:U17),$U$2:$U$1001,0),MATCH(COLUMNS($AB$1006:AM1006),$AB$1006:$AQ$1006,0)), HYPERLINK("#",""), HYPERLINK(CONCATENATE("#Metadata!", ADDRESS(INDEX($W$2:$W$1001,MATCH(ROWS($U$2:U17),$U$2:$U$1001,0),0), INDEX($AB$1004:$AQ$1004,1,MATCH(COLUMNS($AB$1006:AM1006),$AB$1006:$AQ$1006,0)))),"Fix")))</f>
        <v>0</v>
      </c>
      <c r="N17" s="5">
        <f>IF(OR(INDEX($V$2:$V$1001,MATCH(ROWS($U$2:U17),$U$2:$U$1001,0),1)&gt;=100000,INDEX($AB$1005:$AQ$1005,1,MATCH(COLUMNS($AB$1006:AN1006),$AB$1006:$AQ$1006,0))&gt;=100000), " ",IF(INDEX($AB$2:$AQ$1001,MATCH(ROWS($U$2:U17),$U$2:$U$1001,0),MATCH(COLUMNS($AB$1006:AN1006),$AB$1006:$AQ$1006,0)), HYPERLINK("#",""), HYPERLINK(CONCATENATE("#Metadata!", ADDRESS(INDEX($W$2:$W$1001,MATCH(ROWS($U$2:U17),$U$2:$U$1001,0),0), INDEX($AB$1004:$AQ$1004,1,MATCH(COLUMNS($AB$1006:AN1006),$AB$1006:$AQ$1006,0)))),"Fix")))</f>
        <v>0</v>
      </c>
      <c r="O17" s="5">
        <f>IF(OR(INDEX($V$2:$V$1001,MATCH(ROWS($U$2:U17),$U$2:$U$1001,0),1)&gt;=100000,INDEX($AB$1005:$AQ$1005,1,MATCH(COLUMNS($AB$1006:AO1006),$AB$1006:$AQ$1006,0))&gt;=100000), " ",IF(INDEX($AB$2:$AQ$1001,MATCH(ROWS($U$2:U17),$U$2:$U$1001,0),MATCH(COLUMNS($AB$1006:AO1006),$AB$1006:$AQ$1006,0)), HYPERLINK("#",""), HYPERLINK(CONCATENATE("#Metadata!", ADDRESS(INDEX($W$2:$W$1001,MATCH(ROWS($U$2:U17),$U$2:$U$1001,0),0), INDEX($AB$1004:$AQ$1004,1,MATCH(COLUMNS($AB$1006:AO1006),$AB$1006:$AQ$1006,0)))),"Fix")))</f>
        <v>0</v>
      </c>
      <c r="P17" s="5">
        <f>IF(OR(INDEX($V$2:$V$1001,MATCH(ROWS($U$2:U17),$U$2:$U$1001,0),1)&gt;=100000,INDEX($AB$1005:$AQ$1005,1,MATCH(COLUMNS($AB$1006:AP1006),$AB$1006:$AQ$1006,0))&gt;=100000), " ",IF(INDEX($AB$2:$AQ$1001,MATCH(ROWS($U$2:U17),$U$2:$U$1001,0),MATCH(COLUMNS($AB$1006:AP1006),$AB$1006:$AQ$1006,0)), HYPERLINK("#",""), HYPERLINK(CONCATENATE("#Metadata!", ADDRESS(INDEX($W$2:$W$1001,MATCH(ROWS($U$2:U17),$U$2:$U$1001,0),0), INDEX($AB$1004:$AQ$1004,1,MATCH(COLUMNS($AB$1006:AP1006),$AB$1006:$AQ$1006,0)))),"Fix")))</f>
        <v>0</v>
      </c>
      <c r="Q17" s="5">
        <f>IF(OR(INDEX($V$2:$V$1001,MATCH(ROWS($U$2:U17),$U$2:$U$1001,0),1)&gt;=100000,INDEX($AB$1005:$AQ$1005,1,MATCH(COLUMNS($AB$1006:AQ1006),$AB$1006:$AQ$1006,0))&gt;=100000), " ",IF(INDEX($AB$2:$AQ$1001,MATCH(ROWS($U$2:U17),$U$2:$U$1001,0),MATCH(COLUMNS($AB$1006:AQ1006),$AB$1006:$AQ$1006,0)), HYPERLINK("#",""), HYPERLINK(CONCATENATE("#Metadata!", ADDRESS(INDEX($W$2:$W$1001,MATCH(ROWS($U$2:U17),$U$2:$U$1001,0),0), INDEX($AB$1004:$AQ$1004,1,MATCH(COLUMNS($AB$1006:AQ1006),$AB$1006:$AQ$1006,0)))),"Fix")))</f>
        <v>0</v>
      </c>
      <c r="U17">
        <v>0</v>
      </c>
      <c r="V17">
        <v>0</v>
      </c>
      <c r="W17">
        <v>0</v>
      </c>
      <c r="X17">
        <f>IF(Y17,TRUE,AND(AB17:AQ17))</f>
        <v>0</v>
      </c>
      <c r="Y17">
        <f>COUNTBLANK(Metadata!B17:Q17)=COLUMNS(Metadata!B17:Q17)</f>
        <v>0</v>
      </c>
      <c r="Z17">
        <v>0</v>
      </c>
      <c r="AB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AC17">
        <f>AND(IF(Metadata!C17="",FALSE,TRUE),exact(Metadata!C17,"urban biome"))</f>
        <v>0</v>
      </c>
      <c r="AD17">
        <f>AND(IF(Metadata!D17="",FALSE,TRUE),exact(Metadata!D17,"human-associated habitat"))</f>
        <v>0</v>
      </c>
      <c r="AE17">
        <f>AND(IF(Metadata!E17="",FALSE,TRUE),OR(exact(Metadata!E17,"human-associated"),exact(Metadata!E17,"human-skin"),exact(Metadata!E17,"human-oral"),exact(Metadata!E17,"human-gut"),exact(Metadata!E17,"human-vaginal")))</f>
        <v>0</v>
      </c>
      <c r="AF17">
        <f>AND(IF(Metadata!F17="",FALSE,ISNUMBER(VALUE(Metadata!F17))),Metadata!F17&gt;0)</f>
        <v>0</v>
      </c>
      <c r="AG17">
        <f>AND(IF(Metadata!G17="",FALSE,TRUE),exact(Metadata!G17,"years"))</f>
        <v>0</v>
      </c>
      <c r="AH17">
        <f>OR(AND(IF(Metadata!H17="",FALSE,TRUE),OR(exact(Metadata!H17,"not applicable"),exact(Metadata!H17,"not collected"),exact(Metadata!H17,"not provided"),exact(Metadata!H17,"restricted access"))),AND(IF(Metadata!H17="",FALSE,ISNUMBER(VALUE(Metadata!H17))),Metadata!H17&gt;0))</f>
        <v>0</v>
      </c>
      <c r="AI17">
        <f>AND(IF(Metadata!I17="",FALSE,TRUE),exact(Metadata!I17,"human"))</f>
        <v>0</v>
      </c>
      <c r="AJ17">
        <f>AND(IF(Metadata!J17="",FALSE,ISNUMBER(VALUE(Metadata!J17))),Metadata!J17&gt;0)</f>
        <v>0</v>
      </c>
      <c r="AK17">
        <f>AND(IF(Metadata!K17="",FALSE,TRUE),exact(Metadata!K17,"cm"))</f>
        <v>0</v>
      </c>
      <c r="AL17">
        <f>AND(IF(Metadata!L17="",FALSE,TRUE),exact(Metadata!L17,"Homo sapiens"))</f>
        <v>0</v>
      </c>
      <c r="AM17">
        <f>AND(IF(Metadata!M17="",FALSE,TRUE),exact(Metadata!M17,"9606"))</f>
        <v>0</v>
      </c>
      <c r="AN17">
        <f>AND(IF(Metadata!N17="",FALSE,ISNUMBER(VALUE(Metadata!N17))),Metadata!N17&gt;0)</f>
        <v>0</v>
      </c>
      <c r="AO17">
        <f>AND(IF(Metadata!O17="",FALSE,TRUE),exact(Metadata!O17,"kg"))</f>
        <v>0</v>
      </c>
      <c r="AP17">
        <f>OR(AND(IF(Metadata!P17="",FALSE,TRUE),exact(Metadata!P17,"not provided")),IF(Metadata!P17="",FALSE,TRUE))</f>
        <v>0</v>
      </c>
      <c r="AQ17">
        <f>OR(AND(IF(Metadata!Q17="",FALSE,TRUE),exact(Metadata!Q17,"not provided")),IF(Metadata!Q17="",FALSE,TRUE))</f>
        <v>0</v>
      </c>
    </row>
    <row r="18" spans="1:43">
      <c r="A18" s="4">
        <f>IF(B18=" "," ",HYPERLINK(CONCATENATE("#metadata!",ADDRESS(INDEX($W$2:$W$1001,MATCH(ROWS($U$2:U18),$U$2:$U$1001,0),0),2)),INDEX($Z$2:$Z$1001,MATCH(ROWS($U$2:U18),$U$2:$U$1001,0),0)))</f>
        <v>0</v>
      </c>
      <c r="B18" s="5">
        <f>IF(OR(INDEX($V$2:$V$1001,MATCH(ROWS($U$2:U18),$U$2:$U$1001,0),1)&gt;=100000,INDEX($AB$1005:$AQ$1005,1,MATCH(COLUMNS($AB$1006:AB1006),$AB$1006:$AQ$1006,0))&gt;=100000), " ",IF(INDEX($AB$2:$AQ$1001,MATCH(ROWS($U$2:U18),$U$2:$U$1001,0),MATCH(COLUMNS($AB$1006:AB1006),$AB$1006:$AQ$1006,0)), HYPERLINK("#",""), HYPERLINK(CONCATENATE("#Metadata!", ADDRESS(INDEX($W$2:$W$1001,MATCH(ROWS($U$2:U18),$U$2:$U$1001,0),0), INDEX($AB$1004:$AQ$1004,1,MATCH(COLUMNS($AB$1006:AB1006),$AB$1006:$AQ$1006,0)))),"Fix")))</f>
        <v>0</v>
      </c>
      <c r="C18" s="5">
        <f>IF(OR(INDEX($V$2:$V$1001,MATCH(ROWS($U$2:U18),$U$2:$U$1001,0),1)&gt;=100000,INDEX($AB$1005:$AQ$1005,1,MATCH(COLUMNS($AB$1006:AC1006),$AB$1006:$AQ$1006,0))&gt;=100000), " ",IF(INDEX($AB$2:$AQ$1001,MATCH(ROWS($U$2:U18),$U$2:$U$1001,0),MATCH(COLUMNS($AB$1006:AC1006),$AB$1006:$AQ$1006,0)), HYPERLINK("#",""), HYPERLINK(CONCATENATE("#Metadata!", ADDRESS(INDEX($W$2:$W$1001,MATCH(ROWS($U$2:U18),$U$2:$U$1001,0),0), INDEX($AB$1004:$AQ$1004,1,MATCH(COLUMNS($AB$1006:AC1006),$AB$1006:$AQ$1006,0)))),"Fix")))</f>
        <v>0</v>
      </c>
      <c r="D18" s="5">
        <f>IF(OR(INDEX($V$2:$V$1001,MATCH(ROWS($U$2:U18),$U$2:$U$1001,0),1)&gt;=100000,INDEX($AB$1005:$AQ$1005,1,MATCH(COLUMNS($AB$1006:AD1006),$AB$1006:$AQ$1006,0))&gt;=100000), " ",IF(INDEX($AB$2:$AQ$1001,MATCH(ROWS($U$2:U18),$U$2:$U$1001,0),MATCH(COLUMNS($AB$1006:AD1006),$AB$1006:$AQ$1006,0)), HYPERLINK("#",""), HYPERLINK(CONCATENATE("#Metadata!", ADDRESS(INDEX($W$2:$W$1001,MATCH(ROWS($U$2:U18),$U$2:$U$1001,0),0), INDEX($AB$1004:$AQ$1004,1,MATCH(COLUMNS($AB$1006:AD1006),$AB$1006:$AQ$1006,0)))),"Fix")))</f>
        <v>0</v>
      </c>
      <c r="E18" s="5">
        <f>IF(OR(INDEX($V$2:$V$1001,MATCH(ROWS($U$2:U18),$U$2:$U$1001,0),1)&gt;=100000,INDEX($AB$1005:$AQ$1005,1,MATCH(COLUMNS($AB$1006:AE1006),$AB$1006:$AQ$1006,0))&gt;=100000), " ",IF(INDEX($AB$2:$AQ$1001,MATCH(ROWS($U$2:U18),$U$2:$U$1001,0),MATCH(COLUMNS($AB$1006:AE1006),$AB$1006:$AQ$1006,0)), HYPERLINK("#",""), HYPERLINK(CONCATENATE("#Metadata!", ADDRESS(INDEX($W$2:$W$1001,MATCH(ROWS($U$2:U18),$U$2:$U$1001,0),0), INDEX($AB$1004:$AQ$1004,1,MATCH(COLUMNS($AB$1006:AE1006),$AB$1006:$AQ$1006,0)))),"Fix")))</f>
        <v>0</v>
      </c>
      <c r="F18" s="5">
        <f>IF(OR(INDEX($V$2:$V$1001,MATCH(ROWS($U$2:U18),$U$2:$U$1001,0),1)&gt;=100000,INDEX($AB$1005:$AQ$1005,1,MATCH(COLUMNS($AB$1006:AF1006),$AB$1006:$AQ$1006,0))&gt;=100000), " ",IF(INDEX($AB$2:$AQ$1001,MATCH(ROWS($U$2:U18),$U$2:$U$1001,0),MATCH(COLUMNS($AB$1006:AF1006),$AB$1006:$AQ$1006,0)), HYPERLINK("#",""), HYPERLINK(CONCATENATE("#Metadata!", ADDRESS(INDEX($W$2:$W$1001,MATCH(ROWS($U$2:U18),$U$2:$U$1001,0),0), INDEX($AB$1004:$AQ$1004,1,MATCH(COLUMNS($AB$1006:AF1006),$AB$1006:$AQ$1006,0)))),"Fix")))</f>
        <v>0</v>
      </c>
      <c r="G18" s="5">
        <f>IF(OR(INDEX($V$2:$V$1001,MATCH(ROWS($U$2:U18),$U$2:$U$1001,0),1)&gt;=100000,INDEX($AB$1005:$AQ$1005,1,MATCH(COLUMNS($AB$1006:AG1006),$AB$1006:$AQ$1006,0))&gt;=100000), " ",IF(INDEX($AB$2:$AQ$1001,MATCH(ROWS($U$2:U18),$U$2:$U$1001,0),MATCH(COLUMNS($AB$1006:AG1006),$AB$1006:$AQ$1006,0)), HYPERLINK("#",""), HYPERLINK(CONCATENATE("#Metadata!", ADDRESS(INDEX($W$2:$W$1001,MATCH(ROWS($U$2:U18),$U$2:$U$1001,0),0), INDEX($AB$1004:$AQ$1004,1,MATCH(COLUMNS($AB$1006:AG1006),$AB$1006:$AQ$1006,0)))),"Fix")))</f>
        <v>0</v>
      </c>
      <c r="H18" s="5">
        <f>IF(OR(INDEX($V$2:$V$1001,MATCH(ROWS($U$2:U18),$U$2:$U$1001,0),1)&gt;=100000,INDEX($AB$1005:$AQ$1005,1,MATCH(COLUMNS($AB$1006:AH1006),$AB$1006:$AQ$1006,0))&gt;=100000), " ",IF(INDEX($AB$2:$AQ$1001,MATCH(ROWS($U$2:U18),$U$2:$U$1001,0),MATCH(COLUMNS($AB$1006:AH1006),$AB$1006:$AQ$1006,0)), HYPERLINK("#",""), HYPERLINK(CONCATENATE("#Metadata!", ADDRESS(INDEX($W$2:$W$1001,MATCH(ROWS($U$2:U18),$U$2:$U$1001,0),0), INDEX($AB$1004:$AQ$1004,1,MATCH(COLUMNS($AB$1006:AH1006),$AB$1006:$AQ$1006,0)))),"Fix")))</f>
        <v>0</v>
      </c>
      <c r="I18" s="5">
        <f>IF(OR(INDEX($V$2:$V$1001,MATCH(ROWS($U$2:U18),$U$2:$U$1001,0),1)&gt;=100000,INDEX($AB$1005:$AQ$1005,1,MATCH(COLUMNS($AB$1006:AI1006),$AB$1006:$AQ$1006,0))&gt;=100000), " ",IF(INDEX($AB$2:$AQ$1001,MATCH(ROWS($U$2:U18),$U$2:$U$1001,0),MATCH(COLUMNS($AB$1006:AI1006),$AB$1006:$AQ$1006,0)), HYPERLINK("#",""), HYPERLINK(CONCATENATE("#Metadata!", ADDRESS(INDEX($W$2:$W$1001,MATCH(ROWS($U$2:U18),$U$2:$U$1001,0),0), INDEX($AB$1004:$AQ$1004,1,MATCH(COLUMNS($AB$1006:AI1006),$AB$1006:$AQ$1006,0)))),"Fix")))</f>
        <v>0</v>
      </c>
      <c r="J18" s="5">
        <f>IF(OR(INDEX($V$2:$V$1001,MATCH(ROWS($U$2:U18),$U$2:$U$1001,0),1)&gt;=100000,INDEX($AB$1005:$AQ$1005,1,MATCH(COLUMNS($AB$1006:AJ1006),$AB$1006:$AQ$1006,0))&gt;=100000), " ",IF(INDEX($AB$2:$AQ$1001,MATCH(ROWS($U$2:U18),$U$2:$U$1001,0),MATCH(COLUMNS($AB$1006:AJ1006),$AB$1006:$AQ$1006,0)), HYPERLINK("#",""), HYPERLINK(CONCATENATE("#Metadata!", ADDRESS(INDEX($W$2:$W$1001,MATCH(ROWS($U$2:U18),$U$2:$U$1001,0),0), INDEX($AB$1004:$AQ$1004,1,MATCH(COLUMNS($AB$1006:AJ1006),$AB$1006:$AQ$1006,0)))),"Fix")))</f>
        <v>0</v>
      </c>
      <c r="K18" s="5">
        <f>IF(OR(INDEX($V$2:$V$1001,MATCH(ROWS($U$2:U18),$U$2:$U$1001,0),1)&gt;=100000,INDEX($AB$1005:$AQ$1005,1,MATCH(COLUMNS($AB$1006:AK1006),$AB$1006:$AQ$1006,0))&gt;=100000), " ",IF(INDEX($AB$2:$AQ$1001,MATCH(ROWS($U$2:U18),$U$2:$U$1001,0),MATCH(COLUMNS($AB$1006:AK1006),$AB$1006:$AQ$1006,0)), HYPERLINK("#",""), HYPERLINK(CONCATENATE("#Metadata!", ADDRESS(INDEX($W$2:$W$1001,MATCH(ROWS($U$2:U18),$U$2:$U$1001,0),0), INDEX($AB$1004:$AQ$1004,1,MATCH(COLUMNS($AB$1006:AK1006),$AB$1006:$AQ$1006,0)))),"Fix")))</f>
        <v>0</v>
      </c>
      <c r="L18" s="5">
        <f>IF(OR(INDEX($V$2:$V$1001,MATCH(ROWS($U$2:U18),$U$2:$U$1001,0),1)&gt;=100000,INDEX($AB$1005:$AQ$1005,1,MATCH(COLUMNS($AB$1006:AL1006),$AB$1006:$AQ$1006,0))&gt;=100000), " ",IF(INDEX($AB$2:$AQ$1001,MATCH(ROWS($U$2:U18),$U$2:$U$1001,0),MATCH(COLUMNS($AB$1006:AL1006),$AB$1006:$AQ$1006,0)), HYPERLINK("#",""), HYPERLINK(CONCATENATE("#Metadata!", ADDRESS(INDEX($W$2:$W$1001,MATCH(ROWS($U$2:U18),$U$2:$U$1001,0),0), INDEX($AB$1004:$AQ$1004,1,MATCH(COLUMNS($AB$1006:AL1006),$AB$1006:$AQ$1006,0)))),"Fix")))</f>
        <v>0</v>
      </c>
      <c r="M18" s="5">
        <f>IF(OR(INDEX($V$2:$V$1001,MATCH(ROWS($U$2:U18),$U$2:$U$1001,0),1)&gt;=100000,INDEX($AB$1005:$AQ$1005,1,MATCH(COLUMNS($AB$1006:AM1006),$AB$1006:$AQ$1006,0))&gt;=100000), " ",IF(INDEX($AB$2:$AQ$1001,MATCH(ROWS($U$2:U18),$U$2:$U$1001,0),MATCH(COLUMNS($AB$1006:AM1006),$AB$1006:$AQ$1006,0)), HYPERLINK("#",""), HYPERLINK(CONCATENATE("#Metadata!", ADDRESS(INDEX($W$2:$W$1001,MATCH(ROWS($U$2:U18),$U$2:$U$1001,0),0), INDEX($AB$1004:$AQ$1004,1,MATCH(COLUMNS($AB$1006:AM1006),$AB$1006:$AQ$1006,0)))),"Fix")))</f>
        <v>0</v>
      </c>
      <c r="N18" s="5">
        <f>IF(OR(INDEX($V$2:$V$1001,MATCH(ROWS($U$2:U18),$U$2:$U$1001,0),1)&gt;=100000,INDEX($AB$1005:$AQ$1005,1,MATCH(COLUMNS($AB$1006:AN1006),$AB$1006:$AQ$1006,0))&gt;=100000), " ",IF(INDEX($AB$2:$AQ$1001,MATCH(ROWS($U$2:U18),$U$2:$U$1001,0),MATCH(COLUMNS($AB$1006:AN1006),$AB$1006:$AQ$1006,0)), HYPERLINK("#",""), HYPERLINK(CONCATENATE("#Metadata!", ADDRESS(INDEX($W$2:$W$1001,MATCH(ROWS($U$2:U18),$U$2:$U$1001,0),0), INDEX($AB$1004:$AQ$1004,1,MATCH(COLUMNS($AB$1006:AN1006),$AB$1006:$AQ$1006,0)))),"Fix")))</f>
        <v>0</v>
      </c>
      <c r="O18" s="5">
        <f>IF(OR(INDEX($V$2:$V$1001,MATCH(ROWS($U$2:U18),$U$2:$U$1001,0),1)&gt;=100000,INDEX($AB$1005:$AQ$1005,1,MATCH(COLUMNS($AB$1006:AO1006),$AB$1006:$AQ$1006,0))&gt;=100000), " ",IF(INDEX($AB$2:$AQ$1001,MATCH(ROWS($U$2:U18),$U$2:$U$1001,0),MATCH(COLUMNS($AB$1006:AO1006),$AB$1006:$AQ$1006,0)), HYPERLINK("#",""), HYPERLINK(CONCATENATE("#Metadata!", ADDRESS(INDEX($W$2:$W$1001,MATCH(ROWS($U$2:U18),$U$2:$U$1001,0),0), INDEX($AB$1004:$AQ$1004,1,MATCH(COLUMNS($AB$1006:AO1006),$AB$1006:$AQ$1006,0)))),"Fix")))</f>
        <v>0</v>
      </c>
      <c r="P18" s="5">
        <f>IF(OR(INDEX($V$2:$V$1001,MATCH(ROWS($U$2:U18),$U$2:$U$1001,0),1)&gt;=100000,INDEX($AB$1005:$AQ$1005,1,MATCH(COLUMNS($AB$1006:AP1006),$AB$1006:$AQ$1006,0))&gt;=100000), " ",IF(INDEX($AB$2:$AQ$1001,MATCH(ROWS($U$2:U18),$U$2:$U$1001,0),MATCH(COLUMNS($AB$1006:AP1006),$AB$1006:$AQ$1006,0)), HYPERLINK("#",""), HYPERLINK(CONCATENATE("#Metadata!", ADDRESS(INDEX($W$2:$W$1001,MATCH(ROWS($U$2:U18),$U$2:$U$1001,0),0), INDEX($AB$1004:$AQ$1004,1,MATCH(COLUMNS($AB$1006:AP1006),$AB$1006:$AQ$1006,0)))),"Fix")))</f>
        <v>0</v>
      </c>
      <c r="Q18" s="5">
        <f>IF(OR(INDEX($V$2:$V$1001,MATCH(ROWS($U$2:U18),$U$2:$U$1001,0),1)&gt;=100000,INDEX($AB$1005:$AQ$1005,1,MATCH(COLUMNS($AB$1006:AQ1006),$AB$1006:$AQ$1006,0))&gt;=100000), " ",IF(INDEX($AB$2:$AQ$1001,MATCH(ROWS($U$2:U18),$U$2:$U$1001,0),MATCH(COLUMNS($AB$1006:AQ1006),$AB$1006:$AQ$1006,0)), HYPERLINK("#",""), HYPERLINK(CONCATENATE("#Metadata!", ADDRESS(INDEX($W$2:$W$1001,MATCH(ROWS($U$2:U18),$U$2:$U$1001,0),0), INDEX($AB$1004:$AQ$1004,1,MATCH(COLUMNS($AB$1006:AQ1006),$AB$1006:$AQ$1006,0)))),"Fix")))</f>
        <v>0</v>
      </c>
      <c r="U18">
        <v>0</v>
      </c>
      <c r="V18">
        <v>0</v>
      </c>
      <c r="W18">
        <v>0</v>
      </c>
      <c r="X18">
        <f>IF(Y18,TRUE,AND(AB18:AQ18))</f>
        <v>0</v>
      </c>
      <c r="Y18">
        <f>COUNTBLANK(Metadata!B18:Q18)=COLUMNS(Metadata!B18:Q18)</f>
        <v>0</v>
      </c>
      <c r="Z18">
        <v>0</v>
      </c>
      <c r="AB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AC18">
        <f>AND(IF(Metadata!C18="",FALSE,TRUE),exact(Metadata!C18,"urban biome"))</f>
        <v>0</v>
      </c>
      <c r="AD18">
        <f>AND(IF(Metadata!D18="",FALSE,TRUE),exact(Metadata!D18,"human-associated habitat"))</f>
        <v>0</v>
      </c>
      <c r="AE18">
        <f>AND(IF(Metadata!E18="",FALSE,TRUE),OR(exact(Metadata!E18,"human-associated"),exact(Metadata!E18,"human-skin"),exact(Metadata!E18,"human-oral"),exact(Metadata!E18,"human-gut"),exact(Metadata!E18,"human-vaginal")))</f>
        <v>0</v>
      </c>
      <c r="AF18">
        <f>AND(IF(Metadata!F18="",FALSE,ISNUMBER(VALUE(Metadata!F18))),Metadata!F18&gt;0)</f>
        <v>0</v>
      </c>
      <c r="AG18">
        <f>AND(IF(Metadata!G18="",FALSE,TRUE),exact(Metadata!G18,"years"))</f>
        <v>0</v>
      </c>
      <c r="AH18">
        <f>OR(AND(IF(Metadata!H18="",FALSE,TRUE),OR(exact(Metadata!H18,"not applicable"),exact(Metadata!H18,"not collected"),exact(Metadata!H18,"not provided"),exact(Metadata!H18,"restricted access"))),AND(IF(Metadata!H18="",FALSE,ISNUMBER(VALUE(Metadata!H18))),Metadata!H18&gt;0))</f>
        <v>0</v>
      </c>
      <c r="AI18">
        <f>AND(IF(Metadata!I18="",FALSE,TRUE),exact(Metadata!I18,"human"))</f>
        <v>0</v>
      </c>
      <c r="AJ18">
        <f>AND(IF(Metadata!J18="",FALSE,ISNUMBER(VALUE(Metadata!J18))),Metadata!J18&gt;0)</f>
        <v>0</v>
      </c>
      <c r="AK18">
        <f>AND(IF(Metadata!K18="",FALSE,TRUE),exact(Metadata!K18,"cm"))</f>
        <v>0</v>
      </c>
      <c r="AL18">
        <f>AND(IF(Metadata!L18="",FALSE,TRUE),exact(Metadata!L18,"Homo sapiens"))</f>
        <v>0</v>
      </c>
      <c r="AM18">
        <f>AND(IF(Metadata!M18="",FALSE,TRUE),exact(Metadata!M18,"9606"))</f>
        <v>0</v>
      </c>
      <c r="AN18">
        <f>AND(IF(Metadata!N18="",FALSE,ISNUMBER(VALUE(Metadata!N18))),Metadata!N18&gt;0)</f>
        <v>0</v>
      </c>
      <c r="AO18">
        <f>AND(IF(Metadata!O18="",FALSE,TRUE),exact(Metadata!O18,"kg"))</f>
        <v>0</v>
      </c>
      <c r="AP18">
        <f>OR(AND(IF(Metadata!P18="",FALSE,TRUE),exact(Metadata!P18,"not provided")),IF(Metadata!P18="",FALSE,TRUE))</f>
        <v>0</v>
      </c>
      <c r="AQ18">
        <f>OR(AND(IF(Metadata!Q18="",FALSE,TRUE),exact(Metadata!Q18,"not provided")),IF(Metadata!Q18="",FALSE,TRUE))</f>
        <v>0</v>
      </c>
    </row>
    <row r="19" spans="1:43">
      <c r="A19" s="4">
        <f>IF(B19=" "," ",HYPERLINK(CONCATENATE("#metadata!",ADDRESS(INDEX($W$2:$W$1001,MATCH(ROWS($U$2:U19),$U$2:$U$1001,0),0),2)),INDEX($Z$2:$Z$1001,MATCH(ROWS($U$2:U19),$U$2:$U$1001,0),0)))</f>
        <v>0</v>
      </c>
      <c r="B19" s="5">
        <f>IF(OR(INDEX($V$2:$V$1001,MATCH(ROWS($U$2:U19),$U$2:$U$1001,0),1)&gt;=100000,INDEX($AB$1005:$AQ$1005,1,MATCH(COLUMNS($AB$1006:AB1006),$AB$1006:$AQ$1006,0))&gt;=100000), " ",IF(INDEX($AB$2:$AQ$1001,MATCH(ROWS($U$2:U19),$U$2:$U$1001,0),MATCH(COLUMNS($AB$1006:AB1006),$AB$1006:$AQ$1006,0)), HYPERLINK("#",""), HYPERLINK(CONCATENATE("#Metadata!", ADDRESS(INDEX($W$2:$W$1001,MATCH(ROWS($U$2:U19),$U$2:$U$1001,0),0), INDEX($AB$1004:$AQ$1004,1,MATCH(COLUMNS($AB$1006:AB1006),$AB$1006:$AQ$1006,0)))),"Fix")))</f>
        <v>0</v>
      </c>
      <c r="C19" s="5">
        <f>IF(OR(INDEX($V$2:$V$1001,MATCH(ROWS($U$2:U19),$U$2:$U$1001,0),1)&gt;=100000,INDEX($AB$1005:$AQ$1005,1,MATCH(COLUMNS($AB$1006:AC1006),$AB$1006:$AQ$1006,0))&gt;=100000), " ",IF(INDEX($AB$2:$AQ$1001,MATCH(ROWS($U$2:U19),$U$2:$U$1001,0),MATCH(COLUMNS($AB$1006:AC1006),$AB$1006:$AQ$1006,0)), HYPERLINK("#",""), HYPERLINK(CONCATENATE("#Metadata!", ADDRESS(INDEX($W$2:$W$1001,MATCH(ROWS($U$2:U19),$U$2:$U$1001,0),0), INDEX($AB$1004:$AQ$1004,1,MATCH(COLUMNS($AB$1006:AC1006),$AB$1006:$AQ$1006,0)))),"Fix")))</f>
        <v>0</v>
      </c>
      <c r="D19" s="5">
        <f>IF(OR(INDEX($V$2:$V$1001,MATCH(ROWS($U$2:U19),$U$2:$U$1001,0),1)&gt;=100000,INDEX($AB$1005:$AQ$1005,1,MATCH(COLUMNS($AB$1006:AD1006),$AB$1006:$AQ$1006,0))&gt;=100000), " ",IF(INDEX($AB$2:$AQ$1001,MATCH(ROWS($U$2:U19),$U$2:$U$1001,0),MATCH(COLUMNS($AB$1006:AD1006),$AB$1006:$AQ$1006,0)), HYPERLINK("#",""), HYPERLINK(CONCATENATE("#Metadata!", ADDRESS(INDEX($W$2:$W$1001,MATCH(ROWS($U$2:U19),$U$2:$U$1001,0),0), INDEX($AB$1004:$AQ$1004,1,MATCH(COLUMNS($AB$1006:AD1006),$AB$1006:$AQ$1006,0)))),"Fix")))</f>
        <v>0</v>
      </c>
      <c r="E19" s="5">
        <f>IF(OR(INDEX($V$2:$V$1001,MATCH(ROWS($U$2:U19),$U$2:$U$1001,0),1)&gt;=100000,INDEX($AB$1005:$AQ$1005,1,MATCH(COLUMNS($AB$1006:AE1006),$AB$1006:$AQ$1006,0))&gt;=100000), " ",IF(INDEX($AB$2:$AQ$1001,MATCH(ROWS($U$2:U19),$U$2:$U$1001,0),MATCH(COLUMNS($AB$1006:AE1006),$AB$1006:$AQ$1006,0)), HYPERLINK("#",""), HYPERLINK(CONCATENATE("#Metadata!", ADDRESS(INDEX($W$2:$W$1001,MATCH(ROWS($U$2:U19),$U$2:$U$1001,0),0), INDEX($AB$1004:$AQ$1004,1,MATCH(COLUMNS($AB$1006:AE1006),$AB$1006:$AQ$1006,0)))),"Fix")))</f>
        <v>0</v>
      </c>
      <c r="F19" s="5">
        <f>IF(OR(INDEX($V$2:$V$1001,MATCH(ROWS($U$2:U19),$U$2:$U$1001,0),1)&gt;=100000,INDEX($AB$1005:$AQ$1005,1,MATCH(COLUMNS($AB$1006:AF1006),$AB$1006:$AQ$1006,0))&gt;=100000), " ",IF(INDEX($AB$2:$AQ$1001,MATCH(ROWS($U$2:U19),$U$2:$U$1001,0),MATCH(COLUMNS($AB$1006:AF1006),$AB$1006:$AQ$1006,0)), HYPERLINK("#",""), HYPERLINK(CONCATENATE("#Metadata!", ADDRESS(INDEX($W$2:$W$1001,MATCH(ROWS($U$2:U19),$U$2:$U$1001,0),0), INDEX($AB$1004:$AQ$1004,1,MATCH(COLUMNS($AB$1006:AF1006),$AB$1006:$AQ$1006,0)))),"Fix")))</f>
        <v>0</v>
      </c>
      <c r="G19" s="5">
        <f>IF(OR(INDEX($V$2:$V$1001,MATCH(ROWS($U$2:U19),$U$2:$U$1001,0),1)&gt;=100000,INDEX($AB$1005:$AQ$1005,1,MATCH(COLUMNS($AB$1006:AG1006),$AB$1006:$AQ$1006,0))&gt;=100000), " ",IF(INDEX($AB$2:$AQ$1001,MATCH(ROWS($U$2:U19),$U$2:$U$1001,0),MATCH(COLUMNS($AB$1006:AG1006),$AB$1006:$AQ$1006,0)), HYPERLINK("#",""), HYPERLINK(CONCATENATE("#Metadata!", ADDRESS(INDEX($W$2:$W$1001,MATCH(ROWS($U$2:U19),$U$2:$U$1001,0),0), INDEX($AB$1004:$AQ$1004,1,MATCH(COLUMNS($AB$1006:AG1006),$AB$1006:$AQ$1006,0)))),"Fix")))</f>
        <v>0</v>
      </c>
      <c r="H19" s="5">
        <f>IF(OR(INDEX($V$2:$V$1001,MATCH(ROWS($U$2:U19),$U$2:$U$1001,0),1)&gt;=100000,INDEX($AB$1005:$AQ$1005,1,MATCH(COLUMNS($AB$1006:AH1006),$AB$1006:$AQ$1006,0))&gt;=100000), " ",IF(INDEX($AB$2:$AQ$1001,MATCH(ROWS($U$2:U19),$U$2:$U$1001,0),MATCH(COLUMNS($AB$1006:AH1006),$AB$1006:$AQ$1006,0)), HYPERLINK("#",""), HYPERLINK(CONCATENATE("#Metadata!", ADDRESS(INDEX($W$2:$W$1001,MATCH(ROWS($U$2:U19),$U$2:$U$1001,0),0), INDEX($AB$1004:$AQ$1004,1,MATCH(COLUMNS($AB$1006:AH1006),$AB$1006:$AQ$1006,0)))),"Fix")))</f>
        <v>0</v>
      </c>
      <c r="I19" s="5">
        <f>IF(OR(INDEX($V$2:$V$1001,MATCH(ROWS($U$2:U19),$U$2:$U$1001,0),1)&gt;=100000,INDEX($AB$1005:$AQ$1005,1,MATCH(COLUMNS($AB$1006:AI1006),$AB$1006:$AQ$1006,0))&gt;=100000), " ",IF(INDEX($AB$2:$AQ$1001,MATCH(ROWS($U$2:U19),$U$2:$U$1001,0),MATCH(COLUMNS($AB$1006:AI1006),$AB$1006:$AQ$1006,0)), HYPERLINK("#",""), HYPERLINK(CONCATENATE("#Metadata!", ADDRESS(INDEX($W$2:$W$1001,MATCH(ROWS($U$2:U19),$U$2:$U$1001,0),0), INDEX($AB$1004:$AQ$1004,1,MATCH(COLUMNS($AB$1006:AI1006),$AB$1006:$AQ$1006,0)))),"Fix")))</f>
        <v>0</v>
      </c>
      <c r="J19" s="5">
        <f>IF(OR(INDEX($V$2:$V$1001,MATCH(ROWS($U$2:U19),$U$2:$U$1001,0),1)&gt;=100000,INDEX($AB$1005:$AQ$1005,1,MATCH(COLUMNS($AB$1006:AJ1006),$AB$1006:$AQ$1006,0))&gt;=100000), " ",IF(INDEX($AB$2:$AQ$1001,MATCH(ROWS($U$2:U19),$U$2:$U$1001,0),MATCH(COLUMNS($AB$1006:AJ1006),$AB$1006:$AQ$1006,0)), HYPERLINK("#",""), HYPERLINK(CONCATENATE("#Metadata!", ADDRESS(INDEX($W$2:$W$1001,MATCH(ROWS($U$2:U19),$U$2:$U$1001,0),0), INDEX($AB$1004:$AQ$1004,1,MATCH(COLUMNS($AB$1006:AJ1006),$AB$1006:$AQ$1006,0)))),"Fix")))</f>
        <v>0</v>
      </c>
      <c r="K19" s="5">
        <f>IF(OR(INDEX($V$2:$V$1001,MATCH(ROWS($U$2:U19),$U$2:$U$1001,0),1)&gt;=100000,INDEX($AB$1005:$AQ$1005,1,MATCH(COLUMNS($AB$1006:AK1006),$AB$1006:$AQ$1006,0))&gt;=100000), " ",IF(INDEX($AB$2:$AQ$1001,MATCH(ROWS($U$2:U19),$U$2:$U$1001,0),MATCH(COLUMNS($AB$1006:AK1006),$AB$1006:$AQ$1006,0)), HYPERLINK("#",""), HYPERLINK(CONCATENATE("#Metadata!", ADDRESS(INDEX($W$2:$W$1001,MATCH(ROWS($U$2:U19),$U$2:$U$1001,0),0), INDEX($AB$1004:$AQ$1004,1,MATCH(COLUMNS($AB$1006:AK1006),$AB$1006:$AQ$1006,0)))),"Fix")))</f>
        <v>0</v>
      </c>
      <c r="L19" s="5">
        <f>IF(OR(INDEX($V$2:$V$1001,MATCH(ROWS($U$2:U19),$U$2:$U$1001,0),1)&gt;=100000,INDEX($AB$1005:$AQ$1005,1,MATCH(COLUMNS($AB$1006:AL1006),$AB$1006:$AQ$1006,0))&gt;=100000), " ",IF(INDEX($AB$2:$AQ$1001,MATCH(ROWS($U$2:U19),$U$2:$U$1001,0),MATCH(COLUMNS($AB$1006:AL1006),$AB$1006:$AQ$1006,0)), HYPERLINK("#",""), HYPERLINK(CONCATENATE("#Metadata!", ADDRESS(INDEX($W$2:$W$1001,MATCH(ROWS($U$2:U19),$U$2:$U$1001,0),0), INDEX($AB$1004:$AQ$1004,1,MATCH(COLUMNS($AB$1006:AL1006),$AB$1006:$AQ$1006,0)))),"Fix")))</f>
        <v>0</v>
      </c>
      <c r="M19" s="5">
        <f>IF(OR(INDEX($V$2:$V$1001,MATCH(ROWS($U$2:U19),$U$2:$U$1001,0),1)&gt;=100000,INDEX($AB$1005:$AQ$1005,1,MATCH(COLUMNS($AB$1006:AM1006),$AB$1006:$AQ$1006,0))&gt;=100000), " ",IF(INDEX($AB$2:$AQ$1001,MATCH(ROWS($U$2:U19),$U$2:$U$1001,0),MATCH(COLUMNS($AB$1006:AM1006),$AB$1006:$AQ$1006,0)), HYPERLINK("#",""), HYPERLINK(CONCATENATE("#Metadata!", ADDRESS(INDEX($W$2:$W$1001,MATCH(ROWS($U$2:U19),$U$2:$U$1001,0),0), INDEX($AB$1004:$AQ$1004,1,MATCH(COLUMNS($AB$1006:AM1006),$AB$1006:$AQ$1006,0)))),"Fix")))</f>
        <v>0</v>
      </c>
      <c r="N19" s="5">
        <f>IF(OR(INDEX($V$2:$V$1001,MATCH(ROWS($U$2:U19),$U$2:$U$1001,0),1)&gt;=100000,INDEX($AB$1005:$AQ$1005,1,MATCH(COLUMNS($AB$1006:AN1006),$AB$1006:$AQ$1006,0))&gt;=100000), " ",IF(INDEX($AB$2:$AQ$1001,MATCH(ROWS($U$2:U19),$U$2:$U$1001,0),MATCH(COLUMNS($AB$1006:AN1006),$AB$1006:$AQ$1006,0)), HYPERLINK("#",""), HYPERLINK(CONCATENATE("#Metadata!", ADDRESS(INDEX($W$2:$W$1001,MATCH(ROWS($U$2:U19),$U$2:$U$1001,0),0), INDEX($AB$1004:$AQ$1004,1,MATCH(COLUMNS($AB$1006:AN1006),$AB$1006:$AQ$1006,0)))),"Fix")))</f>
        <v>0</v>
      </c>
      <c r="O19" s="5">
        <f>IF(OR(INDEX($V$2:$V$1001,MATCH(ROWS($U$2:U19),$U$2:$U$1001,0),1)&gt;=100000,INDEX($AB$1005:$AQ$1005,1,MATCH(COLUMNS($AB$1006:AO1006),$AB$1006:$AQ$1006,0))&gt;=100000), " ",IF(INDEX($AB$2:$AQ$1001,MATCH(ROWS($U$2:U19),$U$2:$U$1001,0),MATCH(COLUMNS($AB$1006:AO1006),$AB$1006:$AQ$1006,0)), HYPERLINK("#",""), HYPERLINK(CONCATENATE("#Metadata!", ADDRESS(INDEX($W$2:$W$1001,MATCH(ROWS($U$2:U19),$U$2:$U$1001,0),0), INDEX($AB$1004:$AQ$1004,1,MATCH(COLUMNS($AB$1006:AO1006),$AB$1006:$AQ$1006,0)))),"Fix")))</f>
        <v>0</v>
      </c>
      <c r="P19" s="5">
        <f>IF(OR(INDEX($V$2:$V$1001,MATCH(ROWS($U$2:U19),$U$2:$U$1001,0),1)&gt;=100000,INDEX($AB$1005:$AQ$1005,1,MATCH(COLUMNS($AB$1006:AP1006),$AB$1006:$AQ$1006,0))&gt;=100000), " ",IF(INDEX($AB$2:$AQ$1001,MATCH(ROWS($U$2:U19),$U$2:$U$1001,0),MATCH(COLUMNS($AB$1006:AP1006),$AB$1006:$AQ$1006,0)), HYPERLINK("#",""), HYPERLINK(CONCATENATE("#Metadata!", ADDRESS(INDEX($W$2:$W$1001,MATCH(ROWS($U$2:U19),$U$2:$U$1001,0),0), INDEX($AB$1004:$AQ$1004,1,MATCH(COLUMNS($AB$1006:AP1006),$AB$1006:$AQ$1006,0)))),"Fix")))</f>
        <v>0</v>
      </c>
      <c r="Q19" s="5">
        <f>IF(OR(INDEX($V$2:$V$1001,MATCH(ROWS($U$2:U19),$U$2:$U$1001,0),1)&gt;=100000,INDEX($AB$1005:$AQ$1005,1,MATCH(COLUMNS($AB$1006:AQ1006),$AB$1006:$AQ$1006,0))&gt;=100000), " ",IF(INDEX($AB$2:$AQ$1001,MATCH(ROWS($U$2:U19),$U$2:$U$1001,0),MATCH(COLUMNS($AB$1006:AQ1006),$AB$1006:$AQ$1006,0)), HYPERLINK("#",""), HYPERLINK(CONCATENATE("#Metadata!", ADDRESS(INDEX($W$2:$W$1001,MATCH(ROWS($U$2:U19),$U$2:$U$1001,0),0), INDEX($AB$1004:$AQ$1004,1,MATCH(COLUMNS($AB$1006:AQ1006),$AB$1006:$AQ$1006,0)))),"Fix")))</f>
        <v>0</v>
      </c>
      <c r="U19">
        <v>0</v>
      </c>
      <c r="V19">
        <v>0</v>
      </c>
      <c r="W19">
        <v>0</v>
      </c>
      <c r="X19">
        <f>IF(Y19,TRUE,AND(AB19:AQ19))</f>
        <v>0</v>
      </c>
      <c r="Y19">
        <f>COUNTBLANK(Metadata!B19:Q19)=COLUMNS(Metadata!B19:Q19)</f>
        <v>0</v>
      </c>
      <c r="Z19">
        <v>0</v>
      </c>
      <c r="AB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AC19">
        <f>AND(IF(Metadata!C19="",FALSE,TRUE),exact(Metadata!C19,"urban biome"))</f>
        <v>0</v>
      </c>
      <c r="AD19">
        <f>AND(IF(Metadata!D19="",FALSE,TRUE),exact(Metadata!D19,"human-associated habitat"))</f>
        <v>0</v>
      </c>
      <c r="AE19">
        <f>AND(IF(Metadata!E19="",FALSE,TRUE),OR(exact(Metadata!E19,"human-associated"),exact(Metadata!E19,"human-skin"),exact(Metadata!E19,"human-oral"),exact(Metadata!E19,"human-gut"),exact(Metadata!E19,"human-vaginal")))</f>
        <v>0</v>
      </c>
      <c r="AF19">
        <f>AND(IF(Metadata!F19="",FALSE,ISNUMBER(VALUE(Metadata!F19))),Metadata!F19&gt;0)</f>
        <v>0</v>
      </c>
      <c r="AG19">
        <f>AND(IF(Metadata!G19="",FALSE,TRUE),exact(Metadata!G19,"years"))</f>
        <v>0</v>
      </c>
      <c r="AH19">
        <f>OR(AND(IF(Metadata!H19="",FALSE,TRUE),OR(exact(Metadata!H19,"not applicable"),exact(Metadata!H19,"not collected"),exact(Metadata!H19,"not provided"),exact(Metadata!H19,"restricted access"))),AND(IF(Metadata!H19="",FALSE,ISNUMBER(VALUE(Metadata!H19))),Metadata!H19&gt;0))</f>
        <v>0</v>
      </c>
      <c r="AI19">
        <f>AND(IF(Metadata!I19="",FALSE,TRUE),exact(Metadata!I19,"human"))</f>
        <v>0</v>
      </c>
      <c r="AJ19">
        <f>AND(IF(Metadata!J19="",FALSE,ISNUMBER(VALUE(Metadata!J19))),Metadata!J19&gt;0)</f>
        <v>0</v>
      </c>
      <c r="AK19">
        <f>AND(IF(Metadata!K19="",FALSE,TRUE),exact(Metadata!K19,"cm"))</f>
        <v>0</v>
      </c>
      <c r="AL19">
        <f>AND(IF(Metadata!L19="",FALSE,TRUE),exact(Metadata!L19,"Homo sapiens"))</f>
        <v>0</v>
      </c>
      <c r="AM19">
        <f>AND(IF(Metadata!M19="",FALSE,TRUE),exact(Metadata!M19,"9606"))</f>
        <v>0</v>
      </c>
      <c r="AN19">
        <f>AND(IF(Metadata!N19="",FALSE,ISNUMBER(VALUE(Metadata!N19))),Metadata!N19&gt;0)</f>
        <v>0</v>
      </c>
      <c r="AO19">
        <f>AND(IF(Metadata!O19="",FALSE,TRUE),exact(Metadata!O19,"kg"))</f>
        <v>0</v>
      </c>
      <c r="AP19">
        <f>OR(AND(IF(Metadata!P19="",FALSE,TRUE),exact(Metadata!P19,"not provided")),IF(Metadata!P19="",FALSE,TRUE))</f>
        <v>0</v>
      </c>
      <c r="AQ19">
        <f>OR(AND(IF(Metadata!Q19="",FALSE,TRUE),exact(Metadata!Q19,"not provided")),IF(Metadata!Q19="",FALSE,TRUE))</f>
        <v>0</v>
      </c>
    </row>
    <row r="20" spans="1:43">
      <c r="A20" s="4">
        <f>IF(B20=" "," ",HYPERLINK(CONCATENATE("#metadata!",ADDRESS(INDEX($W$2:$W$1001,MATCH(ROWS($U$2:U20),$U$2:$U$1001,0),0),2)),INDEX($Z$2:$Z$1001,MATCH(ROWS($U$2:U20),$U$2:$U$1001,0),0)))</f>
        <v>0</v>
      </c>
      <c r="B20" s="5">
        <f>IF(OR(INDEX($V$2:$V$1001,MATCH(ROWS($U$2:U20),$U$2:$U$1001,0),1)&gt;=100000,INDEX($AB$1005:$AQ$1005,1,MATCH(COLUMNS($AB$1006:AB1006),$AB$1006:$AQ$1006,0))&gt;=100000), " ",IF(INDEX($AB$2:$AQ$1001,MATCH(ROWS($U$2:U20),$U$2:$U$1001,0),MATCH(COLUMNS($AB$1006:AB1006),$AB$1006:$AQ$1006,0)), HYPERLINK("#",""), HYPERLINK(CONCATENATE("#Metadata!", ADDRESS(INDEX($W$2:$W$1001,MATCH(ROWS($U$2:U20),$U$2:$U$1001,0),0), INDEX($AB$1004:$AQ$1004,1,MATCH(COLUMNS($AB$1006:AB1006),$AB$1006:$AQ$1006,0)))),"Fix")))</f>
        <v>0</v>
      </c>
      <c r="C20" s="5">
        <f>IF(OR(INDEX($V$2:$V$1001,MATCH(ROWS($U$2:U20),$U$2:$U$1001,0),1)&gt;=100000,INDEX($AB$1005:$AQ$1005,1,MATCH(COLUMNS($AB$1006:AC1006),$AB$1006:$AQ$1006,0))&gt;=100000), " ",IF(INDEX($AB$2:$AQ$1001,MATCH(ROWS($U$2:U20),$U$2:$U$1001,0),MATCH(COLUMNS($AB$1006:AC1006),$AB$1006:$AQ$1006,0)), HYPERLINK("#",""), HYPERLINK(CONCATENATE("#Metadata!", ADDRESS(INDEX($W$2:$W$1001,MATCH(ROWS($U$2:U20),$U$2:$U$1001,0),0), INDEX($AB$1004:$AQ$1004,1,MATCH(COLUMNS($AB$1006:AC1006),$AB$1006:$AQ$1006,0)))),"Fix")))</f>
        <v>0</v>
      </c>
      <c r="D20" s="5">
        <f>IF(OR(INDEX($V$2:$V$1001,MATCH(ROWS($U$2:U20),$U$2:$U$1001,0),1)&gt;=100000,INDEX($AB$1005:$AQ$1005,1,MATCH(COLUMNS($AB$1006:AD1006),$AB$1006:$AQ$1006,0))&gt;=100000), " ",IF(INDEX($AB$2:$AQ$1001,MATCH(ROWS($U$2:U20),$U$2:$U$1001,0),MATCH(COLUMNS($AB$1006:AD1006),$AB$1006:$AQ$1006,0)), HYPERLINK("#",""), HYPERLINK(CONCATENATE("#Metadata!", ADDRESS(INDEX($W$2:$W$1001,MATCH(ROWS($U$2:U20),$U$2:$U$1001,0),0), INDEX($AB$1004:$AQ$1004,1,MATCH(COLUMNS($AB$1006:AD1006),$AB$1006:$AQ$1006,0)))),"Fix")))</f>
        <v>0</v>
      </c>
      <c r="E20" s="5">
        <f>IF(OR(INDEX($V$2:$V$1001,MATCH(ROWS($U$2:U20),$U$2:$U$1001,0),1)&gt;=100000,INDEX($AB$1005:$AQ$1005,1,MATCH(COLUMNS($AB$1006:AE1006),$AB$1006:$AQ$1006,0))&gt;=100000), " ",IF(INDEX($AB$2:$AQ$1001,MATCH(ROWS($U$2:U20),$U$2:$U$1001,0),MATCH(COLUMNS($AB$1006:AE1006),$AB$1006:$AQ$1006,0)), HYPERLINK("#",""), HYPERLINK(CONCATENATE("#Metadata!", ADDRESS(INDEX($W$2:$W$1001,MATCH(ROWS($U$2:U20),$U$2:$U$1001,0),0), INDEX($AB$1004:$AQ$1004,1,MATCH(COLUMNS($AB$1006:AE1006),$AB$1006:$AQ$1006,0)))),"Fix")))</f>
        <v>0</v>
      </c>
      <c r="F20" s="5">
        <f>IF(OR(INDEX($V$2:$V$1001,MATCH(ROWS($U$2:U20),$U$2:$U$1001,0),1)&gt;=100000,INDEX($AB$1005:$AQ$1005,1,MATCH(COLUMNS($AB$1006:AF1006),$AB$1006:$AQ$1006,0))&gt;=100000), " ",IF(INDEX($AB$2:$AQ$1001,MATCH(ROWS($U$2:U20),$U$2:$U$1001,0),MATCH(COLUMNS($AB$1006:AF1006),$AB$1006:$AQ$1006,0)), HYPERLINK("#",""), HYPERLINK(CONCATENATE("#Metadata!", ADDRESS(INDEX($W$2:$W$1001,MATCH(ROWS($U$2:U20),$U$2:$U$1001,0),0), INDEX($AB$1004:$AQ$1004,1,MATCH(COLUMNS($AB$1006:AF1006),$AB$1006:$AQ$1006,0)))),"Fix")))</f>
        <v>0</v>
      </c>
      <c r="G20" s="5">
        <f>IF(OR(INDEX($V$2:$V$1001,MATCH(ROWS($U$2:U20),$U$2:$U$1001,0),1)&gt;=100000,INDEX($AB$1005:$AQ$1005,1,MATCH(COLUMNS($AB$1006:AG1006),$AB$1006:$AQ$1006,0))&gt;=100000), " ",IF(INDEX($AB$2:$AQ$1001,MATCH(ROWS($U$2:U20),$U$2:$U$1001,0),MATCH(COLUMNS($AB$1006:AG1006),$AB$1006:$AQ$1006,0)), HYPERLINK("#",""), HYPERLINK(CONCATENATE("#Metadata!", ADDRESS(INDEX($W$2:$W$1001,MATCH(ROWS($U$2:U20),$U$2:$U$1001,0),0), INDEX($AB$1004:$AQ$1004,1,MATCH(COLUMNS($AB$1006:AG1006),$AB$1006:$AQ$1006,0)))),"Fix")))</f>
        <v>0</v>
      </c>
      <c r="H20" s="5">
        <f>IF(OR(INDEX($V$2:$V$1001,MATCH(ROWS($U$2:U20),$U$2:$U$1001,0),1)&gt;=100000,INDEX($AB$1005:$AQ$1005,1,MATCH(COLUMNS($AB$1006:AH1006),$AB$1006:$AQ$1006,0))&gt;=100000), " ",IF(INDEX($AB$2:$AQ$1001,MATCH(ROWS($U$2:U20),$U$2:$U$1001,0),MATCH(COLUMNS($AB$1006:AH1006),$AB$1006:$AQ$1006,0)), HYPERLINK("#",""), HYPERLINK(CONCATENATE("#Metadata!", ADDRESS(INDEX($W$2:$W$1001,MATCH(ROWS($U$2:U20),$U$2:$U$1001,0),0), INDEX($AB$1004:$AQ$1004,1,MATCH(COLUMNS($AB$1006:AH1006),$AB$1006:$AQ$1006,0)))),"Fix")))</f>
        <v>0</v>
      </c>
      <c r="I20" s="5">
        <f>IF(OR(INDEX($V$2:$V$1001,MATCH(ROWS($U$2:U20),$U$2:$U$1001,0),1)&gt;=100000,INDEX($AB$1005:$AQ$1005,1,MATCH(COLUMNS($AB$1006:AI1006),$AB$1006:$AQ$1006,0))&gt;=100000), " ",IF(INDEX($AB$2:$AQ$1001,MATCH(ROWS($U$2:U20),$U$2:$U$1001,0),MATCH(COLUMNS($AB$1006:AI1006),$AB$1006:$AQ$1006,0)), HYPERLINK("#",""), HYPERLINK(CONCATENATE("#Metadata!", ADDRESS(INDEX($W$2:$W$1001,MATCH(ROWS($U$2:U20),$U$2:$U$1001,0),0), INDEX($AB$1004:$AQ$1004,1,MATCH(COLUMNS($AB$1006:AI1006),$AB$1006:$AQ$1006,0)))),"Fix")))</f>
        <v>0</v>
      </c>
      <c r="J20" s="5">
        <f>IF(OR(INDEX($V$2:$V$1001,MATCH(ROWS($U$2:U20),$U$2:$U$1001,0),1)&gt;=100000,INDEX($AB$1005:$AQ$1005,1,MATCH(COLUMNS($AB$1006:AJ1006),$AB$1006:$AQ$1006,0))&gt;=100000), " ",IF(INDEX($AB$2:$AQ$1001,MATCH(ROWS($U$2:U20),$U$2:$U$1001,0),MATCH(COLUMNS($AB$1006:AJ1006),$AB$1006:$AQ$1006,0)), HYPERLINK("#",""), HYPERLINK(CONCATENATE("#Metadata!", ADDRESS(INDEX($W$2:$W$1001,MATCH(ROWS($U$2:U20),$U$2:$U$1001,0),0), INDEX($AB$1004:$AQ$1004,1,MATCH(COLUMNS($AB$1006:AJ1006),$AB$1006:$AQ$1006,0)))),"Fix")))</f>
        <v>0</v>
      </c>
      <c r="K20" s="5">
        <f>IF(OR(INDEX($V$2:$V$1001,MATCH(ROWS($U$2:U20),$U$2:$U$1001,0),1)&gt;=100000,INDEX($AB$1005:$AQ$1005,1,MATCH(COLUMNS($AB$1006:AK1006),$AB$1006:$AQ$1006,0))&gt;=100000), " ",IF(INDEX($AB$2:$AQ$1001,MATCH(ROWS($U$2:U20),$U$2:$U$1001,0),MATCH(COLUMNS($AB$1006:AK1006),$AB$1006:$AQ$1006,0)), HYPERLINK("#",""), HYPERLINK(CONCATENATE("#Metadata!", ADDRESS(INDEX($W$2:$W$1001,MATCH(ROWS($U$2:U20),$U$2:$U$1001,0),0), INDEX($AB$1004:$AQ$1004,1,MATCH(COLUMNS($AB$1006:AK1006),$AB$1006:$AQ$1006,0)))),"Fix")))</f>
        <v>0</v>
      </c>
      <c r="L20" s="5">
        <f>IF(OR(INDEX($V$2:$V$1001,MATCH(ROWS($U$2:U20),$U$2:$U$1001,0),1)&gt;=100000,INDEX($AB$1005:$AQ$1005,1,MATCH(COLUMNS($AB$1006:AL1006),$AB$1006:$AQ$1006,0))&gt;=100000), " ",IF(INDEX($AB$2:$AQ$1001,MATCH(ROWS($U$2:U20),$U$2:$U$1001,0),MATCH(COLUMNS($AB$1006:AL1006),$AB$1006:$AQ$1006,0)), HYPERLINK("#",""), HYPERLINK(CONCATENATE("#Metadata!", ADDRESS(INDEX($W$2:$W$1001,MATCH(ROWS($U$2:U20),$U$2:$U$1001,0),0), INDEX($AB$1004:$AQ$1004,1,MATCH(COLUMNS($AB$1006:AL1006),$AB$1006:$AQ$1006,0)))),"Fix")))</f>
        <v>0</v>
      </c>
      <c r="M20" s="5">
        <f>IF(OR(INDEX($V$2:$V$1001,MATCH(ROWS($U$2:U20),$U$2:$U$1001,0),1)&gt;=100000,INDEX($AB$1005:$AQ$1005,1,MATCH(COLUMNS($AB$1006:AM1006),$AB$1006:$AQ$1006,0))&gt;=100000), " ",IF(INDEX($AB$2:$AQ$1001,MATCH(ROWS($U$2:U20),$U$2:$U$1001,0),MATCH(COLUMNS($AB$1006:AM1006),$AB$1006:$AQ$1006,0)), HYPERLINK("#",""), HYPERLINK(CONCATENATE("#Metadata!", ADDRESS(INDEX($W$2:$W$1001,MATCH(ROWS($U$2:U20),$U$2:$U$1001,0),0), INDEX($AB$1004:$AQ$1004,1,MATCH(COLUMNS($AB$1006:AM1006),$AB$1006:$AQ$1006,0)))),"Fix")))</f>
        <v>0</v>
      </c>
      <c r="N20" s="5">
        <f>IF(OR(INDEX($V$2:$V$1001,MATCH(ROWS($U$2:U20),$U$2:$U$1001,0),1)&gt;=100000,INDEX($AB$1005:$AQ$1005,1,MATCH(COLUMNS($AB$1006:AN1006),$AB$1006:$AQ$1006,0))&gt;=100000), " ",IF(INDEX($AB$2:$AQ$1001,MATCH(ROWS($U$2:U20),$U$2:$U$1001,0),MATCH(COLUMNS($AB$1006:AN1006),$AB$1006:$AQ$1006,0)), HYPERLINK("#",""), HYPERLINK(CONCATENATE("#Metadata!", ADDRESS(INDEX($W$2:$W$1001,MATCH(ROWS($U$2:U20),$U$2:$U$1001,0),0), INDEX($AB$1004:$AQ$1004,1,MATCH(COLUMNS($AB$1006:AN1006),$AB$1006:$AQ$1006,0)))),"Fix")))</f>
        <v>0</v>
      </c>
      <c r="O20" s="5">
        <f>IF(OR(INDEX($V$2:$V$1001,MATCH(ROWS($U$2:U20),$U$2:$U$1001,0),1)&gt;=100000,INDEX($AB$1005:$AQ$1005,1,MATCH(COLUMNS($AB$1006:AO1006),$AB$1006:$AQ$1006,0))&gt;=100000), " ",IF(INDEX($AB$2:$AQ$1001,MATCH(ROWS($U$2:U20),$U$2:$U$1001,0),MATCH(COLUMNS($AB$1006:AO1006),$AB$1006:$AQ$1006,0)), HYPERLINK("#",""), HYPERLINK(CONCATENATE("#Metadata!", ADDRESS(INDEX($W$2:$W$1001,MATCH(ROWS($U$2:U20),$U$2:$U$1001,0),0), INDEX($AB$1004:$AQ$1004,1,MATCH(COLUMNS($AB$1006:AO1006),$AB$1006:$AQ$1006,0)))),"Fix")))</f>
        <v>0</v>
      </c>
      <c r="P20" s="5">
        <f>IF(OR(INDEX($V$2:$V$1001,MATCH(ROWS($U$2:U20),$U$2:$U$1001,0),1)&gt;=100000,INDEX($AB$1005:$AQ$1005,1,MATCH(COLUMNS($AB$1006:AP1006),$AB$1006:$AQ$1006,0))&gt;=100000), " ",IF(INDEX($AB$2:$AQ$1001,MATCH(ROWS($U$2:U20),$U$2:$U$1001,0),MATCH(COLUMNS($AB$1006:AP1006),$AB$1006:$AQ$1006,0)), HYPERLINK("#",""), HYPERLINK(CONCATENATE("#Metadata!", ADDRESS(INDEX($W$2:$W$1001,MATCH(ROWS($U$2:U20),$U$2:$U$1001,0),0), INDEX($AB$1004:$AQ$1004,1,MATCH(COLUMNS($AB$1006:AP1006),$AB$1006:$AQ$1006,0)))),"Fix")))</f>
        <v>0</v>
      </c>
      <c r="Q20" s="5">
        <f>IF(OR(INDEX($V$2:$V$1001,MATCH(ROWS($U$2:U20),$U$2:$U$1001,0),1)&gt;=100000,INDEX($AB$1005:$AQ$1005,1,MATCH(COLUMNS($AB$1006:AQ1006),$AB$1006:$AQ$1006,0))&gt;=100000), " ",IF(INDEX($AB$2:$AQ$1001,MATCH(ROWS($U$2:U20),$U$2:$U$1001,0),MATCH(COLUMNS($AB$1006:AQ1006),$AB$1006:$AQ$1006,0)), HYPERLINK("#",""), HYPERLINK(CONCATENATE("#Metadata!", ADDRESS(INDEX($W$2:$W$1001,MATCH(ROWS($U$2:U20),$U$2:$U$1001,0),0), INDEX($AB$1004:$AQ$1004,1,MATCH(COLUMNS($AB$1006:AQ1006),$AB$1006:$AQ$1006,0)))),"Fix")))</f>
        <v>0</v>
      </c>
      <c r="U20">
        <v>0</v>
      </c>
      <c r="V20">
        <v>0</v>
      </c>
      <c r="W20">
        <v>0</v>
      </c>
      <c r="X20">
        <f>IF(Y20,TRUE,AND(AB20:AQ20))</f>
        <v>0</v>
      </c>
      <c r="Y20">
        <f>COUNTBLANK(Metadata!B20:Q20)=COLUMNS(Metadata!B20:Q20)</f>
        <v>0</v>
      </c>
      <c r="Z20">
        <v>0</v>
      </c>
      <c r="AB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AC20">
        <f>AND(IF(Metadata!C20="",FALSE,TRUE),exact(Metadata!C20,"urban biome"))</f>
        <v>0</v>
      </c>
      <c r="AD20">
        <f>AND(IF(Metadata!D20="",FALSE,TRUE),exact(Metadata!D20,"human-associated habitat"))</f>
        <v>0</v>
      </c>
      <c r="AE20">
        <f>AND(IF(Metadata!E20="",FALSE,TRUE),OR(exact(Metadata!E20,"human-associated"),exact(Metadata!E20,"human-skin"),exact(Metadata!E20,"human-oral"),exact(Metadata!E20,"human-gut"),exact(Metadata!E20,"human-vaginal")))</f>
        <v>0</v>
      </c>
      <c r="AF20">
        <f>AND(IF(Metadata!F20="",FALSE,ISNUMBER(VALUE(Metadata!F20))),Metadata!F20&gt;0)</f>
        <v>0</v>
      </c>
      <c r="AG20">
        <f>AND(IF(Metadata!G20="",FALSE,TRUE),exact(Metadata!G20,"years"))</f>
        <v>0</v>
      </c>
      <c r="AH20">
        <f>OR(AND(IF(Metadata!H20="",FALSE,TRUE),OR(exact(Metadata!H20,"not applicable"),exact(Metadata!H20,"not collected"),exact(Metadata!H20,"not provided"),exact(Metadata!H20,"restricted access"))),AND(IF(Metadata!H20="",FALSE,ISNUMBER(VALUE(Metadata!H20))),Metadata!H20&gt;0))</f>
        <v>0</v>
      </c>
      <c r="AI20">
        <f>AND(IF(Metadata!I20="",FALSE,TRUE),exact(Metadata!I20,"human"))</f>
        <v>0</v>
      </c>
      <c r="AJ20">
        <f>AND(IF(Metadata!J20="",FALSE,ISNUMBER(VALUE(Metadata!J20))),Metadata!J20&gt;0)</f>
        <v>0</v>
      </c>
      <c r="AK20">
        <f>AND(IF(Metadata!K20="",FALSE,TRUE),exact(Metadata!K20,"cm"))</f>
        <v>0</v>
      </c>
      <c r="AL20">
        <f>AND(IF(Metadata!L20="",FALSE,TRUE),exact(Metadata!L20,"Homo sapiens"))</f>
        <v>0</v>
      </c>
      <c r="AM20">
        <f>AND(IF(Metadata!M20="",FALSE,TRUE),exact(Metadata!M20,"9606"))</f>
        <v>0</v>
      </c>
      <c r="AN20">
        <f>AND(IF(Metadata!N20="",FALSE,ISNUMBER(VALUE(Metadata!N20))),Metadata!N20&gt;0)</f>
        <v>0</v>
      </c>
      <c r="AO20">
        <f>AND(IF(Metadata!O20="",FALSE,TRUE),exact(Metadata!O20,"kg"))</f>
        <v>0</v>
      </c>
      <c r="AP20">
        <f>OR(AND(IF(Metadata!P20="",FALSE,TRUE),exact(Metadata!P20,"not provided")),IF(Metadata!P20="",FALSE,TRUE))</f>
        <v>0</v>
      </c>
      <c r="AQ20">
        <f>OR(AND(IF(Metadata!Q20="",FALSE,TRUE),exact(Metadata!Q20,"not provided")),IF(Metadata!Q20="",FALSE,TRUE))</f>
        <v>0</v>
      </c>
    </row>
    <row r="21" spans="1:43">
      <c r="A21" s="4">
        <f>IF(B21=" "," ",HYPERLINK(CONCATENATE("#metadata!",ADDRESS(INDEX($W$2:$W$1001,MATCH(ROWS($U$2:U21),$U$2:$U$1001,0),0),2)),INDEX($Z$2:$Z$1001,MATCH(ROWS($U$2:U21),$U$2:$U$1001,0),0)))</f>
        <v>0</v>
      </c>
      <c r="B21" s="5">
        <f>IF(OR(INDEX($V$2:$V$1001,MATCH(ROWS($U$2:U21),$U$2:$U$1001,0),1)&gt;=100000,INDEX($AB$1005:$AQ$1005,1,MATCH(COLUMNS($AB$1006:AB1006),$AB$1006:$AQ$1006,0))&gt;=100000), " ",IF(INDEX($AB$2:$AQ$1001,MATCH(ROWS($U$2:U21),$U$2:$U$1001,0),MATCH(COLUMNS($AB$1006:AB1006),$AB$1006:$AQ$1006,0)), HYPERLINK("#",""), HYPERLINK(CONCATENATE("#Metadata!", ADDRESS(INDEX($W$2:$W$1001,MATCH(ROWS($U$2:U21),$U$2:$U$1001,0),0), INDEX($AB$1004:$AQ$1004,1,MATCH(COLUMNS($AB$1006:AB1006),$AB$1006:$AQ$1006,0)))),"Fix")))</f>
        <v>0</v>
      </c>
      <c r="C21" s="5">
        <f>IF(OR(INDEX($V$2:$V$1001,MATCH(ROWS($U$2:U21),$U$2:$U$1001,0),1)&gt;=100000,INDEX($AB$1005:$AQ$1005,1,MATCH(COLUMNS($AB$1006:AC1006),$AB$1006:$AQ$1006,0))&gt;=100000), " ",IF(INDEX($AB$2:$AQ$1001,MATCH(ROWS($U$2:U21),$U$2:$U$1001,0),MATCH(COLUMNS($AB$1006:AC1006),$AB$1006:$AQ$1006,0)), HYPERLINK("#",""), HYPERLINK(CONCATENATE("#Metadata!", ADDRESS(INDEX($W$2:$W$1001,MATCH(ROWS($U$2:U21),$U$2:$U$1001,0),0), INDEX($AB$1004:$AQ$1004,1,MATCH(COLUMNS($AB$1006:AC1006),$AB$1006:$AQ$1006,0)))),"Fix")))</f>
        <v>0</v>
      </c>
      <c r="D21" s="5">
        <f>IF(OR(INDEX($V$2:$V$1001,MATCH(ROWS($U$2:U21),$U$2:$U$1001,0),1)&gt;=100000,INDEX($AB$1005:$AQ$1005,1,MATCH(COLUMNS($AB$1006:AD1006),$AB$1006:$AQ$1006,0))&gt;=100000), " ",IF(INDEX($AB$2:$AQ$1001,MATCH(ROWS($U$2:U21),$U$2:$U$1001,0),MATCH(COLUMNS($AB$1006:AD1006),$AB$1006:$AQ$1006,0)), HYPERLINK("#",""), HYPERLINK(CONCATENATE("#Metadata!", ADDRESS(INDEX($W$2:$W$1001,MATCH(ROWS($U$2:U21),$U$2:$U$1001,0),0), INDEX($AB$1004:$AQ$1004,1,MATCH(COLUMNS($AB$1006:AD1006),$AB$1006:$AQ$1006,0)))),"Fix")))</f>
        <v>0</v>
      </c>
      <c r="E21" s="5">
        <f>IF(OR(INDEX($V$2:$V$1001,MATCH(ROWS($U$2:U21),$U$2:$U$1001,0),1)&gt;=100000,INDEX($AB$1005:$AQ$1005,1,MATCH(COLUMNS($AB$1006:AE1006),$AB$1006:$AQ$1006,0))&gt;=100000), " ",IF(INDEX($AB$2:$AQ$1001,MATCH(ROWS($U$2:U21),$U$2:$U$1001,0),MATCH(COLUMNS($AB$1006:AE1006),$AB$1006:$AQ$1006,0)), HYPERLINK("#",""), HYPERLINK(CONCATENATE("#Metadata!", ADDRESS(INDEX($W$2:$W$1001,MATCH(ROWS($U$2:U21),$U$2:$U$1001,0),0), INDEX($AB$1004:$AQ$1004,1,MATCH(COLUMNS($AB$1006:AE1006),$AB$1006:$AQ$1006,0)))),"Fix")))</f>
        <v>0</v>
      </c>
      <c r="F21" s="5">
        <f>IF(OR(INDEX($V$2:$V$1001,MATCH(ROWS($U$2:U21),$U$2:$U$1001,0),1)&gt;=100000,INDEX($AB$1005:$AQ$1005,1,MATCH(COLUMNS($AB$1006:AF1006),$AB$1006:$AQ$1006,0))&gt;=100000), " ",IF(INDEX($AB$2:$AQ$1001,MATCH(ROWS($U$2:U21),$U$2:$U$1001,0),MATCH(COLUMNS($AB$1006:AF1006),$AB$1006:$AQ$1006,0)), HYPERLINK("#",""), HYPERLINK(CONCATENATE("#Metadata!", ADDRESS(INDEX($W$2:$W$1001,MATCH(ROWS($U$2:U21),$U$2:$U$1001,0),0), INDEX($AB$1004:$AQ$1004,1,MATCH(COLUMNS($AB$1006:AF1006),$AB$1006:$AQ$1006,0)))),"Fix")))</f>
        <v>0</v>
      </c>
      <c r="G21" s="5">
        <f>IF(OR(INDEX($V$2:$V$1001,MATCH(ROWS($U$2:U21),$U$2:$U$1001,0),1)&gt;=100000,INDEX($AB$1005:$AQ$1005,1,MATCH(COLUMNS($AB$1006:AG1006),$AB$1006:$AQ$1006,0))&gt;=100000), " ",IF(INDEX($AB$2:$AQ$1001,MATCH(ROWS($U$2:U21),$U$2:$U$1001,0),MATCH(COLUMNS($AB$1006:AG1006),$AB$1006:$AQ$1006,0)), HYPERLINK("#",""), HYPERLINK(CONCATENATE("#Metadata!", ADDRESS(INDEX($W$2:$W$1001,MATCH(ROWS($U$2:U21),$U$2:$U$1001,0),0), INDEX($AB$1004:$AQ$1004,1,MATCH(COLUMNS($AB$1006:AG1006),$AB$1006:$AQ$1006,0)))),"Fix")))</f>
        <v>0</v>
      </c>
      <c r="H21" s="5">
        <f>IF(OR(INDEX($V$2:$V$1001,MATCH(ROWS($U$2:U21),$U$2:$U$1001,0),1)&gt;=100000,INDEX($AB$1005:$AQ$1005,1,MATCH(COLUMNS($AB$1006:AH1006),$AB$1006:$AQ$1006,0))&gt;=100000), " ",IF(INDEX($AB$2:$AQ$1001,MATCH(ROWS($U$2:U21),$U$2:$U$1001,0),MATCH(COLUMNS($AB$1006:AH1006),$AB$1006:$AQ$1006,0)), HYPERLINK("#",""), HYPERLINK(CONCATENATE("#Metadata!", ADDRESS(INDEX($W$2:$W$1001,MATCH(ROWS($U$2:U21),$U$2:$U$1001,0),0), INDEX($AB$1004:$AQ$1004,1,MATCH(COLUMNS($AB$1006:AH1006),$AB$1006:$AQ$1006,0)))),"Fix")))</f>
        <v>0</v>
      </c>
      <c r="I21" s="5">
        <f>IF(OR(INDEX($V$2:$V$1001,MATCH(ROWS($U$2:U21),$U$2:$U$1001,0),1)&gt;=100000,INDEX($AB$1005:$AQ$1005,1,MATCH(COLUMNS($AB$1006:AI1006),$AB$1006:$AQ$1006,0))&gt;=100000), " ",IF(INDEX($AB$2:$AQ$1001,MATCH(ROWS($U$2:U21),$U$2:$U$1001,0),MATCH(COLUMNS($AB$1006:AI1006),$AB$1006:$AQ$1006,0)), HYPERLINK("#",""), HYPERLINK(CONCATENATE("#Metadata!", ADDRESS(INDEX($W$2:$W$1001,MATCH(ROWS($U$2:U21),$U$2:$U$1001,0),0), INDEX($AB$1004:$AQ$1004,1,MATCH(COLUMNS($AB$1006:AI1006),$AB$1006:$AQ$1006,0)))),"Fix")))</f>
        <v>0</v>
      </c>
      <c r="J21" s="5">
        <f>IF(OR(INDEX($V$2:$V$1001,MATCH(ROWS($U$2:U21),$U$2:$U$1001,0),1)&gt;=100000,INDEX($AB$1005:$AQ$1005,1,MATCH(COLUMNS($AB$1006:AJ1006),$AB$1006:$AQ$1006,0))&gt;=100000), " ",IF(INDEX($AB$2:$AQ$1001,MATCH(ROWS($U$2:U21),$U$2:$U$1001,0),MATCH(COLUMNS($AB$1006:AJ1006),$AB$1006:$AQ$1006,0)), HYPERLINK("#",""), HYPERLINK(CONCATENATE("#Metadata!", ADDRESS(INDEX($W$2:$W$1001,MATCH(ROWS($U$2:U21),$U$2:$U$1001,0),0), INDEX($AB$1004:$AQ$1004,1,MATCH(COLUMNS($AB$1006:AJ1006),$AB$1006:$AQ$1006,0)))),"Fix")))</f>
        <v>0</v>
      </c>
      <c r="K21" s="5">
        <f>IF(OR(INDEX($V$2:$V$1001,MATCH(ROWS($U$2:U21),$U$2:$U$1001,0),1)&gt;=100000,INDEX($AB$1005:$AQ$1005,1,MATCH(COLUMNS($AB$1006:AK1006),$AB$1006:$AQ$1006,0))&gt;=100000), " ",IF(INDEX($AB$2:$AQ$1001,MATCH(ROWS($U$2:U21),$U$2:$U$1001,0),MATCH(COLUMNS($AB$1006:AK1006),$AB$1006:$AQ$1006,0)), HYPERLINK("#",""), HYPERLINK(CONCATENATE("#Metadata!", ADDRESS(INDEX($W$2:$W$1001,MATCH(ROWS($U$2:U21),$U$2:$U$1001,0),0), INDEX($AB$1004:$AQ$1004,1,MATCH(COLUMNS($AB$1006:AK1006),$AB$1006:$AQ$1006,0)))),"Fix")))</f>
        <v>0</v>
      </c>
      <c r="L21" s="5">
        <f>IF(OR(INDEX($V$2:$V$1001,MATCH(ROWS($U$2:U21),$U$2:$U$1001,0),1)&gt;=100000,INDEX($AB$1005:$AQ$1005,1,MATCH(COLUMNS($AB$1006:AL1006),$AB$1006:$AQ$1006,0))&gt;=100000), " ",IF(INDEX($AB$2:$AQ$1001,MATCH(ROWS($U$2:U21),$U$2:$U$1001,0),MATCH(COLUMNS($AB$1006:AL1006),$AB$1006:$AQ$1006,0)), HYPERLINK("#",""), HYPERLINK(CONCATENATE("#Metadata!", ADDRESS(INDEX($W$2:$W$1001,MATCH(ROWS($U$2:U21),$U$2:$U$1001,0),0), INDEX($AB$1004:$AQ$1004,1,MATCH(COLUMNS($AB$1006:AL1006),$AB$1006:$AQ$1006,0)))),"Fix")))</f>
        <v>0</v>
      </c>
      <c r="M21" s="5">
        <f>IF(OR(INDEX($V$2:$V$1001,MATCH(ROWS($U$2:U21),$U$2:$U$1001,0),1)&gt;=100000,INDEX($AB$1005:$AQ$1005,1,MATCH(COLUMNS($AB$1006:AM1006),$AB$1006:$AQ$1006,0))&gt;=100000), " ",IF(INDEX($AB$2:$AQ$1001,MATCH(ROWS($U$2:U21),$U$2:$U$1001,0),MATCH(COLUMNS($AB$1006:AM1006),$AB$1006:$AQ$1006,0)), HYPERLINK("#",""), HYPERLINK(CONCATENATE("#Metadata!", ADDRESS(INDEX($W$2:$W$1001,MATCH(ROWS($U$2:U21),$U$2:$U$1001,0),0), INDEX($AB$1004:$AQ$1004,1,MATCH(COLUMNS($AB$1006:AM1006),$AB$1006:$AQ$1006,0)))),"Fix")))</f>
        <v>0</v>
      </c>
      <c r="N21" s="5">
        <f>IF(OR(INDEX($V$2:$V$1001,MATCH(ROWS($U$2:U21),$U$2:$U$1001,0),1)&gt;=100000,INDEX($AB$1005:$AQ$1005,1,MATCH(COLUMNS($AB$1006:AN1006),$AB$1006:$AQ$1006,0))&gt;=100000), " ",IF(INDEX($AB$2:$AQ$1001,MATCH(ROWS($U$2:U21),$U$2:$U$1001,0),MATCH(COLUMNS($AB$1006:AN1006),$AB$1006:$AQ$1006,0)), HYPERLINK("#",""), HYPERLINK(CONCATENATE("#Metadata!", ADDRESS(INDEX($W$2:$W$1001,MATCH(ROWS($U$2:U21),$U$2:$U$1001,0),0), INDEX($AB$1004:$AQ$1004,1,MATCH(COLUMNS($AB$1006:AN1006),$AB$1006:$AQ$1006,0)))),"Fix")))</f>
        <v>0</v>
      </c>
      <c r="O21" s="5">
        <f>IF(OR(INDEX($V$2:$V$1001,MATCH(ROWS($U$2:U21),$U$2:$U$1001,0),1)&gt;=100000,INDEX($AB$1005:$AQ$1005,1,MATCH(COLUMNS($AB$1006:AO1006),$AB$1006:$AQ$1006,0))&gt;=100000), " ",IF(INDEX($AB$2:$AQ$1001,MATCH(ROWS($U$2:U21),$U$2:$U$1001,0),MATCH(COLUMNS($AB$1006:AO1006),$AB$1006:$AQ$1006,0)), HYPERLINK("#",""), HYPERLINK(CONCATENATE("#Metadata!", ADDRESS(INDEX($W$2:$W$1001,MATCH(ROWS($U$2:U21),$U$2:$U$1001,0),0), INDEX($AB$1004:$AQ$1004,1,MATCH(COLUMNS($AB$1006:AO1006),$AB$1006:$AQ$1006,0)))),"Fix")))</f>
        <v>0</v>
      </c>
      <c r="P21" s="5">
        <f>IF(OR(INDEX($V$2:$V$1001,MATCH(ROWS($U$2:U21),$U$2:$U$1001,0),1)&gt;=100000,INDEX($AB$1005:$AQ$1005,1,MATCH(COLUMNS($AB$1006:AP1006),$AB$1006:$AQ$1006,0))&gt;=100000), " ",IF(INDEX($AB$2:$AQ$1001,MATCH(ROWS($U$2:U21),$U$2:$U$1001,0),MATCH(COLUMNS($AB$1006:AP1006),$AB$1006:$AQ$1006,0)), HYPERLINK("#",""), HYPERLINK(CONCATENATE("#Metadata!", ADDRESS(INDEX($W$2:$W$1001,MATCH(ROWS($U$2:U21),$U$2:$U$1001,0),0), INDEX($AB$1004:$AQ$1004,1,MATCH(COLUMNS($AB$1006:AP1006),$AB$1006:$AQ$1006,0)))),"Fix")))</f>
        <v>0</v>
      </c>
      <c r="Q21" s="5">
        <f>IF(OR(INDEX($V$2:$V$1001,MATCH(ROWS($U$2:U21),$U$2:$U$1001,0),1)&gt;=100000,INDEX($AB$1005:$AQ$1005,1,MATCH(COLUMNS($AB$1006:AQ1006),$AB$1006:$AQ$1006,0))&gt;=100000), " ",IF(INDEX($AB$2:$AQ$1001,MATCH(ROWS($U$2:U21),$U$2:$U$1001,0),MATCH(COLUMNS($AB$1006:AQ1006),$AB$1006:$AQ$1006,0)), HYPERLINK("#",""), HYPERLINK(CONCATENATE("#Metadata!", ADDRESS(INDEX($W$2:$W$1001,MATCH(ROWS($U$2:U21),$U$2:$U$1001,0),0), INDEX($AB$1004:$AQ$1004,1,MATCH(COLUMNS($AB$1006:AQ1006),$AB$1006:$AQ$1006,0)))),"Fix")))</f>
        <v>0</v>
      </c>
      <c r="U21">
        <v>0</v>
      </c>
      <c r="V21">
        <v>0</v>
      </c>
      <c r="W21">
        <v>0</v>
      </c>
      <c r="X21">
        <f>IF(Y21,TRUE,AND(AB21:AQ21))</f>
        <v>0</v>
      </c>
      <c r="Y21">
        <f>COUNTBLANK(Metadata!B21:Q21)=COLUMNS(Metadata!B21:Q21)</f>
        <v>0</v>
      </c>
      <c r="Z21">
        <v>0</v>
      </c>
      <c r="AB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AC21">
        <f>AND(IF(Metadata!C21="",FALSE,TRUE),exact(Metadata!C21,"urban biome"))</f>
        <v>0</v>
      </c>
      <c r="AD21">
        <f>AND(IF(Metadata!D21="",FALSE,TRUE),exact(Metadata!D21,"human-associated habitat"))</f>
        <v>0</v>
      </c>
      <c r="AE21">
        <f>AND(IF(Metadata!E21="",FALSE,TRUE),OR(exact(Metadata!E21,"human-associated"),exact(Metadata!E21,"human-skin"),exact(Metadata!E21,"human-oral"),exact(Metadata!E21,"human-gut"),exact(Metadata!E21,"human-vaginal")))</f>
        <v>0</v>
      </c>
      <c r="AF21">
        <f>AND(IF(Metadata!F21="",FALSE,ISNUMBER(VALUE(Metadata!F21))),Metadata!F21&gt;0)</f>
        <v>0</v>
      </c>
      <c r="AG21">
        <f>AND(IF(Metadata!G21="",FALSE,TRUE),exact(Metadata!G21,"years"))</f>
        <v>0</v>
      </c>
      <c r="AH21">
        <f>OR(AND(IF(Metadata!H21="",FALSE,TRUE),OR(exact(Metadata!H21,"not applicable"),exact(Metadata!H21,"not collected"),exact(Metadata!H21,"not provided"),exact(Metadata!H21,"restricted access"))),AND(IF(Metadata!H21="",FALSE,ISNUMBER(VALUE(Metadata!H21))),Metadata!H21&gt;0))</f>
        <v>0</v>
      </c>
      <c r="AI21">
        <f>AND(IF(Metadata!I21="",FALSE,TRUE),exact(Metadata!I21,"human"))</f>
        <v>0</v>
      </c>
      <c r="AJ21">
        <f>AND(IF(Metadata!J21="",FALSE,ISNUMBER(VALUE(Metadata!J21))),Metadata!J21&gt;0)</f>
        <v>0</v>
      </c>
      <c r="AK21">
        <f>AND(IF(Metadata!K21="",FALSE,TRUE),exact(Metadata!K21,"cm"))</f>
        <v>0</v>
      </c>
      <c r="AL21">
        <f>AND(IF(Metadata!L21="",FALSE,TRUE),exact(Metadata!L21,"Homo sapiens"))</f>
        <v>0</v>
      </c>
      <c r="AM21">
        <f>AND(IF(Metadata!M21="",FALSE,TRUE),exact(Metadata!M21,"9606"))</f>
        <v>0</v>
      </c>
      <c r="AN21">
        <f>AND(IF(Metadata!N21="",FALSE,ISNUMBER(VALUE(Metadata!N21))),Metadata!N21&gt;0)</f>
        <v>0</v>
      </c>
      <c r="AO21">
        <f>AND(IF(Metadata!O21="",FALSE,TRUE),exact(Metadata!O21,"kg"))</f>
        <v>0</v>
      </c>
      <c r="AP21">
        <f>OR(AND(IF(Metadata!P21="",FALSE,TRUE),exact(Metadata!P21,"not provided")),IF(Metadata!P21="",FALSE,TRUE))</f>
        <v>0</v>
      </c>
      <c r="AQ21">
        <f>OR(AND(IF(Metadata!Q21="",FALSE,TRUE),exact(Metadata!Q21,"not provided")),IF(Metadata!Q21="",FALSE,TRUE))</f>
        <v>0</v>
      </c>
    </row>
    <row r="22" spans="1:43">
      <c r="A22" s="4">
        <f>IF(B22=" "," ",HYPERLINK(CONCATENATE("#metadata!",ADDRESS(INDEX($W$2:$W$1001,MATCH(ROWS($U$2:U22),$U$2:$U$1001,0),0),2)),INDEX($Z$2:$Z$1001,MATCH(ROWS($U$2:U22),$U$2:$U$1001,0),0)))</f>
        <v>0</v>
      </c>
      <c r="B22" s="5">
        <f>IF(OR(INDEX($V$2:$V$1001,MATCH(ROWS($U$2:U22),$U$2:$U$1001,0),1)&gt;=100000,INDEX($AB$1005:$AQ$1005,1,MATCH(COLUMNS($AB$1006:AB1006),$AB$1006:$AQ$1006,0))&gt;=100000), " ",IF(INDEX($AB$2:$AQ$1001,MATCH(ROWS($U$2:U22),$U$2:$U$1001,0),MATCH(COLUMNS($AB$1006:AB1006),$AB$1006:$AQ$1006,0)), HYPERLINK("#",""), HYPERLINK(CONCATENATE("#Metadata!", ADDRESS(INDEX($W$2:$W$1001,MATCH(ROWS($U$2:U22),$U$2:$U$1001,0),0), INDEX($AB$1004:$AQ$1004,1,MATCH(COLUMNS($AB$1006:AB1006),$AB$1006:$AQ$1006,0)))),"Fix")))</f>
        <v>0</v>
      </c>
      <c r="C22" s="5">
        <f>IF(OR(INDEX($V$2:$V$1001,MATCH(ROWS($U$2:U22),$U$2:$U$1001,0),1)&gt;=100000,INDEX($AB$1005:$AQ$1005,1,MATCH(COLUMNS($AB$1006:AC1006),$AB$1006:$AQ$1006,0))&gt;=100000), " ",IF(INDEX($AB$2:$AQ$1001,MATCH(ROWS($U$2:U22),$U$2:$U$1001,0),MATCH(COLUMNS($AB$1006:AC1006),$AB$1006:$AQ$1006,0)), HYPERLINK("#",""), HYPERLINK(CONCATENATE("#Metadata!", ADDRESS(INDEX($W$2:$W$1001,MATCH(ROWS($U$2:U22),$U$2:$U$1001,0),0), INDEX($AB$1004:$AQ$1004,1,MATCH(COLUMNS($AB$1006:AC1006),$AB$1006:$AQ$1006,0)))),"Fix")))</f>
        <v>0</v>
      </c>
      <c r="D22" s="5">
        <f>IF(OR(INDEX($V$2:$V$1001,MATCH(ROWS($U$2:U22),$U$2:$U$1001,0),1)&gt;=100000,INDEX($AB$1005:$AQ$1005,1,MATCH(COLUMNS($AB$1006:AD1006),$AB$1006:$AQ$1006,0))&gt;=100000), " ",IF(INDEX($AB$2:$AQ$1001,MATCH(ROWS($U$2:U22),$U$2:$U$1001,0),MATCH(COLUMNS($AB$1006:AD1006),$AB$1006:$AQ$1006,0)), HYPERLINK("#",""), HYPERLINK(CONCATENATE("#Metadata!", ADDRESS(INDEX($W$2:$W$1001,MATCH(ROWS($U$2:U22),$U$2:$U$1001,0),0), INDEX($AB$1004:$AQ$1004,1,MATCH(COLUMNS($AB$1006:AD1006),$AB$1006:$AQ$1006,0)))),"Fix")))</f>
        <v>0</v>
      </c>
      <c r="E22" s="5">
        <f>IF(OR(INDEX($V$2:$V$1001,MATCH(ROWS($U$2:U22),$U$2:$U$1001,0),1)&gt;=100000,INDEX($AB$1005:$AQ$1005,1,MATCH(COLUMNS($AB$1006:AE1006),$AB$1006:$AQ$1006,0))&gt;=100000), " ",IF(INDEX($AB$2:$AQ$1001,MATCH(ROWS($U$2:U22),$U$2:$U$1001,0),MATCH(COLUMNS($AB$1006:AE1006),$AB$1006:$AQ$1006,0)), HYPERLINK("#",""), HYPERLINK(CONCATENATE("#Metadata!", ADDRESS(INDEX($W$2:$W$1001,MATCH(ROWS($U$2:U22),$U$2:$U$1001,0),0), INDEX($AB$1004:$AQ$1004,1,MATCH(COLUMNS($AB$1006:AE1006),$AB$1006:$AQ$1006,0)))),"Fix")))</f>
        <v>0</v>
      </c>
      <c r="F22" s="5">
        <f>IF(OR(INDEX($V$2:$V$1001,MATCH(ROWS($U$2:U22),$U$2:$U$1001,0),1)&gt;=100000,INDEX($AB$1005:$AQ$1005,1,MATCH(COLUMNS($AB$1006:AF1006),$AB$1006:$AQ$1006,0))&gt;=100000), " ",IF(INDEX($AB$2:$AQ$1001,MATCH(ROWS($U$2:U22),$U$2:$U$1001,0),MATCH(COLUMNS($AB$1006:AF1006),$AB$1006:$AQ$1006,0)), HYPERLINK("#",""), HYPERLINK(CONCATENATE("#Metadata!", ADDRESS(INDEX($W$2:$W$1001,MATCH(ROWS($U$2:U22),$U$2:$U$1001,0),0), INDEX($AB$1004:$AQ$1004,1,MATCH(COLUMNS($AB$1006:AF1006),$AB$1006:$AQ$1006,0)))),"Fix")))</f>
        <v>0</v>
      </c>
      <c r="G22" s="5">
        <f>IF(OR(INDEX($V$2:$V$1001,MATCH(ROWS($U$2:U22),$U$2:$U$1001,0),1)&gt;=100000,INDEX($AB$1005:$AQ$1005,1,MATCH(COLUMNS($AB$1006:AG1006),$AB$1006:$AQ$1006,0))&gt;=100000), " ",IF(INDEX($AB$2:$AQ$1001,MATCH(ROWS($U$2:U22),$U$2:$U$1001,0),MATCH(COLUMNS($AB$1006:AG1006),$AB$1006:$AQ$1006,0)), HYPERLINK("#",""), HYPERLINK(CONCATENATE("#Metadata!", ADDRESS(INDEX($W$2:$W$1001,MATCH(ROWS($U$2:U22),$U$2:$U$1001,0),0), INDEX($AB$1004:$AQ$1004,1,MATCH(COLUMNS($AB$1006:AG1006),$AB$1006:$AQ$1006,0)))),"Fix")))</f>
        <v>0</v>
      </c>
      <c r="H22" s="5">
        <f>IF(OR(INDEX($V$2:$V$1001,MATCH(ROWS($U$2:U22),$U$2:$U$1001,0),1)&gt;=100000,INDEX($AB$1005:$AQ$1005,1,MATCH(COLUMNS($AB$1006:AH1006),$AB$1006:$AQ$1006,0))&gt;=100000), " ",IF(INDEX($AB$2:$AQ$1001,MATCH(ROWS($U$2:U22),$U$2:$U$1001,0),MATCH(COLUMNS($AB$1006:AH1006),$AB$1006:$AQ$1006,0)), HYPERLINK("#",""), HYPERLINK(CONCATENATE("#Metadata!", ADDRESS(INDEX($W$2:$W$1001,MATCH(ROWS($U$2:U22),$U$2:$U$1001,0),0), INDEX($AB$1004:$AQ$1004,1,MATCH(COLUMNS($AB$1006:AH1006),$AB$1006:$AQ$1006,0)))),"Fix")))</f>
        <v>0</v>
      </c>
      <c r="I22" s="5">
        <f>IF(OR(INDEX($V$2:$V$1001,MATCH(ROWS($U$2:U22),$U$2:$U$1001,0),1)&gt;=100000,INDEX($AB$1005:$AQ$1005,1,MATCH(COLUMNS($AB$1006:AI1006),$AB$1006:$AQ$1006,0))&gt;=100000), " ",IF(INDEX($AB$2:$AQ$1001,MATCH(ROWS($U$2:U22),$U$2:$U$1001,0),MATCH(COLUMNS($AB$1006:AI1006),$AB$1006:$AQ$1006,0)), HYPERLINK("#",""), HYPERLINK(CONCATENATE("#Metadata!", ADDRESS(INDEX($W$2:$W$1001,MATCH(ROWS($U$2:U22),$U$2:$U$1001,0),0), INDEX($AB$1004:$AQ$1004,1,MATCH(COLUMNS($AB$1006:AI1006),$AB$1006:$AQ$1006,0)))),"Fix")))</f>
        <v>0</v>
      </c>
      <c r="J22" s="5">
        <f>IF(OR(INDEX($V$2:$V$1001,MATCH(ROWS($U$2:U22),$U$2:$U$1001,0),1)&gt;=100000,INDEX($AB$1005:$AQ$1005,1,MATCH(COLUMNS($AB$1006:AJ1006),$AB$1006:$AQ$1006,0))&gt;=100000), " ",IF(INDEX($AB$2:$AQ$1001,MATCH(ROWS($U$2:U22),$U$2:$U$1001,0),MATCH(COLUMNS($AB$1006:AJ1006),$AB$1006:$AQ$1006,0)), HYPERLINK("#",""), HYPERLINK(CONCATENATE("#Metadata!", ADDRESS(INDEX($W$2:$W$1001,MATCH(ROWS($U$2:U22),$U$2:$U$1001,0),0), INDEX($AB$1004:$AQ$1004,1,MATCH(COLUMNS($AB$1006:AJ1006),$AB$1006:$AQ$1006,0)))),"Fix")))</f>
        <v>0</v>
      </c>
      <c r="K22" s="5">
        <f>IF(OR(INDEX($V$2:$V$1001,MATCH(ROWS($U$2:U22),$U$2:$U$1001,0),1)&gt;=100000,INDEX($AB$1005:$AQ$1005,1,MATCH(COLUMNS($AB$1006:AK1006),$AB$1006:$AQ$1006,0))&gt;=100000), " ",IF(INDEX($AB$2:$AQ$1001,MATCH(ROWS($U$2:U22),$U$2:$U$1001,0),MATCH(COLUMNS($AB$1006:AK1006),$AB$1006:$AQ$1006,0)), HYPERLINK("#",""), HYPERLINK(CONCATENATE("#Metadata!", ADDRESS(INDEX($W$2:$W$1001,MATCH(ROWS($U$2:U22),$U$2:$U$1001,0),0), INDEX($AB$1004:$AQ$1004,1,MATCH(COLUMNS($AB$1006:AK1006),$AB$1006:$AQ$1006,0)))),"Fix")))</f>
        <v>0</v>
      </c>
      <c r="L22" s="5">
        <f>IF(OR(INDEX($V$2:$V$1001,MATCH(ROWS($U$2:U22),$U$2:$U$1001,0),1)&gt;=100000,INDEX($AB$1005:$AQ$1005,1,MATCH(COLUMNS($AB$1006:AL1006),$AB$1006:$AQ$1006,0))&gt;=100000), " ",IF(INDEX($AB$2:$AQ$1001,MATCH(ROWS($U$2:U22),$U$2:$U$1001,0),MATCH(COLUMNS($AB$1006:AL1006),$AB$1006:$AQ$1006,0)), HYPERLINK("#",""), HYPERLINK(CONCATENATE("#Metadata!", ADDRESS(INDEX($W$2:$W$1001,MATCH(ROWS($U$2:U22),$U$2:$U$1001,0),0), INDEX($AB$1004:$AQ$1004,1,MATCH(COLUMNS($AB$1006:AL1006),$AB$1006:$AQ$1006,0)))),"Fix")))</f>
        <v>0</v>
      </c>
      <c r="M22" s="5">
        <f>IF(OR(INDEX($V$2:$V$1001,MATCH(ROWS($U$2:U22),$U$2:$U$1001,0),1)&gt;=100000,INDEX($AB$1005:$AQ$1005,1,MATCH(COLUMNS($AB$1006:AM1006),$AB$1006:$AQ$1006,0))&gt;=100000), " ",IF(INDEX($AB$2:$AQ$1001,MATCH(ROWS($U$2:U22),$U$2:$U$1001,0),MATCH(COLUMNS($AB$1006:AM1006),$AB$1006:$AQ$1006,0)), HYPERLINK("#",""), HYPERLINK(CONCATENATE("#Metadata!", ADDRESS(INDEX($W$2:$W$1001,MATCH(ROWS($U$2:U22),$U$2:$U$1001,0),0), INDEX($AB$1004:$AQ$1004,1,MATCH(COLUMNS($AB$1006:AM1006),$AB$1006:$AQ$1006,0)))),"Fix")))</f>
        <v>0</v>
      </c>
      <c r="N22" s="5">
        <f>IF(OR(INDEX($V$2:$V$1001,MATCH(ROWS($U$2:U22),$U$2:$U$1001,0),1)&gt;=100000,INDEX($AB$1005:$AQ$1005,1,MATCH(COLUMNS($AB$1006:AN1006),$AB$1006:$AQ$1006,0))&gt;=100000), " ",IF(INDEX($AB$2:$AQ$1001,MATCH(ROWS($U$2:U22),$U$2:$U$1001,0),MATCH(COLUMNS($AB$1006:AN1006),$AB$1006:$AQ$1006,0)), HYPERLINK("#",""), HYPERLINK(CONCATENATE("#Metadata!", ADDRESS(INDEX($W$2:$W$1001,MATCH(ROWS($U$2:U22),$U$2:$U$1001,0),0), INDEX($AB$1004:$AQ$1004,1,MATCH(COLUMNS($AB$1006:AN1006),$AB$1006:$AQ$1006,0)))),"Fix")))</f>
        <v>0</v>
      </c>
      <c r="O22" s="5">
        <f>IF(OR(INDEX($V$2:$V$1001,MATCH(ROWS($U$2:U22),$U$2:$U$1001,0),1)&gt;=100000,INDEX($AB$1005:$AQ$1005,1,MATCH(COLUMNS($AB$1006:AO1006),$AB$1006:$AQ$1006,0))&gt;=100000), " ",IF(INDEX($AB$2:$AQ$1001,MATCH(ROWS($U$2:U22),$U$2:$U$1001,0),MATCH(COLUMNS($AB$1006:AO1006),$AB$1006:$AQ$1006,0)), HYPERLINK("#",""), HYPERLINK(CONCATENATE("#Metadata!", ADDRESS(INDEX($W$2:$W$1001,MATCH(ROWS($U$2:U22),$U$2:$U$1001,0),0), INDEX($AB$1004:$AQ$1004,1,MATCH(COLUMNS($AB$1006:AO1006),$AB$1006:$AQ$1006,0)))),"Fix")))</f>
        <v>0</v>
      </c>
      <c r="P22" s="5">
        <f>IF(OR(INDEX($V$2:$V$1001,MATCH(ROWS($U$2:U22),$U$2:$U$1001,0),1)&gt;=100000,INDEX($AB$1005:$AQ$1005,1,MATCH(COLUMNS($AB$1006:AP1006),$AB$1006:$AQ$1006,0))&gt;=100000), " ",IF(INDEX($AB$2:$AQ$1001,MATCH(ROWS($U$2:U22),$U$2:$U$1001,0),MATCH(COLUMNS($AB$1006:AP1006),$AB$1006:$AQ$1006,0)), HYPERLINK("#",""), HYPERLINK(CONCATENATE("#Metadata!", ADDRESS(INDEX($W$2:$W$1001,MATCH(ROWS($U$2:U22),$U$2:$U$1001,0),0), INDEX($AB$1004:$AQ$1004,1,MATCH(COLUMNS($AB$1006:AP1006),$AB$1006:$AQ$1006,0)))),"Fix")))</f>
        <v>0</v>
      </c>
      <c r="Q22" s="5">
        <f>IF(OR(INDEX($V$2:$V$1001,MATCH(ROWS($U$2:U22),$U$2:$U$1001,0),1)&gt;=100000,INDEX($AB$1005:$AQ$1005,1,MATCH(COLUMNS($AB$1006:AQ1006),$AB$1006:$AQ$1006,0))&gt;=100000), " ",IF(INDEX($AB$2:$AQ$1001,MATCH(ROWS($U$2:U22),$U$2:$U$1001,0),MATCH(COLUMNS($AB$1006:AQ1006),$AB$1006:$AQ$1006,0)), HYPERLINK("#",""), HYPERLINK(CONCATENATE("#Metadata!", ADDRESS(INDEX($W$2:$W$1001,MATCH(ROWS($U$2:U22),$U$2:$U$1001,0),0), INDEX($AB$1004:$AQ$1004,1,MATCH(COLUMNS($AB$1006:AQ1006),$AB$1006:$AQ$1006,0)))),"Fix")))</f>
        <v>0</v>
      </c>
      <c r="U22">
        <v>0</v>
      </c>
      <c r="V22">
        <v>0</v>
      </c>
      <c r="W22">
        <v>0</v>
      </c>
      <c r="X22">
        <f>IF(Y22,TRUE,AND(AB22:AQ22))</f>
        <v>0</v>
      </c>
      <c r="Y22">
        <f>COUNTBLANK(Metadata!B22:Q22)=COLUMNS(Metadata!B22:Q22)</f>
        <v>0</v>
      </c>
      <c r="Z22">
        <v>0</v>
      </c>
      <c r="AB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AC22">
        <f>AND(IF(Metadata!C22="",FALSE,TRUE),exact(Metadata!C22,"urban biome"))</f>
        <v>0</v>
      </c>
      <c r="AD22">
        <f>AND(IF(Metadata!D22="",FALSE,TRUE),exact(Metadata!D22,"human-associated habitat"))</f>
        <v>0</v>
      </c>
      <c r="AE22">
        <f>AND(IF(Metadata!E22="",FALSE,TRUE),OR(exact(Metadata!E22,"human-associated"),exact(Metadata!E22,"human-skin"),exact(Metadata!E22,"human-oral"),exact(Metadata!E22,"human-gut"),exact(Metadata!E22,"human-vaginal")))</f>
        <v>0</v>
      </c>
      <c r="AF22">
        <f>AND(IF(Metadata!F22="",FALSE,ISNUMBER(VALUE(Metadata!F22))),Metadata!F22&gt;0)</f>
        <v>0</v>
      </c>
      <c r="AG22">
        <f>AND(IF(Metadata!G22="",FALSE,TRUE),exact(Metadata!G22,"years"))</f>
        <v>0</v>
      </c>
      <c r="AH22">
        <f>OR(AND(IF(Metadata!H22="",FALSE,TRUE),OR(exact(Metadata!H22,"not applicable"),exact(Metadata!H22,"not collected"),exact(Metadata!H22,"not provided"),exact(Metadata!H22,"restricted access"))),AND(IF(Metadata!H22="",FALSE,ISNUMBER(VALUE(Metadata!H22))),Metadata!H22&gt;0))</f>
        <v>0</v>
      </c>
      <c r="AI22">
        <f>AND(IF(Metadata!I22="",FALSE,TRUE),exact(Metadata!I22,"human"))</f>
        <v>0</v>
      </c>
      <c r="AJ22">
        <f>AND(IF(Metadata!J22="",FALSE,ISNUMBER(VALUE(Metadata!J22))),Metadata!J22&gt;0)</f>
        <v>0</v>
      </c>
      <c r="AK22">
        <f>AND(IF(Metadata!K22="",FALSE,TRUE),exact(Metadata!K22,"cm"))</f>
        <v>0</v>
      </c>
      <c r="AL22">
        <f>AND(IF(Metadata!L22="",FALSE,TRUE),exact(Metadata!L22,"Homo sapiens"))</f>
        <v>0</v>
      </c>
      <c r="AM22">
        <f>AND(IF(Metadata!M22="",FALSE,TRUE),exact(Metadata!M22,"9606"))</f>
        <v>0</v>
      </c>
      <c r="AN22">
        <f>AND(IF(Metadata!N22="",FALSE,ISNUMBER(VALUE(Metadata!N22))),Metadata!N22&gt;0)</f>
        <v>0</v>
      </c>
      <c r="AO22">
        <f>AND(IF(Metadata!O22="",FALSE,TRUE),exact(Metadata!O22,"kg"))</f>
        <v>0</v>
      </c>
      <c r="AP22">
        <f>OR(AND(IF(Metadata!P22="",FALSE,TRUE),exact(Metadata!P22,"not provided")),IF(Metadata!P22="",FALSE,TRUE))</f>
        <v>0</v>
      </c>
      <c r="AQ22">
        <f>OR(AND(IF(Metadata!Q22="",FALSE,TRUE),exact(Metadata!Q22,"not provided")),IF(Metadata!Q22="",FALSE,TRUE))</f>
        <v>0</v>
      </c>
    </row>
    <row r="23" spans="1:43">
      <c r="A23" s="4">
        <f>IF(B23=" "," ",HYPERLINK(CONCATENATE("#metadata!",ADDRESS(INDEX($W$2:$W$1001,MATCH(ROWS($U$2:U23),$U$2:$U$1001,0),0),2)),INDEX($Z$2:$Z$1001,MATCH(ROWS($U$2:U23),$U$2:$U$1001,0),0)))</f>
        <v>0</v>
      </c>
      <c r="B23" s="5">
        <f>IF(OR(INDEX($V$2:$V$1001,MATCH(ROWS($U$2:U23),$U$2:$U$1001,0),1)&gt;=100000,INDEX($AB$1005:$AQ$1005,1,MATCH(COLUMNS($AB$1006:AB1006),$AB$1006:$AQ$1006,0))&gt;=100000), " ",IF(INDEX($AB$2:$AQ$1001,MATCH(ROWS($U$2:U23),$U$2:$U$1001,0),MATCH(COLUMNS($AB$1006:AB1006),$AB$1006:$AQ$1006,0)), HYPERLINK("#",""), HYPERLINK(CONCATENATE("#Metadata!", ADDRESS(INDEX($W$2:$W$1001,MATCH(ROWS($U$2:U23),$U$2:$U$1001,0),0), INDEX($AB$1004:$AQ$1004,1,MATCH(COLUMNS($AB$1006:AB1006),$AB$1006:$AQ$1006,0)))),"Fix")))</f>
        <v>0</v>
      </c>
      <c r="C23" s="5">
        <f>IF(OR(INDEX($V$2:$V$1001,MATCH(ROWS($U$2:U23),$U$2:$U$1001,0),1)&gt;=100000,INDEX($AB$1005:$AQ$1005,1,MATCH(COLUMNS($AB$1006:AC1006),$AB$1006:$AQ$1006,0))&gt;=100000), " ",IF(INDEX($AB$2:$AQ$1001,MATCH(ROWS($U$2:U23),$U$2:$U$1001,0),MATCH(COLUMNS($AB$1006:AC1006),$AB$1006:$AQ$1006,0)), HYPERLINK("#",""), HYPERLINK(CONCATENATE("#Metadata!", ADDRESS(INDEX($W$2:$W$1001,MATCH(ROWS($U$2:U23),$U$2:$U$1001,0),0), INDEX($AB$1004:$AQ$1004,1,MATCH(COLUMNS($AB$1006:AC1006),$AB$1006:$AQ$1006,0)))),"Fix")))</f>
        <v>0</v>
      </c>
      <c r="D23" s="5">
        <f>IF(OR(INDEX($V$2:$V$1001,MATCH(ROWS($U$2:U23),$U$2:$U$1001,0),1)&gt;=100000,INDEX($AB$1005:$AQ$1005,1,MATCH(COLUMNS($AB$1006:AD1006),$AB$1006:$AQ$1006,0))&gt;=100000), " ",IF(INDEX($AB$2:$AQ$1001,MATCH(ROWS($U$2:U23),$U$2:$U$1001,0),MATCH(COLUMNS($AB$1006:AD1006),$AB$1006:$AQ$1006,0)), HYPERLINK("#",""), HYPERLINK(CONCATENATE("#Metadata!", ADDRESS(INDEX($W$2:$W$1001,MATCH(ROWS($U$2:U23),$U$2:$U$1001,0),0), INDEX($AB$1004:$AQ$1004,1,MATCH(COLUMNS($AB$1006:AD1006),$AB$1006:$AQ$1006,0)))),"Fix")))</f>
        <v>0</v>
      </c>
      <c r="E23" s="5">
        <f>IF(OR(INDEX($V$2:$V$1001,MATCH(ROWS($U$2:U23),$U$2:$U$1001,0),1)&gt;=100000,INDEX($AB$1005:$AQ$1005,1,MATCH(COLUMNS($AB$1006:AE1006),$AB$1006:$AQ$1006,0))&gt;=100000), " ",IF(INDEX($AB$2:$AQ$1001,MATCH(ROWS($U$2:U23),$U$2:$U$1001,0),MATCH(COLUMNS($AB$1006:AE1006),$AB$1006:$AQ$1006,0)), HYPERLINK("#",""), HYPERLINK(CONCATENATE("#Metadata!", ADDRESS(INDEX($W$2:$W$1001,MATCH(ROWS($U$2:U23),$U$2:$U$1001,0),0), INDEX($AB$1004:$AQ$1004,1,MATCH(COLUMNS($AB$1006:AE1006),$AB$1006:$AQ$1006,0)))),"Fix")))</f>
        <v>0</v>
      </c>
      <c r="F23" s="5">
        <f>IF(OR(INDEX($V$2:$V$1001,MATCH(ROWS($U$2:U23),$U$2:$U$1001,0),1)&gt;=100000,INDEX($AB$1005:$AQ$1005,1,MATCH(COLUMNS($AB$1006:AF1006),$AB$1006:$AQ$1006,0))&gt;=100000), " ",IF(INDEX($AB$2:$AQ$1001,MATCH(ROWS($U$2:U23),$U$2:$U$1001,0),MATCH(COLUMNS($AB$1006:AF1006),$AB$1006:$AQ$1006,0)), HYPERLINK("#",""), HYPERLINK(CONCATENATE("#Metadata!", ADDRESS(INDEX($W$2:$W$1001,MATCH(ROWS($U$2:U23),$U$2:$U$1001,0),0), INDEX($AB$1004:$AQ$1004,1,MATCH(COLUMNS($AB$1006:AF1006),$AB$1006:$AQ$1006,0)))),"Fix")))</f>
        <v>0</v>
      </c>
      <c r="G23" s="5">
        <f>IF(OR(INDEX($V$2:$V$1001,MATCH(ROWS($U$2:U23),$U$2:$U$1001,0),1)&gt;=100000,INDEX($AB$1005:$AQ$1005,1,MATCH(COLUMNS($AB$1006:AG1006),$AB$1006:$AQ$1006,0))&gt;=100000), " ",IF(INDEX($AB$2:$AQ$1001,MATCH(ROWS($U$2:U23),$U$2:$U$1001,0),MATCH(COLUMNS($AB$1006:AG1006),$AB$1006:$AQ$1006,0)), HYPERLINK("#",""), HYPERLINK(CONCATENATE("#Metadata!", ADDRESS(INDEX($W$2:$W$1001,MATCH(ROWS($U$2:U23),$U$2:$U$1001,0),0), INDEX($AB$1004:$AQ$1004,1,MATCH(COLUMNS($AB$1006:AG1006),$AB$1006:$AQ$1006,0)))),"Fix")))</f>
        <v>0</v>
      </c>
      <c r="H23" s="5">
        <f>IF(OR(INDEX($V$2:$V$1001,MATCH(ROWS($U$2:U23),$U$2:$U$1001,0),1)&gt;=100000,INDEX($AB$1005:$AQ$1005,1,MATCH(COLUMNS($AB$1006:AH1006),$AB$1006:$AQ$1006,0))&gt;=100000), " ",IF(INDEX($AB$2:$AQ$1001,MATCH(ROWS($U$2:U23),$U$2:$U$1001,0),MATCH(COLUMNS($AB$1006:AH1006),$AB$1006:$AQ$1006,0)), HYPERLINK("#",""), HYPERLINK(CONCATENATE("#Metadata!", ADDRESS(INDEX($W$2:$W$1001,MATCH(ROWS($U$2:U23),$U$2:$U$1001,0),0), INDEX($AB$1004:$AQ$1004,1,MATCH(COLUMNS($AB$1006:AH1006),$AB$1006:$AQ$1006,0)))),"Fix")))</f>
        <v>0</v>
      </c>
      <c r="I23" s="5">
        <f>IF(OR(INDEX($V$2:$V$1001,MATCH(ROWS($U$2:U23),$U$2:$U$1001,0),1)&gt;=100000,INDEX($AB$1005:$AQ$1005,1,MATCH(COLUMNS($AB$1006:AI1006),$AB$1006:$AQ$1006,0))&gt;=100000), " ",IF(INDEX($AB$2:$AQ$1001,MATCH(ROWS($U$2:U23),$U$2:$U$1001,0),MATCH(COLUMNS($AB$1006:AI1006),$AB$1006:$AQ$1006,0)), HYPERLINK("#",""), HYPERLINK(CONCATENATE("#Metadata!", ADDRESS(INDEX($W$2:$W$1001,MATCH(ROWS($U$2:U23),$U$2:$U$1001,0),0), INDEX($AB$1004:$AQ$1004,1,MATCH(COLUMNS($AB$1006:AI1006),$AB$1006:$AQ$1006,0)))),"Fix")))</f>
        <v>0</v>
      </c>
      <c r="J23" s="5">
        <f>IF(OR(INDEX($V$2:$V$1001,MATCH(ROWS($U$2:U23),$U$2:$U$1001,0),1)&gt;=100000,INDEX($AB$1005:$AQ$1005,1,MATCH(COLUMNS($AB$1006:AJ1006),$AB$1006:$AQ$1006,0))&gt;=100000), " ",IF(INDEX($AB$2:$AQ$1001,MATCH(ROWS($U$2:U23),$U$2:$U$1001,0),MATCH(COLUMNS($AB$1006:AJ1006),$AB$1006:$AQ$1006,0)), HYPERLINK("#",""), HYPERLINK(CONCATENATE("#Metadata!", ADDRESS(INDEX($W$2:$W$1001,MATCH(ROWS($U$2:U23),$U$2:$U$1001,0),0), INDEX($AB$1004:$AQ$1004,1,MATCH(COLUMNS($AB$1006:AJ1006),$AB$1006:$AQ$1006,0)))),"Fix")))</f>
        <v>0</v>
      </c>
      <c r="K23" s="5">
        <f>IF(OR(INDEX($V$2:$V$1001,MATCH(ROWS($U$2:U23),$U$2:$U$1001,0),1)&gt;=100000,INDEX($AB$1005:$AQ$1005,1,MATCH(COLUMNS($AB$1006:AK1006),$AB$1006:$AQ$1006,0))&gt;=100000), " ",IF(INDEX($AB$2:$AQ$1001,MATCH(ROWS($U$2:U23),$U$2:$U$1001,0),MATCH(COLUMNS($AB$1006:AK1006),$AB$1006:$AQ$1006,0)), HYPERLINK("#",""), HYPERLINK(CONCATENATE("#Metadata!", ADDRESS(INDEX($W$2:$W$1001,MATCH(ROWS($U$2:U23),$U$2:$U$1001,0),0), INDEX($AB$1004:$AQ$1004,1,MATCH(COLUMNS($AB$1006:AK1006),$AB$1006:$AQ$1006,0)))),"Fix")))</f>
        <v>0</v>
      </c>
      <c r="L23" s="5">
        <f>IF(OR(INDEX($V$2:$V$1001,MATCH(ROWS($U$2:U23),$U$2:$U$1001,0),1)&gt;=100000,INDEX($AB$1005:$AQ$1005,1,MATCH(COLUMNS($AB$1006:AL1006),$AB$1006:$AQ$1006,0))&gt;=100000), " ",IF(INDEX($AB$2:$AQ$1001,MATCH(ROWS($U$2:U23),$U$2:$U$1001,0),MATCH(COLUMNS($AB$1006:AL1006),$AB$1006:$AQ$1006,0)), HYPERLINK("#",""), HYPERLINK(CONCATENATE("#Metadata!", ADDRESS(INDEX($W$2:$W$1001,MATCH(ROWS($U$2:U23),$U$2:$U$1001,0),0), INDEX($AB$1004:$AQ$1004,1,MATCH(COLUMNS($AB$1006:AL1006),$AB$1006:$AQ$1006,0)))),"Fix")))</f>
        <v>0</v>
      </c>
      <c r="M23" s="5">
        <f>IF(OR(INDEX($V$2:$V$1001,MATCH(ROWS($U$2:U23),$U$2:$U$1001,0),1)&gt;=100000,INDEX($AB$1005:$AQ$1005,1,MATCH(COLUMNS($AB$1006:AM1006),$AB$1006:$AQ$1006,0))&gt;=100000), " ",IF(INDEX($AB$2:$AQ$1001,MATCH(ROWS($U$2:U23),$U$2:$U$1001,0),MATCH(COLUMNS($AB$1006:AM1006),$AB$1006:$AQ$1006,0)), HYPERLINK("#",""), HYPERLINK(CONCATENATE("#Metadata!", ADDRESS(INDEX($W$2:$W$1001,MATCH(ROWS($U$2:U23),$U$2:$U$1001,0),0), INDEX($AB$1004:$AQ$1004,1,MATCH(COLUMNS($AB$1006:AM1006),$AB$1006:$AQ$1006,0)))),"Fix")))</f>
        <v>0</v>
      </c>
      <c r="N23" s="5">
        <f>IF(OR(INDEX($V$2:$V$1001,MATCH(ROWS($U$2:U23),$U$2:$U$1001,0),1)&gt;=100000,INDEX($AB$1005:$AQ$1005,1,MATCH(COLUMNS($AB$1006:AN1006),$AB$1006:$AQ$1006,0))&gt;=100000), " ",IF(INDEX($AB$2:$AQ$1001,MATCH(ROWS($U$2:U23),$U$2:$U$1001,0),MATCH(COLUMNS($AB$1006:AN1006),$AB$1006:$AQ$1006,0)), HYPERLINK("#",""), HYPERLINK(CONCATENATE("#Metadata!", ADDRESS(INDEX($W$2:$W$1001,MATCH(ROWS($U$2:U23),$U$2:$U$1001,0),0), INDEX($AB$1004:$AQ$1004,1,MATCH(COLUMNS($AB$1006:AN1006),$AB$1006:$AQ$1006,0)))),"Fix")))</f>
        <v>0</v>
      </c>
      <c r="O23" s="5">
        <f>IF(OR(INDEX($V$2:$V$1001,MATCH(ROWS($U$2:U23),$U$2:$U$1001,0),1)&gt;=100000,INDEX($AB$1005:$AQ$1005,1,MATCH(COLUMNS($AB$1006:AO1006),$AB$1006:$AQ$1006,0))&gt;=100000), " ",IF(INDEX($AB$2:$AQ$1001,MATCH(ROWS($U$2:U23),$U$2:$U$1001,0),MATCH(COLUMNS($AB$1006:AO1006),$AB$1006:$AQ$1006,0)), HYPERLINK("#",""), HYPERLINK(CONCATENATE("#Metadata!", ADDRESS(INDEX($W$2:$W$1001,MATCH(ROWS($U$2:U23),$U$2:$U$1001,0),0), INDEX($AB$1004:$AQ$1004,1,MATCH(COLUMNS($AB$1006:AO1006),$AB$1006:$AQ$1006,0)))),"Fix")))</f>
        <v>0</v>
      </c>
      <c r="P23" s="5">
        <f>IF(OR(INDEX($V$2:$V$1001,MATCH(ROWS($U$2:U23),$U$2:$U$1001,0),1)&gt;=100000,INDEX($AB$1005:$AQ$1005,1,MATCH(COLUMNS($AB$1006:AP1006),$AB$1006:$AQ$1006,0))&gt;=100000), " ",IF(INDEX($AB$2:$AQ$1001,MATCH(ROWS($U$2:U23),$U$2:$U$1001,0),MATCH(COLUMNS($AB$1006:AP1006),$AB$1006:$AQ$1006,0)), HYPERLINK("#",""), HYPERLINK(CONCATENATE("#Metadata!", ADDRESS(INDEX($W$2:$W$1001,MATCH(ROWS($U$2:U23),$U$2:$U$1001,0),0), INDEX($AB$1004:$AQ$1004,1,MATCH(COLUMNS($AB$1006:AP1006),$AB$1006:$AQ$1006,0)))),"Fix")))</f>
        <v>0</v>
      </c>
      <c r="Q23" s="5">
        <f>IF(OR(INDEX($V$2:$V$1001,MATCH(ROWS($U$2:U23),$U$2:$U$1001,0),1)&gt;=100000,INDEX($AB$1005:$AQ$1005,1,MATCH(COLUMNS($AB$1006:AQ1006),$AB$1006:$AQ$1006,0))&gt;=100000), " ",IF(INDEX($AB$2:$AQ$1001,MATCH(ROWS($U$2:U23),$U$2:$U$1001,0),MATCH(COLUMNS($AB$1006:AQ1006),$AB$1006:$AQ$1006,0)), HYPERLINK("#",""), HYPERLINK(CONCATENATE("#Metadata!", ADDRESS(INDEX($W$2:$W$1001,MATCH(ROWS($U$2:U23),$U$2:$U$1001,0),0), INDEX($AB$1004:$AQ$1004,1,MATCH(COLUMNS($AB$1006:AQ1006),$AB$1006:$AQ$1006,0)))),"Fix")))</f>
        <v>0</v>
      </c>
      <c r="U23">
        <v>0</v>
      </c>
      <c r="V23">
        <v>0</v>
      </c>
      <c r="W23">
        <v>0</v>
      </c>
      <c r="X23">
        <f>IF(Y23,TRUE,AND(AB23:AQ23))</f>
        <v>0</v>
      </c>
      <c r="Y23">
        <f>COUNTBLANK(Metadata!B23:Q23)=COLUMNS(Metadata!B23:Q23)</f>
        <v>0</v>
      </c>
      <c r="Z23">
        <v>0</v>
      </c>
      <c r="AB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AC23">
        <f>AND(IF(Metadata!C23="",FALSE,TRUE),exact(Metadata!C23,"urban biome"))</f>
        <v>0</v>
      </c>
      <c r="AD23">
        <f>AND(IF(Metadata!D23="",FALSE,TRUE),exact(Metadata!D23,"human-associated habitat"))</f>
        <v>0</v>
      </c>
      <c r="AE23">
        <f>AND(IF(Metadata!E23="",FALSE,TRUE),OR(exact(Metadata!E23,"human-associated"),exact(Metadata!E23,"human-skin"),exact(Metadata!E23,"human-oral"),exact(Metadata!E23,"human-gut"),exact(Metadata!E23,"human-vaginal")))</f>
        <v>0</v>
      </c>
      <c r="AF23">
        <f>AND(IF(Metadata!F23="",FALSE,ISNUMBER(VALUE(Metadata!F23))),Metadata!F23&gt;0)</f>
        <v>0</v>
      </c>
      <c r="AG23">
        <f>AND(IF(Metadata!G23="",FALSE,TRUE),exact(Metadata!G23,"years"))</f>
        <v>0</v>
      </c>
      <c r="AH23">
        <f>OR(AND(IF(Metadata!H23="",FALSE,TRUE),OR(exact(Metadata!H23,"not applicable"),exact(Metadata!H23,"not collected"),exact(Metadata!H23,"not provided"),exact(Metadata!H23,"restricted access"))),AND(IF(Metadata!H23="",FALSE,ISNUMBER(VALUE(Metadata!H23))),Metadata!H23&gt;0))</f>
        <v>0</v>
      </c>
      <c r="AI23">
        <f>AND(IF(Metadata!I23="",FALSE,TRUE),exact(Metadata!I23,"human"))</f>
        <v>0</v>
      </c>
      <c r="AJ23">
        <f>AND(IF(Metadata!J23="",FALSE,ISNUMBER(VALUE(Metadata!J23))),Metadata!J23&gt;0)</f>
        <v>0</v>
      </c>
      <c r="AK23">
        <f>AND(IF(Metadata!K23="",FALSE,TRUE),exact(Metadata!K23,"cm"))</f>
        <v>0</v>
      </c>
      <c r="AL23">
        <f>AND(IF(Metadata!L23="",FALSE,TRUE),exact(Metadata!L23,"Homo sapiens"))</f>
        <v>0</v>
      </c>
      <c r="AM23">
        <f>AND(IF(Metadata!M23="",FALSE,TRUE),exact(Metadata!M23,"9606"))</f>
        <v>0</v>
      </c>
      <c r="AN23">
        <f>AND(IF(Metadata!N23="",FALSE,ISNUMBER(VALUE(Metadata!N23))),Metadata!N23&gt;0)</f>
        <v>0</v>
      </c>
      <c r="AO23">
        <f>AND(IF(Metadata!O23="",FALSE,TRUE),exact(Metadata!O23,"kg"))</f>
        <v>0</v>
      </c>
      <c r="AP23">
        <f>OR(AND(IF(Metadata!P23="",FALSE,TRUE),exact(Metadata!P23,"not provided")),IF(Metadata!P23="",FALSE,TRUE))</f>
        <v>0</v>
      </c>
      <c r="AQ23">
        <f>OR(AND(IF(Metadata!Q23="",FALSE,TRUE),exact(Metadata!Q23,"not provided")),IF(Metadata!Q23="",FALSE,TRUE))</f>
        <v>0</v>
      </c>
    </row>
    <row r="24" spans="1:43">
      <c r="A24" s="4">
        <f>IF(B24=" "," ",HYPERLINK(CONCATENATE("#metadata!",ADDRESS(INDEX($W$2:$W$1001,MATCH(ROWS($U$2:U24),$U$2:$U$1001,0),0),2)),INDEX($Z$2:$Z$1001,MATCH(ROWS($U$2:U24),$U$2:$U$1001,0),0)))</f>
        <v>0</v>
      </c>
      <c r="B24" s="5">
        <f>IF(OR(INDEX($V$2:$V$1001,MATCH(ROWS($U$2:U24),$U$2:$U$1001,0),1)&gt;=100000,INDEX($AB$1005:$AQ$1005,1,MATCH(COLUMNS($AB$1006:AB1006),$AB$1006:$AQ$1006,0))&gt;=100000), " ",IF(INDEX($AB$2:$AQ$1001,MATCH(ROWS($U$2:U24),$U$2:$U$1001,0),MATCH(COLUMNS($AB$1006:AB1006),$AB$1006:$AQ$1006,0)), HYPERLINK("#",""), HYPERLINK(CONCATENATE("#Metadata!", ADDRESS(INDEX($W$2:$W$1001,MATCH(ROWS($U$2:U24),$U$2:$U$1001,0),0), INDEX($AB$1004:$AQ$1004,1,MATCH(COLUMNS($AB$1006:AB1006),$AB$1006:$AQ$1006,0)))),"Fix")))</f>
        <v>0</v>
      </c>
      <c r="C24" s="5">
        <f>IF(OR(INDEX($V$2:$V$1001,MATCH(ROWS($U$2:U24),$U$2:$U$1001,0),1)&gt;=100000,INDEX($AB$1005:$AQ$1005,1,MATCH(COLUMNS($AB$1006:AC1006),$AB$1006:$AQ$1006,0))&gt;=100000), " ",IF(INDEX($AB$2:$AQ$1001,MATCH(ROWS($U$2:U24),$U$2:$U$1001,0),MATCH(COLUMNS($AB$1006:AC1006),$AB$1006:$AQ$1006,0)), HYPERLINK("#",""), HYPERLINK(CONCATENATE("#Metadata!", ADDRESS(INDEX($W$2:$W$1001,MATCH(ROWS($U$2:U24),$U$2:$U$1001,0),0), INDEX($AB$1004:$AQ$1004,1,MATCH(COLUMNS($AB$1006:AC1006),$AB$1006:$AQ$1006,0)))),"Fix")))</f>
        <v>0</v>
      </c>
      <c r="D24" s="5">
        <f>IF(OR(INDEX($V$2:$V$1001,MATCH(ROWS($U$2:U24),$U$2:$U$1001,0),1)&gt;=100000,INDEX($AB$1005:$AQ$1005,1,MATCH(COLUMNS($AB$1006:AD1006),$AB$1006:$AQ$1006,0))&gt;=100000), " ",IF(INDEX($AB$2:$AQ$1001,MATCH(ROWS($U$2:U24),$U$2:$U$1001,0),MATCH(COLUMNS($AB$1006:AD1006),$AB$1006:$AQ$1006,0)), HYPERLINK("#",""), HYPERLINK(CONCATENATE("#Metadata!", ADDRESS(INDEX($W$2:$W$1001,MATCH(ROWS($U$2:U24),$U$2:$U$1001,0),0), INDEX($AB$1004:$AQ$1004,1,MATCH(COLUMNS($AB$1006:AD1006),$AB$1006:$AQ$1006,0)))),"Fix")))</f>
        <v>0</v>
      </c>
      <c r="E24" s="5">
        <f>IF(OR(INDEX($V$2:$V$1001,MATCH(ROWS($U$2:U24),$U$2:$U$1001,0),1)&gt;=100000,INDEX($AB$1005:$AQ$1005,1,MATCH(COLUMNS($AB$1006:AE1006),$AB$1006:$AQ$1006,0))&gt;=100000), " ",IF(INDEX($AB$2:$AQ$1001,MATCH(ROWS($U$2:U24),$U$2:$U$1001,0),MATCH(COLUMNS($AB$1006:AE1006),$AB$1006:$AQ$1006,0)), HYPERLINK("#",""), HYPERLINK(CONCATENATE("#Metadata!", ADDRESS(INDEX($W$2:$W$1001,MATCH(ROWS($U$2:U24),$U$2:$U$1001,0),0), INDEX($AB$1004:$AQ$1004,1,MATCH(COLUMNS($AB$1006:AE1006),$AB$1006:$AQ$1006,0)))),"Fix")))</f>
        <v>0</v>
      </c>
      <c r="F24" s="5">
        <f>IF(OR(INDEX($V$2:$V$1001,MATCH(ROWS($U$2:U24),$U$2:$U$1001,0),1)&gt;=100000,INDEX($AB$1005:$AQ$1005,1,MATCH(COLUMNS($AB$1006:AF1006),$AB$1006:$AQ$1006,0))&gt;=100000), " ",IF(INDEX($AB$2:$AQ$1001,MATCH(ROWS($U$2:U24),$U$2:$U$1001,0),MATCH(COLUMNS($AB$1006:AF1006),$AB$1006:$AQ$1006,0)), HYPERLINK("#",""), HYPERLINK(CONCATENATE("#Metadata!", ADDRESS(INDEX($W$2:$W$1001,MATCH(ROWS($U$2:U24),$U$2:$U$1001,0),0), INDEX($AB$1004:$AQ$1004,1,MATCH(COLUMNS($AB$1006:AF1006),$AB$1006:$AQ$1006,0)))),"Fix")))</f>
        <v>0</v>
      </c>
      <c r="G24" s="5">
        <f>IF(OR(INDEX($V$2:$V$1001,MATCH(ROWS($U$2:U24),$U$2:$U$1001,0),1)&gt;=100000,INDEX($AB$1005:$AQ$1005,1,MATCH(COLUMNS($AB$1006:AG1006),$AB$1006:$AQ$1006,0))&gt;=100000), " ",IF(INDEX($AB$2:$AQ$1001,MATCH(ROWS($U$2:U24),$U$2:$U$1001,0),MATCH(COLUMNS($AB$1006:AG1006),$AB$1006:$AQ$1006,0)), HYPERLINK("#",""), HYPERLINK(CONCATENATE("#Metadata!", ADDRESS(INDEX($W$2:$W$1001,MATCH(ROWS($U$2:U24),$U$2:$U$1001,0),0), INDEX($AB$1004:$AQ$1004,1,MATCH(COLUMNS($AB$1006:AG1006),$AB$1006:$AQ$1006,0)))),"Fix")))</f>
        <v>0</v>
      </c>
      <c r="H24" s="5">
        <f>IF(OR(INDEX($V$2:$V$1001,MATCH(ROWS($U$2:U24),$U$2:$U$1001,0),1)&gt;=100000,INDEX($AB$1005:$AQ$1005,1,MATCH(COLUMNS($AB$1006:AH1006),$AB$1006:$AQ$1006,0))&gt;=100000), " ",IF(INDEX($AB$2:$AQ$1001,MATCH(ROWS($U$2:U24),$U$2:$U$1001,0),MATCH(COLUMNS($AB$1006:AH1006),$AB$1006:$AQ$1006,0)), HYPERLINK("#",""), HYPERLINK(CONCATENATE("#Metadata!", ADDRESS(INDEX($W$2:$W$1001,MATCH(ROWS($U$2:U24),$U$2:$U$1001,0),0), INDEX($AB$1004:$AQ$1004,1,MATCH(COLUMNS($AB$1006:AH1006),$AB$1006:$AQ$1006,0)))),"Fix")))</f>
        <v>0</v>
      </c>
      <c r="I24" s="5">
        <f>IF(OR(INDEX($V$2:$V$1001,MATCH(ROWS($U$2:U24),$U$2:$U$1001,0),1)&gt;=100000,INDEX($AB$1005:$AQ$1005,1,MATCH(COLUMNS($AB$1006:AI1006),$AB$1006:$AQ$1006,0))&gt;=100000), " ",IF(INDEX($AB$2:$AQ$1001,MATCH(ROWS($U$2:U24),$U$2:$U$1001,0),MATCH(COLUMNS($AB$1006:AI1006),$AB$1006:$AQ$1006,0)), HYPERLINK("#",""), HYPERLINK(CONCATENATE("#Metadata!", ADDRESS(INDEX($W$2:$W$1001,MATCH(ROWS($U$2:U24),$U$2:$U$1001,0),0), INDEX($AB$1004:$AQ$1004,1,MATCH(COLUMNS($AB$1006:AI1006),$AB$1006:$AQ$1006,0)))),"Fix")))</f>
        <v>0</v>
      </c>
      <c r="J24" s="5">
        <f>IF(OR(INDEX($V$2:$V$1001,MATCH(ROWS($U$2:U24),$U$2:$U$1001,0),1)&gt;=100000,INDEX($AB$1005:$AQ$1005,1,MATCH(COLUMNS($AB$1006:AJ1006),$AB$1006:$AQ$1006,0))&gt;=100000), " ",IF(INDEX($AB$2:$AQ$1001,MATCH(ROWS($U$2:U24),$U$2:$U$1001,0),MATCH(COLUMNS($AB$1006:AJ1006),$AB$1006:$AQ$1006,0)), HYPERLINK("#",""), HYPERLINK(CONCATENATE("#Metadata!", ADDRESS(INDEX($W$2:$W$1001,MATCH(ROWS($U$2:U24),$U$2:$U$1001,0),0), INDEX($AB$1004:$AQ$1004,1,MATCH(COLUMNS($AB$1006:AJ1006),$AB$1006:$AQ$1006,0)))),"Fix")))</f>
        <v>0</v>
      </c>
      <c r="K24" s="5">
        <f>IF(OR(INDEX($V$2:$V$1001,MATCH(ROWS($U$2:U24),$U$2:$U$1001,0),1)&gt;=100000,INDEX($AB$1005:$AQ$1005,1,MATCH(COLUMNS($AB$1006:AK1006),$AB$1006:$AQ$1006,0))&gt;=100000), " ",IF(INDEX($AB$2:$AQ$1001,MATCH(ROWS($U$2:U24),$U$2:$U$1001,0),MATCH(COLUMNS($AB$1006:AK1006),$AB$1006:$AQ$1006,0)), HYPERLINK("#",""), HYPERLINK(CONCATENATE("#Metadata!", ADDRESS(INDEX($W$2:$W$1001,MATCH(ROWS($U$2:U24),$U$2:$U$1001,0),0), INDEX($AB$1004:$AQ$1004,1,MATCH(COLUMNS($AB$1006:AK1006),$AB$1006:$AQ$1006,0)))),"Fix")))</f>
        <v>0</v>
      </c>
      <c r="L24" s="5">
        <f>IF(OR(INDEX($V$2:$V$1001,MATCH(ROWS($U$2:U24),$U$2:$U$1001,0),1)&gt;=100000,INDEX($AB$1005:$AQ$1005,1,MATCH(COLUMNS($AB$1006:AL1006),$AB$1006:$AQ$1006,0))&gt;=100000), " ",IF(INDEX($AB$2:$AQ$1001,MATCH(ROWS($U$2:U24),$U$2:$U$1001,0),MATCH(COLUMNS($AB$1006:AL1006),$AB$1006:$AQ$1006,0)), HYPERLINK("#",""), HYPERLINK(CONCATENATE("#Metadata!", ADDRESS(INDEX($W$2:$W$1001,MATCH(ROWS($U$2:U24),$U$2:$U$1001,0),0), INDEX($AB$1004:$AQ$1004,1,MATCH(COLUMNS($AB$1006:AL1006),$AB$1006:$AQ$1006,0)))),"Fix")))</f>
        <v>0</v>
      </c>
      <c r="M24" s="5">
        <f>IF(OR(INDEX($V$2:$V$1001,MATCH(ROWS($U$2:U24),$U$2:$U$1001,0),1)&gt;=100000,INDEX($AB$1005:$AQ$1005,1,MATCH(COLUMNS($AB$1006:AM1006),$AB$1006:$AQ$1006,0))&gt;=100000), " ",IF(INDEX($AB$2:$AQ$1001,MATCH(ROWS($U$2:U24),$U$2:$U$1001,0),MATCH(COLUMNS($AB$1006:AM1006),$AB$1006:$AQ$1006,0)), HYPERLINK("#",""), HYPERLINK(CONCATENATE("#Metadata!", ADDRESS(INDEX($W$2:$W$1001,MATCH(ROWS($U$2:U24),$U$2:$U$1001,0),0), INDEX($AB$1004:$AQ$1004,1,MATCH(COLUMNS($AB$1006:AM1006),$AB$1006:$AQ$1006,0)))),"Fix")))</f>
        <v>0</v>
      </c>
      <c r="N24" s="5">
        <f>IF(OR(INDEX($V$2:$V$1001,MATCH(ROWS($U$2:U24),$U$2:$U$1001,0),1)&gt;=100000,INDEX($AB$1005:$AQ$1005,1,MATCH(COLUMNS($AB$1006:AN1006),$AB$1006:$AQ$1006,0))&gt;=100000), " ",IF(INDEX($AB$2:$AQ$1001,MATCH(ROWS($U$2:U24),$U$2:$U$1001,0),MATCH(COLUMNS($AB$1006:AN1006),$AB$1006:$AQ$1006,0)), HYPERLINK("#",""), HYPERLINK(CONCATENATE("#Metadata!", ADDRESS(INDEX($W$2:$W$1001,MATCH(ROWS($U$2:U24),$U$2:$U$1001,0),0), INDEX($AB$1004:$AQ$1004,1,MATCH(COLUMNS($AB$1006:AN1006),$AB$1006:$AQ$1006,0)))),"Fix")))</f>
        <v>0</v>
      </c>
      <c r="O24" s="5">
        <f>IF(OR(INDEX($V$2:$V$1001,MATCH(ROWS($U$2:U24),$U$2:$U$1001,0),1)&gt;=100000,INDEX($AB$1005:$AQ$1005,1,MATCH(COLUMNS($AB$1006:AO1006),$AB$1006:$AQ$1006,0))&gt;=100000), " ",IF(INDEX($AB$2:$AQ$1001,MATCH(ROWS($U$2:U24),$U$2:$U$1001,0),MATCH(COLUMNS($AB$1006:AO1006),$AB$1006:$AQ$1006,0)), HYPERLINK("#",""), HYPERLINK(CONCATENATE("#Metadata!", ADDRESS(INDEX($W$2:$W$1001,MATCH(ROWS($U$2:U24),$U$2:$U$1001,0),0), INDEX($AB$1004:$AQ$1004,1,MATCH(COLUMNS($AB$1006:AO1006),$AB$1006:$AQ$1006,0)))),"Fix")))</f>
        <v>0</v>
      </c>
      <c r="P24" s="5">
        <f>IF(OR(INDEX($V$2:$V$1001,MATCH(ROWS($U$2:U24),$U$2:$U$1001,0),1)&gt;=100000,INDEX($AB$1005:$AQ$1005,1,MATCH(COLUMNS($AB$1006:AP1006),$AB$1006:$AQ$1006,0))&gt;=100000), " ",IF(INDEX($AB$2:$AQ$1001,MATCH(ROWS($U$2:U24),$U$2:$U$1001,0),MATCH(COLUMNS($AB$1006:AP1006),$AB$1006:$AQ$1006,0)), HYPERLINK("#",""), HYPERLINK(CONCATENATE("#Metadata!", ADDRESS(INDEX($W$2:$W$1001,MATCH(ROWS($U$2:U24),$U$2:$U$1001,0),0), INDEX($AB$1004:$AQ$1004,1,MATCH(COLUMNS($AB$1006:AP1006),$AB$1006:$AQ$1006,0)))),"Fix")))</f>
        <v>0</v>
      </c>
      <c r="Q24" s="5">
        <f>IF(OR(INDEX($V$2:$V$1001,MATCH(ROWS($U$2:U24),$U$2:$U$1001,0),1)&gt;=100000,INDEX($AB$1005:$AQ$1005,1,MATCH(COLUMNS($AB$1006:AQ1006),$AB$1006:$AQ$1006,0))&gt;=100000), " ",IF(INDEX($AB$2:$AQ$1001,MATCH(ROWS($U$2:U24),$U$2:$U$1001,0),MATCH(COLUMNS($AB$1006:AQ1006),$AB$1006:$AQ$1006,0)), HYPERLINK("#",""), HYPERLINK(CONCATENATE("#Metadata!", ADDRESS(INDEX($W$2:$W$1001,MATCH(ROWS($U$2:U24),$U$2:$U$1001,0),0), INDEX($AB$1004:$AQ$1004,1,MATCH(COLUMNS($AB$1006:AQ1006),$AB$1006:$AQ$1006,0)))),"Fix")))</f>
        <v>0</v>
      </c>
      <c r="U24">
        <v>0</v>
      </c>
      <c r="V24">
        <v>0</v>
      </c>
      <c r="W24">
        <v>0</v>
      </c>
      <c r="X24">
        <f>IF(Y24,TRUE,AND(AB24:AQ24))</f>
        <v>0</v>
      </c>
      <c r="Y24">
        <f>COUNTBLANK(Metadata!B24:Q24)=COLUMNS(Metadata!B24:Q24)</f>
        <v>0</v>
      </c>
      <c r="Z24">
        <v>0</v>
      </c>
      <c r="AB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AC24">
        <f>AND(IF(Metadata!C24="",FALSE,TRUE),exact(Metadata!C24,"urban biome"))</f>
        <v>0</v>
      </c>
      <c r="AD24">
        <f>AND(IF(Metadata!D24="",FALSE,TRUE),exact(Metadata!D24,"human-associated habitat"))</f>
        <v>0</v>
      </c>
      <c r="AE24">
        <f>AND(IF(Metadata!E24="",FALSE,TRUE),OR(exact(Metadata!E24,"human-associated"),exact(Metadata!E24,"human-skin"),exact(Metadata!E24,"human-oral"),exact(Metadata!E24,"human-gut"),exact(Metadata!E24,"human-vaginal")))</f>
        <v>0</v>
      </c>
      <c r="AF24">
        <f>AND(IF(Metadata!F24="",FALSE,ISNUMBER(VALUE(Metadata!F24))),Metadata!F24&gt;0)</f>
        <v>0</v>
      </c>
      <c r="AG24">
        <f>AND(IF(Metadata!G24="",FALSE,TRUE),exact(Metadata!G24,"years"))</f>
        <v>0</v>
      </c>
      <c r="AH24">
        <f>OR(AND(IF(Metadata!H24="",FALSE,TRUE),OR(exact(Metadata!H24,"not applicable"),exact(Metadata!H24,"not collected"),exact(Metadata!H24,"not provided"),exact(Metadata!H24,"restricted access"))),AND(IF(Metadata!H24="",FALSE,ISNUMBER(VALUE(Metadata!H24))),Metadata!H24&gt;0))</f>
        <v>0</v>
      </c>
      <c r="AI24">
        <f>AND(IF(Metadata!I24="",FALSE,TRUE),exact(Metadata!I24,"human"))</f>
        <v>0</v>
      </c>
      <c r="AJ24">
        <f>AND(IF(Metadata!J24="",FALSE,ISNUMBER(VALUE(Metadata!J24))),Metadata!J24&gt;0)</f>
        <v>0</v>
      </c>
      <c r="AK24">
        <f>AND(IF(Metadata!K24="",FALSE,TRUE),exact(Metadata!K24,"cm"))</f>
        <v>0</v>
      </c>
      <c r="AL24">
        <f>AND(IF(Metadata!L24="",FALSE,TRUE),exact(Metadata!L24,"Homo sapiens"))</f>
        <v>0</v>
      </c>
      <c r="AM24">
        <f>AND(IF(Metadata!M24="",FALSE,TRUE),exact(Metadata!M24,"9606"))</f>
        <v>0</v>
      </c>
      <c r="AN24">
        <f>AND(IF(Metadata!N24="",FALSE,ISNUMBER(VALUE(Metadata!N24))),Metadata!N24&gt;0)</f>
        <v>0</v>
      </c>
      <c r="AO24">
        <f>AND(IF(Metadata!O24="",FALSE,TRUE),exact(Metadata!O24,"kg"))</f>
        <v>0</v>
      </c>
      <c r="AP24">
        <f>OR(AND(IF(Metadata!P24="",FALSE,TRUE),exact(Metadata!P24,"not provided")),IF(Metadata!P24="",FALSE,TRUE))</f>
        <v>0</v>
      </c>
      <c r="AQ24">
        <f>OR(AND(IF(Metadata!Q24="",FALSE,TRUE),exact(Metadata!Q24,"not provided")),IF(Metadata!Q24="",FALSE,TRUE))</f>
        <v>0</v>
      </c>
    </row>
    <row r="25" spans="1:43">
      <c r="A25" s="4">
        <f>IF(B25=" "," ",HYPERLINK(CONCATENATE("#metadata!",ADDRESS(INDEX($W$2:$W$1001,MATCH(ROWS($U$2:U25),$U$2:$U$1001,0),0),2)),INDEX($Z$2:$Z$1001,MATCH(ROWS($U$2:U25),$U$2:$U$1001,0),0)))</f>
        <v>0</v>
      </c>
      <c r="B25" s="5">
        <f>IF(OR(INDEX($V$2:$V$1001,MATCH(ROWS($U$2:U25),$U$2:$U$1001,0),1)&gt;=100000,INDEX($AB$1005:$AQ$1005,1,MATCH(COLUMNS($AB$1006:AB1006),$AB$1006:$AQ$1006,0))&gt;=100000), " ",IF(INDEX($AB$2:$AQ$1001,MATCH(ROWS($U$2:U25),$U$2:$U$1001,0),MATCH(COLUMNS($AB$1006:AB1006),$AB$1006:$AQ$1006,0)), HYPERLINK("#",""), HYPERLINK(CONCATENATE("#Metadata!", ADDRESS(INDEX($W$2:$W$1001,MATCH(ROWS($U$2:U25),$U$2:$U$1001,0),0), INDEX($AB$1004:$AQ$1004,1,MATCH(COLUMNS($AB$1006:AB1006),$AB$1006:$AQ$1006,0)))),"Fix")))</f>
        <v>0</v>
      </c>
      <c r="C25" s="5">
        <f>IF(OR(INDEX($V$2:$V$1001,MATCH(ROWS($U$2:U25),$U$2:$U$1001,0),1)&gt;=100000,INDEX($AB$1005:$AQ$1005,1,MATCH(COLUMNS($AB$1006:AC1006),$AB$1006:$AQ$1006,0))&gt;=100000), " ",IF(INDEX($AB$2:$AQ$1001,MATCH(ROWS($U$2:U25),$U$2:$U$1001,0),MATCH(COLUMNS($AB$1006:AC1006),$AB$1006:$AQ$1006,0)), HYPERLINK("#",""), HYPERLINK(CONCATENATE("#Metadata!", ADDRESS(INDEX($W$2:$W$1001,MATCH(ROWS($U$2:U25),$U$2:$U$1001,0),0), INDEX($AB$1004:$AQ$1004,1,MATCH(COLUMNS($AB$1006:AC1006),$AB$1006:$AQ$1006,0)))),"Fix")))</f>
        <v>0</v>
      </c>
      <c r="D25" s="5">
        <f>IF(OR(INDEX($V$2:$V$1001,MATCH(ROWS($U$2:U25),$U$2:$U$1001,0),1)&gt;=100000,INDEX($AB$1005:$AQ$1005,1,MATCH(COLUMNS($AB$1006:AD1006),$AB$1006:$AQ$1006,0))&gt;=100000), " ",IF(INDEX($AB$2:$AQ$1001,MATCH(ROWS($U$2:U25),$U$2:$U$1001,0),MATCH(COLUMNS($AB$1006:AD1006),$AB$1006:$AQ$1006,0)), HYPERLINK("#",""), HYPERLINK(CONCATENATE("#Metadata!", ADDRESS(INDEX($W$2:$W$1001,MATCH(ROWS($U$2:U25),$U$2:$U$1001,0),0), INDEX($AB$1004:$AQ$1004,1,MATCH(COLUMNS($AB$1006:AD1006),$AB$1006:$AQ$1006,0)))),"Fix")))</f>
        <v>0</v>
      </c>
      <c r="E25" s="5">
        <f>IF(OR(INDEX($V$2:$V$1001,MATCH(ROWS($U$2:U25),$U$2:$U$1001,0),1)&gt;=100000,INDEX($AB$1005:$AQ$1005,1,MATCH(COLUMNS($AB$1006:AE1006),$AB$1006:$AQ$1006,0))&gt;=100000), " ",IF(INDEX($AB$2:$AQ$1001,MATCH(ROWS($U$2:U25),$U$2:$U$1001,0),MATCH(COLUMNS($AB$1006:AE1006),$AB$1006:$AQ$1006,0)), HYPERLINK("#",""), HYPERLINK(CONCATENATE("#Metadata!", ADDRESS(INDEX($W$2:$W$1001,MATCH(ROWS($U$2:U25),$U$2:$U$1001,0),0), INDEX($AB$1004:$AQ$1004,1,MATCH(COLUMNS($AB$1006:AE1006),$AB$1006:$AQ$1006,0)))),"Fix")))</f>
        <v>0</v>
      </c>
      <c r="F25" s="5">
        <f>IF(OR(INDEX($V$2:$V$1001,MATCH(ROWS($U$2:U25),$U$2:$U$1001,0),1)&gt;=100000,INDEX($AB$1005:$AQ$1005,1,MATCH(COLUMNS($AB$1006:AF1006),$AB$1006:$AQ$1006,0))&gt;=100000), " ",IF(INDEX($AB$2:$AQ$1001,MATCH(ROWS($U$2:U25),$U$2:$U$1001,0),MATCH(COLUMNS($AB$1006:AF1006),$AB$1006:$AQ$1006,0)), HYPERLINK("#",""), HYPERLINK(CONCATENATE("#Metadata!", ADDRESS(INDEX($W$2:$W$1001,MATCH(ROWS($U$2:U25),$U$2:$U$1001,0),0), INDEX($AB$1004:$AQ$1004,1,MATCH(COLUMNS($AB$1006:AF1006),$AB$1006:$AQ$1006,0)))),"Fix")))</f>
        <v>0</v>
      </c>
      <c r="G25" s="5">
        <f>IF(OR(INDEX($V$2:$V$1001,MATCH(ROWS($U$2:U25),$U$2:$U$1001,0),1)&gt;=100000,INDEX($AB$1005:$AQ$1005,1,MATCH(COLUMNS($AB$1006:AG1006),$AB$1006:$AQ$1006,0))&gt;=100000), " ",IF(INDEX($AB$2:$AQ$1001,MATCH(ROWS($U$2:U25),$U$2:$U$1001,0),MATCH(COLUMNS($AB$1006:AG1006),$AB$1006:$AQ$1006,0)), HYPERLINK("#",""), HYPERLINK(CONCATENATE("#Metadata!", ADDRESS(INDEX($W$2:$W$1001,MATCH(ROWS($U$2:U25),$U$2:$U$1001,0),0), INDEX($AB$1004:$AQ$1004,1,MATCH(COLUMNS($AB$1006:AG1006),$AB$1006:$AQ$1006,0)))),"Fix")))</f>
        <v>0</v>
      </c>
      <c r="H25" s="5">
        <f>IF(OR(INDEX($V$2:$V$1001,MATCH(ROWS($U$2:U25),$U$2:$U$1001,0),1)&gt;=100000,INDEX($AB$1005:$AQ$1005,1,MATCH(COLUMNS($AB$1006:AH1006),$AB$1006:$AQ$1006,0))&gt;=100000), " ",IF(INDEX($AB$2:$AQ$1001,MATCH(ROWS($U$2:U25),$U$2:$U$1001,0),MATCH(COLUMNS($AB$1006:AH1006),$AB$1006:$AQ$1006,0)), HYPERLINK("#",""), HYPERLINK(CONCATENATE("#Metadata!", ADDRESS(INDEX($W$2:$W$1001,MATCH(ROWS($U$2:U25),$U$2:$U$1001,0),0), INDEX($AB$1004:$AQ$1004,1,MATCH(COLUMNS($AB$1006:AH1006),$AB$1006:$AQ$1006,0)))),"Fix")))</f>
        <v>0</v>
      </c>
      <c r="I25" s="5">
        <f>IF(OR(INDEX($V$2:$V$1001,MATCH(ROWS($U$2:U25),$U$2:$U$1001,0),1)&gt;=100000,INDEX($AB$1005:$AQ$1005,1,MATCH(COLUMNS($AB$1006:AI1006),$AB$1006:$AQ$1006,0))&gt;=100000), " ",IF(INDEX($AB$2:$AQ$1001,MATCH(ROWS($U$2:U25),$U$2:$U$1001,0),MATCH(COLUMNS($AB$1006:AI1006),$AB$1006:$AQ$1006,0)), HYPERLINK("#",""), HYPERLINK(CONCATENATE("#Metadata!", ADDRESS(INDEX($W$2:$W$1001,MATCH(ROWS($U$2:U25),$U$2:$U$1001,0),0), INDEX($AB$1004:$AQ$1004,1,MATCH(COLUMNS($AB$1006:AI1006),$AB$1006:$AQ$1006,0)))),"Fix")))</f>
        <v>0</v>
      </c>
      <c r="J25" s="5">
        <f>IF(OR(INDEX($V$2:$V$1001,MATCH(ROWS($U$2:U25),$U$2:$U$1001,0),1)&gt;=100000,INDEX($AB$1005:$AQ$1005,1,MATCH(COLUMNS($AB$1006:AJ1006),$AB$1006:$AQ$1006,0))&gt;=100000), " ",IF(INDEX($AB$2:$AQ$1001,MATCH(ROWS($U$2:U25),$U$2:$U$1001,0),MATCH(COLUMNS($AB$1006:AJ1006),$AB$1006:$AQ$1006,0)), HYPERLINK("#",""), HYPERLINK(CONCATENATE("#Metadata!", ADDRESS(INDEX($W$2:$W$1001,MATCH(ROWS($U$2:U25),$U$2:$U$1001,0),0), INDEX($AB$1004:$AQ$1004,1,MATCH(COLUMNS($AB$1006:AJ1006),$AB$1006:$AQ$1006,0)))),"Fix")))</f>
        <v>0</v>
      </c>
      <c r="K25" s="5">
        <f>IF(OR(INDEX($V$2:$V$1001,MATCH(ROWS($U$2:U25),$U$2:$U$1001,0),1)&gt;=100000,INDEX($AB$1005:$AQ$1005,1,MATCH(COLUMNS($AB$1006:AK1006),$AB$1006:$AQ$1006,0))&gt;=100000), " ",IF(INDEX($AB$2:$AQ$1001,MATCH(ROWS($U$2:U25),$U$2:$U$1001,0),MATCH(COLUMNS($AB$1006:AK1006),$AB$1006:$AQ$1006,0)), HYPERLINK("#",""), HYPERLINK(CONCATENATE("#Metadata!", ADDRESS(INDEX($W$2:$W$1001,MATCH(ROWS($U$2:U25),$U$2:$U$1001,0),0), INDEX($AB$1004:$AQ$1004,1,MATCH(COLUMNS($AB$1006:AK1006),$AB$1006:$AQ$1006,0)))),"Fix")))</f>
        <v>0</v>
      </c>
      <c r="L25" s="5">
        <f>IF(OR(INDEX($V$2:$V$1001,MATCH(ROWS($U$2:U25),$U$2:$U$1001,0),1)&gt;=100000,INDEX($AB$1005:$AQ$1005,1,MATCH(COLUMNS($AB$1006:AL1006),$AB$1006:$AQ$1006,0))&gt;=100000), " ",IF(INDEX($AB$2:$AQ$1001,MATCH(ROWS($U$2:U25),$U$2:$U$1001,0),MATCH(COLUMNS($AB$1006:AL1006),$AB$1006:$AQ$1006,0)), HYPERLINK("#",""), HYPERLINK(CONCATENATE("#Metadata!", ADDRESS(INDEX($W$2:$W$1001,MATCH(ROWS($U$2:U25),$U$2:$U$1001,0),0), INDEX($AB$1004:$AQ$1004,1,MATCH(COLUMNS($AB$1006:AL1006),$AB$1006:$AQ$1006,0)))),"Fix")))</f>
        <v>0</v>
      </c>
      <c r="M25" s="5">
        <f>IF(OR(INDEX($V$2:$V$1001,MATCH(ROWS($U$2:U25),$U$2:$U$1001,0),1)&gt;=100000,INDEX($AB$1005:$AQ$1005,1,MATCH(COLUMNS($AB$1006:AM1006),$AB$1006:$AQ$1006,0))&gt;=100000), " ",IF(INDEX($AB$2:$AQ$1001,MATCH(ROWS($U$2:U25),$U$2:$U$1001,0),MATCH(COLUMNS($AB$1006:AM1006),$AB$1006:$AQ$1006,0)), HYPERLINK("#",""), HYPERLINK(CONCATENATE("#Metadata!", ADDRESS(INDEX($W$2:$W$1001,MATCH(ROWS($U$2:U25),$U$2:$U$1001,0),0), INDEX($AB$1004:$AQ$1004,1,MATCH(COLUMNS($AB$1006:AM1006),$AB$1006:$AQ$1006,0)))),"Fix")))</f>
        <v>0</v>
      </c>
      <c r="N25" s="5">
        <f>IF(OR(INDEX($V$2:$V$1001,MATCH(ROWS($U$2:U25),$U$2:$U$1001,0),1)&gt;=100000,INDEX($AB$1005:$AQ$1005,1,MATCH(COLUMNS($AB$1006:AN1006),$AB$1006:$AQ$1006,0))&gt;=100000), " ",IF(INDEX($AB$2:$AQ$1001,MATCH(ROWS($U$2:U25),$U$2:$U$1001,0),MATCH(COLUMNS($AB$1006:AN1006),$AB$1006:$AQ$1006,0)), HYPERLINK("#",""), HYPERLINK(CONCATENATE("#Metadata!", ADDRESS(INDEX($W$2:$W$1001,MATCH(ROWS($U$2:U25),$U$2:$U$1001,0),0), INDEX($AB$1004:$AQ$1004,1,MATCH(COLUMNS($AB$1006:AN1006),$AB$1006:$AQ$1006,0)))),"Fix")))</f>
        <v>0</v>
      </c>
      <c r="O25" s="5">
        <f>IF(OR(INDEX($V$2:$V$1001,MATCH(ROWS($U$2:U25),$U$2:$U$1001,0),1)&gt;=100000,INDEX($AB$1005:$AQ$1005,1,MATCH(COLUMNS($AB$1006:AO1006),$AB$1006:$AQ$1006,0))&gt;=100000), " ",IF(INDEX($AB$2:$AQ$1001,MATCH(ROWS($U$2:U25),$U$2:$U$1001,0),MATCH(COLUMNS($AB$1006:AO1006),$AB$1006:$AQ$1006,0)), HYPERLINK("#",""), HYPERLINK(CONCATENATE("#Metadata!", ADDRESS(INDEX($W$2:$W$1001,MATCH(ROWS($U$2:U25),$U$2:$U$1001,0),0), INDEX($AB$1004:$AQ$1004,1,MATCH(COLUMNS($AB$1006:AO1006),$AB$1006:$AQ$1006,0)))),"Fix")))</f>
        <v>0</v>
      </c>
      <c r="P25" s="5">
        <f>IF(OR(INDEX($V$2:$V$1001,MATCH(ROWS($U$2:U25),$U$2:$U$1001,0),1)&gt;=100000,INDEX($AB$1005:$AQ$1005,1,MATCH(COLUMNS($AB$1006:AP1006),$AB$1006:$AQ$1006,0))&gt;=100000), " ",IF(INDEX($AB$2:$AQ$1001,MATCH(ROWS($U$2:U25),$U$2:$U$1001,0),MATCH(COLUMNS($AB$1006:AP1006),$AB$1006:$AQ$1006,0)), HYPERLINK("#",""), HYPERLINK(CONCATENATE("#Metadata!", ADDRESS(INDEX($W$2:$W$1001,MATCH(ROWS($U$2:U25),$U$2:$U$1001,0),0), INDEX($AB$1004:$AQ$1004,1,MATCH(COLUMNS($AB$1006:AP1006),$AB$1006:$AQ$1006,0)))),"Fix")))</f>
        <v>0</v>
      </c>
      <c r="Q25" s="5">
        <f>IF(OR(INDEX($V$2:$V$1001,MATCH(ROWS($U$2:U25),$U$2:$U$1001,0),1)&gt;=100000,INDEX($AB$1005:$AQ$1005,1,MATCH(COLUMNS($AB$1006:AQ1006),$AB$1006:$AQ$1006,0))&gt;=100000), " ",IF(INDEX($AB$2:$AQ$1001,MATCH(ROWS($U$2:U25),$U$2:$U$1001,0),MATCH(COLUMNS($AB$1006:AQ1006),$AB$1006:$AQ$1006,0)), HYPERLINK("#",""), HYPERLINK(CONCATENATE("#Metadata!", ADDRESS(INDEX($W$2:$W$1001,MATCH(ROWS($U$2:U25),$U$2:$U$1001,0),0), INDEX($AB$1004:$AQ$1004,1,MATCH(COLUMNS($AB$1006:AQ1006),$AB$1006:$AQ$1006,0)))),"Fix")))</f>
        <v>0</v>
      </c>
      <c r="U25">
        <v>0</v>
      </c>
      <c r="V25">
        <v>0</v>
      </c>
      <c r="W25">
        <v>0</v>
      </c>
      <c r="X25">
        <f>IF(Y25,TRUE,AND(AB25:AQ25))</f>
        <v>0</v>
      </c>
      <c r="Y25">
        <f>COUNTBLANK(Metadata!B25:Q25)=COLUMNS(Metadata!B25:Q25)</f>
        <v>0</v>
      </c>
      <c r="Z25">
        <v>0</v>
      </c>
      <c r="AB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AC25">
        <f>AND(IF(Metadata!C25="",FALSE,TRUE),exact(Metadata!C25,"urban biome"))</f>
        <v>0</v>
      </c>
      <c r="AD25">
        <f>AND(IF(Metadata!D25="",FALSE,TRUE),exact(Metadata!D25,"human-associated habitat"))</f>
        <v>0</v>
      </c>
      <c r="AE25">
        <f>AND(IF(Metadata!E25="",FALSE,TRUE),OR(exact(Metadata!E25,"human-associated"),exact(Metadata!E25,"human-skin"),exact(Metadata!E25,"human-oral"),exact(Metadata!E25,"human-gut"),exact(Metadata!E25,"human-vaginal")))</f>
        <v>0</v>
      </c>
      <c r="AF25">
        <f>AND(IF(Metadata!F25="",FALSE,ISNUMBER(VALUE(Metadata!F25))),Metadata!F25&gt;0)</f>
        <v>0</v>
      </c>
      <c r="AG25">
        <f>AND(IF(Metadata!G25="",FALSE,TRUE),exact(Metadata!G25,"years"))</f>
        <v>0</v>
      </c>
      <c r="AH25">
        <f>OR(AND(IF(Metadata!H25="",FALSE,TRUE),OR(exact(Metadata!H25,"not applicable"),exact(Metadata!H25,"not collected"),exact(Metadata!H25,"not provided"),exact(Metadata!H25,"restricted access"))),AND(IF(Metadata!H25="",FALSE,ISNUMBER(VALUE(Metadata!H25))),Metadata!H25&gt;0))</f>
        <v>0</v>
      </c>
      <c r="AI25">
        <f>AND(IF(Metadata!I25="",FALSE,TRUE),exact(Metadata!I25,"human"))</f>
        <v>0</v>
      </c>
      <c r="AJ25">
        <f>AND(IF(Metadata!J25="",FALSE,ISNUMBER(VALUE(Metadata!J25))),Metadata!J25&gt;0)</f>
        <v>0</v>
      </c>
      <c r="AK25">
        <f>AND(IF(Metadata!K25="",FALSE,TRUE),exact(Metadata!K25,"cm"))</f>
        <v>0</v>
      </c>
      <c r="AL25">
        <f>AND(IF(Metadata!L25="",FALSE,TRUE),exact(Metadata!L25,"Homo sapiens"))</f>
        <v>0</v>
      </c>
      <c r="AM25">
        <f>AND(IF(Metadata!M25="",FALSE,TRUE),exact(Metadata!M25,"9606"))</f>
        <v>0</v>
      </c>
      <c r="AN25">
        <f>AND(IF(Metadata!N25="",FALSE,ISNUMBER(VALUE(Metadata!N25))),Metadata!N25&gt;0)</f>
        <v>0</v>
      </c>
      <c r="AO25">
        <f>AND(IF(Metadata!O25="",FALSE,TRUE),exact(Metadata!O25,"kg"))</f>
        <v>0</v>
      </c>
      <c r="AP25">
        <f>OR(AND(IF(Metadata!P25="",FALSE,TRUE),exact(Metadata!P25,"not provided")),IF(Metadata!P25="",FALSE,TRUE))</f>
        <v>0</v>
      </c>
      <c r="AQ25">
        <f>OR(AND(IF(Metadata!Q25="",FALSE,TRUE),exact(Metadata!Q25,"not provided")),IF(Metadata!Q25="",FALSE,TRUE))</f>
        <v>0</v>
      </c>
    </row>
    <row r="26" spans="1:43">
      <c r="A26" s="4">
        <f>IF(B26=" "," ",HYPERLINK(CONCATENATE("#metadata!",ADDRESS(INDEX($W$2:$W$1001,MATCH(ROWS($U$2:U26),$U$2:$U$1001,0),0),2)),INDEX($Z$2:$Z$1001,MATCH(ROWS($U$2:U26),$U$2:$U$1001,0),0)))</f>
        <v>0</v>
      </c>
      <c r="B26" s="5">
        <f>IF(OR(INDEX($V$2:$V$1001,MATCH(ROWS($U$2:U26),$U$2:$U$1001,0),1)&gt;=100000,INDEX($AB$1005:$AQ$1005,1,MATCH(COLUMNS($AB$1006:AB1006),$AB$1006:$AQ$1006,0))&gt;=100000), " ",IF(INDEX($AB$2:$AQ$1001,MATCH(ROWS($U$2:U26),$U$2:$U$1001,0),MATCH(COLUMNS($AB$1006:AB1006),$AB$1006:$AQ$1006,0)), HYPERLINK("#",""), HYPERLINK(CONCATENATE("#Metadata!", ADDRESS(INDEX($W$2:$W$1001,MATCH(ROWS($U$2:U26),$U$2:$U$1001,0),0), INDEX($AB$1004:$AQ$1004,1,MATCH(COLUMNS($AB$1006:AB1006),$AB$1006:$AQ$1006,0)))),"Fix")))</f>
        <v>0</v>
      </c>
      <c r="C26" s="5">
        <f>IF(OR(INDEX($V$2:$V$1001,MATCH(ROWS($U$2:U26),$U$2:$U$1001,0),1)&gt;=100000,INDEX($AB$1005:$AQ$1005,1,MATCH(COLUMNS($AB$1006:AC1006),$AB$1006:$AQ$1006,0))&gt;=100000), " ",IF(INDEX($AB$2:$AQ$1001,MATCH(ROWS($U$2:U26),$U$2:$U$1001,0),MATCH(COLUMNS($AB$1006:AC1006),$AB$1006:$AQ$1006,0)), HYPERLINK("#",""), HYPERLINK(CONCATENATE("#Metadata!", ADDRESS(INDEX($W$2:$W$1001,MATCH(ROWS($U$2:U26),$U$2:$U$1001,0),0), INDEX($AB$1004:$AQ$1004,1,MATCH(COLUMNS($AB$1006:AC1006),$AB$1006:$AQ$1006,0)))),"Fix")))</f>
        <v>0</v>
      </c>
      <c r="D26" s="5">
        <f>IF(OR(INDEX($V$2:$V$1001,MATCH(ROWS($U$2:U26),$U$2:$U$1001,0),1)&gt;=100000,INDEX($AB$1005:$AQ$1005,1,MATCH(COLUMNS($AB$1006:AD1006),$AB$1006:$AQ$1006,0))&gt;=100000), " ",IF(INDEX($AB$2:$AQ$1001,MATCH(ROWS($U$2:U26),$U$2:$U$1001,0),MATCH(COLUMNS($AB$1006:AD1006),$AB$1006:$AQ$1006,0)), HYPERLINK("#",""), HYPERLINK(CONCATENATE("#Metadata!", ADDRESS(INDEX($W$2:$W$1001,MATCH(ROWS($U$2:U26),$U$2:$U$1001,0),0), INDEX($AB$1004:$AQ$1004,1,MATCH(COLUMNS($AB$1006:AD1006),$AB$1006:$AQ$1006,0)))),"Fix")))</f>
        <v>0</v>
      </c>
      <c r="E26" s="5">
        <f>IF(OR(INDEX($V$2:$V$1001,MATCH(ROWS($U$2:U26),$U$2:$U$1001,0),1)&gt;=100000,INDEX($AB$1005:$AQ$1005,1,MATCH(COLUMNS($AB$1006:AE1006),$AB$1006:$AQ$1006,0))&gt;=100000), " ",IF(INDEX($AB$2:$AQ$1001,MATCH(ROWS($U$2:U26),$U$2:$U$1001,0),MATCH(COLUMNS($AB$1006:AE1006),$AB$1006:$AQ$1006,0)), HYPERLINK("#",""), HYPERLINK(CONCATENATE("#Metadata!", ADDRESS(INDEX($W$2:$W$1001,MATCH(ROWS($U$2:U26),$U$2:$U$1001,0),0), INDEX($AB$1004:$AQ$1004,1,MATCH(COLUMNS($AB$1006:AE1006),$AB$1006:$AQ$1006,0)))),"Fix")))</f>
        <v>0</v>
      </c>
      <c r="F26" s="5">
        <f>IF(OR(INDEX($V$2:$V$1001,MATCH(ROWS($U$2:U26),$U$2:$U$1001,0),1)&gt;=100000,INDEX($AB$1005:$AQ$1005,1,MATCH(COLUMNS($AB$1006:AF1006),$AB$1006:$AQ$1006,0))&gt;=100000), " ",IF(INDEX($AB$2:$AQ$1001,MATCH(ROWS($U$2:U26),$U$2:$U$1001,0),MATCH(COLUMNS($AB$1006:AF1006),$AB$1006:$AQ$1006,0)), HYPERLINK("#",""), HYPERLINK(CONCATENATE("#Metadata!", ADDRESS(INDEX($W$2:$W$1001,MATCH(ROWS($U$2:U26),$U$2:$U$1001,0),0), INDEX($AB$1004:$AQ$1004,1,MATCH(COLUMNS($AB$1006:AF1006),$AB$1006:$AQ$1006,0)))),"Fix")))</f>
        <v>0</v>
      </c>
      <c r="G26" s="5">
        <f>IF(OR(INDEX($V$2:$V$1001,MATCH(ROWS($U$2:U26),$U$2:$U$1001,0),1)&gt;=100000,INDEX($AB$1005:$AQ$1005,1,MATCH(COLUMNS($AB$1006:AG1006),$AB$1006:$AQ$1006,0))&gt;=100000), " ",IF(INDEX($AB$2:$AQ$1001,MATCH(ROWS($U$2:U26),$U$2:$U$1001,0),MATCH(COLUMNS($AB$1006:AG1006),$AB$1006:$AQ$1006,0)), HYPERLINK("#",""), HYPERLINK(CONCATENATE("#Metadata!", ADDRESS(INDEX($W$2:$W$1001,MATCH(ROWS($U$2:U26),$U$2:$U$1001,0),0), INDEX($AB$1004:$AQ$1004,1,MATCH(COLUMNS($AB$1006:AG1006),$AB$1006:$AQ$1006,0)))),"Fix")))</f>
        <v>0</v>
      </c>
      <c r="H26" s="5">
        <f>IF(OR(INDEX($V$2:$V$1001,MATCH(ROWS($U$2:U26),$U$2:$U$1001,0),1)&gt;=100000,INDEX($AB$1005:$AQ$1005,1,MATCH(COLUMNS($AB$1006:AH1006),$AB$1006:$AQ$1006,0))&gt;=100000), " ",IF(INDEX($AB$2:$AQ$1001,MATCH(ROWS($U$2:U26),$U$2:$U$1001,0),MATCH(COLUMNS($AB$1006:AH1006),$AB$1006:$AQ$1006,0)), HYPERLINK("#",""), HYPERLINK(CONCATENATE("#Metadata!", ADDRESS(INDEX($W$2:$W$1001,MATCH(ROWS($U$2:U26),$U$2:$U$1001,0),0), INDEX($AB$1004:$AQ$1004,1,MATCH(COLUMNS($AB$1006:AH1006),$AB$1006:$AQ$1006,0)))),"Fix")))</f>
        <v>0</v>
      </c>
      <c r="I26" s="5">
        <f>IF(OR(INDEX($V$2:$V$1001,MATCH(ROWS($U$2:U26),$U$2:$U$1001,0),1)&gt;=100000,INDEX($AB$1005:$AQ$1005,1,MATCH(COLUMNS($AB$1006:AI1006),$AB$1006:$AQ$1006,0))&gt;=100000), " ",IF(INDEX($AB$2:$AQ$1001,MATCH(ROWS($U$2:U26),$U$2:$U$1001,0),MATCH(COLUMNS($AB$1006:AI1006),$AB$1006:$AQ$1006,0)), HYPERLINK("#",""), HYPERLINK(CONCATENATE("#Metadata!", ADDRESS(INDEX($W$2:$W$1001,MATCH(ROWS($U$2:U26),$U$2:$U$1001,0),0), INDEX($AB$1004:$AQ$1004,1,MATCH(COLUMNS($AB$1006:AI1006),$AB$1006:$AQ$1006,0)))),"Fix")))</f>
        <v>0</v>
      </c>
      <c r="J26" s="5">
        <f>IF(OR(INDEX($V$2:$V$1001,MATCH(ROWS($U$2:U26),$U$2:$U$1001,0),1)&gt;=100000,INDEX($AB$1005:$AQ$1005,1,MATCH(COLUMNS($AB$1006:AJ1006),$AB$1006:$AQ$1006,0))&gt;=100000), " ",IF(INDEX($AB$2:$AQ$1001,MATCH(ROWS($U$2:U26),$U$2:$U$1001,0),MATCH(COLUMNS($AB$1006:AJ1006),$AB$1006:$AQ$1006,0)), HYPERLINK("#",""), HYPERLINK(CONCATENATE("#Metadata!", ADDRESS(INDEX($W$2:$W$1001,MATCH(ROWS($U$2:U26),$U$2:$U$1001,0),0), INDEX($AB$1004:$AQ$1004,1,MATCH(COLUMNS($AB$1006:AJ1006),$AB$1006:$AQ$1006,0)))),"Fix")))</f>
        <v>0</v>
      </c>
      <c r="K26" s="5">
        <f>IF(OR(INDEX($V$2:$V$1001,MATCH(ROWS($U$2:U26),$U$2:$U$1001,0),1)&gt;=100000,INDEX($AB$1005:$AQ$1005,1,MATCH(COLUMNS($AB$1006:AK1006),$AB$1006:$AQ$1006,0))&gt;=100000), " ",IF(INDEX($AB$2:$AQ$1001,MATCH(ROWS($U$2:U26),$U$2:$U$1001,0),MATCH(COLUMNS($AB$1006:AK1006),$AB$1006:$AQ$1006,0)), HYPERLINK("#",""), HYPERLINK(CONCATENATE("#Metadata!", ADDRESS(INDEX($W$2:$W$1001,MATCH(ROWS($U$2:U26),$U$2:$U$1001,0),0), INDEX($AB$1004:$AQ$1004,1,MATCH(COLUMNS($AB$1006:AK1006),$AB$1006:$AQ$1006,0)))),"Fix")))</f>
        <v>0</v>
      </c>
      <c r="L26" s="5">
        <f>IF(OR(INDEX($V$2:$V$1001,MATCH(ROWS($U$2:U26),$U$2:$U$1001,0),1)&gt;=100000,INDEX($AB$1005:$AQ$1005,1,MATCH(COLUMNS($AB$1006:AL1006),$AB$1006:$AQ$1006,0))&gt;=100000), " ",IF(INDEX($AB$2:$AQ$1001,MATCH(ROWS($U$2:U26),$U$2:$U$1001,0),MATCH(COLUMNS($AB$1006:AL1006),$AB$1006:$AQ$1006,0)), HYPERLINK("#",""), HYPERLINK(CONCATENATE("#Metadata!", ADDRESS(INDEX($W$2:$W$1001,MATCH(ROWS($U$2:U26),$U$2:$U$1001,0),0), INDEX($AB$1004:$AQ$1004,1,MATCH(COLUMNS($AB$1006:AL1006),$AB$1006:$AQ$1006,0)))),"Fix")))</f>
        <v>0</v>
      </c>
      <c r="M26" s="5">
        <f>IF(OR(INDEX($V$2:$V$1001,MATCH(ROWS($U$2:U26),$U$2:$U$1001,0),1)&gt;=100000,INDEX($AB$1005:$AQ$1005,1,MATCH(COLUMNS($AB$1006:AM1006),$AB$1006:$AQ$1006,0))&gt;=100000), " ",IF(INDEX($AB$2:$AQ$1001,MATCH(ROWS($U$2:U26),$U$2:$U$1001,0),MATCH(COLUMNS($AB$1006:AM1006),$AB$1006:$AQ$1006,0)), HYPERLINK("#",""), HYPERLINK(CONCATENATE("#Metadata!", ADDRESS(INDEX($W$2:$W$1001,MATCH(ROWS($U$2:U26),$U$2:$U$1001,0),0), INDEX($AB$1004:$AQ$1004,1,MATCH(COLUMNS($AB$1006:AM1006),$AB$1006:$AQ$1006,0)))),"Fix")))</f>
        <v>0</v>
      </c>
      <c r="N26" s="5">
        <f>IF(OR(INDEX($V$2:$V$1001,MATCH(ROWS($U$2:U26),$U$2:$U$1001,0),1)&gt;=100000,INDEX($AB$1005:$AQ$1005,1,MATCH(COLUMNS($AB$1006:AN1006),$AB$1006:$AQ$1006,0))&gt;=100000), " ",IF(INDEX($AB$2:$AQ$1001,MATCH(ROWS($U$2:U26),$U$2:$U$1001,0),MATCH(COLUMNS($AB$1006:AN1006),$AB$1006:$AQ$1006,0)), HYPERLINK("#",""), HYPERLINK(CONCATENATE("#Metadata!", ADDRESS(INDEX($W$2:$W$1001,MATCH(ROWS($U$2:U26),$U$2:$U$1001,0),0), INDEX($AB$1004:$AQ$1004,1,MATCH(COLUMNS($AB$1006:AN1006),$AB$1006:$AQ$1006,0)))),"Fix")))</f>
        <v>0</v>
      </c>
      <c r="O26" s="5">
        <f>IF(OR(INDEX($V$2:$V$1001,MATCH(ROWS($U$2:U26),$U$2:$U$1001,0),1)&gt;=100000,INDEX($AB$1005:$AQ$1005,1,MATCH(COLUMNS($AB$1006:AO1006),$AB$1006:$AQ$1006,0))&gt;=100000), " ",IF(INDEX($AB$2:$AQ$1001,MATCH(ROWS($U$2:U26),$U$2:$U$1001,0),MATCH(COLUMNS($AB$1006:AO1006),$AB$1006:$AQ$1006,0)), HYPERLINK("#",""), HYPERLINK(CONCATENATE("#Metadata!", ADDRESS(INDEX($W$2:$W$1001,MATCH(ROWS($U$2:U26),$U$2:$U$1001,0),0), INDEX($AB$1004:$AQ$1004,1,MATCH(COLUMNS($AB$1006:AO1006),$AB$1006:$AQ$1006,0)))),"Fix")))</f>
        <v>0</v>
      </c>
      <c r="P26" s="5">
        <f>IF(OR(INDEX($V$2:$V$1001,MATCH(ROWS($U$2:U26),$U$2:$U$1001,0),1)&gt;=100000,INDEX($AB$1005:$AQ$1005,1,MATCH(COLUMNS($AB$1006:AP1006),$AB$1006:$AQ$1006,0))&gt;=100000), " ",IF(INDEX($AB$2:$AQ$1001,MATCH(ROWS($U$2:U26),$U$2:$U$1001,0),MATCH(COLUMNS($AB$1006:AP1006),$AB$1006:$AQ$1006,0)), HYPERLINK("#",""), HYPERLINK(CONCATENATE("#Metadata!", ADDRESS(INDEX($W$2:$W$1001,MATCH(ROWS($U$2:U26),$U$2:$U$1001,0),0), INDEX($AB$1004:$AQ$1004,1,MATCH(COLUMNS($AB$1006:AP1006),$AB$1006:$AQ$1006,0)))),"Fix")))</f>
        <v>0</v>
      </c>
      <c r="Q26" s="5">
        <f>IF(OR(INDEX($V$2:$V$1001,MATCH(ROWS($U$2:U26),$U$2:$U$1001,0),1)&gt;=100000,INDEX($AB$1005:$AQ$1005,1,MATCH(COLUMNS($AB$1006:AQ1006),$AB$1006:$AQ$1006,0))&gt;=100000), " ",IF(INDEX($AB$2:$AQ$1001,MATCH(ROWS($U$2:U26),$U$2:$U$1001,0),MATCH(COLUMNS($AB$1006:AQ1006),$AB$1006:$AQ$1006,0)), HYPERLINK("#",""), HYPERLINK(CONCATENATE("#Metadata!", ADDRESS(INDEX($W$2:$W$1001,MATCH(ROWS($U$2:U26),$U$2:$U$1001,0),0), INDEX($AB$1004:$AQ$1004,1,MATCH(COLUMNS($AB$1006:AQ1006),$AB$1006:$AQ$1006,0)))),"Fix")))</f>
        <v>0</v>
      </c>
      <c r="U26">
        <v>0</v>
      </c>
      <c r="V26">
        <v>0</v>
      </c>
      <c r="W26">
        <v>0</v>
      </c>
      <c r="X26">
        <f>IF(Y26,TRUE,AND(AB26:AQ26))</f>
        <v>0</v>
      </c>
      <c r="Y26">
        <f>COUNTBLANK(Metadata!B26:Q26)=COLUMNS(Metadata!B26:Q26)</f>
        <v>0</v>
      </c>
      <c r="Z26">
        <v>0</v>
      </c>
      <c r="AB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AC26">
        <f>AND(IF(Metadata!C26="",FALSE,TRUE),exact(Metadata!C26,"urban biome"))</f>
        <v>0</v>
      </c>
      <c r="AD26">
        <f>AND(IF(Metadata!D26="",FALSE,TRUE),exact(Metadata!D26,"human-associated habitat"))</f>
        <v>0</v>
      </c>
      <c r="AE26">
        <f>AND(IF(Metadata!E26="",FALSE,TRUE),OR(exact(Metadata!E26,"human-associated"),exact(Metadata!E26,"human-skin"),exact(Metadata!E26,"human-oral"),exact(Metadata!E26,"human-gut"),exact(Metadata!E26,"human-vaginal")))</f>
        <v>0</v>
      </c>
      <c r="AF26">
        <f>AND(IF(Metadata!F26="",FALSE,ISNUMBER(VALUE(Metadata!F26))),Metadata!F26&gt;0)</f>
        <v>0</v>
      </c>
      <c r="AG26">
        <f>AND(IF(Metadata!G26="",FALSE,TRUE),exact(Metadata!G26,"years"))</f>
        <v>0</v>
      </c>
      <c r="AH26">
        <f>OR(AND(IF(Metadata!H26="",FALSE,TRUE),OR(exact(Metadata!H26,"not applicable"),exact(Metadata!H26,"not collected"),exact(Metadata!H26,"not provided"),exact(Metadata!H26,"restricted access"))),AND(IF(Metadata!H26="",FALSE,ISNUMBER(VALUE(Metadata!H26))),Metadata!H26&gt;0))</f>
        <v>0</v>
      </c>
      <c r="AI26">
        <f>AND(IF(Metadata!I26="",FALSE,TRUE),exact(Metadata!I26,"human"))</f>
        <v>0</v>
      </c>
      <c r="AJ26">
        <f>AND(IF(Metadata!J26="",FALSE,ISNUMBER(VALUE(Metadata!J26))),Metadata!J26&gt;0)</f>
        <v>0</v>
      </c>
      <c r="AK26">
        <f>AND(IF(Metadata!K26="",FALSE,TRUE),exact(Metadata!K26,"cm"))</f>
        <v>0</v>
      </c>
      <c r="AL26">
        <f>AND(IF(Metadata!L26="",FALSE,TRUE),exact(Metadata!L26,"Homo sapiens"))</f>
        <v>0</v>
      </c>
      <c r="AM26">
        <f>AND(IF(Metadata!M26="",FALSE,TRUE),exact(Metadata!M26,"9606"))</f>
        <v>0</v>
      </c>
      <c r="AN26">
        <f>AND(IF(Metadata!N26="",FALSE,ISNUMBER(VALUE(Metadata!N26))),Metadata!N26&gt;0)</f>
        <v>0</v>
      </c>
      <c r="AO26">
        <f>AND(IF(Metadata!O26="",FALSE,TRUE),exact(Metadata!O26,"kg"))</f>
        <v>0</v>
      </c>
      <c r="AP26">
        <f>OR(AND(IF(Metadata!P26="",FALSE,TRUE),exact(Metadata!P26,"not provided")),IF(Metadata!P26="",FALSE,TRUE))</f>
        <v>0</v>
      </c>
      <c r="AQ26">
        <f>OR(AND(IF(Metadata!Q26="",FALSE,TRUE),exact(Metadata!Q26,"not provided")),IF(Metadata!Q26="",FALSE,TRUE))</f>
        <v>0</v>
      </c>
    </row>
    <row r="27" spans="1:43">
      <c r="A27" s="4">
        <f>IF(B27=" "," ",HYPERLINK(CONCATENATE("#metadata!",ADDRESS(INDEX($W$2:$W$1001,MATCH(ROWS($U$2:U27),$U$2:$U$1001,0),0),2)),INDEX($Z$2:$Z$1001,MATCH(ROWS($U$2:U27),$U$2:$U$1001,0),0)))</f>
        <v>0</v>
      </c>
      <c r="B27" s="5">
        <f>IF(OR(INDEX($V$2:$V$1001,MATCH(ROWS($U$2:U27),$U$2:$U$1001,0),1)&gt;=100000,INDEX($AB$1005:$AQ$1005,1,MATCH(COLUMNS($AB$1006:AB1006),$AB$1006:$AQ$1006,0))&gt;=100000), " ",IF(INDEX($AB$2:$AQ$1001,MATCH(ROWS($U$2:U27),$U$2:$U$1001,0),MATCH(COLUMNS($AB$1006:AB1006),$AB$1006:$AQ$1006,0)), HYPERLINK("#",""), HYPERLINK(CONCATENATE("#Metadata!", ADDRESS(INDEX($W$2:$W$1001,MATCH(ROWS($U$2:U27),$U$2:$U$1001,0),0), INDEX($AB$1004:$AQ$1004,1,MATCH(COLUMNS($AB$1006:AB1006),$AB$1006:$AQ$1006,0)))),"Fix")))</f>
        <v>0</v>
      </c>
      <c r="C27" s="5">
        <f>IF(OR(INDEX($V$2:$V$1001,MATCH(ROWS($U$2:U27),$U$2:$U$1001,0),1)&gt;=100000,INDEX($AB$1005:$AQ$1005,1,MATCH(COLUMNS($AB$1006:AC1006),$AB$1006:$AQ$1006,0))&gt;=100000), " ",IF(INDEX($AB$2:$AQ$1001,MATCH(ROWS($U$2:U27),$U$2:$U$1001,0),MATCH(COLUMNS($AB$1006:AC1006),$AB$1006:$AQ$1006,0)), HYPERLINK("#",""), HYPERLINK(CONCATENATE("#Metadata!", ADDRESS(INDEX($W$2:$W$1001,MATCH(ROWS($U$2:U27),$U$2:$U$1001,0),0), INDEX($AB$1004:$AQ$1004,1,MATCH(COLUMNS($AB$1006:AC1006),$AB$1006:$AQ$1006,0)))),"Fix")))</f>
        <v>0</v>
      </c>
      <c r="D27" s="5">
        <f>IF(OR(INDEX($V$2:$V$1001,MATCH(ROWS($U$2:U27),$U$2:$U$1001,0),1)&gt;=100000,INDEX($AB$1005:$AQ$1005,1,MATCH(COLUMNS($AB$1006:AD1006),$AB$1006:$AQ$1006,0))&gt;=100000), " ",IF(INDEX($AB$2:$AQ$1001,MATCH(ROWS($U$2:U27),$U$2:$U$1001,0),MATCH(COLUMNS($AB$1006:AD1006),$AB$1006:$AQ$1006,0)), HYPERLINK("#",""), HYPERLINK(CONCATENATE("#Metadata!", ADDRESS(INDEX($W$2:$W$1001,MATCH(ROWS($U$2:U27),$U$2:$U$1001,0),0), INDEX($AB$1004:$AQ$1004,1,MATCH(COLUMNS($AB$1006:AD1006),$AB$1006:$AQ$1006,0)))),"Fix")))</f>
        <v>0</v>
      </c>
      <c r="E27" s="5">
        <f>IF(OR(INDEX($V$2:$V$1001,MATCH(ROWS($U$2:U27),$U$2:$U$1001,0),1)&gt;=100000,INDEX($AB$1005:$AQ$1005,1,MATCH(COLUMNS($AB$1006:AE1006),$AB$1006:$AQ$1006,0))&gt;=100000), " ",IF(INDEX($AB$2:$AQ$1001,MATCH(ROWS($U$2:U27),$U$2:$U$1001,0),MATCH(COLUMNS($AB$1006:AE1006),$AB$1006:$AQ$1006,0)), HYPERLINK("#",""), HYPERLINK(CONCATENATE("#Metadata!", ADDRESS(INDEX($W$2:$W$1001,MATCH(ROWS($U$2:U27),$U$2:$U$1001,0),0), INDEX($AB$1004:$AQ$1004,1,MATCH(COLUMNS($AB$1006:AE1006),$AB$1006:$AQ$1006,0)))),"Fix")))</f>
        <v>0</v>
      </c>
      <c r="F27" s="5">
        <f>IF(OR(INDEX($V$2:$V$1001,MATCH(ROWS($U$2:U27),$U$2:$U$1001,0),1)&gt;=100000,INDEX($AB$1005:$AQ$1005,1,MATCH(COLUMNS($AB$1006:AF1006),$AB$1006:$AQ$1006,0))&gt;=100000), " ",IF(INDEX($AB$2:$AQ$1001,MATCH(ROWS($U$2:U27),$U$2:$U$1001,0),MATCH(COLUMNS($AB$1006:AF1006),$AB$1006:$AQ$1006,0)), HYPERLINK("#",""), HYPERLINK(CONCATENATE("#Metadata!", ADDRESS(INDEX($W$2:$W$1001,MATCH(ROWS($U$2:U27),$U$2:$U$1001,0),0), INDEX($AB$1004:$AQ$1004,1,MATCH(COLUMNS($AB$1006:AF1006),$AB$1006:$AQ$1006,0)))),"Fix")))</f>
        <v>0</v>
      </c>
      <c r="G27" s="5">
        <f>IF(OR(INDEX($V$2:$V$1001,MATCH(ROWS($U$2:U27),$U$2:$U$1001,0),1)&gt;=100000,INDEX($AB$1005:$AQ$1005,1,MATCH(COLUMNS($AB$1006:AG1006),$AB$1006:$AQ$1006,0))&gt;=100000), " ",IF(INDEX($AB$2:$AQ$1001,MATCH(ROWS($U$2:U27),$U$2:$U$1001,0),MATCH(COLUMNS($AB$1006:AG1006),$AB$1006:$AQ$1006,0)), HYPERLINK("#",""), HYPERLINK(CONCATENATE("#Metadata!", ADDRESS(INDEX($W$2:$W$1001,MATCH(ROWS($U$2:U27),$U$2:$U$1001,0),0), INDEX($AB$1004:$AQ$1004,1,MATCH(COLUMNS($AB$1006:AG1006),$AB$1006:$AQ$1006,0)))),"Fix")))</f>
        <v>0</v>
      </c>
      <c r="H27" s="5">
        <f>IF(OR(INDEX($V$2:$V$1001,MATCH(ROWS($U$2:U27),$U$2:$U$1001,0),1)&gt;=100000,INDEX($AB$1005:$AQ$1005,1,MATCH(COLUMNS($AB$1006:AH1006),$AB$1006:$AQ$1006,0))&gt;=100000), " ",IF(INDEX($AB$2:$AQ$1001,MATCH(ROWS($U$2:U27),$U$2:$U$1001,0),MATCH(COLUMNS($AB$1006:AH1006),$AB$1006:$AQ$1006,0)), HYPERLINK("#",""), HYPERLINK(CONCATENATE("#Metadata!", ADDRESS(INDEX($W$2:$W$1001,MATCH(ROWS($U$2:U27),$U$2:$U$1001,0),0), INDEX($AB$1004:$AQ$1004,1,MATCH(COLUMNS($AB$1006:AH1006),$AB$1006:$AQ$1006,0)))),"Fix")))</f>
        <v>0</v>
      </c>
      <c r="I27" s="5">
        <f>IF(OR(INDEX($V$2:$V$1001,MATCH(ROWS($U$2:U27),$U$2:$U$1001,0),1)&gt;=100000,INDEX($AB$1005:$AQ$1005,1,MATCH(COLUMNS($AB$1006:AI1006),$AB$1006:$AQ$1006,0))&gt;=100000), " ",IF(INDEX($AB$2:$AQ$1001,MATCH(ROWS($U$2:U27),$U$2:$U$1001,0),MATCH(COLUMNS($AB$1006:AI1006),$AB$1006:$AQ$1006,0)), HYPERLINK("#",""), HYPERLINK(CONCATENATE("#Metadata!", ADDRESS(INDEX($W$2:$W$1001,MATCH(ROWS($U$2:U27),$U$2:$U$1001,0),0), INDEX($AB$1004:$AQ$1004,1,MATCH(COLUMNS($AB$1006:AI1006),$AB$1006:$AQ$1006,0)))),"Fix")))</f>
        <v>0</v>
      </c>
      <c r="J27" s="5">
        <f>IF(OR(INDEX($V$2:$V$1001,MATCH(ROWS($U$2:U27),$U$2:$U$1001,0),1)&gt;=100000,INDEX($AB$1005:$AQ$1005,1,MATCH(COLUMNS($AB$1006:AJ1006),$AB$1006:$AQ$1006,0))&gt;=100000), " ",IF(INDEX($AB$2:$AQ$1001,MATCH(ROWS($U$2:U27),$U$2:$U$1001,0),MATCH(COLUMNS($AB$1006:AJ1006),$AB$1006:$AQ$1006,0)), HYPERLINK("#",""), HYPERLINK(CONCATENATE("#Metadata!", ADDRESS(INDEX($W$2:$W$1001,MATCH(ROWS($U$2:U27),$U$2:$U$1001,0),0), INDEX($AB$1004:$AQ$1004,1,MATCH(COLUMNS($AB$1006:AJ1006),$AB$1006:$AQ$1006,0)))),"Fix")))</f>
        <v>0</v>
      </c>
      <c r="K27" s="5">
        <f>IF(OR(INDEX($V$2:$V$1001,MATCH(ROWS($U$2:U27),$U$2:$U$1001,0),1)&gt;=100000,INDEX($AB$1005:$AQ$1005,1,MATCH(COLUMNS($AB$1006:AK1006),$AB$1006:$AQ$1006,0))&gt;=100000), " ",IF(INDEX($AB$2:$AQ$1001,MATCH(ROWS($U$2:U27),$U$2:$U$1001,0),MATCH(COLUMNS($AB$1006:AK1006),$AB$1006:$AQ$1006,0)), HYPERLINK("#",""), HYPERLINK(CONCATENATE("#Metadata!", ADDRESS(INDEX($W$2:$W$1001,MATCH(ROWS($U$2:U27),$U$2:$U$1001,0),0), INDEX($AB$1004:$AQ$1004,1,MATCH(COLUMNS($AB$1006:AK1006),$AB$1006:$AQ$1006,0)))),"Fix")))</f>
        <v>0</v>
      </c>
      <c r="L27" s="5">
        <f>IF(OR(INDEX($V$2:$V$1001,MATCH(ROWS($U$2:U27),$U$2:$U$1001,0),1)&gt;=100000,INDEX($AB$1005:$AQ$1005,1,MATCH(COLUMNS($AB$1006:AL1006),$AB$1006:$AQ$1006,0))&gt;=100000), " ",IF(INDEX($AB$2:$AQ$1001,MATCH(ROWS($U$2:U27),$U$2:$U$1001,0),MATCH(COLUMNS($AB$1006:AL1006),$AB$1006:$AQ$1006,0)), HYPERLINK("#",""), HYPERLINK(CONCATENATE("#Metadata!", ADDRESS(INDEX($W$2:$W$1001,MATCH(ROWS($U$2:U27),$U$2:$U$1001,0),0), INDEX($AB$1004:$AQ$1004,1,MATCH(COLUMNS($AB$1006:AL1006),$AB$1006:$AQ$1006,0)))),"Fix")))</f>
        <v>0</v>
      </c>
      <c r="M27" s="5">
        <f>IF(OR(INDEX($V$2:$V$1001,MATCH(ROWS($U$2:U27),$U$2:$U$1001,0),1)&gt;=100000,INDEX($AB$1005:$AQ$1005,1,MATCH(COLUMNS($AB$1006:AM1006),$AB$1006:$AQ$1006,0))&gt;=100000), " ",IF(INDEX($AB$2:$AQ$1001,MATCH(ROWS($U$2:U27),$U$2:$U$1001,0),MATCH(COLUMNS($AB$1006:AM1006),$AB$1006:$AQ$1006,0)), HYPERLINK("#",""), HYPERLINK(CONCATENATE("#Metadata!", ADDRESS(INDEX($W$2:$W$1001,MATCH(ROWS($U$2:U27),$U$2:$U$1001,0),0), INDEX($AB$1004:$AQ$1004,1,MATCH(COLUMNS($AB$1006:AM1006),$AB$1006:$AQ$1006,0)))),"Fix")))</f>
        <v>0</v>
      </c>
      <c r="N27" s="5">
        <f>IF(OR(INDEX($V$2:$V$1001,MATCH(ROWS($U$2:U27),$U$2:$U$1001,0),1)&gt;=100000,INDEX($AB$1005:$AQ$1005,1,MATCH(COLUMNS($AB$1006:AN1006),$AB$1006:$AQ$1006,0))&gt;=100000), " ",IF(INDEX($AB$2:$AQ$1001,MATCH(ROWS($U$2:U27),$U$2:$U$1001,0),MATCH(COLUMNS($AB$1006:AN1006),$AB$1006:$AQ$1006,0)), HYPERLINK("#",""), HYPERLINK(CONCATENATE("#Metadata!", ADDRESS(INDEX($W$2:$W$1001,MATCH(ROWS($U$2:U27),$U$2:$U$1001,0),0), INDEX($AB$1004:$AQ$1004,1,MATCH(COLUMNS($AB$1006:AN1006),$AB$1006:$AQ$1006,0)))),"Fix")))</f>
        <v>0</v>
      </c>
      <c r="O27" s="5">
        <f>IF(OR(INDEX($V$2:$V$1001,MATCH(ROWS($U$2:U27),$U$2:$U$1001,0),1)&gt;=100000,INDEX($AB$1005:$AQ$1005,1,MATCH(COLUMNS($AB$1006:AO1006),$AB$1006:$AQ$1006,0))&gt;=100000), " ",IF(INDEX($AB$2:$AQ$1001,MATCH(ROWS($U$2:U27),$U$2:$U$1001,0),MATCH(COLUMNS($AB$1006:AO1006),$AB$1006:$AQ$1006,0)), HYPERLINK("#",""), HYPERLINK(CONCATENATE("#Metadata!", ADDRESS(INDEX($W$2:$W$1001,MATCH(ROWS($U$2:U27),$U$2:$U$1001,0),0), INDEX($AB$1004:$AQ$1004,1,MATCH(COLUMNS($AB$1006:AO1006),$AB$1006:$AQ$1006,0)))),"Fix")))</f>
        <v>0</v>
      </c>
      <c r="P27" s="5">
        <f>IF(OR(INDEX($V$2:$V$1001,MATCH(ROWS($U$2:U27),$U$2:$U$1001,0),1)&gt;=100000,INDEX($AB$1005:$AQ$1005,1,MATCH(COLUMNS($AB$1006:AP1006),$AB$1006:$AQ$1006,0))&gt;=100000), " ",IF(INDEX($AB$2:$AQ$1001,MATCH(ROWS($U$2:U27),$U$2:$U$1001,0),MATCH(COLUMNS($AB$1006:AP1006),$AB$1006:$AQ$1006,0)), HYPERLINK("#",""), HYPERLINK(CONCATENATE("#Metadata!", ADDRESS(INDEX($W$2:$W$1001,MATCH(ROWS($U$2:U27),$U$2:$U$1001,0),0), INDEX($AB$1004:$AQ$1004,1,MATCH(COLUMNS($AB$1006:AP1006),$AB$1006:$AQ$1006,0)))),"Fix")))</f>
        <v>0</v>
      </c>
      <c r="Q27" s="5">
        <f>IF(OR(INDEX($V$2:$V$1001,MATCH(ROWS($U$2:U27),$U$2:$U$1001,0),1)&gt;=100000,INDEX($AB$1005:$AQ$1005,1,MATCH(COLUMNS($AB$1006:AQ1006),$AB$1006:$AQ$1006,0))&gt;=100000), " ",IF(INDEX($AB$2:$AQ$1001,MATCH(ROWS($U$2:U27),$U$2:$U$1001,0),MATCH(COLUMNS($AB$1006:AQ1006),$AB$1006:$AQ$1006,0)), HYPERLINK("#",""), HYPERLINK(CONCATENATE("#Metadata!", ADDRESS(INDEX($W$2:$W$1001,MATCH(ROWS($U$2:U27),$U$2:$U$1001,0),0), INDEX($AB$1004:$AQ$1004,1,MATCH(COLUMNS($AB$1006:AQ1006),$AB$1006:$AQ$1006,0)))),"Fix")))</f>
        <v>0</v>
      </c>
      <c r="U27">
        <v>0</v>
      </c>
      <c r="V27">
        <v>0</v>
      </c>
      <c r="W27">
        <v>0</v>
      </c>
      <c r="X27">
        <f>IF(Y27,TRUE,AND(AB27:AQ27))</f>
        <v>0</v>
      </c>
      <c r="Y27">
        <f>COUNTBLANK(Metadata!B27:Q27)=COLUMNS(Metadata!B27:Q27)</f>
        <v>0</v>
      </c>
      <c r="Z27">
        <v>0</v>
      </c>
      <c r="AB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AC27">
        <f>AND(IF(Metadata!C27="",FALSE,TRUE),exact(Metadata!C27,"urban biome"))</f>
        <v>0</v>
      </c>
      <c r="AD27">
        <f>AND(IF(Metadata!D27="",FALSE,TRUE),exact(Metadata!D27,"human-associated habitat"))</f>
        <v>0</v>
      </c>
      <c r="AE27">
        <f>AND(IF(Metadata!E27="",FALSE,TRUE),OR(exact(Metadata!E27,"human-associated"),exact(Metadata!E27,"human-skin"),exact(Metadata!E27,"human-oral"),exact(Metadata!E27,"human-gut"),exact(Metadata!E27,"human-vaginal")))</f>
        <v>0</v>
      </c>
      <c r="AF27">
        <f>AND(IF(Metadata!F27="",FALSE,ISNUMBER(VALUE(Metadata!F27))),Metadata!F27&gt;0)</f>
        <v>0</v>
      </c>
      <c r="AG27">
        <f>AND(IF(Metadata!G27="",FALSE,TRUE),exact(Metadata!G27,"years"))</f>
        <v>0</v>
      </c>
      <c r="AH27">
        <f>OR(AND(IF(Metadata!H27="",FALSE,TRUE),OR(exact(Metadata!H27,"not applicable"),exact(Metadata!H27,"not collected"),exact(Metadata!H27,"not provided"),exact(Metadata!H27,"restricted access"))),AND(IF(Metadata!H27="",FALSE,ISNUMBER(VALUE(Metadata!H27))),Metadata!H27&gt;0))</f>
        <v>0</v>
      </c>
      <c r="AI27">
        <f>AND(IF(Metadata!I27="",FALSE,TRUE),exact(Metadata!I27,"human"))</f>
        <v>0</v>
      </c>
      <c r="AJ27">
        <f>AND(IF(Metadata!J27="",FALSE,ISNUMBER(VALUE(Metadata!J27))),Metadata!J27&gt;0)</f>
        <v>0</v>
      </c>
      <c r="AK27">
        <f>AND(IF(Metadata!K27="",FALSE,TRUE),exact(Metadata!K27,"cm"))</f>
        <v>0</v>
      </c>
      <c r="AL27">
        <f>AND(IF(Metadata!L27="",FALSE,TRUE),exact(Metadata!L27,"Homo sapiens"))</f>
        <v>0</v>
      </c>
      <c r="AM27">
        <f>AND(IF(Metadata!M27="",FALSE,TRUE),exact(Metadata!M27,"9606"))</f>
        <v>0</v>
      </c>
      <c r="AN27">
        <f>AND(IF(Metadata!N27="",FALSE,ISNUMBER(VALUE(Metadata!N27))),Metadata!N27&gt;0)</f>
        <v>0</v>
      </c>
      <c r="AO27">
        <f>AND(IF(Metadata!O27="",FALSE,TRUE),exact(Metadata!O27,"kg"))</f>
        <v>0</v>
      </c>
      <c r="AP27">
        <f>OR(AND(IF(Metadata!P27="",FALSE,TRUE),exact(Metadata!P27,"not provided")),IF(Metadata!P27="",FALSE,TRUE))</f>
        <v>0</v>
      </c>
      <c r="AQ27">
        <f>OR(AND(IF(Metadata!Q27="",FALSE,TRUE),exact(Metadata!Q27,"not provided")),IF(Metadata!Q27="",FALSE,TRUE))</f>
        <v>0</v>
      </c>
    </row>
    <row r="28" spans="1:43">
      <c r="A28" s="4">
        <f>IF(B28=" "," ",HYPERLINK(CONCATENATE("#metadata!",ADDRESS(INDEX($W$2:$W$1001,MATCH(ROWS($U$2:U28),$U$2:$U$1001,0),0),2)),INDEX($Z$2:$Z$1001,MATCH(ROWS($U$2:U28),$U$2:$U$1001,0),0)))</f>
        <v>0</v>
      </c>
      <c r="B28" s="5">
        <f>IF(OR(INDEX($V$2:$V$1001,MATCH(ROWS($U$2:U28),$U$2:$U$1001,0),1)&gt;=100000,INDEX($AB$1005:$AQ$1005,1,MATCH(COLUMNS($AB$1006:AB1006),$AB$1006:$AQ$1006,0))&gt;=100000), " ",IF(INDEX($AB$2:$AQ$1001,MATCH(ROWS($U$2:U28),$U$2:$U$1001,0),MATCH(COLUMNS($AB$1006:AB1006),$AB$1006:$AQ$1006,0)), HYPERLINK("#",""), HYPERLINK(CONCATENATE("#Metadata!", ADDRESS(INDEX($W$2:$W$1001,MATCH(ROWS($U$2:U28),$U$2:$U$1001,0),0), INDEX($AB$1004:$AQ$1004,1,MATCH(COLUMNS($AB$1006:AB1006),$AB$1006:$AQ$1006,0)))),"Fix")))</f>
        <v>0</v>
      </c>
      <c r="C28" s="5">
        <f>IF(OR(INDEX($V$2:$V$1001,MATCH(ROWS($U$2:U28),$U$2:$U$1001,0),1)&gt;=100000,INDEX($AB$1005:$AQ$1005,1,MATCH(COLUMNS($AB$1006:AC1006),$AB$1006:$AQ$1006,0))&gt;=100000), " ",IF(INDEX($AB$2:$AQ$1001,MATCH(ROWS($U$2:U28),$U$2:$U$1001,0),MATCH(COLUMNS($AB$1006:AC1006),$AB$1006:$AQ$1006,0)), HYPERLINK("#",""), HYPERLINK(CONCATENATE("#Metadata!", ADDRESS(INDEX($W$2:$W$1001,MATCH(ROWS($U$2:U28),$U$2:$U$1001,0),0), INDEX($AB$1004:$AQ$1004,1,MATCH(COLUMNS($AB$1006:AC1006),$AB$1006:$AQ$1006,0)))),"Fix")))</f>
        <v>0</v>
      </c>
      <c r="D28" s="5">
        <f>IF(OR(INDEX($V$2:$V$1001,MATCH(ROWS($U$2:U28),$U$2:$U$1001,0),1)&gt;=100000,INDEX($AB$1005:$AQ$1005,1,MATCH(COLUMNS($AB$1006:AD1006),$AB$1006:$AQ$1006,0))&gt;=100000), " ",IF(INDEX($AB$2:$AQ$1001,MATCH(ROWS($U$2:U28),$U$2:$U$1001,0),MATCH(COLUMNS($AB$1006:AD1006),$AB$1006:$AQ$1006,0)), HYPERLINK("#",""), HYPERLINK(CONCATENATE("#Metadata!", ADDRESS(INDEX($W$2:$W$1001,MATCH(ROWS($U$2:U28),$U$2:$U$1001,0),0), INDEX($AB$1004:$AQ$1004,1,MATCH(COLUMNS($AB$1006:AD1006),$AB$1006:$AQ$1006,0)))),"Fix")))</f>
        <v>0</v>
      </c>
      <c r="E28" s="5">
        <f>IF(OR(INDEX($V$2:$V$1001,MATCH(ROWS($U$2:U28),$U$2:$U$1001,0),1)&gt;=100000,INDEX($AB$1005:$AQ$1005,1,MATCH(COLUMNS($AB$1006:AE1006),$AB$1006:$AQ$1006,0))&gt;=100000), " ",IF(INDEX($AB$2:$AQ$1001,MATCH(ROWS($U$2:U28),$U$2:$U$1001,0),MATCH(COLUMNS($AB$1006:AE1006),$AB$1006:$AQ$1006,0)), HYPERLINK("#",""), HYPERLINK(CONCATENATE("#Metadata!", ADDRESS(INDEX($W$2:$W$1001,MATCH(ROWS($U$2:U28),$U$2:$U$1001,0),0), INDEX($AB$1004:$AQ$1004,1,MATCH(COLUMNS($AB$1006:AE1006),$AB$1006:$AQ$1006,0)))),"Fix")))</f>
        <v>0</v>
      </c>
      <c r="F28" s="5">
        <f>IF(OR(INDEX($V$2:$V$1001,MATCH(ROWS($U$2:U28),$U$2:$U$1001,0),1)&gt;=100000,INDEX($AB$1005:$AQ$1005,1,MATCH(COLUMNS($AB$1006:AF1006),$AB$1006:$AQ$1006,0))&gt;=100000), " ",IF(INDEX($AB$2:$AQ$1001,MATCH(ROWS($U$2:U28),$U$2:$U$1001,0),MATCH(COLUMNS($AB$1006:AF1006),$AB$1006:$AQ$1006,0)), HYPERLINK("#",""), HYPERLINK(CONCATENATE("#Metadata!", ADDRESS(INDEX($W$2:$W$1001,MATCH(ROWS($U$2:U28),$U$2:$U$1001,0),0), INDEX($AB$1004:$AQ$1004,1,MATCH(COLUMNS($AB$1006:AF1006),$AB$1006:$AQ$1006,0)))),"Fix")))</f>
        <v>0</v>
      </c>
      <c r="G28" s="5">
        <f>IF(OR(INDEX($V$2:$V$1001,MATCH(ROWS($U$2:U28),$U$2:$U$1001,0),1)&gt;=100000,INDEX($AB$1005:$AQ$1005,1,MATCH(COLUMNS($AB$1006:AG1006),$AB$1006:$AQ$1006,0))&gt;=100000), " ",IF(INDEX($AB$2:$AQ$1001,MATCH(ROWS($U$2:U28),$U$2:$U$1001,0),MATCH(COLUMNS($AB$1006:AG1006),$AB$1006:$AQ$1006,0)), HYPERLINK("#",""), HYPERLINK(CONCATENATE("#Metadata!", ADDRESS(INDEX($W$2:$W$1001,MATCH(ROWS($U$2:U28),$U$2:$U$1001,0),0), INDEX($AB$1004:$AQ$1004,1,MATCH(COLUMNS($AB$1006:AG1006),$AB$1006:$AQ$1006,0)))),"Fix")))</f>
        <v>0</v>
      </c>
      <c r="H28" s="5">
        <f>IF(OR(INDEX($V$2:$V$1001,MATCH(ROWS($U$2:U28),$U$2:$U$1001,0),1)&gt;=100000,INDEX($AB$1005:$AQ$1005,1,MATCH(COLUMNS($AB$1006:AH1006),$AB$1006:$AQ$1006,0))&gt;=100000), " ",IF(INDEX($AB$2:$AQ$1001,MATCH(ROWS($U$2:U28),$U$2:$U$1001,0),MATCH(COLUMNS($AB$1006:AH1006),$AB$1006:$AQ$1006,0)), HYPERLINK("#",""), HYPERLINK(CONCATENATE("#Metadata!", ADDRESS(INDEX($W$2:$W$1001,MATCH(ROWS($U$2:U28),$U$2:$U$1001,0),0), INDEX($AB$1004:$AQ$1004,1,MATCH(COLUMNS($AB$1006:AH1006),$AB$1006:$AQ$1006,0)))),"Fix")))</f>
        <v>0</v>
      </c>
      <c r="I28" s="5">
        <f>IF(OR(INDEX($V$2:$V$1001,MATCH(ROWS($U$2:U28),$U$2:$U$1001,0),1)&gt;=100000,INDEX($AB$1005:$AQ$1005,1,MATCH(COLUMNS($AB$1006:AI1006),$AB$1006:$AQ$1006,0))&gt;=100000), " ",IF(INDEX($AB$2:$AQ$1001,MATCH(ROWS($U$2:U28),$U$2:$U$1001,0),MATCH(COLUMNS($AB$1006:AI1006),$AB$1006:$AQ$1006,0)), HYPERLINK("#",""), HYPERLINK(CONCATENATE("#Metadata!", ADDRESS(INDEX($W$2:$W$1001,MATCH(ROWS($U$2:U28),$U$2:$U$1001,0),0), INDEX($AB$1004:$AQ$1004,1,MATCH(COLUMNS($AB$1006:AI1006),$AB$1006:$AQ$1006,0)))),"Fix")))</f>
        <v>0</v>
      </c>
      <c r="J28" s="5">
        <f>IF(OR(INDEX($V$2:$V$1001,MATCH(ROWS($U$2:U28),$U$2:$U$1001,0),1)&gt;=100000,INDEX($AB$1005:$AQ$1005,1,MATCH(COLUMNS($AB$1006:AJ1006),$AB$1006:$AQ$1006,0))&gt;=100000), " ",IF(INDEX($AB$2:$AQ$1001,MATCH(ROWS($U$2:U28),$U$2:$U$1001,0),MATCH(COLUMNS($AB$1006:AJ1006),$AB$1006:$AQ$1006,0)), HYPERLINK("#",""), HYPERLINK(CONCATENATE("#Metadata!", ADDRESS(INDEX($W$2:$W$1001,MATCH(ROWS($U$2:U28),$U$2:$U$1001,0),0), INDEX($AB$1004:$AQ$1004,1,MATCH(COLUMNS($AB$1006:AJ1006),$AB$1006:$AQ$1006,0)))),"Fix")))</f>
        <v>0</v>
      </c>
      <c r="K28" s="5">
        <f>IF(OR(INDEX($V$2:$V$1001,MATCH(ROWS($U$2:U28),$U$2:$U$1001,0),1)&gt;=100000,INDEX($AB$1005:$AQ$1005,1,MATCH(COLUMNS($AB$1006:AK1006),$AB$1006:$AQ$1006,0))&gt;=100000), " ",IF(INDEX($AB$2:$AQ$1001,MATCH(ROWS($U$2:U28),$U$2:$U$1001,0),MATCH(COLUMNS($AB$1006:AK1006),$AB$1006:$AQ$1006,0)), HYPERLINK("#",""), HYPERLINK(CONCATENATE("#Metadata!", ADDRESS(INDEX($W$2:$W$1001,MATCH(ROWS($U$2:U28),$U$2:$U$1001,0),0), INDEX($AB$1004:$AQ$1004,1,MATCH(COLUMNS($AB$1006:AK1006),$AB$1006:$AQ$1006,0)))),"Fix")))</f>
        <v>0</v>
      </c>
      <c r="L28" s="5">
        <f>IF(OR(INDEX($V$2:$V$1001,MATCH(ROWS($U$2:U28),$U$2:$U$1001,0),1)&gt;=100000,INDEX($AB$1005:$AQ$1005,1,MATCH(COLUMNS($AB$1006:AL1006),$AB$1006:$AQ$1006,0))&gt;=100000), " ",IF(INDEX($AB$2:$AQ$1001,MATCH(ROWS($U$2:U28),$U$2:$U$1001,0),MATCH(COLUMNS($AB$1006:AL1006),$AB$1006:$AQ$1006,0)), HYPERLINK("#",""), HYPERLINK(CONCATENATE("#Metadata!", ADDRESS(INDEX($W$2:$W$1001,MATCH(ROWS($U$2:U28),$U$2:$U$1001,0),0), INDEX($AB$1004:$AQ$1004,1,MATCH(COLUMNS($AB$1006:AL1006),$AB$1006:$AQ$1006,0)))),"Fix")))</f>
        <v>0</v>
      </c>
      <c r="M28" s="5">
        <f>IF(OR(INDEX($V$2:$V$1001,MATCH(ROWS($U$2:U28),$U$2:$U$1001,0),1)&gt;=100000,INDEX($AB$1005:$AQ$1005,1,MATCH(COLUMNS($AB$1006:AM1006),$AB$1006:$AQ$1006,0))&gt;=100000), " ",IF(INDEX($AB$2:$AQ$1001,MATCH(ROWS($U$2:U28),$U$2:$U$1001,0),MATCH(COLUMNS($AB$1006:AM1006),$AB$1006:$AQ$1006,0)), HYPERLINK("#",""), HYPERLINK(CONCATENATE("#Metadata!", ADDRESS(INDEX($W$2:$W$1001,MATCH(ROWS($U$2:U28),$U$2:$U$1001,0),0), INDEX($AB$1004:$AQ$1004,1,MATCH(COLUMNS($AB$1006:AM1006),$AB$1006:$AQ$1006,0)))),"Fix")))</f>
        <v>0</v>
      </c>
      <c r="N28" s="5">
        <f>IF(OR(INDEX($V$2:$V$1001,MATCH(ROWS($U$2:U28),$U$2:$U$1001,0),1)&gt;=100000,INDEX($AB$1005:$AQ$1005,1,MATCH(COLUMNS($AB$1006:AN1006),$AB$1006:$AQ$1006,0))&gt;=100000), " ",IF(INDEX($AB$2:$AQ$1001,MATCH(ROWS($U$2:U28),$U$2:$U$1001,0),MATCH(COLUMNS($AB$1006:AN1006),$AB$1006:$AQ$1006,0)), HYPERLINK("#",""), HYPERLINK(CONCATENATE("#Metadata!", ADDRESS(INDEX($W$2:$W$1001,MATCH(ROWS($U$2:U28),$U$2:$U$1001,0),0), INDEX($AB$1004:$AQ$1004,1,MATCH(COLUMNS($AB$1006:AN1006),$AB$1006:$AQ$1006,0)))),"Fix")))</f>
        <v>0</v>
      </c>
      <c r="O28" s="5">
        <f>IF(OR(INDEX($V$2:$V$1001,MATCH(ROWS($U$2:U28),$U$2:$U$1001,0),1)&gt;=100000,INDEX($AB$1005:$AQ$1005,1,MATCH(COLUMNS($AB$1006:AO1006),$AB$1006:$AQ$1006,0))&gt;=100000), " ",IF(INDEX($AB$2:$AQ$1001,MATCH(ROWS($U$2:U28),$U$2:$U$1001,0),MATCH(COLUMNS($AB$1006:AO1006),$AB$1006:$AQ$1006,0)), HYPERLINK("#",""), HYPERLINK(CONCATENATE("#Metadata!", ADDRESS(INDEX($W$2:$W$1001,MATCH(ROWS($U$2:U28),$U$2:$U$1001,0),0), INDEX($AB$1004:$AQ$1004,1,MATCH(COLUMNS($AB$1006:AO1006),$AB$1006:$AQ$1006,0)))),"Fix")))</f>
        <v>0</v>
      </c>
      <c r="P28" s="5">
        <f>IF(OR(INDEX($V$2:$V$1001,MATCH(ROWS($U$2:U28),$U$2:$U$1001,0),1)&gt;=100000,INDEX($AB$1005:$AQ$1005,1,MATCH(COLUMNS($AB$1006:AP1006),$AB$1006:$AQ$1006,0))&gt;=100000), " ",IF(INDEX($AB$2:$AQ$1001,MATCH(ROWS($U$2:U28),$U$2:$U$1001,0),MATCH(COLUMNS($AB$1006:AP1006),$AB$1006:$AQ$1006,0)), HYPERLINK("#",""), HYPERLINK(CONCATENATE("#Metadata!", ADDRESS(INDEX($W$2:$W$1001,MATCH(ROWS($U$2:U28),$U$2:$U$1001,0),0), INDEX($AB$1004:$AQ$1004,1,MATCH(COLUMNS($AB$1006:AP1006),$AB$1006:$AQ$1006,0)))),"Fix")))</f>
        <v>0</v>
      </c>
      <c r="Q28" s="5">
        <f>IF(OR(INDEX($V$2:$V$1001,MATCH(ROWS($U$2:U28),$U$2:$U$1001,0),1)&gt;=100000,INDEX($AB$1005:$AQ$1005,1,MATCH(COLUMNS($AB$1006:AQ1006),$AB$1006:$AQ$1006,0))&gt;=100000), " ",IF(INDEX($AB$2:$AQ$1001,MATCH(ROWS($U$2:U28),$U$2:$U$1001,0),MATCH(COLUMNS($AB$1006:AQ1006),$AB$1006:$AQ$1006,0)), HYPERLINK("#",""), HYPERLINK(CONCATENATE("#Metadata!", ADDRESS(INDEX($W$2:$W$1001,MATCH(ROWS($U$2:U28),$U$2:$U$1001,0),0), INDEX($AB$1004:$AQ$1004,1,MATCH(COLUMNS($AB$1006:AQ1006),$AB$1006:$AQ$1006,0)))),"Fix")))</f>
        <v>0</v>
      </c>
      <c r="U28">
        <v>0</v>
      </c>
      <c r="V28">
        <v>0</v>
      </c>
      <c r="W28">
        <v>0</v>
      </c>
      <c r="X28">
        <f>IF(Y28,TRUE,AND(AB28:AQ28))</f>
        <v>0</v>
      </c>
      <c r="Y28">
        <f>COUNTBLANK(Metadata!B28:Q28)=COLUMNS(Metadata!B28:Q28)</f>
        <v>0</v>
      </c>
      <c r="Z28">
        <v>0</v>
      </c>
      <c r="AB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AC28">
        <f>AND(IF(Metadata!C28="",FALSE,TRUE),exact(Metadata!C28,"urban biome"))</f>
        <v>0</v>
      </c>
      <c r="AD28">
        <f>AND(IF(Metadata!D28="",FALSE,TRUE),exact(Metadata!D28,"human-associated habitat"))</f>
        <v>0</v>
      </c>
      <c r="AE28">
        <f>AND(IF(Metadata!E28="",FALSE,TRUE),OR(exact(Metadata!E28,"human-associated"),exact(Metadata!E28,"human-skin"),exact(Metadata!E28,"human-oral"),exact(Metadata!E28,"human-gut"),exact(Metadata!E28,"human-vaginal")))</f>
        <v>0</v>
      </c>
      <c r="AF28">
        <f>AND(IF(Metadata!F28="",FALSE,ISNUMBER(VALUE(Metadata!F28))),Metadata!F28&gt;0)</f>
        <v>0</v>
      </c>
      <c r="AG28">
        <f>AND(IF(Metadata!G28="",FALSE,TRUE),exact(Metadata!G28,"years"))</f>
        <v>0</v>
      </c>
      <c r="AH28">
        <f>OR(AND(IF(Metadata!H28="",FALSE,TRUE),OR(exact(Metadata!H28,"not applicable"),exact(Metadata!H28,"not collected"),exact(Metadata!H28,"not provided"),exact(Metadata!H28,"restricted access"))),AND(IF(Metadata!H28="",FALSE,ISNUMBER(VALUE(Metadata!H28))),Metadata!H28&gt;0))</f>
        <v>0</v>
      </c>
      <c r="AI28">
        <f>AND(IF(Metadata!I28="",FALSE,TRUE),exact(Metadata!I28,"human"))</f>
        <v>0</v>
      </c>
      <c r="AJ28">
        <f>AND(IF(Metadata!J28="",FALSE,ISNUMBER(VALUE(Metadata!J28))),Metadata!J28&gt;0)</f>
        <v>0</v>
      </c>
      <c r="AK28">
        <f>AND(IF(Metadata!K28="",FALSE,TRUE),exact(Metadata!K28,"cm"))</f>
        <v>0</v>
      </c>
      <c r="AL28">
        <f>AND(IF(Metadata!L28="",FALSE,TRUE),exact(Metadata!L28,"Homo sapiens"))</f>
        <v>0</v>
      </c>
      <c r="AM28">
        <f>AND(IF(Metadata!M28="",FALSE,TRUE),exact(Metadata!M28,"9606"))</f>
        <v>0</v>
      </c>
      <c r="AN28">
        <f>AND(IF(Metadata!N28="",FALSE,ISNUMBER(VALUE(Metadata!N28))),Metadata!N28&gt;0)</f>
        <v>0</v>
      </c>
      <c r="AO28">
        <f>AND(IF(Metadata!O28="",FALSE,TRUE),exact(Metadata!O28,"kg"))</f>
        <v>0</v>
      </c>
      <c r="AP28">
        <f>OR(AND(IF(Metadata!P28="",FALSE,TRUE),exact(Metadata!P28,"not provided")),IF(Metadata!P28="",FALSE,TRUE))</f>
        <v>0</v>
      </c>
      <c r="AQ28">
        <f>OR(AND(IF(Metadata!Q28="",FALSE,TRUE),exact(Metadata!Q28,"not provided")),IF(Metadata!Q28="",FALSE,TRUE))</f>
        <v>0</v>
      </c>
    </row>
    <row r="29" spans="1:43">
      <c r="A29" s="4">
        <f>IF(B29=" "," ",HYPERLINK(CONCATENATE("#metadata!",ADDRESS(INDEX($W$2:$W$1001,MATCH(ROWS($U$2:U29),$U$2:$U$1001,0),0),2)),INDEX($Z$2:$Z$1001,MATCH(ROWS($U$2:U29),$U$2:$U$1001,0),0)))</f>
        <v>0</v>
      </c>
      <c r="B29" s="5">
        <f>IF(OR(INDEX($V$2:$V$1001,MATCH(ROWS($U$2:U29),$U$2:$U$1001,0),1)&gt;=100000,INDEX($AB$1005:$AQ$1005,1,MATCH(COLUMNS($AB$1006:AB1006),$AB$1006:$AQ$1006,0))&gt;=100000), " ",IF(INDEX($AB$2:$AQ$1001,MATCH(ROWS($U$2:U29),$U$2:$U$1001,0),MATCH(COLUMNS($AB$1006:AB1006),$AB$1006:$AQ$1006,0)), HYPERLINK("#",""), HYPERLINK(CONCATENATE("#Metadata!", ADDRESS(INDEX($W$2:$W$1001,MATCH(ROWS($U$2:U29),$U$2:$U$1001,0),0), INDEX($AB$1004:$AQ$1004,1,MATCH(COLUMNS($AB$1006:AB1006),$AB$1006:$AQ$1006,0)))),"Fix")))</f>
        <v>0</v>
      </c>
      <c r="C29" s="5">
        <f>IF(OR(INDEX($V$2:$V$1001,MATCH(ROWS($U$2:U29),$U$2:$U$1001,0),1)&gt;=100000,INDEX($AB$1005:$AQ$1005,1,MATCH(COLUMNS($AB$1006:AC1006),$AB$1006:$AQ$1006,0))&gt;=100000), " ",IF(INDEX($AB$2:$AQ$1001,MATCH(ROWS($U$2:U29),$U$2:$U$1001,0),MATCH(COLUMNS($AB$1006:AC1006),$AB$1006:$AQ$1006,0)), HYPERLINK("#",""), HYPERLINK(CONCATENATE("#Metadata!", ADDRESS(INDEX($W$2:$W$1001,MATCH(ROWS($U$2:U29),$U$2:$U$1001,0),0), INDEX($AB$1004:$AQ$1004,1,MATCH(COLUMNS($AB$1006:AC1006),$AB$1006:$AQ$1006,0)))),"Fix")))</f>
        <v>0</v>
      </c>
      <c r="D29" s="5">
        <f>IF(OR(INDEX($V$2:$V$1001,MATCH(ROWS($U$2:U29),$U$2:$U$1001,0),1)&gt;=100000,INDEX($AB$1005:$AQ$1005,1,MATCH(COLUMNS($AB$1006:AD1006),$AB$1006:$AQ$1006,0))&gt;=100000), " ",IF(INDEX($AB$2:$AQ$1001,MATCH(ROWS($U$2:U29),$U$2:$U$1001,0),MATCH(COLUMNS($AB$1006:AD1006),$AB$1006:$AQ$1006,0)), HYPERLINK("#",""), HYPERLINK(CONCATENATE("#Metadata!", ADDRESS(INDEX($W$2:$W$1001,MATCH(ROWS($U$2:U29),$U$2:$U$1001,0),0), INDEX($AB$1004:$AQ$1004,1,MATCH(COLUMNS($AB$1006:AD1006),$AB$1006:$AQ$1006,0)))),"Fix")))</f>
        <v>0</v>
      </c>
      <c r="E29" s="5">
        <f>IF(OR(INDEX($V$2:$V$1001,MATCH(ROWS($U$2:U29),$U$2:$U$1001,0),1)&gt;=100000,INDEX($AB$1005:$AQ$1005,1,MATCH(COLUMNS($AB$1006:AE1006),$AB$1006:$AQ$1006,0))&gt;=100000), " ",IF(INDEX($AB$2:$AQ$1001,MATCH(ROWS($U$2:U29),$U$2:$U$1001,0),MATCH(COLUMNS($AB$1006:AE1006),$AB$1006:$AQ$1006,0)), HYPERLINK("#",""), HYPERLINK(CONCATENATE("#Metadata!", ADDRESS(INDEX($W$2:$W$1001,MATCH(ROWS($U$2:U29),$U$2:$U$1001,0),0), INDEX($AB$1004:$AQ$1004,1,MATCH(COLUMNS($AB$1006:AE1006),$AB$1006:$AQ$1006,0)))),"Fix")))</f>
        <v>0</v>
      </c>
      <c r="F29" s="5">
        <f>IF(OR(INDEX($V$2:$V$1001,MATCH(ROWS($U$2:U29),$U$2:$U$1001,0),1)&gt;=100000,INDEX($AB$1005:$AQ$1005,1,MATCH(COLUMNS($AB$1006:AF1006),$AB$1006:$AQ$1006,0))&gt;=100000), " ",IF(INDEX($AB$2:$AQ$1001,MATCH(ROWS($U$2:U29),$U$2:$U$1001,0),MATCH(COLUMNS($AB$1006:AF1006),$AB$1006:$AQ$1006,0)), HYPERLINK("#",""), HYPERLINK(CONCATENATE("#Metadata!", ADDRESS(INDEX($W$2:$W$1001,MATCH(ROWS($U$2:U29),$U$2:$U$1001,0),0), INDEX($AB$1004:$AQ$1004,1,MATCH(COLUMNS($AB$1006:AF1006),$AB$1006:$AQ$1006,0)))),"Fix")))</f>
        <v>0</v>
      </c>
      <c r="G29" s="5">
        <f>IF(OR(INDEX($V$2:$V$1001,MATCH(ROWS($U$2:U29),$U$2:$U$1001,0),1)&gt;=100000,INDEX($AB$1005:$AQ$1005,1,MATCH(COLUMNS($AB$1006:AG1006),$AB$1006:$AQ$1006,0))&gt;=100000), " ",IF(INDEX($AB$2:$AQ$1001,MATCH(ROWS($U$2:U29),$U$2:$U$1001,0),MATCH(COLUMNS($AB$1006:AG1006),$AB$1006:$AQ$1006,0)), HYPERLINK("#",""), HYPERLINK(CONCATENATE("#Metadata!", ADDRESS(INDEX($W$2:$W$1001,MATCH(ROWS($U$2:U29),$U$2:$U$1001,0),0), INDEX($AB$1004:$AQ$1004,1,MATCH(COLUMNS($AB$1006:AG1006),$AB$1006:$AQ$1006,0)))),"Fix")))</f>
        <v>0</v>
      </c>
      <c r="H29" s="5">
        <f>IF(OR(INDEX($V$2:$V$1001,MATCH(ROWS($U$2:U29),$U$2:$U$1001,0),1)&gt;=100000,INDEX($AB$1005:$AQ$1005,1,MATCH(COLUMNS($AB$1006:AH1006),$AB$1006:$AQ$1006,0))&gt;=100000), " ",IF(INDEX($AB$2:$AQ$1001,MATCH(ROWS($U$2:U29),$U$2:$U$1001,0),MATCH(COLUMNS($AB$1006:AH1006),$AB$1006:$AQ$1006,0)), HYPERLINK("#",""), HYPERLINK(CONCATENATE("#Metadata!", ADDRESS(INDEX($W$2:$W$1001,MATCH(ROWS($U$2:U29),$U$2:$U$1001,0),0), INDEX($AB$1004:$AQ$1004,1,MATCH(COLUMNS($AB$1006:AH1006),$AB$1006:$AQ$1006,0)))),"Fix")))</f>
        <v>0</v>
      </c>
      <c r="I29" s="5">
        <f>IF(OR(INDEX($V$2:$V$1001,MATCH(ROWS($U$2:U29),$U$2:$U$1001,0),1)&gt;=100000,INDEX($AB$1005:$AQ$1005,1,MATCH(COLUMNS($AB$1006:AI1006),$AB$1006:$AQ$1006,0))&gt;=100000), " ",IF(INDEX($AB$2:$AQ$1001,MATCH(ROWS($U$2:U29),$U$2:$U$1001,0),MATCH(COLUMNS($AB$1006:AI1006),$AB$1006:$AQ$1006,0)), HYPERLINK("#",""), HYPERLINK(CONCATENATE("#Metadata!", ADDRESS(INDEX($W$2:$W$1001,MATCH(ROWS($U$2:U29),$U$2:$U$1001,0),0), INDEX($AB$1004:$AQ$1004,1,MATCH(COLUMNS($AB$1006:AI1006),$AB$1006:$AQ$1006,0)))),"Fix")))</f>
        <v>0</v>
      </c>
      <c r="J29" s="5">
        <f>IF(OR(INDEX($V$2:$V$1001,MATCH(ROWS($U$2:U29),$U$2:$U$1001,0),1)&gt;=100000,INDEX($AB$1005:$AQ$1005,1,MATCH(COLUMNS($AB$1006:AJ1006),$AB$1006:$AQ$1006,0))&gt;=100000), " ",IF(INDEX($AB$2:$AQ$1001,MATCH(ROWS($U$2:U29),$U$2:$U$1001,0),MATCH(COLUMNS($AB$1006:AJ1006),$AB$1006:$AQ$1006,0)), HYPERLINK("#",""), HYPERLINK(CONCATENATE("#Metadata!", ADDRESS(INDEX($W$2:$W$1001,MATCH(ROWS($U$2:U29),$U$2:$U$1001,0),0), INDEX($AB$1004:$AQ$1004,1,MATCH(COLUMNS($AB$1006:AJ1006),$AB$1006:$AQ$1006,0)))),"Fix")))</f>
        <v>0</v>
      </c>
      <c r="K29" s="5">
        <f>IF(OR(INDEX($V$2:$V$1001,MATCH(ROWS($U$2:U29),$U$2:$U$1001,0),1)&gt;=100000,INDEX($AB$1005:$AQ$1005,1,MATCH(COLUMNS($AB$1006:AK1006),$AB$1006:$AQ$1006,0))&gt;=100000), " ",IF(INDEX($AB$2:$AQ$1001,MATCH(ROWS($U$2:U29),$U$2:$U$1001,0),MATCH(COLUMNS($AB$1006:AK1006),$AB$1006:$AQ$1006,0)), HYPERLINK("#",""), HYPERLINK(CONCATENATE("#Metadata!", ADDRESS(INDEX($W$2:$W$1001,MATCH(ROWS($U$2:U29),$U$2:$U$1001,0),0), INDEX($AB$1004:$AQ$1004,1,MATCH(COLUMNS($AB$1006:AK1006),$AB$1006:$AQ$1006,0)))),"Fix")))</f>
        <v>0</v>
      </c>
      <c r="L29" s="5">
        <f>IF(OR(INDEX($V$2:$V$1001,MATCH(ROWS($U$2:U29),$U$2:$U$1001,0),1)&gt;=100000,INDEX($AB$1005:$AQ$1005,1,MATCH(COLUMNS($AB$1006:AL1006),$AB$1006:$AQ$1006,0))&gt;=100000), " ",IF(INDEX($AB$2:$AQ$1001,MATCH(ROWS($U$2:U29),$U$2:$U$1001,0),MATCH(COLUMNS($AB$1006:AL1006),$AB$1006:$AQ$1006,0)), HYPERLINK("#",""), HYPERLINK(CONCATENATE("#Metadata!", ADDRESS(INDEX($W$2:$W$1001,MATCH(ROWS($U$2:U29),$U$2:$U$1001,0),0), INDEX($AB$1004:$AQ$1004,1,MATCH(COLUMNS($AB$1006:AL1006),$AB$1006:$AQ$1006,0)))),"Fix")))</f>
        <v>0</v>
      </c>
      <c r="M29" s="5">
        <f>IF(OR(INDEX($V$2:$V$1001,MATCH(ROWS($U$2:U29),$U$2:$U$1001,0),1)&gt;=100000,INDEX($AB$1005:$AQ$1005,1,MATCH(COLUMNS($AB$1006:AM1006),$AB$1006:$AQ$1006,0))&gt;=100000), " ",IF(INDEX($AB$2:$AQ$1001,MATCH(ROWS($U$2:U29),$U$2:$U$1001,0),MATCH(COLUMNS($AB$1006:AM1006),$AB$1006:$AQ$1006,0)), HYPERLINK("#",""), HYPERLINK(CONCATENATE("#Metadata!", ADDRESS(INDEX($W$2:$W$1001,MATCH(ROWS($U$2:U29),$U$2:$U$1001,0),0), INDEX($AB$1004:$AQ$1004,1,MATCH(COLUMNS($AB$1006:AM1006),$AB$1006:$AQ$1006,0)))),"Fix")))</f>
        <v>0</v>
      </c>
      <c r="N29" s="5">
        <f>IF(OR(INDEX($V$2:$V$1001,MATCH(ROWS($U$2:U29),$U$2:$U$1001,0),1)&gt;=100000,INDEX($AB$1005:$AQ$1005,1,MATCH(COLUMNS($AB$1006:AN1006),$AB$1006:$AQ$1006,0))&gt;=100000), " ",IF(INDEX($AB$2:$AQ$1001,MATCH(ROWS($U$2:U29),$U$2:$U$1001,0),MATCH(COLUMNS($AB$1006:AN1006),$AB$1006:$AQ$1006,0)), HYPERLINK("#",""), HYPERLINK(CONCATENATE("#Metadata!", ADDRESS(INDEX($W$2:$W$1001,MATCH(ROWS($U$2:U29),$U$2:$U$1001,0),0), INDEX($AB$1004:$AQ$1004,1,MATCH(COLUMNS($AB$1006:AN1006),$AB$1006:$AQ$1006,0)))),"Fix")))</f>
        <v>0</v>
      </c>
      <c r="O29" s="5">
        <f>IF(OR(INDEX($V$2:$V$1001,MATCH(ROWS($U$2:U29),$U$2:$U$1001,0),1)&gt;=100000,INDEX($AB$1005:$AQ$1005,1,MATCH(COLUMNS($AB$1006:AO1006),$AB$1006:$AQ$1006,0))&gt;=100000), " ",IF(INDEX($AB$2:$AQ$1001,MATCH(ROWS($U$2:U29),$U$2:$U$1001,0),MATCH(COLUMNS($AB$1006:AO1006),$AB$1006:$AQ$1006,0)), HYPERLINK("#",""), HYPERLINK(CONCATENATE("#Metadata!", ADDRESS(INDEX($W$2:$W$1001,MATCH(ROWS($U$2:U29),$U$2:$U$1001,0),0), INDEX($AB$1004:$AQ$1004,1,MATCH(COLUMNS($AB$1006:AO1006),$AB$1006:$AQ$1006,0)))),"Fix")))</f>
        <v>0</v>
      </c>
      <c r="P29" s="5">
        <f>IF(OR(INDEX($V$2:$V$1001,MATCH(ROWS($U$2:U29),$U$2:$U$1001,0),1)&gt;=100000,INDEX($AB$1005:$AQ$1005,1,MATCH(COLUMNS($AB$1006:AP1006),$AB$1006:$AQ$1006,0))&gt;=100000), " ",IF(INDEX($AB$2:$AQ$1001,MATCH(ROWS($U$2:U29),$U$2:$U$1001,0),MATCH(COLUMNS($AB$1006:AP1006),$AB$1006:$AQ$1006,0)), HYPERLINK("#",""), HYPERLINK(CONCATENATE("#Metadata!", ADDRESS(INDEX($W$2:$W$1001,MATCH(ROWS($U$2:U29),$U$2:$U$1001,0),0), INDEX($AB$1004:$AQ$1004,1,MATCH(COLUMNS($AB$1006:AP1006),$AB$1006:$AQ$1006,0)))),"Fix")))</f>
        <v>0</v>
      </c>
      <c r="Q29" s="5">
        <f>IF(OR(INDEX($V$2:$V$1001,MATCH(ROWS($U$2:U29),$U$2:$U$1001,0),1)&gt;=100000,INDEX($AB$1005:$AQ$1005,1,MATCH(COLUMNS($AB$1006:AQ1006),$AB$1006:$AQ$1006,0))&gt;=100000), " ",IF(INDEX($AB$2:$AQ$1001,MATCH(ROWS($U$2:U29),$U$2:$U$1001,0),MATCH(COLUMNS($AB$1006:AQ1006),$AB$1006:$AQ$1006,0)), HYPERLINK("#",""), HYPERLINK(CONCATENATE("#Metadata!", ADDRESS(INDEX($W$2:$W$1001,MATCH(ROWS($U$2:U29),$U$2:$U$1001,0),0), INDEX($AB$1004:$AQ$1004,1,MATCH(COLUMNS($AB$1006:AQ1006),$AB$1006:$AQ$1006,0)))),"Fix")))</f>
        <v>0</v>
      </c>
      <c r="U29">
        <v>0</v>
      </c>
      <c r="V29">
        <v>0</v>
      </c>
      <c r="W29">
        <v>0</v>
      </c>
      <c r="X29">
        <f>IF(Y29,TRUE,AND(AB29:AQ29))</f>
        <v>0</v>
      </c>
      <c r="Y29">
        <f>COUNTBLANK(Metadata!B29:Q29)=COLUMNS(Metadata!B29:Q29)</f>
        <v>0</v>
      </c>
      <c r="Z29">
        <v>0</v>
      </c>
      <c r="AB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AC29">
        <f>AND(IF(Metadata!C29="",FALSE,TRUE),exact(Metadata!C29,"urban biome"))</f>
        <v>0</v>
      </c>
      <c r="AD29">
        <f>AND(IF(Metadata!D29="",FALSE,TRUE),exact(Metadata!D29,"human-associated habitat"))</f>
        <v>0</v>
      </c>
      <c r="AE29">
        <f>AND(IF(Metadata!E29="",FALSE,TRUE),OR(exact(Metadata!E29,"human-associated"),exact(Metadata!E29,"human-skin"),exact(Metadata!E29,"human-oral"),exact(Metadata!E29,"human-gut"),exact(Metadata!E29,"human-vaginal")))</f>
        <v>0</v>
      </c>
      <c r="AF29">
        <f>AND(IF(Metadata!F29="",FALSE,ISNUMBER(VALUE(Metadata!F29))),Metadata!F29&gt;0)</f>
        <v>0</v>
      </c>
      <c r="AG29">
        <f>AND(IF(Metadata!G29="",FALSE,TRUE),exact(Metadata!G29,"years"))</f>
        <v>0</v>
      </c>
      <c r="AH29">
        <f>OR(AND(IF(Metadata!H29="",FALSE,TRUE),OR(exact(Metadata!H29,"not applicable"),exact(Metadata!H29,"not collected"),exact(Metadata!H29,"not provided"),exact(Metadata!H29,"restricted access"))),AND(IF(Metadata!H29="",FALSE,ISNUMBER(VALUE(Metadata!H29))),Metadata!H29&gt;0))</f>
        <v>0</v>
      </c>
      <c r="AI29">
        <f>AND(IF(Metadata!I29="",FALSE,TRUE),exact(Metadata!I29,"human"))</f>
        <v>0</v>
      </c>
      <c r="AJ29">
        <f>AND(IF(Metadata!J29="",FALSE,ISNUMBER(VALUE(Metadata!J29))),Metadata!J29&gt;0)</f>
        <v>0</v>
      </c>
      <c r="AK29">
        <f>AND(IF(Metadata!K29="",FALSE,TRUE),exact(Metadata!K29,"cm"))</f>
        <v>0</v>
      </c>
      <c r="AL29">
        <f>AND(IF(Metadata!L29="",FALSE,TRUE),exact(Metadata!L29,"Homo sapiens"))</f>
        <v>0</v>
      </c>
      <c r="AM29">
        <f>AND(IF(Metadata!M29="",FALSE,TRUE),exact(Metadata!M29,"9606"))</f>
        <v>0</v>
      </c>
      <c r="AN29">
        <f>AND(IF(Metadata!N29="",FALSE,ISNUMBER(VALUE(Metadata!N29))),Metadata!N29&gt;0)</f>
        <v>0</v>
      </c>
      <c r="AO29">
        <f>AND(IF(Metadata!O29="",FALSE,TRUE),exact(Metadata!O29,"kg"))</f>
        <v>0</v>
      </c>
      <c r="AP29">
        <f>OR(AND(IF(Metadata!P29="",FALSE,TRUE),exact(Metadata!P29,"not provided")),IF(Metadata!P29="",FALSE,TRUE))</f>
        <v>0</v>
      </c>
      <c r="AQ29">
        <f>OR(AND(IF(Metadata!Q29="",FALSE,TRUE),exact(Metadata!Q29,"not provided")),IF(Metadata!Q29="",FALSE,TRUE))</f>
        <v>0</v>
      </c>
    </row>
    <row r="30" spans="1:43">
      <c r="A30" s="4">
        <f>IF(B30=" "," ",HYPERLINK(CONCATENATE("#metadata!",ADDRESS(INDEX($W$2:$W$1001,MATCH(ROWS($U$2:U30),$U$2:$U$1001,0),0),2)),INDEX($Z$2:$Z$1001,MATCH(ROWS($U$2:U30),$U$2:$U$1001,0),0)))</f>
        <v>0</v>
      </c>
      <c r="B30" s="5">
        <f>IF(OR(INDEX($V$2:$V$1001,MATCH(ROWS($U$2:U30),$U$2:$U$1001,0),1)&gt;=100000,INDEX($AB$1005:$AQ$1005,1,MATCH(COLUMNS($AB$1006:AB1006),$AB$1006:$AQ$1006,0))&gt;=100000), " ",IF(INDEX($AB$2:$AQ$1001,MATCH(ROWS($U$2:U30),$U$2:$U$1001,0),MATCH(COLUMNS($AB$1006:AB1006),$AB$1006:$AQ$1006,0)), HYPERLINK("#",""), HYPERLINK(CONCATENATE("#Metadata!", ADDRESS(INDEX($W$2:$W$1001,MATCH(ROWS($U$2:U30),$U$2:$U$1001,0),0), INDEX($AB$1004:$AQ$1004,1,MATCH(COLUMNS($AB$1006:AB1006),$AB$1006:$AQ$1006,0)))),"Fix")))</f>
        <v>0</v>
      </c>
      <c r="C30" s="5">
        <f>IF(OR(INDEX($V$2:$V$1001,MATCH(ROWS($U$2:U30),$U$2:$U$1001,0),1)&gt;=100000,INDEX($AB$1005:$AQ$1005,1,MATCH(COLUMNS($AB$1006:AC1006),$AB$1006:$AQ$1006,0))&gt;=100000), " ",IF(INDEX($AB$2:$AQ$1001,MATCH(ROWS($U$2:U30),$U$2:$U$1001,0),MATCH(COLUMNS($AB$1006:AC1006),$AB$1006:$AQ$1006,0)), HYPERLINK("#",""), HYPERLINK(CONCATENATE("#Metadata!", ADDRESS(INDEX($W$2:$W$1001,MATCH(ROWS($U$2:U30),$U$2:$U$1001,0),0), INDEX($AB$1004:$AQ$1004,1,MATCH(COLUMNS($AB$1006:AC1006),$AB$1006:$AQ$1006,0)))),"Fix")))</f>
        <v>0</v>
      </c>
      <c r="D30" s="5">
        <f>IF(OR(INDEX($V$2:$V$1001,MATCH(ROWS($U$2:U30),$U$2:$U$1001,0),1)&gt;=100000,INDEX($AB$1005:$AQ$1005,1,MATCH(COLUMNS($AB$1006:AD1006),$AB$1006:$AQ$1006,0))&gt;=100000), " ",IF(INDEX($AB$2:$AQ$1001,MATCH(ROWS($U$2:U30),$U$2:$U$1001,0),MATCH(COLUMNS($AB$1006:AD1006),$AB$1006:$AQ$1006,0)), HYPERLINK("#",""), HYPERLINK(CONCATENATE("#Metadata!", ADDRESS(INDEX($W$2:$W$1001,MATCH(ROWS($U$2:U30),$U$2:$U$1001,0),0), INDEX($AB$1004:$AQ$1004,1,MATCH(COLUMNS($AB$1006:AD1006),$AB$1006:$AQ$1006,0)))),"Fix")))</f>
        <v>0</v>
      </c>
      <c r="E30" s="5">
        <f>IF(OR(INDEX($V$2:$V$1001,MATCH(ROWS($U$2:U30),$U$2:$U$1001,0),1)&gt;=100000,INDEX($AB$1005:$AQ$1005,1,MATCH(COLUMNS($AB$1006:AE1006),$AB$1006:$AQ$1006,0))&gt;=100000), " ",IF(INDEX($AB$2:$AQ$1001,MATCH(ROWS($U$2:U30),$U$2:$U$1001,0),MATCH(COLUMNS($AB$1006:AE1006),$AB$1006:$AQ$1006,0)), HYPERLINK("#",""), HYPERLINK(CONCATENATE("#Metadata!", ADDRESS(INDEX($W$2:$W$1001,MATCH(ROWS($U$2:U30),$U$2:$U$1001,0),0), INDEX($AB$1004:$AQ$1004,1,MATCH(COLUMNS($AB$1006:AE1006),$AB$1006:$AQ$1006,0)))),"Fix")))</f>
        <v>0</v>
      </c>
      <c r="F30" s="5">
        <f>IF(OR(INDEX($V$2:$V$1001,MATCH(ROWS($U$2:U30),$U$2:$U$1001,0),1)&gt;=100000,INDEX($AB$1005:$AQ$1005,1,MATCH(COLUMNS($AB$1006:AF1006),$AB$1006:$AQ$1006,0))&gt;=100000), " ",IF(INDEX($AB$2:$AQ$1001,MATCH(ROWS($U$2:U30),$U$2:$U$1001,0),MATCH(COLUMNS($AB$1006:AF1006),$AB$1006:$AQ$1006,0)), HYPERLINK("#",""), HYPERLINK(CONCATENATE("#Metadata!", ADDRESS(INDEX($W$2:$W$1001,MATCH(ROWS($U$2:U30),$U$2:$U$1001,0),0), INDEX($AB$1004:$AQ$1004,1,MATCH(COLUMNS($AB$1006:AF1006),$AB$1006:$AQ$1006,0)))),"Fix")))</f>
        <v>0</v>
      </c>
      <c r="G30" s="5">
        <f>IF(OR(INDEX($V$2:$V$1001,MATCH(ROWS($U$2:U30),$U$2:$U$1001,0),1)&gt;=100000,INDEX($AB$1005:$AQ$1005,1,MATCH(COLUMNS($AB$1006:AG1006),$AB$1006:$AQ$1006,0))&gt;=100000), " ",IF(INDEX($AB$2:$AQ$1001,MATCH(ROWS($U$2:U30),$U$2:$U$1001,0),MATCH(COLUMNS($AB$1006:AG1006),$AB$1006:$AQ$1006,0)), HYPERLINK("#",""), HYPERLINK(CONCATENATE("#Metadata!", ADDRESS(INDEX($W$2:$W$1001,MATCH(ROWS($U$2:U30),$U$2:$U$1001,0),0), INDEX($AB$1004:$AQ$1004,1,MATCH(COLUMNS($AB$1006:AG1006),$AB$1006:$AQ$1006,0)))),"Fix")))</f>
        <v>0</v>
      </c>
      <c r="H30" s="5">
        <f>IF(OR(INDEX($V$2:$V$1001,MATCH(ROWS($U$2:U30),$U$2:$U$1001,0),1)&gt;=100000,INDEX($AB$1005:$AQ$1005,1,MATCH(COLUMNS($AB$1006:AH1006),$AB$1006:$AQ$1006,0))&gt;=100000), " ",IF(INDEX($AB$2:$AQ$1001,MATCH(ROWS($U$2:U30),$U$2:$U$1001,0),MATCH(COLUMNS($AB$1006:AH1006),$AB$1006:$AQ$1006,0)), HYPERLINK("#",""), HYPERLINK(CONCATENATE("#Metadata!", ADDRESS(INDEX($W$2:$W$1001,MATCH(ROWS($U$2:U30),$U$2:$U$1001,0),0), INDEX($AB$1004:$AQ$1004,1,MATCH(COLUMNS($AB$1006:AH1006),$AB$1006:$AQ$1006,0)))),"Fix")))</f>
        <v>0</v>
      </c>
      <c r="I30" s="5">
        <f>IF(OR(INDEX($V$2:$V$1001,MATCH(ROWS($U$2:U30),$U$2:$U$1001,0),1)&gt;=100000,INDEX($AB$1005:$AQ$1005,1,MATCH(COLUMNS($AB$1006:AI1006),$AB$1006:$AQ$1006,0))&gt;=100000), " ",IF(INDEX($AB$2:$AQ$1001,MATCH(ROWS($U$2:U30),$U$2:$U$1001,0),MATCH(COLUMNS($AB$1006:AI1006),$AB$1006:$AQ$1006,0)), HYPERLINK("#",""), HYPERLINK(CONCATENATE("#Metadata!", ADDRESS(INDEX($W$2:$W$1001,MATCH(ROWS($U$2:U30),$U$2:$U$1001,0),0), INDEX($AB$1004:$AQ$1004,1,MATCH(COLUMNS($AB$1006:AI1006),$AB$1006:$AQ$1006,0)))),"Fix")))</f>
        <v>0</v>
      </c>
      <c r="J30" s="5">
        <f>IF(OR(INDEX($V$2:$V$1001,MATCH(ROWS($U$2:U30),$U$2:$U$1001,0),1)&gt;=100000,INDEX($AB$1005:$AQ$1005,1,MATCH(COLUMNS($AB$1006:AJ1006),$AB$1006:$AQ$1006,0))&gt;=100000), " ",IF(INDEX($AB$2:$AQ$1001,MATCH(ROWS($U$2:U30),$U$2:$U$1001,0),MATCH(COLUMNS($AB$1006:AJ1006),$AB$1006:$AQ$1006,0)), HYPERLINK("#",""), HYPERLINK(CONCATENATE("#Metadata!", ADDRESS(INDEX($W$2:$W$1001,MATCH(ROWS($U$2:U30),$U$2:$U$1001,0),0), INDEX($AB$1004:$AQ$1004,1,MATCH(COLUMNS($AB$1006:AJ1006),$AB$1006:$AQ$1006,0)))),"Fix")))</f>
        <v>0</v>
      </c>
      <c r="K30" s="5">
        <f>IF(OR(INDEX($V$2:$V$1001,MATCH(ROWS($U$2:U30),$U$2:$U$1001,0),1)&gt;=100000,INDEX($AB$1005:$AQ$1005,1,MATCH(COLUMNS($AB$1006:AK1006),$AB$1006:$AQ$1006,0))&gt;=100000), " ",IF(INDEX($AB$2:$AQ$1001,MATCH(ROWS($U$2:U30),$U$2:$U$1001,0),MATCH(COLUMNS($AB$1006:AK1006),$AB$1006:$AQ$1006,0)), HYPERLINK("#",""), HYPERLINK(CONCATENATE("#Metadata!", ADDRESS(INDEX($W$2:$W$1001,MATCH(ROWS($U$2:U30),$U$2:$U$1001,0),0), INDEX($AB$1004:$AQ$1004,1,MATCH(COLUMNS($AB$1006:AK1006),$AB$1006:$AQ$1006,0)))),"Fix")))</f>
        <v>0</v>
      </c>
      <c r="L30" s="5">
        <f>IF(OR(INDEX($V$2:$V$1001,MATCH(ROWS($U$2:U30),$U$2:$U$1001,0),1)&gt;=100000,INDEX($AB$1005:$AQ$1005,1,MATCH(COLUMNS($AB$1006:AL1006),$AB$1006:$AQ$1006,0))&gt;=100000), " ",IF(INDEX($AB$2:$AQ$1001,MATCH(ROWS($U$2:U30),$U$2:$U$1001,0),MATCH(COLUMNS($AB$1006:AL1006),$AB$1006:$AQ$1006,0)), HYPERLINK("#",""), HYPERLINK(CONCATENATE("#Metadata!", ADDRESS(INDEX($W$2:$W$1001,MATCH(ROWS($U$2:U30),$U$2:$U$1001,0),0), INDEX($AB$1004:$AQ$1004,1,MATCH(COLUMNS($AB$1006:AL1006),$AB$1006:$AQ$1006,0)))),"Fix")))</f>
        <v>0</v>
      </c>
      <c r="M30" s="5">
        <f>IF(OR(INDEX($V$2:$V$1001,MATCH(ROWS($U$2:U30),$U$2:$U$1001,0),1)&gt;=100000,INDEX($AB$1005:$AQ$1005,1,MATCH(COLUMNS($AB$1006:AM1006),$AB$1006:$AQ$1006,0))&gt;=100000), " ",IF(INDEX($AB$2:$AQ$1001,MATCH(ROWS($U$2:U30),$U$2:$U$1001,0),MATCH(COLUMNS($AB$1006:AM1006),$AB$1006:$AQ$1006,0)), HYPERLINK("#",""), HYPERLINK(CONCATENATE("#Metadata!", ADDRESS(INDEX($W$2:$W$1001,MATCH(ROWS($U$2:U30),$U$2:$U$1001,0),0), INDEX($AB$1004:$AQ$1004,1,MATCH(COLUMNS($AB$1006:AM1006),$AB$1006:$AQ$1006,0)))),"Fix")))</f>
        <v>0</v>
      </c>
      <c r="N30" s="5">
        <f>IF(OR(INDEX($V$2:$V$1001,MATCH(ROWS($U$2:U30),$U$2:$U$1001,0),1)&gt;=100000,INDEX($AB$1005:$AQ$1005,1,MATCH(COLUMNS($AB$1006:AN1006),$AB$1006:$AQ$1006,0))&gt;=100000), " ",IF(INDEX($AB$2:$AQ$1001,MATCH(ROWS($U$2:U30),$U$2:$U$1001,0),MATCH(COLUMNS($AB$1006:AN1006),$AB$1006:$AQ$1006,0)), HYPERLINK("#",""), HYPERLINK(CONCATENATE("#Metadata!", ADDRESS(INDEX($W$2:$W$1001,MATCH(ROWS($U$2:U30),$U$2:$U$1001,0),0), INDEX($AB$1004:$AQ$1004,1,MATCH(COLUMNS($AB$1006:AN1006),$AB$1006:$AQ$1006,0)))),"Fix")))</f>
        <v>0</v>
      </c>
      <c r="O30" s="5">
        <f>IF(OR(INDEX($V$2:$V$1001,MATCH(ROWS($U$2:U30),$U$2:$U$1001,0),1)&gt;=100000,INDEX($AB$1005:$AQ$1005,1,MATCH(COLUMNS($AB$1006:AO1006),$AB$1006:$AQ$1006,0))&gt;=100000), " ",IF(INDEX($AB$2:$AQ$1001,MATCH(ROWS($U$2:U30),$U$2:$U$1001,0),MATCH(COLUMNS($AB$1006:AO1006),$AB$1006:$AQ$1006,0)), HYPERLINK("#",""), HYPERLINK(CONCATENATE("#Metadata!", ADDRESS(INDEX($W$2:$W$1001,MATCH(ROWS($U$2:U30),$U$2:$U$1001,0),0), INDEX($AB$1004:$AQ$1004,1,MATCH(COLUMNS($AB$1006:AO1006),$AB$1006:$AQ$1006,0)))),"Fix")))</f>
        <v>0</v>
      </c>
      <c r="P30" s="5">
        <f>IF(OR(INDEX($V$2:$V$1001,MATCH(ROWS($U$2:U30),$U$2:$U$1001,0),1)&gt;=100000,INDEX($AB$1005:$AQ$1005,1,MATCH(COLUMNS($AB$1006:AP1006),$AB$1006:$AQ$1006,0))&gt;=100000), " ",IF(INDEX($AB$2:$AQ$1001,MATCH(ROWS($U$2:U30),$U$2:$U$1001,0),MATCH(COLUMNS($AB$1006:AP1006),$AB$1006:$AQ$1006,0)), HYPERLINK("#",""), HYPERLINK(CONCATENATE("#Metadata!", ADDRESS(INDEX($W$2:$W$1001,MATCH(ROWS($U$2:U30),$U$2:$U$1001,0),0), INDEX($AB$1004:$AQ$1004,1,MATCH(COLUMNS($AB$1006:AP1006),$AB$1006:$AQ$1006,0)))),"Fix")))</f>
        <v>0</v>
      </c>
      <c r="Q30" s="5">
        <f>IF(OR(INDEX($V$2:$V$1001,MATCH(ROWS($U$2:U30),$U$2:$U$1001,0),1)&gt;=100000,INDEX($AB$1005:$AQ$1005,1,MATCH(COLUMNS($AB$1006:AQ1006),$AB$1006:$AQ$1006,0))&gt;=100000), " ",IF(INDEX($AB$2:$AQ$1001,MATCH(ROWS($U$2:U30),$U$2:$U$1001,0),MATCH(COLUMNS($AB$1006:AQ1006),$AB$1006:$AQ$1006,0)), HYPERLINK("#",""), HYPERLINK(CONCATENATE("#Metadata!", ADDRESS(INDEX($W$2:$W$1001,MATCH(ROWS($U$2:U30),$U$2:$U$1001,0),0), INDEX($AB$1004:$AQ$1004,1,MATCH(COLUMNS($AB$1006:AQ1006),$AB$1006:$AQ$1006,0)))),"Fix")))</f>
        <v>0</v>
      </c>
      <c r="U30">
        <v>0</v>
      </c>
      <c r="V30">
        <v>0</v>
      </c>
      <c r="W30">
        <v>0</v>
      </c>
      <c r="X30">
        <f>IF(Y30,TRUE,AND(AB30:AQ30))</f>
        <v>0</v>
      </c>
      <c r="Y30">
        <f>COUNTBLANK(Metadata!B30:Q30)=COLUMNS(Metadata!B30:Q30)</f>
        <v>0</v>
      </c>
      <c r="Z30">
        <v>0</v>
      </c>
      <c r="AB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AC30">
        <f>AND(IF(Metadata!C30="",FALSE,TRUE),exact(Metadata!C30,"urban biome"))</f>
        <v>0</v>
      </c>
      <c r="AD30">
        <f>AND(IF(Metadata!D30="",FALSE,TRUE),exact(Metadata!D30,"human-associated habitat"))</f>
        <v>0</v>
      </c>
      <c r="AE30">
        <f>AND(IF(Metadata!E30="",FALSE,TRUE),OR(exact(Metadata!E30,"human-associated"),exact(Metadata!E30,"human-skin"),exact(Metadata!E30,"human-oral"),exact(Metadata!E30,"human-gut"),exact(Metadata!E30,"human-vaginal")))</f>
        <v>0</v>
      </c>
      <c r="AF30">
        <f>AND(IF(Metadata!F30="",FALSE,ISNUMBER(VALUE(Metadata!F30))),Metadata!F30&gt;0)</f>
        <v>0</v>
      </c>
      <c r="AG30">
        <f>AND(IF(Metadata!G30="",FALSE,TRUE),exact(Metadata!G30,"years"))</f>
        <v>0</v>
      </c>
      <c r="AH30">
        <f>OR(AND(IF(Metadata!H30="",FALSE,TRUE),OR(exact(Metadata!H30,"not applicable"),exact(Metadata!H30,"not collected"),exact(Metadata!H30,"not provided"),exact(Metadata!H30,"restricted access"))),AND(IF(Metadata!H30="",FALSE,ISNUMBER(VALUE(Metadata!H30))),Metadata!H30&gt;0))</f>
        <v>0</v>
      </c>
      <c r="AI30">
        <f>AND(IF(Metadata!I30="",FALSE,TRUE),exact(Metadata!I30,"human"))</f>
        <v>0</v>
      </c>
      <c r="AJ30">
        <f>AND(IF(Metadata!J30="",FALSE,ISNUMBER(VALUE(Metadata!J30))),Metadata!J30&gt;0)</f>
        <v>0</v>
      </c>
      <c r="AK30">
        <f>AND(IF(Metadata!K30="",FALSE,TRUE),exact(Metadata!K30,"cm"))</f>
        <v>0</v>
      </c>
      <c r="AL30">
        <f>AND(IF(Metadata!L30="",FALSE,TRUE),exact(Metadata!L30,"Homo sapiens"))</f>
        <v>0</v>
      </c>
      <c r="AM30">
        <f>AND(IF(Metadata!M30="",FALSE,TRUE),exact(Metadata!M30,"9606"))</f>
        <v>0</v>
      </c>
      <c r="AN30">
        <f>AND(IF(Metadata!N30="",FALSE,ISNUMBER(VALUE(Metadata!N30))),Metadata!N30&gt;0)</f>
        <v>0</v>
      </c>
      <c r="AO30">
        <f>AND(IF(Metadata!O30="",FALSE,TRUE),exact(Metadata!O30,"kg"))</f>
        <v>0</v>
      </c>
      <c r="AP30">
        <f>OR(AND(IF(Metadata!P30="",FALSE,TRUE),exact(Metadata!P30,"not provided")),IF(Metadata!P30="",FALSE,TRUE))</f>
        <v>0</v>
      </c>
      <c r="AQ30">
        <f>OR(AND(IF(Metadata!Q30="",FALSE,TRUE),exact(Metadata!Q30,"not provided")),IF(Metadata!Q30="",FALSE,TRUE))</f>
        <v>0</v>
      </c>
    </row>
    <row r="31" spans="1:43">
      <c r="A31" s="4">
        <f>IF(B31=" "," ",HYPERLINK(CONCATENATE("#metadata!",ADDRESS(INDEX($W$2:$W$1001,MATCH(ROWS($U$2:U31),$U$2:$U$1001,0),0),2)),INDEX($Z$2:$Z$1001,MATCH(ROWS($U$2:U31),$U$2:$U$1001,0),0)))</f>
        <v>0</v>
      </c>
      <c r="B31" s="5">
        <f>IF(OR(INDEX($V$2:$V$1001,MATCH(ROWS($U$2:U31),$U$2:$U$1001,0),1)&gt;=100000,INDEX($AB$1005:$AQ$1005,1,MATCH(COLUMNS($AB$1006:AB1006),$AB$1006:$AQ$1006,0))&gt;=100000), " ",IF(INDEX($AB$2:$AQ$1001,MATCH(ROWS($U$2:U31),$U$2:$U$1001,0),MATCH(COLUMNS($AB$1006:AB1006),$AB$1006:$AQ$1006,0)), HYPERLINK("#",""), HYPERLINK(CONCATENATE("#Metadata!", ADDRESS(INDEX($W$2:$W$1001,MATCH(ROWS($U$2:U31),$U$2:$U$1001,0),0), INDEX($AB$1004:$AQ$1004,1,MATCH(COLUMNS($AB$1006:AB1006),$AB$1006:$AQ$1006,0)))),"Fix")))</f>
        <v>0</v>
      </c>
      <c r="C31" s="5">
        <f>IF(OR(INDEX($V$2:$V$1001,MATCH(ROWS($U$2:U31),$U$2:$U$1001,0),1)&gt;=100000,INDEX($AB$1005:$AQ$1005,1,MATCH(COLUMNS($AB$1006:AC1006),$AB$1006:$AQ$1006,0))&gt;=100000), " ",IF(INDEX($AB$2:$AQ$1001,MATCH(ROWS($U$2:U31),$U$2:$U$1001,0),MATCH(COLUMNS($AB$1006:AC1006),$AB$1006:$AQ$1006,0)), HYPERLINK("#",""), HYPERLINK(CONCATENATE("#Metadata!", ADDRESS(INDEX($W$2:$W$1001,MATCH(ROWS($U$2:U31),$U$2:$U$1001,0),0), INDEX($AB$1004:$AQ$1004,1,MATCH(COLUMNS($AB$1006:AC1006),$AB$1006:$AQ$1006,0)))),"Fix")))</f>
        <v>0</v>
      </c>
      <c r="D31" s="5">
        <f>IF(OR(INDEX($V$2:$V$1001,MATCH(ROWS($U$2:U31),$U$2:$U$1001,0),1)&gt;=100000,INDEX($AB$1005:$AQ$1005,1,MATCH(COLUMNS($AB$1006:AD1006),$AB$1006:$AQ$1006,0))&gt;=100000), " ",IF(INDEX($AB$2:$AQ$1001,MATCH(ROWS($U$2:U31),$U$2:$U$1001,0),MATCH(COLUMNS($AB$1006:AD1006),$AB$1006:$AQ$1006,0)), HYPERLINK("#",""), HYPERLINK(CONCATENATE("#Metadata!", ADDRESS(INDEX($W$2:$W$1001,MATCH(ROWS($U$2:U31),$U$2:$U$1001,0),0), INDEX($AB$1004:$AQ$1004,1,MATCH(COLUMNS($AB$1006:AD1006),$AB$1006:$AQ$1006,0)))),"Fix")))</f>
        <v>0</v>
      </c>
      <c r="E31" s="5">
        <f>IF(OR(INDEX($V$2:$V$1001,MATCH(ROWS($U$2:U31),$U$2:$U$1001,0),1)&gt;=100000,INDEX($AB$1005:$AQ$1005,1,MATCH(COLUMNS($AB$1006:AE1006),$AB$1006:$AQ$1006,0))&gt;=100000), " ",IF(INDEX($AB$2:$AQ$1001,MATCH(ROWS($U$2:U31),$U$2:$U$1001,0),MATCH(COLUMNS($AB$1006:AE1006),$AB$1006:$AQ$1006,0)), HYPERLINK("#",""), HYPERLINK(CONCATENATE("#Metadata!", ADDRESS(INDEX($W$2:$W$1001,MATCH(ROWS($U$2:U31),$U$2:$U$1001,0),0), INDEX($AB$1004:$AQ$1004,1,MATCH(COLUMNS($AB$1006:AE1006),$AB$1006:$AQ$1006,0)))),"Fix")))</f>
        <v>0</v>
      </c>
      <c r="F31" s="5">
        <f>IF(OR(INDEX($V$2:$V$1001,MATCH(ROWS($U$2:U31),$U$2:$U$1001,0),1)&gt;=100000,INDEX($AB$1005:$AQ$1005,1,MATCH(COLUMNS($AB$1006:AF1006),$AB$1006:$AQ$1006,0))&gt;=100000), " ",IF(INDEX($AB$2:$AQ$1001,MATCH(ROWS($U$2:U31),$U$2:$U$1001,0),MATCH(COLUMNS($AB$1006:AF1006),$AB$1006:$AQ$1006,0)), HYPERLINK("#",""), HYPERLINK(CONCATENATE("#Metadata!", ADDRESS(INDEX($W$2:$W$1001,MATCH(ROWS($U$2:U31),$U$2:$U$1001,0),0), INDEX($AB$1004:$AQ$1004,1,MATCH(COLUMNS($AB$1006:AF1006),$AB$1006:$AQ$1006,0)))),"Fix")))</f>
        <v>0</v>
      </c>
      <c r="G31" s="5">
        <f>IF(OR(INDEX($V$2:$V$1001,MATCH(ROWS($U$2:U31),$U$2:$U$1001,0),1)&gt;=100000,INDEX($AB$1005:$AQ$1005,1,MATCH(COLUMNS($AB$1006:AG1006),$AB$1006:$AQ$1006,0))&gt;=100000), " ",IF(INDEX($AB$2:$AQ$1001,MATCH(ROWS($U$2:U31),$U$2:$U$1001,0),MATCH(COLUMNS($AB$1006:AG1006),$AB$1006:$AQ$1006,0)), HYPERLINK("#",""), HYPERLINK(CONCATENATE("#Metadata!", ADDRESS(INDEX($W$2:$W$1001,MATCH(ROWS($U$2:U31),$U$2:$U$1001,0),0), INDEX($AB$1004:$AQ$1004,1,MATCH(COLUMNS($AB$1006:AG1006),$AB$1006:$AQ$1006,0)))),"Fix")))</f>
        <v>0</v>
      </c>
      <c r="H31" s="5">
        <f>IF(OR(INDEX($V$2:$V$1001,MATCH(ROWS($U$2:U31),$U$2:$U$1001,0),1)&gt;=100000,INDEX($AB$1005:$AQ$1005,1,MATCH(COLUMNS($AB$1006:AH1006),$AB$1006:$AQ$1006,0))&gt;=100000), " ",IF(INDEX($AB$2:$AQ$1001,MATCH(ROWS($U$2:U31),$U$2:$U$1001,0),MATCH(COLUMNS($AB$1006:AH1006),$AB$1006:$AQ$1006,0)), HYPERLINK("#",""), HYPERLINK(CONCATENATE("#Metadata!", ADDRESS(INDEX($W$2:$W$1001,MATCH(ROWS($U$2:U31),$U$2:$U$1001,0),0), INDEX($AB$1004:$AQ$1004,1,MATCH(COLUMNS($AB$1006:AH1006),$AB$1006:$AQ$1006,0)))),"Fix")))</f>
        <v>0</v>
      </c>
      <c r="I31" s="5">
        <f>IF(OR(INDEX($V$2:$V$1001,MATCH(ROWS($U$2:U31),$U$2:$U$1001,0),1)&gt;=100000,INDEX($AB$1005:$AQ$1005,1,MATCH(COLUMNS($AB$1006:AI1006),$AB$1006:$AQ$1006,0))&gt;=100000), " ",IF(INDEX($AB$2:$AQ$1001,MATCH(ROWS($U$2:U31),$U$2:$U$1001,0),MATCH(COLUMNS($AB$1006:AI1006),$AB$1006:$AQ$1006,0)), HYPERLINK("#",""), HYPERLINK(CONCATENATE("#Metadata!", ADDRESS(INDEX($W$2:$W$1001,MATCH(ROWS($U$2:U31),$U$2:$U$1001,0),0), INDEX($AB$1004:$AQ$1004,1,MATCH(COLUMNS($AB$1006:AI1006),$AB$1006:$AQ$1006,0)))),"Fix")))</f>
        <v>0</v>
      </c>
      <c r="J31" s="5">
        <f>IF(OR(INDEX($V$2:$V$1001,MATCH(ROWS($U$2:U31),$U$2:$U$1001,0),1)&gt;=100000,INDEX($AB$1005:$AQ$1005,1,MATCH(COLUMNS($AB$1006:AJ1006),$AB$1006:$AQ$1006,0))&gt;=100000), " ",IF(INDEX($AB$2:$AQ$1001,MATCH(ROWS($U$2:U31),$U$2:$U$1001,0),MATCH(COLUMNS($AB$1006:AJ1006),$AB$1006:$AQ$1006,0)), HYPERLINK("#",""), HYPERLINK(CONCATENATE("#Metadata!", ADDRESS(INDEX($W$2:$W$1001,MATCH(ROWS($U$2:U31),$U$2:$U$1001,0),0), INDEX($AB$1004:$AQ$1004,1,MATCH(COLUMNS($AB$1006:AJ1006),$AB$1006:$AQ$1006,0)))),"Fix")))</f>
        <v>0</v>
      </c>
      <c r="K31" s="5">
        <f>IF(OR(INDEX($V$2:$V$1001,MATCH(ROWS($U$2:U31),$U$2:$U$1001,0),1)&gt;=100000,INDEX($AB$1005:$AQ$1005,1,MATCH(COLUMNS($AB$1006:AK1006),$AB$1006:$AQ$1006,0))&gt;=100000), " ",IF(INDEX($AB$2:$AQ$1001,MATCH(ROWS($U$2:U31),$U$2:$U$1001,0),MATCH(COLUMNS($AB$1006:AK1006),$AB$1006:$AQ$1006,0)), HYPERLINK("#",""), HYPERLINK(CONCATENATE("#Metadata!", ADDRESS(INDEX($W$2:$W$1001,MATCH(ROWS($U$2:U31),$U$2:$U$1001,0),0), INDEX($AB$1004:$AQ$1004,1,MATCH(COLUMNS($AB$1006:AK1006),$AB$1006:$AQ$1006,0)))),"Fix")))</f>
        <v>0</v>
      </c>
      <c r="L31" s="5">
        <f>IF(OR(INDEX($V$2:$V$1001,MATCH(ROWS($U$2:U31),$U$2:$U$1001,0),1)&gt;=100000,INDEX($AB$1005:$AQ$1005,1,MATCH(COLUMNS($AB$1006:AL1006),$AB$1006:$AQ$1006,0))&gt;=100000), " ",IF(INDEX($AB$2:$AQ$1001,MATCH(ROWS($U$2:U31),$U$2:$U$1001,0),MATCH(COLUMNS($AB$1006:AL1006),$AB$1006:$AQ$1006,0)), HYPERLINK("#",""), HYPERLINK(CONCATENATE("#Metadata!", ADDRESS(INDEX($W$2:$W$1001,MATCH(ROWS($U$2:U31),$U$2:$U$1001,0),0), INDEX($AB$1004:$AQ$1004,1,MATCH(COLUMNS($AB$1006:AL1006),$AB$1006:$AQ$1006,0)))),"Fix")))</f>
        <v>0</v>
      </c>
      <c r="M31" s="5">
        <f>IF(OR(INDEX($V$2:$V$1001,MATCH(ROWS($U$2:U31),$U$2:$U$1001,0),1)&gt;=100000,INDEX($AB$1005:$AQ$1005,1,MATCH(COLUMNS($AB$1006:AM1006),$AB$1006:$AQ$1006,0))&gt;=100000), " ",IF(INDEX($AB$2:$AQ$1001,MATCH(ROWS($U$2:U31),$U$2:$U$1001,0),MATCH(COLUMNS($AB$1006:AM1006),$AB$1006:$AQ$1006,0)), HYPERLINK("#",""), HYPERLINK(CONCATENATE("#Metadata!", ADDRESS(INDEX($W$2:$W$1001,MATCH(ROWS($U$2:U31),$U$2:$U$1001,0),0), INDEX($AB$1004:$AQ$1004,1,MATCH(COLUMNS($AB$1006:AM1006),$AB$1006:$AQ$1006,0)))),"Fix")))</f>
        <v>0</v>
      </c>
      <c r="N31" s="5">
        <f>IF(OR(INDEX($V$2:$V$1001,MATCH(ROWS($U$2:U31),$U$2:$U$1001,0),1)&gt;=100000,INDEX($AB$1005:$AQ$1005,1,MATCH(COLUMNS($AB$1006:AN1006),$AB$1006:$AQ$1006,0))&gt;=100000), " ",IF(INDEX($AB$2:$AQ$1001,MATCH(ROWS($U$2:U31),$U$2:$U$1001,0),MATCH(COLUMNS($AB$1006:AN1006),$AB$1006:$AQ$1006,0)), HYPERLINK("#",""), HYPERLINK(CONCATENATE("#Metadata!", ADDRESS(INDEX($W$2:$W$1001,MATCH(ROWS($U$2:U31),$U$2:$U$1001,0),0), INDEX($AB$1004:$AQ$1004,1,MATCH(COLUMNS($AB$1006:AN1006),$AB$1006:$AQ$1006,0)))),"Fix")))</f>
        <v>0</v>
      </c>
      <c r="O31" s="5">
        <f>IF(OR(INDEX($V$2:$V$1001,MATCH(ROWS($U$2:U31),$U$2:$U$1001,0),1)&gt;=100000,INDEX($AB$1005:$AQ$1005,1,MATCH(COLUMNS($AB$1006:AO1006),$AB$1006:$AQ$1006,0))&gt;=100000), " ",IF(INDEX($AB$2:$AQ$1001,MATCH(ROWS($U$2:U31),$U$2:$U$1001,0),MATCH(COLUMNS($AB$1006:AO1006),$AB$1006:$AQ$1006,0)), HYPERLINK("#",""), HYPERLINK(CONCATENATE("#Metadata!", ADDRESS(INDEX($W$2:$W$1001,MATCH(ROWS($U$2:U31),$U$2:$U$1001,0),0), INDEX($AB$1004:$AQ$1004,1,MATCH(COLUMNS($AB$1006:AO1006),$AB$1006:$AQ$1006,0)))),"Fix")))</f>
        <v>0</v>
      </c>
      <c r="P31" s="5">
        <f>IF(OR(INDEX($V$2:$V$1001,MATCH(ROWS($U$2:U31),$U$2:$U$1001,0),1)&gt;=100000,INDEX($AB$1005:$AQ$1005,1,MATCH(COLUMNS($AB$1006:AP1006),$AB$1006:$AQ$1006,0))&gt;=100000), " ",IF(INDEX($AB$2:$AQ$1001,MATCH(ROWS($U$2:U31),$U$2:$U$1001,0),MATCH(COLUMNS($AB$1006:AP1006),$AB$1006:$AQ$1006,0)), HYPERLINK("#",""), HYPERLINK(CONCATENATE("#Metadata!", ADDRESS(INDEX($W$2:$W$1001,MATCH(ROWS($U$2:U31),$U$2:$U$1001,0),0), INDEX($AB$1004:$AQ$1004,1,MATCH(COLUMNS($AB$1006:AP1006),$AB$1006:$AQ$1006,0)))),"Fix")))</f>
        <v>0</v>
      </c>
      <c r="Q31" s="5">
        <f>IF(OR(INDEX($V$2:$V$1001,MATCH(ROWS($U$2:U31),$U$2:$U$1001,0),1)&gt;=100000,INDEX($AB$1005:$AQ$1005,1,MATCH(COLUMNS($AB$1006:AQ1006),$AB$1006:$AQ$1006,0))&gt;=100000), " ",IF(INDEX($AB$2:$AQ$1001,MATCH(ROWS($U$2:U31),$U$2:$U$1001,0),MATCH(COLUMNS($AB$1006:AQ1006),$AB$1006:$AQ$1006,0)), HYPERLINK("#",""), HYPERLINK(CONCATENATE("#Metadata!", ADDRESS(INDEX($W$2:$W$1001,MATCH(ROWS($U$2:U31),$U$2:$U$1001,0),0), INDEX($AB$1004:$AQ$1004,1,MATCH(COLUMNS($AB$1006:AQ1006),$AB$1006:$AQ$1006,0)))),"Fix")))</f>
        <v>0</v>
      </c>
      <c r="U31">
        <v>0</v>
      </c>
      <c r="V31">
        <v>0</v>
      </c>
      <c r="W31">
        <v>0</v>
      </c>
      <c r="X31">
        <f>IF(Y31,TRUE,AND(AB31:AQ31))</f>
        <v>0</v>
      </c>
      <c r="Y31">
        <f>COUNTBLANK(Metadata!B31:Q31)=COLUMNS(Metadata!B31:Q31)</f>
        <v>0</v>
      </c>
      <c r="Z31">
        <v>0</v>
      </c>
      <c r="AB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AC31">
        <f>AND(IF(Metadata!C31="",FALSE,TRUE),exact(Metadata!C31,"urban biome"))</f>
        <v>0</v>
      </c>
      <c r="AD31">
        <f>AND(IF(Metadata!D31="",FALSE,TRUE),exact(Metadata!D31,"human-associated habitat"))</f>
        <v>0</v>
      </c>
      <c r="AE31">
        <f>AND(IF(Metadata!E31="",FALSE,TRUE),OR(exact(Metadata!E31,"human-associated"),exact(Metadata!E31,"human-skin"),exact(Metadata!E31,"human-oral"),exact(Metadata!E31,"human-gut"),exact(Metadata!E31,"human-vaginal")))</f>
        <v>0</v>
      </c>
      <c r="AF31">
        <f>AND(IF(Metadata!F31="",FALSE,ISNUMBER(VALUE(Metadata!F31))),Metadata!F31&gt;0)</f>
        <v>0</v>
      </c>
      <c r="AG31">
        <f>AND(IF(Metadata!G31="",FALSE,TRUE),exact(Metadata!G31,"years"))</f>
        <v>0</v>
      </c>
      <c r="AH31">
        <f>OR(AND(IF(Metadata!H31="",FALSE,TRUE),OR(exact(Metadata!H31,"not applicable"),exact(Metadata!H31,"not collected"),exact(Metadata!H31,"not provided"),exact(Metadata!H31,"restricted access"))),AND(IF(Metadata!H31="",FALSE,ISNUMBER(VALUE(Metadata!H31))),Metadata!H31&gt;0))</f>
        <v>0</v>
      </c>
      <c r="AI31">
        <f>AND(IF(Metadata!I31="",FALSE,TRUE),exact(Metadata!I31,"human"))</f>
        <v>0</v>
      </c>
      <c r="AJ31">
        <f>AND(IF(Metadata!J31="",FALSE,ISNUMBER(VALUE(Metadata!J31))),Metadata!J31&gt;0)</f>
        <v>0</v>
      </c>
      <c r="AK31">
        <f>AND(IF(Metadata!K31="",FALSE,TRUE),exact(Metadata!K31,"cm"))</f>
        <v>0</v>
      </c>
      <c r="AL31">
        <f>AND(IF(Metadata!L31="",FALSE,TRUE),exact(Metadata!L31,"Homo sapiens"))</f>
        <v>0</v>
      </c>
      <c r="AM31">
        <f>AND(IF(Metadata!M31="",FALSE,TRUE),exact(Metadata!M31,"9606"))</f>
        <v>0</v>
      </c>
      <c r="AN31">
        <f>AND(IF(Metadata!N31="",FALSE,ISNUMBER(VALUE(Metadata!N31))),Metadata!N31&gt;0)</f>
        <v>0</v>
      </c>
      <c r="AO31">
        <f>AND(IF(Metadata!O31="",FALSE,TRUE),exact(Metadata!O31,"kg"))</f>
        <v>0</v>
      </c>
      <c r="AP31">
        <f>OR(AND(IF(Metadata!P31="",FALSE,TRUE),exact(Metadata!P31,"not provided")),IF(Metadata!P31="",FALSE,TRUE))</f>
        <v>0</v>
      </c>
      <c r="AQ31">
        <f>OR(AND(IF(Metadata!Q31="",FALSE,TRUE),exact(Metadata!Q31,"not provided")),IF(Metadata!Q31="",FALSE,TRUE))</f>
        <v>0</v>
      </c>
    </row>
    <row r="32" spans="1:43">
      <c r="A32" s="4">
        <f>IF(B32=" "," ",HYPERLINK(CONCATENATE("#metadata!",ADDRESS(INDEX($W$2:$W$1001,MATCH(ROWS($U$2:U32),$U$2:$U$1001,0),0),2)),INDEX($Z$2:$Z$1001,MATCH(ROWS($U$2:U32),$U$2:$U$1001,0),0)))</f>
        <v>0</v>
      </c>
      <c r="B32" s="5">
        <f>IF(OR(INDEX($V$2:$V$1001,MATCH(ROWS($U$2:U32),$U$2:$U$1001,0),1)&gt;=100000,INDEX($AB$1005:$AQ$1005,1,MATCH(COLUMNS($AB$1006:AB1006),$AB$1006:$AQ$1006,0))&gt;=100000), " ",IF(INDEX($AB$2:$AQ$1001,MATCH(ROWS($U$2:U32),$U$2:$U$1001,0),MATCH(COLUMNS($AB$1006:AB1006),$AB$1006:$AQ$1006,0)), HYPERLINK("#",""), HYPERLINK(CONCATENATE("#Metadata!", ADDRESS(INDEX($W$2:$W$1001,MATCH(ROWS($U$2:U32),$U$2:$U$1001,0),0), INDEX($AB$1004:$AQ$1004,1,MATCH(COLUMNS($AB$1006:AB1006),$AB$1006:$AQ$1006,0)))),"Fix")))</f>
        <v>0</v>
      </c>
      <c r="C32" s="5">
        <f>IF(OR(INDEX($V$2:$V$1001,MATCH(ROWS($U$2:U32),$U$2:$U$1001,0),1)&gt;=100000,INDEX($AB$1005:$AQ$1005,1,MATCH(COLUMNS($AB$1006:AC1006),$AB$1006:$AQ$1006,0))&gt;=100000), " ",IF(INDEX($AB$2:$AQ$1001,MATCH(ROWS($U$2:U32),$U$2:$U$1001,0),MATCH(COLUMNS($AB$1006:AC1006),$AB$1006:$AQ$1006,0)), HYPERLINK("#",""), HYPERLINK(CONCATENATE("#Metadata!", ADDRESS(INDEX($W$2:$W$1001,MATCH(ROWS($U$2:U32),$U$2:$U$1001,0),0), INDEX($AB$1004:$AQ$1004,1,MATCH(COLUMNS($AB$1006:AC1006),$AB$1006:$AQ$1006,0)))),"Fix")))</f>
        <v>0</v>
      </c>
      <c r="D32" s="5">
        <f>IF(OR(INDEX($V$2:$V$1001,MATCH(ROWS($U$2:U32),$U$2:$U$1001,0),1)&gt;=100000,INDEX($AB$1005:$AQ$1005,1,MATCH(COLUMNS($AB$1006:AD1006),$AB$1006:$AQ$1006,0))&gt;=100000), " ",IF(INDEX($AB$2:$AQ$1001,MATCH(ROWS($U$2:U32),$U$2:$U$1001,0),MATCH(COLUMNS($AB$1006:AD1006),$AB$1006:$AQ$1006,0)), HYPERLINK("#",""), HYPERLINK(CONCATENATE("#Metadata!", ADDRESS(INDEX($W$2:$W$1001,MATCH(ROWS($U$2:U32),$U$2:$U$1001,0),0), INDEX($AB$1004:$AQ$1004,1,MATCH(COLUMNS($AB$1006:AD1006),$AB$1006:$AQ$1006,0)))),"Fix")))</f>
        <v>0</v>
      </c>
      <c r="E32" s="5">
        <f>IF(OR(INDEX($V$2:$V$1001,MATCH(ROWS($U$2:U32),$U$2:$U$1001,0),1)&gt;=100000,INDEX($AB$1005:$AQ$1005,1,MATCH(COLUMNS($AB$1006:AE1006),$AB$1006:$AQ$1006,0))&gt;=100000), " ",IF(INDEX($AB$2:$AQ$1001,MATCH(ROWS($U$2:U32),$U$2:$U$1001,0),MATCH(COLUMNS($AB$1006:AE1006),$AB$1006:$AQ$1006,0)), HYPERLINK("#",""), HYPERLINK(CONCATENATE("#Metadata!", ADDRESS(INDEX($W$2:$W$1001,MATCH(ROWS($U$2:U32),$U$2:$U$1001,0),0), INDEX($AB$1004:$AQ$1004,1,MATCH(COLUMNS($AB$1006:AE1006),$AB$1006:$AQ$1006,0)))),"Fix")))</f>
        <v>0</v>
      </c>
      <c r="F32" s="5">
        <f>IF(OR(INDEX($V$2:$V$1001,MATCH(ROWS($U$2:U32),$U$2:$U$1001,0),1)&gt;=100000,INDEX($AB$1005:$AQ$1005,1,MATCH(COLUMNS($AB$1006:AF1006),$AB$1006:$AQ$1006,0))&gt;=100000), " ",IF(INDEX($AB$2:$AQ$1001,MATCH(ROWS($U$2:U32),$U$2:$U$1001,0),MATCH(COLUMNS($AB$1006:AF1006),$AB$1006:$AQ$1006,0)), HYPERLINK("#",""), HYPERLINK(CONCATENATE("#Metadata!", ADDRESS(INDEX($W$2:$W$1001,MATCH(ROWS($U$2:U32),$U$2:$U$1001,0),0), INDEX($AB$1004:$AQ$1004,1,MATCH(COLUMNS($AB$1006:AF1006),$AB$1006:$AQ$1006,0)))),"Fix")))</f>
        <v>0</v>
      </c>
      <c r="G32" s="5">
        <f>IF(OR(INDEX($V$2:$V$1001,MATCH(ROWS($U$2:U32),$U$2:$U$1001,0),1)&gt;=100000,INDEX($AB$1005:$AQ$1005,1,MATCH(COLUMNS($AB$1006:AG1006),$AB$1006:$AQ$1006,0))&gt;=100000), " ",IF(INDEX($AB$2:$AQ$1001,MATCH(ROWS($U$2:U32),$U$2:$U$1001,0),MATCH(COLUMNS($AB$1006:AG1006),$AB$1006:$AQ$1006,0)), HYPERLINK("#",""), HYPERLINK(CONCATENATE("#Metadata!", ADDRESS(INDEX($W$2:$W$1001,MATCH(ROWS($U$2:U32),$U$2:$U$1001,0),0), INDEX($AB$1004:$AQ$1004,1,MATCH(COLUMNS($AB$1006:AG1006),$AB$1006:$AQ$1006,0)))),"Fix")))</f>
        <v>0</v>
      </c>
      <c r="H32" s="5">
        <f>IF(OR(INDEX($V$2:$V$1001,MATCH(ROWS($U$2:U32),$U$2:$U$1001,0),1)&gt;=100000,INDEX($AB$1005:$AQ$1005,1,MATCH(COLUMNS($AB$1006:AH1006),$AB$1006:$AQ$1006,0))&gt;=100000), " ",IF(INDEX($AB$2:$AQ$1001,MATCH(ROWS($U$2:U32),$U$2:$U$1001,0),MATCH(COLUMNS($AB$1006:AH1006),$AB$1006:$AQ$1006,0)), HYPERLINK("#",""), HYPERLINK(CONCATENATE("#Metadata!", ADDRESS(INDEX($W$2:$W$1001,MATCH(ROWS($U$2:U32),$U$2:$U$1001,0),0), INDEX($AB$1004:$AQ$1004,1,MATCH(COLUMNS($AB$1006:AH1006),$AB$1006:$AQ$1006,0)))),"Fix")))</f>
        <v>0</v>
      </c>
      <c r="I32" s="5">
        <f>IF(OR(INDEX($V$2:$V$1001,MATCH(ROWS($U$2:U32),$U$2:$U$1001,0),1)&gt;=100000,INDEX($AB$1005:$AQ$1005,1,MATCH(COLUMNS($AB$1006:AI1006),$AB$1006:$AQ$1006,0))&gt;=100000), " ",IF(INDEX($AB$2:$AQ$1001,MATCH(ROWS($U$2:U32),$U$2:$U$1001,0),MATCH(COLUMNS($AB$1006:AI1006),$AB$1006:$AQ$1006,0)), HYPERLINK("#",""), HYPERLINK(CONCATENATE("#Metadata!", ADDRESS(INDEX($W$2:$W$1001,MATCH(ROWS($U$2:U32),$U$2:$U$1001,0),0), INDEX($AB$1004:$AQ$1004,1,MATCH(COLUMNS($AB$1006:AI1006),$AB$1006:$AQ$1006,0)))),"Fix")))</f>
        <v>0</v>
      </c>
      <c r="J32" s="5">
        <f>IF(OR(INDEX($V$2:$V$1001,MATCH(ROWS($U$2:U32),$U$2:$U$1001,0),1)&gt;=100000,INDEX($AB$1005:$AQ$1005,1,MATCH(COLUMNS($AB$1006:AJ1006),$AB$1006:$AQ$1006,0))&gt;=100000), " ",IF(INDEX($AB$2:$AQ$1001,MATCH(ROWS($U$2:U32),$U$2:$U$1001,0),MATCH(COLUMNS($AB$1006:AJ1006),$AB$1006:$AQ$1006,0)), HYPERLINK("#",""), HYPERLINK(CONCATENATE("#Metadata!", ADDRESS(INDEX($W$2:$W$1001,MATCH(ROWS($U$2:U32),$U$2:$U$1001,0),0), INDEX($AB$1004:$AQ$1004,1,MATCH(COLUMNS($AB$1006:AJ1006),$AB$1006:$AQ$1006,0)))),"Fix")))</f>
        <v>0</v>
      </c>
      <c r="K32" s="5">
        <f>IF(OR(INDEX($V$2:$V$1001,MATCH(ROWS($U$2:U32),$U$2:$U$1001,0),1)&gt;=100000,INDEX($AB$1005:$AQ$1005,1,MATCH(COLUMNS($AB$1006:AK1006),$AB$1006:$AQ$1006,0))&gt;=100000), " ",IF(INDEX($AB$2:$AQ$1001,MATCH(ROWS($U$2:U32),$U$2:$U$1001,0),MATCH(COLUMNS($AB$1006:AK1006),$AB$1006:$AQ$1006,0)), HYPERLINK("#",""), HYPERLINK(CONCATENATE("#Metadata!", ADDRESS(INDEX($W$2:$W$1001,MATCH(ROWS($U$2:U32),$U$2:$U$1001,0),0), INDEX($AB$1004:$AQ$1004,1,MATCH(COLUMNS($AB$1006:AK1006),$AB$1006:$AQ$1006,0)))),"Fix")))</f>
        <v>0</v>
      </c>
      <c r="L32" s="5">
        <f>IF(OR(INDEX($V$2:$V$1001,MATCH(ROWS($U$2:U32),$U$2:$U$1001,0),1)&gt;=100000,INDEX($AB$1005:$AQ$1005,1,MATCH(COLUMNS($AB$1006:AL1006),$AB$1006:$AQ$1006,0))&gt;=100000), " ",IF(INDEX($AB$2:$AQ$1001,MATCH(ROWS($U$2:U32),$U$2:$U$1001,0),MATCH(COLUMNS($AB$1006:AL1006),$AB$1006:$AQ$1006,0)), HYPERLINK("#",""), HYPERLINK(CONCATENATE("#Metadata!", ADDRESS(INDEX($W$2:$W$1001,MATCH(ROWS($U$2:U32),$U$2:$U$1001,0),0), INDEX($AB$1004:$AQ$1004,1,MATCH(COLUMNS($AB$1006:AL1006),$AB$1006:$AQ$1006,0)))),"Fix")))</f>
        <v>0</v>
      </c>
      <c r="M32" s="5">
        <f>IF(OR(INDEX($V$2:$V$1001,MATCH(ROWS($U$2:U32),$U$2:$U$1001,0),1)&gt;=100000,INDEX($AB$1005:$AQ$1005,1,MATCH(COLUMNS($AB$1006:AM1006),$AB$1006:$AQ$1006,0))&gt;=100000), " ",IF(INDEX($AB$2:$AQ$1001,MATCH(ROWS($U$2:U32),$U$2:$U$1001,0),MATCH(COLUMNS($AB$1006:AM1006),$AB$1006:$AQ$1006,0)), HYPERLINK("#",""), HYPERLINK(CONCATENATE("#Metadata!", ADDRESS(INDEX($W$2:$W$1001,MATCH(ROWS($U$2:U32),$U$2:$U$1001,0),0), INDEX($AB$1004:$AQ$1004,1,MATCH(COLUMNS($AB$1006:AM1006),$AB$1006:$AQ$1006,0)))),"Fix")))</f>
        <v>0</v>
      </c>
      <c r="N32" s="5">
        <f>IF(OR(INDEX($V$2:$V$1001,MATCH(ROWS($U$2:U32),$U$2:$U$1001,0),1)&gt;=100000,INDEX($AB$1005:$AQ$1005,1,MATCH(COLUMNS($AB$1006:AN1006),$AB$1006:$AQ$1006,0))&gt;=100000), " ",IF(INDEX($AB$2:$AQ$1001,MATCH(ROWS($U$2:U32),$U$2:$U$1001,0),MATCH(COLUMNS($AB$1006:AN1006),$AB$1006:$AQ$1006,0)), HYPERLINK("#",""), HYPERLINK(CONCATENATE("#Metadata!", ADDRESS(INDEX($W$2:$W$1001,MATCH(ROWS($U$2:U32),$U$2:$U$1001,0),0), INDEX($AB$1004:$AQ$1004,1,MATCH(COLUMNS($AB$1006:AN1006),$AB$1006:$AQ$1006,0)))),"Fix")))</f>
        <v>0</v>
      </c>
      <c r="O32" s="5">
        <f>IF(OR(INDEX($V$2:$V$1001,MATCH(ROWS($U$2:U32),$U$2:$U$1001,0),1)&gt;=100000,INDEX($AB$1005:$AQ$1005,1,MATCH(COLUMNS($AB$1006:AO1006),$AB$1006:$AQ$1006,0))&gt;=100000), " ",IF(INDEX($AB$2:$AQ$1001,MATCH(ROWS($U$2:U32),$U$2:$U$1001,0),MATCH(COLUMNS($AB$1006:AO1006),$AB$1006:$AQ$1006,0)), HYPERLINK("#",""), HYPERLINK(CONCATENATE("#Metadata!", ADDRESS(INDEX($W$2:$W$1001,MATCH(ROWS($U$2:U32),$U$2:$U$1001,0),0), INDEX($AB$1004:$AQ$1004,1,MATCH(COLUMNS($AB$1006:AO1006),$AB$1006:$AQ$1006,0)))),"Fix")))</f>
        <v>0</v>
      </c>
      <c r="P32" s="5">
        <f>IF(OR(INDEX($V$2:$V$1001,MATCH(ROWS($U$2:U32),$U$2:$U$1001,0),1)&gt;=100000,INDEX($AB$1005:$AQ$1005,1,MATCH(COLUMNS($AB$1006:AP1006),$AB$1006:$AQ$1006,0))&gt;=100000), " ",IF(INDEX($AB$2:$AQ$1001,MATCH(ROWS($U$2:U32),$U$2:$U$1001,0),MATCH(COLUMNS($AB$1006:AP1006),$AB$1006:$AQ$1006,0)), HYPERLINK("#",""), HYPERLINK(CONCATENATE("#Metadata!", ADDRESS(INDEX($W$2:$W$1001,MATCH(ROWS($U$2:U32),$U$2:$U$1001,0),0), INDEX($AB$1004:$AQ$1004,1,MATCH(COLUMNS($AB$1006:AP1006),$AB$1006:$AQ$1006,0)))),"Fix")))</f>
        <v>0</v>
      </c>
      <c r="Q32" s="5">
        <f>IF(OR(INDEX($V$2:$V$1001,MATCH(ROWS($U$2:U32),$U$2:$U$1001,0),1)&gt;=100000,INDEX($AB$1005:$AQ$1005,1,MATCH(COLUMNS($AB$1006:AQ1006),$AB$1006:$AQ$1006,0))&gt;=100000), " ",IF(INDEX($AB$2:$AQ$1001,MATCH(ROWS($U$2:U32),$U$2:$U$1001,0),MATCH(COLUMNS($AB$1006:AQ1006),$AB$1006:$AQ$1006,0)), HYPERLINK("#",""), HYPERLINK(CONCATENATE("#Metadata!", ADDRESS(INDEX($W$2:$W$1001,MATCH(ROWS($U$2:U32),$U$2:$U$1001,0),0), INDEX($AB$1004:$AQ$1004,1,MATCH(COLUMNS($AB$1006:AQ1006),$AB$1006:$AQ$1006,0)))),"Fix")))</f>
        <v>0</v>
      </c>
      <c r="U32">
        <v>0</v>
      </c>
      <c r="V32">
        <v>0</v>
      </c>
      <c r="W32">
        <v>0</v>
      </c>
      <c r="X32">
        <f>IF(Y32,TRUE,AND(AB32:AQ32))</f>
        <v>0</v>
      </c>
      <c r="Y32">
        <f>COUNTBLANK(Metadata!B32:Q32)=COLUMNS(Metadata!B32:Q32)</f>
        <v>0</v>
      </c>
      <c r="Z32">
        <v>0</v>
      </c>
      <c r="AB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AC32">
        <f>AND(IF(Metadata!C32="",FALSE,TRUE),exact(Metadata!C32,"urban biome"))</f>
        <v>0</v>
      </c>
      <c r="AD32">
        <f>AND(IF(Metadata!D32="",FALSE,TRUE),exact(Metadata!D32,"human-associated habitat"))</f>
        <v>0</v>
      </c>
      <c r="AE32">
        <f>AND(IF(Metadata!E32="",FALSE,TRUE),OR(exact(Metadata!E32,"human-associated"),exact(Metadata!E32,"human-skin"),exact(Metadata!E32,"human-oral"),exact(Metadata!E32,"human-gut"),exact(Metadata!E32,"human-vaginal")))</f>
        <v>0</v>
      </c>
      <c r="AF32">
        <f>AND(IF(Metadata!F32="",FALSE,ISNUMBER(VALUE(Metadata!F32))),Metadata!F32&gt;0)</f>
        <v>0</v>
      </c>
      <c r="AG32">
        <f>AND(IF(Metadata!G32="",FALSE,TRUE),exact(Metadata!G32,"years"))</f>
        <v>0</v>
      </c>
      <c r="AH32">
        <f>OR(AND(IF(Metadata!H32="",FALSE,TRUE),OR(exact(Metadata!H32,"not applicable"),exact(Metadata!H32,"not collected"),exact(Metadata!H32,"not provided"),exact(Metadata!H32,"restricted access"))),AND(IF(Metadata!H32="",FALSE,ISNUMBER(VALUE(Metadata!H32))),Metadata!H32&gt;0))</f>
        <v>0</v>
      </c>
      <c r="AI32">
        <f>AND(IF(Metadata!I32="",FALSE,TRUE),exact(Metadata!I32,"human"))</f>
        <v>0</v>
      </c>
      <c r="AJ32">
        <f>AND(IF(Metadata!J32="",FALSE,ISNUMBER(VALUE(Metadata!J32))),Metadata!J32&gt;0)</f>
        <v>0</v>
      </c>
      <c r="AK32">
        <f>AND(IF(Metadata!K32="",FALSE,TRUE),exact(Metadata!K32,"cm"))</f>
        <v>0</v>
      </c>
      <c r="AL32">
        <f>AND(IF(Metadata!L32="",FALSE,TRUE),exact(Metadata!L32,"Homo sapiens"))</f>
        <v>0</v>
      </c>
      <c r="AM32">
        <f>AND(IF(Metadata!M32="",FALSE,TRUE),exact(Metadata!M32,"9606"))</f>
        <v>0</v>
      </c>
      <c r="AN32">
        <f>AND(IF(Metadata!N32="",FALSE,ISNUMBER(VALUE(Metadata!N32))),Metadata!N32&gt;0)</f>
        <v>0</v>
      </c>
      <c r="AO32">
        <f>AND(IF(Metadata!O32="",FALSE,TRUE),exact(Metadata!O32,"kg"))</f>
        <v>0</v>
      </c>
      <c r="AP32">
        <f>OR(AND(IF(Metadata!P32="",FALSE,TRUE),exact(Metadata!P32,"not provided")),IF(Metadata!P32="",FALSE,TRUE))</f>
        <v>0</v>
      </c>
      <c r="AQ32">
        <f>OR(AND(IF(Metadata!Q32="",FALSE,TRUE),exact(Metadata!Q32,"not provided")),IF(Metadata!Q32="",FALSE,TRUE))</f>
        <v>0</v>
      </c>
    </row>
    <row r="33" spans="1:43">
      <c r="A33" s="4">
        <f>IF(B33=" "," ",HYPERLINK(CONCATENATE("#metadata!",ADDRESS(INDEX($W$2:$W$1001,MATCH(ROWS($U$2:U33),$U$2:$U$1001,0),0),2)),INDEX($Z$2:$Z$1001,MATCH(ROWS($U$2:U33),$U$2:$U$1001,0),0)))</f>
        <v>0</v>
      </c>
      <c r="B33" s="5">
        <f>IF(OR(INDEX($V$2:$V$1001,MATCH(ROWS($U$2:U33),$U$2:$U$1001,0),1)&gt;=100000,INDEX($AB$1005:$AQ$1005,1,MATCH(COLUMNS($AB$1006:AB1006),$AB$1006:$AQ$1006,0))&gt;=100000), " ",IF(INDEX($AB$2:$AQ$1001,MATCH(ROWS($U$2:U33),$U$2:$U$1001,0),MATCH(COLUMNS($AB$1006:AB1006),$AB$1006:$AQ$1006,0)), HYPERLINK("#",""), HYPERLINK(CONCATENATE("#Metadata!", ADDRESS(INDEX($W$2:$W$1001,MATCH(ROWS($U$2:U33),$U$2:$U$1001,0),0), INDEX($AB$1004:$AQ$1004,1,MATCH(COLUMNS($AB$1006:AB1006),$AB$1006:$AQ$1006,0)))),"Fix")))</f>
        <v>0</v>
      </c>
      <c r="C33" s="5">
        <f>IF(OR(INDEX($V$2:$V$1001,MATCH(ROWS($U$2:U33),$U$2:$U$1001,0),1)&gt;=100000,INDEX($AB$1005:$AQ$1005,1,MATCH(COLUMNS($AB$1006:AC1006),$AB$1006:$AQ$1006,0))&gt;=100000), " ",IF(INDEX($AB$2:$AQ$1001,MATCH(ROWS($U$2:U33),$U$2:$U$1001,0),MATCH(COLUMNS($AB$1006:AC1006),$AB$1006:$AQ$1006,0)), HYPERLINK("#",""), HYPERLINK(CONCATENATE("#Metadata!", ADDRESS(INDEX($W$2:$W$1001,MATCH(ROWS($U$2:U33),$U$2:$U$1001,0),0), INDEX($AB$1004:$AQ$1004,1,MATCH(COLUMNS($AB$1006:AC1006),$AB$1006:$AQ$1006,0)))),"Fix")))</f>
        <v>0</v>
      </c>
      <c r="D33" s="5">
        <f>IF(OR(INDEX($V$2:$V$1001,MATCH(ROWS($U$2:U33),$U$2:$U$1001,0),1)&gt;=100000,INDEX($AB$1005:$AQ$1005,1,MATCH(COLUMNS($AB$1006:AD1006),$AB$1006:$AQ$1006,0))&gt;=100000), " ",IF(INDEX($AB$2:$AQ$1001,MATCH(ROWS($U$2:U33),$U$2:$U$1001,0),MATCH(COLUMNS($AB$1006:AD1006),$AB$1006:$AQ$1006,0)), HYPERLINK("#",""), HYPERLINK(CONCATENATE("#Metadata!", ADDRESS(INDEX($W$2:$W$1001,MATCH(ROWS($U$2:U33),$U$2:$U$1001,0),0), INDEX($AB$1004:$AQ$1004,1,MATCH(COLUMNS($AB$1006:AD1006),$AB$1006:$AQ$1006,0)))),"Fix")))</f>
        <v>0</v>
      </c>
      <c r="E33" s="5">
        <f>IF(OR(INDEX($V$2:$V$1001,MATCH(ROWS($U$2:U33),$U$2:$U$1001,0),1)&gt;=100000,INDEX($AB$1005:$AQ$1005,1,MATCH(COLUMNS($AB$1006:AE1006),$AB$1006:$AQ$1006,0))&gt;=100000), " ",IF(INDEX($AB$2:$AQ$1001,MATCH(ROWS($U$2:U33),$U$2:$U$1001,0),MATCH(COLUMNS($AB$1006:AE1006),$AB$1006:$AQ$1006,0)), HYPERLINK("#",""), HYPERLINK(CONCATENATE("#Metadata!", ADDRESS(INDEX($W$2:$W$1001,MATCH(ROWS($U$2:U33),$U$2:$U$1001,0),0), INDEX($AB$1004:$AQ$1004,1,MATCH(COLUMNS($AB$1006:AE1006),$AB$1006:$AQ$1006,0)))),"Fix")))</f>
        <v>0</v>
      </c>
      <c r="F33" s="5">
        <f>IF(OR(INDEX($V$2:$V$1001,MATCH(ROWS($U$2:U33),$U$2:$U$1001,0),1)&gt;=100000,INDEX($AB$1005:$AQ$1005,1,MATCH(COLUMNS($AB$1006:AF1006),$AB$1006:$AQ$1006,0))&gt;=100000), " ",IF(INDEX($AB$2:$AQ$1001,MATCH(ROWS($U$2:U33),$U$2:$U$1001,0),MATCH(COLUMNS($AB$1006:AF1006),$AB$1006:$AQ$1006,0)), HYPERLINK("#",""), HYPERLINK(CONCATENATE("#Metadata!", ADDRESS(INDEX($W$2:$W$1001,MATCH(ROWS($U$2:U33),$U$2:$U$1001,0),0), INDEX($AB$1004:$AQ$1004,1,MATCH(COLUMNS($AB$1006:AF1006),$AB$1006:$AQ$1006,0)))),"Fix")))</f>
        <v>0</v>
      </c>
      <c r="G33" s="5">
        <f>IF(OR(INDEX($V$2:$V$1001,MATCH(ROWS($U$2:U33),$U$2:$U$1001,0),1)&gt;=100000,INDEX($AB$1005:$AQ$1005,1,MATCH(COLUMNS($AB$1006:AG1006),$AB$1006:$AQ$1006,0))&gt;=100000), " ",IF(INDEX($AB$2:$AQ$1001,MATCH(ROWS($U$2:U33),$U$2:$U$1001,0),MATCH(COLUMNS($AB$1006:AG1006),$AB$1006:$AQ$1006,0)), HYPERLINK("#",""), HYPERLINK(CONCATENATE("#Metadata!", ADDRESS(INDEX($W$2:$W$1001,MATCH(ROWS($U$2:U33),$U$2:$U$1001,0),0), INDEX($AB$1004:$AQ$1004,1,MATCH(COLUMNS($AB$1006:AG1006),$AB$1006:$AQ$1006,0)))),"Fix")))</f>
        <v>0</v>
      </c>
      <c r="H33" s="5">
        <f>IF(OR(INDEX($V$2:$V$1001,MATCH(ROWS($U$2:U33),$U$2:$U$1001,0),1)&gt;=100000,INDEX($AB$1005:$AQ$1005,1,MATCH(COLUMNS($AB$1006:AH1006),$AB$1006:$AQ$1006,0))&gt;=100000), " ",IF(INDEX($AB$2:$AQ$1001,MATCH(ROWS($U$2:U33),$U$2:$U$1001,0),MATCH(COLUMNS($AB$1006:AH1006),$AB$1006:$AQ$1006,0)), HYPERLINK("#",""), HYPERLINK(CONCATENATE("#Metadata!", ADDRESS(INDEX($W$2:$W$1001,MATCH(ROWS($U$2:U33),$U$2:$U$1001,0),0), INDEX($AB$1004:$AQ$1004,1,MATCH(COLUMNS($AB$1006:AH1006),$AB$1006:$AQ$1006,0)))),"Fix")))</f>
        <v>0</v>
      </c>
      <c r="I33" s="5">
        <f>IF(OR(INDEX($V$2:$V$1001,MATCH(ROWS($U$2:U33),$U$2:$U$1001,0),1)&gt;=100000,INDEX($AB$1005:$AQ$1005,1,MATCH(COLUMNS($AB$1006:AI1006),$AB$1006:$AQ$1006,0))&gt;=100000), " ",IF(INDEX($AB$2:$AQ$1001,MATCH(ROWS($U$2:U33),$U$2:$U$1001,0),MATCH(COLUMNS($AB$1006:AI1006),$AB$1006:$AQ$1006,0)), HYPERLINK("#",""), HYPERLINK(CONCATENATE("#Metadata!", ADDRESS(INDEX($W$2:$W$1001,MATCH(ROWS($U$2:U33),$U$2:$U$1001,0),0), INDEX($AB$1004:$AQ$1004,1,MATCH(COLUMNS($AB$1006:AI1006),$AB$1006:$AQ$1006,0)))),"Fix")))</f>
        <v>0</v>
      </c>
      <c r="J33" s="5">
        <f>IF(OR(INDEX($V$2:$V$1001,MATCH(ROWS($U$2:U33),$U$2:$U$1001,0),1)&gt;=100000,INDEX($AB$1005:$AQ$1005,1,MATCH(COLUMNS($AB$1006:AJ1006),$AB$1006:$AQ$1006,0))&gt;=100000), " ",IF(INDEX($AB$2:$AQ$1001,MATCH(ROWS($U$2:U33),$U$2:$U$1001,0),MATCH(COLUMNS($AB$1006:AJ1006),$AB$1006:$AQ$1006,0)), HYPERLINK("#",""), HYPERLINK(CONCATENATE("#Metadata!", ADDRESS(INDEX($W$2:$W$1001,MATCH(ROWS($U$2:U33),$U$2:$U$1001,0),0), INDEX($AB$1004:$AQ$1004,1,MATCH(COLUMNS($AB$1006:AJ1006),$AB$1006:$AQ$1006,0)))),"Fix")))</f>
        <v>0</v>
      </c>
      <c r="K33" s="5">
        <f>IF(OR(INDEX($V$2:$V$1001,MATCH(ROWS($U$2:U33),$U$2:$U$1001,0),1)&gt;=100000,INDEX($AB$1005:$AQ$1005,1,MATCH(COLUMNS($AB$1006:AK1006),$AB$1006:$AQ$1006,0))&gt;=100000), " ",IF(INDEX($AB$2:$AQ$1001,MATCH(ROWS($U$2:U33),$U$2:$U$1001,0),MATCH(COLUMNS($AB$1006:AK1006),$AB$1006:$AQ$1006,0)), HYPERLINK("#",""), HYPERLINK(CONCATENATE("#Metadata!", ADDRESS(INDEX($W$2:$W$1001,MATCH(ROWS($U$2:U33),$U$2:$U$1001,0),0), INDEX($AB$1004:$AQ$1004,1,MATCH(COLUMNS($AB$1006:AK1006),$AB$1006:$AQ$1006,0)))),"Fix")))</f>
        <v>0</v>
      </c>
      <c r="L33" s="5">
        <f>IF(OR(INDEX($V$2:$V$1001,MATCH(ROWS($U$2:U33),$U$2:$U$1001,0),1)&gt;=100000,INDEX($AB$1005:$AQ$1005,1,MATCH(COLUMNS($AB$1006:AL1006),$AB$1006:$AQ$1006,0))&gt;=100000), " ",IF(INDEX($AB$2:$AQ$1001,MATCH(ROWS($U$2:U33),$U$2:$U$1001,0),MATCH(COLUMNS($AB$1006:AL1006),$AB$1006:$AQ$1006,0)), HYPERLINK("#",""), HYPERLINK(CONCATENATE("#Metadata!", ADDRESS(INDEX($W$2:$W$1001,MATCH(ROWS($U$2:U33),$U$2:$U$1001,0),0), INDEX($AB$1004:$AQ$1004,1,MATCH(COLUMNS($AB$1006:AL1006),$AB$1006:$AQ$1006,0)))),"Fix")))</f>
        <v>0</v>
      </c>
      <c r="M33" s="5">
        <f>IF(OR(INDEX($V$2:$V$1001,MATCH(ROWS($U$2:U33),$U$2:$U$1001,0),1)&gt;=100000,INDEX($AB$1005:$AQ$1005,1,MATCH(COLUMNS($AB$1006:AM1006),$AB$1006:$AQ$1006,0))&gt;=100000), " ",IF(INDEX($AB$2:$AQ$1001,MATCH(ROWS($U$2:U33),$U$2:$U$1001,0),MATCH(COLUMNS($AB$1006:AM1006),$AB$1006:$AQ$1006,0)), HYPERLINK("#",""), HYPERLINK(CONCATENATE("#Metadata!", ADDRESS(INDEX($W$2:$W$1001,MATCH(ROWS($U$2:U33),$U$2:$U$1001,0),0), INDEX($AB$1004:$AQ$1004,1,MATCH(COLUMNS($AB$1006:AM1006),$AB$1006:$AQ$1006,0)))),"Fix")))</f>
        <v>0</v>
      </c>
      <c r="N33" s="5">
        <f>IF(OR(INDEX($V$2:$V$1001,MATCH(ROWS($U$2:U33),$U$2:$U$1001,0),1)&gt;=100000,INDEX($AB$1005:$AQ$1005,1,MATCH(COLUMNS($AB$1006:AN1006),$AB$1006:$AQ$1006,0))&gt;=100000), " ",IF(INDEX($AB$2:$AQ$1001,MATCH(ROWS($U$2:U33),$U$2:$U$1001,0),MATCH(COLUMNS($AB$1006:AN1006),$AB$1006:$AQ$1006,0)), HYPERLINK("#",""), HYPERLINK(CONCATENATE("#Metadata!", ADDRESS(INDEX($W$2:$W$1001,MATCH(ROWS($U$2:U33),$U$2:$U$1001,0),0), INDEX($AB$1004:$AQ$1004,1,MATCH(COLUMNS($AB$1006:AN1006),$AB$1006:$AQ$1006,0)))),"Fix")))</f>
        <v>0</v>
      </c>
      <c r="O33" s="5">
        <f>IF(OR(INDEX($V$2:$V$1001,MATCH(ROWS($U$2:U33),$U$2:$U$1001,0),1)&gt;=100000,INDEX($AB$1005:$AQ$1005,1,MATCH(COLUMNS($AB$1006:AO1006),$AB$1006:$AQ$1006,0))&gt;=100000), " ",IF(INDEX($AB$2:$AQ$1001,MATCH(ROWS($U$2:U33),$U$2:$U$1001,0),MATCH(COLUMNS($AB$1006:AO1006),$AB$1006:$AQ$1006,0)), HYPERLINK("#",""), HYPERLINK(CONCATENATE("#Metadata!", ADDRESS(INDEX($W$2:$W$1001,MATCH(ROWS($U$2:U33),$U$2:$U$1001,0),0), INDEX($AB$1004:$AQ$1004,1,MATCH(COLUMNS($AB$1006:AO1006),$AB$1006:$AQ$1006,0)))),"Fix")))</f>
        <v>0</v>
      </c>
      <c r="P33" s="5">
        <f>IF(OR(INDEX($V$2:$V$1001,MATCH(ROWS($U$2:U33),$U$2:$U$1001,0),1)&gt;=100000,INDEX($AB$1005:$AQ$1005,1,MATCH(COLUMNS($AB$1006:AP1006),$AB$1006:$AQ$1006,0))&gt;=100000), " ",IF(INDEX($AB$2:$AQ$1001,MATCH(ROWS($U$2:U33),$U$2:$U$1001,0),MATCH(COLUMNS($AB$1006:AP1006),$AB$1006:$AQ$1006,0)), HYPERLINK("#",""), HYPERLINK(CONCATENATE("#Metadata!", ADDRESS(INDEX($W$2:$W$1001,MATCH(ROWS($U$2:U33),$U$2:$U$1001,0),0), INDEX($AB$1004:$AQ$1004,1,MATCH(COLUMNS($AB$1006:AP1006),$AB$1006:$AQ$1006,0)))),"Fix")))</f>
        <v>0</v>
      </c>
      <c r="Q33" s="5">
        <f>IF(OR(INDEX($V$2:$V$1001,MATCH(ROWS($U$2:U33),$U$2:$U$1001,0),1)&gt;=100000,INDEX($AB$1005:$AQ$1005,1,MATCH(COLUMNS($AB$1006:AQ1006),$AB$1006:$AQ$1006,0))&gt;=100000), " ",IF(INDEX($AB$2:$AQ$1001,MATCH(ROWS($U$2:U33),$U$2:$U$1001,0),MATCH(COLUMNS($AB$1006:AQ1006),$AB$1006:$AQ$1006,0)), HYPERLINK("#",""), HYPERLINK(CONCATENATE("#Metadata!", ADDRESS(INDEX($W$2:$W$1001,MATCH(ROWS($U$2:U33),$U$2:$U$1001,0),0), INDEX($AB$1004:$AQ$1004,1,MATCH(COLUMNS($AB$1006:AQ1006),$AB$1006:$AQ$1006,0)))),"Fix")))</f>
        <v>0</v>
      </c>
      <c r="U33">
        <v>0</v>
      </c>
      <c r="V33">
        <v>0</v>
      </c>
      <c r="W33">
        <v>0</v>
      </c>
      <c r="X33">
        <f>IF(Y33,TRUE,AND(AB33:AQ33))</f>
        <v>0</v>
      </c>
      <c r="Y33">
        <f>COUNTBLANK(Metadata!B33:Q33)=COLUMNS(Metadata!B33:Q33)</f>
        <v>0</v>
      </c>
      <c r="Z33">
        <v>0</v>
      </c>
      <c r="AB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AC33">
        <f>AND(IF(Metadata!C33="",FALSE,TRUE),exact(Metadata!C33,"urban biome"))</f>
        <v>0</v>
      </c>
      <c r="AD33">
        <f>AND(IF(Metadata!D33="",FALSE,TRUE),exact(Metadata!D33,"human-associated habitat"))</f>
        <v>0</v>
      </c>
      <c r="AE33">
        <f>AND(IF(Metadata!E33="",FALSE,TRUE),OR(exact(Metadata!E33,"human-associated"),exact(Metadata!E33,"human-skin"),exact(Metadata!E33,"human-oral"),exact(Metadata!E33,"human-gut"),exact(Metadata!E33,"human-vaginal")))</f>
        <v>0</v>
      </c>
      <c r="AF33">
        <f>AND(IF(Metadata!F33="",FALSE,ISNUMBER(VALUE(Metadata!F33))),Metadata!F33&gt;0)</f>
        <v>0</v>
      </c>
      <c r="AG33">
        <f>AND(IF(Metadata!G33="",FALSE,TRUE),exact(Metadata!G33,"years"))</f>
        <v>0</v>
      </c>
      <c r="AH33">
        <f>OR(AND(IF(Metadata!H33="",FALSE,TRUE),OR(exact(Metadata!H33,"not applicable"),exact(Metadata!H33,"not collected"),exact(Metadata!H33,"not provided"),exact(Metadata!H33,"restricted access"))),AND(IF(Metadata!H33="",FALSE,ISNUMBER(VALUE(Metadata!H33))),Metadata!H33&gt;0))</f>
        <v>0</v>
      </c>
      <c r="AI33">
        <f>AND(IF(Metadata!I33="",FALSE,TRUE),exact(Metadata!I33,"human"))</f>
        <v>0</v>
      </c>
      <c r="AJ33">
        <f>AND(IF(Metadata!J33="",FALSE,ISNUMBER(VALUE(Metadata!J33))),Metadata!J33&gt;0)</f>
        <v>0</v>
      </c>
      <c r="AK33">
        <f>AND(IF(Metadata!K33="",FALSE,TRUE),exact(Metadata!K33,"cm"))</f>
        <v>0</v>
      </c>
      <c r="AL33">
        <f>AND(IF(Metadata!L33="",FALSE,TRUE),exact(Metadata!L33,"Homo sapiens"))</f>
        <v>0</v>
      </c>
      <c r="AM33">
        <f>AND(IF(Metadata!M33="",FALSE,TRUE),exact(Metadata!M33,"9606"))</f>
        <v>0</v>
      </c>
      <c r="AN33">
        <f>AND(IF(Metadata!N33="",FALSE,ISNUMBER(VALUE(Metadata!N33))),Metadata!N33&gt;0)</f>
        <v>0</v>
      </c>
      <c r="AO33">
        <f>AND(IF(Metadata!O33="",FALSE,TRUE),exact(Metadata!O33,"kg"))</f>
        <v>0</v>
      </c>
      <c r="AP33">
        <f>OR(AND(IF(Metadata!P33="",FALSE,TRUE),exact(Metadata!P33,"not provided")),IF(Metadata!P33="",FALSE,TRUE))</f>
        <v>0</v>
      </c>
      <c r="AQ33">
        <f>OR(AND(IF(Metadata!Q33="",FALSE,TRUE),exact(Metadata!Q33,"not provided")),IF(Metadata!Q33="",FALSE,TRUE))</f>
        <v>0</v>
      </c>
    </row>
    <row r="34" spans="1:43">
      <c r="A34" s="4">
        <f>IF(B34=" "," ",HYPERLINK(CONCATENATE("#metadata!",ADDRESS(INDEX($W$2:$W$1001,MATCH(ROWS($U$2:U34),$U$2:$U$1001,0),0),2)),INDEX($Z$2:$Z$1001,MATCH(ROWS($U$2:U34),$U$2:$U$1001,0),0)))</f>
        <v>0</v>
      </c>
      <c r="B34" s="5">
        <f>IF(OR(INDEX($V$2:$V$1001,MATCH(ROWS($U$2:U34),$U$2:$U$1001,0),1)&gt;=100000,INDEX($AB$1005:$AQ$1005,1,MATCH(COLUMNS($AB$1006:AB1006),$AB$1006:$AQ$1006,0))&gt;=100000), " ",IF(INDEX($AB$2:$AQ$1001,MATCH(ROWS($U$2:U34),$U$2:$U$1001,0),MATCH(COLUMNS($AB$1006:AB1006),$AB$1006:$AQ$1006,0)), HYPERLINK("#",""), HYPERLINK(CONCATENATE("#Metadata!", ADDRESS(INDEX($W$2:$W$1001,MATCH(ROWS($U$2:U34),$U$2:$U$1001,0),0), INDEX($AB$1004:$AQ$1004,1,MATCH(COLUMNS($AB$1006:AB1006),$AB$1006:$AQ$1006,0)))),"Fix")))</f>
        <v>0</v>
      </c>
      <c r="C34" s="5">
        <f>IF(OR(INDEX($V$2:$V$1001,MATCH(ROWS($U$2:U34),$U$2:$U$1001,0),1)&gt;=100000,INDEX($AB$1005:$AQ$1005,1,MATCH(COLUMNS($AB$1006:AC1006),$AB$1006:$AQ$1006,0))&gt;=100000), " ",IF(INDEX($AB$2:$AQ$1001,MATCH(ROWS($U$2:U34),$U$2:$U$1001,0),MATCH(COLUMNS($AB$1006:AC1006),$AB$1006:$AQ$1006,0)), HYPERLINK("#",""), HYPERLINK(CONCATENATE("#Metadata!", ADDRESS(INDEX($W$2:$W$1001,MATCH(ROWS($U$2:U34),$U$2:$U$1001,0),0), INDEX($AB$1004:$AQ$1004,1,MATCH(COLUMNS($AB$1006:AC1006),$AB$1006:$AQ$1006,0)))),"Fix")))</f>
        <v>0</v>
      </c>
      <c r="D34" s="5">
        <f>IF(OR(INDEX($V$2:$V$1001,MATCH(ROWS($U$2:U34),$U$2:$U$1001,0),1)&gt;=100000,INDEX($AB$1005:$AQ$1005,1,MATCH(COLUMNS($AB$1006:AD1006),$AB$1006:$AQ$1006,0))&gt;=100000), " ",IF(INDEX($AB$2:$AQ$1001,MATCH(ROWS($U$2:U34),$U$2:$U$1001,0),MATCH(COLUMNS($AB$1006:AD1006),$AB$1006:$AQ$1006,0)), HYPERLINK("#",""), HYPERLINK(CONCATENATE("#Metadata!", ADDRESS(INDEX($W$2:$W$1001,MATCH(ROWS($U$2:U34),$U$2:$U$1001,0),0), INDEX($AB$1004:$AQ$1004,1,MATCH(COLUMNS($AB$1006:AD1006),$AB$1006:$AQ$1006,0)))),"Fix")))</f>
        <v>0</v>
      </c>
      <c r="E34" s="5">
        <f>IF(OR(INDEX($V$2:$V$1001,MATCH(ROWS($U$2:U34),$U$2:$U$1001,0),1)&gt;=100000,INDEX($AB$1005:$AQ$1005,1,MATCH(COLUMNS($AB$1006:AE1006),$AB$1006:$AQ$1006,0))&gt;=100000), " ",IF(INDEX($AB$2:$AQ$1001,MATCH(ROWS($U$2:U34),$U$2:$U$1001,0),MATCH(COLUMNS($AB$1006:AE1006),$AB$1006:$AQ$1006,0)), HYPERLINK("#",""), HYPERLINK(CONCATENATE("#Metadata!", ADDRESS(INDEX($W$2:$W$1001,MATCH(ROWS($U$2:U34),$U$2:$U$1001,0),0), INDEX($AB$1004:$AQ$1004,1,MATCH(COLUMNS($AB$1006:AE1006),$AB$1006:$AQ$1006,0)))),"Fix")))</f>
        <v>0</v>
      </c>
      <c r="F34" s="5">
        <f>IF(OR(INDEX($V$2:$V$1001,MATCH(ROWS($U$2:U34),$U$2:$U$1001,0),1)&gt;=100000,INDEX($AB$1005:$AQ$1005,1,MATCH(COLUMNS($AB$1006:AF1006),$AB$1006:$AQ$1006,0))&gt;=100000), " ",IF(INDEX($AB$2:$AQ$1001,MATCH(ROWS($U$2:U34),$U$2:$U$1001,0),MATCH(COLUMNS($AB$1006:AF1006),$AB$1006:$AQ$1006,0)), HYPERLINK("#",""), HYPERLINK(CONCATENATE("#Metadata!", ADDRESS(INDEX($W$2:$W$1001,MATCH(ROWS($U$2:U34),$U$2:$U$1001,0),0), INDEX($AB$1004:$AQ$1004,1,MATCH(COLUMNS($AB$1006:AF1006),$AB$1006:$AQ$1006,0)))),"Fix")))</f>
        <v>0</v>
      </c>
      <c r="G34" s="5">
        <f>IF(OR(INDEX($V$2:$V$1001,MATCH(ROWS($U$2:U34),$U$2:$U$1001,0),1)&gt;=100000,INDEX($AB$1005:$AQ$1005,1,MATCH(COLUMNS($AB$1006:AG1006),$AB$1006:$AQ$1006,0))&gt;=100000), " ",IF(INDEX($AB$2:$AQ$1001,MATCH(ROWS($U$2:U34),$U$2:$U$1001,0),MATCH(COLUMNS($AB$1006:AG1006),$AB$1006:$AQ$1006,0)), HYPERLINK("#",""), HYPERLINK(CONCATENATE("#Metadata!", ADDRESS(INDEX($W$2:$W$1001,MATCH(ROWS($U$2:U34),$U$2:$U$1001,0),0), INDEX($AB$1004:$AQ$1004,1,MATCH(COLUMNS($AB$1006:AG1006),$AB$1006:$AQ$1006,0)))),"Fix")))</f>
        <v>0</v>
      </c>
      <c r="H34" s="5">
        <f>IF(OR(INDEX($V$2:$V$1001,MATCH(ROWS($U$2:U34),$U$2:$U$1001,0),1)&gt;=100000,INDEX($AB$1005:$AQ$1005,1,MATCH(COLUMNS($AB$1006:AH1006),$AB$1006:$AQ$1006,0))&gt;=100000), " ",IF(INDEX($AB$2:$AQ$1001,MATCH(ROWS($U$2:U34),$U$2:$U$1001,0),MATCH(COLUMNS($AB$1006:AH1006),$AB$1006:$AQ$1006,0)), HYPERLINK("#",""), HYPERLINK(CONCATENATE("#Metadata!", ADDRESS(INDEX($W$2:$W$1001,MATCH(ROWS($U$2:U34),$U$2:$U$1001,0),0), INDEX($AB$1004:$AQ$1004,1,MATCH(COLUMNS($AB$1006:AH1006),$AB$1006:$AQ$1006,0)))),"Fix")))</f>
        <v>0</v>
      </c>
      <c r="I34" s="5">
        <f>IF(OR(INDEX($V$2:$V$1001,MATCH(ROWS($U$2:U34),$U$2:$U$1001,0),1)&gt;=100000,INDEX($AB$1005:$AQ$1005,1,MATCH(COLUMNS($AB$1006:AI1006),$AB$1006:$AQ$1006,0))&gt;=100000), " ",IF(INDEX($AB$2:$AQ$1001,MATCH(ROWS($U$2:U34),$U$2:$U$1001,0),MATCH(COLUMNS($AB$1006:AI1006),$AB$1006:$AQ$1006,0)), HYPERLINK("#",""), HYPERLINK(CONCATENATE("#Metadata!", ADDRESS(INDEX($W$2:$W$1001,MATCH(ROWS($U$2:U34),$U$2:$U$1001,0),0), INDEX($AB$1004:$AQ$1004,1,MATCH(COLUMNS($AB$1006:AI1006),$AB$1006:$AQ$1006,0)))),"Fix")))</f>
        <v>0</v>
      </c>
      <c r="J34" s="5">
        <f>IF(OR(INDEX($V$2:$V$1001,MATCH(ROWS($U$2:U34),$U$2:$U$1001,0),1)&gt;=100000,INDEX($AB$1005:$AQ$1005,1,MATCH(COLUMNS($AB$1006:AJ1006),$AB$1006:$AQ$1006,0))&gt;=100000), " ",IF(INDEX($AB$2:$AQ$1001,MATCH(ROWS($U$2:U34),$U$2:$U$1001,0),MATCH(COLUMNS($AB$1006:AJ1006),$AB$1006:$AQ$1006,0)), HYPERLINK("#",""), HYPERLINK(CONCATENATE("#Metadata!", ADDRESS(INDEX($W$2:$W$1001,MATCH(ROWS($U$2:U34),$U$2:$U$1001,0),0), INDEX($AB$1004:$AQ$1004,1,MATCH(COLUMNS($AB$1006:AJ1006),$AB$1006:$AQ$1006,0)))),"Fix")))</f>
        <v>0</v>
      </c>
      <c r="K34" s="5">
        <f>IF(OR(INDEX($V$2:$V$1001,MATCH(ROWS($U$2:U34),$U$2:$U$1001,0),1)&gt;=100000,INDEX($AB$1005:$AQ$1005,1,MATCH(COLUMNS($AB$1006:AK1006),$AB$1006:$AQ$1006,0))&gt;=100000), " ",IF(INDEX($AB$2:$AQ$1001,MATCH(ROWS($U$2:U34),$U$2:$U$1001,0),MATCH(COLUMNS($AB$1006:AK1006),$AB$1006:$AQ$1006,0)), HYPERLINK("#",""), HYPERLINK(CONCATENATE("#Metadata!", ADDRESS(INDEX($W$2:$W$1001,MATCH(ROWS($U$2:U34),$U$2:$U$1001,0),0), INDEX($AB$1004:$AQ$1004,1,MATCH(COLUMNS($AB$1006:AK1006),$AB$1006:$AQ$1006,0)))),"Fix")))</f>
        <v>0</v>
      </c>
      <c r="L34" s="5">
        <f>IF(OR(INDEX($V$2:$V$1001,MATCH(ROWS($U$2:U34),$U$2:$U$1001,0),1)&gt;=100000,INDEX($AB$1005:$AQ$1005,1,MATCH(COLUMNS($AB$1006:AL1006),$AB$1006:$AQ$1006,0))&gt;=100000), " ",IF(INDEX($AB$2:$AQ$1001,MATCH(ROWS($U$2:U34),$U$2:$U$1001,0),MATCH(COLUMNS($AB$1006:AL1006),$AB$1006:$AQ$1006,0)), HYPERLINK("#",""), HYPERLINK(CONCATENATE("#Metadata!", ADDRESS(INDEX($W$2:$W$1001,MATCH(ROWS($U$2:U34),$U$2:$U$1001,0),0), INDEX($AB$1004:$AQ$1004,1,MATCH(COLUMNS($AB$1006:AL1006),$AB$1006:$AQ$1006,0)))),"Fix")))</f>
        <v>0</v>
      </c>
      <c r="M34" s="5">
        <f>IF(OR(INDEX($V$2:$V$1001,MATCH(ROWS($U$2:U34),$U$2:$U$1001,0),1)&gt;=100000,INDEX($AB$1005:$AQ$1005,1,MATCH(COLUMNS($AB$1006:AM1006),$AB$1006:$AQ$1006,0))&gt;=100000), " ",IF(INDEX($AB$2:$AQ$1001,MATCH(ROWS($U$2:U34),$U$2:$U$1001,0),MATCH(COLUMNS($AB$1006:AM1006),$AB$1006:$AQ$1006,0)), HYPERLINK("#",""), HYPERLINK(CONCATENATE("#Metadata!", ADDRESS(INDEX($W$2:$W$1001,MATCH(ROWS($U$2:U34),$U$2:$U$1001,0),0), INDEX($AB$1004:$AQ$1004,1,MATCH(COLUMNS($AB$1006:AM1006),$AB$1006:$AQ$1006,0)))),"Fix")))</f>
        <v>0</v>
      </c>
      <c r="N34" s="5">
        <f>IF(OR(INDEX($V$2:$V$1001,MATCH(ROWS($U$2:U34),$U$2:$U$1001,0),1)&gt;=100000,INDEX($AB$1005:$AQ$1005,1,MATCH(COLUMNS($AB$1006:AN1006),$AB$1006:$AQ$1006,0))&gt;=100000), " ",IF(INDEX($AB$2:$AQ$1001,MATCH(ROWS($U$2:U34),$U$2:$U$1001,0),MATCH(COLUMNS($AB$1006:AN1006),$AB$1006:$AQ$1006,0)), HYPERLINK("#",""), HYPERLINK(CONCATENATE("#Metadata!", ADDRESS(INDEX($W$2:$W$1001,MATCH(ROWS($U$2:U34),$U$2:$U$1001,0),0), INDEX($AB$1004:$AQ$1004,1,MATCH(COLUMNS($AB$1006:AN1006),$AB$1006:$AQ$1006,0)))),"Fix")))</f>
        <v>0</v>
      </c>
      <c r="O34" s="5">
        <f>IF(OR(INDEX($V$2:$V$1001,MATCH(ROWS($U$2:U34),$U$2:$U$1001,0),1)&gt;=100000,INDEX($AB$1005:$AQ$1005,1,MATCH(COLUMNS($AB$1006:AO1006),$AB$1006:$AQ$1006,0))&gt;=100000), " ",IF(INDEX($AB$2:$AQ$1001,MATCH(ROWS($U$2:U34),$U$2:$U$1001,0),MATCH(COLUMNS($AB$1006:AO1006),$AB$1006:$AQ$1006,0)), HYPERLINK("#",""), HYPERLINK(CONCATENATE("#Metadata!", ADDRESS(INDEX($W$2:$W$1001,MATCH(ROWS($U$2:U34),$U$2:$U$1001,0),0), INDEX($AB$1004:$AQ$1004,1,MATCH(COLUMNS($AB$1006:AO1006),$AB$1006:$AQ$1006,0)))),"Fix")))</f>
        <v>0</v>
      </c>
      <c r="P34" s="5">
        <f>IF(OR(INDEX($V$2:$V$1001,MATCH(ROWS($U$2:U34),$U$2:$U$1001,0),1)&gt;=100000,INDEX($AB$1005:$AQ$1005,1,MATCH(COLUMNS($AB$1006:AP1006),$AB$1006:$AQ$1006,0))&gt;=100000), " ",IF(INDEX($AB$2:$AQ$1001,MATCH(ROWS($U$2:U34),$U$2:$U$1001,0),MATCH(COLUMNS($AB$1006:AP1006),$AB$1006:$AQ$1006,0)), HYPERLINK("#",""), HYPERLINK(CONCATENATE("#Metadata!", ADDRESS(INDEX($W$2:$W$1001,MATCH(ROWS($U$2:U34),$U$2:$U$1001,0),0), INDEX($AB$1004:$AQ$1004,1,MATCH(COLUMNS($AB$1006:AP1006),$AB$1006:$AQ$1006,0)))),"Fix")))</f>
        <v>0</v>
      </c>
      <c r="Q34" s="5">
        <f>IF(OR(INDEX($V$2:$V$1001,MATCH(ROWS($U$2:U34),$U$2:$U$1001,0),1)&gt;=100000,INDEX($AB$1005:$AQ$1005,1,MATCH(COLUMNS($AB$1006:AQ1006),$AB$1006:$AQ$1006,0))&gt;=100000), " ",IF(INDEX($AB$2:$AQ$1001,MATCH(ROWS($U$2:U34),$U$2:$U$1001,0),MATCH(COLUMNS($AB$1006:AQ1006),$AB$1006:$AQ$1006,0)), HYPERLINK("#",""), HYPERLINK(CONCATENATE("#Metadata!", ADDRESS(INDEX($W$2:$W$1001,MATCH(ROWS($U$2:U34),$U$2:$U$1001,0),0), INDEX($AB$1004:$AQ$1004,1,MATCH(COLUMNS($AB$1006:AQ1006),$AB$1006:$AQ$1006,0)))),"Fix")))</f>
        <v>0</v>
      </c>
      <c r="U34">
        <v>0</v>
      </c>
      <c r="V34">
        <v>0</v>
      </c>
      <c r="W34">
        <v>0</v>
      </c>
      <c r="X34">
        <f>IF(Y34,TRUE,AND(AB34:AQ34))</f>
        <v>0</v>
      </c>
      <c r="Y34">
        <f>COUNTBLANK(Metadata!B34:Q34)=COLUMNS(Metadata!B34:Q34)</f>
        <v>0</v>
      </c>
      <c r="Z34">
        <v>0</v>
      </c>
      <c r="AB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AC34">
        <f>AND(IF(Metadata!C34="",FALSE,TRUE),exact(Metadata!C34,"urban biome"))</f>
        <v>0</v>
      </c>
      <c r="AD34">
        <f>AND(IF(Metadata!D34="",FALSE,TRUE),exact(Metadata!D34,"human-associated habitat"))</f>
        <v>0</v>
      </c>
      <c r="AE34">
        <f>AND(IF(Metadata!E34="",FALSE,TRUE),OR(exact(Metadata!E34,"human-associated"),exact(Metadata!E34,"human-skin"),exact(Metadata!E34,"human-oral"),exact(Metadata!E34,"human-gut"),exact(Metadata!E34,"human-vaginal")))</f>
        <v>0</v>
      </c>
      <c r="AF34">
        <f>AND(IF(Metadata!F34="",FALSE,ISNUMBER(VALUE(Metadata!F34))),Metadata!F34&gt;0)</f>
        <v>0</v>
      </c>
      <c r="AG34">
        <f>AND(IF(Metadata!G34="",FALSE,TRUE),exact(Metadata!G34,"years"))</f>
        <v>0</v>
      </c>
      <c r="AH34">
        <f>OR(AND(IF(Metadata!H34="",FALSE,TRUE),OR(exact(Metadata!H34,"not applicable"),exact(Metadata!H34,"not collected"),exact(Metadata!H34,"not provided"),exact(Metadata!H34,"restricted access"))),AND(IF(Metadata!H34="",FALSE,ISNUMBER(VALUE(Metadata!H34))),Metadata!H34&gt;0))</f>
        <v>0</v>
      </c>
      <c r="AI34">
        <f>AND(IF(Metadata!I34="",FALSE,TRUE),exact(Metadata!I34,"human"))</f>
        <v>0</v>
      </c>
      <c r="AJ34">
        <f>AND(IF(Metadata!J34="",FALSE,ISNUMBER(VALUE(Metadata!J34))),Metadata!J34&gt;0)</f>
        <v>0</v>
      </c>
      <c r="AK34">
        <f>AND(IF(Metadata!K34="",FALSE,TRUE),exact(Metadata!K34,"cm"))</f>
        <v>0</v>
      </c>
      <c r="AL34">
        <f>AND(IF(Metadata!L34="",FALSE,TRUE),exact(Metadata!L34,"Homo sapiens"))</f>
        <v>0</v>
      </c>
      <c r="AM34">
        <f>AND(IF(Metadata!M34="",FALSE,TRUE),exact(Metadata!M34,"9606"))</f>
        <v>0</v>
      </c>
      <c r="AN34">
        <f>AND(IF(Metadata!N34="",FALSE,ISNUMBER(VALUE(Metadata!N34))),Metadata!N34&gt;0)</f>
        <v>0</v>
      </c>
      <c r="AO34">
        <f>AND(IF(Metadata!O34="",FALSE,TRUE),exact(Metadata!O34,"kg"))</f>
        <v>0</v>
      </c>
      <c r="AP34">
        <f>OR(AND(IF(Metadata!P34="",FALSE,TRUE),exact(Metadata!P34,"not provided")),IF(Metadata!P34="",FALSE,TRUE))</f>
        <v>0</v>
      </c>
      <c r="AQ34">
        <f>OR(AND(IF(Metadata!Q34="",FALSE,TRUE),exact(Metadata!Q34,"not provided")),IF(Metadata!Q34="",FALSE,TRUE))</f>
        <v>0</v>
      </c>
    </row>
    <row r="35" spans="1:43">
      <c r="A35" s="4">
        <f>IF(B35=" "," ",HYPERLINK(CONCATENATE("#metadata!",ADDRESS(INDEX($W$2:$W$1001,MATCH(ROWS($U$2:U35),$U$2:$U$1001,0),0),2)),INDEX($Z$2:$Z$1001,MATCH(ROWS($U$2:U35),$U$2:$U$1001,0),0)))</f>
        <v>0</v>
      </c>
      <c r="B35" s="5">
        <f>IF(OR(INDEX($V$2:$V$1001,MATCH(ROWS($U$2:U35),$U$2:$U$1001,0),1)&gt;=100000,INDEX($AB$1005:$AQ$1005,1,MATCH(COLUMNS($AB$1006:AB1006),$AB$1006:$AQ$1006,0))&gt;=100000), " ",IF(INDEX($AB$2:$AQ$1001,MATCH(ROWS($U$2:U35),$U$2:$U$1001,0),MATCH(COLUMNS($AB$1006:AB1006),$AB$1006:$AQ$1006,0)), HYPERLINK("#",""), HYPERLINK(CONCATENATE("#Metadata!", ADDRESS(INDEX($W$2:$W$1001,MATCH(ROWS($U$2:U35),$U$2:$U$1001,0),0), INDEX($AB$1004:$AQ$1004,1,MATCH(COLUMNS($AB$1006:AB1006),$AB$1006:$AQ$1006,0)))),"Fix")))</f>
        <v>0</v>
      </c>
      <c r="C35" s="5">
        <f>IF(OR(INDEX($V$2:$V$1001,MATCH(ROWS($U$2:U35),$U$2:$U$1001,0),1)&gt;=100000,INDEX($AB$1005:$AQ$1005,1,MATCH(COLUMNS($AB$1006:AC1006),$AB$1006:$AQ$1006,0))&gt;=100000), " ",IF(INDEX($AB$2:$AQ$1001,MATCH(ROWS($U$2:U35),$U$2:$U$1001,0),MATCH(COLUMNS($AB$1006:AC1006),$AB$1006:$AQ$1006,0)), HYPERLINK("#",""), HYPERLINK(CONCATENATE("#Metadata!", ADDRESS(INDEX($W$2:$W$1001,MATCH(ROWS($U$2:U35),$U$2:$U$1001,0),0), INDEX($AB$1004:$AQ$1004,1,MATCH(COLUMNS($AB$1006:AC1006),$AB$1006:$AQ$1006,0)))),"Fix")))</f>
        <v>0</v>
      </c>
      <c r="D35" s="5">
        <f>IF(OR(INDEX($V$2:$V$1001,MATCH(ROWS($U$2:U35),$U$2:$U$1001,0),1)&gt;=100000,INDEX($AB$1005:$AQ$1005,1,MATCH(COLUMNS($AB$1006:AD1006),$AB$1006:$AQ$1006,0))&gt;=100000), " ",IF(INDEX($AB$2:$AQ$1001,MATCH(ROWS($U$2:U35),$U$2:$U$1001,0),MATCH(COLUMNS($AB$1006:AD1006),$AB$1006:$AQ$1006,0)), HYPERLINK("#",""), HYPERLINK(CONCATENATE("#Metadata!", ADDRESS(INDEX($W$2:$W$1001,MATCH(ROWS($U$2:U35),$U$2:$U$1001,0),0), INDEX($AB$1004:$AQ$1004,1,MATCH(COLUMNS($AB$1006:AD1006),$AB$1006:$AQ$1006,0)))),"Fix")))</f>
        <v>0</v>
      </c>
      <c r="E35" s="5">
        <f>IF(OR(INDEX($V$2:$V$1001,MATCH(ROWS($U$2:U35),$U$2:$U$1001,0),1)&gt;=100000,INDEX($AB$1005:$AQ$1005,1,MATCH(COLUMNS($AB$1006:AE1006),$AB$1006:$AQ$1006,0))&gt;=100000), " ",IF(INDEX($AB$2:$AQ$1001,MATCH(ROWS($U$2:U35),$U$2:$U$1001,0),MATCH(COLUMNS($AB$1006:AE1006),$AB$1006:$AQ$1006,0)), HYPERLINK("#",""), HYPERLINK(CONCATENATE("#Metadata!", ADDRESS(INDEX($W$2:$W$1001,MATCH(ROWS($U$2:U35),$U$2:$U$1001,0),0), INDEX($AB$1004:$AQ$1004,1,MATCH(COLUMNS($AB$1006:AE1006),$AB$1006:$AQ$1006,0)))),"Fix")))</f>
        <v>0</v>
      </c>
      <c r="F35" s="5">
        <f>IF(OR(INDEX($V$2:$V$1001,MATCH(ROWS($U$2:U35),$U$2:$U$1001,0),1)&gt;=100000,INDEX($AB$1005:$AQ$1005,1,MATCH(COLUMNS($AB$1006:AF1006),$AB$1006:$AQ$1006,0))&gt;=100000), " ",IF(INDEX($AB$2:$AQ$1001,MATCH(ROWS($U$2:U35),$U$2:$U$1001,0),MATCH(COLUMNS($AB$1006:AF1006),$AB$1006:$AQ$1006,0)), HYPERLINK("#",""), HYPERLINK(CONCATENATE("#Metadata!", ADDRESS(INDEX($W$2:$W$1001,MATCH(ROWS($U$2:U35),$U$2:$U$1001,0),0), INDEX($AB$1004:$AQ$1004,1,MATCH(COLUMNS($AB$1006:AF1006),$AB$1006:$AQ$1006,0)))),"Fix")))</f>
        <v>0</v>
      </c>
      <c r="G35" s="5">
        <f>IF(OR(INDEX($V$2:$V$1001,MATCH(ROWS($U$2:U35),$U$2:$U$1001,0),1)&gt;=100000,INDEX($AB$1005:$AQ$1005,1,MATCH(COLUMNS($AB$1006:AG1006),$AB$1006:$AQ$1006,0))&gt;=100000), " ",IF(INDEX($AB$2:$AQ$1001,MATCH(ROWS($U$2:U35),$U$2:$U$1001,0),MATCH(COLUMNS($AB$1006:AG1006),$AB$1006:$AQ$1006,0)), HYPERLINK("#",""), HYPERLINK(CONCATENATE("#Metadata!", ADDRESS(INDEX($W$2:$W$1001,MATCH(ROWS($U$2:U35),$U$2:$U$1001,0),0), INDEX($AB$1004:$AQ$1004,1,MATCH(COLUMNS($AB$1006:AG1006),$AB$1006:$AQ$1006,0)))),"Fix")))</f>
        <v>0</v>
      </c>
      <c r="H35" s="5">
        <f>IF(OR(INDEX($V$2:$V$1001,MATCH(ROWS($U$2:U35),$U$2:$U$1001,0),1)&gt;=100000,INDEX($AB$1005:$AQ$1005,1,MATCH(COLUMNS($AB$1006:AH1006),$AB$1006:$AQ$1006,0))&gt;=100000), " ",IF(INDEX($AB$2:$AQ$1001,MATCH(ROWS($U$2:U35),$U$2:$U$1001,0),MATCH(COLUMNS($AB$1006:AH1006),$AB$1006:$AQ$1006,0)), HYPERLINK("#",""), HYPERLINK(CONCATENATE("#Metadata!", ADDRESS(INDEX($W$2:$W$1001,MATCH(ROWS($U$2:U35),$U$2:$U$1001,0),0), INDEX($AB$1004:$AQ$1004,1,MATCH(COLUMNS($AB$1006:AH1006),$AB$1006:$AQ$1006,0)))),"Fix")))</f>
        <v>0</v>
      </c>
      <c r="I35" s="5">
        <f>IF(OR(INDEX($V$2:$V$1001,MATCH(ROWS($U$2:U35),$U$2:$U$1001,0),1)&gt;=100000,INDEX($AB$1005:$AQ$1005,1,MATCH(COLUMNS($AB$1006:AI1006),$AB$1006:$AQ$1006,0))&gt;=100000), " ",IF(INDEX($AB$2:$AQ$1001,MATCH(ROWS($U$2:U35),$U$2:$U$1001,0),MATCH(COLUMNS($AB$1006:AI1006),$AB$1006:$AQ$1006,0)), HYPERLINK("#",""), HYPERLINK(CONCATENATE("#Metadata!", ADDRESS(INDEX($W$2:$W$1001,MATCH(ROWS($U$2:U35),$U$2:$U$1001,0),0), INDEX($AB$1004:$AQ$1004,1,MATCH(COLUMNS($AB$1006:AI1006),$AB$1006:$AQ$1006,0)))),"Fix")))</f>
        <v>0</v>
      </c>
      <c r="J35" s="5">
        <f>IF(OR(INDEX($V$2:$V$1001,MATCH(ROWS($U$2:U35),$U$2:$U$1001,0),1)&gt;=100000,INDEX($AB$1005:$AQ$1005,1,MATCH(COLUMNS($AB$1006:AJ1006),$AB$1006:$AQ$1006,0))&gt;=100000), " ",IF(INDEX($AB$2:$AQ$1001,MATCH(ROWS($U$2:U35),$U$2:$U$1001,0),MATCH(COLUMNS($AB$1006:AJ1006),$AB$1006:$AQ$1006,0)), HYPERLINK("#",""), HYPERLINK(CONCATENATE("#Metadata!", ADDRESS(INDEX($W$2:$W$1001,MATCH(ROWS($U$2:U35),$U$2:$U$1001,0),0), INDEX($AB$1004:$AQ$1004,1,MATCH(COLUMNS($AB$1006:AJ1006),$AB$1006:$AQ$1006,0)))),"Fix")))</f>
        <v>0</v>
      </c>
      <c r="K35" s="5">
        <f>IF(OR(INDEX($V$2:$V$1001,MATCH(ROWS($U$2:U35),$U$2:$U$1001,0),1)&gt;=100000,INDEX($AB$1005:$AQ$1005,1,MATCH(COLUMNS($AB$1006:AK1006),$AB$1006:$AQ$1006,0))&gt;=100000), " ",IF(INDEX($AB$2:$AQ$1001,MATCH(ROWS($U$2:U35),$U$2:$U$1001,0),MATCH(COLUMNS($AB$1006:AK1006),$AB$1006:$AQ$1006,0)), HYPERLINK("#",""), HYPERLINK(CONCATENATE("#Metadata!", ADDRESS(INDEX($W$2:$W$1001,MATCH(ROWS($U$2:U35),$U$2:$U$1001,0),0), INDEX($AB$1004:$AQ$1004,1,MATCH(COLUMNS($AB$1006:AK1006),$AB$1006:$AQ$1006,0)))),"Fix")))</f>
        <v>0</v>
      </c>
      <c r="L35" s="5">
        <f>IF(OR(INDEX($V$2:$V$1001,MATCH(ROWS($U$2:U35),$U$2:$U$1001,0),1)&gt;=100000,INDEX($AB$1005:$AQ$1005,1,MATCH(COLUMNS($AB$1006:AL1006),$AB$1006:$AQ$1006,0))&gt;=100000), " ",IF(INDEX($AB$2:$AQ$1001,MATCH(ROWS($U$2:U35),$U$2:$U$1001,0),MATCH(COLUMNS($AB$1006:AL1006),$AB$1006:$AQ$1006,0)), HYPERLINK("#",""), HYPERLINK(CONCATENATE("#Metadata!", ADDRESS(INDEX($W$2:$W$1001,MATCH(ROWS($U$2:U35),$U$2:$U$1001,0),0), INDEX($AB$1004:$AQ$1004,1,MATCH(COLUMNS($AB$1006:AL1006),$AB$1006:$AQ$1006,0)))),"Fix")))</f>
        <v>0</v>
      </c>
      <c r="M35" s="5">
        <f>IF(OR(INDEX($V$2:$V$1001,MATCH(ROWS($U$2:U35),$U$2:$U$1001,0),1)&gt;=100000,INDEX($AB$1005:$AQ$1005,1,MATCH(COLUMNS($AB$1006:AM1006),$AB$1006:$AQ$1006,0))&gt;=100000), " ",IF(INDEX($AB$2:$AQ$1001,MATCH(ROWS($U$2:U35),$U$2:$U$1001,0),MATCH(COLUMNS($AB$1006:AM1006),$AB$1006:$AQ$1006,0)), HYPERLINK("#",""), HYPERLINK(CONCATENATE("#Metadata!", ADDRESS(INDEX($W$2:$W$1001,MATCH(ROWS($U$2:U35),$U$2:$U$1001,0),0), INDEX($AB$1004:$AQ$1004,1,MATCH(COLUMNS($AB$1006:AM1006),$AB$1006:$AQ$1006,0)))),"Fix")))</f>
        <v>0</v>
      </c>
      <c r="N35" s="5">
        <f>IF(OR(INDEX($V$2:$V$1001,MATCH(ROWS($U$2:U35),$U$2:$U$1001,0),1)&gt;=100000,INDEX($AB$1005:$AQ$1005,1,MATCH(COLUMNS($AB$1006:AN1006),$AB$1006:$AQ$1006,0))&gt;=100000), " ",IF(INDEX($AB$2:$AQ$1001,MATCH(ROWS($U$2:U35),$U$2:$U$1001,0),MATCH(COLUMNS($AB$1006:AN1006),$AB$1006:$AQ$1006,0)), HYPERLINK("#",""), HYPERLINK(CONCATENATE("#Metadata!", ADDRESS(INDEX($W$2:$W$1001,MATCH(ROWS($U$2:U35),$U$2:$U$1001,0),0), INDEX($AB$1004:$AQ$1004,1,MATCH(COLUMNS($AB$1006:AN1006),$AB$1006:$AQ$1006,0)))),"Fix")))</f>
        <v>0</v>
      </c>
      <c r="O35" s="5">
        <f>IF(OR(INDEX($V$2:$V$1001,MATCH(ROWS($U$2:U35),$U$2:$U$1001,0),1)&gt;=100000,INDEX($AB$1005:$AQ$1005,1,MATCH(COLUMNS($AB$1006:AO1006),$AB$1006:$AQ$1006,0))&gt;=100000), " ",IF(INDEX($AB$2:$AQ$1001,MATCH(ROWS($U$2:U35),$U$2:$U$1001,0),MATCH(COLUMNS($AB$1006:AO1006),$AB$1006:$AQ$1006,0)), HYPERLINK("#",""), HYPERLINK(CONCATENATE("#Metadata!", ADDRESS(INDEX($W$2:$W$1001,MATCH(ROWS($U$2:U35),$U$2:$U$1001,0),0), INDEX($AB$1004:$AQ$1004,1,MATCH(COLUMNS($AB$1006:AO1006),$AB$1006:$AQ$1006,0)))),"Fix")))</f>
        <v>0</v>
      </c>
      <c r="P35" s="5">
        <f>IF(OR(INDEX($V$2:$V$1001,MATCH(ROWS($U$2:U35),$U$2:$U$1001,0),1)&gt;=100000,INDEX($AB$1005:$AQ$1005,1,MATCH(COLUMNS($AB$1006:AP1006),$AB$1006:$AQ$1006,0))&gt;=100000), " ",IF(INDEX($AB$2:$AQ$1001,MATCH(ROWS($U$2:U35),$U$2:$U$1001,0),MATCH(COLUMNS($AB$1006:AP1006),$AB$1006:$AQ$1006,0)), HYPERLINK("#",""), HYPERLINK(CONCATENATE("#Metadata!", ADDRESS(INDEX($W$2:$W$1001,MATCH(ROWS($U$2:U35),$U$2:$U$1001,0),0), INDEX($AB$1004:$AQ$1004,1,MATCH(COLUMNS($AB$1006:AP1006),$AB$1006:$AQ$1006,0)))),"Fix")))</f>
        <v>0</v>
      </c>
      <c r="Q35" s="5">
        <f>IF(OR(INDEX($V$2:$V$1001,MATCH(ROWS($U$2:U35),$U$2:$U$1001,0),1)&gt;=100000,INDEX($AB$1005:$AQ$1005,1,MATCH(COLUMNS($AB$1006:AQ1006),$AB$1006:$AQ$1006,0))&gt;=100000), " ",IF(INDEX($AB$2:$AQ$1001,MATCH(ROWS($U$2:U35),$U$2:$U$1001,0),MATCH(COLUMNS($AB$1006:AQ1006),$AB$1006:$AQ$1006,0)), HYPERLINK("#",""), HYPERLINK(CONCATENATE("#Metadata!", ADDRESS(INDEX($W$2:$W$1001,MATCH(ROWS($U$2:U35),$U$2:$U$1001,0),0), INDEX($AB$1004:$AQ$1004,1,MATCH(COLUMNS($AB$1006:AQ1006),$AB$1006:$AQ$1006,0)))),"Fix")))</f>
        <v>0</v>
      </c>
      <c r="U35">
        <v>0</v>
      </c>
      <c r="V35">
        <v>0</v>
      </c>
      <c r="W35">
        <v>0</v>
      </c>
      <c r="X35">
        <f>IF(Y35,TRUE,AND(AB35:AQ35))</f>
        <v>0</v>
      </c>
      <c r="Y35">
        <f>COUNTBLANK(Metadata!B35:Q35)=COLUMNS(Metadata!B35:Q35)</f>
        <v>0</v>
      </c>
      <c r="Z35">
        <v>0</v>
      </c>
      <c r="AB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AC35">
        <f>AND(IF(Metadata!C35="",FALSE,TRUE),exact(Metadata!C35,"urban biome"))</f>
        <v>0</v>
      </c>
      <c r="AD35">
        <f>AND(IF(Metadata!D35="",FALSE,TRUE),exact(Metadata!D35,"human-associated habitat"))</f>
        <v>0</v>
      </c>
      <c r="AE35">
        <f>AND(IF(Metadata!E35="",FALSE,TRUE),OR(exact(Metadata!E35,"human-associated"),exact(Metadata!E35,"human-skin"),exact(Metadata!E35,"human-oral"),exact(Metadata!E35,"human-gut"),exact(Metadata!E35,"human-vaginal")))</f>
        <v>0</v>
      </c>
      <c r="AF35">
        <f>AND(IF(Metadata!F35="",FALSE,ISNUMBER(VALUE(Metadata!F35))),Metadata!F35&gt;0)</f>
        <v>0</v>
      </c>
      <c r="AG35">
        <f>AND(IF(Metadata!G35="",FALSE,TRUE),exact(Metadata!G35,"years"))</f>
        <v>0</v>
      </c>
      <c r="AH35">
        <f>OR(AND(IF(Metadata!H35="",FALSE,TRUE),OR(exact(Metadata!H35,"not applicable"),exact(Metadata!H35,"not collected"),exact(Metadata!H35,"not provided"),exact(Metadata!H35,"restricted access"))),AND(IF(Metadata!H35="",FALSE,ISNUMBER(VALUE(Metadata!H35))),Metadata!H35&gt;0))</f>
        <v>0</v>
      </c>
      <c r="AI35">
        <f>AND(IF(Metadata!I35="",FALSE,TRUE),exact(Metadata!I35,"human"))</f>
        <v>0</v>
      </c>
      <c r="AJ35">
        <f>AND(IF(Metadata!J35="",FALSE,ISNUMBER(VALUE(Metadata!J35))),Metadata!J35&gt;0)</f>
        <v>0</v>
      </c>
      <c r="AK35">
        <f>AND(IF(Metadata!K35="",FALSE,TRUE),exact(Metadata!K35,"cm"))</f>
        <v>0</v>
      </c>
      <c r="AL35">
        <f>AND(IF(Metadata!L35="",FALSE,TRUE),exact(Metadata!L35,"Homo sapiens"))</f>
        <v>0</v>
      </c>
      <c r="AM35">
        <f>AND(IF(Metadata!M35="",FALSE,TRUE),exact(Metadata!M35,"9606"))</f>
        <v>0</v>
      </c>
      <c r="AN35">
        <f>AND(IF(Metadata!N35="",FALSE,ISNUMBER(VALUE(Metadata!N35))),Metadata!N35&gt;0)</f>
        <v>0</v>
      </c>
      <c r="AO35">
        <f>AND(IF(Metadata!O35="",FALSE,TRUE),exact(Metadata!O35,"kg"))</f>
        <v>0</v>
      </c>
      <c r="AP35">
        <f>OR(AND(IF(Metadata!P35="",FALSE,TRUE),exact(Metadata!P35,"not provided")),IF(Metadata!P35="",FALSE,TRUE))</f>
        <v>0</v>
      </c>
      <c r="AQ35">
        <f>OR(AND(IF(Metadata!Q35="",FALSE,TRUE),exact(Metadata!Q35,"not provided")),IF(Metadata!Q35="",FALSE,TRUE))</f>
        <v>0</v>
      </c>
    </row>
    <row r="36" spans="1:43">
      <c r="A36" s="4">
        <f>IF(B36=" "," ",HYPERLINK(CONCATENATE("#metadata!",ADDRESS(INDEX($W$2:$W$1001,MATCH(ROWS($U$2:U36),$U$2:$U$1001,0),0),2)),INDEX($Z$2:$Z$1001,MATCH(ROWS($U$2:U36),$U$2:$U$1001,0),0)))</f>
        <v>0</v>
      </c>
      <c r="B36" s="5">
        <f>IF(OR(INDEX($V$2:$V$1001,MATCH(ROWS($U$2:U36),$U$2:$U$1001,0),1)&gt;=100000,INDEX($AB$1005:$AQ$1005,1,MATCH(COLUMNS($AB$1006:AB1006),$AB$1006:$AQ$1006,0))&gt;=100000), " ",IF(INDEX($AB$2:$AQ$1001,MATCH(ROWS($U$2:U36),$U$2:$U$1001,0),MATCH(COLUMNS($AB$1006:AB1006),$AB$1006:$AQ$1006,0)), HYPERLINK("#",""), HYPERLINK(CONCATENATE("#Metadata!", ADDRESS(INDEX($W$2:$W$1001,MATCH(ROWS($U$2:U36),$U$2:$U$1001,0),0), INDEX($AB$1004:$AQ$1004,1,MATCH(COLUMNS($AB$1006:AB1006),$AB$1006:$AQ$1006,0)))),"Fix")))</f>
        <v>0</v>
      </c>
      <c r="C36" s="5">
        <f>IF(OR(INDEX($V$2:$V$1001,MATCH(ROWS($U$2:U36),$U$2:$U$1001,0),1)&gt;=100000,INDEX($AB$1005:$AQ$1005,1,MATCH(COLUMNS($AB$1006:AC1006),$AB$1006:$AQ$1006,0))&gt;=100000), " ",IF(INDEX($AB$2:$AQ$1001,MATCH(ROWS($U$2:U36),$U$2:$U$1001,0),MATCH(COLUMNS($AB$1006:AC1006),$AB$1006:$AQ$1006,0)), HYPERLINK("#",""), HYPERLINK(CONCATENATE("#Metadata!", ADDRESS(INDEX($W$2:$W$1001,MATCH(ROWS($U$2:U36),$U$2:$U$1001,0),0), INDEX($AB$1004:$AQ$1004,1,MATCH(COLUMNS($AB$1006:AC1006),$AB$1006:$AQ$1006,0)))),"Fix")))</f>
        <v>0</v>
      </c>
      <c r="D36" s="5">
        <f>IF(OR(INDEX($V$2:$V$1001,MATCH(ROWS($U$2:U36),$U$2:$U$1001,0),1)&gt;=100000,INDEX($AB$1005:$AQ$1005,1,MATCH(COLUMNS($AB$1006:AD1006),$AB$1006:$AQ$1006,0))&gt;=100000), " ",IF(INDEX($AB$2:$AQ$1001,MATCH(ROWS($U$2:U36),$U$2:$U$1001,0),MATCH(COLUMNS($AB$1006:AD1006),$AB$1006:$AQ$1006,0)), HYPERLINK("#",""), HYPERLINK(CONCATENATE("#Metadata!", ADDRESS(INDEX($W$2:$W$1001,MATCH(ROWS($U$2:U36),$U$2:$U$1001,0),0), INDEX($AB$1004:$AQ$1004,1,MATCH(COLUMNS($AB$1006:AD1006),$AB$1006:$AQ$1006,0)))),"Fix")))</f>
        <v>0</v>
      </c>
      <c r="E36" s="5">
        <f>IF(OR(INDEX($V$2:$V$1001,MATCH(ROWS($U$2:U36),$U$2:$U$1001,0),1)&gt;=100000,INDEX($AB$1005:$AQ$1005,1,MATCH(COLUMNS($AB$1006:AE1006),$AB$1006:$AQ$1006,0))&gt;=100000), " ",IF(INDEX($AB$2:$AQ$1001,MATCH(ROWS($U$2:U36),$U$2:$U$1001,0),MATCH(COLUMNS($AB$1006:AE1006),$AB$1006:$AQ$1006,0)), HYPERLINK("#",""), HYPERLINK(CONCATENATE("#Metadata!", ADDRESS(INDEX($W$2:$W$1001,MATCH(ROWS($U$2:U36),$U$2:$U$1001,0),0), INDEX($AB$1004:$AQ$1004,1,MATCH(COLUMNS($AB$1006:AE1006),$AB$1006:$AQ$1006,0)))),"Fix")))</f>
        <v>0</v>
      </c>
      <c r="F36" s="5">
        <f>IF(OR(INDEX($V$2:$V$1001,MATCH(ROWS($U$2:U36),$U$2:$U$1001,0),1)&gt;=100000,INDEX($AB$1005:$AQ$1005,1,MATCH(COLUMNS($AB$1006:AF1006),$AB$1006:$AQ$1006,0))&gt;=100000), " ",IF(INDEX($AB$2:$AQ$1001,MATCH(ROWS($U$2:U36),$U$2:$U$1001,0),MATCH(COLUMNS($AB$1006:AF1006),$AB$1006:$AQ$1006,0)), HYPERLINK("#",""), HYPERLINK(CONCATENATE("#Metadata!", ADDRESS(INDEX($W$2:$W$1001,MATCH(ROWS($U$2:U36),$U$2:$U$1001,0),0), INDEX($AB$1004:$AQ$1004,1,MATCH(COLUMNS($AB$1006:AF1006),$AB$1006:$AQ$1006,0)))),"Fix")))</f>
        <v>0</v>
      </c>
      <c r="G36" s="5">
        <f>IF(OR(INDEX($V$2:$V$1001,MATCH(ROWS($U$2:U36),$U$2:$U$1001,0),1)&gt;=100000,INDEX($AB$1005:$AQ$1005,1,MATCH(COLUMNS($AB$1006:AG1006),$AB$1006:$AQ$1006,0))&gt;=100000), " ",IF(INDEX($AB$2:$AQ$1001,MATCH(ROWS($U$2:U36),$U$2:$U$1001,0),MATCH(COLUMNS($AB$1006:AG1006),$AB$1006:$AQ$1006,0)), HYPERLINK("#",""), HYPERLINK(CONCATENATE("#Metadata!", ADDRESS(INDEX($W$2:$W$1001,MATCH(ROWS($U$2:U36),$U$2:$U$1001,0),0), INDEX($AB$1004:$AQ$1004,1,MATCH(COLUMNS($AB$1006:AG1006),$AB$1006:$AQ$1006,0)))),"Fix")))</f>
        <v>0</v>
      </c>
      <c r="H36" s="5">
        <f>IF(OR(INDEX($V$2:$V$1001,MATCH(ROWS($U$2:U36),$U$2:$U$1001,0),1)&gt;=100000,INDEX($AB$1005:$AQ$1005,1,MATCH(COLUMNS($AB$1006:AH1006),$AB$1006:$AQ$1006,0))&gt;=100000), " ",IF(INDEX($AB$2:$AQ$1001,MATCH(ROWS($U$2:U36),$U$2:$U$1001,0),MATCH(COLUMNS($AB$1006:AH1006),$AB$1006:$AQ$1006,0)), HYPERLINK("#",""), HYPERLINK(CONCATENATE("#Metadata!", ADDRESS(INDEX($W$2:$W$1001,MATCH(ROWS($U$2:U36),$U$2:$U$1001,0),0), INDEX($AB$1004:$AQ$1004,1,MATCH(COLUMNS($AB$1006:AH1006),$AB$1006:$AQ$1006,0)))),"Fix")))</f>
        <v>0</v>
      </c>
      <c r="I36" s="5">
        <f>IF(OR(INDEX($V$2:$V$1001,MATCH(ROWS($U$2:U36),$U$2:$U$1001,0),1)&gt;=100000,INDEX($AB$1005:$AQ$1005,1,MATCH(COLUMNS($AB$1006:AI1006),$AB$1006:$AQ$1006,0))&gt;=100000), " ",IF(INDEX($AB$2:$AQ$1001,MATCH(ROWS($U$2:U36),$U$2:$U$1001,0),MATCH(COLUMNS($AB$1006:AI1006),$AB$1006:$AQ$1006,0)), HYPERLINK("#",""), HYPERLINK(CONCATENATE("#Metadata!", ADDRESS(INDEX($W$2:$W$1001,MATCH(ROWS($U$2:U36),$U$2:$U$1001,0),0), INDEX($AB$1004:$AQ$1004,1,MATCH(COLUMNS($AB$1006:AI1006),$AB$1006:$AQ$1006,0)))),"Fix")))</f>
        <v>0</v>
      </c>
      <c r="J36" s="5">
        <f>IF(OR(INDEX($V$2:$V$1001,MATCH(ROWS($U$2:U36),$U$2:$U$1001,0),1)&gt;=100000,INDEX($AB$1005:$AQ$1005,1,MATCH(COLUMNS($AB$1006:AJ1006),$AB$1006:$AQ$1006,0))&gt;=100000), " ",IF(INDEX($AB$2:$AQ$1001,MATCH(ROWS($U$2:U36),$U$2:$U$1001,0),MATCH(COLUMNS($AB$1006:AJ1006),$AB$1006:$AQ$1006,0)), HYPERLINK("#",""), HYPERLINK(CONCATENATE("#Metadata!", ADDRESS(INDEX($W$2:$W$1001,MATCH(ROWS($U$2:U36),$U$2:$U$1001,0),0), INDEX($AB$1004:$AQ$1004,1,MATCH(COLUMNS($AB$1006:AJ1006),$AB$1006:$AQ$1006,0)))),"Fix")))</f>
        <v>0</v>
      </c>
      <c r="K36" s="5">
        <f>IF(OR(INDEX($V$2:$V$1001,MATCH(ROWS($U$2:U36),$U$2:$U$1001,0),1)&gt;=100000,INDEX($AB$1005:$AQ$1005,1,MATCH(COLUMNS($AB$1006:AK1006),$AB$1006:$AQ$1006,0))&gt;=100000), " ",IF(INDEX($AB$2:$AQ$1001,MATCH(ROWS($U$2:U36),$U$2:$U$1001,0),MATCH(COLUMNS($AB$1006:AK1006),$AB$1006:$AQ$1006,0)), HYPERLINK("#",""), HYPERLINK(CONCATENATE("#Metadata!", ADDRESS(INDEX($W$2:$W$1001,MATCH(ROWS($U$2:U36),$U$2:$U$1001,0),0), INDEX($AB$1004:$AQ$1004,1,MATCH(COLUMNS($AB$1006:AK1006),$AB$1006:$AQ$1006,0)))),"Fix")))</f>
        <v>0</v>
      </c>
      <c r="L36" s="5">
        <f>IF(OR(INDEX($V$2:$V$1001,MATCH(ROWS($U$2:U36),$U$2:$U$1001,0),1)&gt;=100000,INDEX($AB$1005:$AQ$1005,1,MATCH(COLUMNS($AB$1006:AL1006),$AB$1006:$AQ$1006,0))&gt;=100000), " ",IF(INDEX($AB$2:$AQ$1001,MATCH(ROWS($U$2:U36),$U$2:$U$1001,0),MATCH(COLUMNS($AB$1006:AL1006),$AB$1006:$AQ$1006,0)), HYPERLINK("#",""), HYPERLINK(CONCATENATE("#Metadata!", ADDRESS(INDEX($W$2:$W$1001,MATCH(ROWS($U$2:U36),$U$2:$U$1001,0),0), INDEX($AB$1004:$AQ$1004,1,MATCH(COLUMNS($AB$1006:AL1006),$AB$1006:$AQ$1006,0)))),"Fix")))</f>
        <v>0</v>
      </c>
      <c r="M36" s="5">
        <f>IF(OR(INDEX($V$2:$V$1001,MATCH(ROWS($U$2:U36),$U$2:$U$1001,0),1)&gt;=100000,INDEX($AB$1005:$AQ$1005,1,MATCH(COLUMNS($AB$1006:AM1006),$AB$1006:$AQ$1006,0))&gt;=100000), " ",IF(INDEX($AB$2:$AQ$1001,MATCH(ROWS($U$2:U36),$U$2:$U$1001,0),MATCH(COLUMNS($AB$1006:AM1006),$AB$1006:$AQ$1006,0)), HYPERLINK("#",""), HYPERLINK(CONCATENATE("#Metadata!", ADDRESS(INDEX($W$2:$W$1001,MATCH(ROWS($U$2:U36),$U$2:$U$1001,0),0), INDEX($AB$1004:$AQ$1004,1,MATCH(COLUMNS($AB$1006:AM1006),$AB$1006:$AQ$1006,0)))),"Fix")))</f>
        <v>0</v>
      </c>
      <c r="N36" s="5">
        <f>IF(OR(INDEX($V$2:$V$1001,MATCH(ROWS($U$2:U36),$U$2:$U$1001,0),1)&gt;=100000,INDEX($AB$1005:$AQ$1005,1,MATCH(COLUMNS($AB$1006:AN1006),$AB$1006:$AQ$1006,0))&gt;=100000), " ",IF(INDEX($AB$2:$AQ$1001,MATCH(ROWS($U$2:U36),$U$2:$U$1001,0),MATCH(COLUMNS($AB$1006:AN1006),$AB$1006:$AQ$1006,0)), HYPERLINK("#",""), HYPERLINK(CONCATENATE("#Metadata!", ADDRESS(INDEX($W$2:$W$1001,MATCH(ROWS($U$2:U36),$U$2:$U$1001,0),0), INDEX($AB$1004:$AQ$1004,1,MATCH(COLUMNS($AB$1006:AN1006),$AB$1006:$AQ$1006,0)))),"Fix")))</f>
        <v>0</v>
      </c>
      <c r="O36" s="5">
        <f>IF(OR(INDEX($V$2:$V$1001,MATCH(ROWS($U$2:U36),$U$2:$U$1001,0),1)&gt;=100000,INDEX($AB$1005:$AQ$1005,1,MATCH(COLUMNS($AB$1006:AO1006),$AB$1006:$AQ$1006,0))&gt;=100000), " ",IF(INDEX($AB$2:$AQ$1001,MATCH(ROWS($U$2:U36),$U$2:$U$1001,0),MATCH(COLUMNS($AB$1006:AO1006),$AB$1006:$AQ$1006,0)), HYPERLINK("#",""), HYPERLINK(CONCATENATE("#Metadata!", ADDRESS(INDEX($W$2:$W$1001,MATCH(ROWS($U$2:U36),$U$2:$U$1001,0),0), INDEX($AB$1004:$AQ$1004,1,MATCH(COLUMNS($AB$1006:AO1006),$AB$1006:$AQ$1006,0)))),"Fix")))</f>
        <v>0</v>
      </c>
      <c r="P36" s="5">
        <f>IF(OR(INDEX($V$2:$V$1001,MATCH(ROWS($U$2:U36),$U$2:$U$1001,0),1)&gt;=100000,INDEX($AB$1005:$AQ$1005,1,MATCH(COLUMNS($AB$1006:AP1006),$AB$1006:$AQ$1006,0))&gt;=100000), " ",IF(INDEX($AB$2:$AQ$1001,MATCH(ROWS($U$2:U36),$U$2:$U$1001,0),MATCH(COLUMNS($AB$1006:AP1006),$AB$1006:$AQ$1006,0)), HYPERLINK("#",""), HYPERLINK(CONCATENATE("#Metadata!", ADDRESS(INDEX($W$2:$W$1001,MATCH(ROWS($U$2:U36),$U$2:$U$1001,0),0), INDEX($AB$1004:$AQ$1004,1,MATCH(COLUMNS($AB$1006:AP1006),$AB$1006:$AQ$1006,0)))),"Fix")))</f>
        <v>0</v>
      </c>
      <c r="Q36" s="5">
        <f>IF(OR(INDEX($V$2:$V$1001,MATCH(ROWS($U$2:U36),$U$2:$U$1001,0),1)&gt;=100000,INDEX($AB$1005:$AQ$1005,1,MATCH(COLUMNS($AB$1006:AQ1006),$AB$1006:$AQ$1006,0))&gt;=100000), " ",IF(INDEX($AB$2:$AQ$1001,MATCH(ROWS($U$2:U36),$U$2:$U$1001,0),MATCH(COLUMNS($AB$1006:AQ1006),$AB$1006:$AQ$1006,0)), HYPERLINK("#",""), HYPERLINK(CONCATENATE("#Metadata!", ADDRESS(INDEX($W$2:$W$1001,MATCH(ROWS($U$2:U36),$U$2:$U$1001,0),0), INDEX($AB$1004:$AQ$1004,1,MATCH(COLUMNS($AB$1006:AQ1006),$AB$1006:$AQ$1006,0)))),"Fix")))</f>
        <v>0</v>
      </c>
      <c r="U36">
        <v>0</v>
      </c>
      <c r="V36">
        <v>0</v>
      </c>
      <c r="W36">
        <v>0</v>
      </c>
      <c r="X36">
        <f>IF(Y36,TRUE,AND(AB36:AQ36))</f>
        <v>0</v>
      </c>
      <c r="Y36">
        <f>COUNTBLANK(Metadata!B36:Q36)=COLUMNS(Metadata!B36:Q36)</f>
        <v>0</v>
      </c>
      <c r="Z36">
        <v>0</v>
      </c>
      <c r="AB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AC36">
        <f>AND(IF(Metadata!C36="",FALSE,TRUE),exact(Metadata!C36,"urban biome"))</f>
        <v>0</v>
      </c>
      <c r="AD36">
        <f>AND(IF(Metadata!D36="",FALSE,TRUE),exact(Metadata!D36,"human-associated habitat"))</f>
        <v>0</v>
      </c>
      <c r="AE36">
        <f>AND(IF(Metadata!E36="",FALSE,TRUE),OR(exact(Metadata!E36,"human-associated"),exact(Metadata!E36,"human-skin"),exact(Metadata!E36,"human-oral"),exact(Metadata!E36,"human-gut"),exact(Metadata!E36,"human-vaginal")))</f>
        <v>0</v>
      </c>
      <c r="AF36">
        <f>AND(IF(Metadata!F36="",FALSE,ISNUMBER(VALUE(Metadata!F36))),Metadata!F36&gt;0)</f>
        <v>0</v>
      </c>
      <c r="AG36">
        <f>AND(IF(Metadata!G36="",FALSE,TRUE),exact(Metadata!G36,"years"))</f>
        <v>0</v>
      </c>
      <c r="AH36">
        <f>OR(AND(IF(Metadata!H36="",FALSE,TRUE),OR(exact(Metadata!H36,"not applicable"),exact(Metadata!H36,"not collected"),exact(Metadata!H36,"not provided"),exact(Metadata!H36,"restricted access"))),AND(IF(Metadata!H36="",FALSE,ISNUMBER(VALUE(Metadata!H36))),Metadata!H36&gt;0))</f>
        <v>0</v>
      </c>
      <c r="AI36">
        <f>AND(IF(Metadata!I36="",FALSE,TRUE),exact(Metadata!I36,"human"))</f>
        <v>0</v>
      </c>
      <c r="AJ36">
        <f>AND(IF(Metadata!J36="",FALSE,ISNUMBER(VALUE(Metadata!J36))),Metadata!J36&gt;0)</f>
        <v>0</v>
      </c>
      <c r="AK36">
        <f>AND(IF(Metadata!K36="",FALSE,TRUE),exact(Metadata!K36,"cm"))</f>
        <v>0</v>
      </c>
      <c r="AL36">
        <f>AND(IF(Metadata!L36="",FALSE,TRUE),exact(Metadata!L36,"Homo sapiens"))</f>
        <v>0</v>
      </c>
      <c r="AM36">
        <f>AND(IF(Metadata!M36="",FALSE,TRUE),exact(Metadata!M36,"9606"))</f>
        <v>0</v>
      </c>
      <c r="AN36">
        <f>AND(IF(Metadata!N36="",FALSE,ISNUMBER(VALUE(Metadata!N36))),Metadata!N36&gt;0)</f>
        <v>0</v>
      </c>
      <c r="AO36">
        <f>AND(IF(Metadata!O36="",FALSE,TRUE),exact(Metadata!O36,"kg"))</f>
        <v>0</v>
      </c>
      <c r="AP36">
        <f>OR(AND(IF(Metadata!P36="",FALSE,TRUE),exact(Metadata!P36,"not provided")),IF(Metadata!P36="",FALSE,TRUE))</f>
        <v>0</v>
      </c>
      <c r="AQ36">
        <f>OR(AND(IF(Metadata!Q36="",FALSE,TRUE),exact(Metadata!Q36,"not provided")),IF(Metadata!Q36="",FALSE,TRUE))</f>
        <v>0</v>
      </c>
    </row>
    <row r="37" spans="1:43">
      <c r="A37" s="4">
        <f>IF(B37=" "," ",HYPERLINK(CONCATENATE("#metadata!",ADDRESS(INDEX($W$2:$W$1001,MATCH(ROWS($U$2:U37),$U$2:$U$1001,0),0),2)),INDEX($Z$2:$Z$1001,MATCH(ROWS($U$2:U37),$U$2:$U$1001,0),0)))</f>
        <v>0</v>
      </c>
      <c r="B37" s="5">
        <f>IF(OR(INDEX($V$2:$V$1001,MATCH(ROWS($U$2:U37),$U$2:$U$1001,0),1)&gt;=100000,INDEX($AB$1005:$AQ$1005,1,MATCH(COLUMNS($AB$1006:AB1006),$AB$1006:$AQ$1006,0))&gt;=100000), " ",IF(INDEX($AB$2:$AQ$1001,MATCH(ROWS($U$2:U37),$U$2:$U$1001,0),MATCH(COLUMNS($AB$1006:AB1006),$AB$1006:$AQ$1006,0)), HYPERLINK("#",""), HYPERLINK(CONCATENATE("#Metadata!", ADDRESS(INDEX($W$2:$W$1001,MATCH(ROWS($U$2:U37),$U$2:$U$1001,0),0), INDEX($AB$1004:$AQ$1004,1,MATCH(COLUMNS($AB$1006:AB1006),$AB$1006:$AQ$1006,0)))),"Fix")))</f>
        <v>0</v>
      </c>
      <c r="C37" s="5">
        <f>IF(OR(INDEX($V$2:$V$1001,MATCH(ROWS($U$2:U37),$U$2:$U$1001,0),1)&gt;=100000,INDEX($AB$1005:$AQ$1005,1,MATCH(COLUMNS($AB$1006:AC1006),$AB$1006:$AQ$1006,0))&gt;=100000), " ",IF(INDEX($AB$2:$AQ$1001,MATCH(ROWS($U$2:U37),$U$2:$U$1001,0),MATCH(COLUMNS($AB$1006:AC1006),$AB$1006:$AQ$1006,0)), HYPERLINK("#",""), HYPERLINK(CONCATENATE("#Metadata!", ADDRESS(INDEX($W$2:$W$1001,MATCH(ROWS($U$2:U37),$U$2:$U$1001,0),0), INDEX($AB$1004:$AQ$1004,1,MATCH(COLUMNS($AB$1006:AC1006),$AB$1006:$AQ$1006,0)))),"Fix")))</f>
        <v>0</v>
      </c>
      <c r="D37" s="5">
        <f>IF(OR(INDEX($V$2:$V$1001,MATCH(ROWS($U$2:U37),$U$2:$U$1001,0),1)&gt;=100000,INDEX($AB$1005:$AQ$1005,1,MATCH(COLUMNS($AB$1006:AD1006),$AB$1006:$AQ$1006,0))&gt;=100000), " ",IF(INDEX($AB$2:$AQ$1001,MATCH(ROWS($U$2:U37),$U$2:$U$1001,0),MATCH(COLUMNS($AB$1006:AD1006),$AB$1006:$AQ$1006,0)), HYPERLINK("#",""), HYPERLINK(CONCATENATE("#Metadata!", ADDRESS(INDEX($W$2:$W$1001,MATCH(ROWS($U$2:U37),$U$2:$U$1001,0),0), INDEX($AB$1004:$AQ$1004,1,MATCH(COLUMNS($AB$1006:AD1006),$AB$1006:$AQ$1006,0)))),"Fix")))</f>
        <v>0</v>
      </c>
      <c r="E37" s="5">
        <f>IF(OR(INDEX($V$2:$V$1001,MATCH(ROWS($U$2:U37),$U$2:$U$1001,0),1)&gt;=100000,INDEX($AB$1005:$AQ$1005,1,MATCH(COLUMNS($AB$1006:AE1006),$AB$1006:$AQ$1006,0))&gt;=100000), " ",IF(INDEX($AB$2:$AQ$1001,MATCH(ROWS($U$2:U37),$U$2:$U$1001,0),MATCH(COLUMNS($AB$1006:AE1006),$AB$1006:$AQ$1006,0)), HYPERLINK("#",""), HYPERLINK(CONCATENATE("#Metadata!", ADDRESS(INDEX($W$2:$W$1001,MATCH(ROWS($U$2:U37),$U$2:$U$1001,0),0), INDEX($AB$1004:$AQ$1004,1,MATCH(COLUMNS($AB$1006:AE1006),$AB$1006:$AQ$1006,0)))),"Fix")))</f>
        <v>0</v>
      </c>
      <c r="F37" s="5">
        <f>IF(OR(INDEX($V$2:$V$1001,MATCH(ROWS($U$2:U37),$U$2:$U$1001,0),1)&gt;=100000,INDEX($AB$1005:$AQ$1005,1,MATCH(COLUMNS($AB$1006:AF1006),$AB$1006:$AQ$1006,0))&gt;=100000), " ",IF(INDEX($AB$2:$AQ$1001,MATCH(ROWS($U$2:U37),$U$2:$U$1001,0),MATCH(COLUMNS($AB$1006:AF1006),$AB$1006:$AQ$1006,0)), HYPERLINK("#",""), HYPERLINK(CONCATENATE("#Metadata!", ADDRESS(INDEX($W$2:$W$1001,MATCH(ROWS($U$2:U37),$U$2:$U$1001,0),0), INDEX($AB$1004:$AQ$1004,1,MATCH(COLUMNS($AB$1006:AF1006),$AB$1006:$AQ$1006,0)))),"Fix")))</f>
        <v>0</v>
      </c>
      <c r="G37" s="5">
        <f>IF(OR(INDEX($V$2:$V$1001,MATCH(ROWS($U$2:U37),$U$2:$U$1001,0),1)&gt;=100000,INDEX($AB$1005:$AQ$1005,1,MATCH(COLUMNS($AB$1006:AG1006),$AB$1006:$AQ$1006,0))&gt;=100000), " ",IF(INDEX($AB$2:$AQ$1001,MATCH(ROWS($U$2:U37),$U$2:$U$1001,0),MATCH(COLUMNS($AB$1006:AG1006),$AB$1006:$AQ$1006,0)), HYPERLINK("#",""), HYPERLINK(CONCATENATE("#Metadata!", ADDRESS(INDEX($W$2:$W$1001,MATCH(ROWS($U$2:U37),$U$2:$U$1001,0),0), INDEX($AB$1004:$AQ$1004,1,MATCH(COLUMNS($AB$1006:AG1006),$AB$1006:$AQ$1006,0)))),"Fix")))</f>
        <v>0</v>
      </c>
      <c r="H37" s="5">
        <f>IF(OR(INDEX($V$2:$V$1001,MATCH(ROWS($U$2:U37),$U$2:$U$1001,0),1)&gt;=100000,INDEX($AB$1005:$AQ$1005,1,MATCH(COLUMNS($AB$1006:AH1006),$AB$1006:$AQ$1006,0))&gt;=100000), " ",IF(INDEX($AB$2:$AQ$1001,MATCH(ROWS($U$2:U37),$U$2:$U$1001,0),MATCH(COLUMNS($AB$1006:AH1006),$AB$1006:$AQ$1006,0)), HYPERLINK("#",""), HYPERLINK(CONCATENATE("#Metadata!", ADDRESS(INDEX($W$2:$W$1001,MATCH(ROWS($U$2:U37),$U$2:$U$1001,0),0), INDEX($AB$1004:$AQ$1004,1,MATCH(COLUMNS($AB$1006:AH1006),$AB$1006:$AQ$1006,0)))),"Fix")))</f>
        <v>0</v>
      </c>
      <c r="I37" s="5">
        <f>IF(OR(INDEX($V$2:$V$1001,MATCH(ROWS($U$2:U37),$U$2:$U$1001,0),1)&gt;=100000,INDEX($AB$1005:$AQ$1005,1,MATCH(COLUMNS($AB$1006:AI1006),$AB$1006:$AQ$1006,0))&gt;=100000), " ",IF(INDEX($AB$2:$AQ$1001,MATCH(ROWS($U$2:U37),$U$2:$U$1001,0),MATCH(COLUMNS($AB$1006:AI1006),$AB$1006:$AQ$1006,0)), HYPERLINK("#",""), HYPERLINK(CONCATENATE("#Metadata!", ADDRESS(INDEX($W$2:$W$1001,MATCH(ROWS($U$2:U37),$U$2:$U$1001,0),0), INDEX($AB$1004:$AQ$1004,1,MATCH(COLUMNS($AB$1006:AI1006),$AB$1006:$AQ$1006,0)))),"Fix")))</f>
        <v>0</v>
      </c>
      <c r="J37" s="5">
        <f>IF(OR(INDEX($V$2:$V$1001,MATCH(ROWS($U$2:U37),$U$2:$U$1001,0),1)&gt;=100000,INDEX($AB$1005:$AQ$1005,1,MATCH(COLUMNS($AB$1006:AJ1006),$AB$1006:$AQ$1006,0))&gt;=100000), " ",IF(INDEX($AB$2:$AQ$1001,MATCH(ROWS($U$2:U37),$U$2:$U$1001,0),MATCH(COLUMNS($AB$1006:AJ1006),$AB$1006:$AQ$1006,0)), HYPERLINK("#",""), HYPERLINK(CONCATENATE("#Metadata!", ADDRESS(INDEX($W$2:$W$1001,MATCH(ROWS($U$2:U37),$U$2:$U$1001,0),0), INDEX($AB$1004:$AQ$1004,1,MATCH(COLUMNS($AB$1006:AJ1006),$AB$1006:$AQ$1006,0)))),"Fix")))</f>
        <v>0</v>
      </c>
      <c r="K37" s="5">
        <f>IF(OR(INDEX($V$2:$V$1001,MATCH(ROWS($U$2:U37),$U$2:$U$1001,0),1)&gt;=100000,INDEX($AB$1005:$AQ$1005,1,MATCH(COLUMNS($AB$1006:AK1006),$AB$1006:$AQ$1006,0))&gt;=100000), " ",IF(INDEX($AB$2:$AQ$1001,MATCH(ROWS($U$2:U37),$U$2:$U$1001,0),MATCH(COLUMNS($AB$1006:AK1006),$AB$1006:$AQ$1006,0)), HYPERLINK("#",""), HYPERLINK(CONCATENATE("#Metadata!", ADDRESS(INDEX($W$2:$W$1001,MATCH(ROWS($U$2:U37),$U$2:$U$1001,0),0), INDEX($AB$1004:$AQ$1004,1,MATCH(COLUMNS($AB$1006:AK1006),$AB$1006:$AQ$1006,0)))),"Fix")))</f>
        <v>0</v>
      </c>
      <c r="L37" s="5">
        <f>IF(OR(INDEX($V$2:$V$1001,MATCH(ROWS($U$2:U37),$U$2:$U$1001,0),1)&gt;=100000,INDEX($AB$1005:$AQ$1005,1,MATCH(COLUMNS($AB$1006:AL1006),$AB$1006:$AQ$1006,0))&gt;=100000), " ",IF(INDEX($AB$2:$AQ$1001,MATCH(ROWS($U$2:U37),$U$2:$U$1001,0),MATCH(COLUMNS($AB$1006:AL1006),$AB$1006:$AQ$1006,0)), HYPERLINK("#",""), HYPERLINK(CONCATENATE("#Metadata!", ADDRESS(INDEX($W$2:$W$1001,MATCH(ROWS($U$2:U37),$U$2:$U$1001,0),0), INDEX($AB$1004:$AQ$1004,1,MATCH(COLUMNS($AB$1006:AL1006),$AB$1006:$AQ$1006,0)))),"Fix")))</f>
        <v>0</v>
      </c>
      <c r="M37" s="5">
        <f>IF(OR(INDEX($V$2:$V$1001,MATCH(ROWS($U$2:U37),$U$2:$U$1001,0),1)&gt;=100000,INDEX($AB$1005:$AQ$1005,1,MATCH(COLUMNS($AB$1006:AM1006),$AB$1006:$AQ$1006,0))&gt;=100000), " ",IF(INDEX($AB$2:$AQ$1001,MATCH(ROWS($U$2:U37),$U$2:$U$1001,0),MATCH(COLUMNS($AB$1006:AM1006),$AB$1006:$AQ$1006,0)), HYPERLINK("#",""), HYPERLINK(CONCATENATE("#Metadata!", ADDRESS(INDEX($W$2:$W$1001,MATCH(ROWS($U$2:U37),$U$2:$U$1001,0),0), INDEX($AB$1004:$AQ$1004,1,MATCH(COLUMNS($AB$1006:AM1006),$AB$1006:$AQ$1006,0)))),"Fix")))</f>
        <v>0</v>
      </c>
      <c r="N37" s="5">
        <f>IF(OR(INDEX($V$2:$V$1001,MATCH(ROWS($U$2:U37),$U$2:$U$1001,0),1)&gt;=100000,INDEX($AB$1005:$AQ$1005,1,MATCH(COLUMNS($AB$1006:AN1006),$AB$1006:$AQ$1006,0))&gt;=100000), " ",IF(INDEX($AB$2:$AQ$1001,MATCH(ROWS($U$2:U37),$U$2:$U$1001,0),MATCH(COLUMNS($AB$1006:AN1006),$AB$1006:$AQ$1006,0)), HYPERLINK("#",""), HYPERLINK(CONCATENATE("#Metadata!", ADDRESS(INDEX($W$2:$W$1001,MATCH(ROWS($U$2:U37),$U$2:$U$1001,0),0), INDEX($AB$1004:$AQ$1004,1,MATCH(COLUMNS($AB$1006:AN1006),$AB$1006:$AQ$1006,0)))),"Fix")))</f>
        <v>0</v>
      </c>
      <c r="O37" s="5">
        <f>IF(OR(INDEX($V$2:$V$1001,MATCH(ROWS($U$2:U37),$U$2:$U$1001,0),1)&gt;=100000,INDEX($AB$1005:$AQ$1005,1,MATCH(COLUMNS($AB$1006:AO1006),$AB$1006:$AQ$1006,0))&gt;=100000), " ",IF(INDEX($AB$2:$AQ$1001,MATCH(ROWS($U$2:U37),$U$2:$U$1001,0),MATCH(COLUMNS($AB$1006:AO1006),$AB$1006:$AQ$1006,0)), HYPERLINK("#",""), HYPERLINK(CONCATENATE("#Metadata!", ADDRESS(INDEX($W$2:$W$1001,MATCH(ROWS($U$2:U37),$U$2:$U$1001,0),0), INDEX($AB$1004:$AQ$1004,1,MATCH(COLUMNS($AB$1006:AO1006),$AB$1006:$AQ$1006,0)))),"Fix")))</f>
        <v>0</v>
      </c>
      <c r="P37" s="5">
        <f>IF(OR(INDEX($V$2:$V$1001,MATCH(ROWS($U$2:U37),$U$2:$U$1001,0),1)&gt;=100000,INDEX($AB$1005:$AQ$1005,1,MATCH(COLUMNS($AB$1006:AP1006),$AB$1006:$AQ$1006,0))&gt;=100000), " ",IF(INDEX($AB$2:$AQ$1001,MATCH(ROWS($U$2:U37),$U$2:$U$1001,0),MATCH(COLUMNS($AB$1006:AP1006),$AB$1006:$AQ$1006,0)), HYPERLINK("#",""), HYPERLINK(CONCATENATE("#Metadata!", ADDRESS(INDEX($W$2:$W$1001,MATCH(ROWS($U$2:U37),$U$2:$U$1001,0),0), INDEX($AB$1004:$AQ$1004,1,MATCH(COLUMNS($AB$1006:AP1006),$AB$1006:$AQ$1006,0)))),"Fix")))</f>
        <v>0</v>
      </c>
      <c r="Q37" s="5">
        <f>IF(OR(INDEX($V$2:$V$1001,MATCH(ROWS($U$2:U37),$U$2:$U$1001,0),1)&gt;=100000,INDEX($AB$1005:$AQ$1005,1,MATCH(COLUMNS($AB$1006:AQ1006),$AB$1006:$AQ$1006,0))&gt;=100000), " ",IF(INDEX($AB$2:$AQ$1001,MATCH(ROWS($U$2:U37),$U$2:$U$1001,0),MATCH(COLUMNS($AB$1006:AQ1006),$AB$1006:$AQ$1006,0)), HYPERLINK("#",""), HYPERLINK(CONCATENATE("#Metadata!", ADDRESS(INDEX($W$2:$W$1001,MATCH(ROWS($U$2:U37),$U$2:$U$1001,0),0), INDEX($AB$1004:$AQ$1004,1,MATCH(COLUMNS($AB$1006:AQ1006),$AB$1006:$AQ$1006,0)))),"Fix")))</f>
        <v>0</v>
      </c>
      <c r="U37">
        <v>0</v>
      </c>
      <c r="V37">
        <v>0</v>
      </c>
      <c r="W37">
        <v>0</v>
      </c>
      <c r="X37">
        <f>IF(Y37,TRUE,AND(AB37:AQ37))</f>
        <v>0</v>
      </c>
      <c r="Y37">
        <f>COUNTBLANK(Metadata!B37:Q37)=COLUMNS(Metadata!B37:Q37)</f>
        <v>0</v>
      </c>
      <c r="Z37">
        <v>0</v>
      </c>
      <c r="AB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AC37">
        <f>AND(IF(Metadata!C37="",FALSE,TRUE),exact(Metadata!C37,"urban biome"))</f>
        <v>0</v>
      </c>
      <c r="AD37">
        <f>AND(IF(Metadata!D37="",FALSE,TRUE),exact(Metadata!D37,"human-associated habitat"))</f>
        <v>0</v>
      </c>
      <c r="AE37">
        <f>AND(IF(Metadata!E37="",FALSE,TRUE),OR(exact(Metadata!E37,"human-associated"),exact(Metadata!E37,"human-skin"),exact(Metadata!E37,"human-oral"),exact(Metadata!E37,"human-gut"),exact(Metadata!E37,"human-vaginal")))</f>
        <v>0</v>
      </c>
      <c r="AF37">
        <f>AND(IF(Metadata!F37="",FALSE,ISNUMBER(VALUE(Metadata!F37))),Metadata!F37&gt;0)</f>
        <v>0</v>
      </c>
      <c r="AG37">
        <f>AND(IF(Metadata!G37="",FALSE,TRUE),exact(Metadata!G37,"years"))</f>
        <v>0</v>
      </c>
      <c r="AH37">
        <f>OR(AND(IF(Metadata!H37="",FALSE,TRUE),OR(exact(Metadata!H37,"not applicable"),exact(Metadata!H37,"not collected"),exact(Metadata!H37,"not provided"),exact(Metadata!H37,"restricted access"))),AND(IF(Metadata!H37="",FALSE,ISNUMBER(VALUE(Metadata!H37))),Metadata!H37&gt;0))</f>
        <v>0</v>
      </c>
      <c r="AI37">
        <f>AND(IF(Metadata!I37="",FALSE,TRUE),exact(Metadata!I37,"human"))</f>
        <v>0</v>
      </c>
      <c r="AJ37">
        <f>AND(IF(Metadata!J37="",FALSE,ISNUMBER(VALUE(Metadata!J37))),Metadata!J37&gt;0)</f>
        <v>0</v>
      </c>
      <c r="AK37">
        <f>AND(IF(Metadata!K37="",FALSE,TRUE),exact(Metadata!K37,"cm"))</f>
        <v>0</v>
      </c>
      <c r="AL37">
        <f>AND(IF(Metadata!L37="",FALSE,TRUE),exact(Metadata!L37,"Homo sapiens"))</f>
        <v>0</v>
      </c>
      <c r="AM37">
        <f>AND(IF(Metadata!M37="",FALSE,TRUE),exact(Metadata!M37,"9606"))</f>
        <v>0</v>
      </c>
      <c r="AN37">
        <f>AND(IF(Metadata!N37="",FALSE,ISNUMBER(VALUE(Metadata!N37))),Metadata!N37&gt;0)</f>
        <v>0</v>
      </c>
      <c r="AO37">
        <f>AND(IF(Metadata!O37="",FALSE,TRUE),exact(Metadata!O37,"kg"))</f>
        <v>0</v>
      </c>
      <c r="AP37">
        <f>OR(AND(IF(Metadata!P37="",FALSE,TRUE),exact(Metadata!P37,"not provided")),IF(Metadata!P37="",FALSE,TRUE))</f>
        <v>0</v>
      </c>
      <c r="AQ37">
        <f>OR(AND(IF(Metadata!Q37="",FALSE,TRUE),exact(Metadata!Q37,"not provided")),IF(Metadata!Q37="",FALSE,TRUE))</f>
        <v>0</v>
      </c>
    </row>
    <row r="38" spans="1:43">
      <c r="A38" s="4">
        <f>IF(B38=" "," ",HYPERLINK(CONCATENATE("#metadata!",ADDRESS(INDEX($W$2:$W$1001,MATCH(ROWS($U$2:U38),$U$2:$U$1001,0),0),2)),INDEX($Z$2:$Z$1001,MATCH(ROWS($U$2:U38),$U$2:$U$1001,0),0)))</f>
        <v>0</v>
      </c>
      <c r="B38" s="5">
        <f>IF(OR(INDEX($V$2:$V$1001,MATCH(ROWS($U$2:U38),$U$2:$U$1001,0),1)&gt;=100000,INDEX($AB$1005:$AQ$1005,1,MATCH(COLUMNS($AB$1006:AB1006),$AB$1006:$AQ$1006,0))&gt;=100000), " ",IF(INDEX($AB$2:$AQ$1001,MATCH(ROWS($U$2:U38),$U$2:$U$1001,0),MATCH(COLUMNS($AB$1006:AB1006),$AB$1006:$AQ$1006,0)), HYPERLINK("#",""), HYPERLINK(CONCATENATE("#Metadata!", ADDRESS(INDEX($W$2:$W$1001,MATCH(ROWS($U$2:U38),$U$2:$U$1001,0),0), INDEX($AB$1004:$AQ$1004,1,MATCH(COLUMNS($AB$1006:AB1006),$AB$1006:$AQ$1006,0)))),"Fix")))</f>
        <v>0</v>
      </c>
      <c r="C38" s="5">
        <f>IF(OR(INDEX($V$2:$V$1001,MATCH(ROWS($U$2:U38),$U$2:$U$1001,0),1)&gt;=100000,INDEX($AB$1005:$AQ$1005,1,MATCH(COLUMNS($AB$1006:AC1006),$AB$1006:$AQ$1006,0))&gt;=100000), " ",IF(INDEX($AB$2:$AQ$1001,MATCH(ROWS($U$2:U38),$U$2:$U$1001,0),MATCH(COLUMNS($AB$1006:AC1006),$AB$1006:$AQ$1006,0)), HYPERLINK("#",""), HYPERLINK(CONCATENATE("#Metadata!", ADDRESS(INDEX($W$2:$W$1001,MATCH(ROWS($U$2:U38),$U$2:$U$1001,0),0), INDEX($AB$1004:$AQ$1004,1,MATCH(COLUMNS($AB$1006:AC1006),$AB$1006:$AQ$1006,0)))),"Fix")))</f>
        <v>0</v>
      </c>
      <c r="D38" s="5">
        <f>IF(OR(INDEX($V$2:$V$1001,MATCH(ROWS($U$2:U38),$U$2:$U$1001,0),1)&gt;=100000,INDEX($AB$1005:$AQ$1005,1,MATCH(COLUMNS($AB$1006:AD1006),$AB$1006:$AQ$1006,0))&gt;=100000), " ",IF(INDEX($AB$2:$AQ$1001,MATCH(ROWS($U$2:U38),$U$2:$U$1001,0),MATCH(COLUMNS($AB$1006:AD1006),$AB$1006:$AQ$1006,0)), HYPERLINK("#",""), HYPERLINK(CONCATENATE("#Metadata!", ADDRESS(INDEX($W$2:$W$1001,MATCH(ROWS($U$2:U38),$U$2:$U$1001,0),0), INDEX($AB$1004:$AQ$1004,1,MATCH(COLUMNS($AB$1006:AD1006),$AB$1006:$AQ$1006,0)))),"Fix")))</f>
        <v>0</v>
      </c>
      <c r="E38" s="5">
        <f>IF(OR(INDEX($V$2:$V$1001,MATCH(ROWS($U$2:U38),$U$2:$U$1001,0),1)&gt;=100000,INDEX($AB$1005:$AQ$1005,1,MATCH(COLUMNS($AB$1006:AE1006),$AB$1006:$AQ$1006,0))&gt;=100000), " ",IF(INDEX($AB$2:$AQ$1001,MATCH(ROWS($U$2:U38),$U$2:$U$1001,0),MATCH(COLUMNS($AB$1006:AE1006),$AB$1006:$AQ$1006,0)), HYPERLINK("#",""), HYPERLINK(CONCATENATE("#Metadata!", ADDRESS(INDEX($W$2:$W$1001,MATCH(ROWS($U$2:U38),$U$2:$U$1001,0),0), INDEX($AB$1004:$AQ$1004,1,MATCH(COLUMNS($AB$1006:AE1006),$AB$1006:$AQ$1006,0)))),"Fix")))</f>
        <v>0</v>
      </c>
      <c r="F38" s="5">
        <f>IF(OR(INDEX($V$2:$V$1001,MATCH(ROWS($U$2:U38),$U$2:$U$1001,0),1)&gt;=100000,INDEX($AB$1005:$AQ$1005,1,MATCH(COLUMNS($AB$1006:AF1006),$AB$1006:$AQ$1006,0))&gt;=100000), " ",IF(INDEX($AB$2:$AQ$1001,MATCH(ROWS($U$2:U38),$U$2:$U$1001,0),MATCH(COLUMNS($AB$1006:AF1006),$AB$1006:$AQ$1006,0)), HYPERLINK("#",""), HYPERLINK(CONCATENATE("#Metadata!", ADDRESS(INDEX($W$2:$W$1001,MATCH(ROWS($U$2:U38),$U$2:$U$1001,0),0), INDEX($AB$1004:$AQ$1004,1,MATCH(COLUMNS($AB$1006:AF1006),$AB$1006:$AQ$1006,0)))),"Fix")))</f>
        <v>0</v>
      </c>
      <c r="G38" s="5">
        <f>IF(OR(INDEX($V$2:$V$1001,MATCH(ROWS($U$2:U38),$U$2:$U$1001,0),1)&gt;=100000,INDEX($AB$1005:$AQ$1005,1,MATCH(COLUMNS($AB$1006:AG1006),$AB$1006:$AQ$1006,0))&gt;=100000), " ",IF(INDEX($AB$2:$AQ$1001,MATCH(ROWS($U$2:U38),$U$2:$U$1001,0),MATCH(COLUMNS($AB$1006:AG1006),$AB$1006:$AQ$1006,0)), HYPERLINK("#",""), HYPERLINK(CONCATENATE("#Metadata!", ADDRESS(INDEX($W$2:$W$1001,MATCH(ROWS($U$2:U38),$U$2:$U$1001,0),0), INDEX($AB$1004:$AQ$1004,1,MATCH(COLUMNS($AB$1006:AG1006),$AB$1006:$AQ$1006,0)))),"Fix")))</f>
        <v>0</v>
      </c>
      <c r="H38" s="5">
        <f>IF(OR(INDEX($V$2:$V$1001,MATCH(ROWS($U$2:U38),$U$2:$U$1001,0),1)&gt;=100000,INDEX($AB$1005:$AQ$1005,1,MATCH(COLUMNS($AB$1006:AH1006),$AB$1006:$AQ$1006,0))&gt;=100000), " ",IF(INDEX($AB$2:$AQ$1001,MATCH(ROWS($U$2:U38),$U$2:$U$1001,0),MATCH(COLUMNS($AB$1006:AH1006),$AB$1006:$AQ$1006,0)), HYPERLINK("#",""), HYPERLINK(CONCATENATE("#Metadata!", ADDRESS(INDEX($W$2:$W$1001,MATCH(ROWS($U$2:U38),$U$2:$U$1001,0),0), INDEX($AB$1004:$AQ$1004,1,MATCH(COLUMNS($AB$1006:AH1006),$AB$1006:$AQ$1006,0)))),"Fix")))</f>
        <v>0</v>
      </c>
      <c r="I38" s="5">
        <f>IF(OR(INDEX($V$2:$V$1001,MATCH(ROWS($U$2:U38),$U$2:$U$1001,0),1)&gt;=100000,INDEX($AB$1005:$AQ$1005,1,MATCH(COLUMNS($AB$1006:AI1006),$AB$1006:$AQ$1006,0))&gt;=100000), " ",IF(INDEX($AB$2:$AQ$1001,MATCH(ROWS($U$2:U38),$U$2:$U$1001,0),MATCH(COLUMNS($AB$1006:AI1006),$AB$1006:$AQ$1006,0)), HYPERLINK("#",""), HYPERLINK(CONCATENATE("#Metadata!", ADDRESS(INDEX($W$2:$W$1001,MATCH(ROWS($U$2:U38),$U$2:$U$1001,0),0), INDEX($AB$1004:$AQ$1004,1,MATCH(COLUMNS($AB$1006:AI1006),$AB$1006:$AQ$1006,0)))),"Fix")))</f>
        <v>0</v>
      </c>
      <c r="J38" s="5">
        <f>IF(OR(INDEX($V$2:$V$1001,MATCH(ROWS($U$2:U38),$U$2:$U$1001,0),1)&gt;=100000,INDEX($AB$1005:$AQ$1005,1,MATCH(COLUMNS($AB$1006:AJ1006),$AB$1006:$AQ$1006,0))&gt;=100000), " ",IF(INDEX($AB$2:$AQ$1001,MATCH(ROWS($U$2:U38),$U$2:$U$1001,0),MATCH(COLUMNS($AB$1006:AJ1006),$AB$1006:$AQ$1006,0)), HYPERLINK("#",""), HYPERLINK(CONCATENATE("#Metadata!", ADDRESS(INDEX($W$2:$W$1001,MATCH(ROWS($U$2:U38),$U$2:$U$1001,0),0), INDEX($AB$1004:$AQ$1004,1,MATCH(COLUMNS($AB$1006:AJ1006),$AB$1006:$AQ$1006,0)))),"Fix")))</f>
        <v>0</v>
      </c>
      <c r="K38" s="5">
        <f>IF(OR(INDEX($V$2:$V$1001,MATCH(ROWS($U$2:U38),$U$2:$U$1001,0),1)&gt;=100000,INDEX($AB$1005:$AQ$1005,1,MATCH(COLUMNS($AB$1006:AK1006),$AB$1006:$AQ$1006,0))&gt;=100000), " ",IF(INDEX($AB$2:$AQ$1001,MATCH(ROWS($U$2:U38),$U$2:$U$1001,0),MATCH(COLUMNS($AB$1006:AK1006),$AB$1006:$AQ$1006,0)), HYPERLINK("#",""), HYPERLINK(CONCATENATE("#Metadata!", ADDRESS(INDEX($W$2:$W$1001,MATCH(ROWS($U$2:U38),$U$2:$U$1001,0),0), INDEX($AB$1004:$AQ$1004,1,MATCH(COLUMNS($AB$1006:AK1006),$AB$1006:$AQ$1006,0)))),"Fix")))</f>
        <v>0</v>
      </c>
      <c r="L38" s="5">
        <f>IF(OR(INDEX($V$2:$V$1001,MATCH(ROWS($U$2:U38),$U$2:$U$1001,0),1)&gt;=100000,INDEX($AB$1005:$AQ$1005,1,MATCH(COLUMNS($AB$1006:AL1006),$AB$1006:$AQ$1006,0))&gt;=100000), " ",IF(INDEX($AB$2:$AQ$1001,MATCH(ROWS($U$2:U38),$U$2:$U$1001,0),MATCH(COLUMNS($AB$1006:AL1006),$AB$1006:$AQ$1006,0)), HYPERLINK("#",""), HYPERLINK(CONCATENATE("#Metadata!", ADDRESS(INDEX($W$2:$W$1001,MATCH(ROWS($U$2:U38),$U$2:$U$1001,0),0), INDEX($AB$1004:$AQ$1004,1,MATCH(COLUMNS($AB$1006:AL1006),$AB$1006:$AQ$1006,0)))),"Fix")))</f>
        <v>0</v>
      </c>
      <c r="M38" s="5">
        <f>IF(OR(INDEX($V$2:$V$1001,MATCH(ROWS($U$2:U38),$U$2:$U$1001,0),1)&gt;=100000,INDEX($AB$1005:$AQ$1005,1,MATCH(COLUMNS($AB$1006:AM1006),$AB$1006:$AQ$1006,0))&gt;=100000), " ",IF(INDEX($AB$2:$AQ$1001,MATCH(ROWS($U$2:U38),$U$2:$U$1001,0),MATCH(COLUMNS($AB$1006:AM1006),$AB$1006:$AQ$1006,0)), HYPERLINK("#",""), HYPERLINK(CONCATENATE("#Metadata!", ADDRESS(INDEX($W$2:$W$1001,MATCH(ROWS($U$2:U38),$U$2:$U$1001,0),0), INDEX($AB$1004:$AQ$1004,1,MATCH(COLUMNS($AB$1006:AM1006),$AB$1006:$AQ$1006,0)))),"Fix")))</f>
        <v>0</v>
      </c>
      <c r="N38" s="5">
        <f>IF(OR(INDEX($V$2:$V$1001,MATCH(ROWS($U$2:U38),$U$2:$U$1001,0),1)&gt;=100000,INDEX($AB$1005:$AQ$1005,1,MATCH(COLUMNS($AB$1006:AN1006),$AB$1006:$AQ$1006,0))&gt;=100000), " ",IF(INDEX($AB$2:$AQ$1001,MATCH(ROWS($U$2:U38),$U$2:$U$1001,0),MATCH(COLUMNS($AB$1006:AN1006),$AB$1006:$AQ$1006,0)), HYPERLINK("#",""), HYPERLINK(CONCATENATE("#Metadata!", ADDRESS(INDEX($W$2:$W$1001,MATCH(ROWS($U$2:U38),$U$2:$U$1001,0),0), INDEX($AB$1004:$AQ$1004,1,MATCH(COLUMNS($AB$1006:AN1006),$AB$1006:$AQ$1006,0)))),"Fix")))</f>
        <v>0</v>
      </c>
      <c r="O38" s="5">
        <f>IF(OR(INDEX($V$2:$V$1001,MATCH(ROWS($U$2:U38),$U$2:$U$1001,0),1)&gt;=100000,INDEX($AB$1005:$AQ$1005,1,MATCH(COLUMNS($AB$1006:AO1006),$AB$1006:$AQ$1006,0))&gt;=100000), " ",IF(INDEX($AB$2:$AQ$1001,MATCH(ROWS($U$2:U38),$U$2:$U$1001,0),MATCH(COLUMNS($AB$1006:AO1006),$AB$1006:$AQ$1006,0)), HYPERLINK("#",""), HYPERLINK(CONCATENATE("#Metadata!", ADDRESS(INDEX($W$2:$W$1001,MATCH(ROWS($U$2:U38),$U$2:$U$1001,0),0), INDEX($AB$1004:$AQ$1004,1,MATCH(COLUMNS($AB$1006:AO1006),$AB$1006:$AQ$1006,0)))),"Fix")))</f>
        <v>0</v>
      </c>
      <c r="P38" s="5">
        <f>IF(OR(INDEX($V$2:$V$1001,MATCH(ROWS($U$2:U38),$U$2:$U$1001,0),1)&gt;=100000,INDEX($AB$1005:$AQ$1005,1,MATCH(COLUMNS($AB$1006:AP1006),$AB$1006:$AQ$1006,0))&gt;=100000), " ",IF(INDEX($AB$2:$AQ$1001,MATCH(ROWS($U$2:U38),$U$2:$U$1001,0),MATCH(COLUMNS($AB$1006:AP1006),$AB$1006:$AQ$1006,0)), HYPERLINK("#",""), HYPERLINK(CONCATENATE("#Metadata!", ADDRESS(INDEX($W$2:$W$1001,MATCH(ROWS($U$2:U38),$U$2:$U$1001,0),0), INDEX($AB$1004:$AQ$1004,1,MATCH(COLUMNS($AB$1006:AP1006),$AB$1006:$AQ$1006,0)))),"Fix")))</f>
        <v>0</v>
      </c>
      <c r="Q38" s="5">
        <f>IF(OR(INDEX($V$2:$V$1001,MATCH(ROWS($U$2:U38),$U$2:$U$1001,0),1)&gt;=100000,INDEX($AB$1005:$AQ$1005,1,MATCH(COLUMNS($AB$1006:AQ1006),$AB$1006:$AQ$1006,0))&gt;=100000), " ",IF(INDEX($AB$2:$AQ$1001,MATCH(ROWS($U$2:U38),$U$2:$U$1001,0),MATCH(COLUMNS($AB$1006:AQ1006),$AB$1006:$AQ$1006,0)), HYPERLINK("#",""), HYPERLINK(CONCATENATE("#Metadata!", ADDRESS(INDEX($W$2:$W$1001,MATCH(ROWS($U$2:U38),$U$2:$U$1001,0),0), INDEX($AB$1004:$AQ$1004,1,MATCH(COLUMNS($AB$1006:AQ1006),$AB$1006:$AQ$1006,0)))),"Fix")))</f>
        <v>0</v>
      </c>
      <c r="U38">
        <v>0</v>
      </c>
      <c r="V38">
        <v>0</v>
      </c>
      <c r="W38">
        <v>0</v>
      </c>
      <c r="X38">
        <f>IF(Y38,TRUE,AND(AB38:AQ38))</f>
        <v>0</v>
      </c>
      <c r="Y38">
        <f>COUNTBLANK(Metadata!B38:Q38)=COLUMNS(Metadata!B38:Q38)</f>
        <v>0</v>
      </c>
      <c r="Z38">
        <v>0</v>
      </c>
      <c r="AB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AC38">
        <f>AND(IF(Metadata!C38="",FALSE,TRUE),exact(Metadata!C38,"urban biome"))</f>
        <v>0</v>
      </c>
      <c r="AD38">
        <f>AND(IF(Metadata!D38="",FALSE,TRUE),exact(Metadata!D38,"human-associated habitat"))</f>
        <v>0</v>
      </c>
      <c r="AE38">
        <f>AND(IF(Metadata!E38="",FALSE,TRUE),OR(exact(Metadata!E38,"human-associated"),exact(Metadata!E38,"human-skin"),exact(Metadata!E38,"human-oral"),exact(Metadata!E38,"human-gut"),exact(Metadata!E38,"human-vaginal")))</f>
        <v>0</v>
      </c>
      <c r="AF38">
        <f>AND(IF(Metadata!F38="",FALSE,ISNUMBER(VALUE(Metadata!F38))),Metadata!F38&gt;0)</f>
        <v>0</v>
      </c>
      <c r="AG38">
        <f>AND(IF(Metadata!G38="",FALSE,TRUE),exact(Metadata!G38,"years"))</f>
        <v>0</v>
      </c>
      <c r="AH38">
        <f>OR(AND(IF(Metadata!H38="",FALSE,TRUE),OR(exact(Metadata!H38,"not applicable"),exact(Metadata!H38,"not collected"),exact(Metadata!H38,"not provided"),exact(Metadata!H38,"restricted access"))),AND(IF(Metadata!H38="",FALSE,ISNUMBER(VALUE(Metadata!H38))),Metadata!H38&gt;0))</f>
        <v>0</v>
      </c>
      <c r="AI38">
        <f>AND(IF(Metadata!I38="",FALSE,TRUE),exact(Metadata!I38,"human"))</f>
        <v>0</v>
      </c>
      <c r="AJ38">
        <f>AND(IF(Metadata!J38="",FALSE,ISNUMBER(VALUE(Metadata!J38))),Metadata!J38&gt;0)</f>
        <v>0</v>
      </c>
      <c r="AK38">
        <f>AND(IF(Metadata!K38="",FALSE,TRUE),exact(Metadata!K38,"cm"))</f>
        <v>0</v>
      </c>
      <c r="AL38">
        <f>AND(IF(Metadata!L38="",FALSE,TRUE),exact(Metadata!L38,"Homo sapiens"))</f>
        <v>0</v>
      </c>
      <c r="AM38">
        <f>AND(IF(Metadata!M38="",FALSE,TRUE),exact(Metadata!M38,"9606"))</f>
        <v>0</v>
      </c>
      <c r="AN38">
        <f>AND(IF(Metadata!N38="",FALSE,ISNUMBER(VALUE(Metadata!N38))),Metadata!N38&gt;0)</f>
        <v>0</v>
      </c>
      <c r="AO38">
        <f>AND(IF(Metadata!O38="",FALSE,TRUE),exact(Metadata!O38,"kg"))</f>
        <v>0</v>
      </c>
      <c r="AP38">
        <f>OR(AND(IF(Metadata!P38="",FALSE,TRUE),exact(Metadata!P38,"not provided")),IF(Metadata!P38="",FALSE,TRUE))</f>
        <v>0</v>
      </c>
      <c r="AQ38">
        <f>OR(AND(IF(Metadata!Q38="",FALSE,TRUE),exact(Metadata!Q38,"not provided")),IF(Metadata!Q38="",FALSE,TRUE))</f>
        <v>0</v>
      </c>
    </row>
    <row r="39" spans="1:43">
      <c r="A39" s="4">
        <f>IF(B39=" "," ",HYPERLINK(CONCATENATE("#metadata!",ADDRESS(INDEX($W$2:$W$1001,MATCH(ROWS($U$2:U39),$U$2:$U$1001,0),0),2)),INDEX($Z$2:$Z$1001,MATCH(ROWS($U$2:U39),$U$2:$U$1001,0),0)))</f>
        <v>0</v>
      </c>
      <c r="B39" s="5">
        <f>IF(OR(INDEX($V$2:$V$1001,MATCH(ROWS($U$2:U39),$U$2:$U$1001,0),1)&gt;=100000,INDEX($AB$1005:$AQ$1005,1,MATCH(COLUMNS($AB$1006:AB1006),$AB$1006:$AQ$1006,0))&gt;=100000), " ",IF(INDEX($AB$2:$AQ$1001,MATCH(ROWS($U$2:U39),$U$2:$U$1001,0),MATCH(COLUMNS($AB$1006:AB1006),$AB$1006:$AQ$1006,0)), HYPERLINK("#",""), HYPERLINK(CONCATENATE("#Metadata!", ADDRESS(INDEX($W$2:$W$1001,MATCH(ROWS($U$2:U39),$U$2:$U$1001,0),0), INDEX($AB$1004:$AQ$1004,1,MATCH(COLUMNS($AB$1006:AB1006),$AB$1006:$AQ$1006,0)))),"Fix")))</f>
        <v>0</v>
      </c>
      <c r="C39" s="5">
        <f>IF(OR(INDEX($V$2:$V$1001,MATCH(ROWS($U$2:U39),$U$2:$U$1001,0),1)&gt;=100000,INDEX($AB$1005:$AQ$1005,1,MATCH(COLUMNS($AB$1006:AC1006),$AB$1006:$AQ$1006,0))&gt;=100000), " ",IF(INDEX($AB$2:$AQ$1001,MATCH(ROWS($U$2:U39),$U$2:$U$1001,0),MATCH(COLUMNS($AB$1006:AC1006),$AB$1006:$AQ$1006,0)), HYPERLINK("#",""), HYPERLINK(CONCATENATE("#Metadata!", ADDRESS(INDEX($W$2:$W$1001,MATCH(ROWS($U$2:U39),$U$2:$U$1001,0),0), INDEX($AB$1004:$AQ$1004,1,MATCH(COLUMNS($AB$1006:AC1006),$AB$1006:$AQ$1006,0)))),"Fix")))</f>
        <v>0</v>
      </c>
      <c r="D39" s="5">
        <f>IF(OR(INDEX($V$2:$V$1001,MATCH(ROWS($U$2:U39),$U$2:$U$1001,0),1)&gt;=100000,INDEX($AB$1005:$AQ$1005,1,MATCH(COLUMNS($AB$1006:AD1006),$AB$1006:$AQ$1006,0))&gt;=100000), " ",IF(INDEX($AB$2:$AQ$1001,MATCH(ROWS($U$2:U39),$U$2:$U$1001,0),MATCH(COLUMNS($AB$1006:AD1006),$AB$1006:$AQ$1006,0)), HYPERLINK("#",""), HYPERLINK(CONCATENATE("#Metadata!", ADDRESS(INDEX($W$2:$W$1001,MATCH(ROWS($U$2:U39),$U$2:$U$1001,0),0), INDEX($AB$1004:$AQ$1004,1,MATCH(COLUMNS($AB$1006:AD1006),$AB$1006:$AQ$1006,0)))),"Fix")))</f>
        <v>0</v>
      </c>
      <c r="E39" s="5">
        <f>IF(OR(INDEX($V$2:$V$1001,MATCH(ROWS($U$2:U39),$U$2:$U$1001,0),1)&gt;=100000,INDEX($AB$1005:$AQ$1005,1,MATCH(COLUMNS($AB$1006:AE1006),$AB$1006:$AQ$1006,0))&gt;=100000), " ",IF(INDEX($AB$2:$AQ$1001,MATCH(ROWS($U$2:U39),$U$2:$U$1001,0),MATCH(COLUMNS($AB$1006:AE1006),$AB$1006:$AQ$1006,0)), HYPERLINK("#",""), HYPERLINK(CONCATENATE("#Metadata!", ADDRESS(INDEX($W$2:$W$1001,MATCH(ROWS($U$2:U39),$U$2:$U$1001,0),0), INDEX($AB$1004:$AQ$1004,1,MATCH(COLUMNS($AB$1006:AE1006),$AB$1006:$AQ$1006,0)))),"Fix")))</f>
        <v>0</v>
      </c>
      <c r="F39" s="5">
        <f>IF(OR(INDEX($V$2:$V$1001,MATCH(ROWS($U$2:U39),$U$2:$U$1001,0),1)&gt;=100000,INDEX($AB$1005:$AQ$1005,1,MATCH(COLUMNS($AB$1006:AF1006),$AB$1006:$AQ$1006,0))&gt;=100000), " ",IF(INDEX($AB$2:$AQ$1001,MATCH(ROWS($U$2:U39),$U$2:$U$1001,0),MATCH(COLUMNS($AB$1006:AF1006),$AB$1006:$AQ$1006,0)), HYPERLINK("#",""), HYPERLINK(CONCATENATE("#Metadata!", ADDRESS(INDEX($W$2:$W$1001,MATCH(ROWS($U$2:U39),$U$2:$U$1001,0),0), INDEX($AB$1004:$AQ$1004,1,MATCH(COLUMNS($AB$1006:AF1006),$AB$1006:$AQ$1006,0)))),"Fix")))</f>
        <v>0</v>
      </c>
      <c r="G39" s="5">
        <f>IF(OR(INDEX($V$2:$V$1001,MATCH(ROWS($U$2:U39),$U$2:$U$1001,0),1)&gt;=100000,INDEX($AB$1005:$AQ$1005,1,MATCH(COLUMNS($AB$1006:AG1006),$AB$1006:$AQ$1006,0))&gt;=100000), " ",IF(INDEX($AB$2:$AQ$1001,MATCH(ROWS($U$2:U39),$U$2:$U$1001,0),MATCH(COLUMNS($AB$1006:AG1006),$AB$1006:$AQ$1006,0)), HYPERLINK("#",""), HYPERLINK(CONCATENATE("#Metadata!", ADDRESS(INDEX($W$2:$W$1001,MATCH(ROWS($U$2:U39),$U$2:$U$1001,0),0), INDEX($AB$1004:$AQ$1004,1,MATCH(COLUMNS($AB$1006:AG1006),$AB$1006:$AQ$1006,0)))),"Fix")))</f>
        <v>0</v>
      </c>
      <c r="H39" s="5">
        <f>IF(OR(INDEX($V$2:$V$1001,MATCH(ROWS($U$2:U39),$U$2:$U$1001,0),1)&gt;=100000,INDEX($AB$1005:$AQ$1005,1,MATCH(COLUMNS($AB$1006:AH1006),$AB$1006:$AQ$1006,0))&gt;=100000), " ",IF(INDEX($AB$2:$AQ$1001,MATCH(ROWS($U$2:U39),$U$2:$U$1001,0),MATCH(COLUMNS($AB$1006:AH1006),$AB$1006:$AQ$1006,0)), HYPERLINK("#",""), HYPERLINK(CONCATENATE("#Metadata!", ADDRESS(INDEX($W$2:$W$1001,MATCH(ROWS($U$2:U39),$U$2:$U$1001,0),0), INDEX($AB$1004:$AQ$1004,1,MATCH(COLUMNS($AB$1006:AH1006),$AB$1006:$AQ$1006,0)))),"Fix")))</f>
        <v>0</v>
      </c>
      <c r="I39" s="5">
        <f>IF(OR(INDEX($V$2:$V$1001,MATCH(ROWS($U$2:U39),$U$2:$U$1001,0),1)&gt;=100000,INDEX($AB$1005:$AQ$1005,1,MATCH(COLUMNS($AB$1006:AI1006),$AB$1006:$AQ$1006,0))&gt;=100000), " ",IF(INDEX($AB$2:$AQ$1001,MATCH(ROWS($U$2:U39),$U$2:$U$1001,0),MATCH(COLUMNS($AB$1006:AI1006),$AB$1006:$AQ$1006,0)), HYPERLINK("#",""), HYPERLINK(CONCATENATE("#Metadata!", ADDRESS(INDEX($W$2:$W$1001,MATCH(ROWS($U$2:U39),$U$2:$U$1001,0),0), INDEX($AB$1004:$AQ$1004,1,MATCH(COLUMNS($AB$1006:AI1006),$AB$1006:$AQ$1006,0)))),"Fix")))</f>
        <v>0</v>
      </c>
      <c r="J39" s="5">
        <f>IF(OR(INDEX($V$2:$V$1001,MATCH(ROWS($U$2:U39),$U$2:$U$1001,0),1)&gt;=100000,INDEX($AB$1005:$AQ$1005,1,MATCH(COLUMNS($AB$1006:AJ1006),$AB$1006:$AQ$1006,0))&gt;=100000), " ",IF(INDEX($AB$2:$AQ$1001,MATCH(ROWS($U$2:U39),$U$2:$U$1001,0),MATCH(COLUMNS($AB$1006:AJ1006),$AB$1006:$AQ$1006,0)), HYPERLINK("#",""), HYPERLINK(CONCATENATE("#Metadata!", ADDRESS(INDEX($W$2:$W$1001,MATCH(ROWS($U$2:U39),$U$2:$U$1001,0),0), INDEX($AB$1004:$AQ$1004,1,MATCH(COLUMNS($AB$1006:AJ1006),$AB$1006:$AQ$1006,0)))),"Fix")))</f>
        <v>0</v>
      </c>
      <c r="K39" s="5">
        <f>IF(OR(INDEX($V$2:$V$1001,MATCH(ROWS($U$2:U39),$U$2:$U$1001,0),1)&gt;=100000,INDEX($AB$1005:$AQ$1005,1,MATCH(COLUMNS($AB$1006:AK1006),$AB$1006:$AQ$1006,0))&gt;=100000), " ",IF(INDEX($AB$2:$AQ$1001,MATCH(ROWS($U$2:U39),$U$2:$U$1001,0),MATCH(COLUMNS($AB$1006:AK1006),$AB$1006:$AQ$1006,0)), HYPERLINK("#",""), HYPERLINK(CONCATENATE("#Metadata!", ADDRESS(INDEX($W$2:$W$1001,MATCH(ROWS($U$2:U39),$U$2:$U$1001,0),0), INDEX($AB$1004:$AQ$1004,1,MATCH(COLUMNS($AB$1006:AK1006),$AB$1006:$AQ$1006,0)))),"Fix")))</f>
        <v>0</v>
      </c>
      <c r="L39" s="5">
        <f>IF(OR(INDEX($V$2:$V$1001,MATCH(ROWS($U$2:U39),$U$2:$U$1001,0),1)&gt;=100000,INDEX($AB$1005:$AQ$1005,1,MATCH(COLUMNS($AB$1006:AL1006),$AB$1006:$AQ$1006,0))&gt;=100000), " ",IF(INDEX($AB$2:$AQ$1001,MATCH(ROWS($U$2:U39),$U$2:$U$1001,0),MATCH(COLUMNS($AB$1006:AL1006),$AB$1006:$AQ$1006,0)), HYPERLINK("#",""), HYPERLINK(CONCATENATE("#Metadata!", ADDRESS(INDEX($W$2:$W$1001,MATCH(ROWS($U$2:U39),$U$2:$U$1001,0),0), INDEX($AB$1004:$AQ$1004,1,MATCH(COLUMNS($AB$1006:AL1006),$AB$1006:$AQ$1006,0)))),"Fix")))</f>
        <v>0</v>
      </c>
      <c r="M39" s="5">
        <f>IF(OR(INDEX($V$2:$V$1001,MATCH(ROWS($U$2:U39),$U$2:$U$1001,0),1)&gt;=100000,INDEX($AB$1005:$AQ$1005,1,MATCH(COLUMNS($AB$1006:AM1006),$AB$1006:$AQ$1006,0))&gt;=100000), " ",IF(INDEX($AB$2:$AQ$1001,MATCH(ROWS($U$2:U39),$U$2:$U$1001,0),MATCH(COLUMNS($AB$1006:AM1006),$AB$1006:$AQ$1006,0)), HYPERLINK("#",""), HYPERLINK(CONCATENATE("#Metadata!", ADDRESS(INDEX($W$2:$W$1001,MATCH(ROWS($U$2:U39),$U$2:$U$1001,0),0), INDEX($AB$1004:$AQ$1004,1,MATCH(COLUMNS($AB$1006:AM1006),$AB$1006:$AQ$1006,0)))),"Fix")))</f>
        <v>0</v>
      </c>
      <c r="N39" s="5">
        <f>IF(OR(INDEX($V$2:$V$1001,MATCH(ROWS($U$2:U39),$U$2:$U$1001,0),1)&gt;=100000,INDEX($AB$1005:$AQ$1005,1,MATCH(COLUMNS($AB$1006:AN1006),$AB$1006:$AQ$1006,0))&gt;=100000), " ",IF(INDEX($AB$2:$AQ$1001,MATCH(ROWS($U$2:U39),$U$2:$U$1001,0),MATCH(COLUMNS($AB$1006:AN1006),$AB$1006:$AQ$1006,0)), HYPERLINK("#",""), HYPERLINK(CONCATENATE("#Metadata!", ADDRESS(INDEX($W$2:$W$1001,MATCH(ROWS($U$2:U39),$U$2:$U$1001,0),0), INDEX($AB$1004:$AQ$1004,1,MATCH(COLUMNS($AB$1006:AN1006),$AB$1006:$AQ$1006,0)))),"Fix")))</f>
        <v>0</v>
      </c>
      <c r="O39" s="5">
        <f>IF(OR(INDEX($V$2:$V$1001,MATCH(ROWS($U$2:U39),$U$2:$U$1001,0),1)&gt;=100000,INDEX($AB$1005:$AQ$1005,1,MATCH(COLUMNS($AB$1006:AO1006),$AB$1006:$AQ$1006,0))&gt;=100000), " ",IF(INDEX($AB$2:$AQ$1001,MATCH(ROWS($U$2:U39),$U$2:$U$1001,0),MATCH(COLUMNS($AB$1006:AO1006),$AB$1006:$AQ$1006,0)), HYPERLINK("#",""), HYPERLINK(CONCATENATE("#Metadata!", ADDRESS(INDEX($W$2:$W$1001,MATCH(ROWS($U$2:U39),$U$2:$U$1001,0),0), INDEX($AB$1004:$AQ$1004,1,MATCH(COLUMNS($AB$1006:AO1006),$AB$1006:$AQ$1006,0)))),"Fix")))</f>
        <v>0</v>
      </c>
      <c r="P39" s="5">
        <f>IF(OR(INDEX($V$2:$V$1001,MATCH(ROWS($U$2:U39),$U$2:$U$1001,0),1)&gt;=100000,INDEX($AB$1005:$AQ$1005,1,MATCH(COLUMNS($AB$1006:AP1006),$AB$1006:$AQ$1006,0))&gt;=100000), " ",IF(INDEX($AB$2:$AQ$1001,MATCH(ROWS($U$2:U39),$U$2:$U$1001,0),MATCH(COLUMNS($AB$1006:AP1006),$AB$1006:$AQ$1006,0)), HYPERLINK("#",""), HYPERLINK(CONCATENATE("#Metadata!", ADDRESS(INDEX($W$2:$W$1001,MATCH(ROWS($U$2:U39),$U$2:$U$1001,0),0), INDEX($AB$1004:$AQ$1004,1,MATCH(COLUMNS($AB$1006:AP1006),$AB$1006:$AQ$1006,0)))),"Fix")))</f>
        <v>0</v>
      </c>
      <c r="Q39" s="5">
        <f>IF(OR(INDEX($V$2:$V$1001,MATCH(ROWS($U$2:U39),$U$2:$U$1001,0),1)&gt;=100000,INDEX($AB$1005:$AQ$1005,1,MATCH(COLUMNS($AB$1006:AQ1006),$AB$1006:$AQ$1006,0))&gt;=100000), " ",IF(INDEX($AB$2:$AQ$1001,MATCH(ROWS($U$2:U39),$U$2:$U$1001,0),MATCH(COLUMNS($AB$1006:AQ1006),$AB$1006:$AQ$1006,0)), HYPERLINK("#",""), HYPERLINK(CONCATENATE("#Metadata!", ADDRESS(INDEX($W$2:$W$1001,MATCH(ROWS($U$2:U39),$U$2:$U$1001,0),0), INDEX($AB$1004:$AQ$1004,1,MATCH(COLUMNS($AB$1006:AQ1006),$AB$1006:$AQ$1006,0)))),"Fix")))</f>
        <v>0</v>
      </c>
      <c r="U39">
        <v>0</v>
      </c>
      <c r="V39">
        <v>0</v>
      </c>
      <c r="W39">
        <v>0</v>
      </c>
      <c r="X39">
        <f>IF(Y39,TRUE,AND(AB39:AQ39))</f>
        <v>0</v>
      </c>
      <c r="Y39">
        <f>COUNTBLANK(Metadata!B39:Q39)=COLUMNS(Metadata!B39:Q39)</f>
        <v>0</v>
      </c>
      <c r="Z39">
        <v>0</v>
      </c>
      <c r="AB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AC39">
        <f>AND(IF(Metadata!C39="",FALSE,TRUE),exact(Metadata!C39,"urban biome"))</f>
        <v>0</v>
      </c>
      <c r="AD39">
        <f>AND(IF(Metadata!D39="",FALSE,TRUE),exact(Metadata!D39,"human-associated habitat"))</f>
        <v>0</v>
      </c>
      <c r="AE39">
        <f>AND(IF(Metadata!E39="",FALSE,TRUE),OR(exact(Metadata!E39,"human-associated"),exact(Metadata!E39,"human-skin"),exact(Metadata!E39,"human-oral"),exact(Metadata!E39,"human-gut"),exact(Metadata!E39,"human-vaginal")))</f>
        <v>0</v>
      </c>
      <c r="AF39">
        <f>AND(IF(Metadata!F39="",FALSE,ISNUMBER(VALUE(Metadata!F39))),Metadata!F39&gt;0)</f>
        <v>0</v>
      </c>
      <c r="AG39">
        <f>AND(IF(Metadata!G39="",FALSE,TRUE),exact(Metadata!G39,"years"))</f>
        <v>0</v>
      </c>
      <c r="AH39">
        <f>OR(AND(IF(Metadata!H39="",FALSE,TRUE),OR(exact(Metadata!H39,"not applicable"),exact(Metadata!H39,"not collected"),exact(Metadata!H39,"not provided"),exact(Metadata!H39,"restricted access"))),AND(IF(Metadata!H39="",FALSE,ISNUMBER(VALUE(Metadata!H39))),Metadata!H39&gt;0))</f>
        <v>0</v>
      </c>
      <c r="AI39">
        <f>AND(IF(Metadata!I39="",FALSE,TRUE),exact(Metadata!I39,"human"))</f>
        <v>0</v>
      </c>
      <c r="AJ39">
        <f>AND(IF(Metadata!J39="",FALSE,ISNUMBER(VALUE(Metadata!J39))),Metadata!J39&gt;0)</f>
        <v>0</v>
      </c>
      <c r="AK39">
        <f>AND(IF(Metadata!K39="",FALSE,TRUE),exact(Metadata!K39,"cm"))</f>
        <v>0</v>
      </c>
      <c r="AL39">
        <f>AND(IF(Metadata!L39="",FALSE,TRUE),exact(Metadata!L39,"Homo sapiens"))</f>
        <v>0</v>
      </c>
      <c r="AM39">
        <f>AND(IF(Metadata!M39="",FALSE,TRUE),exact(Metadata!M39,"9606"))</f>
        <v>0</v>
      </c>
      <c r="AN39">
        <f>AND(IF(Metadata!N39="",FALSE,ISNUMBER(VALUE(Metadata!N39))),Metadata!N39&gt;0)</f>
        <v>0</v>
      </c>
      <c r="AO39">
        <f>AND(IF(Metadata!O39="",FALSE,TRUE),exact(Metadata!O39,"kg"))</f>
        <v>0</v>
      </c>
      <c r="AP39">
        <f>OR(AND(IF(Metadata!P39="",FALSE,TRUE),exact(Metadata!P39,"not provided")),IF(Metadata!P39="",FALSE,TRUE))</f>
        <v>0</v>
      </c>
      <c r="AQ39">
        <f>OR(AND(IF(Metadata!Q39="",FALSE,TRUE),exact(Metadata!Q39,"not provided")),IF(Metadata!Q39="",FALSE,TRUE))</f>
        <v>0</v>
      </c>
    </row>
    <row r="40" spans="1:43">
      <c r="A40" s="4">
        <f>IF(B40=" "," ",HYPERLINK(CONCATENATE("#metadata!",ADDRESS(INDEX($W$2:$W$1001,MATCH(ROWS($U$2:U40),$U$2:$U$1001,0),0),2)),INDEX($Z$2:$Z$1001,MATCH(ROWS($U$2:U40),$U$2:$U$1001,0),0)))</f>
        <v>0</v>
      </c>
      <c r="B40" s="5">
        <f>IF(OR(INDEX($V$2:$V$1001,MATCH(ROWS($U$2:U40),$U$2:$U$1001,0),1)&gt;=100000,INDEX($AB$1005:$AQ$1005,1,MATCH(COLUMNS($AB$1006:AB1006),$AB$1006:$AQ$1006,0))&gt;=100000), " ",IF(INDEX($AB$2:$AQ$1001,MATCH(ROWS($U$2:U40),$U$2:$U$1001,0),MATCH(COLUMNS($AB$1006:AB1006),$AB$1006:$AQ$1006,0)), HYPERLINK("#",""), HYPERLINK(CONCATENATE("#Metadata!", ADDRESS(INDEX($W$2:$W$1001,MATCH(ROWS($U$2:U40),$U$2:$U$1001,0),0), INDEX($AB$1004:$AQ$1004,1,MATCH(COLUMNS($AB$1006:AB1006),$AB$1006:$AQ$1006,0)))),"Fix")))</f>
        <v>0</v>
      </c>
      <c r="C40" s="5">
        <f>IF(OR(INDEX($V$2:$V$1001,MATCH(ROWS($U$2:U40),$U$2:$U$1001,0),1)&gt;=100000,INDEX($AB$1005:$AQ$1005,1,MATCH(COLUMNS($AB$1006:AC1006),$AB$1006:$AQ$1006,0))&gt;=100000), " ",IF(INDEX($AB$2:$AQ$1001,MATCH(ROWS($U$2:U40),$U$2:$U$1001,0),MATCH(COLUMNS($AB$1006:AC1006),$AB$1006:$AQ$1006,0)), HYPERLINK("#",""), HYPERLINK(CONCATENATE("#Metadata!", ADDRESS(INDEX($W$2:$W$1001,MATCH(ROWS($U$2:U40),$U$2:$U$1001,0),0), INDEX($AB$1004:$AQ$1004,1,MATCH(COLUMNS($AB$1006:AC1006),$AB$1006:$AQ$1006,0)))),"Fix")))</f>
        <v>0</v>
      </c>
      <c r="D40" s="5">
        <f>IF(OR(INDEX($V$2:$V$1001,MATCH(ROWS($U$2:U40),$U$2:$U$1001,0),1)&gt;=100000,INDEX($AB$1005:$AQ$1005,1,MATCH(COLUMNS($AB$1006:AD1006),$AB$1006:$AQ$1006,0))&gt;=100000), " ",IF(INDEX($AB$2:$AQ$1001,MATCH(ROWS($U$2:U40),$U$2:$U$1001,0),MATCH(COLUMNS($AB$1006:AD1006),$AB$1006:$AQ$1006,0)), HYPERLINK("#",""), HYPERLINK(CONCATENATE("#Metadata!", ADDRESS(INDEX($W$2:$W$1001,MATCH(ROWS($U$2:U40),$U$2:$U$1001,0),0), INDEX($AB$1004:$AQ$1004,1,MATCH(COLUMNS($AB$1006:AD1006),$AB$1006:$AQ$1006,0)))),"Fix")))</f>
        <v>0</v>
      </c>
      <c r="E40" s="5">
        <f>IF(OR(INDEX($V$2:$V$1001,MATCH(ROWS($U$2:U40),$U$2:$U$1001,0),1)&gt;=100000,INDEX($AB$1005:$AQ$1005,1,MATCH(COLUMNS($AB$1006:AE1006),$AB$1006:$AQ$1006,0))&gt;=100000), " ",IF(INDEX($AB$2:$AQ$1001,MATCH(ROWS($U$2:U40),$U$2:$U$1001,0),MATCH(COLUMNS($AB$1006:AE1006),$AB$1006:$AQ$1006,0)), HYPERLINK("#",""), HYPERLINK(CONCATENATE("#Metadata!", ADDRESS(INDEX($W$2:$W$1001,MATCH(ROWS($U$2:U40),$U$2:$U$1001,0),0), INDEX($AB$1004:$AQ$1004,1,MATCH(COLUMNS($AB$1006:AE1006),$AB$1006:$AQ$1006,0)))),"Fix")))</f>
        <v>0</v>
      </c>
      <c r="F40" s="5">
        <f>IF(OR(INDEX($V$2:$V$1001,MATCH(ROWS($U$2:U40),$U$2:$U$1001,0),1)&gt;=100000,INDEX($AB$1005:$AQ$1005,1,MATCH(COLUMNS($AB$1006:AF1006),$AB$1006:$AQ$1006,0))&gt;=100000), " ",IF(INDEX($AB$2:$AQ$1001,MATCH(ROWS($U$2:U40),$U$2:$U$1001,0),MATCH(COLUMNS($AB$1006:AF1006),$AB$1006:$AQ$1006,0)), HYPERLINK("#",""), HYPERLINK(CONCATENATE("#Metadata!", ADDRESS(INDEX($W$2:$W$1001,MATCH(ROWS($U$2:U40),$U$2:$U$1001,0),0), INDEX($AB$1004:$AQ$1004,1,MATCH(COLUMNS($AB$1006:AF1006),$AB$1006:$AQ$1006,0)))),"Fix")))</f>
        <v>0</v>
      </c>
      <c r="G40" s="5">
        <f>IF(OR(INDEX($V$2:$V$1001,MATCH(ROWS($U$2:U40),$U$2:$U$1001,0),1)&gt;=100000,INDEX($AB$1005:$AQ$1005,1,MATCH(COLUMNS($AB$1006:AG1006),$AB$1006:$AQ$1006,0))&gt;=100000), " ",IF(INDEX($AB$2:$AQ$1001,MATCH(ROWS($U$2:U40),$U$2:$U$1001,0),MATCH(COLUMNS($AB$1006:AG1006),$AB$1006:$AQ$1006,0)), HYPERLINK("#",""), HYPERLINK(CONCATENATE("#Metadata!", ADDRESS(INDEX($W$2:$W$1001,MATCH(ROWS($U$2:U40),$U$2:$U$1001,0),0), INDEX($AB$1004:$AQ$1004,1,MATCH(COLUMNS($AB$1006:AG1006),$AB$1006:$AQ$1006,0)))),"Fix")))</f>
        <v>0</v>
      </c>
      <c r="H40" s="5">
        <f>IF(OR(INDEX($V$2:$V$1001,MATCH(ROWS($U$2:U40),$U$2:$U$1001,0),1)&gt;=100000,INDEX($AB$1005:$AQ$1005,1,MATCH(COLUMNS($AB$1006:AH1006),$AB$1006:$AQ$1006,0))&gt;=100000), " ",IF(INDEX($AB$2:$AQ$1001,MATCH(ROWS($U$2:U40),$U$2:$U$1001,0),MATCH(COLUMNS($AB$1006:AH1006),$AB$1006:$AQ$1006,0)), HYPERLINK("#",""), HYPERLINK(CONCATENATE("#Metadata!", ADDRESS(INDEX($W$2:$W$1001,MATCH(ROWS($U$2:U40),$U$2:$U$1001,0),0), INDEX($AB$1004:$AQ$1004,1,MATCH(COLUMNS($AB$1006:AH1006),$AB$1006:$AQ$1006,0)))),"Fix")))</f>
        <v>0</v>
      </c>
      <c r="I40" s="5">
        <f>IF(OR(INDEX($V$2:$V$1001,MATCH(ROWS($U$2:U40),$U$2:$U$1001,0),1)&gt;=100000,INDEX($AB$1005:$AQ$1005,1,MATCH(COLUMNS($AB$1006:AI1006),$AB$1006:$AQ$1006,0))&gt;=100000), " ",IF(INDEX($AB$2:$AQ$1001,MATCH(ROWS($U$2:U40),$U$2:$U$1001,0),MATCH(COLUMNS($AB$1006:AI1006),$AB$1006:$AQ$1006,0)), HYPERLINK("#",""), HYPERLINK(CONCATENATE("#Metadata!", ADDRESS(INDEX($W$2:$W$1001,MATCH(ROWS($U$2:U40),$U$2:$U$1001,0),0), INDEX($AB$1004:$AQ$1004,1,MATCH(COLUMNS($AB$1006:AI1006),$AB$1006:$AQ$1006,0)))),"Fix")))</f>
        <v>0</v>
      </c>
      <c r="J40" s="5">
        <f>IF(OR(INDEX($V$2:$V$1001,MATCH(ROWS($U$2:U40),$U$2:$U$1001,0),1)&gt;=100000,INDEX($AB$1005:$AQ$1005,1,MATCH(COLUMNS($AB$1006:AJ1006),$AB$1006:$AQ$1006,0))&gt;=100000), " ",IF(INDEX($AB$2:$AQ$1001,MATCH(ROWS($U$2:U40),$U$2:$U$1001,0),MATCH(COLUMNS($AB$1006:AJ1006),$AB$1006:$AQ$1006,0)), HYPERLINK("#",""), HYPERLINK(CONCATENATE("#Metadata!", ADDRESS(INDEX($W$2:$W$1001,MATCH(ROWS($U$2:U40),$U$2:$U$1001,0),0), INDEX($AB$1004:$AQ$1004,1,MATCH(COLUMNS($AB$1006:AJ1006),$AB$1006:$AQ$1006,0)))),"Fix")))</f>
        <v>0</v>
      </c>
      <c r="K40" s="5">
        <f>IF(OR(INDEX($V$2:$V$1001,MATCH(ROWS($U$2:U40),$U$2:$U$1001,0),1)&gt;=100000,INDEX($AB$1005:$AQ$1005,1,MATCH(COLUMNS($AB$1006:AK1006),$AB$1006:$AQ$1006,0))&gt;=100000), " ",IF(INDEX($AB$2:$AQ$1001,MATCH(ROWS($U$2:U40),$U$2:$U$1001,0),MATCH(COLUMNS($AB$1006:AK1006),$AB$1006:$AQ$1006,0)), HYPERLINK("#",""), HYPERLINK(CONCATENATE("#Metadata!", ADDRESS(INDEX($W$2:$W$1001,MATCH(ROWS($U$2:U40),$U$2:$U$1001,0),0), INDEX($AB$1004:$AQ$1004,1,MATCH(COLUMNS($AB$1006:AK1006),$AB$1006:$AQ$1006,0)))),"Fix")))</f>
        <v>0</v>
      </c>
      <c r="L40" s="5">
        <f>IF(OR(INDEX($V$2:$V$1001,MATCH(ROWS($U$2:U40),$U$2:$U$1001,0),1)&gt;=100000,INDEX($AB$1005:$AQ$1005,1,MATCH(COLUMNS($AB$1006:AL1006),$AB$1006:$AQ$1006,0))&gt;=100000), " ",IF(INDEX($AB$2:$AQ$1001,MATCH(ROWS($U$2:U40),$U$2:$U$1001,0),MATCH(COLUMNS($AB$1006:AL1006),$AB$1006:$AQ$1006,0)), HYPERLINK("#",""), HYPERLINK(CONCATENATE("#Metadata!", ADDRESS(INDEX($W$2:$W$1001,MATCH(ROWS($U$2:U40),$U$2:$U$1001,0),0), INDEX($AB$1004:$AQ$1004,1,MATCH(COLUMNS($AB$1006:AL1006),$AB$1006:$AQ$1006,0)))),"Fix")))</f>
        <v>0</v>
      </c>
      <c r="M40" s="5">
        <f>IF(OR(INDEX($V$2:$V$1001,MATCH(ROWS($U$2:U40),$U$2:$U$1001,0),1)&gt;=100000,INDEX($AB$1005:$AQ$1005,1,MATCH(COLUMNS($AB$1006:AM1006),$AB$1006:$AQ$1006,0))&gt;=100000), " ",IF(INDEX($AB$2:$AQ$1001,MATCH(ROWS($U$2:U40),$U$2:$U$1001,0),MATCH(COLUMNS($AB$1006:AM1006),$AB$1006:$AQ$1006,0)), HYPERLINK("#",""), HYPERLINK(CONCATENATE("#Metadata!", ADDRESS(INDEX($W$2:$W$1001,MATCH(ROWS($U$2:U40),$U$2:$U$1001,0),0), INDEX($AB$1004:$AQ$1004,1,MATCH(COLUMNS($AB$1006:AM1006),$AB$1006:$AQ$1006,0)))),"Fix")))</f>
        <v>0</v>
      </c>
      <c r="N40" s="5">
        <f>IF(OR(INDEX($V$2:$V$1001,MATCH(ROWS($U$2:U40),$U$2:$U$1001,0),1)&gt;=100000,INDEX($AB$1005:$AQ$1005,1,MATCH(COLUMNS($AB$1006:AN1006),$AB$1006:$AQ$1006,0))&gt;=100000), " ",IF(INDEX($AB$2:$AQ$1001,MATCH(ROWS($U$2:U40),$U$2:$U$1001,0),MATCH(COLUMNS($AB$1006:AN1006),$AB$1006:$AQ$1006,0)), HYPERLINK("#",""), HYPERLINK(CONCATENATE("#Metadata!", ADDRESS(INDEX($W$2:$W$1001,MATCH(ROWS($U$2:U40),$U$2:$U$1001,0),0), INDEX($AB$1004:$AQ$1004,1,MATCH(COLUMNS($AB$1006:AN1006),$AB$1006:$AQ$1006,0)))),"Fix")))</f>
        <v>0</v>
      </c>
      <c r="O40" s="5">
        <f>IF(OR(INDEX($V$2:$V$1001,MATCH(ROWS($U$2:U40),$U$2:$U$1001,0),1)&gt;=100000,INDEX($AB$1005:$AQ$1005,1,MATCH(COLUMNS($AB$1006:AO1006),$AB$1006:$AQ$1006,0))&gt;=100000), " ",IF(INDEX($AB$2:$AQ$1001,MATCH(ROWS($U$2:U40),$U$2:$U$1001,0),MATCH(COLUMNS($AB$1006:AO1006),$AB$1006:$AQ$1006,0)), HYPERLINK("#",""), HYPERLINK(CONCATENATE("#Metadata!", ADDRESS(INDEX($W$2:$W$1001,MATCH(ROWS($U$2:U40),$U$2:$U$1001,0),0), INDEX($AB$1004:$AQ$1004,1,MATCH(COLUMNS($AB$1006:AO1006),$AB$1006:$AQ$1006,0)))),"Fix")))</f>
        <v>0</v>
      </c>
      <c r="P40" s="5">
        <f>IF(OR(INDEX($V$2:$V$1001,MATCH(ROWS($U$2:U40),$U$2:$U$1001,0),1)&gt;=100000,INDEX($AB$1005:$AQ$1005,1,MATCH(COLUMNS($AB$1006:AP1006),$AB$1006:$AQ$1006,0))&gt;=100000), " ",IF(INDEX($AB$2:$AQ$1001,MATCH(ROWS($U$2:U40),$U$2:$U$1001,0),MATCH(COLUMNS($AB$1006:AP1006),$AB$1006:$AQ$1006,0)), HYPERLINK("#",""), HYPERLINK(CONCATENATE("#Metadata!", ADDRESS(INDEX($W$2:$W$1001,MATCH(ROWS($U$2:U40),$U$2:$U$1001,0),0), INDEX($AB$1004:$AQ$1004,1,MATCH(COLUMNS($AB$1006:AP1006),$AB$1006:$AQ$1006,0)))),"Fix")))</f>
        <v>0</v>
      </c>
      <c r="Q40" s="5">
        <f>IF(OR(INDEX($V$2:$V$1001,MATCH(ROWS($U$2:U40),$U$2:$U$1001,0),1)&gt;=100000,INDEX($AB$1005:$AQ$1005,1,MATCH(COLUMNS($AB$1006:AQ1006),$AB$1006:$AQ$1006,0))&gt;=100000), " ",IF(INDEX($AB$2:$AQ$1001,MATCH(ROWS($U$2:U40),$U$2:$U$1001,0),MATCH(COLUMNS($AB$1006:AQ1006),$AB$1006:$AQ$1006,0)), HYPERLINK("#",""), HYPERLINK(CONCATENATE("#Metadata!", ADDRESS(INDEX($W$2:$W$1001,MATCH(ROWS($U$2:U40),$U$2:$U$1001,0),0), INDEX($AB$1004:$AQ$1004,1,MATCH(COLUMNS($AB$1006:AQ1006),$AB$1006:$AQ$1006,0)))),"Fix")))</f>
        <v>0</v>
      </c>
      <c r="U40">
        <v>0</v>
      </c>
      <c r="V40">
        <v>0</v>
      </c>
      <c r="W40">
        <v>0</v>
      </c>
      <c r="X40">
        <f>IF(Y40,TRUE,AND(AB40:AQ40))</f>
        <v>0</v>
      </c>
      <c r="Y40">
        <f>COUNTBLANK(Metadata!B40:Q40)=COLUMNS(Metadata!B40:Q40)</f>
        <v>0</v>
      </c>
      <c r="Z40">
        <v>0</v>
      </c>
      <c r="AB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AC40">
        <f>AND(IF(Metadata!C40="",FALSE,TRUE),exact(Metadata!C40,"urban biome"))</f>
        <v>0</v>
      </c>
      <c r="AD40">
        <f>AND(IF(Metadata!D40="",FALSE,TRUE),exact(Metadata!D40,"human-associated habitat"))</f>
        <v>0</v>
      </c>
      <c r="AE40">
        <f>AND(IF(Metadata!E40="",FALSE,TRUE),OR(exact(Metadata!E40,"human-associated"),exact(Metadata!E40,"human-skin"),exact(Metadata!E40,"human-oral"),exact(Metadata!E40,"human-gut"),exact(Metadata!E40,"human-vaginal")))</f>
        <v>0</v>
      </c>
      <c r="AF40">
        <f>AND(IF(Metadata!F40="",FALSE,ISNUMBER(VALUE(Metadata!F40))),Metadata!F40&gt;0)</f>
        <v>0</v>
      </c>
      <c r="AG40">
        <f>AND(IF(Metadata!G40="",FALSE,TRUE),exact(Metadata!G40,"years"))</f>
        <v>0</v>
      </c>
      <c r="AH40">
        <f>OR(AND(IF(Metadata!H40="",FALSE,TRUE),OR(exact(Metadata!H40,"not applicable"),exact(Metadata!H40,"not collected"),exact(Metadata!H40,"not provided"),exact(Metadata!H40,"restricted access"))),AND(IF(Metadata!H40="",FALSE,ISNUMBER(VALUE(Metadata!H40))),Metadata!H40&gt;0))</f>
        <v>0</v>
      </c>
      <c r="AI40">
        <f>AND(IF(Metadata!I40="",FALSE,TRUE),exact(Metadata!I40,"human"))</f>
        <v>0</v>
      </c>
      <c r="AJ40">
        <f>AND(IF(Metadata!J40="",FALSE,ISNUMBER(VALUE(Metadata!J40))),Metadata!J40&gt;0)</f>
        <v>0</v>
      </c>
      <c r="AK40">
        <f>AND(IF(Metadata!K40="",FALSE,TRUE),exact(Metadata!K40,"cm"))</f>
        <v>0</v>
      </c>
      <c r="AL40">
        <f>AND(IF(Metadata!L40="",FALSE,TRUE),exact(Metadata!L40,"Homo sapiens"))</f>
        <v>0</v>
      </c>
      <c r="AM40">
        <f>AND(IF(Metadata!M40="",FALSE,TRUE),exact(Metadata!M40,"9606"))</f>
        <v>0</v>
      </c>
      <c r="AN40">
        <f>AND(IF(Metadata!N40="",FALSE,ISNUMBER(VALUE(Metadata!N40))),Metadata!N40&gt;0)</f>
        <v>0</v>
      </c>
      <c r="AO40">
        <f>AND(IF(Metadata!O40="",FALSE,TRUE),exact(Metadata!O40,"kg"))</f>
        <v>0</v>
      </c>
      <c r="AP40">
        <f>OR(AND(IF(Metadata!P40="",FALSE,TRUE),exact(Metadata!P40,"not provided")),IF(Metadata!P40="",FALSE,TRUE))</f>
        <v>0</v>
      </c>
      <c r="AQ40">
        <f>OR(AND(IF(Metadata!Q40="",FALSE,TRUE),exact(Metadata!Q40,"not provided")),IF(Metadata!Q40="",FALSE,TRUE))</f>
        <v>0</v>
      </c>
    </row>
    <row r="41" spans="1:43">
      <c r="A41" s="4">
        <f>IF(B41=" "," ",HYPERLINK(CONCATENATE("#metadata!",ADDRESS(INDEX($W$2:$W$1001,MATCH(ROWS($U$2:U41),$U$2:$U$1001,0),0),2)),INDEX($Z$2:$Z$1001,MATCH(ROWS($U$2:U41),$U$2:$U$1001,0),0)))</f>
        <v>0</v>
      </c>
      <c r="B41" s="5">
        <f>IF(OR(INDEX($V$2:$V$1001,MATCH(ROWS($U$2:U41),$U$2:$U$1001,0),1)&gt;=100000,INDEX($AB$1005:$AQ$1005,1,MATCH(COLUMNS($AB$1006:AB1006),$AB$1006:$AQ$1006,0))&gt;=100000), " ",IF(INDEX($AB$2:$AQ$1001,MATCH(ROWS($U$2:U41),$U$2:$U$1001,0),MATCH(COLUMNS($AB$1006:AB1006),$AB$1006:$AQ$1006,0)), HYPERLINK("#",""), HYPERLINK(CONCATENATE("#Metadata!", ADDRESS(INDEX($W$2:$W$1001,MATCH(ROWS($U$2:U41),$U$2:$U$1001,0),0), INDEX($AB$1004:$AQ$1004,1,MATCH(COLUMNS($AB$1006:AB1006),$AB$1006:$AQ$1006,0)))),"Fix")))</f>
        <v>0</v>
      </c>
      <c r="C41" s="5">
        <f>IF(OR(INDEX($V$2:$V$1001,MATCH(ROWS($U$2:U41),$U$2:$U$1001,0),1)&gt;=100000,INDEX($AB$1005:$AQ$1005,1,MATCH(COLUMNS($AB$1006:AC1006),$AB$1006:$AQ$1006,0))&gt;=100000), " ",IF(INDEX($AB$2:$AQ$1001,MATCH(ROWS($U$2:U41),$U$2:$U$1001,0),MATCH(COLUMNS($AB$1006:AC1006),$AB$1006:$AQ$1006,0)), HYPERLINK("#",""), HYPERLINK(CONCATENATE("#Metadata!", ADDRESS(INDEX($W$2:$W$1001,MATCH(ROWS($U$2:U41),$U$2:$U$1001,0),0), INDEX($AB$1004:$AQ$1004,1,MATCH(COLUMNS($AB$1006:AC1006),$AB$1006:$AQ$1006,0)))),"Fix")))</f>
        <v>0</v>
      </c>
      <c r="D41" s="5">
        <f>IF(OR(INDEX($V$2:$V$1001,MATCH(ROWS($U$2:U41),$U$2:$U$1001,0),1)&gt;=100000,INDEX($AB$1005:$AQ$1005,1,MATCH(COLUMNS($AB$1006:AD1006),$AB$1006:$AQ$1006,0))&gt;=100000), " ",IF(INDEX($AB$2:$AQ$1001,MATCH(ROWS($U$2:U41),$U$2:$U$1001,0),MATCH(COLUMNS($AB$1006:AD1006),$AB$1006:$AQ$1006,0)), HYPERLINK("#",""), HYPERLINK(CONCATENATE("#Metadata!", ADDRESS(INDEX($W$2:$W$1001,MATCH(ROWS($U$2:U41),$U$2:$U$1001,0),0), INDEX($AB$1004:$AQ$1004,1,MATCH(COLUMNS($AB$1006:AD1006),$AB$1006:$AQ$1006,0)))),"Fix")))</f>
        <v>0</v>
      </c>
      <c r="E41" s="5">
        <f>IF(OR(INDEX($V$2:$V$1001,MATCH(ROWS($U$2:U41),$U$2:$U$1001,0),1)&gt;=100000,INDEX($AB$1005:$AQ$1005,1,MATCH(COLUMNS($AB$1006:AE1006),$AB$1006:$AQ$1006,0))&gt;=100000), " ",IF(INDEX($AB$2:$AQ$1001,MATCH(ROWS($U$2:U41),$U$2:$U$1001,0),MATCH(COLUMNS($AB$1006:AE1006),$AB$1006:$AQ$1006,0)), HYPERLINK("#",""), HYPERLINK(CONCATENATE("#Metadata!", ADDRESS(INDEX($W$2:$W$1001,MATCH(ROWS($U$2:U41),$U$2:$U$1001,0),0), INDEX($AB$1004:$AQ$1004,1,MATCH(COLUMNS($AB$1006:AE1006),$AB$1006:$AQ$1006,0)))),"Fix")))</f>
        <v>0</v>
      </c>
      <c r="F41" s="5">
        <f>IF(OR(INDEX($V$2:$V$1001,MATCH(ROWS($U$2:U41),$U$2:$U$1001,0),1)&gt;=100000,INDEX($AB$1005:$AQ$1005,1,MATCH(COLUMNS($AB$1006:AF1006),$AB$1006:$AQ$1006,0))&gt;=100000), " ",IF(INDEX($AB$2:$AQ$1001,MATCH(ROWS($U$2:U41),$U$2:$U$1001,0),MATCH(COLUMNS($AB$1006:AF1006),$AB$1006:$AQ$1006,0)), HYPERLINK("#",""), HYPERLINK(CONCATENATE("#Metadata!", ADDRESS(INDEX($W$2:$W$1001,MATCH(ROWS($U$2:U41),$U$2:$U$1001,0),0), INDEX($AB$1004:$AQ$1004,1,MATCH(COLUMNS($AB$1006:AF1006),$AB$1006:$AQ$1006,0)))),"Fix")))</f>
        <v>0</v>
      </c>
      <c r="G41" s="5">
        <f>IF(OR(INDEX($V$2:$V$1001,MATCH(ROWS($U$2:U41),$U$2:$U$1001,0),1)&gt;=100000,INDEX($AB$1005:$AQ$1005,1,MATCH(COLUMNS($AB$1006:AG1006),$AB$1006:$AQ$1006,0))&gt;=100000), " ",IF(INDEX($AB$2:$AQ$1001,MATCH(ROWS($U$2:U41),$U$2:$U$1001,0),MATCH(COLUMNS($AB$1006:AG1006),$AB$1006:$AQ$1006,0)), HYPERLINK("#",""), HYPERLINK(CONCATENATE("#Metadata!", ADDRESS(INDEX($W$2:$W$1001,MATCH(ROWS($U$2:U41),$U$2:$U$1001,0),0), INDEX($AB$1004:$AQ$1004,1,MATCH(COLUMNS($AB$1006:AG1006),$AB$1006:$AQ$1006,0)))),"Fix")))</f>
        <v>0</v>
      </c>
      <c r="H41" s="5">
        <f>IF(OR(INDEX($V$2:$V$1001,MATCH(ROWS($U$2:U41),$U$2:$U$1001,0),1)&gt;=100000,INDEX($AB$1005:$AQ$1005,1,MATCH(COLUMNS($AB$1006:AH1006),$AB$1006:$AQ$1006,0))&gt;=100000), " ",IF(INDEX($AB$2:$AQ$1001,MATCH(ROWS($U$2:U41),$U$2:$U$1001,0),MATCH(COLUMNS($AB$1006:AH1006),$AB$1006:$AQ$1006,0)), HYPERLINK("#",""), HYPERLINK(CONCATENATE("#Metadata!", ADDRESS(INDEX($W$2:$W$1001,MATCH(ROWS($U$2:U41),$U$2:$U$1001,0),0), INDEX($AB$1004:$AQ$1004,1,MATCH(COLUMNS($AB$1006:AH1006),$AB$1006:$AQ$1006,0)))),"Fix")))</f>
        <v>0</v>
      </c>
      <c r="I41" s="5">
        <f>IF(OR(INDEX($V$2:$V$1001,MATCH(ROWS($U$2:U41),$U$2:$U$1001,0),1)&gt;=100000,INDEX($AB$1005:$AQ$1005,1,MATCH(COLUMNS($AB$1006:AI1006),$AB$1006:$AQ$1006,0))&gt;=100000), " ",IF(INDEX($AB$2:$AQ$1001,MATCH(ROWS($U$2:U41),$U$2:$U$1001,0),MATCH(COLUMNS($AB$1006:AI1006),$AB$1006:$AQ$1006,0)), HYPERLINK("#",""), HYPERLINK(CONCATENATE("#Metadata!", ADDRESS(INDEX($W$2:$W$1001,MATCH(ROWS($U$2:U41),$U$2:$U$1001,0),0), INDEX($AB$1004:$AQ$1004,1,MATCH(COLUMNS($AB$1006:AI1006),$AB$1006:$AQ$1006,0)))),"Fix")))</f>
        <v>0</v>
      </c>
      <c r="J41" s="5">
        <f>IF(OR(INDEX($V$2:$V$1001,MATCH(ROWS($U$2:U41),$U$2:$U$1001,0),1)&gt;=100000,INDEX($AB$1005:$AQ$1005,1,MATCH(COLUMNS($AB$1006:AJ1006),$AB$1006:$AQ$1006,0))&gt;=100000), " ",IF(INDEX($AB$2:$AQ$1001,MATCH(ROWS($U$2:U41),$U$2:$U$1001,0),MATCH(COLUMNS($AB$1006:AJ1006),$AB$1006:$AQ$1006,0)), HYPERLINK("#",""), HYPERLINK(CONCATENATE("#Metadata!", ADDRESS(INDEX($W$2:$W$1001,MATCH(ROWS($U$2:U41),$U$2:$U$1001,0),0), INDEX($AB$1004:$AQ$1004,1,MATCH(COLUMNS($AB$1006:AJ1006),$AB$1006:$AQ$1006,0)))),"Fix")))</f>
        <v>0</v>
      </c>
      <c r="K41" s="5">
        <f>IF(OR(INDEX($V$2:$V$1001,MATCH(ROWS($U$2:U41),$U$2:$U$1001,0),1)&gt;=100000,INDEX($AB$1005:$AQ$1005,1,MATCH(COLUMNS($AB$1006:AK1006),$AB$1006:$AQ$1006,0))&gt;=100000), " ",IF(INDEX($AB$2:$AQ$1001,MATCH(ROWS($U$2:U41),$U$2:$U$1001,0),MATCH(COLUMNS($AB$1006:AK1006),$AB$1006:$AQ$1006,0)), HYPERLINK("#",""), HYPERLINK(CONCATENATE("#Metadata!", ADDRESS(INDEX($W$2:$W$1001,MATCH(ROWS($U$2:U41),$U$2:$U$1001,0),0), INDEX($AB$1004:$AQ$1004,1,MATCH(COLUMNS($AB$1006:AK1006),$AB$1006:$AQ$1006,0)))),"Fix")))</f>
        <v>0</v>
      </c>
      <c r="L41" s="5">
        <f>IF(OR(INDEX($V$2:$V$1001,MATCH(ROWS($U$2:U41),$U$2:$U$1001,0),1)&gt;=100000,INDEX($AB$1005:$AQ$1005,1,MATCH(COLUMNS($AB$1006:AL1006),$AB$1006:$AQ$1006,0))&gt;=100000), " ",IF(INDEX($AB$2:$AQ$1001,MATCH(ROWS($U$2:U41),$U$2:$U$1001,0),MATCH(COLUMNS($AB$1006:AL1006),$AB$1006:$AQ$1006,0)), HYPERLINK("#",""), HYPERLINK(CONCATENATE("#Metadata!", ADDRESS(INDEX($W$2:$W$1001,MATCH(ROWS($U$2:U41),$U$2:$U$1001,0),0), INDEX($AB$1004:$AQ$1004,1,MATCH(COLUMNS($AB$1006:AL1006),$AB$1006:$AQ$1006,0)))),"Fix")))</f>
        <v>0</v>
      </c>
      <c r="M41" s="5">
        <f>IF(OR(INDEX($V$2:$V$1001,MATCH(ROWS($U$2:U41),$U$2:$U$1001,0),1)&gt;=100000,INDEX($AB$1005:$AQ$1005,1,MATCH(COLUMNS($AB$1006:AM1006),$AB$1006:$AQ$1006,0))&gt;=100000), " ",IF(INDEX($AB$2:$AQ$1001,MATCH(ROWS($U$2:U41),$U$2:$U$1001,0),MATCH(COLUMNS($AB$1006:AM1006),$AB$1006:$AQ$1006,0)), HYPERLINK("#",""), HYPERLINK(CONCATENATE("#Metadata!", ADDRESS(INDEX($W$2:$W$1001,MATCH(ROWS($U$2:U41),$U$2:$U$1001,0),0), INDEX($AB$1004:$AQ$1004,1,MATCH(COLUMNS($AB$1006:AM1006),$AB$1006:$AQ$1006,0)))),"Fix")))</f>
        <v>0</v>
      </c>
      <c r="N41" s="5">
        <f>IF(OR(INDEX($V$2:$V$1001,MATCH(ROWS($U$2:U41),$U$2:$U$1001,0),1)&gt;=100000,INDEX($AB$1005:$AQ$1005,1,MATCH(COLUMNS($AB$1006:AN1006),$AB$1006:$AQ$1006,0))&gt;=100000), " ",IF(INDEX($AB$2:$AQ$1001,MATCH(ROWS($U$2:U41),$U$2:$U$1001,0),MATCH(COLUMNS($AB$1006:AN1006),$AB$1006:$AQ$1006,0)), HYPERLINK("#",""), HYPERLINK(CONCATENATE("#Metadata!", ADDRESS(INDEX($W$2:$W$1001,MATCH(ROWS($U$2:U41),$U$2:$U$1001,0),0), INDEX($AB$1004:$AQ$1004,1,MATCH(COLUMNS($AB$1006:AN1006),$AB$1006:$AQ$1006,0)))),"Fix")))</f>
        <v>0</v>
      </c>
      <c r="O41" s="5">
        <f>IF(OR(INDEX($V$2:$V$1001,MATCH(ROWS($U$2:U41),$U$2:$U$1001,0),1)&gt;=100000,INDEX($AB$1005:$AQ$1005,1,MATCH(COLUMNS($AB$1006:AO1006),$AB$1006:$AQ$1006,0))&gt;=100000), " ",IF(INDEX($AB$2:$AQ$1001,MATCH(ROWS($U$2:U41),$U$2:$U$1001,0),MATCH(COLUMNS($AB$1006:AO1006),$AB$1006:$AQ$1006,0)), HYPERLINK("#",""), HYPERLINK(CONCATENATE("#Metadata!", ADDRESS(INDEX($W$2:$W$1001,MATCH(ROWS($U$2:U41),$U$2:$U$1001,0),0), INDEX($AB$1004:$AQ$1004,1,MATCH(COLUMNS($AB$1006:AO1006),$AB$1006:$AQ$1006,0)))),"Fix")))</f>
        <v>0</v>
      </c>
      <c r="P41" s="5">
        <f>IF(OR(INDEX($V$2:$V$1001,MATCH(ROWS($U$2:U41),$U$2:$U$1001,0),1)&gt;=100000,INDEX($AB$1005:$AQ$1005,1,MATCH(COLUMNS($AB$1006:AP1006),$AB$1006:$AQ$1006,0))&gt;=100000), " ",IF(INDEX($AB$2:$AQ$1001,MATCH(ROWS($U$2:U41),$U$2:$U$1001,0),MATCH(COLUMNS($AB$1006:AP1006),$AB$1006:$AQ$1006,0)), HYPERLINK("#",""), HYPERLINK(CONCATENATE("#Metadata!", ADDRESS(INDEX($W$2:$W$1001,MATCH(ROWS($U$2:U41),$U$2:$U$1001,0),0), INDEX($AB$1004:$AQ$1004,1,MATCH(COLUMNS($AB$1006:AP1006),$AB$1006:$AQ$1006,0)))),"Fix")))</f>
        <v>0</v>
      </c>
      <c r="Q41" s="5">
        <f>IF(OR(INDEX($V$2:$V$1001,MATCH(ROWS($U$2:U41),$U$2:$U$1001,0),1)&gt;=100000,INDEX($AB$1005:$AQ$1005,1,MATCH(COLUMNS($AB$1006:AQ1006),$AB$1006:$AQ$1006,0))&gt;=100000), " ",IF(INDEX($AB$2:$AQ$1001,MATCH(ROWS($U$2:U41),$U$2:$U$1001,0),MATCH(COLUMNS($AB$1006:AQ1006),$AB$1006:$AQ$1006,0)), HYPERLINK("#",""), HYPERLINK(CONCATENATE("#Metadata!", ADDRESS(INDEX($W$2:$W$1001,MATCH(ROWS($U$2:U41),$U$2:$U$1001,0),0), INDEX($AB$1004:$AQ$1004,1,MATCH(COLUMNS($AB$1006:AQ1006),$AB$1006:$AQ$1006,0)))),"Fix")))</f>
        <v>0</v>
      </c>
      <c r="U41">
        <v>0</v>
      </c>
      <c r="V41">
        <v>0</v>
      </c>
      <c r="W41">
        <v>0</v>
      </c>
      <c r="X41">
        <f>IF(Y41,TRUE,AND(AB41:AQ41))</f>
        <v>0</v>
      </c>
      <c r="Y41">
        <f>COUNTBLANK(Metadata!B41:Q41)=COLUMNS(Metadata!B41:Q41)</f>
        <v>0</v>
      </c>
      <c r="Z41">
        <v>0</v>
      </c>
      <c r="AB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AC41">
        <f>AND(IF(Metadata!C41="",FALSE,TRUE),exact(Metadata!C41,"urban biome"))</f>
        <v>0</v>
      </c>
      <c r="AD41">
        <f>AND(IF(Metadata!D41="",FALSE,TRUE),exact(Metadata!D41,"human-associated habitat"))</f>
        <v>0</v>
      </c>
      <c r="AE41">
        <f>AND(IF(Metadata!E41="",FALSE,TRUE),OR(exact(Metadata!E41,"human-associated"),exact(Metadata!E41,"human-skin"),exact(Metadata!E41,"human-oral"),exact(Metadata!E41,"human-gut"),exact(Metadata!E41,"human-vaginal")))</f>
        <v>0</v>
      </c>
      <c r="AF41">
        <f>AND(IF(Metadata!F41="",FALSE,ISNUMBER(VALUE(Metadata!F41))),Metadata!F41&gt;0)</f>
        <v>0</v>
      </c>
      <c r="AG41">
        <f>AND(IF(Metadata!G41="",FALSE,TRUE),exact(Metadata!G41,"years"))</f>
        <v>0</v>
      </c>
      <c r="AH41">
        <f>OR(AND(IF(Metadata!H41="",FALSE,TRUE),OR(exact(Metadata!H41,"not applicable"),exact(Metadata!H41,"not collected"),exact(Metadata!H41,"not provided"),exact(Metadata!H41,"restricted access"))),AND(IF(Metadata!H41="",FALSE,ISNUMBER(VALUE(Metadata!H41))),Metadata!H41&gt;0))</f>
        <v>0</v>
      </c>
      <c r="AI41">
        <f>AND(IF(Metadata!I41="",FALSE,TRUE),exact(Metadata!I41,"human"))</f>
        <v>0</v>
      </c>
      <c r="AJ41">
        <f>AND(IF(Metadata!J41="",FALSE,ISNUMBER(VALUE(Metadata!J41))),Metadata!J41&gt;0)</f>
        <v>0</v>
      </c>
      <c r="AK41">
        <f>AND(IF(Metadata!K41="",FALSE,TRUE),exact(Metadata!K41,"cm"))</f>
        <v>0</v>
      </c>
      <c r="AL41">
        <f>AND(IF(Metadata!L41="",FALSE,TRUE),exact(Metadata!L41,"Homo sapiens"))</f>
        <v>0</v>
      </c>
      <c r="AM41">
        <f>AND(IF(Metadata!M41="",FALSE,TRUE),exact(Metadata!M41,"9606"))</f>
        <v>0</v>
      </c>
      <c r="AN41">
        <f>AND(IF(Metadata!N41="",FALSE,ISNUMBER(VALUE(Metadata!N41))),Metadata!N41&gt;0)</f>
        <v>0</v>
      </c>
      <c r="AO41">
        <f>AND(IF(Metadata!O41="",FALSE,TRUE),exact(Metadata!O41,"kg"))</f>
        <v>0</v>
      </c>
      <c r="AP41">
        <f>OR(AND(IF(Metadata!P41="",FALSE,TRUE),exact(Metadata!P41,"not provided")),IF(Metadata!P41="",FALSE,TRUE))</f>
        <v>0</v>
      </c>
      <c r="AQ41">
        <f>OR(AND(IF(Metadata!Q41="",FALSE,TRUE),exact(Metadata!Q41,"not provided")),IF(Metadata!Q41="",FALSE,TRUE))</f>
        <v>0</v>
      </c>
    </row>
    <row r="42" spans="1:43">
      <c r="A42" s="4">
        <f>IF(B42=" "," ",HYPERLINK(CONCATENATE("#metadata!",ADDRESS(INDEX($W$2:$W$1001,MATCH(ROWS($U$2:U42),$U$2:$U$1001,0),0),2)),INDEX($Z$2:$Z$1001,MATCH(ROWS($U$2:U42),$U$2:$U$1001,0),0)))</f>
        <v>0</v>
      </c>
      <c r="B42" s="5">
        <f>IF(OR(INDEX($V$2:$V$1001,MATCH(ROWS($U$2:U42),$U$2:$U$1001,0),1)&gt;=100000,INDEX($AB$1005:$AQ$1005,1,MATCH(COLUMNS($AB$1006:AB1006),$AB$1006:$AQ$1006,0))&gt;=100000), " ",IF(INDEX($AB$2:$AQ$1001,MATCH(ROWS($U$2:U42),$U$2:$U$1001,0),MATCH(COLUMNS($AB$1006:AB1006),$AB$1006:$AQ$1006,0)), HYPERLINK("#",""), HYPERLINK(CONCATENATE("#Metadata!", ADDRESS(INDEX($W$2:$W$1001,MATCH(ROWS($U$2:U42),$U$2:$U$1001,0),0), INDEX($AB$1004:$AQ$1004,1,MATCH(COLUMNS($AB$1006:AB1006),$AB$1006:$AQ$1006,0)))),"Fix")))</f>
        <v>0</v>
      </c>
      <c r="C42" s="5">
        <f>IF(OR(INDEX($V$2:$V$1001,MATCH(ROWS($U$2:U42),$U$2:$U$1001,0),1)&gt;=100000,INDEX($AB$1005:$AQ$1005,1,MATCH(COLUMNS($AB$1006:AC1006),$AB$1006:$AQ$1006,0))&gt;=100000), " ",IF(INDEX($AB$2:$AQ$1001,MATCH(ROWS($U$2:U42),$U$2:$U$1001,0),MATCH(COLUMNS($AB$1006:AC1006),$AB$1006:$AQ$1006,0)), HYPERLINK("#",""), HYPERLINK(CONCATENATE("#Metadata!", ADDRESS(INDEX($W$2:$W$1001,MATCH(ROWS($U$2:U42),$U$2:$U$1001,0),0), INDEX($AB$1004:$AQ$1004,1,MATCH(COLUMNS($AB$1006:AC1006),$AB$1006:$AQ$1006,0)))),"Fix")))</f>
        <v>0</v>
      </c>
      <c r="D42" s="5">
        <f>IF(OR(INDEX($V$2:$V$1001,MATCH(ROWS($U$2:U42),$U$2:$U$1001,0),1)&gt;=100000,INDEX($AB$1005:$AQ$1005,1,MATCH(COLUMNS($AB$1006:AD1006),$AB$1006:$AQ$1006,0))&gt;=100000), " ",IF(INDEX($AB$2:$AQ$1001,MATCH(ROWS($U$2:U42),$U$2:$U$1001,0),MATCH(COLUMNS($AB$1006:AD1006),$AB$1006:$AQ$1006,0)), HYPERLINK("#",""), HYPERLINK(CONCATENATE("#Metadata!", ADDRESS(INDEX($W$2:$W$1001,MATCH(ROWS($U$2:U42),$U$2:$U$1001,0),0), INDEX($AB$1004:$AQ$1004,1,MATCH(COLUMNS($AB$1006:AD1006),$AB$1006:$AQ$1006,0)))),"Fix")))</f>
        <v>0</v>
      </c>
      <c r="E42" s="5">
        <f>IF(OR(INDEX($V$2:$V$1001,MATCH(ROWS($U$2:U42),$U$2:$U$1001,0),1)&gt;=100000,INDEX($AB$1005:$AQ$1005,1,MATCH(COLUMNS($AB$1006:AE1006),$AB$1006:$AQ$1006,0))&gt;=100000), " ",IF(INDEX($AB$2:$AQ$1001,MATCH(ROWS($U$2:U42),$U$2:$U$1001,0),MATCH(COLUMNS($AB$1006:AE1006),$AB$1006:$AQ$1006,0)), HYPERLINK("#",""), HYPERLINK(CONCATENATE("#Metadata!", ADDRESS(INDEX($W$2:$W$1001,MATCH(ROWS($U$2:U42),$U$2:$U$1001,0),0), INDEX($AB$1004:$AQ$1004,1,MATCH(COLUMNS($AB$1006:AE1006),$AB$1006:$AQ$1006,0)))),"Fix")))</f>
        <v>0</v>
      </c>
      <c r="F42" s="5">
        <f>IF(OR(INDEX($V$2:$V$1001,MATCH(ROWS($U$2:U42),$U$2:$U$1001,0),1)&gt;=100000,INDEX($AB$1005:$AQ$1005,1,MATCH(COLUMNS($AB$1006:AF1006),$AB$1006:$AQ$1006,0))&gt;=100000), " ",IF(INDEX($AB$2:$AQ$1001,MATCH(ROWS($U$2:U42),$U$2:$U$1001,0),MATCH(COLUMNS($AB$1006:AF1006),$AB$1006:$AQ$1006,0)), HYPERLINK("#",""), HYPERLINK(CONCATENATE("#Metadata!", ADDRESS(INDEX($W$2:$W$1001,MATCH(ROWS($U$2:U42),$U$2:$U$1001,0),0), INDEX($AB$1004:$AQ$1004,1,MATCH(COLUMNS($AB$1006:AF1006),$AB$1006:$AQ$1006,0)))),"Fix")))</f>
        <v>0</v>
      </c>
      <c r="G42" s="5">
        <f>IF(OR(INDEX($V$2:$V$1001,MATCH(ROWS($U$2:U42),$U$2:$U$1001,0),1)&gt;=100000,INDEX($AB$1005:$AQ$1005,1,MATCH(COLUMNS($AB$1006:AG1006),$AB$1006:$AQ$1006,0))&gt;=100000), " ",IF(INDEX($AB$2:$AQ$1001,MATCH(ROWS($U$2:U42),$U$2:$U$1001,0),MATCH(COLUMNS($AB$1006:AG1006),$AB$1006:$AQ$1006,0)), HYPERLINK("#",""), HYPERLINK(CONCATENATE("#Metadata!", ADDRESS(INDEX($W$2:$W$1001,MATCH(ROWS($U$2:U42),$U$2:$U$1001,0),0), INDEX($AB$1004:$AQ$1004,1,MATCH(COLUMNS($AB$1006:AG1006),$AB$1006:$AQ$1006,0)))),"Fix")))</f>
        <v>0</v>
      </c>
      <c r="H42" s="5">
        <f>IF(OR(INDEX($V$2:$V$1001,MATCH(ROWS($U$2:U42),$U$2:$U$1001,0),1)&gt;=100000,INDEX($AB$1005:$AQ$1005,1,MATCH(COLUMNS($AB$1006:AH1006),$AB$1006:$AQ$1006,0))&gt;=100000), " ",IF(INDEX($AB$2:$AQ$1001,MATCH(ROWS($U$2:U42),$U$2:$U$1001,0),MATCH(COLUMNS($AB$1006:AH1006),$AB$1006:$AQ$1006,0)), HYPERLINK("#",""), HYPERLINK(CONCATENATE("#Metadata!", ADDRESS(INDEX($W$2:$W$1001,MATCH(ROWS($U$2:U42),$U$2:$U$1001,0),0), INDEX($AB$1004:$AQ$1004,1,MATCH(COLUMNS($AB$1006:AH1006),$AB$1006:$AQ$1006,0)))),"Fix")))</f>
        <v>0</v>
      </c>
      <c r="I42" s="5">
        <f>IF(OR(INDEX($V$2:$V$1001,MATCH(ROWS($U$2:U42),$U$2:$U$1001,0),1)&gt;=100000,INDEX($AB$1005:$AQ$1005,1,MATCH(COLUMNS($AB$1006:AI1006),$AB$1006:$AQ$1006,0))&gt;=100000), " ",IF(INDEX($AB$2:$AQ$1001,MATCH(ROWS($U$2:U42),$U$2:$U$1001,0),MATCH(COLUMNS($AB$1006:AI1006),$AB$1006:$AQ$1006,0)), HYPERLINK("#",""), HYPERLINK(CONCATENATE("#Metadata!", ADDRESS(INDEX($W$2:$W$1001,MATCH(ROWS($U$2:U42),$U$2:$U$1001,0),0), INDEX($AB$1004:$AQ$1004,1,MATCH(COLUMNS($AB$1006:AI1006),$AB$1006:$AQ$1006,0)))),"Fix")))</f>
        <v>0</v>
      </c>
      <c r="J42" s="5">
        <f>IF(OR(INDEX($V$2:$V$1001,MATCH(ROWS($U$2:U42),$U$2:$U$1001,0),1)&gt;=100000,INDEX($AB$1005:$AQ$1005,1,MATCH(COLUMNS($AB$1006:AJ1006),$AB$1006:$AQ$1006,0))&gt;=100000), " ",IF(INDEX($AB$2:$AQ$1001,MATCH(ROWS($U$2:U42),$U$2:$U$1001,0),MATCH(COLUMNS($AB$1006:AJ1006),$AB$1006:$AQ$1006,0)), HYPERLINK("#",""), HYPERLINK(CONCATENATE("#Metadata!", ADDRESS(INDEX($W$2:$W$1001,MATCH(ROWS($U$2:U42),$U$2:$U$1001,0),0), INDEX($AB$1004:$AQ$1004,1,MATCH(COLUMNS($AB$1006:AJ1006),$AB$1006:$AQ$1006,0)))),"Fix")))</f>
        <v>0</v>
      </c>
      <c r="K42" s="5">
        <f>IF(OR(INDEX($V$2:$V$1001,MATCH(ROWS($U$2:U42),$U$2:$U$1001,0),1)&gt;=100000,INDEX($AB$1005:$AQ$1005,1,MATCH(COLUMNS($AB$1006:AK1006),$AB$1006:$AQ$1006,0))&gt;=100000), " ",IF(INDEX($AB$2:$AQ$1001,MATCH(ROWS($U$2:U42),$U$2:$U$1001,0),MATCH(COLUMNS($AB$1006:AK1006),$AB$1006:$AQ$1006,0)), HYPERLINK("#",""), HYPERLINK(CONCATENATE("#Metadata!", ADDRESS(INDEX($W$2:$W$1001,MATCH(ROWS($U$2:U42),$U$2:$U$1001,0),0), INDEX($AB$1004:$AQ$1004,1,MATCH(COLUMNS($AB$1006:AK1006),$AB$1006:$AQ$1006,0)))),"Fix")))</f>
        <v>0</v>
      </c>
      <c r="L42" s="5">
        <f>IF(OR(INDEX($V$2:$V$1001,MATCH(ROWS($U$2:U42),$U$2:$U$1001,0),1)&gt;=100000,INDEX($AB$1005:$AQ$1005,1,MATCH(COLUMNS($AB$1006:AL1006),$AB$1006:$AQ$1006,0))&gt;=100000), " ",IF(INDEX($AB$2:$AQ$1001,MATCH(ROWS($U$2:U42),$U$2:$U$1001,0),MATCH(COLUMNS($AB$1006:AL1006),$AB$1006:$AQ$1006,0)), HYPERLINK("#",""), HYPERLINK(CONCATENATE("#Metadata!", ADDRESS(INDEX($W$2:$W$1001,MATCH(ROWS($U$2:U42),$U$2:$U$1001,0),0), INDEX($AB$1004:$AQ$1004,1,MATCH(COLUMNS($AB$1006:AL1006),$AB$1006:$AQ$1006,0)))),"Fix")))</f>
        <v>0</v>
      </c>
      <c r="M42" s="5">
        <f>IF(OR(INDEX($V$2:$V$1001,MATCH(ROWS($U$2:U42),$U$2:$U$1001,0),1)&gt;=100000,INDEX($AB$1005:$AQ$1005,1,MATCH(COLUMNS($AB$1006:AM1006),$AB$1006:$AQ$1006,0))&gt;=100000), " ",IF(INDEX($AB$2:$AQ$1001,MATCH(ROWS($U$2:U42),$U$2:$U$1001,0),MATCH(COLUMNS($AB$1006:AM1006),$AB$1006:$AQ$1006,0)), HYPERLINK("#",""), HYPERLINK(CONCATENATE("#Metadata!", ADDRESS(INDEX($W$2:$W$1001,MATCH(ROWS($U$2:U42),$U$2:$U$1001,0),0), INDEX($AB$1004:$AQ$1004,1,MATCH(COLUMNS($AB$1006:AM1006),$AB$1006:$AQ$1006,0)))),"Fix")))</f>
        <v>0</v>
      </c>
      <c r="N42" s="5">
        <f>IF(OR(INDEX($V$2:$V$1001,MATCH(ROWS($U$2:U42),$U$2:$U$1001,0),1)&gt;=100000,INDEX($AB$1005:$AQ$1005,1,MATCH(COLUMNS($AB$1006:AN1006),$AB$1006:$AQ$1006,0))&gt;=100000), " ",IF(INDEX($AB$2:$AQ$1001,MATCH(ROWS($U$2:U42),$U$2:$U$1001,0),MATCH(COLUMNS($AB$1006:AN1006),$AB$1006:$AQ$1006,0)), HYPERLINK("#",""), HYPERLINK(CONCATENATE("#Metadata!", ADDRESS(INDEX($W$2:$W$1001,MATCH(ROWS($U$2:U42),$U$2:$U$1001,0),0), INDEX($AB$1004:$AQ$1004,1,MATCH(COLUMNS($AB$1006:AN1006),$AB$1006:$AQ$1006,0)))),"Fix")))</f>
        <v>0</v>
      </c>
      <c r="O42" s="5">
        <f>IF(OR(INDEX($V$2:$V$1001,MATCH(ROWS($U$2:U42),$U$2:$U$1001,0),1)&gt;=100000,INDEX($AB$1005:$AQ$1005,1,MATCH(COLUMNS($AB$1006:AO1006),$AB$1006:$AQ$1006,0))&gt;=100000), " ",IF(INDEX($AB$2:$AQ$1001,MATCH(ROWS($U$2:U42),$U$2:$U$1001,0),MATCH(COLUMNS($AB$1006:AO1006),$AB$1006:$AQ$1006,0)), HYPERLINK("#",""), HYPERLINK(CONCATENATE("#Metadata!", ADDRESS(INDEX($W$2:$W$1001,MATCH(ROWS($U$2:U42),$U$2:$U$1001,0),0), INDEX($AB$1004:$AQ$1004,1,MATCH(COLUMNS($AB$1006:AO1006),$AB$1006:$AQ$1006,0)))),"Fix")))</f>
        <v>0</v>
      </c>
      <c r="P42" s="5">
        <f>IF(OR(INDEX($V$2:$V$1001,MATCH(ROWS($U$2:U42),$U$2:$U$1001,0),1)&gt;=100000,INDEX($AB$1005:$AQ$1005,1,MATCH(COLUMNS($AB$1006:AP1006),$AB$1006:$AQ$1006,0))&gt;=100000), " ",IF(INDEX($AB$2:$AQ$1001,MATCH(ROWS($U$2:U42),$U$2:$U$1001,0),MATCH(COLUMNS($AB$1006:AP1006),$AB$1006:$AQ$1006,0)), HYPERLINK("#",""), HYPERLINK(CONCATENATE("#Metadata!", ADDRESS(INDEX($W$2:$W$1001,MATCH(ROWS($U$2:U42),$U$2:$U$1001,0),0), INDEX($AB$1004:$AQ$1004,1,MATCH(COLUMNS($AB$1006:AP1006),$AB$1006:$AQ$1006,0)))),"Fix")))</f>
        <v>0</v>
      </c>
      <c r="Q42" s="5">
        <f>IF(OR(INDEX($V$2:$V$1001,MATCH(ROWS($U$2:U42),$U$2:$U$1001,0),1)&gt;=100000,INDEX($AB$1005:$AQ$1005,1,MATCH(COLUMNS($AB$1006:AQ1006),$AB$1006:$AQ$1006,0))&gt;=100000), " ",IF(INDEX($AB$2:$AQ$1001,MATCH(ROWS($U$2:U42),$U$2:$U$1001,0),MATCH(COLUMNS($AB$1006:AQ1006),$AB$1006:$AQ$1006,0)), HYPERLINK("#",""), HYPERLINK(CONCATENATE("#Metadata!", ADDRESS(INDEX($W$2:$W$1001,MATCH(ROWS($U$2:U42),$U$2:$U$1001,0),0), INDEX($AB$1004:$AQ$1004,1,MATCH(COLUMNS($AB$1006:AQ1006),$AB$1006:$AQ$1006,0)))),"Fix")))</f>
        <v>0</v>
      </c>
      <c r="U42">
        <v>0</v>
      </c>
      <c r="V42">
        <v>0</v>
      </c>
      <c r="W42">
        <v>0</v>
      </c>
      <c r="X42">
        <f>IF(Y42,TRUE,AND(AB42:AQ42))</f>
        <v>0</v>
      </c>
      <c r="Y42">
        <f>COUNTBLANK(Metadata!B42:Q42)=COLUMNS(Metadata!B42:Q42)</f>
        <v>0</v>
      </c>
      <c r="Z42">
        <v>0</v>
      </c>
      <c r="AB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AC42">
        <f>AND(IF(Metadata!C42="",FALSE,TRUE),exact(Metadata!C42,"urban biome"))</f>
        <v>0</v>
      </c>
      <c r="AD42">
        <f>AND(IF(Metadata!D42="",FALSE,TRUE),exact(Metadata!D42,"human-associated habitat"))</f>
        <v>0</v>
      </c>
      <c r="AE42">
        <f>AND(IF(Metadata!E42="",FALSE,TRUE),OR(exact(Metadata!E42,"human-associated"),exact(Metadata!E42,"human-skin"),exact(Metadata!E42,"human-oral"),exact(Metadata!E42,"human-gut"),exact(Metadata!E42,"human-vaginal")))</f>
        <v>0</v>
      </c>
      <c r="AF42">
        <f>AND(IF(Metadata!F42="",FALSE,ISNUMBER(VALUE(Metadata!F42))),Metadata!F42&gt;0)</f>
        <v>0</v>
      </c>
      <c r="AG42">
        <f>AND(IF(Metadata!G42="",FALSE,TRUE),exact(Metadata!G42,"years"))</f>
        <v>0</v>
      </c>
      <c r="AH42">
        <f>OR(AND(IF(Metadata!H42="",FALSE,TRUE),OR(exact(Metadata!H42,"not applicable"),exact(Metadata!H42,"not collected"),exact(Metadata!H42,"not provided"),exact(Metadata!H42,"restricted access"))),AND(IF(Metadata!H42="",FALSE,ISNUMBER(VALUE(Metadata!H42))),Metadata!H42&gt;0))</f>
        <v>0</v>
      </c>
      <c r="AI42">
        <f>AND(IF(Metadata!I42="",FALSE,TRUE),exact(Metadata!I42,"human"))</f>
        <v>0</v>
      </c>
      <c r="AJ42">
        <f>AND(IF(Metadata!J42="",FALSE,ISNUMBER(VALUE(Metadata!J42))),Metadata!J42&gt;0)</f>
        <v>0</v>
      </c>
      <c r="AK42">
        <f>AND(IF(Metadata!K42="",FALSE,TRUE),exact(Metadata!K42,"cm"))</f>
        <v>0</v>
      </c>
      <c r="AL42">
        <f>AND(IF(Metadata!L42="",FALSE,TRUE),exact(Metadata!L42,"Homo sapiens"))</f>
        <v>0</v>
      </c>
      <c r="AM42">
        <f>AND(IF(Metadata!M42="",FALSE,TRUE),exact(Metadata!M42,"9606"))</f>
        <v>0</v>
      </c>
      <c r="AN42">
        <f>AND(IF(Metadata!N42="",FALSE,ISNUMBER(VALUE(Metadata!N42))),Metadata!N42&gt;0)</f>
        <v>0</v>
      </c>
      <c r="AO42">
        <f>AND(IF(Metadata!O42="",FALSE,TRUE),exact(Metadata!O42,"kg"))</f>
        <v>0</v>
      </c>
      <c r="AP42">
        <f>OR(AND(IF(Metadata!P42="",FALSE,TRUE),exact(Metadata!P42,"not provided")),IF(Metadata!P42="",FALSE,TRUE))</f>
        <v>0</v>
      </c>
      <c r="AQ42">
        <f>OR(AND(IF(Metadata!Q42="",FALSE,TRUE),exact(Metadata!Q42,"not provided")),IF(Metadata!Q42="",FALSE,TRUE))</f>
        <v>0</v>
      </c>
    </row>
    <row r="43" spans="1:43">
      <c r="A43" s="4">
        <f>IF(B43=" "," ",HYPERLINK(CONCATENATE("#metadata!",ADDRESS(INDEX($W$2:$W$1001,MATCH(ROWS($U$2:U43),$U$2:$U$1001,0),0),2)),INDEX($Z$2:$Z$1001,MATCH(ROWS($U$2:U43),$U$2:$U$1001,0),0)))</f>
        <v>0</v>
      </c>
      <c r="B43" s="5">
        <f>IF(OR(INDEX($V$2:$V$1001,MATCH(ROWS($U$2:U43),$U$2:$U$1001,0),1)&gt;=100000,INDEX($AB$1005:$AQ$1005,1,MATCH(COLUMNS($AB$1006:AB1006),$AB$1006:$AQ$1006,0))&gt;=100000), " ",IF(INDEX($AB$2:$AQ$1001,MATCH(ROWS($U$2:U43),$U$2:$U$1001,0),MATCH(COLUMNS($AB$1006:AB1006),$AB$1006:$AQ$1006,0)), HYPERLINK("#",""), HYPERLINK(CONCATENATE("#Metadata!", ADDRESS(INDEX($W$2:$W$1001,MATCH(ROWS($U$2:U43),$U$2:$U$1001,0),0), INDEX($AB$1004:$AQ$1004,1,MATCH(COLUMNS($AB$1006:AB1006),$AB$1006:$AQ$1006,0)))),"Fix")))</f>
        <v>0</v>
      </c>
      <c r="C43" s="5">
        <f>IF(OR(INDEX($V$2:$V$1001,MATCH(ROWS($U$2:U43),$U$2:$U$1001,0),1)&gt;=100000,INDEX($AB$1005:$AQ$1005,1,MATCH(COLUMNS($AB$1006:AC1006),$AB$1006:$AQ$1006,0))&gt;=100000), " ",IF(INDEX($AB$2:$AQ$1001,MATCH(ROWS($U$2:U43),$U$2:$U$1001,0),MATCH(COLUMNS($AB$1006:AC1006),$AB$1006:$AQ$1006,0)), HYPERLINK("#",""), HYPERLINK(CONCATENATE("#Metadata!", ADDRESS(INDEX($W$2:$W$1001,MATCH(ROWS($U$2:U43),$U$2:$U$1001,0),0), INDEX($AB$1004:$AQ$1004,1,MATCH(COLUMNS($AB$1006:AC1006),$AB$1006:$AQ$1006,0)))),"Fix")))</f>
        <v>0</v>
      </c>
      <c r="D43" s="5">
        <f>IF(OR(INDEX($V$2:$V$1001,MATCH(ROWS($U$2:U43),$U$2:$U$1001,0),1)&gt;=100000,INDEX($AB$1005:$AQ$1005,1,MATCH(COLUMNS($AB$1006:AD1006),$AB$1006:$AQ$1006,0))&gt;=100000), " ",IF(INDEX($AB$2:$AQ$1001,MATCH(ROWS($U$2:U43),$U$2:$U$1001,0),MATCH(COLUMNS($AB$1006:AD1006),$AB$1006:$AQ$1006,0)), HYPERLINK("#",""), HYPERLINK(CONCATENATE("#Metadata!", ADDRESS(INDEX($W$2:$W$1001,MATCH(ROWS($U$2:U43),$U$2:$U$1001,0),0), INDEX($AB$1004:$AQ$1004,1,MATCH(COLUMNS($AB$1006:AD1006),$AB$1006:$AQ$1006,0)))),"Fix")))</f>
        <v>0</v>
      </c>
      <c r="E43" s="5">
        <f>IF(OR(INDEX($V$2:$V$1001,MATCH(ROWS($U$2:U43),$U$2:$U$1001,0),1)&gt;=100000,INDEX($AB$1005:$AQ$1005,1,MATCH(COLUMNS($AB$1006:AE1006),$AB$1006:$AQ$1006,0))&gt;=100000), " ",IF(INDEX($AB$2:$AQ$1001,MATCH(ROWS($U$2:U43),$U$2:$U$1001,0),MATCH(COLUMNS($AB$1006:AE1006),$AB$1006:$AQ$1006,0)), HYPERLINK("#",""), HYPERLINK(CONCATENATE("#Metadata!", ADDRESS(INDEX($W$2:$W$1001,MATCH(ROWS($U$2:U43),$U$2:$U$1001,0),0), INDEX($AB$1004:$AQ$1004,1,MATCH(COLUMNS($AB$1006:AE1006),$AB$1006:$AQ$1006,0)))),"Fix")))</f>
        <v>0</v>
      </c>
      <c r="F43" s="5">
        <f>IF(OR(INDEX($V$2:$V$1001,MATCH(ROWS($U$2:U43),$U$2:$U$1001,0),1)&gt;=100000,INDEX($AB$1005:$AQ$1005,1,MATCH(COLUMNS($AB$1006:AF1006),$AB$1006:$AQ$1006,0))&gt;=100000), " ",IF(INDEX($AB$2:$AQ$1001,MATCH(ROWS($U$2:U43),$U$2:$U$1001,0),MATCH(COLUMNS($AB$1006:AF1006),$AB$1006:$AQ$1006,0)), HYPERLINK("#",""), HYPERLINK(CONCATENATE("#Metadata!", ADDRESS(INDEX($W$2:$W$1001,MATCH(ROWS($U$2:U43),$U$2:$U$1001,0),0), INDEX($AB$1004:$AQ$1004,1,MATCH(COLUMNS($AB$1006:AF1006),$AB$1006:$AQ$1006,0)))),"Fix")))</f>
        <v>0</v>
      </c>
      <c r="G43" s="5">
        <f>IF(OR(INDEX($V$2:$V$1001,MATCH(ROWS($U$2:U43),$U$2:$U$1001,0),1)&gt;=100000,INDEX($AB$1005:$AQ$1005,1,MATCH(COLUMNS($AB$1006:AG1006),$AB$1006:$AQ$1006,0))&gt;=100000), " ",IF(INDEX($AB$2:$AQ$1001,MATCH(ROWS($U$2:U43),$U$2:$U$1001,0),MATCH(COLUMNS($AB$1006:AG1006),$AB$1006:$AQ$1006,0)), HYPERLINK("#",""), HYPERLINK(CONCATENATE("#Metadata!", ADDRESS(INDEX($W$2:$W$1001,MATCH(ROWS($U$2:U43),$U$2:$U$1001,0),0), INDEX($AB$1004:$AQ$1004,1,MATCH(COLUMNS($AB$1006:AG1006),$AB$1006:$AQ$1006,0)))),"Fix")))</f>
        <v>0</v>
      </c>
      <c r="H43" s="5">
        <f>IF(OR(INDEX($V$2:$V$1001,MATCH(ROWS($U$2:U43),$U$2:$U$1001,0),1)&gt;=100000,INDEX($AB$1005:$AQ$1005,1,MATCH(COLUMNS($AB$1006:AH1006),$AB$1006:$AQ$1006,0))&gt;=100000), " ",IF(INDEX($AB$2:$AQ$1001,MATCH(ROWS($U$2:U43),$U$2:$U$1001,0),MATCH(COLUMNS($AB$1006:AH1006),$AB$1006:$AQ$1006,0)), HYPERLINK("#",""), HYPERLINK(CONCATENATE("#Metadata!", ADDRESS(INDEX($W$2:$W$1001,MATCH(ROWS($U$2:U43),$U$2:$U$1001,0),0), INDEX($AB$1004:$AQ$1004,1,MATCH(COLUMNS($AB$1006:AH1006),$AB$1006:$AQ$1006,0)))),"Fix")))</f>
        <v>0</v>
      </c>
      <c r="I43" s="5">
        <f>IF(OR(INDEX($V$2:$V$1001,MATCH(ROWS($U$2:U43),$U$2:$U$1001,0),1)&gt;=100000,INDEX($AB$1005:$AQ$1005,1,MATCH(COLUMNS($AB$1006:AI1006),$AB$1006:$AQ$1006,0))&gt;=100000), " ",IF(INDEX($AB$2:$AQ$1001,MATCH(ROWS($U$2:U43),$U$2:$U$1001,0),MATCH(COLUMNS($AB$1006:AI1006),$AB$1006:$AQ$1006,0)), HYPERLINK("#",""), HYPERLINK(CONCATENATE("#Metadata!", ADDRESS(INDEX($W$2:$W$1001,MATCH(ROWS($U$2:U43),$U$2:$U$1001,0),0), INDEX($AB$1004:$AQ$1004,1,MATCH(COLUMNS($AB$1006:AI1006),$AB$1006:$AQ$1006,0)))),"Fix")))</f>
        <v>0</v>
      </c>
      <c r="J43" s="5">
        <f>IF(OR(INDEX($V$2:$V$1001,MATCH(ROWS($U$2:U43),$U$2:$U$1001,0),1)&gt;=100000,INDEX($AB$1005:$AQ$1005,1,MATCH(COLUMNS($AB$1006:AJ1006),$AB$1006:$AQ$1006,0))&gt;=100000), " ",IF(INDEX($AB$2:$AQ$1001,MATCH(ROWS($U$2:U43),$U$2:$U$1001,0),MATCH(COLUMNS($AB$1006:AJ1006),$AB$1006:$AQ$1006,0)), HYPERLINK("#",""), HYPERLINK(CONCATENATE("#Metadata!", ADDRESS(INDEX($W$2:$W$1001,MATCH(ROWS($U$2:U43),$U$2:$U$1001,0),0), INDEX($AB$1004:$AQ$1004,1,MATCH(COLUMNS($AB$1006:AJ1006),$AB$1006:$AQ$1006,0)))),"Fix")))</f>
        <v>0</v>
      </c>
      <c r="K43" s="5">
        <f>IF(OR(INDEX($V$2:$V$1001,MATCH(ROWS($U$2:U43),$U$2:$U$1001,0),1)&gt;=100000,INDEX($AB$1005:$AQ$1005,1,MATCH(COLUMNS($AB$1006:AK1006),$AB$1006:$AQ$1006,0))&gt;=100000), " ",IF(INDEX($AB$2:$AQ$1001,MATCH(ROWS($U$2:U43),$U$2:$U$1001,0),MATCH(COLUMNS($AB$1006:AK1006),$AB$1006:$AQ$1006,0)), HYPERLINK("#",""), HYPERLINK(CONCATENATE("#Metadata!", ADDRESS(INDEX($W$2:$W$1001,MATCH(ROWS($U$2:U43),$U$2:$U$1001,0),0), INDEX($AB$1004:$AQ$1004,1,MATCH(COLUMNS($AB$1006:AK1006),$AB$1006:$AQ$1006,0)))),"Fix")))</f>
        <v>0</v>
      </c>
      <c r="L43" s="5">
        <f>IF(OR(INDEX($V$2:$V$1001,MATCH(ROWS($U$2:U43),$U$2:$U$1001,0),1)&gt;=100000,INDEX($AB$1005:$AQ$1005,1,MATCH(COLUMNS($AB$1006:AL1006),$AB$1006:$AQ$1006,0))&gt;=100000), " ",IF(INDEX($AB$2:$AQ$1001,MATCH(ROWS($U$2:U43),$U$2:$U$1001,0),MATCH(COLUMNS($AB$1006:AL1006),$AB$1006:$AQ$1006,0)), HYPERLINK("#",""), HYPERLINK(CONCATENATE("#Metadata!", ADDRESS(INDEX($W$2:$W$1001,MATCH(ROWS($U$2:U43),$U$2:$U$1001,0),0), INDEX($AB$1004:$AQ$1004,1,MATCH(COLUMNS($AB$1006:AL1006),$AB$1006:$AQ$1006,0)))),"Fix")))</f>
        <v>0</v>
      </c>
      <c r="M43" s="5">
        <f>IF(OR(INDEX($V$2:$V$1001,MATCH(ROWS($U$2:U43),$U$2:$U$1001,0),1)&gt;=100000,INDEX($AB$1005:$AQ$1005,1,MATCH(COLUMNS($AB$1006:AM1006),$AB$1006:$AQ$1006,0))&gt;=100000), " ",IF(INDEX($AB$2:$AQ$1001,MATCH(ROWS($U$2:U43),$U$2:$U$1001,0),MATCH(COLUMNS($AB$1006:AM1006),$AB$1006:$AQ$1006,0)), HYPERLINK("#",""), HYPERLINK(CONCATENATE("#Metadata!", ADDRESS(INDEX($W$2:$W$1001,MATCH(ROWS($U$2:U43),$U$2:$U$1001,0),0), INDEX($AB$1004:$AQ$1004,1,MATCH(COLUMNS($AB$1006:AM1006),$AB$1006:$AQ$1006,0)))),"Fix")))</f>
        <v>0</v>
      </c>
      <c r="N43" s="5">
        <f>IF(OR(INDEX($V$2:$V$1001,MATCH(ROWS($U$2:U43),$U$2:$U$1001,0),1)&gt;=100000,INDEX($AB$1005:$AQ$1005,1,MATCH(COLUMNS($AB$1006:AN1006),$AB$1006:$AQ$1006,0))&gt;=100000), " ",IF(INDEX($AB$2:$AQ$1001,MATCH(ROWS($U$2:U43),$U$2:$U$1001,0),MATCH(COLUMNS($AB$1006:AN1006),$AB$1006:$AQ$1006,0)), HYPERLINK("#",""), HYPERLINK(CONCATENATE("#Metadata!", ADDRESS(INDEX($W$2:$W$1001,MATCH(ROWS($U$2:U43),$U$2:$U$1001,0),0), INDEX($AB$1004:$AQ$1004,1,MATCH(COLUMNS($AB$1006:AN1006),$AB$1006:$AQ$1006,0)))),"Fix")))</f>
        <v>0</v>
      </c>
      <c r="O43" s="5">
        <f>IF(OR(INDEX($V$2:$V$1001,MATCH(ROWS($U$2:U43),$U$2:$U$1001,0),1)&gt;=100000,INDEX($AB$1005:$AQ$1005,1,MATCH(COLUMNS($AB$1006:AO1006),$AB$1006:$AQ$1006,0))&gt;=100000), " ",IF(INDEX($AB$2:$AQ$1001,MATCH(ROWS($U$2:U43),$U$2:$U$1001,0),MATCH(COLUMNS($AB$1006:AO1006),$AB$1006:$AQ$1006,0)), HYPERLINK("#",""), HYPERLINK(CONCATENATE("#Metadata!", ADDRESS(INDEX($W$2:$W$1001,MATCH(ROWS($U$2:U43),$U$2:$U$1001,0),0), INDEX($AB$1004:$AQ$1004,1,MATCH(COLUMNS($AB$1006:AO1006),$AB$1006:$AQ$1006,0)))),"Fix")))</f>
        <v>0</v>
      </c>
      <c r="P43" s="5">
        <f>IF(OR(INDEX($V$2:$V$1001,MATCH(ROWS($U$2:U43),$U$2:$U$1001,0),1)&gt;=100000,INDEX($AB$1005:$AQ$1005,1,MATCH(COLUMNS($AB$1006:AP1006),$AB$1006:$AQ$1006,0))&gt;=100000), " ",IF(INDEX($AB$2:$AQ$1001,MATCH(ROWS($U$2:U43),$U$2:$U$1001,0),MATCH(COLUMNS($AB$1006:AP1006),$AB$1006:$AQ$1006,0)), HYPERLINK("#",""), HYPERLINK(CONCATENATE("#Metadata!", ADDRESS(INDEX($W$2:$W$1001,MATCH(ROWS($U$2:U43),$U$2:$U$1001,0),0), INDEX($AB$1004:$AQ$1004,1,MATCH(COLUMNS($AB$1006:AP1006),$AB$1006:$AQ$1006,0)))),"Fix")))</f>
        <v>0</v>
      </c>
      <c r="Q43" s="5">
        <f>IF(OR(INDEX($V$2:$V$1001,MATCH(ROWS($U$2:U43),$U$2:$U$1001,0),1)&gt;=100000,INDEX($AB$1005:$AQ$1005,1,MATCH(COLUMNS($AB$1006:AQ1006),$AB$1006:$AQ$1006,0))&gt;=100000), " ",IF(INDEX($AB$2:$AQ$1001,MATCH(ROWS($U$2:U43),$U$2:$U$1001,0),MATCH(COLUMNS($AB$1006:AQ1006),$AB$1006:$AQ$1006,0)), HYPERLINK("#",""), HYPERLINK(CONCATENATE("#Metadata!", ADDRESS(INDEX($W$2:$W$1001,MATCH(ROWS($U$2:U43),$U$2:$U$1001,0),0), INDEX($AB$1004:$AQ$1004,1,MATCH(COLUMNS($AB$1006:AQ1006),$AB$1006:$AQ$1006,0)))),"Fix")))</f>
        <v>0</v>
      </c>
      <c r="U43">
        <v>0</v>
      </c>
      <c r="V43">
        <v>0</v>
      </c>
      <c r="W43">
        <v>0</v>
      </c>
      <c r="X43">
        <f>IF(Y43,TRUE,AND(AB43:AQ43))</f>
        <v>0</v>
      </c>
      <c r="Y43">
        <f>COUNTBLANK(Metadata!B43:Q43)=COLUMNS(Metadata!B43:Q43)</f>
        <v>0</v>
      </c>
      <c r="Z43">
        <v>0</v>
      </c>
      <c r="AB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AC43">
        <f>AND(IF(Metadata!C43="",FALSE,TRUE),exact(Metadata!C43,"urban biome"))</f>
        <v>0</v>
      </c>
      <c r="AD43">
        <f>AND(IF(Metadata!D43="",FALSE,TRUE),exact(Metadata!D43,"human-associated habitat"))</f>
        <v>0</v>
      </c>
      <c r="AE43">
        <f>AND(IF(Metadata!E43="",FALSE,TRUE),OR(exact(Metadata!E43,"human-associated"),exact(Metadata!E43,"human-skin"),exact(Metadata!E43,"human-oral"),exact(Metadata!E43,"human-gut"),exact(Metadata!E43,"human-vaginal")))</f>
        <v>0</v>
      </c>
      <c r="AF43">
        <f>AND(IF(Metadata!F43="",FALSE,ISNUMBER(VALUE(Metadata!F43))),Metadata!F43&gt;0)</f>
        <v>0</v>
      </c>
      <c r="AG43">
        <f>AND(IF(Metadata!G43="",FALSE,TRUE),exact(Metadata!G43,"years"))</f>
        <v>0</v>
      </c>
      <c r="AH43">
        <f>OR(AND(IF(Metadata!H43="",FALSE,TRUE),OR(exact(Metadata!H43,"not applicable"),exact(Metadata!H43,"not collected"),exact(Metadata!H43,"not provided"),exact(Metadata!H43,"restricted access"))),AND(IF(Metadata!H43="",FALSE,ISNUMBER(VALUE(Metadata!H43))),Metadata!H43&gt;0))</f>
        <v>0</v>
      </c>
      <c r="AI43">
        <f>AND(IF(Metadata!I43="",FALSE,TRUE),exact(Metadata!I43,"human"))</f>
        <v>0</v>
      </c>
      <c r="AJ43">
        <f>AND(IF(Metadata!J43="",FALSE,ISNUMBER(VALUE(Metadata!J43))),Metadata!J43&gt;0)</f>
        <v>0</v>
      </c>
      <c r="AK43">
        <f>AND(IF(Metadata!K43="",FALSE,TRUE),exact(Metadata!K43,"cm"))</f>
        <v>0</v>
      </c>
      <c r="AL43">
        <f>AND(IF(Metadata!L43="",FALSE,TRUE),exact(Metadata!L43,"Homo sapiens"))</f>
        <v>0</v>
      </c>
      <c r="AM43">
        <f>AND(IF(Metadata!M43="",FALSE,TRUE),exact(Metadata!M43,"9606"))</f>
        <v>0</v>
      </c>
      <c r="AN43">
        <f>AND(IF(Metadata!N43="",FALSE,ISNUMBER(VALUE(Metadata!N43))),Metadata!N43&gt;0)</f>
        <v>0</v>
      </c>
      <c r="AO43">
        <f>AND(IF(Metadata!O43="",FALSE,TRUE),exact(Metadata!O43,"kg"))</f>
        <v>0</v>
      </c>
      <c r="AP43">
        <f>OR(AND(IF(Metadata!P43="",FALSE,TRUE),exact(Metadata!P43,"not provided")),IF(Metadata!P43="",FALSE,TRUE))</f>
        <v>0</v>
      </c>
      <c r="AQ43">
        <f>OR(AND(IF(Metadata!Q43="",FALSE,TRUE),exact(Metadata!Q43,"not provided")),IF(Metadata!Q43="",FALSE,TRUE))</f>
        <v>0</v>
      </c>
    </row>
    <row r="44" spans="1:43">
      <c r="A44" s="4">
        <f>IF(B44=" "," ",HYPERLINK(CONCATENATE("#metadata!",ADDRESS(INDEX($W$2:$W$1001,MATCH(ROWS($U$2:U44),$U$2:$U$1001,0),0),2)),INDEX($Z$2:$Z$1001,MATCH(ROWS($U$2:U44),$U$2:$U$1001,0),0)))</f>
        <v>0</v>
      </c>
      <c r="B44" s="5">
        <f>IF(OR(INDEX($V$2:$V$1001,MATCH(ROWS($U$2:U44),$U$2:$U$1001,0),1)&gt;=100000,INDEX($AB$1005:$AQ$1005,1,MATCH(COLUMNS($AB$1006:AB1006),$AB$1006:$AQ$1006,0))&gt;=100000), " ",IF(INDEX($AB$2:$AQ$1001,MATCH(ROWS($U$2:U44),$U$2:$U$1001,0),MATCH(COLUMNS($AB$1006:AB1006),$AB$1006:$AQ$1006,0)), HYPERLINK("#",""), HYPERLINK(CONCATENATE("#Metadata!", ADDRESS(INDEX($W$2:$W$1001,MATCH(ROWS($U$2:U44),$U$2:$U$1001,0),0), INDEX($AB$1004:$AQ$1004,1,MATCH(COLUMNS($AB$1006:AB1006),$AB$1006:$AQ$1006,0)))),"Fix")))</f>
        <v>0</v>
      </c>
      <c r="C44" s="5">
        <f>IF(OR(INDEX($V$2:$V$1001,MATCH(ROWS($U$2:U44),$U$2:$U$1001,0),1)&gt;=100000,INDEX($AB$1005:$AQ$1005,1,MATCH(COLUMNS($AB$1006:AC1006),$AB$1006:$AQ$1006,0))&gt;=100000), " ",IF(INDEX($AB$2:$AQ$1001,MATCH(ROWS($U$2:U44),$U$2:$U$1001,0),MATCH(COLUMNS($AB$1006:AC1006),$AB$1006:$AQ$1006,0)), HYPERLINK("#",""), HYPERLINK(CONCATENATE("#Metadata!", ADDRESS(INDEX($W$2:$W$1001,MATCH(ROWS($U$2:U44),$U$2:$U$1001,0),0), INDEX($AB$1004:$AQ$1004,1,MATCH(COLUMNS($AB$1006:AC1006),$AB$1006:$AQ$1006,0)))),"Fix")))</f>
        <v>0</v>
      </c>
      <c r="D44" s="5">
        <f>IF(OR(INDEX($V$2:$V$1001,MATCH(ROWS($U$2:U44),$U$2:$U$1001,0),1)&gt;=100000,INDEX($AB$1005:$AQ$1005,1,MATCH(COLUMNS($AB$1006:AD1006),$AB$1006:$AQ$1006,0))&gt;=100000), " ",IF(INDEX($AB$2:$AQ$1001,MATCH(ROWS($U$2:U44),$U$2:$U$1001,0),MATCH(COLUMNS($AB$1006:AD1006),$AB$1006:$AQ$1006,0)), HYPERLINK("#",""), HYPERLINK(CONCATENATE("#Metadata!", ADDRESS(INDEX($W$2:$W$1001,MATCH(ROWS($U$2:U44),$U$2:$U$1001,0),0), INDEX($AB$1004:$AQ$1004,1,MATCH(COLUMNS($AB$1006:AD1006),$AB$1006:$AQ$1006,0)))),"Fix")))</f>
        <v>0</v>
      </c>
      <c r="E44" s="5">
        <f>IF(OR(INDEX($V$2:$V$1001,MATCH(ROWS($U$2:U44),$U$2:$U$1001,0),1)&gt;=100000,INDEX($AB$1005:$AQ$1005,1,MATCH(COLUMNS($AB$1006:AE1006),$AB$1006:$AQ$1006,0))&gt;=100000), " ",IF(INDEX($AB$2:$AQ$1001,MATCH(ROWS($U$2:U44),$U$2:$U$1001,0),MATCH(COLUMNS($AB$1006:AE1006),$AB$1006:$AQ$1006,0)), HYPERLINK("#",""), HYPERLINK(CONCATENATE("#Metadata!", ADDRESS(INDEX($W$2:$W$1001,MATCH(ROWS($U$2:U44),$U$2:$U$1001,0),0), INDEX($AB$1004:$AQ$1004,1,MATCH(COLUMNS($AB$1006:AE1006),$AB$1006:$AQ$1006,0)))),"Fix")))</f>
        <v>0</v>
      </c>
      <c r="F44" s="5">
        <f>IF(OR(INDEX($V$2:$V$1001,MATCH(ROWS($U$2:U44),$U$2:$U$1001,0),1)&gt;=100000,INDEX($AB$1005:$AQ$1005,1,MATCH(COLUMNS($AB$1006:AF1006),$AB$1006:$AQ$1006,0))&gt;=100000), " ",IF(INDEX($AB$2:$AQ$1001,MATCH(ROWS($U$2:U44),$U$2:$U$1001,0),MATCH(COLUMNS($AB$1006:AF1006),$AB$1006:$AQ$1006,0)), HYPERLINK("#",""), HYPERLINK(CONCATENATE("#Metadata!", ADDRESS(INDEX($W$2:$W$1001,MATCH(ROWS($U$2:U44),$U$2:$U$1001,0),0), INDEX($AB$1004:$AQ$1004,1,MATCH(COLUMNS($AB$1006:AF1006),$AB$1006:$AQ$1006,0)))),"Fix")))</f>
        <v>0</v>
      </c>
      <c r="G44" s="5">
        <f>IF(OR(INDEX($V$2:$V$1001,MATCH(ROWS($U$2:U44),$U$2:$U$1001,0),1)&gt;=100000,INDEX($AB$1005:$AQ$1005,1,MATCH(COLUMNS($AB$1006:AG1006),$AB$1006:$AQ$1006,0))&gt;=100000), " ",IF(INDEX($AB$2:$AQ$1001,MATCH(ROWS($U$2:U44),$U$2:$U$1001,0),MATCH(COLUMNS($AB$1006:AG1006),$AB$1006:$AQ$1006,0)), HYPERLINK("#",""), HYPERLINK(CONCATENATE("#Metadata!", ADDRESS(INDEX($W$2:$W$1001,MATCH(ROWS($U$2:U44),$U$2:$U$1001,0),0), INDEX($AB$1004:$AQ$1004,1,MATCH(COLUMNS($AB$1006:AG1006),$AB$1006:$AQ$1006,0)))),"Fix")))</f>
        <v>0</v>
      </c>
      <c r="H44" s="5">
        <f>IF(OR(INDEX($V$2:$V$1001,MATCH(ROWS($U$2:U44),$U$2:$U$1001,0),1)&gt;=100000,INDEX($AB$1005:$AQ$1005,1,MATCH(COLUMNS($AB$1006:AH1006),$AB$1006:$AQ$1006,0))&gt;=100000), " ",IF(INDEX($AB$2:$AQ$1001,MATCH(ROWS($U$2:U44),$U$2:$U$1001,0),MATCH(COLUMNS($AB$1006:AH1006),$AB$1006:$AQ$1006,0)), HYPERLINK("#",""), HYPERLINK(CONCATENATE("#Metadata!", ADDRESS(INDEX($W$2:$W$1001,MATCH(ROWS($U$2:U44),$U$2:$U$1001,0),0), INDEX($AB$1004:$AQ$1004,1,MATCH(COLUMNS($AB$1006:AH1006),$AB$1006:$AQ$1006,0)))),"Fix")))</f>
        <v>0</v>
      </c>
      <c r="I44" s="5">
        <f>IF(OR(INDEX($V$2:$V$1001,MATCH(ROWS($U$2:U44),$U$2:$U$1001,0),1)&gt;=100000,INDEX($AB$1005:$AQ$1005,1,MATCH(COLUMNS($AB$1006:AI1006),$AB$1006:$AQ$1006,0))&gt;=100000), " ",IF(INDEX($AB$2:$AQ$1001,MATCH(ROWS($U$2:U44),$U$2:$U$1001,0),MATCH(COLUMNS($AB$1006:AI1006),$AB$1006:$AQ$1006,0)), HYPERLINK("#",""), HYPERLINK(CONCATENATE("#Metadata!", ADDRESS(INDEX($W$2:$W$1001,MATCH(ROWS($U$2:U44),$U$2:$U$1001,0),0), INDEX($AB$1004:$AQ$1004,1,MATCH(COLUMNS($AB$1006:AI1006),$AB$1006:$AQ$1006,0)))),"Fix")))</f>
        <v>0</v>
      </c>
      <c r="J44" s="5">
        <f>IF(OR(INDEX($V$2:$V$1001,MATCH(ROWS($U$2:U44),$U$2:$U$1001,0),1)&gt;=100000,INDEX($AB$1005:$AQ$1005,1,MATCH(COLUMNS($AB$1006:AJ1006),$AB$1006:$AQ$1006,0))&gt;=100000), " ",IF(INDEX($AB$2:$AQ$1001,MATCH(ROWS($U$2:U44),$U$2:$U$1001,0),MATCH(COLUMNS($AB$1006:AJ1006),$AB$1006:$AQ$1006,0)), HYPERLINK("#",""), HYPERLINK(CONCATENATE("#Metadata!", ADDRESS(INDEX($W$2:$W$1001,MATCH(ROWS($U$2:U44),$U$2:$U$1001,0),0), INDEX($AB$1004:$AQ$1004,1,MATCH(COLUMNS($AB$1006:AJ1006),$AB$1006:$AQ$1006,0)))),"Fix")))</f>
        <v>0</v>
      </c>
      <c r="K44" s="5">
        <f>IF(OR(INDEX($V$2:$V$1001,MATCH(ROWS($U$2:U44),$U$2:$U$1001,0),1)&gt;=100000,INDEX($AB$1005:$AQ$1005,1,MATCH(COLUMNS($AB$1006:AK1006),$AB$1006:$AQ$1006,0))&gt;=100000), " ",IF(INDEX($AB$2:$AQ$1001,MATCH(ROWS($U$2:U44),$U$2:$U$1001,0),MATCH(COLUMNS($AB$1006:AK1006),$AB$1006:$AQ$1006,0)), HYPERLINK("#",""), HYPERLINK(CONCATENATE("#Metadata!", ADDRESS(INDEX($W$2:$W$1001,MATCH(ROWS($U$2:U44),$U$2:$U$1001,0),0), INDEX($AB$1004:$AQ$1004,1,MATCH(COLUMNS($AB$1006:AK1006),$AB$1006:$AQ$1006,0)))),"Fix")))</f>
        <v>0</v>
      </c>
      <c r="L44" s="5">
        <f>IF(OR(INDEX($V$2:$V$1001,MATCH(ROWS($U$2:U44),$U$2:$U$1001,0),1)&gt;=100000,INDEX($AB$1005:$AQ$1005,1,MATCH(COLUMNS($AB$1006:AL1006),$AB$1006:$AQ$1006,0))&gt;=100000), " ",IF(INDEX($AB$2:$AQ$1001,MATCH(ROWS($U$2:U44),$U$2:$U$1001,0),MATCH(COLUMNS($AB$1006:AL1006),$AB$1006:$AQ$1006,0)), HYPERLINK("#",""), HYPERLINK(CONCATENATE("#Metadata!", ADDRESS(INDEX($W$2:$W$1001,MATCH(ROWS($U$2:U44),$U$2:$U$1001,0),0), INDEX($AB$1004:$AQ$1004,1,MATCH(COLUMNS($AB$1006:AL1006),$AB$1006:$AQ$1006,0)))),"Fix")))</f>
        <v>0</v>
      </c>
      <c r="M44" s="5">
        <f>IF(OR(INDEX($V$2:$V$1001,MATCH(ROWS($U$2:U44),$U$2:$U$1001,0),1)&gt;=100000,INDEX($AB$1005:$AQ$1005,1,MATCH(COLUMNS($AB$1006:AM1006),$AB$1006:$AQ$1006,0))&gt;=100000), " ",IF(INDEX($AB$2:$AQ$1001,MATCH(ROWS($U$2:U44),$U$2:$U$1001,0),MATCH(COLUMNS($AB$1006:AM1006),$AB$1006:$AQ$1006,0)), HYPERLINK("#",""), HYPERLINK(CONCATENATE("#Metadata!", ADDRESS(INDEX($W$2:$W$1001,MATCH(ROWS($U$2:U44),$U$2:$U$1001,0),0), INDEX($AB$1004:$AQ$1004,1,MATCH(COLUMNS($AB$1006:AM1006),$AB$1006:$AQ$1006,0)))),"Fix")))</f>
        <v>0</v>
      </c>
      <c r="N44" s="5">
        <f>IF(OR(INDEX($V$2:$V$1001,MATCH(ROWS($U$2:U44),$U$2:$U$1001,0),1)&gt;=100000,INDEX($AB$1005:$AQ$1005,1,MATCH(COLUMNS($AB$1006:AN1006),$AB$1006:$AQ$1006,0))&gt;=100000), " ",IF(INDEX($AB$2:$AQ$1001,MATCH(ROWS($U$2:U44),$U$2:$U$1001,0),MATCH(COLUMNS($AB$1006:AN1006),$AB$1006:$AQ$1006,0)), HYPERLINK("#",""), HYPERLINK(CONCATENATE("#Metadata!", ADDRESS(INDEX($W$2:$W$1001,MATCH(ROWS($U$2:U44),$U$2:$U$1001,0),0), INDEX($AB$1004:$AQ$1004,1,MATCH(COLUMNS($AB$1006:AN1006),$AB$1006:$AQ$1006,0)))),"Fix")))</f>
        <v>0</v>
      </c>
      <c r="O44" s="5">
        <f>IF(OR(INDEX($V$2:$V$1001,MATCH(ROWS($U$2:U44),$U$2:$U$1001,0),1)&gt;=100000,INDEX($AB$1005:$AQ$1005,1,MATCH(COLUMNS($AB$1006:AO1006),$AB$1006:$AQ$1006,0))&gt;=100000), " ",IF(INDEX($AB$2:$AQ$1001,MATCH(ROWS($U$2:U44),$U$2:$U$1001,0),MATCH(COLUMNS($AB$1006:AO1006),$AB$1006:$AQ$1006,0)), HYPERLINK("#",""), HYPERLINK(CONCATENATE("#Metadata!", ADDRESS(INDEX($W$2:$W$1001,MATCH(ROWS($U$2:U44),$U$2:$U$1001,0),0), INDEX($AB$1004:$AQ$1004,1,MATCH(COLUMNS($AB$1006:AO1006),$AB$1006:$AQ$1006,0)))),"Fix")))</f>
        <v>0</v>
      </c>
      <c r="P44" s="5">
        <f>IF(OR(INDEX($V$2:$V$1001,MATCH(ROWS($U$2:U44),$U$2:$U$1001,0),1)&gt;=100000,INDEX($AB$1005:$AQ$1005,1,MATCH(COLUMNS($AB$1006:AP1006),$AB$1006:$AQ$1006,0))&gt;=100000), " ",IF(INDEX($AB$2:$AQ$1001,MATCH(ROWS($U$2:U44),$U$2:$U$1001,0),MATCH(COLUMNS($AB$1006:AP1006),$AB$1006:$AQ$1006,0)), HYPERLINK("#",""), HYPERLINK(CONCATENATE("#Metadata!", ADDRESS(INDEX($W$2:$W$1001,MATCH(ROWS($U$2:U44),$U$2:$U$1001,0),0), INDEX($AB$1004:$AQ$1004,1,MATCH(COLUMNS($AB$1006:AP1006),$AB$1006:$AQ$1006,0)))),"Fix")))</f>
        <v>0</v>
      </c>
      <c r="Q44" s="5">
        <f>IF(OR(INDEX($V$2:$V$1001,MATCH(ROWS($U$2:U44),$U$2:$U$1001,0),1)&gt;=100000,INDEX($AB$1005:$AQ$1005,1,MATCH(COLUMNS($AB$1006:AQ1006),$AB$1006:$AQ$1006,0))&gt;=100000), " ",IF(INDEX($AB$2:$AQ$1001,MATCH(ROWS($U$2:U44),$U$2:$U$1001,0),MATCH(COLUMNS($AB$1006:AQ1006),$AB$1006:$AQ$1006,0)), HYPERLINK("#",""), HYPERLINK(CONCATENATE("#Metadata!", ADDRESS(INDEX($W$2:$W$1001,MATCH(ROWS($U$2:U44),$U$2:$U$1001,0),0), INDEX($AB$1004:$AQ$1004,1,MATCH(COLUMNS($AB$1006:AQ1006),$AB$1006:$AQ$1006,0)))),"Fix")))</f>
        <v>0</v>
      </c>
      <c r="U44">
        <v>0</v>
      </c>
      <c r="V44">
        <v>0</v>
      </c>
      <c r="W44">
        <v>0</v>
      </c>
      <c r="X44">
        <f>IF(Y44,TRUE,AND(AB44:AQ44))</f>
        <v>0</v>
      </c>
      <c r="Y44">
        <f>COUNTBLANK(Metadata!B44:Q44)=COLUMNS(Metadata!B44:Q44)</f>
        <v>0</v>
      </c>
      <c r="Z44">
        <v>0</v>
      </c>
      <c r="AB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AC44">
        <f>AND(IF(Metadata!C44="",FALSE,TRUE),exact(Metadata!C44,"urban biome"))</f>
        <v>0</v>
      </c>
      <c r="AD44">
        <f>AND(IF(Metadata!D44="",FALSE,TRUE),exact(Metadata!D44,"human-associated habitat"))</f>
        <v>0</v>
      </c>
      <c r="AE44">
        <f>AND(IF(Metadata!E44="",FALSE,TRUE),OR(exact(Metadata!E44,"human-associated"),exact(Metadata!E44,"human-skin"),exact(Metadata!E44,"human-oral"),exact(Metadata!E44,"human-gut"),exact(Metadata!E44,"human-vaginal")))</f>
        <v>0</v>
      </c>
      <c r="AF44">
        <f>AND(IF(Metadata!F44="",FALSE,ISNUMBER(VALUE(Metadata!F44))),Metadata!F44&gt;0)</f>
        <v>0</v>
      </c>
      <c r="AG44">
        <f>AND(IF(Metadata!G44="",FALSE,TRUE),exact(Metadata!G44,"years"))</f>
        <v>0</v>
      </c>
      <c r="AH44">
        <f>OR(AND(IF(Metadata!H44="",FALSE,TRUE),OR(exact(Metadata!H44,"not applicable"),exact(Metadata!H44,"not collected"),exact(Metadata!H44,"not provided"),exact(Metadata!H44,"restricted access"))),AND(IF(Metadata!H44="",FALSE,ISNUMBER(VALUE(Metadata!H44))),Metadata!H44&gt;0))</f>
        <v>0</v>
      </c>
      <c r="AI44">
        <f>AND(IF(Metadata!I44="",FALSE,TRUE),exact(Metadata!I44,"human"))</f>
        <v>0</v>
      </c>
      <c r="AJ44">
        <f>AND(IF(Metadata!J44="",FALSE,ISNUMBER(VALUE(Metadata!J44))),Metadata!J44&gt;0)</f>
        <v>0</v>
      </c>
      <c r="AK44">
        <f>AND(IF(Metadata!K44="",FALSE,TRUE),exact(Metadata!K44,"cm"))</f>
        <v>0</v>
      </c>
      <c r="AL44">
        <f>AND(IF(Metadata!L44="",FALSE,TRUE),exact(Metadata!L44,"Homo sapiens"))</f>
        <v>0</v>
      </c>
      <c r="AM44">
        <f>AND(IF(Metadata!M44="",FALSE,TRUE),exact(Metadata!M44,"9606"))</f>
        <v>0</v>
      </c>
      <c r="AN44">
        <f>AND(IF(Metadata!N44="",FALSE,ISNUMBER(VALUE(Metadata!N44))),Metadata!N44&gt;0)</f>
        <v>0</v>
      </c>
      <c r="AO44">
        <f>AND(IF(Metadata!O44="",FALSE,TRUE),exact(Metadata!O44,"kg"))</f>
        <v>0</v>
      </c>
      <c r="AP44">
        <f>OR(AND(IF(Metadata!P44="",FALSE,TRUE),exact(Metadata!P44,"not provided")),IF(Metadata!P44="",FALSE,TRUE))</f>
        <v>0</v>
      </c>
      <c r="AQ44">
        <f>OR(AND(IF(Metadata!Q44="",FALSE,TRUE),exact(Metadata!Q44,"not provided")),IF(Metadata!Q44="",FALSE,TRUE))</f>
        <v>0</v>
      </c>
    </row>
    <row r="45" spans="1:43">
      <c r="A45" s="4">
        <f>IF(B45=" "," ",HYPERLINK(CONCATENATE("#metadata!",ADDRESS(INDEX($W$2:$W$1001,MATCH(ROWS($U$2:U45),$U$2:$U$1001,0),0),2)),INDEX($Z$2:$Z$1001,MATCH(ROWS($U$2:U45),$U$2:$U$1001,0),0)))</f>
        <v>0</v>
      </c>
      <c r="B45" s="5">
        <f>IF(OR(INDEX($V$2:$V$1001,MATCH(ROWS($U$2:U45),$U$2:$U$1001,0),1)&gt;=100000,INDEX($AB$1005:$AQ$1005,1,MATCH(COLUMNS($AB$1006:AB1006),$AB$1006:$AQ$1006,0))&gt;=100000), " ",IF(INDEX($AB$2:$AQ$1001,MATCH(ROWS($U$2:U45),$U$2:$U$1001,0),MATCH(COLUMNS($AB$1006:AB1006),$AB$1006:$AQ$1006,0)), HYPERLINK("#",""), HYPERLINK(CONCATENATE("#Metadata!", ADDRESS(INDEX($W$2:$W$1001,MATCH(ROWS($U$2:U45),$U$2:$U$1001,0),0), INDEX($AB$1004:$AQ$1004,1,MATCH(COLUMNS($AB$1006:AB1006),$AB$1006:$AQ$1006,0)))),"Fix")))</f>
        <v>0</v>
      </c>
      <c r="C45" s="5">
        <f>IF(OR(INDEX($V$2:$V$1001,MATCH(ROWS($U$2:U45),$U$2:$U$1001,0),1)&gt;=100000,INDEX($AB$1005:$AQ$1005,1,MATCH(COLUMNS($AB$1006:AC1006),$AB$1006:$AQ$1006,0))&gt;=100000), " ",IF(INDEX($AB$2:$AQ$1001,MATCH(ROWS($U$2:U45),$U$2:$U$1001,0),MATCH(COLUMNS($AB$1006:AC1006),$AB$1006:$AQ$1006,0)), HYPERLINK("#",""), HYPERLINK(CONCATENATE("#Metadata!", ADDRESS(INDEX($W$2:$W$1001,MATCH(ROWS($U$2:U45),$U$2:$U$1001,0),0), INDEX($AB$1004:$AQ$1004,1,MATCH(COLUMNS($AB$1006:AC1006),$AB$1006:$AQ$1006,0)))),"Fix")))</f>
        <v>0</v>
      </c>
      <c r="D45" s="5">
        <f>IF(OR(INDEX($V$2:$V$1001,MATCH(ROWS($U$2:U45),$U$2:$U$1001,0),1)&gt;=100000,INDEX($AB$1005:$AQ$1005,1,MATCH(COLUMNS($AB$1006:AD1006),$AB$1006:$AQ$1006,0))&gt;=100000), " ",IF(INDEX($AB$2:$AQ$1001,MATCH(ROWS($U$2:U45),$U$2:$U$1001,0),MATCH(COLUMNS($AB$1006:AD1006),$AB$1006:$AQ$1006,0)), HYPERLINK("#",""), HYPERLINK(CONCATENATE("#Metadata!", ADDRESS(INDEX($W$2:$W$1001,MATCH(ROWS($U$2:U45),$U$2:$U$1001,0),0), INDEX($AB$1004:$AQ$1004,1,MATCH(COLUMNS($AB$1006:AD1006),$AB$1006:$AQ$1006,0)))),"Fix")))</f>
        <v>0</v>
      </c>
      <c r="E45" s="5">
        <f>IF(OR(INDEX($V$2:$V$1001,MATCH(ROWS($U$2:U45),$U$2:$U$1001,0),1)&gt;=100000,INDEX($AB$1005:$AQ$1005,1,MATCH(COLUMNS($AB$1006:AE1006),$AB$1006:$AQ$1006,0))&gt;=100000), " ",IF(INDEX($AB$2:$AQ$1001,MATCH(ROWS($U$2:U45),$U$2:$U$1001,0),MATCH(COLUMNS($AB$1006:AE1006),$AB$1006:$AQ$1006,0)), HYPERLINK("#",""), HYPERLINK(CONCATENATE("#Metadata!", ADDRESS(INDEX($W$2:$W$1001,MATCH(ROWS($U$2:U45),$U$2:$U$1001,0),0), INDEX($AB$1004:$AQ$1004,1,MATCH(COLUMNS($AB$1006:AE1006),$AB$1006:$AQ$1006,0)))),"Fix")))</f>
        <v>0</v>
      </c>
      <c r="F45" s="5">
        <f>IF(OR(INDEX($V$2:$V$1001,MATCH(ROWS($U$2:U45),$U$2:$U$1001,0),1)&gt;=100000,INDEX($AB$1005:$AQ$1005,1,MATCH(COLUMNS($AB$1006:AF1006),$AB$1006:$AQ$1006,0))&gt;=100000), " ",IF(INDEX($AB$2:$AQ$1001,MATCH(ROWS($U$2:U45),$U$2:$U$1001,0),MATCH(COLUMNS($AB$1006:AF1006),$AB$1006:$AQ$1006,0)), HYPERLINK("#",""), HYPERLINK(CONCATENATE("#Metadata!", ADDRESS(INDEX($W$2:$W$1001,MATCH(ROWS($U$2:U45),$U$2:$U$1001,0),0), INDEX($AB$1004:$AQ$1004,1,MATCH(COLUMNS($AB$1006:AF1006),$AB$1006:$AQ$1006,0)))),"Fix")))</f>
        <v>0</v>
      </c>
      <c r="G45" s="5">
        <f>IF(OR(INDEX($V$2:$V$1001,MATCH(ROWS($U$2:U45),$U$2:$U$1001,0),1)&gt;=100000,INDEX($AB$1005:$AQ$1005,1,MATCH(COLUMNS($AB$1006:AG1006),$AB$1006:$AQ$1006,0))&gt;=100000), " ",IF(INDEX($AB$2:$AQ$1001,MATCH(ROWS($U$2:U45),$U$2:$U$1001,0),MATCH(COLUMNS($AB$1006:AG1006),$AB$1006:$AQ$1006,0)), HYPERLINK("#",""), HYPERLINK(CONCATENATE("#Metadata!", ADDRESS(INDEX($W$2:$W$1001,MATCH(ROWS($U$2:U45),$U$2:$U$1001,0),0), INDEX($AB$1004:$AQ$1004,1,MATCH(COLUMNS($AB$1006:AG1006),$AB$1006:$AQ$1006,0)))),"Fix")))</f>
        <v>0</v>
      </c>
      <c r="H45" s="5">
        <f>IF(OR(INDEX($V$2:$V$1001,MATCH(ROWS($U$2:U45),$U$2:$U$1001,0),1)&gt;=100000,INDEX($AB$1005:$AQ$1005,1,MATCH(COLUMNS($AB$1006:AH1006),$AB$1006:$AQ$1006,0))&gt;=100000), " ",IF(INDEX($AB$2:$AQ$1001,MATCH(ROWS($U$2:U45),$U$2:$U$1001,0),MATCH(COLUMNS($AB$1006:AH1006),$AB$1006:$AQ$1006,0)), HYPERLINK("#",""), HYPERLINK(CONCATENATE("#Metadata!", ADDRESS(INDEX($W$2:$W$1001,MATCH(ROWS($U$2:U45),$U$2:$U$1001,0),0), INDEX($AB$1004:$AQ$1004,1,MATCH(COLUMNS($AB$1006:AH1006),$AB$1006:$AQ$1006,0)))),"Fix")))</f>
        <v>0</v>
      </c>
      <c r="I45" s="5">
        <f>IF(OR(INDEX($V$2:$V$1001,MATCH(ROWS($U$2:U45),$U$2:$U$1001,0),1)&gt;=100000,INDEX($AB$1005:$AQ$1005,1,MATCH(COLUMNS($AB$1006:AI1006),$AB$1006:$AQ$1006,0))&gt;=100000), " ",IF(INDEX($AB$2:$AQ$1001,MATCH(ROWS($U$2:U45),$U$2:$U$1001,0),MATCH(COLUMNS($AB$1006:AI1006),$AB$1006:$AQ$1006,0)), HYPERLINK("#",""), HYPERLINK(CONCATENATE("#Metadata!", ADDRESS(INDEX($W$2:$W$1001,MATCH(ROWS($U$2:U45),$U$2:$U$1001,0),0), INDEX($AB$1004:$AQ$1004,1,MATCH(COLUMNS($AB$1006:AI1006),$AB$1006:$AQ$1006,0)))),"Fix")))</f>
        <v>0</v>
      </c>
      <c r="J45" s="5">
        <f>IF(OR(INDEX($V$2:$V$1001,MATCH(ROWS($U$2:U45),$U$2:$U$1001,0),1)&gt;=100000,INDEX($AB$1005:$AQ$1005,1,MATCH(COLUMNS($AB$1006:AJ1006),$AB$1006:$AQ$1006,0))&gt;=100000), " ",IF(INDEX($AB$2:$AQ$1001,MATCH(ROWS($U$2:U45),$U$2:$U$1001,0),MATCH(COLUMNS($AB$1006:AJ1006),$AB$1006:$AQ$1006,0)), HYPERLINK("#",""), HYPERLINK(CONCATENATE("#Metadata!", ADDRESS(INDEX($W$2:$W$1001,MATCH(ROWS($U$2:U45),$U$2:$U$1001,0),0), INDEX($AB$1004:$AQ$1004,1,MATCH(COLUMNS($AB$1006:AJ1006),$AB$1006:$AQ$1006,0)))),"Fix")))</f>
        <v>0</v>
      </c>
      <c r="K45" s="5">
        <f>IF(OR(INDEX($V$2:$V$1001,MATCH(ROWS($U$2:U45),$U$2:$U$1001,0),1)&gt;=100000,INDEX($AB$1005:$AQ$1005,1,MATCH(COLUMNS($AB$1006:AK1006),$AB$1006:$AQ$1006,0))&gt;=100000), " ",IF(INDEX($AB$2:$AQ$1001,MATCH(ROWS($U$2:U45),$U$2:$U$1001,0),MATCH(COLUMNS($AB$1006:AK1006),$AB$1006:$AQ$1006,0)), HYPERLINK("#",""), HYPERLINK(CONCATENATE("#Metadata!", ADDRESS(INDEX($W$2:$W$1001,MATCH(ROWS($U$2:U45),$U$2:$U$1001,0),0), INDEX($AB$1004:$AQ$1004,1,MATCH(COLUMNS($AB$1006:AK1006),$AB$1006:$AQ$1006,0)))),"Fix")))</f>
        <v>0</v>
      </c>
      <c r="L45" s="5">
        <f>IF(OR(INDEX($V$2:$V$1001,MATCH(ROWS($U$2:U45),$U$2:$U$1001,0),1)&gt;=100000,INDEX($AB$1005:$AQ$1005,1,MATCH(COLUMNS($AB$1006:AL1006),$AB$1006:$AQ$1006,0))&gt;=100000), " ",IF(INDEX($AB$2:$AQ$1001,MATCH(ROWS($U$2:U45),$U$2:$U$1001,0),MATCH(COLUMNS($AB$1006:AL1006),$AB$1006:$AQ$1006,0)), HYPERLINK("#",""), HYPERLINK(CONCATENATE("#Metadata!", ADDRESS(INDEX($W$2:$W$1001,MATCH(ROWS($U$2:U45),$U$2:$U$1001,0),0), INDEX($AB$1004:$AQ$1004,1,MATCH(COLUMNS($AB$1006:AL1006),$AB$1006:$AQ$1006,0)))),"Fix")))</f>
        <v>0</v>
      </c>
      <c r="M45" s="5">
        <f>IF(OR(INDEX($V$2:$V$1001,MATCH(ROWS($U$2:U45),$U$2:$U$1001,0),1)&gt;=100000,INDEX($AB$1005:$AQ$1005,1,MATCH(COLUMNS($AB$1006:AM1006),$AB$1006:$AQ$1006,0))&gt;=100000), " ",IF(INDEX($AB$2:$AQ$1001,MATCH(ROWS($U$2:U45),$U$2:$U$1001,0),MATCH(COLUMNS($AB$1006:AM1006),$AB$1006:$AQ$1006,0)), HYPERLINK("#",""), HYPERLINK(CONCATENATE("#Metadata!", ADDRESS(INDEX($W$2:$W$1001,MATCH(ROWS($U$2:U45),$U$2:$U$1001,0),0), INDEX($AB$1004:$AQ$1004,1,MATCH(COLUMNS($AB$1006:AM1006),$AB$1006:$AQ$1006,0)))),"Fix")))</f>
        <v>0</v>
      </c>
      <c r="N45" s="5">
        <f>IF(OR(INDEX($V$2:$V$1001,MATCH(ROWS($U$2:U45),$U$2:$U$1001,0),1)&gt;=100000,INDEX($AB$1005:$AQ$1005,1,MATCH(COLUMNS($AB$1006:AN1006),$AB$1006:$AQ$1006,0))&gt;=100000), " ",IF(INDEX($AB$2:$AQ$1001,MATCH(ROWS($U$2:U45),$U$2:$U$1001,0),MATCH(COLUMNS($AB$1006:AN1006),$AB$1006:$AQ$1006,0)), HYPERLINK("#",""), HYPERLINK(CONCATENATE("#Metadata!", ADDRESS(INDEX($W$2:$W$1001,MATCH(ROWS($U$2:U45),$U$2:$U$1001,0),0), INDEX($AB$1004:$AQ$1004,1,MATCH(COLUMNS($AB$1006:AN1006),$AB$1006:$AQ$1006,0)))),"Fix")))</f>
        <v>0</v>
      </c>
      <c r="O45" s="5">
        <f>IF(OR(INDEX($V$2:$V$1001,MATCH(ROWS($U$2:U45),$U$2:$U$1001,0),1)&gt;=100000,INDEX($AB$1005:$AQ$1005,1,MATCH(COLUMNS($AB$1006:AO1006),$AB$1006:$AQ$1006,0))&gt;=100000), " ",IF(INDEX($AB$2:$AQ$1001,MATCH(ROWS($U$2:U45),$U$2:$U$1001,0),MATCH(COLUMNS($AB$1006:AO1006),$AB$1006:$AQ$1006,0)), HYPERLINK("#",""), HYPERLINK(CONCATENATE("#Metadata!", ADDRESS(INDEX($W$2:$W$1001,MATCH(ROWS($U$2:U45),$U$2:$U$1001,0),0), INDEX($AB$1004:$AQ$1004,1,MATCH(COLUMNS($AB$1006:AO1006),$AB$1006:$AQ$1006,0)))),"Fix")))</f>
        <v>0</v>
      </c>
      <c r="P45" s="5">
        <f>IF(OR(INDEX($V$2:$V$1001,MATCH(ROWS($U$2:U45),$U$2:$U$1001,0),1)&gt;=100000,INDEX($AB$1005:$AQ$1005,1,MATCH(COLUMNS($AB$1006:AP1006),$AB$1006:$AQ$1006,0))&gt;=100000), " ",IF(INDEX($AB$2:$AQ$1001,MATCH(ROWS($U$2:U45),$U$2:$U$1001,0),MATCH(COLUMNS($AB$1006:AP1006),$AB$1006:$AQ$1006,0)), HYPERLINK("#",""), HYPERLINK(CONCATENATE("#Metadata!", ADDRESS(INDEX($W$2:$W$1001,MATCH(ROWS($U$2:U45),$U$2:$U$1001,0),0), INDEX($AB$1004:$AQ$1004,1,MATCH(COLUMNS($AB$1006:AP1006),$AB$1006:$AQ$1006,0)))),"Fix")))</f>
        <v>0</v>
      </c>
      <c r="Q45" s="5">
        <f>IF(OR(INDEX($V$2:$V$1001,MATCH(ROWS($U$2:U45),$U$2:$U$1001,0),1)&gt;=100000,INDEX($AB$1005:$AQ$1005,1,MATCH(COLUMNS($AB$1006:AQ1006),$AB$1006:$AQ$1006,0))&gt;=100000), " ",IF(INDEX($AB$2:$AQ$1001,MATCH(ROWS($U$2:U45),$U$2:$U$1001,0),MATCH(COLUMNS($AB$1006:AQ1006),$AB$1006:$AQ$1006,0)), HYPERLINK("#",""), HYPERLINK(CONCATENATE("#Metadata!", ADDRESS(INDEX($W$2:$W$1001,MATCH(ROWS($U$2:U45),$U$2:$U$1001,0),0), INDEX($AB$1004:$AQ$1004,1,MATCH(COLUMNS($AB$1006:AQ1006),$AB$1006:$AQ$1006,0)))),"Fix")))</f>
        <v>0</v>
      </c>
      <c r="U45">
        <v>0</v>
      </c>
      <c r="V45">
        <v>0</v>
      </c>
      <c r="W45">
        <v>0</v>
      </c>
      <c r="X45">
        <f>IF(Y45,TRUE,AND(AB45:AQ45))</f>
        <v>0</v>
      </c>
      <c r="Y45">
        <f>COUNTBLANK(Metadata!B45:Q45)=COLUMNS(Metadata!B45:Q45)</f>
        <v>0</v>
      </c>
      <c r="Z45">
        <v>0</v>
      </c>
      <c r="AB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AC45">
        <f>AND(IF(Metadata!C45="",FALSE,TRUE),exact(Metadata!C45,"urban biome"))</f>
        <v>0</v>
      </c>
      <c r="AD45">
        <f>AND(IF(Metadata!D45="",FALSE,TRUE),exact(Metadata!D45,"human-associated habitat"))</f>
        <v>0</v>
      </c>
      <c r="AE45">
        <f>AND(IF(Metadata!E45="",FALSE,TRUE),OR(exact(Metadata!E45,"human-associated"),exact(Metadata!E45,"human-skin"),exact(Metadata!E45,"human-oral"),exact(Metadata!E45,"human-gut"),exact(Metadata!E45,"human-vaginal")))</f>
        <v>0</v>
      </c>
      <c r="AF45">
        <f>AND(IF(Metadata!F45="",FALSE,ISNUMBER(VALUE(Metadata!F45))),Metadata!F45&gt;0)</f>
        <v>0</v>
      </c>
      <c r="AG45">
        <f>AND(IF(Metadata!G45="",FALSE,TRUE),exact(Metadata!G45,"years"))</f>
        <v>0</v>
      </c>
      <c r="AH45">
        <f>OR(AND(IF(Metadata!H45="",FALSE,TRUE),OR(exact(Metadata!H45,"not applicable"),exact(Metadata!H45,"not collected"),exact(Metadata!H45,"not provided"),exact(Metadata!H45,"restricted access"))),AND(IF(Metadata!H45="",FALSE,ISNUMBER(VALUE(Metadata!H45))),Metadata!H45&gt;0))</f>
        <v>0</v>
      </c>
      <c r="AI45">
        <f>AND(IF(Metadata!I45="",FALSE,TRUE),exact(Metadata!I45,"human"))</f>
        <v>0</v>
      </c>
      <c r="AJ45">
        <f>AND(IF(Metadata!J45="",FALSE,ISNUMBER(VALUE(Metadata!J45))),Metadata!J45&gt;0)</f>
        <v>0</v>
      </c>
      <c r="AK45">
        <f>AND(IF(Metadata!K45="",FALSE,TRUE),exact(Metadata!K45,"cm"))</f>
        <v>0</v>
      </c>
      <c r="AL45">
        <f>AND(IF(Metadata!L45="",FALSE,TRUE),exact(Metadata!L45,"Homo sapiens"))</f>
        <v>0</v>
      </c>
      <c r="AM45">
        <f>AND(IF(Metadata!M45="",FALSE,TRUE),exact(Metadata!M45,"9606"))</f>
        <v>0</v>
      </c>
      <c r="AN45">
        <f>AND(IF(Metadata!N45="",FALSE,ISNUMBER(VALUE(Metadata!N45))),Metadata!N45&gt;0)</f>
        <v>0</v>
      </c>
      <c r="AO45">
        <f>AND(IF(Metadata!O45="",FALSE,TRUE),exact(Metadata!O45,"kg"))</f>
        <v>0</v>
      </c>
      <c r="AP45">
        <f>OR(AND(IF(Metadata!P45="",FALSE,TRUE),exact(Metadata!P45,"not provided")),IF(Metadata!P45="",FALSE,TRUE))</f>
        <v>0</v>
      </c>
      <c r="AQ45">
        <f>OR(AND(IF(Metadata!Q45="",FALSE,TRUE),exact(Metadata!Q45,"not provided")),IF(Metadata!Q45="",FALSE,TRUE))</f>
        <v>0</v>
      </c>
    </row>
    <row r="46" spans="1:43">
      <c r="A46" s="4">
        <f>IF(B46=" "," ",HYPERLINK(CONCATENATE("#metadata!",ADDRESS(INDEX($W$2:$W$1001,MATCH(ROWS($U$2:U46),$U$2:$U$1001,0),0),2)),INDEX($Z$2:$Z$1001,MATCH(ROWS($U$2:U46),$U$2:$U$1001,0),0)))</f>
        <v>0</v>
      </c>
      <c r="B46" s="5">
        <f>IF(OR(INDEX($V$2:$V$1001,MATCH(ROWS($U$2:U46),$U$2:$U$1001,0),1)&gt;=100000,INDEX($AB$1005:$AQ$1005,1,MATCH(COLUMNS($AB$1006:AB1006),$AB$1006:$AQ$1006,0))&gt;=100000), " ",IF(INDEX($AB$2:$AQ$1001,MATCH(ROWS($U$2:U46),$U$2:$U$1001,0),MATCH(COLUMNS($AB$1006:AB1006),$AB$1006:$AQ$1006,0)), HYPERLINK("#",""), HYPERLINK(CONCATENATE("#Metadata!", ADDRESS(INDEX($W$2:$W$1001,MATCH(ROWS($U$2:U46),$U$2:$U$1001,0),0), INDEX($AB$1004:$AQ$1004,1,MATCH(COLUMNS($AB$1006:AB1006),$AB$1006:$AQ$1006,0)))),"Fix")))</f>
        <v>0</v>
      </c>
      <c r="C46" s="5">
        <f>IF(OR(INDEX($V$2:$V$1001,MATCH(ROWS($U$2:U46),$U$2:$U$1001,0),1)&gt;=100000,INDEX($AB$1005:$AQ$1005,1,MATCH(COLUMNS($AB$1006:AC1006),$AB$1006:$AQ$1006,0))&gt;=100000), " ",IF(INDEX($AB$2:$AQ$1001,MATCH(ROWS($U$2:U46),$U$2:$U$1001,0),MATCH(COLUMNS($AB$1006:AC1006),$AB$1006:$AQ$1006,0)), HYPERLINK("#",""), HYPERLINK(CONCATENATE("#Metadata!", ADDRESS(INDEX($W$2:$W$1001,MATCH(ROWS($U$2:U46),$U$2:$U$1001,0),0), INDEX($AB$1004:$AQ$1004,1,MATCH(COLUMNS($AB$1006:AC1006),$AB$1006:$AQ$1006,0)))),"Fix")))</f>
        <v>0</v>
      </c>
      <c r="D46" s="5">
        <f>IF(OR(INDEX($V$2:$V$1001,MATCH(ROWS($U$2:U46),$U$2:$U$1001,0),1)&gt;=100000,INDEX($AB$1005:$AQ$1005,1,MATCH(COLUMNS($AB$1006:AD1006),$AB$1006:$AQ$1006,0))&gt;=100000), " ",IF(INDEX($AB$2:$AQ$1001,MATCH(ROWS($U$2:U46),$U$2:$U$1001,0),MATCH(COLUMNS($AB$1006:AD1006),$AB$1006:$AQ$1006,0)), HYPERLINK("#",""), HYPERLINK(CONCATENATE("#Metadata!", ADDRESS(INDEX($W$2:$W$1001,MATCH(ROWS($U$2:U46),$U$2:$U$1001,0),0), INDEX($AB$1004:$AQ$1004,1,MATCH(COLUMNS($AB$1006:AD1006),$AB$1006:$AQ$1006,0)))),"Fix")))</f>
        <v>0</v>
      </c>
      <c r="E46" s="5">
        <f>IF(OR(INDEX($V$2:$V$1001,MATCH(ROWS($U$2:U46),$U$2:$U$1001,0),1)&gt;=100000,INDEX($AB$1005:$AQ$1005,1,MATCH(COLUMNS($AB$1006:AE1006),$AB$1006:$AQ$1006,0))&gt;=100000), " ",IF(INDEX($AB$2:$AQ$1001,MATCH(ROWS($U$2:U46),$U$2:$U$1001,0),MATCH(COLUMNS($AB$1006:AE1006),$AB$1006:$AQ$1006,0)), HYPERLINK("#",""), HYPERLINK(CONCATENATE("#Metadata!", ADDRESS(INDEX($W$2:$W$1001,MATCH(ROWS($U$2:U46),$U$2:$U$1001,0),0), INDEX($AB$1004:$AQ$1004,1,MATCH(COLUMNS($AB$1006:AE1006),$AB$1006:$AQ$1006,0)))),"Fix")))</f>
        <v>0</v>
      </c>
      <c r="F46" s="5">
        <f>IF(OR(INDEX($V$2:$V$1001,MATCH(ROWS($U$2:U46),$U$2:$U$1001,0),1)&gt;=100000,INDEX($AB$1005:$AQ$1005,1,MATCH(COLUMNS($AB$1006:AF1006),$AB$1006:$AQ$1006,0))&gt;=100000), " ",IF(INDEX($AB$2:$AQ$1001,MATCH(ROWS($U$2:U46),$U$2:$U$1001,0),MATCH(COLUMNS($AB$1006:AF1006),$AB$1006:$AQ$1006,0)), HYPERLINK("#",""), HYPERLINK(CONCATENATE("#Metadata!", ADDRESS(INDEX($W$2:$W$1001,MATCH(ROWS($U$2:U46),$U$2:$U$1001,0),0), INDEX($AB$1004:$AQ$1004,1,MATCH(COLUMNS($AB$1006:AF1006),$AB$1006:$AQ$1006,0)))),"Fix")))</f>
        <v>0</v>
      </c>
      <c r="G46" s="5">
        <f>IF(OR(INDEX($V$2:$V$1001,MATCH(ROWS($U$2:U46),$U$2:$U$1001,0),1)&gt;=100000,INDEX($AB$1005:$AQ$1005,1,MATCH(COLUMNS($AB$1006:AG1006),$AB$1006:$AQ$1006,0))&gt;=100000), " ",IF(INDEX($AB$2:$AQ$1001,MATCH(ROWS($U$2:U46),$U$2:$U$1001,0),MATCH(COLUMNS($AB$1006:AG1006),$AB$1006:$AQ$1006,0)), HYPERLINK("#",""), HYPERLINK(CONCATENATE("#Metadata!", ADDRESS(INDEX($W$2:$W$1001,MATCH(ROWS($U$2:U46),$U$2:$U$1001,0),0), INDEX($AB$1004:$AQ$1004,1,MATCH(COLUMNS($AB$1006:AG1006),$AB$1006:$AQ$1006,0)))),"Fix")))</f>
        <v>0</v>
      </c>
      <c r="H46" s="5">
        <f>IF(OR(INDEX($V$2:$V$1001,MATCH(ROWS($U$2:U46),$U$2:$U$1001,0),1)&gt;=100000,INDEX($AB$1005:$AQ$1005,1,MATCH(COLUMNS($AB$1006:AH1006),$AB$1006:$AQ$1006,0))&gt;=100000), " ",IF(INDEX($AB$2:$AQ$1001,MATCH(ROWS($U$2:U46),$U$2:$U$1001,0),MATCH(COLUMNS($AB$1006:AH1006),$AB$1006:$AQ$1006,0)), HYPERLINK("#",""), HYPERLINK(CONCATENATE("#Metadata!", ADDRESS(INDEX($W$2:$W$1001,MATCH(ROWS($U$2:U46),$U$2:$U$1001,0),0), INDEX($AB$1004:$AQ$1004,1,MATCH(COLUMNS($AB$1006:AH1006),$AB$1006:$AQ$1006,0)))),"Fix")))</f>
        <v>0</v>
      </c>
      <c r="I46" s="5">
        <f>IF(OR(INDEX($V$2:$V$1001,MATCH(ROWS($U$2:U46),$U$2:$U$1001,0),1)&gt;=100000,INDEX($AB$1005:$AQ$1005,1,MATCH(COLUMNS($AB$1006:AI1006),$AB$1006:$AQ$1006,0))&gt;=100000), " ",IF(INDEX($AB$2:$AQ$1001,MATCH(ROWS($U$2:U46),$U$2:$U$1001,0),MATCH(COLUMNS($AB$1006:AI1006),$AB$1006:$AQ$1006,0)), HYPERLINK("#",""), HYPERLINK(CONCATENATE("#Metadata!", ADDRESS(INDEX($W$2:$W$1001,MATCH(ROWS($U$2:U46),$U$2:$U$1001,0),0), INDEX($AB$1004:$AQ$1004,1,MATCH(COLUMNS($AB$1006:AI1006),$AB$1006:$AQ$1006,0)))),"Fix")))</f>
        <v>0</v>
      </c>
      <c r="J46" s="5">
        <f>IF(OR(INDEX($V$2:$V$1001,MATCH(ROWS($U$2:U46),$U$2:$U$1001,0),1)&gt;=100000,INDEX($AB$1005:$AQ$1005,1,MATCH(COLUMNS($AB$1006:AJ1006),$AB$1006:$AQ$1006,0))&gt;=100000), " ",IF(INDEX($AB$2:$AQ$1001,MATCH(ROWS($U$2:U46),$U$2:$U$1001,0),MATCH(COLUMNS($AB$1006:AJ1006),$AB$1006:$AQ$1006,0)), HYPERLINK("#",""), HYPERLINK(CONCATENATE("#Metadata!", ADDRESS(INDEX($W$2:$W$1001,MATCH(ROWS($U$2:U46),$U$2:$U$1001,0),0), INDEX($AB$1004:$AQ$1004,1,MATCH(COLUMNS($AB$1006:AJ1006),$AB$1006:$AQ$1006,0)))),"Fix")))</f>
        <v>0</v>
      </c>
      <c r="K46" s="5">
        <f>IF(OR(INDEX($V$2:$V$1001,MATCH(ROWS($U$2:U46),$U$2:$U$1001,0),1)&gt;=100000,INDEX($AB$1005:$AQ$1005,1,MATCH(COLUMNS($AB$1006:AK1006),$AB$1006:$AQ$1006,0))&gt;=100000), " ",IF(INDEX($AB$2:$AQ$1001,MATCH(ROWS($U$2:U46),$U$2:$U$1001,0),MATCH(COLUMNS($AB$1006:AK1006),$AB$1006:$AQ$1006,0)), HYPERLINK("#",""), HYPERLINK(CONCATENATE("#Metadata!", ADDRESS(INDEX($W$2:$W$1001,MATCH(ROWS($U$2:U46),$U$2:$U$1001,0),0), INDEX($AB$1004:$AQ$1004,1,MATCH(COLUMNS($AB$1006:AK1006),$AB$1006:$AQ$1006,0)))),"Fix")))</f>
        <v>0</v>
      </c>
      <c r="L46" s="5">
        <f>IF(OR(INDEX($V$2:$V$1001,MATCH(ROWS($U$2:U46),$U$2:$U$1001,0),1)&gt;=100000,INDEX($AB$1005:$AQ$1005,1,MATCH(COLUMNS($AB$1006:AL1006),$AB$1006:$AQ$1006,0))&gt;=100000), " ",IF(INDEX($AB$2:$AQ$1001,MATCH(ROWS($U$2:U46),$U$2:$U$1001,0),MATCH(COLUMNS($AB$1006:AL1006),$AB$1006:$AQ$1006,0)), HYPERLINK("#",""), HYPERLINK(CONCATENATE("#Metadata!", ADDRESS(INDEX($W$2:$W$1001,MATCH(ROWS($U$2:U46),$U$2:$U$1001,0),0), INDEX($AB$1004:$AQ$1004,1,MATCH(COLUMNS($AB$1006:AL1006),$AB$1006:$AQ$1006,0)))),"Fix")))</f>
        <v>0</v>
      </c>
      <c r="M46" s="5">
        <f>IF(OR(INDEX($V$2:$V$1001,MATCH(ROWS($U$2:U46),$U$2:$U$1001,0),1)&gt;=100000,INDEX($AB$1005:$AQ$1005,1,MATCH(COLUMNS($AB$1006:AM1006),$AB$1006:$AQ$1006,0))&gt;=100000), " ",IF(INDEX($AB$2:$AQ$1001,MATCH(ROWS($U$2:U46),$U$2:$U$1001,0),MATCH(COLUMNS($AB$1006:AM1006),$AB$1006:$AQ$1006,0)), HYPERLINK("#",""), HYPERLINK(CONCATENATE("#Metadata!", ADDRESS(INDEX($W$2:$W$1001,MATCH(ROWS($U$2:U46),$U$2:$U$1001,0),0), INDEX($AB$1004:$AQ$1004,1,MATCH(COLUMNS($AB$1006:AM1006),$AB$1006:$AQ$1006,0)))),"Fix")))</f>
        <v>0</v>
      </c>
      <c r="N46" s="5">
        <f>IF(OR(INDEX($V$2:$V$1001,MATCH(ROWS($U$2:U46),$U$2:$U$1001,0),1)&gt;=100000,INDEX($AB$1005:$AQ$1005,1,MATCH(COLUMNS($AB$1006:AN1006),$AB$1006:$AQ$1006,0))&gt;=100000), " ",IF(INDEX($AB$2:$AQ$1001,MATCH(ROWS($U$2:U46),$U$2:$U$1001,0),MATCH(COLUMNS($AB$1006:AN1006),$AB$1006:$AQ$1006,0)), HYPERLINK("#",""), HYPERLINK(CONCATENATE("#Metadata!", ADDRESS(INDEX($W$2:$W$1001,MATCH(ROWS($U$2:U46),$U$2:$U$1001,0),0), INDEX($AB$1004:$AQ$1004,1,MATCH(COLUMNS($AB$1006:AN1006),$AB$1006:$AQ$1006,0)))),"Fix")))</f>
        <v>0</v>
      </c>
      <c r="O46" s="5">
        <f>IF(OR(INDEX($V$2:$V$1001,MATCH(ROWS($U$2:U46),$U$2:$U$1001,0),1)&gt;=100000,INDEX($AB$1005:$AQ$1005,1,MATCH(COLUMNS($AB$1006:AO1006),$AB$1006:$AQ$1006,0))&gt;=100000), " ",IF(INDEX($AB$2:$AQ$1001,MATCH(ROWS($U$2:U46),$U$2:$U$1001,0),MATCH(COLUMNS($AB$1006:AO1006),$AB$1006:$AQ$1006,0)), HYPERLINK("#",""), HYPERLINK(CONCATENATE("#Metadata!", ADDRESS(INDEX($W$2:$W$1001,MATCH(ROWS($U$2:U46),$U$2:$U$1001,0),0), INDEX($AB$1004:$AQ$1004,1,MATCH(COLUMNS($AB$1006:AO1006),$AB$1006:$AQ$1006,0)))),"Fix")))</f>
        <v>0</v>
      </c>
      <c r="P46" s="5">
        <f>IF(OR(INDEX($V$2:$V$1001,MATCH(ROWS($U$2:U46),$U$2:$U$1001,0),1)&gt;=100000,INDEX($AB$1005:$AQ$1005,1,MATCH(COLUMNS($AB$1006:AP1006),$AB$1006:$AQ$1006,0))&gt;=100000), " ",IF(INDEX($AB$2:$AQ$1001,MATCH(ROWS($U$2:U46),$U$2:$U$1001,0),MATCH(COLUMNS($AB$1006:AP1006),$AB$1006:$AQ$1006,0)), HYPERLINK("#",""), HYPERLINK(CONCATENATE("#Metadata!", ADDRESS(INDEX($W$2:$W$1001,MATCH(ROWS($U$2:U46),$U$2:$U$1001,0),0), INDEX($AB$1004:$AQ$1004,1,MATCH(COLUMNS($AB$1006:AP1006),$AB$1006:$AQ$1006,0)))),"Fix")))</f>
        <v>0</v>
      </c>
      <c r="Q46" s="5">
        <f>IF(OR(INDEX($V$2:$V$1001,MATCH(ROWS($U$2:U46),$U$2:$U$1001,0),1)&gt;=100000,INDEX($AB$1005:$AQ$1005,1,MATCH(COLUMNS($AB$1006:AQ1006),$AB$1006:$AQ$1006,0))&gt;=100000), " ",IF(INDEX($AB$2:$AQ$1001,MATCH(ROWS($U$2:U46),$U$2:$U$1001,0),MATCH(COLUMNS($AB$1006:AQ1006),$AB$1006:$AQ$1006,0)), HYPERLINK("#",""), HYPERLINK(CONCATENATE("#Metadata!", ADDRESS(INDEX($W$2:$W$1001,MATCH(ROWS($U$2:U46),$U$2:$U$1001,0),0), INDEX($AB$1004:$AQ$1004,1,MATCH(COLUMNS($AB$1006:AQ1006),$AB$1006:$AQ$1006,0)))),"Fix")))</f>
        <v>0</v>
      </c>
      <c r="U46">
        <v>0</v>
      </c>
      <c r="V46">
        <v>0</v>
      </c>
      <c r="W46">
        <v>0</v>
      </c>
      <c r="X46">
        <f>IF(Y46,TRUE,AND(AB46:AQ46))</f>
        <v>0</v>
      </c>
      <c r="Y46">
        <f>COUNTBLANK(Metadata!B46:Q46)=COLUMNS(Metadata!B46:Q46)</f>
        <v>0</v>
      </c>
      <c r="Z46">
        <v>0</v>
      </c>
      <c r="AB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AC46">
        <f>AND(IF(Metadata!C46="",FALSE,TRUE),exact(Metadata!C46,"urban biome"))</f>
        <v>0</v>
      </c>
      <c r="AD46">
        <f>AND(IF(Metadata!D46="",FALSE,TRUE),exact(Metadata!D46,"human-associated habitat"))</f>
        <v>0</v>
      </c>
      <c r="AE46">
        <f>AND(IF(Metadata!E46="",FALSE,TRUE),OR(exact(Metadata!E46,"human-associated"),exact(Metadata!E46,"human-skin"),exact(Metadata!E46,"human-oral"),exact(Metadata!E46,"human-gut"),exact(Metadata!E46,"human-vaginal")))</f>
        <v>0</v>
      </c>
      <c r="AF46">
        <f>AND(IF(Metadata!F46="",FALSE,ISNUMBER(VALUE(Metadata!F46))),Metadata!F46&gt;0)</f>
        <v>0</v>
      </c>
      <c r="AG46">
        <f>AND(IF(Metadata!G46="",FALSE,TRUE),exact(Metadata!G46,"years"))</f>
        <v>0</v>
      </c>
      <c r="AH46">
        <f>OR(AND(IF(Metadata!H46="",FALSE,TRUE),OR(exact(Metadata!H46,"not applicable"),exact(Metadata!H46,"not collected"),exact(Metadata!H46,"not provided"),exact(Metadata!H46,"restricted access"))),AND(IF(Metadata!H46="",FALSE,ISNUMBER(VALUE(Metadata!H46))),Metadata!H46&gt;0))</f>
        <v>0</v>
      </c>
      <c r="AI46">
        <f>AND(IF(Metadata!I46="",FALSE,TRUE),exact(Metadata!I46,"human"))</f>
        <v>0</v>
      </c>
      <c r="AJ46">
        <f>AND(IF(Metadata!J46="",FALSE,ISNUMBER(VALUE(Metadata!J46))),Metadata!J46&gt;0)</f>
        <v>0</v>
      </c>
      <c r="AK46">
        <f>AND(IF(Metadata!K46="",FALSE,TRUE),exact(Metadata!K46,"cm"))</f>
        <v>0</v>
      </c>
      <c r="AL46">
        <f>AND(IF(Metadata!L46="",FALSE,TRUE),exact(Metadata!L46,"Homo sapiens"))</f>
        <v>0</v>
      </c>
      <c r="AM46">
        <f>AND(IF(Metadata!M46="",FALSE,TRUE),exact(Metadata!M46,"9606"))</f>
        <v>0</v>
      </c>
      <c r="AN46">
        <f>AND(IF(Metadata!N46="",FALSE,ISNUMBER(VALUE(Metadata!N46))),Metadata!N46&gt;0)</f>
        <v>0</v>
      </c>
      <c r="AO46">
        <f>AND(IF(Metadata!O46="",FALSE,TRUE),exact(Metadata!O46,"kg"))</f>
        <v>0</v>
      </c>
      <c r="AP46">
        <f>OR(AND(IF(Metadata!P46="",FALSE,TRUE),exact(Metadata!P46,"not provided")),IF(Metadata!P46="",FALSE,TRUE))</f>
        <v>0</v>
      </c>
      <c r="AQ46">
        <f>OR(AND(IF(Metadata!Q46="",FALSE,TRUE),exact(Metadata!Q46,"not provided")),IF(Metadata!Q46="",FALSE,TRUE))</f>
        <v>0</v>
      </c>
    </row>
    <row r="47" spans="1:43">
      <c r="A47" s="4">
        <f>IF(B47=" "," ",HYPERLINK(CONCATENATE("#metadata!",ADDRESS(INDEX($W$2:$W$1001,MATCH(ROWS($U$2:U47),$U$2:$U$1001,0),0),2)),INDEX($Z$2:$Z$1001,MATCH(ROWS($U$2:U47),$U$2:$U$1001,0),0)))</f>
        <v>0</v>
      </c>
      <c r="B47" s="5">
        <f>IF(OR(INDEX($V$2:$V$1001,MATCH(ROWS($U$2:U47),$U$2:$U$1001,0),1)&gt;=100000,INDEX($AB$1005:$AQ$1005,1,MATCH(COLUMNS($AB$1006:AB1006),$AB$1006:$AQ$1006,0))&gt;=100000), " ",IF(INDEX($AB$2:$AQ$1001,MATCH(ROWS($U$2:U47),$U$2:$U$1001,0),MATCH(COLUMNS($AB$1006:AB1006),$AB$1006:$AQ$1006,0)), HYPERLINK("#",""), HYPERLINK(CONCATENATE("#Metadata!", ADDRESS(INDEX($W$2:$W$1001,MATCH(ROWS($U$2:U47),$U$2:$U$1001,0),0), INDEX($AB$1004:$AQ$1004,1,MATCH(COLUMNS($AB$1006:AB1006),$AB$1006:$AQ$1006,0)))),"Fix")))</f>
        <v>0</v>
      </c>
      <c r="C47" s="5">
        <f>IF(OR(INDEX($V$2:$V$1001,MATCH(ROWS($U$2:U47),$U$2:$U$1001,0),1)&gt;=100000,INDEX($AB$1005:$AQ$1005,1,MATCH(COLUMNS($AB$1006:AC1006),$AB$1006:$AQ$1006,0))&gt;=100000), " ",IF(INDEX($AB$2:$AQ$1001,MATCH(ROWS($U$2:U47),$U$2:$U$1001,0),MATCH(COLUMNS($AB$1006:AC1006),$AB$1006:$AQ$1006,0)), HYPERLINK("#",""), HYPERLINK(CONCATENATE("#Metadata!", ADDRESS(INDEX($W$2:$W$1001,MATCH(ROWS($U$2:U47),$U$2:$U$1001,0),0), INDEX($AB$1004:$AQ$1004,1,MATCH(COLUMNS($AB$1006:AC1006),$AB$1006:$AQ$1006,0)))),"Fix")))</f>
        <v>0</v>
      </c>
      <c r="D47" s="5">
        <f>IF(OR(INDEX($V$2:$V$1001,MATCH(ROWS($U$2:U47),$U$2:$U$1001,0),1)&gt;=100000,INDEX($AB$1005:$AQ$1005,1,MATCH(COLUMNS($AB$1006:AD1006),$AB$1006:$AQ$1006,0))&gt;=100000), " ",IF(INDEX($AB$2:$AQ$1001,MATCH(ROWS($U$2:U47),$U$2:$U$1001,0),MATCH(COLUMNS($AB$1006:AD1006),$AB$1006:$AQ$1006,0)), HYPERLINK("#",""), HYPERLINK(CONCATENATE("#Metadata!", ADDRESS(INDEX($W$2:$W$1001,MATCH(ROWS($U$2:U47),$U$2:$U$1001,0),0), INDEX($AB$1004:$AQ$1004,1,MATCH(COLUMNS($AB$1006:AD1006),$AB$1006:$AQ$1006,0)))),"Fix")))</f>
        <v>0</v>
      </c>
      <c r="E47" s="5">
        <f>IF(OR(INDEX($V$2:$V$1001,MATCH(ROWS($U$2:U47),$U$2:$U$1001,0),1)&gt;=100000,INDEX($AB$1005:$AQ$1005,1,MATCH(COLUMNS($AB$1006:AE1006),$AB$1006:$AQ$1006,0))&gt;=100000), " ",IF(INDEX($AB$2:$AQ$1001,MATCH(ROWS($U$2:U47),$U$2:$U$1001,0),MATCH(COLUMNS($AB$1006:AE1006),$AB$1006:$AQ$1006,0)), HYPERLINK("#",""), HYPERLINK(CONCATENATE("#Metadata!", ADDRESS(INDEX($W$2:$W$1001,MATCH(ROWS($U$2:U47),$U$2:$U$1001,0),0), INDEX($AB$1004:$AQ$1004,1,MATCH(COLUMNS($AB$1006:AE1006),$AB$1006:$AQ$1006,0)))),"Fix")))</f>
        <v>0</v>
      </c>
      <c r="F47" s="5">
        <f>IF(OR(INDEX($V$2:$V$1001,MATCH(ROWS($U$2:U47),$U$2:$U$1001,0),1)&gt;=100000,INDEX($AB$1005:$AQ$1005,1,MATCH(COLUMNS($AB$1006:AF1006),$AB$1006:$AQ$1006,0))&gt;=100000), " ",IF(INDEX($AB$2:$AQ$1001,MATCH(ROWS($U$2:U47),$U$2:$U$1001,0),MATCH(COLUMNS($AB$1006:AF1006),$AB$1006:$AQ$1006,0)), HYPERLINK("#",""), HYPERLINK(CONCATENATE("#Metadata!", ADDRESS(INDEX($W$2:$W$1001,MATCH(ROWS($U$2:U47),$U$2:$U$1001,0),0), INDEX($AB$1004:$AQ$1004,1,MATCH(COLUMNS($AB$1006:AF1006),$AB$1006:$AQ$1006,0)))),"Fix")))</f>
        <v>0</v>
      </c>
      <c r="G47" s="5">
        <f>IF(OR(INDEX($V$2:$V$1001,MATCH(ROWS($U$2:U47),$U$2:$U$1001,0),1)&gt;=100000,INDEX($AB$1005:$AQ$1005,1,MATCH(COLUMNS($AB$1006:AG1006),$AB$1006:$AQ$1006,0))&gt;=100000), " ",IF(INDEX($AB$2:$AQ$1001,MATCH(ROWS($U$2:U47),$U$2:$U$1001,0),MATCH(COLUMNS($AB$1006:AG1006),$AB$1006:$AQ$1006,0)), HYPERLINK("#",""), HYPERLINK(CONCATENATE("#Metadata!", ADDRESS(INDEX($W$2:$W$1001,MATCH(ROWS($U$2:U47),$U$2:$U$1001,0),0), INDEX($AB$1004:$AQ$1004,1,MATCH(COLUMNS($AB$1006:AG1006),$AB$1006:$AQ$1006,0)))),"Fix")))</f>
        <v>0</v>
      </c>
      <c r="H47" s="5">
        <f>IF(OR(INDEX($V$2:$V$1001,MATCH(ROWS($U$2:U47),$U$2:$U$1001,0),1)&gt;=100000,INDEX($AB$1005:$AQ$1005,1,MATCH(COLUMNS($AB$1006:AH1006),$AB$1006:$AQ$1006,0))&gt;=100000), " ",IF(INDEX($AB$2:$AQ$1001,MATCH(ROWS($U$2:U47),$U$2:$U$1001,0),MATCH(COLUMNS($AB$1006:AH1006),$AB$1006:$AQ$1006,0)), HYPERLINK("#",""), HYPERLINK(CONCATENATE("#Metadata!", ADDRESS(INDEX($W$2:$W$1001,MATCH(ROWS($U$2:U47),$U$2:$U$1001,0),0), INDEX($AB$1004:$AQ$1004,1,MATCH(COLUMNS($AB$1006:AH1006),$AB$1006:$AQ$1006,0)))),"Fix")))</f>
        <v>0</v>
      </c>
      <c r="I47" s="5">
        <f>IF(OR(INDEX($V$2:$V$1001,MATCH(ROWS($U$2:U47),$U$2:$U$1001,0),1)&gt;=100000,INDEX($AB$1005:$AQ$1005,1,MATCH(COLUMNS($AB$1006:AI1006),$AB$1006:$AQ$1006,0))&gt;=100000), " ",IF(INDEX($AB$2:$AQ$1001,MATCH(ROWS($U$2:U47),$U$2:$U$1001,0),MATCH(COLUMNS($AB$1006:AI1006),$AB$1006:$AQ$1006,0)), HYPERLINK("#",""), HYPERLINK(CONCATENATE("#Metadata!", ADDRESS(INDEX($W$2:$W$1001,MATCH(ROWS($U$2:U47),$U$2:$U$1001,0),0), INDEX($AB$1004:$AQ$1004,1,MATCH(COLUMNS($AB$1006:AI1006),$AB$1006:$AQ$1006,0)))),"Fix")))</f>
        <v>0</v>
      </c>
      <c r="J47" s="5">
        <f>IF(OR(INDEX($V$2:$V$1001,MATCH(ROWS($U$2:U47),$U$2:$U$1001,0),1)&gt;=100000,INDEX($AB$1005:$AQ$1005,1,MATCH(COLUMNS($AB$1006:AJ1006),$AB$1006:$AQ$1006,0))&gt;=100000), " ",IF(INDEX($AB$2:$AQ$1001,MATCH(ROWS($U$2:U47),$U$2:$U$1001,0),MATCH(COLUMNS($AB$1006:AJ1006),$AB$1006:$AQ$1006,0)), HYPERLINK("#",""), HYPERLINK(CONCATENATE("#Metadata!", ADDRESS(INDEX($W$2:$W$1001,MATCH(ROWS($U$2:U47),$U$2:$U$1001,0),0), INDEX($AB$1004:$AQ$1004,1,MATCH(COLUMNS($AB$1006:AJ1006),$AB$1006:$AQ$1006,0)))),"Fix")))</f>
        <v>0</v>
      </c>
      <c r="K47" s="5">
        <f>IF(OR(INDEX($V$2:$V$1001,MATCH(ROWS($U$2:U47),$U$2:$U$1001,0),1)&gt;=100000,INDEX($AB$1005:$AQ$1005,1,MATCH(COLUMNS($AB$1006:AK1006),$AB$1006:$AQ$1006,0))&gt;=100000), " ",IF(INDEX($AB$2:$AQ$1001,MATCH(ROWS($U$2:U47),$U$2:$U$1001,0),MATCH(COLUMNS($AB$1006:AK1006),$AB$1006:$AQ$1006,0)), HYPERLINK("#",""), HYPERLINK(CONCATENATE("#Metadata!", ADDRESS(INDEX($W$2:$W$1001,MATCH(ROWS($U$2:U47),$U$2:$U$1001,0),0), INDEX($AB$1004:$AQ$1004,1,MATCH(COLUMNS($AB$1006:AK1006),$AB$1006:$AQ$1006,0)))),"Fix")))</f>
        <v>0</v>
      </c>
      <c r="L47" s="5">
        <f>IF(OR(INDEX($V$2:$V$1001,MATCH(ROWS($U$2:U47),$U$2:$U$1001,0),1)&gt;=100000,INDEX($AB$1005:$AQ$1005,1,MATCH(COLUMNS($AB$1006:AL1006),$AB$1006:$AQ$1006,0))&gt;=100000), " ",IF(INDEX($AB$2:$AQ$1001,MATCH(ROWS($U$2:U47),$U$2:$U$1001,0),MATCH(COLUMNS($AB$1006:AL1006),$AB$1006:$AQ$1006,0)), HYPERLINK("#",""), HYPERLINK(CONCATENATE("#Metadata!", ADDRESS(INDEX($W$2:$W$1001,MATCH(ROWS($U$2:U47),$U$2:$U$1001,0),0), INDEX($AB$1004:$AQ$1004,1,MATCH(COLUMNS($AB$1006:AL1006),$AB$1006:$AQ$1006,0)))),"Fix")))</f>
        <v>0</v>
      </c>
      <c r="M47" s="5">
        <f>IF(OR(INDEX($V$2:$V$1001,MATCH(ROWS($U$2:U47),$U$2:$U$1001,0),1)&gt;=100000,INDEX($AB$1005:$AQ$1005,1,MATCH(COLUMNS($AB$1006:AM1006),$AB$1006:$AQ$1006,0))&gt;=100000), " ",IF(INDEX($AB$2:$AQ$1001,MATCH(ROWS($U$2:U47),$U$2:$U$1001,0),MATCH(COLUMNS($AB$1006:AM1006),$AB$1006:$AQ$1006,0)), HYPERLINK("#",""), HYPERLINK(CONCATENATE("#Metadata!", ADDRESS(INDEX($W$2:$W$1001,MATCH(ROWS($U$2:U47),$U$2:$U$1001,0),0), INDEX($AB$1004:$AQ$1004,1,MATCH(COLUMNS($AB$1006:AM1006),$AB$1006:$AQ$1006,0)))),"Fix")))</f>
        <v>0</v>
      </c>
      <c r="N47" s="5">
        <f>IF(OR(INDEX($V$2:$V$1001,MATCH(ROWS($U$2:U47),$U$2:$U$1001,0),1)&gt;=100000,INDEX($AB$1005:$AQ$1005,1,MATCH(COLUMNS($AB$1006:AN1006),$AB$1006:$AQ$1006,0))&gt;=100000), " ",IF(INDEX($AB$2:$AQ$1001,MATCH(ROWS($U$2:U47),$U$2:$U$1001,0),MATCH(COLUMNS($AB$1006:AN1006),$AB$1006:$AQ$1006,0)), HYPERLINK("#",""), HYPERLINK(CONCATENATE("#Metadata!", ADDRESS(INDEX($W$2:$W$1001,MATCH(ROWS($U$2:U47),$U$2:$U$1001,0),0), INDEX($AB$1004:$AQ$1004,1,MATCH(COLUMNS($AB$1006:AN1006),$AB$1006:$AQ$1006,0)))),"Fix")))</f>
        <v>0</v>
      </c>
      <c r="O47" s="5">
        <f>IF(OR(INDEX($V$2:$V$1001,MATCH(ROWS($U$2:U47),$U$2:$U$1001,0),1)&gt;=100000,INDEX($AB$1005:$AQ$1005,1,MATCH(COLUMNS($AB$1006:AO1006),$AB$1006:$AQ$1006,0))&gt;=100000), " ",IF(INDEX($AB$2:$AQ$1001,MATCH(ROWS($U$2:U47),$U$2:$U$1001,0),MATCH(COLUMNS($AB$1006:AO1006),$AB$1006:$AQ$1006,0)), HYPERLINK("#",""), HYPERLINK(CONCATENATE("#Metadata!", ADDRESS(INDEX($W$2:$W$1001,MATCH(ROWS($U$2:U47),$U$2:$U$1001,0),0), INDEX($AB$1004:$AQ$1004,1,MATCH(COLUMNS($AB$1006:AO1006),$AB$1006:$AQ$1006,0)))),"Fix")))</f>
        <v>0</v>
      </c>
      <c r="P47" s="5">
        <f>IF(OR(INDEX($V$2:$V$1001,MATCH(ROWS($U$2:U47),$U$2:$U$1001,0),1)&gt;=100000,INDEX($AB$1005:$AQ$1005,1,MATCH(COLUMNS($AB$1006:AP1006),$AB$1006:$AQ$1006,0))&gt;=100000), " ",IF(INDEX($AB$2:$AQ$1001,MATCH(ROWS($U$2:U47),$U$2:$U$1001,0),MATCH(COLUMNS($AB$1006:AP1006),$AB$1006:$AQ$1006,0)), HYPERLINK("#",""), HYPERLINK(CONCATENATE("#Metadata!", ADDRESS(INDEX($W$2:$W$1001,MATCH(ROWS($U$2:U47),$U$2:$U$1001,0),0), INDEX($AB$1004:$AQ$1004,1,MATCH(COLUMNS($AB$1006:AP1006),$AB$1006:$AQ$1006,0)))),"Fix")))</f>
        <v>0</v>
      </c>
      <c r="Q47" s="5">
        <f>IF(OR(INDEX($V$2:$V$1001,MATCH(ROWS($U$2:U47),$U$2:$U$1001,0),1)&gt;=100000,INDEX($AB$1005:$AQ$1005,1,MATCH(COLUMNS($AB$1006:AQ1006),$AB$1006:$AQ$1006,0))&gt;=100000), " ",IF(INDEX($AB$2:$AQ$1001,MATCH(ROWS($U$2:U47),$U$2:$U$1001,0),MATCH(COLUMNS($AB$1006:AQ1006),$AB$1006:$AQ$1006,0)), HYPERLINK("#",""), HYPERLINK(CONCATENATE("#Metadata!", ADDRESS(INDEX($W$2:$W$1001,MATCH(ROWS($U$2:U47),$U$2:$U$1001,0),0), INDEX($AB$1004:$AQ$1004,1,MATCH(COLUMNS($AB$1006:AQ1006),$AB$1006:$AQ$1006,0)))),"Fix")))</f>
        <v>0</v>
      </c>
      <c r="U47">
        <v>0</v>
      </c>
      <c r="V47">
        <v>0</v>
      </c>
      <c r="W47">
        <v>0</v>
      </c>
      <c r="X47">
        <f>IF(Y47,TRUE,AND(AB47:AQ47))</f>
        <v>0</v>
      </c>
      <c r="Y47">
        <f>COUNTBLANK(Metadata!B47:Q47)=COLUMNS(Metadata!B47:Q47)</f>
        <v>0</v>
      </c>
      <c r="Z47">
        <v>0</v>
      </c>
      <c r="AB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AC47">
        <f>AND(IF(Metadata!C47="",FALSE,TRUE),exact(Metadata!C47,"urban biome"))</f>
        <v>0</v>
      </c>
      <c r="AD47">
        <f>AND(IF(Metadata!D47="",FALSE,TRUE),exact(Metadata!D47,"human-associated habitat"))</f>
        <v>0</v>
      </c>
      <c r="AE47">
        <f>AND(IF(Metadata!E47="",FALSE,TRUE),OR(exact(Metadata!E47,"human-associated"),exact(Metadata!E47,"human-skin"),exact(Metadata!E47,"human-oral"),exact(Metadata!E47,"human-gut"),exact(Metadata!E47,"human-vaginal")))</f>
        <v>0</v>
      </c>
      <c r="AF47">
        <f>AND(IF(Metadata!F47="",FALSE,ISNUMBER(VALUE(Metadata!F47))),Metadata!F47&gt;0)</f>
        <v>0</v>
      </c>
      <c r="AG47">
        <f>AND(IF(Metadata!G47="",FALSE,TRUE),exact(Metadata!G47,"years"))</f>
        <v>0</v>
      </c>
      <c r="AH47">
        <f>OR(AND(IF(Metadata!H47="",FALSE,TRUE),OR(exact(Metadata!H47,"not applicable"),exact(Metadata!H47,"not collected"),exact(Metadata!H47,"not provided"),exact(Metadata!H47,"restricted access"))),AND(IF(Metadata!H47="",FALSE,ISNUMBER(VALUE(Metadata!H47))),Metadata!H47&gt;0))</f>
        <v>0</v>
      </c>
      <c r="AI47">
        <f>AND(IF(Metadata!I47="",FALSE,TRUE),exact(Metadata!I47,"human"))</f>
        <v>0</v>
      </c>
      <c r="AJ47">
        <f>AND(IF(Metadata!J47="",FALSE,ISNUMBER(VALUE(Metadata!J47))),Metadata!J47&gt;0)</f>
        <v>0</v>
      </c>
      <c r="AK47">
        <f>AND(IF(Metadata!K47="",FALSE,TRUE),exact(Metadata!K47,"cm"))</f>
        <v>0</v>
      </c>
      <c r="AL47">
        <f>AND(IF(Metadata!L47="",FALSE,TRUE),exact(Metadata!L47,"Homo sapiens"))</f>
        <v>0</v>
      </c>
      <c r="AM47">
        <f>AND(IF(Metadata!M47="",FALSE,TRUE),exact(Metadata!M47,"9606"))</f>
        <v>0</v>
      </c>
      <c r="AN47">
        <f>AND(IF(Metadata!N47="",FALSE,ISNUMBER(VALUE(Metadata!N47))),Metadata!N47&gt;0)</f>
        <v>0</v>
      </c>
      <c r="AO47">
        <f>AND(IF(Metadata!O47="",FALSE,TRUE),exact(Metadata!O47,"kg"))</f>
        <v>0</v>
      </c>
      <c r="AP47">
        <f>OR(AND(IF(Metadata!P47="",FALSE,TRUE),exact(Metadata!P47,"not provided")),IF(Metadata!P47="",FALSE,TRUE))</f>
        <v>0</v>
      </c>
      <c r="AQ47">
        <f>OR(AND(IF(Metadata!Q47="",FALSE,TRUE),exact(Metadata!Q47,"not provided")),IF(Metadata!Q47="",FALSE,TRUE))</f>
        <v>0</v>
      </c>
    </row>
    <row r="48" spans="1:43">
      <c r="A48" s="4">
        <f>IF(B48=" "," ",HYPERLINK(CONCATENATE("#metadata!",ADDRESS(INDEX($W$2:$W$1001,MATCH(ROWS($U$2:U48),$U$2:$U$1001,0),0),2)),INDEX($Z$2:$Z$1001,MATCH(ROWS($U$2:U48),$U$2:$U$1001,0),0)))</f>
        <v>0</v>
      </c>
      <c r="B48" s="5">
        <f>IF(OR(INDEX($V$2:$V$1001,MATCH(ROWS($U$2:U48),$U$2:$U$1001,0),1)&gt;=100000,INDEX($AB$1005:$AQ$1005,1,MATCH(COLUMNS($AB$1006:AB1006),$AB$1006:$AQ$1006,0))&gt;=100000), " ",IF(INDEX($AB$2:$AQ$1001,MATCH(ROWS($U$2:U48),$U$2:$U$1001,0),MATCH(COLUMNS($AB$1006:AB1006),$AB$1006:$AQ$1006,0)), HYPERLINK("#",""), HYPERLINK(CONCATENATE("#Metadata!", ADDRESS(INDEX($W$2:$W$1001,MATCH(ROWS($U$2:U48),$U$2:$U$1001,0),0), INDEX($AB$1004:$AQ$1004,1,MATCH(COLUMNS($AB$1006:AB1006),$AB$1006:$AQ$1006,0)))),"Fix")))</f>
        <v>0</v>
      </c>
      <c r="C48" s="5">
        <f>IF(OR(INDEX($V$2:$V$1001,MATCH(ROWS($U$2:U48),$U$2:$U$1001,0),1)&gt;=100000,INDEX($AB$1005:$AQ$1005,1,MATCH(COLUMNS($AB$1006:AC1006),$AB$1006:$AQ$1006,0))&gt;=100000), " ",IF(INDEX($AB$2:$AQ$1001,MATCH(ROWS($U$2:U48),$U$2:$U$1001,0),MATCH(COLUMNS($AB$1006:AC1006),$AB$1006:$AQ$1006,0)), HYPERLINK("#",""), HYPERLINK(CONCATENATE("#Metadata!", ADDRESS(INDEX($W$2:$W$1001,MATCH(ROWS($U$2:U48),$U$2:$U$1001,0),0), INDEX($AB$1004:$AQ$1004,1,MATCH(COLUMNS($AB$1006:AC1006),$AB$1006:$AQ$1006,0)))),"Fix")))</f>
        <v>0</v>
      </c>
      <c r="D48" s="5">
        <f>IF(OR(INDEX($V$2:$V$1001,MATCH(ROWS($U$2:U48),$U$2:$U$1001,0),1)&gt;=100000,INDEX($AB$1005:$AQ$1005,1,MATCH(COLUMNS($AB$1006:AD1006),$AB$1006:$AQ$1006,0))&gt;=100000), " ",IF(INDEX($AB$2:$AQ$1001,MATCH(ROWS($U$2:U48),$U$2:$U$1001,0),MATCH(COLUMNS($AB$1006:AD1006),$AB$1006:$AQ$1006,0)), HYPERLINK("#",""), HYPERLINK(CONCATENATE("#Metadata!", ADDRESS(INDEX($W$2:$W$1001,MATCH(ROWS($U$2:U48),$U$2:$U$1001,0),0), INDEX($AB$1004:$AQ$1004,1,MATCH(COLUMNS($AB$1006:AD1006),$AB$1006:$AQ$1006,0)))),"Fix")))</f>
        <v>0</v>
      </c>
      <c r="E48" s="5">
        <f>IF(OR(INDEX($V$2:$V$1001,MATCH(ROWS($U$2:U48),$U$2:$U$1001,0),1)&gt;=100000,INDEX($AB$1005:$AQ$1005,1,MATCH(COLUMNS($AB$1006:AE1006),$AB$1006:$AQ$1006,0))&gt;=100000), " ",IF(INDEX($AB$2:$AQ$1001,MATCH(ROWS($U$2:U48),$U$2:$U$1001,0),MATCH(COLUMNS($AB$1006:AE1006),$AB$1006:$AQ$1006,0)), HYPERLINK("#",""), HYPERLINK(CONCATENATE("#Metadata!", ADDRESS(INDEX($W$2:$W$1001,MATCH(ROWS($U$2:U48),$U$2:$U$1001,0),0), INDEX($AB$1004:$AQ$1004,1,MATCH(COLUMNS($AB$1006:AE1006),$AB$1006:$AQ$1006,0)))),"Fix")))</f>
        <v>0</v>
      </c>
      <c r="F48" s="5">
        <f>IF(OR(INDEX($V$2:$V$1001,MATCH(ROWS($U$2:U48),$U$2:$U$1001,0),1)&gt;=100000,INDEX($AB$1005:$AQ$1005,1,MATCH(COLUMNS($AB$1006:AF1006),$AB$1006:$AQ$1006,0))&gt;=100000), " ",IF(INDEX($AB$2:$AQ$1001,MATCH(ROWS($U$2:U48),$U$2:$U$1001,0),MATCH(COLUMNS($AB$1006:AF1006),$AB$1006:$AQ$1006,0)), HYPERLINK("#",""), HYPERLINK(CONCATENATE("#Metadata!", ADDRESS(INDEX($W$2:$W$1001,MATCH(ROWS($U$2:U48),$U$2:$U$1001,0),0), INDEX($AB$1004:$AQ$1004,1,MATCH(COLUMNS($AB$1006:AF1006),$AB$1006:$AQ$1006,0)))),"Fix")))</f>
        <v>0</v>
      </c>
      <c r="G48" s="5">
        <f>IF(OR(INDEX($V$2:$V$1001,MATCH(ROWS($U$2:U48),$U$2:$U$1001,0),1)&gt;=100000,INDEX($AB$1005:$AQ$1005,1,MATCH(COLUMNS($AB$1006:AG1006),$AB$1006:$AQ$1006,0))&gt;=100000), " ",IF(INDEX($AB$2:$AQ$1001,MATCH(ROWS($U$2:U48),$U$2:$U$1001,0),MATCH(COLUMNS($AB$1006:AG1006),$AB$1006:$AQ$1006,0)), HYPERLINK("#",""), HYPERLINK(CONCATENATE("#Metadata!", ADDRESS(INDEX($W$2:$W$1001,MATCH(ROWS($U$2:U48),$U$2:$U$1001,0),0), INDEX($AB$1004:$AQ$1004,1,MATCH(COLUMNS($AB$1006:AG1006),$AB$1006:$AQ$1006,0)))),"Fix")))</f>
        <v>0</v>
      </c>
      <c r="H48" s="5">
        <f>IF(OR(INDEX($V$2:$V$1001,MATCH(ROWS($U$2:U48),$U$2:$U$1001,0),1)&gt;=100000,INDEX($AB$1005:$AQ$1005,1,MATCH(COLUMNS($AB$1006:AH1006),$AB$1006:$AQ$1006,0))&gt;=100000), " ",IF(INDEX($AB$2:$AQ$1001,MATCH(ROWS($U$2:U48),$U$2:$U$1001,0),MATCH(COLUMNS($AB$1006:AH1006),$AB$1006:$AQ$1006,0)), HYPERLINK("#",""), HYPERLINK(CONCATENATE("#Metadata!", ADDRESS(INDEX($W$2:$W$1001,MATCH(ROWS($U$2:U48),$U$2:$U$1001,0),0), INDEX($AB$1004:$AQ$1004,1,MATCH(COLUMNS($AB$1006:AH1006),$AB$1006:$AQ$1006,0)))),"Fix")))</f>
        <v>0</v>
      </c>
      <c r="I48" s="5">
        <f>IF(OR(INDEX($V$2:$V$1001,MATCH(ROWS($U$2:U48),$U$2:$U$1001,0),1)&gt;=100000,INDEX($AB$1005:$AQ$1005,1,MATCH(COLUMNS($AB$1006:AI1006),$AB$1006:$AQ$1006,0))&gt;=100000), " ",IF(INDEX($AB$2:$AQ$1001,MATCH(ROWS($U$2:U48),$U$2:$U$1001,0),MATCH(COLUMNS($AB$1006:AI1006),$AB$1006:$AQ$1006,0)), HYPERLINK("#",""), HYPERLINK(CONCATENATE("#Metadata!", ADDRESS(INDEX($W$2:$W$1001,MATCH(ROWS($U$2:U48),$U$2:$U$1001,0),0), INDEX($AB$1004:$AQ$1004,1,MATCH(COLUMNS($AB$1006:AI1006),$AB$1006:$AQ$1006,0)))),"Fix")))</f>
        <v>0</v>
      </c>
      <c r="J48" s="5">
        <f>IF(OR(INDEX($V$2:$V$1001,MATCH(ROWS($U$2:U48),$U$2:$U$1001,0),1)&gt;=100000,INDEX($AB$1005:$AQ$1005,1,MATCH(COLUMNS($AB$1006:AJ1006),$AB$1006:$AQ$1006,0))&gt;=100000), " ",IF(INDEX($AB$2:$AQ$1001,MATCH(ROWS($U$2:U48),$U$2:$U$1001,0),MATCH(COLUMNS($AB$1006:AJ1006),$AB$1006:$AQ$1006,0)), HYPERLINK("#",""), HYPERLINK(CONCATENATE("#Metadata!", ADDRESS(INDEX($W$2:$W$1001,MATCH(ROWS($U$2:U48),$U$2:$U$1001,0),0), INDEX($AB$1004:$AQ$1004,1,MATCH(COLUMNS($AB$1006:AJ1006),$AB$1006:$AQ$1006,0)))),"Fix")))</f>
        <v>0</v>
      </c>
      <c r="K48" s="5">
        <f>IF(OR(INDEX($V$2:$V$1001,MATCH(ROWS($U$2:U48),$U$2:$U$1001,0),1)&gt;=100000,INDEX($AB$1005:$AQ$1005,1,MATCH(COLUMNS($AB$1006:AK1006),$AB$1006:$AQ$1006,0))&gt;=100000), " ",IF(INDEX($AB$2:$AQ$1001,MATCH(ROWS($U$2:U48),$U$2:$U$1001,0),MATCH(COLUMNS($AB$1006:AK1006),$AB$1006:$AQ$1006,0)), HYPERLINK("#",""), HYPERLINK(CONCATENATE("#Metadata!", ADDRESS(INDEX($W$2:$W$1001,MATCH(ROWS($U$2:U48),$U$2:$U$1001,0),0), INDEX($AB$1004:$AQ$1004,1,MATCH(COLUMNS($AB$1006:AK1006),$AB$1006:$AQ$1006,0)))),"Fix")))</f>
        <v>0</v>
      </c>
      <c r="L48" s="5">
        <f>IF(OR(INDEX($V$2:$V$1001,MATCH(ROWS($U$2:U48),$U$2:$U$1001,0),1)&gt;=100000,INDEX($AB$1005:$AQ$1005,1,MATCH(COLUMNS($AB$1006:AL1006),$AB$1006:$AQ$1006,0))&gt;=100000), " ",IF(INDEX($AB$2:$AQ$1001,MATCH(ROWS($U$2:U48),$U$2:$U$1001,0),MATCH(COLUMNS($AB$1006:AL1006),$AB$1006:$AQ$1006,0)), HYPERLINK("#",""), HYPERLINK(CONCATENATE("#Metadata!", ADDRESS(INDEX($W$2:$W$1001,MATCH(ROWS($U$2:U48),$U$2:$U$1001,0),0), INDEX($AB$1004:$AQ$1004,1,MATCH(COLUMNS($AB$1006:AL1006),$AB$1006:$AQ$1006,0)))),"Fix")))</f>
        <v>0</v>
      </c>
      <c r="M48" s="5">
        <f>IF(OR(INDEX($V$2:$V$1001,MATCH(ROWS($U$2:U48),$U$2:$U$1001,0),1)&gt;=100000,INDEX($AB$1005:$AQ$1005,1,MATCH(COLUMNS($AB$1006:AM1006),$AB$1006:$AQ$1006,0))&gt;=100000), " ",IF(INDEX($AB$2:$AQ$1001,MATCH(ROWS($U$2:U48),$U$2:$U$1001,0),MATCH(COLUMNS($AB$1006:AM1006),$AB$1006:$AQ$1006,0)), HYPERLINK("#",""), HYPERLINK(CONCATENATE("#Metadata!", ADDRESS(INDEX($W$2:$W$1001,MATCH(ROWS($U$2:U48),$U$2:$U$1001,0),0), INDEX($AB$1004:$AQ$1004,1,MATCH(COLUMNS($AB$1006:AM1006),$AB$1006:$AQ$1006,0)))),"Fix")))</f>
        <v>0</v>
      </c>
      <c r="N48" s="5">
        <f>IF(OR(INDEX($V$2:$V$1001,MATCH(ROWS($U$2:U48),$U$2:$U$1001,0),1)&gt;=100000,INDEX($AB$1005:$AQ$1005,1,MATCH(COLUMNS($AB$1006:AN1006),$AB$1006:$AQ$1006,0))&gt;=100000), " ",IF(INDEX($AB$2:$AQ$1001,MATCH(ROWS($U$2:U48),$U$2:$U$1001,0),MATCH(COLUMNS($AB$1006:AN1006),$AB$1006:$AQ$1006,0)), HYPERLINK("#",""), HYPERLINK(CONCATENATE("#Metadata!", ADDRESS(INDEX($W$2:$W$1001,MATCH(ROWS($U$2:U48),$U$2:$U$1001,0),0), INDEX($AB$1004:$AQ$1004,1,MATCH(COLUMNS($AB$1006:AN1006),$AB$1006:$AQ$1006,0)))),"Fix")))</f>
        <v>0</v>
      </c>
      <c r="O48" s="5">
        <f>IF(OR(INDEX($V$2:$V$1001,MATCH(ROWS($U$2:U48),$U$2:$U$1001,0),1)&gt;=100000,INDEX($AB$1005:$AQ$1005,1,MATCH(COLUMNS($AB$1006:AO1006),$AB$1006:$AQ$1006,0))&gt;=100000), " ",IF(INDEX($AB$2:$AQ$1001,MATCH(ROWS($U$2:U48),$U$2:$U$1001,0),MATCH(COLUMNS($AB$1006:AO1006),$AB$1006:$AQ$1006,0)), HYPERLINK("#",""), HYPERLINK(CONCATENATE("#Metadata!", ADDRESS(INDEX($W$2:$W$1001,MATCH(ROWS($U$2:U48),$U$2:$U$1001,0),0), INDEX($AB$1004:$AQ$1004,1,MATCH(COLUMNS($AB$1006:AO1006),$AB$1006:$AQ$1006,0)))),"Fix")))</f>
        <v>0</v>
      </c>
      <c r="P48" s="5">
        <f>IF(OR(INDEX($V$2:$V$1001,MATCH(ROWS($U$2:U48),$U$2:$U$1001,0),1)&gt;=100000,INDEX($AB$1005:$AQ$1005,1,MATCH(COLUMNS($AB$1006:AP1006),$AB$1006:$AQ$1006,0))&gt;=100000), " ",IF(INDEX($AB$2:$AQ$1001,MATCH(ROWS($U$2:U48),$U$2:$U$1001,0),MATCH(COLUMNS($AB$1006:AP1006),$AB$1006:$AQ$1006,0)), HYPERLINK("#",""), HYPERLINK(CONCATENATE("#Metadata!", ADDRESS(INDEX($W$2:$W$1001,MATCH(ROWS($U$2:U48),$U$2:$U$1001,0),0), INDEX($AB$1004:$AQ$1004,1,MATCH(COLUMNS($AB$1006:AP1006),$AB$1006:$AQ$1006,0)))),"Fix")))</f>
        <v>0</v>
      </c>
      <c r="Q48" s="5">
        <f>IF(OR(INDEX($V$2:$V$1001,MATCH(ROWS($U$2:U48),$U$2:$U$1001,0),1)&gt;=100000,INDEX($AB$1005:$AQ$1005,1,MATCH(COLUMNS($AB$1006:AQ1006),$AB$1006:$AQ$1006,0))&gt;=100000), " ",IF(INDEX($AB$2:$AQ$1001,MATCH(ROWS($U$2:U48),$U$2:$U$1001,0),MATCH(COLUMNS($AB$1006:AQ1006),$AB$1006:$AQ$1006,0)), HYPERLINK("#",""), HYPERLINK(CONCATENATE("#Metadata!", ADDRESS(INDEX($W$2:$W$1001,MATCH(ROWS($U$2:U48),$U$2:$U$1001,0),0), INDEX($AB$1004:$AQ$1004,1,MATCH(COLUMNS($AB$1006:AQ1006),$AB$1006:$AQ$1006,0)))),"Fix")))</f>
        <v>0</v>
      </c>
      <c r="U48">
        <v>0</v>
      </c>
      <c r="V48">
        <v>0</v>
      </c>
      <c r="W48">
        <v>0</v>
      </c>
      <c r="X48">
        <f>IF(Y48,TRUE,AND(AB48:AQ48))</f>
        <v>0</v>
      </c>
      <c r="Y48">
        <f>COUNTBLANK(Metadata!B48:Q48)=COLUMNS(Metadata!B48:Q48)</f>
        <v>0</v>
      </c>
      <c r="Z48">
        <v>0</v>
      </c>
      <c r="AB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AC48">
        <f>AND(IF(Metadata!C48="",FALSE,TRUE),exact(Metadata!C48,"urban biome"))</f>
        <v>0</v>
      </c>
      <c r="AD48">
        <f>AND(IF(Metadata!D48="",FALSE,TRUE),exact(Metadata!D48,"human-associated habitat"))</f>
        <v>0</v>
      </c>
      <c r="AE48">
        <f>AND(IF(Metadata!E48="",FALSE,TRUE),OR(exact(Metadata!E48,"human-associated"),exact(Metadata!E48,"human-skin"),exact(Metadata!E48,"human-oral"),exact(Metadata!E48,"human-gut"),exact(Metadata!E48,"human-vaginal")))</f>
        <v>0</v>
      </c>
      <c r="AF48">
        <f>AND(IF(Metadata!F48="",FALSE,ISNUMBER(VALUE(Metadata!F48))),Metadata!F48&gt;0)</f>
        <v>0</v>
      </c>
      <c r="AG48">
        <f>AND(IF(Metadata!G48="",FALSE,TRUE),exact(Metadata!G48,"years"))</f>
        <v>0</v>
      </c>
      <c r="AH48">
        <f>OR(AND(IF(Metadata!H48="",FALSE,TRUE),OR(exact(Metadata!H48,"not applicable"),exact(Metadata!H48,"not collected"),exact(Metadata!H48,"not provided"),exact(Metadata!H48,"restricted access"))),AND(IF(Metadata!H48="",FALSE,ISNUMBER(VALUE(Metadata!H48))),Metadata!H48&gt;0))</f>
        <v>0</v>
      </c>
      <c r="AI48">
        <f>AND(IF(Metadata!I48="",FALSE,TRUE),exact(Metadata!I48,"human"))</f>
        <v>0</v>
      </c>
      <c r="AJ48">
        <f>AND(IF(Metadata!J48="",FALSE,ISNUMBER(VALUE(Metadata!J48))),Metadata!J48&gt;0)</f>
        <v>0</v>
      </c>
      <c r="AK48">
        <f>AND(IF(Metadata!K48="",FALSE,TRUE),exact(Metadata!K48,"cm"))</f>
        <v>0</v>
      </c>
      <c r="AL48">
        <f>AND(IF(Metadata!L48="",FALSE,TRUE),exact(Metadata!L48,"Homo sapiens"))</f>
        <v>0</v>
      </c>
      <c r="AM48">
        <f>AND(IF(Metadata!M48="",FALSE,TRUE),exact(Metadata!M48,"9606"))</f>
        <v>0</v>
      </c>
      <c r="AN48">
        <f>AND(IF(Metadata!N48="",FALSE,ISNUMBER(VALUE(Metadata!N48))),Metadata!N48&gt;0)</f>
        <v>0</v>
      </c>
      <c r="AO48">
        <f>AND(IF(Metadata!O48="",FALSE,TRUE),exact(Metadata!O48,"kg"))</f>
        <v>0</v>
      </c>
      <c r="AP48">
        <f>OR(AND(IF(Metadata!P48="",FALSE,TRUE),exact(Metadata!P48,"not provided")),IF(Metadata!P48="",FALSE,TRUE))</f>
        <v>0</v>
      </c>
      <c r="AQ48">
        <f>OR(AND(IF(Metadata!Q48="",FALSE,TRUE),exact(Metadata!Q48,"not provided")),IF(Metadata!Q48="",FALSE,TRUE))</f>
        <v>0</v>
      </c>
    </row>
    <row r="49" spans="1:43">
      <c r="A49" s="4">
        <f>IF(B49=" "," ",HYPERLINK(CONCATENATE("#metadata!",ADDRESS(INDEX($W$2:$W$1001,MATCH(ROWS($U$2:U49),$U$2:$U$1001,0),0),2)),INDEX($Z$2:$Z$1001,MATCH(ROWS($U$2:U49),$U$2:$U$1001,0),0)))</f>
        <v>0</v>
      </c>
      <c r="B49" s="5">
        <f>IF(OR(INDEX($V$2:$V$1001,MATCH(ROWS($U$2:U49),$U$2:$U$1001,0),1)&gt;=100000,INDEX($AB$1005:$AQ$1005,1,MATCH(COLUMNS($AB$1006:AB1006),$AB$1006:$AQ$1006,0))&gt;=100000), " ",IF(INDEX($AB$2:$AQ$1001,MATCH(ROWS($U$2:U49),$U$2:$U$1001,0),MATCH(COLUMNS($AB$1006:AB1006),$AB$1006:$AQ$1006,0)), HYPERLINK("#",""), HYPERLINK(CONCATENATE("#Metadata!", ADDRESS(INDEX($W$2:$W$1001,MATCH(ROWS($U$2:U49),$U$2:$U$1001,0),0), INDEX($AB$1004:$AQ$1004,1,MATCH(COLUMNS($AB$1006:AB1006),$AB$1006:$AQ$1006,0)))),"Fix")))</f>
        <v>0</v>
      </c>
      <c r="C49" s="5">
        <f>IF(OR(INDEX($V$2:$V$1001,MATCH(ROWS($U$2:U49),$U$2:$U$1001,0),1)&gt;=100000,INDEX($AB$1005:$AQ$1005,1,MATCH(COLUMNS($AB$1006:AC1006),$AB$1006:$AQ$1006,0))&gt;=100000), " ",IF(INDEX($AB$2:$AQ$1001,MATCH(ROWS($U$2:U49),$U$2:$U$1001,0),MATCH(COLUMNS($AB$1006:AC1006),$AB$1006:$AQ$1006,0)), HYPERLINK("#",""), HYPERLINK(CONCATENATE("#Metadata!", ADDRESS(INDEX($W$2:$W$1001,MATCH(ROWS($U$2:U49),$U$2:$U$1001,0),0), INDEX($AB$1004:$AQ$1004,1,MATCH(COLUMNS($AB$1006:AC1006),$AB$1006:$AQ$1006,0)))),"Fix")))</f>
        <v>0</v>
      </c>
      <c r="D49" s="5">
        <f>IF(OR(INDEX($V$2:$V$1001,MATCH(ROWS($U$2:U49),$U$2:$U$1001,0),1)&gt;=100000,INDEX($AB$1005:$AQ$1005,1,MATCH(COLUMNS($AB$1006:AD1006),$AB$1006:$AQ$1006,0))&gt;=100000), " ",IF(INDEX($AB$2:$AQ$1001,MATCH(ROWS($U$2:U49),$U$2:$U$1001,0),MATCH(COLUMNS($AB$1006:AD1006),$AB$1006:$AQ$1006,0)), HYPERLINK("#",""), HYPERLINK(CONCATENATE("#Metadata!", ADDRESS(INDEX($W$2:$W$1001,MATCH(ROWS($U$2:U49),$U$2:$U$1001,0),0), INDEX($AB$1004:$AQ$1004,1,MATCH(COLUMNS($AB$1006:AD1006),$AB$1006:$AQ$1006,0)))),"Fix")))</f>
        <v>0</v>
      </c>
      <c r="E49" s="5">
        <f>IF(OR(INDEX($V$2:$V$1001,MATCH(ROWS($U$2:U49),$U$2:$U$1001,0),1)&gt;=100000,INDEX($AB$1005:$AQ$1005,1,MATCH(COLUMNS($AB$1006:AE1006),$AB$1006:$AQ$1006,0))&gt;=100000), " ",IF(INDEX($AB$2:$AQ$1001,MATCH(ROWS($U$2:U49),$U$2:$U$1001,0),MATCH(COLUMNS($AB$1006:AE1006),$AB$1006:$AQ$1006,0)), HYPERLINK("#",""), HYPERLINK(CONCATENATE("#Metadata!", ADDRESS(INDEX($W$2:$W$1001,MATCH(ROWS($U$2:U49),$U$2:$U$1001,0),0), INDEX($AB$1004:$AQ$1004,1,MATCH(COLUMNS($AB$1006:AE1006),$AB$1006:$AQ$1006,0)))),"Fix")))</f>
        <v>0</v>
      </c>
      <c r="F49" s="5">
        <f>IF(OR(INDEX($V$2:$V$1001,MATCH(ROWS($U$2:U49),$U$2:$U$1001,0),1)&gt;=100000,INDEX($AB$1005:$AQ$1005,1,MATCH(COLUMNS($AB$1006:AF1006),$AB$1006:$AQ$1006,0))&gt;=100000), " ",IF(INDEX($AB$2:$AQ$1001,MATCH(ROWS($U$2:U49),$U$2:$U$1001,0),MATCH(COLUMNS($AB$1006:AF1006),$AB$1006:$AQ$1006,0)), HYPERLINK("#",""), HYPERLINK(CONCATENATE("#Metadata!", ADDRESS(INDEX($W$2:$W$1001,MATCH(ROWS($U$2:U49),$U$2:$U$1001,0),0), INDEX($AB$1004:$AQ$1004,1,MATCH(COLUMNS($AB$1006:AF1006),$AB$1006:$AQ$1006,0)))),"Fix")))</f>
        <v>0</v>
      </c>
      <c r="G49" s="5">
        <f>IF(OR(INDEX($V$2:$V$1001,MATCH(ROWS($U$2:U49),$U$2:$U$1001,0),1)&gt;=100000,INDEX($AB$1005:$AQ$1005,1,MATCH(COLUMNS($AB$1006:AG1006),$AB$1006:$AQ$1006,0))&gt;=100000), " ",IF(INDEX($AB$2:$AQ$1001,MATCH(ROWS($U$2:U49),$U$2:$U$1001,0),MATCH(COLUMNS($AB$1006:AG1006),$AB$1006:$AQ$1006,0)), HYPERLINK("#",""), HYPERLINK(CONCATENATE("#Metadata!", ADDRESS(INDEX($W$2:$W$1001,MATCH(ROWS($U$2:U49),$U$2:$U$1001,0),0), INDEX($AB$1004:$AQ$1004,1,MATCH(COLUMNS($AB$1006:AG1006),$AB$1006:$AQ$1006,0)))),"Fix")))</f>
        <v>0</v>
      </c>
      <c r="H49" s="5">
        <f>IF(OR(INDEX($V$2:$V$1001,MATCH(ROWS($U$2:U49),$U$2:$U$1001,0),1)&gt;=100000,INDEX($AB$1005:$AQ$1005,1,MATCH(COLUMNS($AB$1006:AH1006),$AB$1006:$AQ$1006,0))&gt;=100000), " ",IF(INDEX($AB$2:$AQ$1001,MATCH(ROWS($U$2:U49),$U$2:$U$1001,0),MATCH(COLUMNS($AB$1006:AH1006),$AB$1006:$AQ$1006,0)), HYPERLINK("#",""), HYPERLINK(CONCATENATE("#Metadata!", ADDRESS(INDEX($W$2:$W$1001,MATCH(ROWS($U$2:U49),$U$2:$U$1001,0),0), INDEX($AB$1004:$AQ$1004,1,MATCH(COLUMNS($AB$1006:AH1006),$AB$1006:$AQ$1006,0)))),"Fix")))</f>
        <v>0</v>
      </c>
      <c r="I49" s="5">
        <f>IF(OR(INDEX($V$2:$V$1001,MATCH(ROWS($U$2:U49),$U$2:$U$1001,0),1)&gt;=100000,INDEX($AB$1005:$AQ$1005,1,MATCH(COLUMNS($AB$1006:AI1006),$AB$1006:$AQ$1006,0))&gt;=100000), " ",IF(INDEX($AB$2:$AQ$1001,MATCH(ROWS($U$2:U49),$U$2:$U$1001,0),MATCH(COLUMNS($AB$1006:AI1006),$AB$1006:$AQ$1006,0)), HYPERLINK("#",""), HYPERLINK(CONCATENATE("#Metadata!", ADDRESS(INDEX($W$2:$W$1001,MATCH(ROWS($U$2:U49),$U$2:$U$1001,0),0), INDEX($AB$1004:$AQ$1004,1,MATCH(COLUMNS($AB$1006:AI1006),$AB$1006:$AQ$1006,0)))),"Fix")))</f>
        <v>0</v>
      </c>
      <c r="J49" s="5">
        <f>IF(OR(INDEX($V$2:$V$1001,MATCH(ROWS($U$2:U49),$U$2:$U$1001,0),1)&gt;=100000,INDEX($AB$1005:$AQ$1005,1,MATCH(COLUMNS($AB$1006:AJ1006),$AB$1006:$AQ$1006,0))&gt;=100000), " ",IF(INDEX($AB$2:$AQ$1001,MATCH(ROWS($U$2:U49),$U$2:$U$1001,0),MATCH(COLUMNS($AB$1006:AJ1006),$AB$1006:$AQ$1006,0)), HYPERLINK("#",""), HYPERLINK(CONCATENATE("#Metadata!", ADDRESS(INDEX($W$2:$W$1001,MATCH(ROWS($U$2:U49),$U$2:$U$1001,0),0), INDEX($AB$1004:$AQ$1004,1,MATCH(COLUMNS($AB$1006:AJ1006),$AB$1006:$AQ$1006,0)))),"Fix")))</f>
        <v>0</v>
      </c>
      <c r="K49" s="5">
        <f>IF(OR(INDEX($V$2:$V$1001,MATCH(ROWS($U$2:U49),$U$2:$U$1001,0),1)&gt;=100000,INDEX($AB$1005:$AQ$1005,1,MATCH(COLUMNS($AB$1006:AK1006),$AB$1006:$AQ$1006,0))&gt;=100000), " ",IF(INDEX($AB$2:$AQ$1001,MATCH(ROWS($U$2:U49),$U$2:$U$1001,0),MATCH(COLUMNS($AB$1006:AK1006),$AB$1006:$AQ$1006,0)), HYPERLINK("#",""), HYPERLINK(CONCATENATE("#Metadata!", ADDRESS(INDEX($W$2:$W$1001,MATCH(ROWS($U$2:U49),$U$2:$U$1001,0),0), INDEX($AB$1004:$AQ$1004,1,MATCH(COLUMNS($AB$1006:AK1006),$AB$1006:$AQ$1006,0)))),"Fix")))</f>
        <v>0</v>
      </c>
      <c r="L49" s="5">
        <f>IF(OR(INDEX($V$2:$V$1001,MATCH(ROWS($U$2:U49),$U$2:$U$1001,0),1)&gt;=100000,INDEX($AB$1005:$AQ$1005,1,MATCH(COLUMNS($AB$1006:AL1006),$AB$1006:$AQ$1006,0))&gt;=100000), " ",IF(INDEX($AB$2:$AQ$1001,MATCH(ROWS($U$2:U49),$U$2:$U$1001,0),MATCH(COLUMNS($AB$1006:AL1006),$AB$1006:$AQ$1006,0)), HYPERLINK("#",""), HYPERLINK(CONCATENATE("#Metadata!", ADDRESS(INDEX($W$2:$W$1001,MATCH(ROWS($U$2:U49),$U$2:$U$1001,0),0), INDEX($AB$1004:$AQ$1004,1,MATCH(COLUMNS($AB$1006:AL1006),$AB$1006:$AQ$1006,0)))),"Fix")))</f>
        <v>0</v>
      </c>
      <c r="M49" s="5">
        <f>IF(OR(INDEX($V$2:$V$1001,MATCH(ROWS($U$2:U49),$U$2:$U$1001,0),1)&gt;=100000,INDEX($AB$1005:$AQ$1005,1,MATCH(COLUMNS($AB$1006:AM1006),$AB$1006:$AQ$1006,0))&gt;=100000), " ",IF(INDEX($AB$2:$AQ$1001,MATCH(ROWS($U$2:U49),$U$2:$U$1001,0),MATCH(COLUMNS($AB$1006:AM1006),$AB$1006:$AQ$1006,0)), HYPERLINK("#",""), HYPERLINK(CONCATENATE("#Metadata!", ADDRESS(INDEX($W$2:$W$1001,MATCH(ROWS($U$2:U49),$U$2:$U$1001,0),0), INDEX($AB$1004:$AQ$1004,1,MATCH(COLUMNS($AB$1006:AM1006),$AB$1006:$AQ$1006,0)))),"Fix")))</f>
        <v>0</v>
      </c>
      <c r="N49" s="5">
        <f>IF(OR(INDEX($V$2:$V$1001,MATCH(ROWS($U$2:U49),$U$2:$U$1001,0),1)&gt;=100000,INDEX($AB$1005:$AQ$1005,1,MATCH(COLUMNS($AB$1006:AN1006),$AB$1006:$AQ$1006,0))&gt;=100000), " ",IF(INDEX($AB$2:$AQ$1001,MATCH(ROWS($U$2:U49),$U$2:$U$1001,0),MATCH(COLUMNS($AB$1006:AN1006),$AB$1006:$AQ$1006,0)), HYPERLINK("#",""), HYPERLINK(CONCATENATE("#Metadata!", ADDRESS(INDEX($W$2:$W$1001,MATCH(ROWS($U$2:U49),$U$2:$U$1001,0),0), INDEX($AB$1004:$AQ$1004,1,MATCH(COLUMNS($AB$1006:AN1006),$AB$1006:$AQ$1006,0)))),"Fix")))</f>
        <v>0</v>
      </c>
      <c r="O49" s="5">
        <f>IF(OR(INDEX($V$2:$V$1001,MATCH(ROWS($U$2:U49),$U$2:$U$1001,0),1)&gt;=100000,INDEX($AB$1005:$AQ$1005,1,MATCH(COLUMNS($AB$1006:AO1006),$AB$1006:$AQ$1006,0))&gt;=100000), " ",IF(INDEX($AB$2:$AQ$1001,MATCH(ROWS($U$2:U49),$U$2:$U$1001,0),MATCH(COLUMNS($AB$1006:AO1006),$AB$1006:$AQ$1006,0)), HYPERLINK("#",""), HYPERLINK(CONCATENATE("#Metadata!", ADDRESS(INDEX($W$2:$W$1001,MATCH(ROWS($U$2:U49),$U$2:$U$1001,0),0), INDEX($AB$1004:$AQ$1004,1,MATCH(COLUMNS($AB$1006:AO1006),$AB$1006:$AQ$1006,0)))),"Fix")))</f>
        <v>0</v>
      </c>
      <c r="P49" s="5">
        <f>IF(OR(INDEX($V$2:$V$1001,MATCH(ROWS($U$2:U49),$U$2:$U$1001,0),1)&gt;=100000,INDEX($AB$1005:$AQ$1005,1,MATCH(COLUMNS($AB$1006:AP1006),$AB$1006:$AQ$1006,0))&gt;=100000), " ",IF(INDEX($AB$2:$AQ$1001,MATCH(ROWS($U$2:U49),$U$2:$U$1001,0),MATCH(COLUMNS($AB$1006:AP1006),$AB$1006:$AQ$1006,0)), HYPERLINK("#",""), HYPERLINK(CONCATENATE("#Metadata!", ADDRESS(INDEX($W$2:$W$1001,MATCH(ROWS($U$2:U49),$U$2:$U$1001,0),0), INDEX($AB$1004:$AQ$1004,1,MATCH(COLUMNS($AB$1006:AP1006),$AB$1006:$AQ$1006,0)))),"Fix")))</f>
        <v>0</v>
      </c>
      <c r="Q49" s="5">
        <f>IF(OR(INDEX($V$2:$V$1001,MATCH(ROWS($U$2:U49),$U$2:$U$1001,0),1)&gt;=100000,INDEX($AB$1005:$AQ$1005,1,MATCH(COLUMNS($AB$1006:AQ1006),$AB$1006:$AQ$1006,0))&gt;=100000), " ",IF(INDEX($AB$2:$AQ$1001,MATCH(ROWS($U$2:U49),$U$2:$U$1001,0),MATCH(COLUMNS($AB$1006:AQ1006),$AB$1006:$AQ$1006,0)), HYPERLINK("#",""), HYPERLINK(CONCATENATE("#Metadata!", ADDRESS(INDEX($W$2:$W$1001,MATCH(ROWS($U$2:U49),$U$2:$U$1001,0),0), INDEX($AB$1004:$AQ$1004,1,MATCH(COLUMNS($AB$1006:AQ1006),$AB$1006:$AQ$1006,0)))),"Fix")))</f>
        <v>0</v>
      </c>
      <c r="U49">
        <v>0</v>
      </c>
      <c r="V49">
        <v>0</v>
      </c>
      <c r="W49">
        <v>0</v>
      </c>
      <c r="X49">
        <f>IF(Y49,TRUE,AND(AB49:AQ49))</f>
        <v>0</v>
      </c>
      <c r="Y49">
        <f>COUNTBLANK(Metadata!B49:Q49)=COLUMNS(Metadata!B49:Q49)</f>
        <v>0</v>
      </c>
      <c r="Z49">
        <v>0</v>
      </c>
      <c r="AB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AC49">
        <f>AND(IF(Metadata!C49="",FALSE,TRUE),exact(Metadata!C49,"urban biome"))</f>
        <v>0</v>
      </c>
      <c r="AD49">
        <f>AND(IF(Metadata!D49="",FALSE,TRUE),exact(Metadata!D49,"human-associated habitat"))</f>
        <v>0</v>
      </c>
      <c r="AE49">
        <f>AND(IF(Metadata!E49="",FALSE,TRUE),OR(exact(Metadata!E49,"human-associated"),exact(Metadata!E49,"human-skin"),exact(Metadata!E49,"human-oral"),exact(Metadata!E49,"human-gut"),exact(Metadata!E49,"human-vaginal")))</f>
        <v>0</v>
      </c>
      <c r="AF49">
        <f>AND(IF(Metadata!F49="",FALSE,ISNUMBER(VALUE(Metadata!F49))),Metadata!F49&gt;0)</f>
        <v>0</v>
      </c>
      <c r="AG49">
        <f>AND(IF(Metadata!G49="",FALSE,TRUE),exact(Metadata!G49,"years"))</f>
        <v>0</v>
      </c>
      <c r="AH49">
        <f>OR(AND(IF(Metadata!H49="",FALSE,TRUE),OR(exact(Metadata!H49,"not applicable"),exact(Metadata!H49,"not collected"),exact(Metadata!H49,"not provided"),exact(Metadata!H49,"restricted access"))),AND(IF(Metadata!H49="",FALSE,ISNUMBER(VALUE(Metadata!H49))),Metadata!H49&gt;0))</f>
        <v>0</v>
      </c>
      <c r="AI49">
        <f>AND(IF(Metadata!I49="",FALSE,TRUE),exact(Metadata!I49,"human"))</f>
        <v>0</v>
      </c>
      <c r="AJ49">
        <f>AND(IF(Metadata!J49="",FALSE,ISNUMBER(VALUE(Metadata!J49))),Metadata!J49&gt;0)</f>
        <v>0</v>
      </c>
      <c r="AK49">
        <f>AND(IF(Metadata!K49="",FALSE,TRUE),exact(Metadata!K49,"cm"))</f>
        <v>0</v>
      </c>
      <c r="AL49">
        <f>AND(IF(Metadata!L49="",FALSE,TRUE),exact(Metadata!L49,"Homo sapiens"))</f>
        <v>0</v>
      </c>
      <c r="AM49">
        <f>AND(IF(Metadata!M49="",FALSE,TRUE),exact(Metadata!M49,"9606"))</f>
        <v>0</v>
      </c>
      <c r="AN49">
        <f>AND(IF(Metadata!N49="",FALSE,ISNUMBER(VALUE(Metadata!N49))),Metadata!N49&gt;0)</f>
        <v>0</v>
      </c>
      <c r="AO49">
        <f>AND(IF(Metadata!O49="",FALSE,TRUE),exact(Metadata!O49,"kg"))</f>
        <v>0</v>
      </c>
      <c r="AP49">
        <f>OR(AND(IF(Metadata!P49="",FALSE,TRUE),exact(Metadata!P49,"not provided")),IF(Metadata!P49="",FALSE,TRUE))</f>
        <v>0</v>
      </c>
      <c r="AQ49">
        <f>OR(AND(IF(Metadata!Q49="",FALSE,TRUE),exact(Metadata!Q49,"not provided")),IF(Metadata!Q49="",FALSE,TRUE))</f>
        <v>0</v>
      </c>
    </row>
    <row r="50" spans="1:43">
      <c r="A50" s="4">
        <f>IF(B50=" "," ",HYPERLINK(CONCATENATE("#metadata!",ADDRESS(INDEX($W$2:$W$1001,MATCH(ROWS($U$2:U50),$U$2:$U$1001,0),0),2)),INDEX($Z$2:$Z$1001,MATCH(ROWS($U$2:U50),$U$2:$U$1001,0),0)))</f>
        <v>0</v>
      </c>
      <c r="B50" s="5">
        <f>IF(OR(INDEX($V$2:$V$1001,MATCH(ROWS($U$2:U50),$U$2:$U$1001,0),1)&gt;=100000,INDEX($AB$1005:$AQ$1005,1,MATCH(COLUMNS($AB$1006:AB1006),$AB$1006:$AQ$1006,0))&gt;=100000), " ",IF(INDEX($AB$2:$AQ$1001,MATCH(ROWS($U$2:U50),$U$2:$U$1001,0),MATCH(COLUMNS($AB$1006:AB1006),$AB$1006:$AQ$1006,0)), HYPERLINK("#",""), HYPERLINK(CONCATENATE("#Metadata!", ADDRESS(INDEX($W$2:$W$1001,MATCH(ROWS($U$2:U50),$U$2:$U$1001,0),0), INDEX($AB$1004:$AQ$1004,1,MATCH(COLUMNS($AB$1006:AB1006),$AB$1006:$AQ$1006,0)))),"Fix")))</f>
        <v>0</v>
      </c>
      <c r="C50" s="5">
        <f>IF(OR(INDEX($V$2:$V$1001,MATCH(ROWS($U$2:U50),$U$2:$U$1001,0),1)&gt;=100000,INDEX($AB$1005:$AQ$1005,1,MATCH(COLUMNS($AB$1006:AC1006),$AB$1006:$AQ$1006,0))&gt;=100000), " ",IF(INDEX($AB$2:$AQ$1001,MATCH(ROWS($U$2:U50),$U$2:$U$1001,0),MATCH(COLUMNS($AB$1006:AC1006),$AB$1006:$AQ$1006,0)), HYPERLINK("#",""), HYPERLINK(CONCATENATE("#Metadata!", ADDRESS(INDEX($W$2:$W$1001,MATCH(ROWS($U$2:U50),$U$2:$U$1001,0),0), INDEX($AB$1004:$AQ$1004,1,MATCH(COLUMNS($AB$1006:AC1006),$AB$1006:$AQ$1006,0)))),"Fix")))</f>
        <v>0</v>
      </c>
      <c r="D50" s="5">
        <f>IF(OR(INDEX($V$2:$V$1001,MATCH(ROWS($U$2:U50),$U$2:$U$1001,0),1)&gt;=100000,INDEX($AB$1005:$AQ$1005,1,MATCH(COLUMNS($AB$1006:AD1006),$AB$1006:$AQ$1006,0))&gt;=100000), " ",IF(INDEX($AB$2:$AQ$1001,MATCH(ROWS($U$2:U50),$U$2:$U$1001,0),MATCH(COLUMNS($AB$1006:AD1006),$AB$1006:$AQ$1006,0)), HYPERLINK("#",""), HYPERLINK(CONCATENATE("#Metadata!", ADDRESS(INDEX($W$2:$W$1001,MATCH(ROWS($U$2:U50),$U$2:$U$1001,0),0), INDEX($AB$1004:$AQ$1004,1,MATCH(COLUMNS($AB$1006:AD1006),$AB$1006:$AQ$1006,0)))),"Fix")))</f>
        <v>0</v>
      </c>
      <c r="E50" s="5">
        <f>IF(OR(INDEX($V$2:$V$1001,MATCH(ROWS($U$2:U50),$U$2:$U$1001,0),1)&gt;=100000,INDEX($AB$1005:$AQ$1005,1,MATCH(COLUMNS($AB$1006:AE1006),$AB$1006:$AQ$1006,0))&gt;=100000), " ",IF(INDEX($AB$2:$AQ$1001,MATCH(ROWS($U$2:U50),$U$2:$U$1001,0),MATCH(COLUMNS($AB$1006:AE1006),$AB$1006:$AQ$1006,0)), HYPERLINK("#",""), HYPERLINK(CONCATENATE("#Metadata!", ADDRESS(INDEX($W$2:$W$1001,MATCH(ROWS($U$2:U50),$U$2:$U$1001,0),0), INDEX($AB$1004:$AQ$1004,1,MATCH(COLUMNS($AB$1006:AE1006),$AB$1006:$AQ$1006,0)))),"Fix")))</f>
        <v>0</v>
      </c>
      <c r="F50" s="5">
        <f>IF(OR(INDEX($V$2:$V$1001,MATCH(ROWS($U$2:U50),$U$2:$U$1001,0),1)&gt;=100000,INDEX($AB$1005:$AQ$1005,1,MATCH(COLUMNS($AB$1006:AF1006),$AB$1006:$AQ$1006,0))&gt;=100000), " ",IF(INDEX($AB$2:$AQ$1001,MATCH(ROWS($U$2:U50),$U$2:$U$1001,0),MATCH(COLUMNS($AB$1006:AF1006),$AB$1006:$AQ$1006,0)), HYPERLINK("#",""), HYPERLINK(CONCATENATE("#Metadata!", ADDRESS(INDEX($W$2:$W$1001,MATCH(ROWS($U$2:U50),$U$2:$U$1001,0),0), INDEX($AB$1004:$AQ$1004,1,MATCH(COLUMNS($AB$1006:AF1006),$AB$1006:$AQ$1006,0)))),"Fix")))</f>
        <v>0</v>
      </c>
      <c r="G50" s="5">
        <f>IF(OR(INDEX($V$2:$V$1001,MATCH(ROWS($U$2:U50),$U$2:$U$1001,0),1)&gt;=100000,INDEX($AB$1005:$AQ$1005,1,MATCH(COLUMNS($AB$1006:AG1006),$AB$1006:$AQ$1006,0))&gt;=100000), " ",IF(INDEX($AB$2:$AQ$1001,MATCH(ROWS($U$2:U50),$U$2:$U$1001,0),MATCH(COLUMNS($AB$1006:AG1006),$AB$1006:$AQ$1006,0)), HYPERLINK("#",""), HYPERLINK(CONCATENATE("#Metadata!", ADDRESS(INDEX($W$2:$W$1001,MATCH(ROWS($U$2:U50),$U$2:$U$1001,0),0), INDEX($AB$1004:$AQ$1004,1,MATCH(COLUMNS($AB$1006:AG1006),$AB$1006:$AQ$1006,0)))),"Fix")))</f>
        <v>0</v>
      </c>
      <c r="H50" s="5">
        <f>IF(OR(INDEX($V$2:$V$1001,MATCH(ROWS($U$2:U50),$U$2:$U$1001,0),1)&gt;=100000,INDEX($AB$1005:$AQ$1005,1,MATCH(COLUMNS($AB$1006:AH1006),$AB$1006:$AQ$1006,0))&gt;=100000), " ",IF(INDEX($AB$2:$AQ$1001,MATCH(ROWS($U$2:U50),$U$2:$U$1001,0),MATCH(COLUMNS($AB$1006:AH1006),$AB$1006:$AQ$1006,0)), HYPERLINK("#",""), HYPERLINK(CONCATENATE("#Metadata!", ADDRESS(INDEX($W$2:$W$1001,MATCH(ROWS($U$2:U50),$U$2:$U$1001,0),0), INDEX($AB$1004:$AQ$1004,1,MATCH(COLUMNS($AB$1006:AH1006),$AB$1006:$AQ$1006,0)))),"Fix")))</f>
        <v>0</v>
      </c>
      <c r="I50" s="5">
        <f>IF(OR(INDEX($V$2:$V$1001,MATCH(ROWS($U$2:U50),$U$2:$U$1001,0),1)&gt;=100000,INDEX($AB$1005:$AQ$1005,1,MATCH(COLUMNS($AB$1006:AI1006),$AB$1006:$AQ$1006,0))&gt;=100000), " ",IF(INDEX($AB$2:$AQ$1001,MATCH(ROWS($U$2:U50),$U$2:$U$1001,0),MATCH(COLUMNS($AB$1006:AI1006),$AB$1006:$AQ$1006,0)), HYPERLINK("#",""), HYPERLINK(CONCATENATE("#Metadata!", ADDRESS(INDEX($W$2:$W$1001,MATCH(ROWS($U$2:U50),$U$2:$U$1001,0),0), INDEX($AB$1004:$AQ$1004,1,MATCH(COLUMNS($AB$1006:AI1006),$AB$1006:$AQ$1006,0)))),"Fix")))</f>
        <v>0</v>
      </c>
      <c r="J50" s="5">
        <f>IF(OR(INDEX($V$2:$V$1001,MATCH(ROWS($U$2:U50),$U$2:$U$1001,0),1)&gt;=100000,INDEX($AB$1005:$AQ$1005,1,MATCH(COLUMNS($AB$1006:AJ1006),$AB$1006:$AQ$1006,0))&gt;=100000), " ",IF(INDEX($AB$2:$AQ$1001,MATCH(ROWS($U$2:U50),$U$2:$U$1001,0),MATCH(COLUMNS($AB$1006:AJ1006),$AB$1006:$AQ$1006,0)), HYPERLINK("#",""), HYPERLINK(CONCATENATE("#Metadata!", ADDRESS(INDEX($W$2:$W$1001,MATCH(ROWS($U$2:U50),$U$2:$U$1001,0),0), INDEX($AB$1004:$AQ$1004,1,MATCH(COLUMNS($AB$1006:AJ1006),$AB$1006:$AQ$1006,0)))),"Fix")))</f>
        <v>0</v>
      </c>
      <c r="K50" s="5">
        <f>IF(OR(INDEX($V$2:$V$1001,MATCH(ROWS($U$2:U50),$U$2:$U$1001,0),1)&gt;=100000,INDEX($AB$1005:$AQ$1005,1,MATCH(COLUMNS($AB$1006:AK1006),$AB$1006:$AQ$1006,0))&gt;=100000), " ",IF(INDEX($AB$2:$AQ$1001,MATCH(ROWS($U$2:U50),$U$2:$U$1001,0),MATCH(COLUMNS($AB$1006:AK1006),$AB$1006:$AQ$1006,0)), HYPERLINK("#",""), HYPERLINK(CONCATENATE("#Metadata!", ADDRESS(INDEX($W$2:$W$1001,MATCH(ROWS($U$2:U50),$U$2:$U$1001,0),0), INDEX($AB$1004:$AQ$1004,1,MATCH(COLUMNS($AB$1006:AK1006),$AB$1006:$AQ$1006,0)))),"Fix")))</f>
        <v>0</v>
      </c>
      <c r="L50" s="5">
        <f>IF(OR(INDEX($V$2:$V$1001,MATCH(ROWS($U$2:U50),$U$2:$U$1001,0),1)&gt;=100000,INDEX($AB$1005:$AQ$1005,1,MATCH(COLUMNS($AB$1006:AL1006),$AB$1006:$AQ$1006,0))&gt;=100000), " ",IF(INDEX($AB$2:$AQ$1001,MATCH(ROWS($U$2:U50),$U$2:$U$1001,0),MATCH(COLUMNS($AB$1006:AL1006),$AB$1006:$AQ$1006,0)), HYPERLINK("#",""), HYPERLINK(CONCATENATE("#Metadata!", ADDRESS(INDEX($W$2:$W$1001,MATCH(ROWS($U$2:U50),$U$2:$U$1001,0),0), INDEX($AB$1004:$AQ$1004,1,MATCH(COLUMNS($AB$1006:AL1006),$AB$1006:$AQ$1006,0)))),"Fix")))</f>
        <v>0</v>
      </c>
      <c r="M50" s="5">
        <f>IF(OR(INDEX($V$2:$V$1001,MATCH(ROWS($U$2:U50),$U$2:$U$1001,0),1)&gt;=100000,INDEX($AB$1005:$AQ$1005,1,MATCH(COLUMNS($AB$1006:AM1006),$AB$1006:$AQ$1006,0))&gt;=100000), " ",IF(INDEX($AB$2:$AQ$1001,MATCH(ROWS($U$2:U50),$U$2:$U$1001,0),MATCH(COLUMNS($AB$1006:AM1006),$AB$1006:$AQ$1006,0)), HYPERLINK("#",""), HYPERLINK(CONCATENATE("#Metadata!", ADDRESS(INDEX($W$2:$W$1001,MATCH(ROWS($U$2:U50),$U$2:$U$1001,0),0), INDEX($AB$1004:$AQ$1004,1,MATCH(COLUMNS($AB$1006:AM1006),$AB$1006:$AQ$1006,0)))),"Fix")))</f>
        <v>0</v>
      </c>
      <c r="N50" s="5">
        <f>IF(OR(INDEX($V$2:$V$1001,MATCH(ROWS($U$2:U50),$U$2:$U$1001,0),1)&gt;=100000,INDEX($AB$1005:$AQ$1005,1,MATCH(COLUMNS($AB$1006:AN1006),$AB$1006:$AQ$1006,0))&gt;=100000), " ",IF(INDEX($AB$2:$AQ$1001,MATCH(ROWS($U$2:U50),$U$2:$U$1001,0),MATCH(COLUMNS($AB$1006:AN1006),$AB$1006:$AQ$1006,0)), HYPERLINK("#",""), HYPERLINK(CONCATENATE("#Metadata!", ADDRESS(INDEX($W$2:$W$1001,MATCH(ROWS($U$2:U50),$U$2:$U$1001,0),0), INDEX($AB$1004:$AQ$1004,1,MATCH(COLUMNS($AB$1006:AN1006),$AB$1006:$AQ$1006,0)))),"Fix")))</f>
        <v>0</v>
      </c>
      <c r="O50" s="5">
        <f>IF(OR(INDEX($V$2:$V$1001,MATCH(ROWS($U$2:U50),$U$2:$U$1001,0),1)&gt;=100000,INDEX($AB$1005:$AQ$1005,1,MATCH(COLUMNS($AB$1006:AO1006),$AB$1006:$AQ$1006,0))&gt;=100000), " ",IF(INDEX($AB$2:$AQ$1001,MATCH(ROWS($U$2:U50),$U$2:$U$1001,0),MATCH(COLUMNS($AB$1006:AO1006),$AB$1006:$AQ$1006,0)), HYPERLINK("#",""), HYPERLINK(CONCATENATE("#Metadata!", ADDRESS(INDEX($W$2:$W$1001,MATCH(ROWS($U$2:U50),$U$2:$U$1001,0),0), INDEX($AB$1004:$AQ$1004,1,MATCH(COLUMNS($AB$1006:AO1006),$AB$1006:$AQ$1006,0)))),"Fix")))</f>
        <v>0</v>
      </c>
      <c r="P50" s="5">
        <f>IF(OR(INDEX($V$2:$V$1001,MATCH(ROWS($U$2:U50),$U$2:$U$1001,0),1)&gt;=100000,INDEX($AB$1005:$AQ$1005,1,MATCH(COLUMNS($AB$1006:AP1006),$AB$1006:$AQ$1006,0))&gt;=100000), " ",IF(INDEX($AB$2:$AQ$1001,MATCH(ROWS($U$2:U50),$U$2:$U$1001,0),MATCH(COLUMNS($AB$1006:AP1006),$AB$1006:$AQ$1006,0)), HYPERLINK("#",""), HYPERLINK(CONCATENATE("#Metadata!", ADDRESS(INDEX($W$2:$W$1001,MATCH(ROWS($U$2:U50),$U$2:$U$1001,0),0), INDEX($AB$1004:$AQ$1004,1,MATCH(COLUMNS($AB$1006:AP1006),$AB$1006:$AQ$1006,0)))),"Fix")))</f>
        <v>0</v>
      </c>
      <c r="Q50" s="5">
        <f>IF(OR(INDEX($V$2:$V$1001,MATCH(ROWS($U$2:U50),$U$2:$U$1001,0),1)&gt;=100000,INDEX($AB$1005:$AQ$1005,1,MATCH(COLUMNS($AB$1006:AQ1006),$AB$1006:$AQ$1006,0))&gt;=100000), " ",IF(INDEX($AB$2:$AQ$1001,MATCH(ROWS($U$2:U50),$U$2:$U$1001,0),MATCH(COLUMNS($AB$1006:AQ1006),$AB$1006:$AQ$1006,0)), HYPERLINK("#",""), HYPERLINK(CONCATENATE("#Metadata!", ADDRESS(INDEX($W$2:$W$1001,MATCH(ROWS($U$2:U50),$U$2:$U$1001,0),0), INDEX($AB$1004:$AQ$1004,1,MATCH(COLUMNS($AB$1006:AQ1006),$AB$1006:$AQ$1006,0)))),"Fix")))</f>
        <v>0</v>
      </c>
      <c r="U50">
        <v>0</v>
      </c>
      <c r="V50">
        <v>0</v>
      </c>
      <c r="W50">
        <v>0</v>
      </c>
      <c r="X50">
        <f>IF(Y50,TRUE,AND(AB50:AQ50))</f>
        <v>0</v>
      </c>
      <c r="Y50">
        <f>COUNTBLANK(Metadata!B50:Q50)=COLUMNS(Metadata!B50:Q50)</f>
        <v>0</v>
      </c>
      <c r="Z50">
        <v>0</v>
      </c>
      <c r="AB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AC50">
        <f>AND(IF(Metadata!C50="",FALSE,TRUE),exact(Metadata!C50,"urban biome"))</f>
        <v>0</v>
      </c>
      <c r="AD50">
        <f>AND(IF(Metadata!D50="",FALSE,TRUE),exact(Metadata!D50,"human-associated habitat"))</f>
        <v>0</v>
      </c>
      <c r="AE50">
        <f>AND(IF(Metadata!E50="",FALSE,TRUE),OR(exact(Metadata!E50,"human-associated"),exact(Metadata!E50,"human-skin"),exact(Metadata!E50,"human-oral"),exact(Metadata!E50,"human-gut"),exact(Metadata!E50,"human-vaginal")))</f>
        <v>0</v>
      </c>
      <c r="AF50">
        <f>AND(IF(Metadata!F50="",FALSE,ISNUMBER(VALUE(Metadata!F50))),Metadata!F50&gt;0)</f>
        <v>0</v>
      </c>
      <c r="AG50">
        <f>AND(IF(Metadata!G50="",FALSE,TRUE),exact(Metadata!G50,"years"))</f>
        <v>0</v>
      </c>
      <c r="AH50">
        <f>OR(AND(IF(Metadata!H50="",FALSE,TRUE),OR(exact(Metadata!H50,"not applicable"),exact(Metadata!H50,"not collected"),exact(Metadata!H50,"not provided"),exact(Metadata!H50,"restricted access"))),AND(IF(Metadata!H50="",FALSE,ISNUMBER(VALUE(Metadata!H50))),Metadata!H50&gt;0))</f>
        <v>0</v>
      </c>
      <c r="AI50">
        <f>AND(IF(Metadata!I50="",FALSE,TRUE),exact(Metadata!I50,"human"))</f>
        <v>0</v>
      </c>
      <c r="AJ50">
        <f>AND(IF(Metadata!J50="",FALSE,ISNUMBER(VALUE(Metadata!J50))),Metadata!J50&gt;0)</f>
        <v>0</v>
      </c>
      <c r="AK50">
        <f>AND(IF(Metadata!K50="",FALSE,TRUE),exact(Metadata!K50,"cm"))</f>
        <v>0</v>
      </c>
      <c r="AL50">
        <f>AND(IF(Metadata!L50="",FALSE,TRUE),exact(Metadata!L50,"Homo sapiens"))</f>
        <v>0</v>
      </c>
      <c r="AM50">
        <f>AND(IF(Metadata!M50="",FALSE,TRUE),exact(Metadata!M50,"9606"))</f>
        <v>0</v>
      </c>
      <c r="AN50">
        <f>AND(IF(Metadata!N50="",FALSE,ISNUMBER(VALUE(Metadata!N50))),Metadata!N50&gt;0)</f>
        <v>0</v>
      </c>
      <c r="AO50">
        <f>AND(IF(Metadata!O50="",FALSE,TRUE),exact(Metadata!O50,"kg"))</f>
        <v>0</v>
      </c>
      <c r="AP50">
        <f>OR(AND(IF(Metadata!P50="",FALSE,TRUE),exact(Metadata!P50,"not provided")),IF(Metadata!P50="",FALSE,TRUE))</f>
        <v>0</v>
      </c>
      <c r="AQ50">
        <f>OR(AND(IF(Metadata!Q50="",FALSE,TRUE),exact(Metadata!Q50,"not provided")),IF(Metadata!Q50="",FALSE,TRUE))</f>
        <v>0</v>
      </c>
    </row>
    <row r="51" spans="1:43">
      <c r="A51" s="4">
        <f>IF(B51=" "," ",HYPERLINK(CONCATENATE("#metadata!",ADDRESS(INDEX($W$2:$W$1001,MATCH(ROWS($U$2:U51),$U$2:$U$1001,0),0),2)),INDEX($Z$2:$Z$1001,MATCH(ROWS($U$2:U51),$U$2:$U$1001,0),0)))</f>
        <v>0</v>
      </c>
      <c r="B51" s="5">
        <f>IF(OR(INDEX($V$2:$V$1001,MATCH(ROWS($U$2:U51),$U$2:$U$1001,0),1)&gt;=100000,INDEX($AB$1005:$AQ$1005,1,MATCH(COLUMNS($AB$1006:AB1006),$AB$1006:$AQ$1006,0))&gt;=100000), " ",IF(INDEX($AB$2:$AQ$1001,MATCH(ROWS($U$2:U51),$U$2:$U$1001,0),MATCH(COLUMNS($AB$1006:AB1006),$AB$1006:$AQ$1006,0)), HYPERLINK("#",""), HYPERLINK(CONCATENATE("#Metadata!", ADDRESS(INDEX($W$2:$W$1001,MATCH(ROWS($U$2:U51),$U$2:$U$1001,0),0), INDEX($AB$1004:$AQ$1004,1,MATCH(COLUMNS($AB$1006:AB1006),$AB$1006:$AQ$1006,0)))),"Fix")))</f>
        <v>0</v>
      </c>
      <c r="C51" s="5">
        <f>IF(OR(INDEX($V$2:$V$1001,MATCH(ROWS($U$2:U51),$U$2:$U$1001,0),1)&gt;=100000,INDEX($AB$1005:$AQ$1005,1,MATCH(COLUMNS($AB$1006:AC1006),$AB$1006:$AQ$1006,0))&gt;=100000), " ",IF(INDEX($AB$2:$AQ$1001,MATCH(ROWS($U$2:U51),$U$2:$U$1001,0),MATCH(COLUMNS($AB$1006:AC1006),$AB$1006:$AQ$1006,0)), HYPERLINK("#",""), HYPERLINK(CONCATENATE("#Metadata!", ADDRESS(INDEX($W$2:$W$1001,MATCH(ROWS($U$2:U51),$U$2:$U$1001,0),0), INDEX($AB$1004:$AQ$1004,1,MATCH(COLUMNS($AB$1006:AC1006),$AB$1006:$AQ$1006,0)))),"Fix")))</f>
        <v>0</v>
      </c>
      <c r="D51" s="5">
        <f>IF(OR(INDEX($V$2:$V$1001,MATCH(ROWS($U$2:U51),$U$2:$U$1001,0),1)&gt;=100000,INDEX($AB$1005:$AQ$1005,1,MATCH(COLUMNS($AB$1006:AD1006),$AB$1006:$AQ$1006,0))&gt;=100000), " ",IF(INDEX($AB$2:$AQ$1001,MATCH(ROWS($U$2:U51),$U$2:$U$1001,0),MATCH(COLUMNS($AB$1006:AD1006),$AB$1006:$AQ$1006,0)), HYPERLINK("#",""), HYPERLINK(CONCATENATE("#Metadata!", ADDRESS(INDEX($W$2:$W$1001,MATCH(ROWS($U$2:U51),$U$2:$U$1001,0),0), INDEX($AB$1004:$AQ$1004,1,MATCH(COLUMNS($AB$1006:AD1006),$AB$1006:$AQ$1006,0)))),"Fix")))</f>
        <v>0</v>
      </c>
      <c r="E51" s="5">
        <f>IF(OR(INDEX($V$2:$V$1001,MATCH(ROWS($U$2:U51),$U$2:$U$1001,0),1)&gt;=100000,INDEX($AB$1005:$AQ$1005,1,MATCH(COLUMNS($AB$1006:AE1006),$AB$1006:$AQ$1006,0))&gt;=100000), " ",IF(INDEX($AB$2:$AQ$1001,MATCH(ROWS($U$2:U51),$U$2:$U$1001,0),MATCH(COLUMNS($AB$1006:AE1006),$AB$1006:$AQ$1006,0)), HYPERLINK("#",""), HYPERLINK(CONCATENATE("#Metadata!", ADDRESS(INDEX($W$2:$W$1001,MATCH(ROWS($U$2:U51),$U$2:$U$1001,0),0), INDEX($AB$1004:$AQ$1004,1,MATCH(COLUMNS($AB$1006:AE1006),$AB$1006:$AQ$1006,0)))),"Fix")))</f>
        <v>0</v>
      </c>
      <c r="F51" s="5">
        <f>IF(OR(INDEX($V$2:$V$1001,MATCH(ROWS($U$2:U51),$U$2:$U$1001,0),1)&gt;=100000,INDEX($AB$1005:$AQ$1005,1,MATCH(COLUMNS($AB$1006:AF1006),$AB$1006:$AQ$1006,0))&gt;=100000), " ",IF(INDEX($AB$2:$AQ$1001,MATCH(ROWS($U$2:U51),$U$2:$U$1001,0),MATCH(COLUMNS($AB$1006:AF1006),$AB$1006:$AQ$1006,0)), HYPERLINK("#",""), HYPERLINK(CONCATENATE("#Metadata!", ADDRESS(INDEX($W$2:$W$1001,MATCH(ROWS($U$2:U51),$U$2:$U$1001,0),0), INDEX($AB$1004:$AQ$1004,1,MATCH(COLUMNS($AB$1006:AF1006),$AB$1006:$AQ$1006,0)))),"Fix")))</f>
        <v>0</v>
      </c>
      <c r="G51" s="5">
        <f>IF(OR(INDEX($V$2:$V$1001,MATCH(ROWS($U$2:U51),$U$2:$U$1001,0),1)&gt;=100000,INDEX($AB$1005:$AQ$1005,1,MATCH(COLUMNS($AB$1006:AG1006),$AB$1006:$AQ$1006,0))&gt;=100000), " ",IF(INDEX($AB$2:$AQ$1001,MATCH(ROWS($U$2:U51),$U$2:$U$1001,0),MATCH(COLUMNS($AB$1006:AG1006),$AB$1006:$AQ$1006,0)), HYPERLINK("#",""), HYPERLINK(CONCATENATE("#Metadata!", ADDRESS(INDEX($W$2:$W$1001,MATCH(ROWS($U$2:U51),$U$2:$U$1001,0),0), INDEX($AB$1004:$AQ$1004,1,MATCH(COLUMNS($AB$1006:AG1006),$AB$1006:$AQ$1006,0)))),"Fix")))</f>
        <v>0</v>
      </c>
      <c r="H51" s="5">
        <f>IF(OR(INDEX($V$2:$V$1001,MATCH(ROWS($U$2:U51),$U$2:$U$1001,0),1)&gt;=100000,INDEX($AB$1005:$AQ$1005,1,MATCH(COLUMNS($AB$1006:AH1006),$AB$1006:$AQ$1006,0))&gt;=100000), " ",IF(INDEX($AB$2:$AQ$1001,MATCH(ROWS($U$2:U51),$U$2:$U$1001,0),MATCH(COLUMNS($AB$1006:AH1006),$AB$1006:$AQ$1006,0)), HYPERLINK("#",""), HYPERLINK(CONCATENATE("#Metadata!", ADDRESS(INDEX($W$2:$W$1001,MATCH(ROWS($U$2:U51),$U$2:$U$1001,0),0), INDEX($AB$1004:$AQ$1004,1,MATCH(COLUMNS($AB$1006:AH1006),$AB$1006:$AQ$1006,0)))),"Fix")))</f>
        <v>0</v>
      </c>
      <c r="I51" s="5">
        <f>IF(OR(INDEX($V$2:$V$1001,MATCH(ROWS($U$2:U51),$U$2:$U$1001,0),1)&gt;=100000,INDEX($AB$1005:$AQ$1005,1,MATCH(COLUMNS($AB$1006:AI1006),$AB$1006:$AQ$1006,0))&gt;=100000), " ",IF(INDEX($AB$2:$AQ$1001,MATCH(ROWS($U$2:U51),$U$2:$U$1001,0),MATCH(COLUMNS($AB$1006:AI1006),$AB$1006:$AQ$1006,0)), HYPERLINK("#",""), HYPERLINK(CONCATENATE("#Metadata!", ADDRESS(INDEX($W$2:$W$1001,MATCH(ROWS($U$2:U51),$U$2:$U$1001,0),0), INDEX($AB$1004:$AQ$1004,1,MATCH(COLUMNS($AB$1006:AI1006),$AB$1006:$AQ$1006,0)))),"Fix")))</f>
        <v>0</v>
      </c>
      <c r="J51" s="5">
        <f>IF(OR(INDEX($V$2:$V$1001,MATCH(ROWS($U$2:U51),$U$2:$U$1001,0),1)&gt;=100000,INDEX($AB$1005:$AQ$1005,1,MATCH(COLUMNS($AB$1006:AJ1006),$AB$1006:$AQ$1006,0))&gt;=100000), " ",IF(INDEX($AB$2:$AQ$1001,MATCH(ROWS($U$2:U51),$U$2:$U$1001,0),MATCH(COLUMNS($AB$1006:AJ1006),$AB$1006:$AQ$1006,0)), HYPERLINK("#",""), HYPERLINK(CONCATENATE("#Metadata!", ADDRESS(INDEX($W$2:$W$1001,MATCH(ROWS($U$2:U51),$U$2:$U$1001,0),0), INDEX($AB$1004:$AQ$1004,1,MATCH(COLUMNS($AB$1006:AJ1006),$AB$1006:$AQ$1006,0)))),"Fix")))</f>
        <v>0</v>
      </c>
      <c r="K51" s="5">
        <f>IF(OR(INDEX($V$2:$V$1001,MATCH(ROWS($U$2:U51),$U$2:$U$1001,0),1)&gt;=100000,INDEX($AB$1005:$AQ$1005,1,MATCH(COLUMNS($AB$1006:AK1006),$AB$1006:$AQ$1006,0))&gt;=100000), " ",IF(INDEX($AB$2:$AQ$1001,MATCH(ROWS($U$2:U51),$U$2:$U$1001,0),MATCH(COLUMNS($AB$1006:AK1006),$AB$1006:$AQ$1006,0)), HYPERLINK("#",""), HYPERLINK(CONCATENATE("#Metadata!", ADDRESS(INDEX($W$2:$W$1001,MATCH(ROWS($U$2:U51),$U$2:$U$1001,0),0), INDEX($AB$1004:$AQ$1004,1,MATCH(COLUMNS($AB$1006:AK1006),$AB$1006:$AQ$1006,0)))),"Fix")))</f>
        <v>0</v>
      </c>
      <c r="L51" s="5">
        <f>IF(OR(INDEX($V$2:$V$1001,MATCH(ROWS($U$2:U51),$U$2:$U$1001,0),1)&gt;=100000,INDEX($AB$1005:$AQ$1005,1,MATCH(COLUMNS($AB$1006:AL1006),$AB$1006:$AQ$1006,0))&gt;=100000), " ",IF(INDEX($AB$2:$AQ$1001,MATCH(ROWS($U$2:U51),$U$2:$U$1001,0),MATCH(COLUMNS($AB$1006:AL1006),$AB$1006:$AQ$1006,0)), HYPERLINK("#",""), HYPERLINK(CONCATENATE("#Metadata!", ADDRESS(INDEX($W$2:$W$1001,MATCH(ROWS($U$2:U51),$U$2:$U$1001,0),0), INDEX($AB$1004:$AQ$1004,1,MATCH(COLUMNS($AB$1006:AL1006),$AB$1006:$AQ$1006,0)))),"Fix")))</f>
        <v>0</v>
      </c>
      <c r="M51" s="5">
        <f>IF(OR(INDEX($V$2:$V$1001,MATCH(ROWS($U$2:U51),$U$2:$U$1001,0),1)&gt;=100000,INDEX($AB$1005:$AQ$1005,1,MATCH(COLUMNS($AB$1006:AM1006),$AB$1006:$AQ$1006,0))&gt;=100000), " ",IF(INDEX($AB$2:$AQ$1001,MATCH(ROWS($U$2:U51),$U$2:$U$1001,0),MATCH(COLUMNS($AB$1006:AM1006),$AB$1006:$AQ$1006,0)), HYPERLINK("#",""), HYPERLINK(CONCATENATE("#Metadata!", ADDRESS(INDEX($W$2:$W$1001,MATCH(ROWS($U$2:U51),$U$2:$U$1001,0),0), INDEX($AB$1004:$AQ$1004,1,MATCH(COLUMNS($AB$1006:AM1006),$AB$1006:$AQ$1006,0)))),"Fix")))</f>
        <v>0</v>
      </c>
      <c r="N51" s="5">
        <f>IF(OR(INDEX($V$2:$V$1001,MATCH(ROWS($U$2:U51),$U$2:$U$1001,0),1)&gt;=100000,INDEX($AB$1005:$AQ$1005,1,MATCH(COLUMNS($AB$1006:AN1006),$AB$1006:$AQ$1006,0))&gt;=100000), " ",IF(INDEX($AB$2:$AQ$1001,MATCH(ROWS($U$2:U51),$U$2:$U$1001,0),MATCH(COLUMNS($AB$1006:AN1006),$AB$1006:$AQ$1006,0)), HYPERLINK("#",""), HYPERLINK(CONCATENATE("#Metadata!", ADDRESS(INDEX($W$2:$W$1001,MATCH(ROWS($U$2:U51),$U$2:$U$1001,0),0), INDEX($AB$1004:$AQ$1004,1,MATCH(COLUMNS($AB$1006:AN1006),$AB$1006:$AQ$1006,0)))),"Fix")))</f>
        <v>0</v>
      </c>
      <c r="O51" s="5">
        <f>IF(OR(INDEX($V$2:$V$1001,MATCH(ROWS($U$2:U51),$U$2:$U$1001,0),1)&gt;=100000,INDEX($AB$1005:$AQ$1005,1,MATCH(COLUMNS($AB$1006:AO1006),$AB$1006:$AQ$1006,0))&gt;=100000), " ",IF(INDEX($AB$2:$AQ$1001,MATCH(ROWS($U$2:U51),$U$2:$U$1001,0),MATCH(COLUMNS($AB$1006:AO1006),$AB$1006:$AQ$1006,0)), HYPERLINK("#",""), HYPERLINK(CONCATENATE("#Metadata!", ADDRESS(INDEX($W$2:$W$1001,MATCH(ROWS($U$2:U51),$U$2:$U$1001,0),0), INDEX($AB$1004:$AQ$1004,1,MATCH(COLUMNS($AB$1006:AO1006),$AB$1006:$AQ$1006,0)))),"Fix")))</f>
        <v>0</v>
      </c>
      <c r="P51" s="5">
        <f>IF(OR(INDEX($V$2:$V$1001,MATCH(ROWS($U$2:U51),$U$2:$U$1001,0),1)&gt;=100000,INDEX($AB$1005:$AQ$1005,1,MATCH(COLUMNS($AB$1006:AP1006),$AB$1006:$AQ$1006,0))&gt;=100000), " ",IF(INDEX($AB$2:$AQ$1001,MATCH(ROWS($U$2:U51),$U$2:$U$1001,0),MATCH(COLUMNS($AB$1006:AP1006),$AB$1006:$AQ$1006,0)), HYPERLINK("#",""), HYPERLINK(CONCATENATE("#Metadata!", ADDRESS(INDEX($W$2:$W$1001,MATCH(ROWS($U$2:U51),$U$2:$U$1001,0),0), INDEX($AB$1004:$AQ$1004,1,MATCH(COLUMNS($AB$1006:AP1006),$AB$1006:$AQ$1006,0)))),"Fix")))</f>
        <v>0</v>
      </c>
      <c r="Q51" s="5">
        <f>IF(OR(INDEX($V$2:$V$1001,MATCH(ROWS($U$2:U51),$U$2:$U$1001,0),1)&gt;=100000,INDEX($AB$1005:$AQ$1005,1,MATCH(COLUMNS($AB$1006:AQ1006),$AB$1006:$AQ$1006,0))&gt;=100000), " ",IF(INDEX($AB$2:$AQ$1001,MATCH(ROWS($U$2:U51),$U$2:$U$1001,0),MATCH(COLUMNS($AB$1006:AQ1006),$AB$1006:$AQ$1006,0)), HYPERLINK("#",""), HYPERLINK(CONCATENATE("#Metadata!", ADDRESS(INDEX($W$2:$W$1001,MATCH(ROWS($U$2:U51),$U$2:$U$1001,0),0), INDEX($AB$1004:$AQ$1004,1,MATCH(COLUMNS($AB$1006:AQ1006),$AB$1006:$AQ$1006,0)))),"Fix")))</f>
        <v>0</v>
      </c>
      <c r="U51">
        <v>0</v>
      </c>
      <c r="V51">
        <v>0</v>
      </c>
      <c r="W51">
        <v>0</v>
      </c>
      <c r="X51">
        <f>IF(Y51,TRUE,AND(AB51:AQ51))</f>
        <v>0</v>
      </c>
      <c r="Y51">
        <f>COUNTBLANK(Metadata!B51:Q51)=COLUMNS(Metadata!B51:Q51)</f>
        <v>0</v>
      </c>
      <c r="Z51">
        <v>0</v>
      </c>
      <c r="AB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AC51">
        <f>AND(IF(Metadata!C51="",FALSE,TRUE),exact(Metadata!C51,"urban biome"))</f>
        <v>0</v>
      </c>
      <c r="AD51">
        <f>AND(IF(Metadata!D51="",FALSE,TRUE),exact(Metadata!D51,"human-associated habitat"))</f>
        <v>0</v>
      </c>
      <c r="AE51">
        <f>AND(IF(Metadata!E51="",FALSE,TRUE),OR(exact(Metadata!E51,"human-associated"),exact(Metadata!E51,"human-skin"),exact(Metadata!E51,"human-oral"),exact(Metadata!E51,"human-gut"),exact(Metadata!E51,"human-vaginal")))</f>
        <v>0</v>
      </c>
      <c r="AF51">
        <f>AND(IF(Metadata!F51="",FALSE,ISNUMBER(VALUE(Metadata!F51))),Metadata!F51&gt;0)</f>
        <v>0</v>
      </c>
      <c r="AG51">
        <f>AND(IF(Metadata!G51="",FALSE,TRUE),exact(Metadata!G51,"years"))</f>
        <v>0</v>
      </c>
      <c r="AH51">
        <f>OR(AND(IF(Metadata!H51="",FALSE,TRUE),OR(exact(Metadata!H51,"not applicable"),exact(Metadata!H51,"not collected"),exact(Metadata!H51,"not provided"),exact(Metadata!H51,"restricted access"))),AND(IF(Metadata!H51="",FALSE,ISNUMBER(VALUE(Metadata!H51))),Metadata!H51&gt;0))</f>
        <v>0</v>
      </c>
      <c r="AI51">
        <f>AND(IF(Metadata!I51="",FALSE,TRUE),exact(Metadata!I51,"human"))</f>
        <v>0</v>
      </c>
      <c r="AJ51">
        <f>AND(IF(Metadata!J51="",FALSE,ISNUMBER(VALUE(Metadata!J51))),Metadata!J51&gt;0)</f>
        <v>0</v>
      </c>
      <c r="AK51">
        <f>AND(IF(Metadata!K51="",FALSE,TRUE),exact(Metadata!K51,"cm"))</f>
        <v>0</v>
      </c>
      <c r="AL51">
        <f>AND(IF(Metadata!L51="",FALSE,TRUE),exact(Metadata!L51,"Homo sapiens"))</f>
        <v>0</v>
      </c>
      <c r="AM51">
        <f>AND(IF(Metadata!M51="",FALSE,TRUE),exact(Metadata!M51,"9606"))</f>
        <v>0</v>
      </c>
      <c r="AN51">
        <f>AND(IF(Metadata!N51="",FALSE,ISNUMBER(VALUE(Metadata!N51))),Metadata!N51&gt;0)</f>
        <v>0</v>
      </c>
      <c r="AO51">
        <f>AND(IF(Metadata!O51="",FALSE,TRUE),exact(Metadata!O51,"kg"))</f>
        <v>0</v>
      </c>
      <c r="AP51">
        <f>OR(AND(IF(Metadata!P51="",FALSE,TRUE),exact(Metadata!P51,"not provided")),IF(Metadata!P51="",FALSE,TRUE))</f>
        <v>0</v>
      </c>
      <c r="AQ51">
        <f>OR(AND(IF(Metadata!Q51="",FALSE,TRUE),exact(Metadata!Q51,"not provided")),IF(Metadata!Q51="",FALSE,TRUE))</f>
        <v>0</v>
      </c>
    </row>
    <row r="52" spans="1:43">
      <c r="A52" s="4">
        <f>IF(B52=" "," ",HYPERLINK(CONCATENATE("#metadata!",ADDRESS(INDEX($W$2:$W$1001,MATCH(ROWS($U$2:U52),$U$2:$U$1001,0),0),2)),INDEX($Z$2:$Z$1001,MATCH(ROWS($U$2:U52),$U$2:$U$1001,0),0)))</f>
        <v>0</v>
      </c>
      <c r="B52" s="5">
        <f>IF(OR(INDEX($V$2:$V$1001,MATCH(ROWS($U$2:U52),$U$2:$U$1001,0),1)&gt;=100000,INDEX($AB$1005:$AQ$1005,1,MATCH(COLUMNS($AB$1006:AB1006),$AB$1006:$AQ$1006,0))&gt;=100000), " ",IF(INDEX($AB$2:$AQ$1001,MATCH(ROWS($U$2:U52),$U$2:$U$1001,0),MATCH(COLUMNS($AB$1006:AB1006),$AB$1006:$AQ$1006,0)), HYPERLINK("#",""), HYPERLINK(CONCATENATE("#Metadata!", ADDRESS(INDEX($W$2:$W$1001,MATCH(ROWS($U$2:U52),$U$2:$U$1001,0),0), INDEX($AB$1004:$AQ$1004,1,MATCH(COLUMNS($AB$1006:AB1006),$AB$1006:$AQ$1006,0)))),"Fix")))</f>
        <v>0</v>
      </c>
      <c r="C52" s="5">
        <f>IF(OR(INDEX($V$2:$V$1001,MATCH(ROWS($U$2:U52),$U$2:$U$1001,0),1)&gt;=100000,INDEX($AB$1005:$AQ$1005,1,MATCH(COLUMNS($AB$1006:AC1006),$AB$1006:$AQ$1006,0))&gt;=100000), " ",IF(INDEX($AB$2:$AQ$1001,MATCH(ROWS($U$2:U52),$U$2:$U$1001,0),MATCH(COLUMNS($AB$1006:AC1006),$AB$1006:$AQ$1006,0)), HYPERLINK("#",""), HYPERLINK(CONCATENATE("#Metadata!", ADDRESS(INDEX($W$2:$W$1001,MATCH(ROWS($U$2:U52),$U$2:$U$1001,0),0), INDEX($AB$1004:$AQ$1004,1,MATCH(COLUMNS($AB$1006:AC1006),$AB$1006:$AQ$1006,0)))),"Fix")))</f>
        <v>0</v>
      </c>
      <c r="D52" s="5">
        <f>IF(OR(INDEX($V$2:$V$1001,MATCH(ROWS($U$2:U52),$U$2:$U$1001,0),1)&gt;=100000,INDEX($AB$1005:$AQ$1005,1,MATCH(COLUMNS($AB$1006:AD1006),$AB$1006:$AQ$1006,0))&gt;=100000), " ",IF(INDEX($AB$2:$AQ$1001,MATCH(ROWS($U$2:U52),$U$2:$U$1001,0),MATCH(COLUMNS($AB$1006:AD1006),$AB$1006:$AQ$1006,0)), HYPERLINK("#",""), HYPERLINK(CONCATENATE("#Metadata!", ADDRESS(INDEX($W$2:$W$1001,MATCH(ROWS($U$2:U52),$U$2:$U$1001,0),0), INDEX($AB$1004:$AQ$1004,1,MATCH(COLUMNS($AB$1006:AD1006),$AB$1006:$AQ$1006,0)))),"Fix")))</f>
        <v>0</v>
      </c>
      <c r="E52" s="5">
        <f>IF(OR(INDEX($V$2:$V$1001,MATCH(ROWS($U$2:U52),$U$2:$U$1001,0),1)&gt;=100000,INDEX($AB$1005:$AQ$1005,1,MATCH(COLUMNS($AB$1006:AE1006),$AB$1006:$AQ$1006,0))&gt;=100000), " ",IF(INDEX($AB$2:$AQ$1001,MATCH(ROWS($U$2:U52),$U$2:$U$1001,0),MATCH(COLUMNS($AB$1006:AE1006),$AB$1006:$AQ$1006,0)), HYPERLINK("#",""), HYPERLINK(CONCATENATE("#Metadata!", ADDRESS(INDEX($W$2:$W$1001,MATCH(ROWS($U$2:U52),$U$2:$U$1001,0),0), INDEX($AB$1004:$AQ$1004,1,MATCH(COLUMNS($AB$1006:AE1006),$AB$1006:$AQ$1006,0)))),"Fix")))</f>
        <v>0</v>
      </c>
      <c r="F52" s="5">
        <f>IF(OR(INDEX($V$2:$V$1001,MATCH(ROWS($U$2:U52),$U$2:$U$1001,0),1)&gt;=100000,INDEX($AB$1005:$AQ$1005,1,MATCH(COLUMNS($AB$1006:AF1006),$AB$1006:$AQ$1006,0))&gt;=100000), " ",IF(INDEX($AB$2:$AQ$1001,MATCH(ROWS($U$2:U52),$U$2:$U$1001,0),MATCH(COLUMNS($AB$1006:AF1006),$AB$1006:$AQ$1006,0)), HYPERLINK("#",""), HYPERLINK(CONCATENATE("#Metadata!", ADDRESS(INDEX($W$2:$W$1001,MATCH(ROWS($U$2:U52),$U$2:$U$1001,0),0), INDEX($AB$1004:$AQ$1004,1,MATCH(COLUMNS($AB$1006:AF1006),$AB$1006:$AQ$1006,0)))),"Fix")))</f>
        <v>0</v>
      </c>
      <c r="G52" s="5">
        <f>IF(OR(INDEX($V$2:$V$1001,MATCH(ROWS($U$2:U52),$U$2:$U$1001,0),1)&gt;=100000,INDEX($AB$1005:$AQ$1005,1,MATCH(COLUMNS($AB$1006:AG1006),$AB$1006:$AQ$1006,0))&gt;=100000), " ",IF(INDEX($AB$2:$AQ$1001,MATCH(ROWS($U$2:U52),$U$2:$U$1001,0),MATCH(COLUMNS($AB$1006:AG1006),$AB$1006:$AQ$1006,0)), HYPERLINK("#",""), HYPERLINK(CONCATENATE("#Metadata!", ADDRESS(INDEX($W$2:$W$1001,MATCH(ROWS($U$2:U52),$U$2:$U$1001,0),0), INDEX($AB$1004:$AQ$1004,1,MATCH(COLUMNS($AB$1006:AG1006),$AB$1006:$AQ$1006,0)))),"Fix")))</f>
        <v>0</v>
      </c>
      <c r="H52" s="5">
        <f>IF(OR(INDEX($V$2:$V$1001,MATCH(ROWS($U$2:U52),$U$2:$U$1001,0),1)&gt;=100000,INDEX($AB$1005:$AQ$1005,1,MATCH(COLUMNS($AB$1006:AH1006),$AB$1006:$AQ$1006,0))&gt;=100000), " ",IF(INDEX($AB$2:$AQ$1001,MATCH(ROWS($U$2:U52),$U$2:$U$1001,0),MATCH(COLUMNS($AB$1006:AH1006),$AB$1006:$AQ$1006,0)), HYPERLINK("#",""), HYPERLINK(CONCATENATE("#Metadata!", ADDRESS(INDEX($W$2:$W$1001,MATCH(ROWS($U$2:U52),$U$2:$U$1001,0),0), INDEX($AB$1004:$AQ$1004,1,MATCH(COLUMNS($AB$1006:AH1006),$AB$1006:$AQ$1006,0)))),"Fix")))</f>
        <v>0</v>
      </c>
      <c r="I52" s="5">
        <f>IF(OR(INDEX($V$2:$V$1001,MATCH(ROWS($U$2:U52),$U$2:$U$1001,0),1)&gt;=100000,INDEX($AB$1005:$AQ$1005,1,MATCH(COLUMNS($AB$1006:AI1006),$AB$1006:$AQ$1006,0))&gt;=100000), " ",IF(INDEX($AB$2:$AQ$1001,MATCH(ROWS($U$2:U52),$U$2:$U$1001,0),MATCH(COLUMNS($AB$1006:AI1006),$AB$1006:$AQ$1006,0)), HYPERLINK("#",""), HYPERLINK(CONCATENATE("#Metadata!", ADDRESS(INDEX($W$2:$W$1001,MATCH(ROWS($U$2:U52),$U$2:$U$1001,0),0), INDEX($AB$1004:$AQ$1004,1,MATCH(COLUMNS($AB$1006:AI1006),$AB$1006:$AQ$1006,0)))),"Fix")))</f>
        <v>0</v>
      </c>
      <c r="J52" s="5">
        <f>IF(OR(INDEX($V$2:$V$1001,MATCH(ROWS($U$2:U52),$U$2:$U$1001,0),1)&gt;=100000,INDEX($AB$1005:$AQ$1005,1,MATCH(COLUMNS($AB$1006:AJ1006),$AB$1006:$AQ$1006,0))&gt;=100000), " ",IF(INDEX($AB$2:$AQ$1001,MATCH(ROWS($U$2:U52),$U$2:$U$1001,0),MATCH(COLUMNS($AB$1006:AJ1006),$AB$1006:$AQ$1006,0)), HYPERLINK("#",""), HYPERLINK(CONCATENATE("#Metadata!", ADDRESS(INDEX($W$2:$W$1001,MATCH(ROWS($U$2:U52),$U$2:$U$1001,0),0), INDEX($AB$1004:$AQ$1004,1,MATCH(COLUMNS($AB$1006:AJ1006),$AB$1006:$AQ$1006,0)))),"Fix")))</f>
        <v>0</v>
      </c>
      <c r="K52" s="5">
        <f>IF(OR(INDEX($V$2:$V$1001,MATCH(ROWS($U$2:U52),$U$2:$U$1001,0),1)&gt;=100000,INDEX($AB$1005:$AQ$1005,1,MATCH(COLUMNS($AB$1006:AK1006),$AB$1006:$AQ$1006,0))&gt;=100000), " ",IF(INDEX($AB$2:$AQ$1001,MATCH(ROWS($U$2:U52),$U$2:$U$1001,0),MATCH(COLUMNS($AB$1006:AK1006),$AB$1006:$AQ$1006,0)), HYPERLINK("#",""), HYPERLINK(CONCATENATE("#Metadata!", ADDRESS(INDEX($W$2:$W$1001,MATCH(ROWS($U$2:U52),$U$2:$U$1001,0),0), INDEX($AB$1004:$AQ$1004,1,MATCH(COLUMNS($AB$1006:AK1006),$AB$1006:$AQ$1006,0)))),"Fix")))</f>
        <v>0</v>
      </c>
      <c r="L52" s="5">
        <f>IF(OR(INDEX($V$2:$V$1001,MATCH(ROWS($U$2:U52),$U$2:$U$1001,0),1)&gt;=100000,INDEX($AB$1005:$AQ$1005,1,MATCH(COLUMNS($AB$1006:AL1006),$AB$1006:$AQ$1006,0))&gt;=100000), " ",IF(INDEX($AB$2:$AQ$1001,MATCH(ROWS($U$2:U52),$U$2:$U$1001,0),MATCH(COLUMNS($AB$1006:AL1006),$AB$1006:$AQ$1006,0)), HYPERLINK("#",""), HYPERLINK(CONCATENATE("#Metadata!", ADDRESS(INDEX($W$2:$W$1001,MATCH(ROWS($U$2:U52),$U$2:$U$1001,0),0), INDEX($AB$1004:$AQ$1004,1,MATCH(COLUMNS($AB$1006:AL1006),$AB$1006:$AQ$1006,0)))),"Fix")))</f>
        <v>0</v>
      </c>
      <c r="M52" s="5">
        <f>IF(OR(INDEX($V$2:$V$1001,MATCH(ROWS($U$2:U52),$U$2:$U$1001,0),1)&gt;=100000,INDEX($AB$1005:$AQ$1005,1,MATCH(COLUMNS($AB$1006:AM1006),$AB$1006:$AQ$1006,0))&gt;=100000), " ",IF(INDEX($AB$2:$AQ$1001,MATCH(ROWS($U$2:U52),$U$2:$U$1001,0),MATCH(COLUMNS($AB$1006:AM1006),$AB$1006:$AQ$1006,0)), HYPERLINK("#",""), HYPERLINK(CONCATENATE("#Metadata!", ADDRESS(INDEX($W$2:$W$1001,MATCH(ROWS($U$2:U52),$U$2:$U$1001,0),0), INDEX($AB$1004:$AQ$1004,1,MATCH(COLUMNS($AB$1006:AM1006),$AB$1006:$AQ$1006,0)))),"Fix")))</f>
        <v>0</v>
      </c>
      <c r="N52" s="5">
        <f>IF(OR(INDEX($V$2:$V$1001,MATCH(ROWS($U$2:U52),$U$2:$U$1001,0),1)&gt;=100000,INDEX($AB$1005:$AQ$1005,1,MATCH(COLUMNS($AB$1006:AN1006),$AB$1006:$AQ$1006,0))&gt;=100000), " ",IF(INDEX($AB$2:$AQ$1001,MATCH(ROWS($U$2:U52),$U$2:$U$1001,0),MATCH(COLUMNS($AB$1006:AN1006),$AB$1006:$AQ$1006,0)), HYPERLINK("#",""), HYPERLINK(CONCATENATE("#Metadata!", ADDRESS(INDEX($W$2:$W$1001,MATCH(ROWS($U$2:U52),$U$2:$U$1001,0),0), INDEX($AB$1004:$AQ$1004,1,MATCH(COLUMNS($AB$1006:AN1006),$AB$1006:$AQ$1006,0)))),"Fix")))</f>
        <v>0</v>
      </c>
      <c r="O52" s="5">
        <f>IF(OR(INDEX($V$2:$V$1001,MATCH(ROWS($U$2:U52),$U$2:$U$1001,0),1)&gt;=100000,INDEX($AB$1005:$AQ$1005,1,MATCH(COLUMNS($AB$1006:AO1006),$AB$1006:$AQ$1006,0))&gt;=100000), " ",IF(INDEX($AB$2:$AQ$1001,MATCH(ROWS($U$2:U52),$U$2:$U$1001,0),MATCH(COLUMNS($AB$1006:AO1006),$AB$1006:$AQ$1006,0)), HYPERLINK("#",""), HYPERLINK(CONCATENATE("#Metadata!", ADDRESS(INDEX($W$2:$W$1001,MATCH(ROWS($U$2:U52),$U$2:$U$1001,0),0), INDEX($AB$1004:$AQ$1004,1,MATCH(COLUMNS($AB$1006:AO1006),$AB$1006:$AQ$1006,0)))),"Fix")))</f>
        <v>0</v>
      </c>
      <c r="P52" s="5">
        <f>IF(OR(INDEX($V$2:$V$1001,MATCH(ROWS($U$2:U52),$U$2:$U$1001,0),1)&gt;=100000,INDEX($AB$1005:$AQ$1005,1,MATCH(COLUMNS($AB$1006:AP1006),$AB$1006:$AQ$1006,0))&gt;=100000), " ",IF(INDEX($AB$2:$AQ$1001,MATCH(ROWS($U$2:U52),$U$2:$U$1001,0),MATCH(COLUMNS($AB$1006:AP1006),$AB$1006:$AQ$1006,0)), HYPERLINK("#",""), HYPERLINK(CONCATENATE("#Metadata!", ADDRESS(INDEX($W$2:$W$1001,MATCH(ROWS($U$2:U52),$U$2:$U$1001,0),0), INDEX($AB$1004:$AQ$1004,1,MATCH(COLUMNS($AB$1006:AP1006),$AB$1006:$AQ$1006,0)))),"Fix")))</f>
        <v>0</v>
      </c>
      <c r="Q52" s="5">
        <f>IF(OR(INDEX($V$2:$V$1001,MATCH(ROWS($U$2:U52),$U$2:$U$1001,0),1)&gt;=100000,INDEX($AB$1005:$AQ$1005,1,MATCH(COLUMNS($AB$1006:AQ1006),$AB$1006:$AQ$1006,0))&gt;=100000), " ",IF(INDEX($AB$2:$AQ$1001,MATCH(ROWS($U$2:U52),$U$2:$U$1001,0),MATCH(COLUMNS($AB$1006:AQ1006),$AB$1006:$AQ$1006,0)), HYPERLINK("#",""), HYPERLINK(CONCATENATE("#Metadata!", ADDRESS(INDEX($W$2:$W$1001,MATCH(ROWS($U$2:U52),$U$2:$U$1001,0),0), INDEX($AB$1004:$AQ$1004,1,MATCH(COLUMNS($AB$1006:AQ1006),$AB$1006:$AQ$1006,0)))),"Fix")))</f>
        <v>0</v>
      </c>
      <c r="U52">
        <v>0</v>
      </c>
      <c r="V52">
        <v>0</v>
      </c>
      <c r="W52">
        <v>0</v>
      </c>
      <c r="X52">
        <f>IF(Y52,TRUE,AND(AB52:AQ52))</f>
        <v>0</v>
      </c>
      <c r="Y52">
        <f>COUNTBLANK(Metadata!B52:Q52)=COLUMNS(Metadata!B52:Q52)</f>
        <v>0</v>
      </c>
      <c r="Z52">
        <v>0</v>
      </c>
      <c r="AB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AC52">
        <f>AND(IF(Metadata!C52="",FALSE,TRUE),exact(Metadata!C52,"urban biome"))</f>
        <v>0</v>
      </c>
      <c r="AD52">
        <f>AND(IF(Metadata!D52="",FALSE,TRUE),exact(Metadata!D52,"human-associated habitat"))</f>
        <v>0</v>
      </c>
      <c r="AE52">
        <f>AND(IF(Metadata!E52="",FALSE,TRUE),OR(exact(Metadata!E52,"human-associated"),exact(Metadata!E52,"human-skin"),exact(Metadata!E52,"human-oral"),exact(Metadata!E52,"human-gut"),exact(Metadata!E52,"human-vaginal")))</f>
        <v>0</v>
      </c>
      <c r="AF52">
        <f>AND(IF(Metadata!F52="",FALSE,ISNUMBER(VALUE(Metadata!F52))),Metadata!F52&gt;0)</f>
        <v>0</v>
      </c>
      <c r="AG52">
        <f>AND(IF(Metadata!G52="",FALSE,TRUE),exact(Metadata!G52,"years"))</f>
        <v>0</v>
      </c>
      <c r="AH52">
        <f>OR(AND(IF(Metadata!H52="",FALSE,TRUE),OR(exact(Metadata!H52,"not applicable"),exact(Metadata!H52,"not collected"),exact(Metadata!H52,"not provided"),exact(Metadata!H52,"restricted access"))),AND(IF(Metadata!H52="",FALSE,ISNUMBER(VALUE(Metadata!H52))),Metadata!H52&gt;0))</f>
        <v>0</v>
      </c>
      <c r="AI52">
        <f>AND(IF(Metadata!I52="",FALSE,TRUE),exact(Metadata!I52,"human"))</f>
        <v>0</v>
      </c>
      <c r="AJ52">
        <f>AND(IF(Metadata!J52="",FALSE,ISNUMBER(VALUE(Metadata!J52))),Metadata!J52&gt;0)</f>
        <v>0</v>
      </c>
      <c r="AK52">
        <f>AND(IF(Metadata!K52="",FALSE,TRUE),exact(Metadata!K52,"cm"))</f>
        <v>0</v>
      </c>
      <c r="AL52">
        <f>AND(IF(Metadata!L52="",FALSE,TRUE),exact(Metadata!L52,"Homo sapiens"))</f>
        <v>0</v>
      </c>
      <c r="AM52">
        <f>AND(IF(Metadata!M52="",FALSE,TRUE),exact(Metadata!M52,"9606"))</f>
        <v>0</v>
      </c>
      <c r="AN52">
        <f>AND(IF(Metadata!N52="",FALSE,ISNUMBER(VALUE(Metadata!N52))),Metadata!N52&gt;0)</f>
        <v>0</v>
      </c>
      <c r="AO52">
        <f>AND(IF(Metadata!O52="",FALSE,TRUE),exact(Metadata!O52,"kg"))</f>
        <v>0</v>
      </c>
      <c r="AP52">
        <f>OR(AND(IF(Metadata!P52="",FALSE,TRUE),exact(Metadata!P52,"not provided")),IF(Metadata!P52="",FALSE,TRUE))</f>
        <v>0</v>
      </c>
      <c r="AQ52">
        <f>OR(AND(IF(Metadata!Q52="",FALSE,TRUE),exact(Metadata!Q52,"not provided")),IF(Metadata!Q52="",FALSE,TRUE))</f>
        <v>0</v>
      </c>
    </row>
    <row r="53" spans="1:43">
      <c r="A53" s="4">
        <f>IF(B53=" "," ",HYPERLINK(CONCATENATE("#metadata!",ADDRESS(INDEX($W$2:$W$1001,MATCH(ROWS($U$2:U53),$U$2:$U$1001,0),0),2)),INDEX($Z$2:$Z$1001,MATCH(ROWS($U$2:U53),$U$2:$U$1001,0),0)))</f>
        <v>0</v>
      </c>
      <c r="B53" s="5">
        <f>IF(OR(INDEX($V$2:$V$1001,MATCH(ROWS($U$2:U53),$U$2:$U$1001,0),1)&gt;=100000,INDEX($AB$1005:$AQ$1005,1,MATCH(COLUMNS($AB$1006:AB1006),$AB$1006:$AQ$1006,0))&gt;=100000), " ",IF(INDEX($AB$2:$AQ$1001,MATCH(ROWS($U$2:U53),$U$2:$U$1001,0),MATCH(COLUMNS($AB$1006:AB1006),$AB$1006:$AQ$1006,0)), HYPERLINK("#",""), HYPERLINK(CONCATENATE("#Metadata!", ADDRESS(INDEX($W$2:$W$1001,MATCH(ROWS($U$2:U53),$U$2:$U$1001,0),0), INDEX($AB$1004:$AQ$1004,1,MATCH(COLUMNS($AB$1006:AB1006),$AB$1006:$AQ$1006,0)))),"Fix")))</f>
        <v>0</v>
      </c>
      <c r="C53" s="5">
        <f>IF(OR(INDEX($V$2:$V$1001,MATCH(ROWS($U$2:U53),$U$2:$U$1001,0),1)&gt;=100000,INDEX($AB$1005:$AQ$1005,1,MATCH(COLUMNS($AB$1006:AC1006),$AB$1006:$AQ$1006,0))&gt;=100000), " ",IF(INDEX($AB$2:$AQ$1001,MATCH(ROWS($U$2:U53),$U$2:$U$1001,0),MATCH(COLUMNS($AB$1006:AC1006),$AB$1006:$AQ$1006,0)), HYPERLINK("#",""), HYPERLINK(CONCATENATE("#Metadata!", ADDRESS(INDEX($W$2:$W$1001,MATCH(ROWS($U$2:U53),$U$2:$U$1001,0),0), INDEX($AB$1004:$AQ$1004,1,MATCH(COLUMNS($AB$1006:AC1006),$AB$1006:$AQ$1006,0)))),"Fix")))</f>
        <v>0</v>
      </c>
      <c r="D53" s="5">
        <f>IF(OR(INDEX($V$2:$V$1001,MATCH(ROWS($U$2:U53),$U$2:$U$1001,0),1)&gt;=100000,INDEX($AB$1005:$AQ$1005,1,MATCH(COLUMNS($AB$1006:AD1006),$AB$1006:$AQ$1006,0))&gt;=100000), " ",IF(INDEX($AB$2:$AQ$1001,MATCH(ROWS($U$2:U53),$U$2:$U$1001,0),MATCH(COLUMNS($AB$1006:AD1006),$AB$1006:$AQ$1006,0)), HYPERLINK("#",""), HYPERLINK(CONCATENATE("#Metadata!", ADDRESS(INDEX($W$2:$W$1001,MATCH(ROWS($U$2:U53),$U$2:$U$1001,0),0), INDEX($AB$1004:$AQ$1004,1,MATCH(COLUMNS($AB$1006:AD1006),$AB$1006:$AQ$1006,0)))),"Fix")))</f>
        <v>0</v>
      </c>
      <c r="E53" s="5">
        <f>IF(OR(INDEX($V$2:$V$1001,MATCH(ROWS($U$2:U53),$U$2:$U$1001,0),1)&gt;=100000,INDEX($AB$1005:$AQ$1005,1,MATCH(COLUMNS($AB$1006:AE1006),$AB$1006:$AQ$1006,0))&gt;=100000), " ",IF(INDEX($AB$2:$AQ$1001,MATCH(ROWS($U$2:U53),$U$2:$U$1001,0),MATCH(COLUMNS($AB$1006:AE1006),$AB$1006:$AQ$1006,0)), HYPERLINK("#",""), HYPERLINK(CONCATENATE("#Metadata!", ADDRESS(INDEX($W$2:$W$1001,MATCH(ROWS($U$2:U53),$U$2:$U$1001,0),0), INDEX($AB$1004:$AQ$1004,1,MATCH(COLUMNS($AB$1006:AE1006),$AB$1006:$AQ$1006,0)))),"Fix")))</f>
        <v>0</v>
      </c>
      <c r="F53" s="5">
        <f>IF(OR(INDEX($V$2:$V$1001,MATCH(ROWS($U$2:U53),$U$2:$U$1001,0),1)&gt;=100000,INDEX($AB$1005:$AQ$1005,1,MATCH(COLUMNS($AB$1006:AF1006),$AB$1006:$AQ$1006,0))&gt;=100000), " ",IF(INDEX($AB$2:$AQ$1001,MATCH(ROWS($U$2:U53),$U$2:$U$1001,0),MATCH(COLUMNS($AB$1006:AF1006),$AB$1006:$AQ$1006,0)), HYPERLINK("#",""), HYPERLINK(CONCATENATE("#Metadata!", ADDRESS(INDEX($W$2:$W$1001,MATCH(ROWS($U$2:U53),$U$2:$U$1001,0),0), INDEX($AB$1004:$AQ$1004,1,MATCH(COLUMNS($AB$1006:AF1006),$AB$1006:$AQ$1006,0)))),"Fix")))</f>
        <v>0</v>
      </c>
      <c r="G53" s="5">
        <f>IF(OR(INDEX($V$2:$V$1001,MATCH(ROWS($U$2:U53),$U$2:$U$1001,0),1)&gt;=100000,INDEX($AB$1005:$AQ$1005,1,MATCH(COLUMNS($AB$1006:AG1006),$AB$1006:$AQ$1006,0))&gt;=100000), " ",IF(INDEX($AB$2:$AQ$1001,MATCH(ROWS($U$2:U53),$U$2:$U$1001,0),MATCH(COLUMNS($AB$1006:AG1006),$AB$1006:$AQ$1006,0)), HYPERLINK("#",""), HYPERLINK(CONCATENATE("#Metadata!", ADDRESS(INDEX($W$2:$W$1001,MATCH(ROWS($U$2:U53),$U$2:$U$1001,0),0), INDEX($AB$1004:$AQ$1004,1,MATCH(COLUMNS($AB$1006:AG1006),$AB$1006:$AQ$1006,0)))),"Fix")))</f>
        <v>0</v>
      </c>
      <c r="H53" s="5">
        <f>IF(OR(INDEX($V$2:$V$1001,MATCH(ROWS($U$2:U53),$U$2:$U$1001,0),1)&gt;=100000,INDEX($AB$1005:$AQ$1005,1,MATCH(COLUMNS($AB$1006:AH1006),$AB$1006:$AQ$1006,0))&gt;=100000), " ",IF(INDEX($AB$2:$AQ$1001,MATCH(ROWS($U$2:U53),$U$2:$U$1001,0),MATCH(COLUMNS($AB$1006:AH1006),$AB$1006:$AQ$1006,0)), HYPERLINK("#",""), HYPERLINK(CONCATENATE("#Metadata!", ADDRESS(INDEX($W$2:$W$1001,MATCH(ROWS($U$2:U53),$U$2:$U$1001,0),0), INDEX($AB$1004:$AQ$1004,1,MATCH(COLUMNS($AB$1006:AH1006),$AB$1006:$AQ$1006,0)))),"Fix")))</f>
        <v>0</v>
      </c>
      <c r="I53" s="5">
        <f>IF(OR(INDEX($V$2:$V$1001,MATCH(ROWS($U$2:U53),$U$2:$U$1001,0),1)&gt;=100000,INDEX($AB$1005:$AQ$1005,1,MATCH(COLUMNS($AB$1006:AI1006),$AB$1006:$AQ$1006,0))&gt;=100000), " ",IF(INDEX($AB$2:$AQ$1001,MATCH(ROWS($U$2:U53),$U$2:$U$1001,0),MATCH(COLUMNS($AB$1006:AI1006),$AB$1006:$AQ$1006,0)), HYPERLINK("#",""), HYPERLINK(CONCATENATE("#Metadata!", ADDRESS(INDEX($W$2:$W$1001,MATCH(ROWS($U$2:U53),$U$2:$U$1001,0),0), INDEX($AB$1004:$AQ$1004,1,MATCH(COLUMNS($AB$1006:AI1006),$AB$1006:$AQ$1006,0)))),"Fix")))</f>
        <v>0</v>
      </c>
      <c r="J53" s="5">
        <f>IF(OR(INDEX($V$2:$V$1001,MATCH(ROWS($U$2:U53),$U$2:$U$1001,0),1)&gt;=100000,INDEX($AB$1005:$AQ$1005,1,MATCH(COLUMNS($AB$1006:AJ1006),$AB$1006:$AQ$1006,0))&gt;=100000), " ",IF(INDEX($AB$2:$AQ$1001,MATCH(ROWS($U$2:U53),$U$2:$U$1001,0),MATCH(COLUMNS($AB$1006:AJ1006),$AB$1006:$AQ$1006,0)), HYPERLINK("#",""), HYPERLINK(CONCATENATE("#Metadata!", ADDRESS(INDEX($W$2:$W$1001,MATCH(ROWS($U$2:U53),$U$2:$U$1001,0),0), INDEX($AB$1004:$AQ$1004,1,MATCH(COLUMNS($AB$1006:AJ1006),$AB$1006:$AQ$1006,0)))),"Fix")))</f>
        <v>0</v>
      </c>
      <c r="K53" s="5">
        <f>IF(OR(INDEX($V$2:$V$1001,MATCH(ROWS($U$2:U53),$U$2:$U$1001,0),1)&gt;=100000,INDEX($AB$1005:$AQ$1005,1,MATCH(COLUMNS($AB$1006:AK1006),$AB$1006:$AQ$1006,0))&gt;=100000), " ",IF(INDEX($AB$2:$AQ$1001,MATCH(ROWS($U$2:U53),$U$2:$U$1001,0),MATCH(COLUMNS($AB$1006:AK1006),$AB$1006:$AQ$1006,0)), HYPERLINK("#",""), HYPERLINK(CONCATENATE("#Metadata!", ADDRESS(INDEX($W$2:$W$1001,MATCH(ROWS($U$2:U53),$U$2:$U$1001,0),0), INDEX($AB$1004:$AQ$1004,1,MATCH(COLUMNS($AB$1006:AK1006),$AB$1006:$AQ$1006,0)))),"Fix")))</f>
        <v>0</v>
      </c>
      <c r="L53" s="5">
        <f>IF(OR(INDEX($V$2:$V$1001,MATCH(ROWS($U$2:U53),$U$2:$U$1001,0),1)&gt;=100000,INDEX($AB$1005:$AQ$1005,1,MATCH(COLUMNS($AB$1006:AL1006),$AB$1006:$AQ$1006,0))&gt;=100000), " ",IF(INDEX($AB$2:$AQ$1001,MATCH(ROWS($U$2:U53),$U$2:$U$1001,0),MATCH(COLUMNS($AB$1006:AL1006),$AB$1006:$AQ$1006,0)), HYPERLINK("#",""), HYPERLINK(CONCATENATE("#Metadata!", ADDRESS(INDEX($W$2:$W$1001,MATCH(ROWS($U$2:U53),$U$2:$U$1001,0),0), INDEX($AB$1004:$AQ$1004,1,MATCH(COLUMNS($AB$1006:AL1006),$AB$1006:$AQ$1006,0)))),"Fix")))</f>
        <v>0</v>
      </c>
      <c r="M53" s="5">
        <f>IF(OR(INDEX($V$2:$V$1001,MATCH(ROWS($U$2:U53),$U$2:$U$1001,0),1)&gt;=100000,INDEX($AB$1005:$AQ$1005,1,MATCH(COLUMNS($AB$1006:AM1006),$AB$1006:$AQ$1006,0))&gt;=100000), " ",IF(INDEX($AB$2:$AQ$1001,MATCH(ROWS($U$2:U53),$U$2:$U$1001,0),MATCH(COLUMNS($AB$1006:AM1006),$AB$1006:$AQ$1006,0)), HYPERLINK("#",""), HYPERLINK(CONCATENATE("#Metadata!", ADDRESS(INDEX($W$2:$W$1001,MATCH(ROWS($U$2:U53),$U$2:$U$1001,0),0), INDEX($AB$1004:$AQ$1004,1,MATCH(COLUMNS($AB$1006:AM1006),$AB$1006:$AQ$1006,0)))),"Fix")))</f>
        <v>0</v>
      </c>
      <c r="N53" s="5">
        <f>IF(OR(INDEX($V$2:$V$1001,MATCH(ROWS($U$2:U53),$U$2:$U$1001,0),1)&gt;=100000,INDEX($AB$1005:$AQ$1005,1,MATCH(COLUMNS($AB$1006:AN1006),$AB$1006:$AQ$1006,0))&gt;=100000), " ",IF(INDEX($AB$2:$AQ$1001,MATCH(ROWS($U$2:U53),$U$2:$U$1001,0),MATCH(COLUMNS($AB$1006:AN1006),$AB$1006:$AQ$1006,0)), HYPERLINK("#",""), HYPERLINK(CONCATENATE("#Metadata!", ADDRESS(INDEX($W$2:$W$1001,MATCH(ROWS($U$2:U53),$U$2:$U$1001,0),0), INDEX($AB$1004:$AQ$1004,1,MATCH(COLUMNS($AB$1006:AN1006),$AB$1006:$AQ$1006,0)))),"Fix")))</f>
        <v>0</v>
      </c>
      <c r="O53" s="5">
        <f>IF(OR(INDEX($V$2:$V$1001,MATCH(ROWS($U$2:U53),$U$2:$U$1001,0),1)&gt;=100000,INDEX($AB$1005:$AQ$1005,1,MATCH(COLUMNS($AB$1006:AO1006),$AB$1006:$AQ$1006,0))&gt;=100000), " ",IF(INDEX($AB$2:$AQ$1001,MATCH(ROWS($U$2:U53),$U$2:$U$1001,0),MATCH(COLUMNS($AB$1006:AO1006),$AB$1006:$AQ$1006,0)), HYPERLINK("#",""), HYPERLINK(CONCATENATE("#Metadata!", ADDRESS(INDEX($W$2:$W$1001,MATCH(ROWS($U$2:U53),$U$2:$U$1001,0),0), INDEX($AB$1004:$AQ$1004,1,MATCH(COLUMNS($AB$1006:AO1006),$AB$1006:$AQ$1006,0)))),"Fix")))</f>
        <v>0</v>
      </c>
      <c r="P53" s="5">
        <f>IF(OR(INDEX($V$2:$V$1001,MATCH(ROWS($U$2:U53),$U$2:$U$1001,0),1)&gt;=100000,INDEX($AB$1005:$AQ$1005,1,MATCH(COLUMNS($AB$1006:AP1006),$AB$1006:$AQ$1006,0))&gt;=100000), " ",IF(INDEX($AB$2:$AQ$1001,MATCH(ROWS($U$2:U53),$U$2:$U$1001,0),MATCH(COLUMNS($AB$1006:AP1006),$AB$1006:$AQ$1006,0)), HYPERLINK("#",""), HYPERLINK(CONCATENATE("#Metadata!", ADDRESS(INDEX($W$2:$W$1001,MATCH(ROWS($U$2:U53),$U$2:$U$1001,0),0), INDEX($AB$1004:$AQ$1004,1,MATCH(COLUMNS($AB$1006:AP1006),$AB$1006:$AQ$1006,0)))),"Fix")))</f>
        <v>0</v>
      </c>
      <c r="Q53" s="5">
        <f>IF(OR(INDEX($V$2:$V$1001,MATCH(ROWS($U$2:U53),$U$2:$U$1001,0),1)&gt;=100000,INDEX($AB$1005:$AQ$1005,1,MATCH(COLUMNS($AB$1006:AQ1006),$AB$1006:$AQ$1006,0))&gt;=100000), " ",IF(INDEX($AB$2:$AQ$1001,MATCH(ROWS($U$2:U53),$U$2:$U$1001,0),MATCH(COLUMNS($AB$1006:AQ1006),$AB$1006:$AQ$1006,0)), HYPERLINK("#",""), HYPERLINK(CONCATENATE("#Metadata!", ADDRESS(INDEX($W$2:$W$1001,MATCH(ROWS($U$2:U53),$U$2:$U$1001,0),0), INDEX($AB$1004:$AQ$1004,1,MATCH(COLUMNS($AB$1006:AQ1006),$AB$1006:$AQ$1006,0)))),"Fix")))</f>
        <v>0</v>
      </c>
      <c r="U53">
        <v>0</v>
      </c>
      <c r="V53">
        <v>0</v>
      </c>
      <c r="W53">
        <v>0</v>
      </c>
      <c r="X53">
        <f>IF(Y53,TRUE,AND(AB53:AQ53))</f>
        <v>0</v>
      </c>
      <c r="Y53">
        <f>COUNTBLANK(Metadata!B53:Q53)=COLUMNS(Metadata!B53:Q53)</f>
        <v>0</v>
      </c>
      <c r="Z53">
        <v>0</v>
      </c>
      <c r="AB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AC53">
        <f>AND(IF(Metadata!C53="",FALSE,TRUE),exact(Metadata!C53,"urban biome"))</f>
        <v>0</v>
      </c>
      <c r="AD53">
        <f>AND(IF(Metadata!D53="",FALSE,TRUE),exact(Metadata!D53,"human-associated habitat"))</f>
        <v>0</v>
      </c>
      <c r="AE53">
        <f>AND(IF(Metadata!E53="",FALSE,TRUE),OR(exact(Metadata!E53,"human-associated"),exact(Metadata!E53,"human-skin"),exact(Metadata!E53,"human-oral"),exact(Metadata!E53,"human-gut"),exact(Metadata!E53,"human-vaginal")))</f>
        <v>0</v>
      </c>
      <c r="AF53">
        <f>AND(IF(Metadata!F53="",FALSE,ISNUMBER(VALUE(Metadata!F53))),Metadata!F53&gt;0)</f>
        <v>0</v>
      </c>
      <c r="AG53">
        <f>AND(IF(Metadata!G53="",FALSE,TRUE),exact(Metadata!G53,"years"))</f>
        <v>0</v>
      </c>
      <c r="AH53">
        <f>OR(AND(IF(Metadata!H53="",FALSE,TRUE),OR(exact(Metadata!H53,"not applicable"),exact(Metadata!H53,"not collected"),exact(Metadata!H53,"not provided"),exact(Metadata!H53,"restricted access"))),AND(IF(Metadata!H53="",FALSE,ISNUMBER(VALUE(Metadata!H53))),Metadata!H53&gt;0))</f>
        <v>0</v>
      </c>
      <c r="AI53">
        <f>AND(IF(Metadata!I53="",FALSE,TRUE),exact(Metadata!I53,"human"))</f>
        <v>0</v>
      </c>
      <c r="AJ53">
        <f>AND(IF(Metadata!J53="",FALSE,ISNUMBER(VALUE(Metadata!J53))),Metadata!J53&gt;0)</f>
        <v>0</v>
      </c>
      <c r="AK53">
        <f>AND(IF(Metadata!K53="",FALSE,TRUE),exact(Metadata!K53,"cm"))</f>
        <v>0</v>
      </c>
      <c r="AL53">
        <f>AND(IF(Metadata!L53="",FALSE,TRUE),exact(Metadata!L53,"Homo sapiens"))</f>
        <v>0</v>
      </c>
      <c r="AM53">
        <f>AND(IF(Metadata!M53="",FALSE,TRUE),exact(Metadata!M53,"9606"))</f>
        <v>0</v>
      </c>
      <c r="AN53">
        <f>AND(IF(Metadata!N53="",FALSE,ISNUMBER(VALUE(Metadata!N53))),Metadata!N53&gt;0)</f>
        <v>0</v>
      </c>
      <c r="AO53">
        <f>AND(IF(Metadata!O53="",FALSE,TRUE),exact(Metadata!O53,"kg"))</f>
        <v>0</v>
      </c>
      <c r="AP53">
        <f>OR(AND(IF(Metadata!P53="",FALSE,TRUE),exact(Metadata!P53,"not provided")),IF(Metadata!P53="",FALSE,TRUE))</f>
        <v>0</v>
      </c>
      <c r="AQ53">
        <f>OR(AND(IF(Metadata!Q53="",FALSE,TRUE),exact(Metadata!Q53,"not provided")),IF(Metadata!Q53="",FALSE,TRUE))</f>
        <v>0</v>
      </c>
    </row>
    <row r="54" spans="1:43">
      <c r="A54" s="4">
        <f>IF(B54=" "," ",HYPERLINK(CONCATENATE("#metadata!",ADDRESS(INDEX($W$2:$W$1001,MATCH(ROWS($U$2:U54),$U$2:$U$1001,0),0),2)),INDEX($Z$2:$Z$1001,MATCH(ROWS($U$2:U54),$U$2:$U$1001,0),0)))</f>
        <v>0</v>
      </c>
      <c r="B54" s="5">
        <f>IF(OR(INDEX($V$2:$V$1001,MATCH(ROWS($U$2:U54),$U$2:$U$1001,0),1)&gt;=100000,INDEX($AB$1005:$AQ$1005,1,MATCH(COLUMNS($AB$1006:AB1006),$AB$1006:$AQ$1006,0))&gt;=100000), " ",IF(INDEX($AB$2:$AQ$1001,MATCH(ROWS($U$2:U54),$U$2:$U$1001,0),MATCH(COLUMNS($AB$1006:AB1006),$AB$1006:$AQ$1006,0)), HYPERLINK("#",""), HYPERLINK(CONCATENATE("#Metadata!", ADDRESS(INDEX($W$2:$W$1001,MATCH(ROWS($U$2:U54),$U$2:$U$1001,0),0), INDEX($AB$1004:$AQ$1004,1,MATCH(COLUMNS($AB$1006:AB1006),$AB$1006:$AQ$1006,0)))),"Fix")))</f>
        <v>0</v>
      </c>
      <c r="C54" s="5">
        <f>IF(OR(INDEX($V$2:$V$1001,MATCH(ROWS($U$2:U54),$U$2:$U$1001,0),1)&gt;=100000,INDEX($AB$1005:$AQ$1005,1,MATCH(COLUMNS($AB$1006:AC1006),$AB$1006:$AQ$1006,0))&gt;=100000), " ",IF(INDEX($AB$2:$AQ$1001,MATCH(ROWS($U$2:U54),$U$2:$U$1001,0),MATCH(COLUMNS($AB$1006:AC1006),$AB$1006:$AQ$1006,0)), HYPERLINK("#",""), HYPERLINK(CONCATENATE("#Metadata!", ADDRESS(INDEX($W$2:$W$1001,MATCH(ROWS($U$2:U54),$U$2:$U$1001,0),0), INDEX($AB$1004:$AQ$1004,1,MATCH(COLUMNS($AB$1006:AC1006),$AB$1006:$AQ$1006,0)))),"Fix")))</f>
        <v>0</v>
      </c>
      <c r="D54" s="5">
        <f>IF(OR(INDEX($V$2:$V$1001,MATCH(ROWS($U$2:U54),$U$2:$U$1001,0),1)&gt;=100000,INDEX($AB$1005:$AQ$1005,1,MATCH(COLUMNS($AB$1006:AD1006),$AB$1006:$AQ$1006,0))&gt;=100000), " ",IF(INDEX($AB$2:$AQ$1001,MATCH(ROWS($U$2:U54),$U$2:$U$1001,0),MATCH(COLUMNS($AB$1006:AD1006),$AB$1006:$AQ$1006,0)), HYPERLINK("#",""), HYPERLINK(CONCATENATE("#Metadata!", ADDRESS(INDEX($W$2:$W$1001,MATCH(ROWS($U$2:U54),$U$2:$U$1001,0),0), INDEX($AB$1004:$AQ$1004,1,MATCH(COLUMNS($AB$1006:AD1006),$AB$1006:$AQ$1006,0)))),"Fix")))</f>
        <v>0</v>
      </c>
      <c r="E54" s="5">
        <f>IF(OR(INDEX($V$2:$V$1001,MATCH(ROWS($U$2:U54),$U$2:$U$1001,0),1)&gt;=100000,INDEX($AB$1005:$AQ$1005,1,MATCH(COLUMNS($AB$1006:AE1006),$AB$1006:$AQ$1006,0))&gt;=100000), " ",IF(INDEX($AB$2:$AQ$1001,MATCH(ROWS($U$2:U54),$U$2:$U$1001,0),MATCH(COLUMNS($AB$1006:AE1006),$AB$1006:$AQ$1006,0)), HYPERLINK("#",""), HYPERLINK(CONCATENATE("#Metadata!", ADDRESS(INDEX($W$2:$W$1001,MATCH(ROWS($U$2:U54),$U$2:$U$1001,0),0), INDEX($AB$1004:$AQ$1004,1,MATCH(COLUMNS($AB$1006:AE1006),$AB$1006:$AQ$1006,0)))),"Fix")))</f>
        <v>0</v>
      </c>
      <c r="F54" s="5">
        <f>IF(OR(INDEX($V$2:$V$1001,MATCH(ROWS($U$2:U54),$U$2:$U$1001,0),1)&gt;=100000,INDEX($AB$1005:$AQ$1005,1,MATCH(COLUMNS($AB$1006:AF1006),$AB$1006:$AQ$1006,0))&gt;=100000), " ",IF(INDEX($AB$2:$AQ$1001,MATCH(ROWS($U$2:U54),$U$2:$U$1001,0),MATCH(COLUMNS($AB$1006:AF1006),$AB$1006:$AQ$1006,0)), HYPERLINK("#",""), HYPERLINK(CONCATENATE("#Metadata!", ADDRESS(INDEX($W$2:$W$1001,MATCH(ROWS($U$2:U54),$U$2:$U$1001,0),0), INDEX($AB$1004:$AQ$1004,1,MATCH(COLUMNS($AB$1006:AF1006),$AB$1006:$AQ$1006,0)))),"Fix")))</f>
        <v>0</v>
      </c>
      <c r="G54" s="5">
        <f>IF(OR(INDEX($V$2:$V$1001,MATCH(ROWS($U$2:U54),$U$2:$U$1001,0),1)&gt;=100000,INDEX($AB$1005:$AQ$1005,1,MATCH(COLUMNS($AB$1006:AG1006),$AB$1006:$AQ$1006,0))&gt;=100000), " ",IF(INDEX($AB$2:$AQ$1001,MATCH(ROWS($U$2:U54),$U$2:$U$1001,0),MATCH(COLUMNS($AB$1006:AG1006),$AB$1006:$AQ$1006,0)), HYPERLINK("#",""), HYPERLINK(CONCATENATE("#Metadata!", ADDRESS(INDEX($W$2:$W$1001,MATCH(ROWS($U$2:U54),$U$2:$U$1001,0),0), INDEX($AB$1004:$AQ$1004,1,MATCH(COLUMNS($AB$1006:AG1006),$AB$1006:$AQ$1006,0)))),"Fix")))</f>
        <v>0</v>
      </c>
      <c r="H54" s="5">
        <f>IF(OR(INDEX($V$2:$V$1001,MATCH(ROWS($U$2:U54),$U$2:$U$1001,0),1)&gt;=100000,INDEX($AB$1005:$AQ$1005,1,MATCH(COLUMNS($AB$1006:AH1006),$AB$1006:$AQ$1006,0))&gt;=100000), " ",IF(INDEX($AB$2:$AQ$1001,MATCH(ROWS($U$2:U54),$U$2:$U$1001,0),MATCH(COLUMNS($AB$1006:AH1006),$AB$1006:$AQ$1006,0)), HYPERLINK("#",""), HYPERLINK(CONCATENATE("#Metadata!", ADDRESS(INDEX($W$2:$W$1001,MATCH(ROWS($U$2:U54),$U$2:$U$1001,0),0), INDEX($AB$1004:$AQ$1004,1,MATCH(COLUMNS($AB$1006:AH1006),$AB$1006:$AQ$1006,0)))),"Fix")))</f>
        <v>0</v>
      </c>
      <c r="I54" s="5">
        <f>IF(OR(INDEX($V$2:$V$1001,MATCH(ROWS($U$2:U54),$U$2:$U$1001,0),1)&gt;=100000,INDEX($AB$1005:$AQ$1005,1,MATCH(COLUMNS($AB$1006:AI1006),$AB$1006:$AQ$1006,0))&gt;=100000), " ",IF(INDEX($AB$2:$AQ$1001,MATCH(ROWS($U$2:U54),$U$2:$U$1001,0),MATCH(COLUMNS($AB$1006:AI1006),$AB$1006:$AQ$1006,0)), HYPERLINK("#",""), HYPERLINK(CONCATENATE("#Metadata!", ADDRESS(INDEX($W$2:$W$1001,MATCH(ROWS($U$2:U54),$U$2:$U$1001,0),0), INDEX($AB$1004:$AQ$1004,1,MATCH(COLUMNS($AB$1006:AI1006),$AB$1006:$AQ$1006,0)))),"Fix")))</f>
        <v>0</v>
      </c>
      <c r="J54" s="5">
        <f>IF(OR(INDEX($V$2:$V$1001,MATCH(ROWS($U$2:U54),$U$2:$U$1001,0),1)&gt;=100000,INDEX($AB$1005:$AQ$1005,1,MATCH(COLUMNS($AB$1006:AJ1006),$AB$1006:$AQ$1006,0))&gt;=100000), " ",IF(INDEX($AB$2:$AQ$1001,MATCH(ROWS($U$2:U54),$U$2:$U$1001,0),MATCH(COLUMNS($AB$1006:AJ1006),$AB$1006:$AQ$1006,0)), HYPERLINK("#",""), HYPERLINK(CONCATENATE("#Metadata!", ADDRESS(INDEX($W$2:$W$1001,MATCH(ROWS($U$2:U54),$U$2:$U$1001,0),0), INDEX($AB$1004:$AQ$1004,1,MATCH(COLUMNS($AB$1006:AJ1006),$AB$1006:$AQ$1006,0)))),"Fix")))</f>
        <v>0</v>
      </c>
      <c r="K54" s="5">
        <f>IF(OR(INDEX($V$2:$V$1001,MATCH(ROWS($U$2:U54),$U$2:$U$1001,0),1)&gt;=100000,INDEX($AB$1005:$AQ$1005,1,MATCH(COLUMNS($AB$1006:AK1006),$AB$1006:$AQ$1006,0))&gt;=100000), " ",IF(INDEX($AB$2:$AQ$1001,MATCH(ROWS($U$2:U54),$U$2:$U$1001,0),MATCH(COLUMNS($AB$1006:AK1006),$AB$1006:$AQ$1006,0)), HYPERLINK("#",""), HYPERLINK(CONCATENATE("#Metadata!", ADDRESS(INDEX($W$2:$W$1001,MATCH(ROWS($U$2:U54),$U$2:$U$1001,0),0), INDEX($AB$1004:$AQ$1004,1,MATCH(COLUMNS($AB$1006:AK1006),$AB$1006:$AQ$1006,0)))),"Fix")))</f>
        <v>0</v>
      </c>
      <c r="L54" s="5">
        <f>IF(OR(INDEX($V$2:$V$1001,MATCH(ROWS($U$2:U54),$U$2:$U$1001,0),1)&gt;=100000,INDEX($AB$1005:$AQ$1005,1,MATCH(COLUMNS($AB$1006:AL1006),$AB$1006:$AQ$1006,0))&gt;=100000), " ",IF(INDEX($AB$2:$AQ$1001,MATCH(ROWS($U$2:U54),$U$2:$U$1001,0),MATCH(COLUMNS($AB$1006:AL1006),$AB$1006:$AQ$1006,0)), HYPERLINK("#",""), HYPERLINK(CONCATENATE("#Metadata!", ADDRESS(INDEX($W$2:$W$1001,MATCH(ROWS($U$2:U54),$U$2:$U$1001,0),0), INDEX($AB$1004:$AQ$1004,1,MATCH(COLUMNS($AB$1006:AL1006),$AB$1006:$AQ$1006,0)))),"Fix")))</f>
        <v>0</v>
      </c>
      <c r="M54" s="5">
        <f>IF(OR(INDEX($V$2:$V$1001,MATCH(ROWS($U$2:U54),$U$2:$U$1001,0),1)&gt;=100000,INDEX($AB$1005:$AQ$1005,1,MATCH(COLUMNS($AB$1006:AM1006),$AB$1006:$AQ$1006,0))&gt;=100000), " ",IF(INDEX($AB$2:$AQ$1001,MATCH(ROWS($U$2:U54),$U$2:$U$1001,0),MATCH(COLUMNS($AB$1006:AM1006),$AB$1006:$AQ$1006,0)), HYPERLINK("#",""), HYPERLINK(CONCATENATE("#Metadata!", ADDRESS(INDEX($W$2:$W$1001,MATCH(ROWS($U$2:U54),$U$2:$U$1001,0),0), INDEX($AB$1004:$AQ$1004,1,MATCH(COLUMNS($AB$1006:AM1006),$AB$1006:$AQ$1006,0)))),"Fix")))</f>
        <v>0</v>
      </c>
      <c r="N54" s="5">
        <f>IF(OR(INDEX($V$2:$V$1001,MATCH(ROWS($U$2:U54),$U$2:$U$1001,0),1)&gt;=100000,INDEX($AB$1005:$AQ$1005,1,MATCH(COLUMNS($AB$1006:AN1006),$AB$1006:$AQ$1006,0))&gt;=100000), " ",IF(INDEX($AB$2:$AQ$1001,MATCH(ROWS($U$2:U54),$U$2:$U$1001,0),MATCH(COLUMNS($AB$1006:AN1006),$AB$1006:$AQ$1006,0)), HYPERLINK("#",""), HYPERLINK(CONCATENATE("#Metadata!", ADDRESS(INDEX($W$2:$W$1001,MATCH(ROWS($U$2:U54),$U$2:$U$1001,0),0), INDEX($AB$1004:$AQ$1004,1,MATCH(COLUMNS($AB$1006:AN1006),$AB$1006:$AQ$1006,0)))),"Fix")))</f>
        <v>0</v>
      </c>
      <c r="O54" s="5">
        <f>IF(OR(INDEX($V$2:$V$1001,MATCH(ROWS($U$2:U54),$U$2:$U$1001,0),1)&gt;=100000,INDEX($AB$1005:$AQ$1005,1,MATCH(COLUMNS($AB$1006:AO1006),$AB$1006:$AQ$1006,0))&gt;=100000), " ",IF(INDEX($AB$2:$AQ$1001,MATCH(ROWS($U$2:U54),$U$2:$U$1001,0),MATCH(COLUMNS($AB$1006:AO1006),$AB$1006:$AQ$1006,0)), HYPERLINK("#",""), HYPERLINK(CONCATENATE("#Metadata!", ADDRESS(INDEX($W$2:$W$1001,MATCH(ROWS($U$2:U54),$U$2:$U$1001,0),0), INDEX($AB$1004:$AQ$1004,1,MATCH(COLUMNS($AB$1006:AO1006),$AB$1006:$AQ$1006,0)))),"Fix")))</f>
        <v>0</v>
      </c>
      <c r="P54" s="5">
        <f>IF(OR(INDEX($V$2:$V$1001,MATCH(ROWS($U$2:U54),$U$2:$U$1001,0),1)&gt;=100000,INDEX($AB$1005:$AQ$1005,1,MATCH(COLUMNS($AB$1006:AP1006),$AB$1006:$AQ$1006,0))&gt;=100000), " ",IF(INDEX($AB$2:$AQ$1001,MATCH(ROWS($U$2:U54),$U$2:$U$1001,0),MATCH(COLUMNS($AB$1006:AP1006),$AB$1006:$AQ$1006,0)), HYPERLINK("#",""), HYPERLINK(CONCATENATE("#Metadata!", ADDRESS(INDEX($W$2:$W$1001,MATCH(ROWS($U$2:U54),$U$2:$U$1001,0),0), INDEX($AB$1004:$AQ$1004,1,MATCH(COLUMNS($AB$1006:AP1006),$AB$1006:$AQ$1006,0)))),"Fix")))</f>
        <v>0</v>
      </c>
      <c r="Q54" s="5">
        <f>IF(OR(INDEX($V$2:$V$1001,MATCH(ROWS($U$2:U54),$U$2:$U$1001,0),1)&gt;=100000,INDEX($AB$1005:$AQ$1005,1,MATCH(COLUMNS($AB$1006:AQ1006),$AB$1006:$AQ$1006,0))&gt;=100000), " ",IF(INDEX($AB$2:$AQ$1001,MATCH(ROWS($U$2:U54),$U$2:$U$1001,0),MATCH(COLUMNS($AB$1006:AQ1006),$AB$1006:$AQ$1006,0)), HYPERLINK("#",""), HYPERLINK(CONCATENATE("#Metadata!", ADDRESS(INDEX($W$2:$W$1001,MATCH(ROWS($U$2:U54),$U$2:$U$1001,0),0), INDEX($AB$1004:$AQ$1004,1,MATCH(COLUMNS($AB$1006:AQ1006),$AB$1006:$AQ$1006,0)))),"Fix")))</f>
        <v>0</v>
      </c>
      <c r="U54">
        <v>0</v>
      </c>
      <c r="V54">
        <v>0</v>
      </c>
      <c r="W54">
        <v>0</v>
      </c>
      <c r="X54">
        <f>IF(Y54,TRUE,AND(AB54:AQ54))</f>
        <v>0</v>
      </c>
      <c r="Y54">
        <f>COUNTBLANK(Metadata!B54:Q54)=COLUMNS(Metadata!B54:Q54)</f>
        <v>0</v>
      </c>
      <c r="Z54">
        <v>0</v>
      </c>
      <c r="AB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AC54">
        <f>AND(IF(Metadata!C54="",FALSE,TRUE),exact(Metadata!C54,"urban biome"))</f>
        <v>0</v>
      </c>
      <c r="AD54">
        <f>AND(IF(Metadata!D54="",FALSE,TRUE),exact(Metadata!D54,"human-associated habitat"))</f>
        <v>0</v>
      </c>
      <c r="AE54">
        <f>AND(IF(Metadata!E54="",FALSE,TRUE),OR(exact(Metadata!E54,"human-associated"),exact(Metadata!E54,"human-skin"),exact(Metadata!E54,"human-oral"),exact(Metadata!E54,"human-gut"),exact(Metadata!E54,"human-vaginal")))</f>
        <v>0</v>
      </c>
      <c r="AF54">
        <f>AND(IF(Metadata!F54="",FALSE,ISNUMBER(VALUE(Metadata!F54))),Metadata!F54&gt;0)</f>
        <v>0</v>
      </c>
      <c r="AG54">
        <f>AND(IF(Metadata!G54="",FALSE,TRUE),exact(Metadata!G54,"years"))</f>
        <v>0</v>
      </c>
      <c r="AH54">
        <f>OR(AND(IF(Metadata!H54="",FALSE,TRUE),OR(exact(Metadata!H54,"not applicable"),exact(Metadata!H54,"not collected"),exact(Metadata!H54,"not provided"),exact(Metadata!H54,"restricted access"))),AND(IF(Metadata!H54="",FALSE,ISNUMBER(VALUE(Metadata!H54))),Metadata!H54&gt;0))</f>
        <v>0</v>
      </c>
      <c r="AI54">
        <f>AND(IF(Metadata!I54="",FALSE,TRUE),exact(Metadata!I54,"human"))</f>
        <v>0</v>
      </c>
      <c r="AJ54">
        <f>AND(IF(Metadata!J54="",FALSE,ISNUMBER(VALUE(Metadata!J54))),Metadata!J54&gt;0)</f>
        <v>0</v>
      </c>
      <c r="AK54">
        <f>AND(IF(Metadata!K54="",FALSE,TRUE),exact(Metadata!K54,"cm"))</f>
        <v>0</v>
      </c>
      <c r="AL54">
        <f>AND(IF(Metadata!L54="",FALSE,TRUE),exact(Metadata!L54,"Homo sapiens"))</f>
        <v>0</v>
      </c>
      <c r="AM54">
        <f>AND(IF(Metadata!M54="",FALSE,TRUE),exact(Metadata!M54,"9606"))</f>
        <v>0</v>
      </c>
      <c r="AN54">
        <f>AND(IF(Metadata!N54="",FALSE,ISNUMBER(VALUE(Metadata!N54))),Metadata!N54&gt;0)</f>
        <v>0</v>
      </c>
      <c r="AO54">
        <f>AND(IF(Metadata!O54="",FALSE,TRUE),exact(Metadata!O54,"kg"))</f>
        <v>0</v>
      </c>
      <c r="AP54">
        <f>OR(AND(IF(Metadata!P54="",FALSE,TRUE),exact(Metadata!P54,"not provided")),IF(Metadata!P54="",FALSE,TRUE))</f>
        <v>0</v>
      </c>
      <c r="AQ54">
        <f>OR(AND(IF(Metadata!Q54="",FALSE,TRUE),exact(Metadata!Q54,"not provided")),IF(Metadata!Q54="",FALSE,TRUE))</f>
        <v>0</v>
      </c>
    </row>
    <row r="55" spans="1:43">
      <c r="A55" s="4">
        <f>IF(B55=" "," ",HYPERLINK(CONCATENATE("#metadata!",ADDRESS(INDEX($W$2:$W$1001,MATCH(ROWS($U$2:U55),$U$2:$U$1001,0),0),2)),INDEX($Z$2:$Z$1001,MATCH(ROWS($U$2:U55),$U$2:$U$1001,0),0)))</f>
        <v>0</v>
      </c>
      <c r="B55" s="5">
        <f>IF(OR(INDEX($V$2:$V$1001,MATCH(ROWS($U$2:U55),$U$2:$U$1001,0),1)&gt;=100000,INDEX($AB$1005:$AQ$1005,1,MATCH(COLUMNS($AB$1006:AB1006),$AB$1006:$AQ$1006,0))&gt;=100000), " ",IF(INDEX($AB$2:$AQ$1001,MATCH(ROWS($U$2:U55),$U$2:$U$1001,0),MATCH(COLUMNS($AB$1006:AB1006),$AB$1006:$AQ$1006,0)), HYPERLINK("#",""), HYPERLINK(CONCATENATE("#Metadata!", ADDRESS(INDEX($W$2:$W$1001,MATCH(ROWS($U$2:U55),$U$2:$U$1001,0),0), INDEX($AB$1004:$AQ$1004,1,MATCH(COLUMNS($AB$1006:AB1006),$AB$1006:$AQ$1006,0)))),"Fix")))</f>
        <v>0</v>
      </c>
      <c r="C55" s="5">
        <f>IF(OR(INDEX($V$2:$V$1001,MATCH(ROWS($U$2:U55),$U$2:$U$1001,0),1)&gt;=100000,INDEX($AB$1005:$AQ$1005,1,MATCH(COLUMNS($AB$1006:AC1006),$AB$1006:$AQ$1006,0))&gt;=100000), " ",IF(INDEX($AB$2:$AQ$1001,MATCH(ROWS($U$2:U55),$U$2:$U$1001,0),MATCH(COLUMNS($AB$1006:AC1006),$AB$1006:$AQ$1006,0)), HYPERLINK("#",""), HYPERLINK(CONCATENATE("#Metadata!", ADDRESS(INDEX($W$2:$W$1001,MATCH(ROWS($U$2:U55),$U$2:$U$1001,0),0), INDEX($AB$1004:$AQ$1004,1,MATCH(COLUMNS($AB$1006:AC1006),$AB$1006:$AQ$1006,0)))),"Fix")))</f>
        <v>0</v>
      </c>
      <c r="D55" s="5">
        <f>IF(OR(INDEX($V$2:$V$1001,MATCH(ROWS($U$2:U55),$U$2:$U$1001,0),1)&gt;=100000,INDEX($AB$1005:$AQ$1005,1,MATCH(COLUMNS($AB$1006:AD1006),$AB$1006:$AQ$1006,0))&gt;=100000), " ",IF(INDEX($AB$2:$AQ$1001,MATCH(ROWS($U$2:U55),$U$2:$U$1001,0),MATCH(COLUMNS($AB$1006:AD1006),$AB$1006:$AQ$1006,0)), HYPERLINK("#",""), HYPERLINK(CONCATENATE("#Metadata!", ADDRESS(INDEX($W$2:$W$1001,MATCH(ROWS($U$2:U55),$U$2:$U$1001,0),0), INDEX($AB$1004:$AQ$1004,1,MATCH(COLUMNS($AB$1006:AD1006),$AB$1006:$AQ$1006,0)))),"Fix")))</f>
        <v>0</v>
      </c>
      <c r="E55" s="5">
        <f>IF(OR(INDEX($V$2:$V$1001,MATCH(ROWS($U$2:U55),$U$2:$U$1001,0),1)&gt;=100000,INDEX($AB$1005:$AQ$1005,1,MATCH(COLUMNS($AB$1006:AE1006),$AB$1006:$AQ$1006,0))&gt;=100000), " ",IF(INDEX($AB$2:$AQ$1001,MATCH(ROWS($U$2:U55),$U$2:$U$1001,0),MATCH(COLUMNS($AB$1006:AE1006),$AB$1006:$AQ$1006,0)), HYPERLINK("#",""), HYPERLINK(CONCATENATE("#Metadata!", ADDRESS(INDEX($W$2:$W$1001,MATCH(ROWS($U$2:U55),$U$2:$U$1001,0),0), INDEX($AB$1004:$AQ$1004,1,MATCH(COLUMNS($AB$1006:AE1006),$AB$1006:$AQ$1006,0)))),"Fix")))</f>
        <v>0</v>
      </c>
      <c r="F55" s="5">
        <f>IF(OR(INDEX($V$2:$V$1001,MATCH(ROWS($U$2:U55),$U$2:$U$1001,0),1)&gt;=100000,INDEX($AB$1005:$AQ$1005,1,MATCH(COLUMNS($AB$1006:AF1006),$AB$1006:$AQ$1006,0))&gt;=100000), " ",IF(INDEX($AB$2:$AQ$1001,MATCH(ROWS($U$2:U55),$U$2:$U$1001,0),MATCH(COLUMNS($AB$1006:AF1006),$AB$1006:$AQ$1006,0)), HYPERLINK("#",""), HYPERLINK(CONCATENATE("#Metadata!", ADDRESS(INDEX($W$2:$W$1001,MATCH(ROWS($U$2:U55),$U$2:$U$1001,0),0), INDEX($AB$1004:$AQ$1004,1,MATCH(COLUMNS($AB$1006:AF1006),$AB$1006:$AQ$1006,0)))),"Fix")))</f>
        <v>0</v>
      </c>
      <c r="G55" s="5">
        <f>IF(OR(INDEX($V$2:$V$1001,MATCH(ROWS($U$2:U55),$U$2:$U$1001,0),1)&gt;=100000,INDEX($AB$1005:$AQ$1005,1,MATCH(COLUMNS($AB$1006:AG1006),$AB$1006:$AQ$1006,0))&gt;=100000), " ",IF(INDEX($AB$2:$AQ$1001,MATCH(ROWS($U$2:U55),$U$2:$U$1001,0),MATCH(COLUMNS($AB$1006:AG1006),$AB$1006:$AQ$1006,0)), HYPERLINK("#",""), HYPERLINK(CONCATENATE("#Metadata!", ADDRESS(INDEX($W$2:$W$1001,MATCH(ROWS($U$2:U55),$U$2:$U$1001,0),0), INDEX($AB$1004:$AQ$1004,1,MATCH(COLUMNS($AB$1006:AG1006),$AB$1006:$AQ$1006,0)))),"Fix")))</f>
        <v>0</v>
      </c>
      <c r="H55" s="5">
        <f>IF(OR(INDEX($V$2:$V$1001,MATCH(ROWS($U$2:U55),$U$2:$U$1001,0),1)&gt;=100000,INDEX($AB$1005:$AQ$1005,1,MATCH(COLUMNS($AB$1006:AH1006),$AB$1006:$AQ$1006,0))&gt;=100000), " ",IF(INDEX($AB$2:$AQ$1001,MATCH(ROWS($U$2:U55),$U$2:$U$1001,0),MATCH(COLUMNS($AB$1006:AH1006),$AB$1006:$AQ$1006,0)), HYPERLINK("#",""), HYPERLINK(CONCATENATE("#Metadata!", ADDRESS(INDEX($W$2:$W$1001,MATCH(ROWS($U$2:U55),$U$2:$U$1001,0),0), INDEX($AB$1004:$AQ$1004,1,MATCH(COLUMNS($AB$1006:AH1006),$AB$1006:$AQ$1006,0)))),"Fix")))</f>
        <v>0</v>
      </c>
      <c r="I55" s="5">
        <f>IF(OR(INDEX($V$2:$V$1001,MATCH(ROWS($U$2:U55),$U$2:$U$1001,0),1)&gt;=100000,INDEX($AB$1005:$AQ$1005,1,MATCH(COLUMNS($AB$1006:AI1006),$AB$1006:$AQ$1006,0))&gt;=100000), " ",IF(INDEX($AB$2:$AQ$1001,MATCH(ROWS($U$2:U55),$U$2:$U$1001,0),MATCH(COLUMNS($AB$1006:AI1006),$AB$1006:$AQ$1006,0)), HYPERLINK("#",""), HYPERLINK(CONCATENATE("#Metadata!", ADDRESS(INDEX($W$2:$W$1001,MATCH(ROWS($U$2:U55),$U$2:$U$1001,0),0), INDEX($AB$1004:$AQ$1004,1,MATCH(COLUMNS($AB$1006:AI1006),$AB$1006:$AQ$1006,0)))),"Fix")))</f>
        <v>0</v>
      </c>
      <c r="J55" s="5">
        <f>IF(OR(INDEX($V$2:$V$1001,MATCH(ROWS($U$2:U55),$U$2:$U$1001,0),1)&gt;=100000,INDEX($AB$1005:$AQ$1005,1,MATCH(COLUMNS($AB$1006:AJ1006),$AB$1006:$AQ$1006,0))&gt;=100000), " ",IF(INDEX($AB$2:$AQ$1001,MATCH(ROWS($U$2:U55),$U$2:$U$1001,0),MATCH(COLUMNS($AB$1006:AJ1006),$AB$1006:$AQ$1006,0)), HYPERLINK("#",""), HYPERLINK(CONCATENATE("#Metadata!", ADDRESS(INDEX($W$2:$W$1001,MATCH(ROWS($U$2:U55),$U$2:$U$1001,0),0), INDEX($AB$1004:$AQ$1004,1,MATCH(COLUMNS($AB$1006:AJ1006),$AB$1006:$AQ$1006,0)))),"Fix")))</f>
        <v>0</v>
      </c>
      <c r="K55" s="5">
        <f>IF(OR(INDEX($V$2:$V$1001,MATCH(ROWS($U$2:U55),$U$2:$U$1001,0),1)&gt;=100000,INDEX($AB$1005:$AQ$1005,1,MATCH(COLUMNS($AB$1006:AK1006),$AB$1006:$AQ$1006,0))&gt;=100000), " ",IF(INDEX($AB$2:$AQ$1001,MATCH(ROWS($U$2:U55),$U$2:$U$1001,0),MATCH(COLUMNS($AB$1006:AK1006),$AB$1006:$AQ$1006,0)), HYPERLINK("#",""), HYPERLINK(CONCATENATE("#Metadata!", ADDRESS(INDEX($W$2:$W$1001,MATCH(ROWS($U$2:U55),$U$2:$U$1001,0),0), INDEX($AB$1004:$AQ$1004,1,MATCH(COLUMNS($AB$1006:AK1006),$AB$1006:$AQ$1006,0)))),"Fix")))</f>
        <v>0</v>
      </c>
      <c r="L55" s="5">
        <f>IF(OR(INDEX($V$2:$V$1001,MATCH(ROWS($U$2:U55),$U$2:$U$1001,0),1)&gt;=100000,INDEX($AB$1005:$AQ$1005,1,MATCH(COLUMNS($AB$1006:AL1006),$AB$1006:$AQ$1006,0))&gt;=100000), " ",IF(INDEX($AB$2:$AQ$1001,MATCH(ROWS($U$2:U55),$U$2:$U$1001,0),MATCH(COLUMNS($AB$1006:AL1006),$AB$1006:$AQ$1006,0)), HYPERLINK("#",""), HYPERLINK(CONCATENATE("#Metadata!", ADDRESS(INDEX($W$2:$W$1001,MATCH(ROWS($U$2:U55),$U$2:$U$1001,0),0), INDEX($AB$1004:$AQ$1004,1,MATCH(COLUMNS($AB$1006:AL1006),$AB$1006:$AQ$1006,0)))),"Fix")))</f>
        <v>0</v>
      </c>
      <c r="M55" s="5">
        <f>IF(OR(INDEX($V$2:$V$1001,MATCH(ROWS($U$2:U55),$U$2:$U$1001,0),1)&gt;=100000,INDEX($AB$1005:$AQ$1005,1,MATCH(COLUMNS($AB$1006:AM1006),$AB$1006:$AQ$1006,0))&gt;=100000), " ",IF(INDEX($AB$2:$AQ$1001,MATCH(ROWS($U$2:U55),$U$2:$U$1001,0),MATCH(COLUMNS($AB$1006:AM1006),$AB$1006:$AQ$1006,0)), HYPERLINK("#",""), HYPERLINK(CONCATENATE("#Metadata!", ADDRESS(INDEX($W$2:$W$1001,MATCH(ROWS($U$2:U55),$U$2:$U$1001,0),0), INDEX($AB$1004:$AQ$1004,1,MATCH(COLUMNS($AB$1006:AM1006),$AB$1006:$AQ$1006,0)))),"Fix")))</f>
        <v>0</v>
      </c>
      <c r="N55" s="5">
        <f>IF(OR(INDEX($V$2:$V$1001,MATCH(ROWS($U$2:U55),$U$2:$U$1001,0),1)&gt;=100000,INDEX($AB$1005:$AQ$1005,1,MATCH(COLUMNS($AB$1006:AN1006),$AB$1006:$AQ$1006,0))&gt;=100000), " ",IF(INDEX($AB$2:$AQ$1001,MATCH(ROWS($U$2:U55),$U$2:$U$1001,0),MATCH(COLUMNS($AB$1006:AN1006),$AB$1006:$AQ$1006,0)), HYPERLINK("#",""), HYPERLINK(CONCATENATE("#Metadata!", ADDRESS(INDEX($W$2:$W$1001,MATCH(ROWS($U$2:U55),$U$2:$U$1001,0),0), INDEX($AB$1004:$AQ$1004,1,MATCH(COLUMNS($AB$1006:AN1006),$AB$1006:$AQ$1006,0)))),"Fix")))</f>
        <v>0</v>
      </c>
      <c r="O55" s="5">
        <f>IF(OR(INDEX($V$2:$V$1001,MATCH(ROWS($U$2:U55),$U$2:$U$1001,0),1)&gt;=100000,INDEX($AB$1005:$AQ$1005,1,MATCH(COLUMNS($AB$1006:AO1006),$AB$1006:$AQ$1006,0))&gt;=100000), " ",IF(INDEX($AB$2:$AQ$1001,MATCH(ROWS($U$2:U55),$U$2:$U$1001,0),MATCH(COLUMNS($AB$1006:AO1006),$AB$1006:$AQ$1006,0)), HYPERLINK("#",""), HYPERLINK(CONCATENATE("#Metadata!", ADDRESS(INDEX($W$2:$W$1001,MATCH(ROWS($U$2:U55),$U$2:$U$1001,0),0), INDEX($AB$1004:$AQ$1004,1,MATCH(COLUMNS($AB$1006:AO1006),$AB$1006:$AQ$1006,0)))),"Fix")))</f>
        <v>0</v>
      </c>
      <c r="P55" s="5">
        <f>IF(OR(INDEX($V$2:$V$1001,MATCH(ROWS($U$2:U55),$U$2:$U$1001,0),1)&gt;=100000,INDEX($AB$1005:$AQ$1005,1,MATCH(COLUMNS($AB$1006:AP1006),$AB$1006:$AQ$1006,0))&gt;=100000), " ",IF(INDEX($AB$2:$AQ$1001,MATCH(ROWS($U$2:U55),$U$2:$U$1001,0),MATCH(COLUMNS($AB$1006:AP1006),$AB$1006:$AQ$1006,0)), HYPERLINK("#",""), HYPERLINK(CONCATENATE("#Metadata!", ADDRESS(INDEX($W$2:$W$1001,MATCH(ROWS($U$2:U55),$U$2:$U$1001,0),0), INDEX($AB$1004:$AQ$1004,1,MATCH(COLUMNS($AB$1006:AP1006),$AB$1006:$AQ$1006,0)))),"Fix")))</f>
        <v>0</v>
      </c>
      <c r="Q55" s="5">
        <f>IF(OR(INDEX($V$2:$V$1001,MATCH(ROWS($U$2:U55),$U$2:$U$1001,0),1)&gt;=100000,INDEX($AB$1005:$AQ$1005,1,MATCH(COLUMNS($AB$1006:AQ1006),$AB$1006:$AQ$1006,0))&gt;=100000), " ",IF(INDEX($AB$2:$AQ$1001,MATCH(ROWS($U$2:U55),$U$2:$U$1001,0),MATCH(COLUMNS($AB$1006:AQ1006),$AB$1006:$AQ$1006,0)), HYPERLINK("#",""), HYPERLINK(CONCATENATE("#Metadata!", ADDRESS(INDEX($W$2:$W$1001,MATCH(ROWS($U$2:U55),$U$2:$U$1001,0),0), INDEX($AB$1004:$AQ$1004,1,MATCH(COLUMNS($AB$1006:AQ1006),$AB$1006:$AQ$1006,0)))),"Fix")))</f>
        <v>0</v>
      </c>
      <c r="U55">
        <v>0</v>
      </c>
      <c r="V55">
        <v>0</v>
      </c>
      <c r="W55">
        <v>0</v>
      </c>
      <c r="X55">
        <f>IF(Y55,TRUE,AND(AB55:AQ55))</f>
        <v>0</v>
      </c>
      <c r="Y55">
        <f>COUNTBLANK(Metadata!B55:Q55)=COLUMNS(Metadata!B55:Q55)</f>
        <v>0</v>
      </c>
      <c r="Z55">
        <v>0</v>
      </c>
      <c r="AB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AC55">
        <f>AND(IF(Metadata!C55="",FALSE,TRUE),exact(Metadata!C55,"urban biome"))</f>
        <v>0</v>
      </c>
      <c r="AD55">
        <f>AND(IF(Metadata!D55="",FALSE,TRUE),exact(Metadata!D55,"human-associated habitat"))</f>
        <v>0</v>
      </c>
      <c r="AE55">
        <f>AND(IF(Metadata!E55="",FALSE,TRUE),OR(exact(Metadata!E55,"human-associated"),exact(Metadata!E55,"human-skin"),exact(Metadata!E55,"human-oral"),exact(Metadata!E55,"human-gut"),exact(Metadata!E55,"human-vaginal")))</f>
        <v>0</v>
      </c>
      <c r="AF55">
        <f>AND(IF(Metadata!F55="",FALSE,ISNUMBER(VALUE(Metadata!F55))),Metadata!F55&gt;0)</f>
        <v>0</v>
      </c>
      <c r="AG55">
        <f>AND(IF(Metadata!G55="",FALSE,TRUE),exact(Metadata!G55,"years"))</f>
        <v>0</v>
      </c>
      <c r="AH55">
        <f>OR(AND(IF(Metadata!H55="",FALSE,TRUE),OR(exact(Metadata!H55,"not applicable"),exact(Metadata!H55,"not collected"),exact(Metadata!H55,"not provided"),exact(Metadata!H55,"restricted access"))),AND(IF(Metadata!H55="",FALSE,ISNUMBER(VALUE(Metadata!H55))),Metadata!H55&gt;0))</f>
        <v>0</v>
      </c>
      <c r="AI55">
        <f>AND(IF(Metadata!I55="",FALSE,TRUE),exact(Metadata!I55,"human"))</f>
        <v>0</v>
      </c>
      <c r="AJ55">
        <f>AND(IF(Metadata!J55="",FALSE,ISNUMBER(VALUE(Metadata!J55))),Metadata!J55&gt;0)</f>
        <v>0</v>
      </c>
      <c r="AK55">
        <f>AND(IF(Metadata!K55="",FALSE,TRUE),exact(Metadata!K55,"cm"))</f>
        <v>0</v>
      </c>
      <c r="AL55">
        <f>AND(IF(Metadata!L55="",FALSE,TRUE),exact(Metadata!L55,"Homo sapiens"))</f>
        <v>0</v>
      </c>
      <c r="AM55">
        <f>AND(IF(Metadata!M55="",FALSE,TRUE),exact(Metadata!M55,"9606"))</f>
        <v>0</v>
      </c>
      <c r="AN55">
        <f>AND(IF(Metadata!N55="",FALSE,ISNUMBER(VALUE(Metadata!N55))),Metadata!N55&gt;0)</f>
        <v>0</v>
      </c>
      <c r="AO55">
        <f>AND(IF(Metadata!O55="",FALSE,TRUE),exact(Metadata!O55,"kg"))</f>
        <v>0</v>
      </c>
      <c r="AP55">
        <f>OR(AND(IF(Metadata!P55="",FALSE,TRUE),exact(Metadata!P55,"not provided")),IF(Metadata!P55="",FALSE,TRUE))</f>
        <v>0</v>
      </c>
      <c r="AQ55">
        <f>OR(AND(IF(Metadata!Q55="",FALSE,TRUE),exact(Metadata!Q55,"not provided")),IF(Metadata!Q55="",FALSE,TRUE))</f>
        <v>0</v>
      </c>
    </row>
    <row r="56" spans="1:43">
      <c r="A56" s="4">
        <f>IF(B56=" "," ",HYPERLINK(CONCATENATE("#metadata!",ADDRESS(INDEX($W$2:$W$1001,MATCH(ROWS($U$2:U56),$U$2:$U$1001,0),0),2)),INDEX($Z$2:$Z$1001,MATCH(ROWS($U$2:U56),$U$2:$U$1001,0),0)))</f>
        <v>0</v>
      </c>
      <c r="B56" s="5">
        <f>IF(OR(INDEX($V$2:$V$1001,MATCH(ROWS($U$2:U56),$U$2:$U$1001,0),1)&gt;=100000,INDEX($AB$1005:$AQ$1005,1,MATCH(COLUMNS($AB$1006:AB1006),$AB$1006:$AQ$1006,0))&gt;=100000), " ",IF(INDEX($AB$2:$AQ$1001,MATCH(ROWS($U$2:U56),$U$2:$U$1001,0),MATCH(COLUMNS($AB$1006:AB1006),$AB$1006:$AQ$1006,0)), HYPERLINK("#",""), HYPERLINK(CONCATENATE("#Metadata!", ADDRESS(INDEX($W$2:$W$1001,MATCH(ROWS($U$2:U56),$U$2:$U$1001,0),0), INDEX($AB$1004:$AQ$1004,1,MATCH(COLUMNS($AB$1006:AB1006),$AB$1006:$AQ$1006,0)))),"Fix")))</f>
        <v>0</v>
      </c>
      <c r="C56" s="5">
        <f>IF(OR(INDEX($V$2:$V$1001,MATCH(ROWS($U$2:U56),$U$2:$U$1001,0),1)&gt;=100000,INDEX($AB$1005:$AQ$1005,1,MATCH(COLUMNS($AB$1006:AC1006),$AB$1006:$AQ$1006,0))&gt;=100000), " ",IF(INDEX($AB$2:$AQ$1001,MATCH(ROWS($U$2:U56),$U$2:$U$1001,0),MATCH(COLUMNS($AB$1006:AC1006),$AB$1006:$AQ$1006,0)), HYPERLINK("#",""), HYPERLINK(CONCATENATE("#Metadata!", ADDRESS(INDEX($W$2:$W$1001,MATCH(ROWS($U$2:U56),$U$2:$U$1001,0),0), INDEX($AB$1004:$AQ$1004,1,MATCH(COLUMNS($AB$1006:AC1006),$AB$1006:$AQ$1006,0)))),"Fix")))</f>
        <v>0</v>
      </c>
      <c r="D56" s="5">
        <f>IF(OR(INDEX($V$2:$V$1001,MATCH(ROWS($U$2:U56),$U$2:$U$1001,0),1)&gt;=100000,INDEX($AB$1005:$AQ$1005,1,MATCH(COLUMNS($AB$1006:AD1006),$AB$1006:$AQ$1006,0))&gt;=100000), " ",IF(INDEX($AB$2:$AQ$1001,MATCH(ROWS($U$2:U56),$U$2:$U$1001,0),MATCH(COLUMNS($AB$1006:AD1006),$AB$1006:$AQ$1006,0)), HYPERLINK("#",""), HYPERLINK(CONCATENATE("#Metadata!", ADDRESS(INDEX($W$2:$W$1001,MATCH(ROWS($U$2:U56),$U$2:$U$1001,0),0), INDEX($AB$1004:$AQ$1004,1,MATCH(COLUMNS($AB$1006:AD1006),$AB$1006:$AQ$1006,0)))),"Fix")))</f>
        <v>0</v>
      </c>
      <c r="E56" s="5">
        <f>IF(OR(INDEX($V$2:$V$1001,MATCH(ROWS($U$2:U56),$U$2:$U$1001,0),1)&gt;=100000,INDEX($AB$1005:$AQ$1005,1,MATCH(COLUMNS($AB$1006:AE1006),$AB$1006:$AQ$1006,0))&gt;=100000), " ",IF(INDEX($AB$2:$AQ$1001,MATCH(ROWS($U$2:U56),$U$2:$U$1001,0),MATCH(COLUMNS($AB$1006:AE1006),$AB$1006:$AQ$1006,0)), HYPERLINK("#",""), HYPERLINK(CONCATENATE("#Metadata!", ADDRESS(INDEX($W$2:$W$1001,MATCH(ROWS($U$2:U56),$U$2:$U$1001,0),0), INDEX($AB$1004:$AQ$1004,1,MATCH(COLUMNS($AB$1006:AE1006),$AB$1006:$AQ$1006,0)))),"Fix")))</f>
        <v>0</v>
      </c>
      <c r="F56" s="5">
        <f>IF(OR(INDEX($V$2:$V$1001,MATCH(ROWS($U$2:U56),$U$2:$U$1001,0),1)&gt;=100000,INDEX($AB$1005:$AQ$1005,1,MATCH(COLUMNS($AB$1006:AF1006),$AB$1006:$AQ$1006,0))&gt;=100000), " ",IF(INDEX($AB$2:$AQ$1001,MATCH(ROWS($U$2:U56),$U$2:$U$1001,0),MATCH(COLUMNS($AB$1006:AF1006),$AB$1006:$AQ$1006,0)), HYPERLINK("#",""), HYPERLINK(CONCATENATE("#Metadata!", ADDRESS(INDEX($W$2:$W$1001,MATCH(ROWS($U$2:U56),$U$2:$U$1001,0),0), INDEX($AB$1004:$AQ$1004,1,MATCH(COLUMNS($AB$1006:AF1006),$AB$1006:$AQ$1006,0)))),"Fix")))</f>
        <v>0</v>
      </c>
      <c r="G56" s="5">
        <f>IF(OR(INDEX($V$2:$V$1001,MATCH(ROWS($U$2:U56),$U$2:$U$1001,0),1)&gt;=100000,INDEX($AB$1005:$AQ$1005,1,MATCH(COLUMNS($AB$1006:AG1006),$AB$1006:$AQ$1006,0))&gt;=100000), " ",IF(INDEX($AB$2:$AQ$1001,MATCH(ROWS($U$2:U56),$U$2:$U$1001,0),MATCH(COLUMNS($AB$1006:AG1006),$AB$1006:$AQ$1006,0)), HYPERLINK("#",""), HYPERLINK(CONCATENATE("#Metadata!", ADDRESS(INDEX($W$2:$W$1001,MATCH(ROWS($U$2:U56),$U$2:$U$1001,0),0), INDEX($AB$1004:$AQ$1004,1,MATCH(COLUMNS($AB$1006:AG1006),$AB$1006:$AQ$1006,0)))),"Fix")))</f>
        <v>0</v>
      </c>
      <c r="H56" s="5">
        <f>IF(OR(INDEX($V$2:$V$1001,MATCH(ROWS($U$2:U56),$U$2:$U$1001,0),1)&gt;=100000,INDEX($AB$1005:$AQ$1005,1,MATCH(COLUMNS($AB$1006:AH1006),$AB$1006:$AQ$1006,0))&gt;=100000), " ",IF(INDEX($AB$2:$AQ$1001,MATCH(ROWS($U$2:U56),$U$2:$U$1001,0),MATCH(COLUMNS($AB$1006:AH1006),$AB$1006:$AQ$1006,0)), HYPERLINK("#",""), HYPERLINK(CONCATENATE("#Metadata!", ADDRESS(INDEX($W$2:$W$1001,MATCH(ROWS($U$2:U56),$U$2:$U$1001,0),0), INDEX($AB$1004:$AQ$1004,1,MATCH(COLUMNS($AB$1006:AH1006),$AB$1006:$AQ$1006,0)))),"Fix")))</f>
        <v>0</v>
      </c>
      <c r="I56" s="5">
        <f>IF(OR(INDEX($V$2:$V$1001,MATCH(ROWS($U$2:U56),$U$2:$U$1001,0),1)&gt;=100000,INDEX($AB$1005:$AQ$1005,1,MATCH(COLUMNS($AB$1006:AI1006),$AB$1006:$AQ$1006,0))&gt;=100000), " ",IF(INDEX($AB$2:$AQ$1001,MATCH(ROWS($U$2:U56),$U$2:$U$1001,0),MATCH(COLUMNS($AB$1006:AI1006),$AB$1006:$AQ$1006,0)), HYPERLINK("#",""), HYPERLINK(CONCATENATE("#Metadata!", ADDRESS(INDEX($W$2:$W$1001,MATCH(ROWS($U$2:U56),$U$2:$U$1001,0),0), INDEX($AB$1004:$AQ$1004,1,MATCH(COLUMNS($AB$1006:AI1006),$AB$1006:$AQ$1006,0)))),"Fix")))</f>
        <v>0</v>
      </c>
      <c r="J56" s="5">
        <f>IF(OR(INDEX($V$2:$V$1001,MATCH(ROWS($U$2:U56),$U$2:$U$1001,0),1)&gt;=100000,INDEX($AB$1005:$AQ$1005,1,MATCH(COLUMNS($AB$1006:AJ1006),$AB$1006:$AQ$1006,0))&gt;=100000), " ",IF(INDEX($AB$2:$AQ$1001,MATCH(ROWS($U$2:U56),$U$2:$U$1001,0),MATCH(COLUMNS($AB$1006:AJ1006),$AB$1006:$AQ$1006,0)), HYPERLINK("#",""), HYPERLINK(CONCATENATE("#Metadata!", ADDRESS(INDEX($W$2:$W$1001,MATCH(ROWS($U$2:U56),$U$2:$U$1001,0),0), INDEX($AB$1004:$AQ$1004,1,MATCH(COLUMNS($AB$1006:AJ1006),$AB$1006:$AQ$1006,0)))),"Fix")))</f>
        <v>0</v>
      </c>
      <c r="K56" s="5">
        <f>IF(OR(INDEX($V$2:$V$1001,MATCH(ROWS($U$2:U56),$U$2:$U$1001,0),1)&gt;=100000,INDEX($AB$1005:$AQ$1005,1,MATCH(COLUMNS($AB$1006:AK1006),$AB$1006:$AQ$1006,0))&gt;=100000), " ",IF(INDEX($AB$2:$AQ$1001,MATCH(ROWS($U$2:U56),$U$2:$U$1001,0),MATCH(COLUMNS($AB$1006:AK1006),$AB$1006:$AQ$1006,0)), HYPERLINK("#",""), HYPERLINK(CONCATENATE("#Metadata!", ADDRESS(INDEX($W$2:$W$1001,MATCH(ROWS($U$2:U56),$U$2:$U$1001,0),0), INDEX($AB$1004:$AQ$1004,1,MATCH(COLUMNS($AB$1006:AK1006),$AB$1006:$AQ$1006,0)))),"Fix")))</f>
        <v>0</v>
      </c>
      <c r="L56" s="5">
        <f>IF(OR(INDEX($V$2:$V$1001,MATCH(ROWS($U$2:U56),$U$2:$U$1001,0),1)&gt;=100000,INDEX($AB$1005:$AQ$1005,1,MATCH(COLUMNS($AB$1006:AL1006),$AB$1006:$AQ$1006,0))&gt;=100000), " ",IF(INDEX($AB$2:$AQ$1001,MATCH(ROWS($U$2:U56),$U$2:$U$1001,0),MATCH(COLUMNS($AB$1006:AL1006),$AB$1006:$AQ$1006,0)), HYPERLINK("#",""), HYPERLINK(CONCATENATE("#Metadata!", ADDRESS(INDEX($W$2:$W$1001,MATCH(ROWS($U$2:U56),$U$2:$U$1001,0),0), INDEX($AB$1004:$AQ$1004,1,MATCH(COLUMNS($AB$1006:AL1006),$AB$1006:$AQ$1006,0)))),"Fix")))</f>
        <v>0</v>
      </c>
      <c r="M56" s="5">
        <f>IF(OR(INDEX($V$2:$V$1001,MATCH(ROWS($U$2:U56),$U$2:$U$1001,0),1)&gt;=100000,INDEX($AB$1005:$AQ$1005,1,MATCH(COLUMNS($AB$1006:AM1006),$AB$1006:$AQ$1006,0))&gt;=100000), " ",IF(INDEX($AB$2:$AQ$1001,MATCH(ROWS($U$2:U56),$U$2:$U$1001,0),MATCH(COLUMNS($AB$1006:AM1006),$AB$1006:$AQ$1006,0)), HYPERLINK("#",""), HYPERLINK(CONCATENATE("#Metadata!", ADDRESS(INDEX($W$2:$W$1001,MATCH(ROWS($U$2:U56),$U$2:$U$1001,0),0), INDEX($AB$1004:$AQ$1004,1,MATCH(COLUMNS($AB$1006:AM1006),$AB$1006:$AQ$1006,0)))),"Fix")))</f>
        <v>0</v>
      </c>
      <c r="N56" s="5">
        <f>IF(OR(INDEX($V$2:$V$1001,MATCH(ROWS($U$2:U56),$U$2:$U$1001,0),1)&gt;=100000,INDEX($AB$1005:$AQ$1005,1,MATCH(COLUMNS($AB$1006:AN1006),$AB$1006:$AQ$1006,0))&gt;=100000), " ",IF(INDEX($AB$2:$AQ$1001,MATCH(ROWS($U$2:U56),$U$2:$U$1001,0),MATCH(COLUMNS($AB$1006:AN1006),$AB$1006:$AQ$1006,0)), HYPERLINK("#",""), HYPERLINK(CONCATENATE("#Metadata!", ADDRESS(INDEX($W$2:$W$1001,MATCH(ROWS($U$2:U56),$U$2:$U$1001,0),0), INDEX($AB$1004:$AQ$1004,1,MATCH(COLUMNS($AB$1006:AN1006),$AB$1006:$AQ$1006,0)))),"Fix")))</f>
        <v>0</v>
      </c>
      <c r="O56" s="5">
        <f>IF(OR(INDEX($V$2:$V$1001,MATCH(ROWS($U$2:U56),$U$2:$U$1001,0),1)&gt;=100000,INDEX($AB$1005:$AQ$1005,1,MATCH(COLUMNS($AB$1006:AO1006),$AB$1006:$AQ$1006,0))&gt;=100000), " ",IF(INDEX($AB$2:$AQ$1001,MATCH(ROWS($U$2:U56),$U$2:$U$1001,0),MATCH(COLUMNS($AB$1006:AO1006),$AB$1006:$AQ$1006,0)), HYPERLINK("#",""), HYPERLINK(CONCATENATE("#Metadata!", ADDRESS(INDEX($W$2:$W$1001,MATCH(ROWS($U$2:U56),$U$2:$U$1001,0),0), INDEX($AB$1004:$AQ$1004,1,MATCH(COLUMNS($AB$1006:AO1006),$AB$1006:$AQ$1006,0)))),"Fix")))</f>
        <v>0</v>
      </c>
      <c r="P56" s="5">
        <f>IF(OR(INDEX($V$2:$V$1001,MATCH(ROWS($U$2:U56),$U$2:$U$1001,0),1)&gt;=100000,INDEX($AB$1005:$AQ$1005,1,MATCH(COLUMNS($AB$1006:AP1006),$AB$1006:$AQ$1006,0))&gt;=100000), " ",IF(INDEX($AB$2:$AQ$1001,MATCH(ROWS($U$2:U56),$U$2:$U$1001,0),MATCH(COLUMNS($AB$1006:AP1006),$AB$1006:$AQ$1006,0)), HYPERLINK("#",""), HYPERLINK(CONCATENATE("#Metadata!", ADDRESS(INDEX($W$2:$W$1001,MATCH(ROWS($U$2:U56),$U$2:$U$1001,0),0), INDEX($AB$1004:$AQ$1004,1,MATCH(COLUMNS($AB$1006:AP1006),$AB$1006:$AQ$1006,0)))),"Fix")))</f>
        <v>0</v>
      </c>
      <c r="Q56" s="5">
        <f>IF(OR(INDEX($V$2:$V$1001,MATCH(ROWS($U$2:U56),$U$2:$U$1001,0),1)&gt;=100000,INDEX($AB$1005:$AQ$1005,1,MATCH(COLUMNS($AB$1006:AQ1006),$AB$1006:$AQ$1006,0))&gt;=100000), " ",IF(INDEX($AB$2:$AQ$1001,MATCH(ROWS($U$2:U56),$U$2:$U$1001,0),MATCH(COLUMNS($AB$1006:AQ1006),$AB$1006:$AQ$1006,0)), HYPERLINK("#",""), HYPERLINK(CONCATENATE("#Metadata!", ADDRESS(INDEX($W$2:$W$1001,MATCH(ROWS($U$2:U56),$U$2:$U$1001,0),0), INDEX($AB$1004:$AQ$1004,1,MATCH(COLUMNS($AB$1006:AQ1006),$AB$1006:$AQ$1006,0)))),"Fix")))</f>
        <v>0</v>
      </c>
      <c r="U56">
        <v>0</v>
      </c>
      <c r="V56">
        <v>0</v>
      </c>
      <c r="W56">
        <v>0</v>
      </c>
      <c r="X56">
        <f>IF(Y56,TRUE,AND(AB56:AQ56))</f>
        <v>0</v>
      </c>
      <c r="Y56">
        <f>COUNTBLANK(Metadata!B56:Q56)=COLUMNS(Metadata!B56:Q56)</f>
        <v>0</v>
      </c>
      <c r="Z56">
        <v>0</v>
      </c>
      <c r="AB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AC56">
        <f>AND(IF(Metadata!C56="",FALSE,TRUE),exact(Metadata!C56,"urban biome"))</f>
        <v>0</v>
      </c>
      <c r="AD56">
        <f>AND(IF(Metadata!D56="",FALSE,TRUE),exact(Metadata!D56,"human-associated habitat"))</f>
        <v>0</v>
      </c>
      <c r="AE56">
        <f>AND(IF(Metadata!E56="",FALSE,TRUE),OR(exact(Metadata!E56,"human-associated"),exact(Metadata!E56,"human-skin"),exact(Metadata!E56,"human-oral"),exact(Metadata!E56,"human-gut"),exact(Metadata!E56,"human-vaginal")))</f>
        <v>0</v>
      </c>
      <c r="AF56">
        <f>AND(IF(Metadata!F56="",FALSE,ISNUMBER(VALUE(Metadata!F56))),Metadata!F56&gt;0)</f>
        <v>0</v>
      </c>
      <c r="AG56">
        <f>AND(IF(Metadata!G56="",FALSE,TRUE),exact(Metadata!G56,"years"))</f>
        <v>0</v>
      </c>
      <c r="AH56">
        <f>OR(AND(IF(Metadata!H56="",FALSE,TRUE),OR(exact(Metadata!H56,"not applicable"),exact(Metadata!H56,"not collected"),exact(Metadata!H56,"not provided"),exact(Metadata!H56,"restricted access"))),AND(IF(Metadata!H56="",FALSE,ISNUMBER(VALUE(Metadata!H56))),Metadata!H56&gt;0))</f>
        <v>0</v>
      </c>
      <c r="AI56">
        <f>AND(IF(Metadata!I56="",FALSE,TRUE),exact(Metadata!I56,"human"))</f>
        <v>0</v>
      </c>
      <c r="AJ56">
        <f>AND(IF(Metadata!J56="",FALSE,ISNUMBER(VALUE(Metadata!J56))),Metadata!J56&gt;0)</f>
        <v>0</v>
      </c>
      <c r="AK56">
        <f>AND(IF(Metadata!K56="",FALSE,TRUE),exact(Metadata!K56,"cm"))</f>
        <v>0</v>
      </c>
      <c r="AL56">
        <f>AND(IF(Metadata!L56="",FALSE,TRUE),exact(Metadata!L56,"Homo sapiens"))</f>
        <v>0</v>
      </c>
      <c r="AM56">
        <f>AND(IF(Metadata!M56="",FALSE,TRUE),exact(Metadata!M56,"9606"))</f>
        <v>0</v>
      </c>
      <c r="AN56">
        <f>AND(IF(Metadata!N56="",FALSE,ISNUMBER(VALUE(Metadata!N56))),Metadata!N56&gt;0)</f>
        <v>0</v>
      </c>
      <c r="AO56">
        <f>AND(IF(Metadata!O56="",FALSE,TRUE),exact(Metadata!O56,"kg"))</f>
        <v>0</v>
      </c>
      <c r="AP56">
        <f>OR(AND(IF(Metadata!P56="",FALSE,TRUE),exact(Metadata!P56,"not provided")),IF(Metadata!P56="",FALSE,TRUE))</f>
        <v>0</v>
      </c>
      <c r="AQ56">
        <f>OR(AND(IF(Metadata!Q56="",FALSE,TRUE),exact(Metadata!Q56,"not provided")),IF(Metadata!Q56="",FALSE,TRUE))</f>
        <v>0</v>
      </c>
    </row>
    <row r="57" spans="1:43">
      <c r="A57" s="4">
        <f>IF(B57=" "," ",HYPERLINK(CONCATENATE("#metadata!",ADDRESS(INDEX($W$2:$W$1001,MATCH(ROWS($U$2:U57),$U$2:$U$1001,0),0),2)),INDEX($Z$2:$Z$1001,MATCH(ROWS($U$2:U57),$U$2:$U$1001,0),0)))</f>
        <v>0</v>
      </c>
      <c r="B57" s="5">
        <f>IF(OR(INDEX($V$2:$V$1001,MATCH(ROWS($U$2:U57),$U$2:$U$1001,0),1)&gt;=100000,INDEX($AB$1005:$AQ$1005,1,MATCH(COLUMNS($AB$1006:AB1006),$AB$1006:$AQ$1006,0))&gt;=100000), " ",IF(INDEX($AB$2:$AQ$1001,MATCH(ROWS($U$2:U57),$U$2:$U$1001,0),MATCH(COLUMNS($AB$1006:AB1006),$AB$1006:$AQ$1006,0)), HYPERLINK("#",""), HYPERLINK(CONCATENATE("#Metadata!", ADDRESS(INDEX($W$2:$W$1001,MATCH(ROWS($U$2:U57),$U$2:$U$1001,0),0), INDEX($AB$1004:$AQ$1004,1,MATCH(COLUMNS($AB$1006:AB1006),$AB$1006:$AQ$1006,0)))),"Fix")))</f>
        <v>0</v>
      </c>
      <c r="C57" s="5">
        <f>IF(OR(INDEX($V$2:$V$1001,MATCH(ROWS($U$2:U57),$U$2:$U$1001,0),1)&gt;=100000,INDEX($AB$1005:$AQ$1005,1,MATCH(COLUMNS($AB$1006:AC1006),$AB$1006:$AQ$1006,0))&gt;=100000), " ",IF(INDEX($AB$2:$AQ$1001,MATCH(ROWS($U$2:U57),$U$2:$U$1001,0),MATCH(COLUMNS($AB$1006:AC1006),$AB$1006:$AQ$1006,0)), HYPERLINK("#",""), HYPERLINK(CONCATENATE("#Metadata!", ADDRESS(INDEX($W$2:$W$1001,MATCH(ROWS($U$2:U57),$U$2:$U$1001,0),0), INDEX($AB$1004:$AQ$1004,1,MATCH(COLUMNS($AB$1006:AC1006),$AB$1006:$AQ$1006,0)))),"Fix")))</f>
        <v>0</v>
      </c>
      <c r="D57" s="5">
        <f>IF(OR(INDEX($V$2:$V$1001,MATCH(ROWS($U$2:U57),$U$2:$U$1001,0),1)&gt;=100000,INDEX($AB$1005:$AQ$1005,1,MATCH(COLUMNS($AB$1006:AD1006),$AB$1006:$AQ$1006,0))&gt;=100000), " ",IF(INDEX($AB$2:$AQ$1001,MATCH(ROWS($U$2:U57),$U$2:$U$1001,0),MATCH(COLUMNS($AB$1006:AD1006),$AB$1006:$AQ$1006,0)), HYPERLINK("#",""), HYPERLINK(CONCATENATE("#Metadata!", ADDRESS(INDEX($W$2:$W$1001,MATCH(ROWS($U$2:U57),$U$2:$U$1001,0),0), INDEX($AB$1004:$AQ$1004,1,MATCH(COLUMNS($AB$1006:AD1006),$AB$1006:$AQ$1006,0)))),"Fix")))</f>
        <v>0</v>
      </c>
      <c r="E57" s="5">
        <f>IF(OR(INDEX($V$2:$V$1001,MATCH(ROWS($U$2:U57),$U$2:$U$1001,0),1)&gt;=100000,INDEX($AB$1005:$AQ$1005,1,MATCH(COLUMNS($AB$1006:AE1006),$AB$1006:$AQ$1006,0))&gt;=100000), " ",IF(INDEX($AB$2:$AQ$1001,MATCH(ROWS($U$2:U57),$U$2:$U$1001,0),MATCH(COLUMNS($AB$1006:AE1006),$AB$1006:$AQ$1006,0)), HYPERLINK("#",""), HYPERLINK(CONCATENATE("#Metadata!", ADDRESS(INDEX($W$2:$W$1001,MATCH(ROWS($U$2:U57),$U$2:$U$1001,0),0), INDEX($AB$1004:$AQ$1004,1,MATCH(COLUMNS($AB$1006:AE1006),$AB$1006:$AQ$1006,0)))),"Fix")))</f>
        <v>0</v>
      </c>
      <c r="F57" s="5">
        <f>IF(OR(INDEX($V$2:$V$1001,MATCH(ROWS($U$2:U57),$U$2:$U$1001,0),1)&gt;=100000,INDEX($AB$1005:$AQ$1005,1,MATCH(COLUMNS($AB$1006:AF1006),$AB$1006:$AQ$1006,0))&gt;=100000), " ",IF(INDEX($AB$2:$AQ$1001,MATCH(ROWS($U$2:U57),$U$2:$U$1001,0),MATCH(COLUMNS($AB$1006:AF1006),$AB$1006:$AQ$1006,0)), HYPERLINK("#",""), HYPERLINK(CONCATENATE("#Metadata!", ADDRESS(INDEX($W$2:$W$1001,MATCH(ROWS($U$2:U57),$U$2:$U$1001,0),0), INDEX($AB$1004:$AQ$1004,1,MATCH(COLUMNS($AB$1006:AF1006),$AB$1006:$AQ$1006,0)))),"Fix")))</f>
        <v>0</v>
      </c>
      <c r="G57" s="5">
        <f>IF(OR(INDEX($V$2:$V$1001,MATCH(ROWS($U$2:U57),$U$2:$U$1001,0),1)&gt;=100000,INDEX($AB$1005:$AQ$1005,1,MATCH(COLUMNS($AB$1006:AG1006),$AB$1006:$AQ$1006,0))&gt;=100000), " ",IF(INDEX($AB$2:$AQ$1001,MATCH(ROWS($U$2:U57),$U$2:$U$1001,0),MATCH(COLUMNS($AB$1006:AG1006),$AB$1006:$AQ$1006,0)), HYPERLINK("#",""), HYPERLINK(CONCATENATE("#Metadata!", ADDRESS(INDEX($W$2:$W$1001,MATCH(ROWS($U$2:U57),$U$2:$U$1001,0),0), INDEX($AB$1004:$AQ$1004,1,MATCH(COLUMNS($AB$1006:AG1006),$AB$1006:$AQ$1006,0)))),"Fix")))</f>
        <v>0</v>
      </c>
      <c r="H57" s="5">
        <f>IF(OR(INDEX($V$2:$V$1001,MATCH(ROWS($U$2:U57),$U$2:$U$1001,0),1)&gt;=100000,INDEX($AB$1005:$AQ$1005,1,MATCH(COLUMNS($AB$1006:AH1006),$AB$1006:$AQ$1006,0))&gt;=100000), " ",IF(INDEX($AB$2:$AQ$1001,MATCH(ROWS($U$2:U57),$U$2:$U$1001,0),MATCH(COLUMNS($AB$1006:AH1006),$AB$1006:$AQ$1006,0)), HYPERLINK("#",""), HYPERLINK(CONCATENATE("#Metadata!", ADDRESS(INDEX($W$2:$W$1001,MATCH(ROWS($U$2:U57),$U$2:$U$1001,0),0), INDEX($AB$1004:$AQ$1004,1,MATCH(COLUMNS($AB$1006:AH1006),$AB$1006:$AQ$1006,0)))),"Fix")))</f>
        <v>0</v>
      </c>
      <c r="I57" s="5">
        <f>IF(OR(INDEX($V$2:$V$1001,MATCH(ROWS($U$2:U57),$U$2:$U$1001,0),1)&gt;=100000,INDEX($AB$1005:$AQ$1005,1,MATCH(COLUMNS($AB$1006:AI1006),$AB$1006:$AQ$1006,0))&gt;=100000), " ",IF(INDEX($AB$2:$AQ$1001,MATCH(ROWS($U$2:U57),$U$2:$U$1001,0),MATCH(COLUMNS($AB$1006:AI1006),$AB$1006:$AQ$1006,0)), HYPERLINK("#",""), HYPERLINK(CONCATENATE("#Metadata!", ADDRESS(INDEX($W$2:$W$1001,MATCH(ROWS($U$2:U57),$U$2:$U$1001,0),0), INDEX($AB$1004:$AQ$1004,1,MATCH(COLUMNS($AB$1006:AI1006),$AB$1006:$AQ$1006,0)))),"Fix")))</f>
        <v>0</v>
      </c>
      <c r="J57" s="5">
        <f>IF(OR(INDEX($V$2:$V$1001,MATCH(ROWS($U$2:U57),$U$2:$U$1001,0),1)&gt;=100000,INDEX($AB$1005:$AQ$1005,1,MATCH(COLUMNS($AB$1006:AJ1006),$AB$1006:$AQ$1006,0))&gt;=100000), " ",IF(INDEX($AB$2:$AQ$1001,MATCH(ROWS($U$2:U57),$U$2:$U$1001,0),MATCH(COLUMNS($AB$1006:AJ1006),$AB$1006:$AQ$1006,0)), HYPERLINK("#",""), HYPERLINK(CONCATENATE("#Metadata!", ADDRESS(INDEX($W$2:$W$1001,MATCH(ROWS($U$2:U57),$U$2:$U$1001,0),0), INDEX($AB$1004:$AQ$1004,1,MATCH(COLUMNS($AB$1006:AJ1006),$AB$1006:$AQ$1006,0)))),"Fix")))</f>
        <v>0</v>
      </c>
      <c r="K57" s="5">
        <f>IF(OR(INDEX($V$2:$V$1001,MATCH(ROWS($U$2:U57),$U$2:$U$1001,0),1)&gt;=100000,INDEX($AB$1005:$AQ$1005,1,MATCH(COLUMNS($AB$1006:AK1006),$AB$1006:$AQ$1006,0))&gt;=100000), " ",IF(INDEX($AB$2:$AQ$1001,MATCH(ROWS($U$2:U57),$U$2:$U$1001,0),MATCH(COLUMNS($AB$1006:AK1006),$AB$1006:$AQ$1006,0)), HYPERLINK("#",""), HYPERLINK(CONCATENATE("#Metadata!", ADDRESS(INDEX($W$2:$W$1001,MATCH(ROWS($U$2:U57),$U$2:$U$1001,0),0), INDEX($AB$1004:$AQ$1004,1,MATCH(COLUMNS($AB$1006:AK1006),$AB$1006:$AQ$1006,0)))),"Fix")))</f>
        <v>0</v>
      </c>
      <c r="L57" s="5">
        <f>IF(OR(INDEX($V$2:$V$1001,MATCH(ROWS($U$2:U57),$U$2:$U$1001,0),1)&gt;=100000,INDEX($AB$1005:$AQ$1005,1,MATCH(COLUMNS($AB$1006:AL1006),$AB$1006:$AQ$1006,0))&gt;=100000), " ",IF(INDEX($AB$2:$AQ$1001,MATCH(ROWS($U$2:U57),$U$2:$U$1001,0),MATCH(COLUMNS($AB$1006:AL1006),$AB$1006:$AQ$1006,0)), HYPERLINK("#",""), HYPERLINK(CONCATENATE("#Metadata!", ADDRESS(INDEX($W$2:$W$1001,MATCH(ROWS($U$2:U57),$U$2:$U$1001,0),0), INDEX($AB$1004:$AQ$1004,1,MATCH(COLUMNS($AB$1006:AL1006),$AB$1006:$AQ$1006,0)))),"Fix")))</f>
        <v>0</v>
      </c>
      <c r="M57" s="5">
        <f>IF(OR(INDEX($V$2:$V$1001,MATCH(ROWS($U$2:U57),$U$2:$U$1001,0),1)&gt;=100000,INDEX($AB$1005:$AQ$1005,1,MATCH(COLUMNS($AB$1006:AM1006),$AB$1006:$AQ$1006,0))&gt;=100000), " ",IF(INDEX($AB$2:$AQ$1001,MATCH(ROWS($U$2:U57),$U$2:$U$1001,0),MATCH(COLUMNS($AB$1006:AM1006),$AB$1006:$AQ$1006,0)), HYPERLINK("#",""), HYPERLINK(CONCATENATE("#Metadata!", ADDRESS(INDEX($W$2:$W$1001,MATCH(ROWS($U$2:U57),$U$2:$U$1001,0),0), INDEX($AB$1004:$AQ$1004,1,MATCH(COLUMNS($AB$1006:AM1006),$AB$1006:$AQ$1006,0)))),"Fix")))</f>
        <v>0</v>
      </c>
      <c r="N57" s="5">
        <f>IF(OR(INDEX($V$2:$V$1001,MATCH(ROWS($U$2:U57),$U$2:$U$1001,0),1)&gt;=100000,INDEX($AB$1005:$AQ$1005,1,MATCH(COLUMNS($AB$1006:AN1006),$AB$1006:$AQ$1006,0))&gt;=100000), " ",IF(INDEX($AB$2:$AQ$1001,MATCH(ROWS($U$2:U57),$U$2:$U$1001,0),MATCH(COLUMNS($AB$1006:AN1006),$AB$1006:$AQ$1006,0)), HYPERLINK("#",""), HYPERLINK(CONCATENATE("#Metadata!", ADDRESS(INDEX($W$2:$W$1001,MATCH(ROWS($U$2:U57),$U$2:$U$1001,0),0), INDEX($AB$1004:$AQ$1004,1,MATCH(COLUMNS($AB$1006:AN1006),$AB$1006:$AQ$1006,0)))),"Fix")))</f>
        <v>0</v>
      </c>
      <c r="O57" s="5">
        <f>IF(OR(INDEX($V$2:$V$1001,MATCH(ROWS($U$2:U57),$U$2:$U$1001,0),1)&gt;=100000,INDEX($AB$1005:$AQ$1005,1,MATCH(COLUMNS($AB$1006:AO1006),$AB$1006:$AQ$1006,0))&gt;=100000), " ",IF(INDEX($AB$2:$AQ$1001,MATCH(ROWS($U$2:U57),$U$2:$U$1001,0),MATCH(COLUMNS($AB$1006:AO1006),$AB$1006:$AQ$1006,0)), HYPERLINK("#",""), HYPERLINK(CONCATENATE("#Metadata!", ADDRESS(INDEX($W$2:$W$1001,MATCH(ROWS($U$2:U57),$U$2:$U$1001,0),0), INDEX($AB$1004:$AQ$1004,1,MATCH(COLUMNS($AB$1006:AO1006),$AB$1006:$AQ$1006,0)))),"Fix")))</f>
        <v>0</v>
      </c>
      <c r="P57" s="5">
        <f>IF(OR(INDEX($V$2:$V$1001,MATCH(ROWS($U$2:U57),$U$2:$U$1001,0),1)&gt;=100000,INDEX($AB$1005:$AQ$1005,1,MATCH(COLUMNS($AB$1006:AP1006),$AB$1006:$AQ$1006,0))&gt;=100000), " ",IF(INDEX($AB$2:$AQ$1001,MATCH(ROWS($U$2:U57),$U$2:$U$1001,0),MATCH(COLUMNS($AB$1006:AP1006),$AB$1006:$AQ$1006,0)), HYPERLINK("#",""), HYPERLINK(CONCATENATE("#Metadata!", ADDRESS(INDEX($W$2:$W$1001,MATCH(ROWS($U$2:U57),$U$2:$U$1001,0),0), INDEX($AB$1004:$AQ$1004,1,MATCH(COLUMNS($AB$1006:AP1006),$AB$1006:$AQ$1006,0)))),"Fix")))</f>
        <v>0</v>
      </c>
      <c r="Q57" s="5">
        <f>IF(OR(INDEX($V$2:$V$1001,MATCH(ROWS($U$2:U57),$U$2:$U$1001,0),1)&gt;=100000,INDEX($AB$1005:$AQ$1005,1,MATCH(COLUMNS($AB$1006:AQ1006),$AB$1006:$AQ$1006,0))&gt;=100000), " ",IF(INDEX($AB$2:$AQ$1001,MATCH(ROWS($U$2:U57),$U$2:$U$1001,0),MATCH(COLUMNS($AB$1006:AQ1006),$AB$1006:$AQ$1006,0)), HYPERLINK("#",""), HYPERLINK(CONCATENATE("#Metadata!", ADDRESS(INDEX($W$2:$W$1001,MATCH(ROWS($U$2:U57),$U$2:$U$1001,0),0), INDEX($AB$1004:$AQ$1004,1,MATCH(COLUMNS($AB$1006:AQ1006),$AB$1006:$AQ$1006,0)))),"Fix")))</f>
        <v>0</v>
      </c>
      <c r="U57">
        <v>0</v>
      </c>
      <c r="V57">
        <v>0</v>
      </c>
      <c r="W57">
        <v>0</v>
      </c>
      <c r="X57">
        <f>IF(Y57,TRUE,AND(AB57:AQ57))</f>
        <v>0</v>
      </c>
      <c r="Y57">
        <f>COUNTBLANK(Metadata!B57:Q57)=COLUMNS(Metadata!B57:Q57)</f>
        <v>0</v>
      </c>
      <c r="Z57">
        <v>0</v>
      </c>
      <c r="AB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AC57">
        <f>AND(IF(Metadata!C57="",FALSE,TRUE),exact(Metadata!C57,"urban biome"))</f>
        <v>0</v>
      </c>
      <c r="AD57">
        <f>AND(IF(Metadata!D57="",FALSE,TRUE),exact(Metadata!D57,"human-associated habitat"))</f>
        <v>0</v>
      </c>
      <c r="AE57">
        <f>AND(IF(Metadata!E57="",FALSE,TRUE),OR(exact(Metadata!E57,"human-associated"),exact(Metadata!E57,"human-skin"),exact(Metadata!E57,"human-oral"),exact(Metadata!E57,"human-gut"),exact(Metadata!E57,"human-vaginal")))</f>
        <v>0</v>
      </c>
      <c r="AF57">
        <f>AND(IF(Metadata!F57="",FALSE,ISNUMBER(VALUE(Metadata!F57))),Metadata!F57&gt;0)</f>
        <v>0</v>
      </c>
      <c r="AG57">
        <f>AND(IF(Metadata!G57="",FALSE,TRUE),exact(Metadata!G57,"years"))</f>
        <v>0</v>
      </c>
      <c r="AH57">
        <f>OR(AND(IF(Metadata!H57="",FALSE,TRUE),OR(exact(Metadata!H57,"not applicable"),exact(Metadata!H57,"not collected"),exact(Metadata!H57,"not provided"),exact(Metadata!H57,"restricted access"))),AND(IF(Metadata!H57="",FALSE,ISNUMBER(VALUE(Metadata!H57))),Metadata!H57&gt;0))</f>
        <v>0</v>
      </c>
      <c r="AI57">
        <f>AND(IF(Metadata!I57="",FALSE,TRUE),exact(Metadata!I57,"human"))</f>
        <v>0</v>
      </c>
      <c r="AJ57">
        <f>AND(IF(Metadata!J57="",FALSE,ISNUMBER(VALUE(Metadata!J57))),Metadata!J57&gt;0)</f>
        <v>0</v>
      </c>
      <c r="AK57">
        <f>AND(IF(Metadata!K57="",FALSE,TRUE),exact(Metadata!K57,"cm"))</f>
        <v>0</v>
      </c>
      <c r="AL57">
        <f>AND(IF(Metadata!L57="",FALSE,TRUE),exact(Metadata!L57,"Homo sapiens"))</f>
        <v>0</v>
      </c>
      <c r="AM57">
        <f>AND(IF(Metadata!M57="",FALSE,TRUE),exact(Metadata!M57,"9606"))</f>
        <v>0</v>
      </c>
      <c r="AN57">
        <f>AND(IF(Metadata!N57="",FALSE,ISNUMBER(VALUE(Metadata!N57))),Metadata!N57&gt;0)</f>
        <v>0</v>
      </c>
      <c r="AO57">
        <f>AND(IF(Metadata!O57="",FALSE,TRUE),exact(Metadata!O57,"kg"))</f>
        <v>0</v>
      </c>
      <c r="AP57">
        <f>OR(AND(IF(Metadata!P57="",FALSE,TRUE),exact(Metadata!P57,"not provided")),IF(Metadata!P57="",FALSE,TRUE))</f>
        <v>0</v>
      </c>
      <c r="AQ57">
        <f>OR(AND(IF(Metadata!Q57="",FALSE,TRUE),exact(Metadata!Q57,"not provided")),IF(Metadata!Q57="",FALSE,TRUE))</f>
        <v>0</v>
      </c>
    </row>
    <row r="58" spans="1:43">
      <c r="A58" s="4">
        <f>IF(B58=" "," ",HYPERLINK(CONCATENATE("#metadata!",ADDRESS(INDEX($W$2:$W$1001,MATCH(ROWS($U$2:U58),$U$2:$U$1001,0),0),2)),INDEX($Z$2:$Z$1001,MATCH(ROWS($U$2:U58),$U$2:$U$1001,0),0)))</f>
        <v>0</v>
      </c>
      <c r="B58" s="5">
        <f>IF(OR(INDEX($V$2:$V$1001,MATCH(ROWS($U$2:U58),$U$2:$U$1001,0),1)&gt;=100000,INDEX($AB$1005:$AQ$1005,1,MATCH(COLUMNS($AB$1006:AB1006),$AB$1006:$AQ$1006,0))&gt;=100000), " ",IF(INDEX($AB$2:$AQ$1001,MATCH(ROWS($U$2:U58),$U$2:$U$1001,0),MATCH(COLUMNS($AB$1006:AB1006),$AB$1006:$AQ$1006,0)), HYPERLINK("#",""), HYPERLINK(CONCATENATE("#Metadata!", ADDRESS(INDEX($W$2:$W$1001,MATCH(ROWS($U$2:U58),$U$2:$U$1001,0),0), INDEX($AB$1004:$AQ$1004,1,MATCH(COLUMNS($AB$1006:AB1006),$AB$1006:$AQ$1006,0)))),"Fix")))</f>
        <v>0</v>
      </c>
      <c r="C58" s="5">
        <f>IF(OR(INDEX($V$2:$V$1001,MATCH(ROWS($U$2:U58),$U$2:$U$1001,0),1)&gt;=100000,INDEX($AB$1005:$AQ$1005,1,MATCH(COLUMNS($AB$1006:AC1006),$AB$1006:$AQ$1006,0))&gt;=100000), " ",IF(INDEX($AB$2:$AQ$1001,MATCH(ROWS($U$2:U58),$U$2:$U$1001,0),MATCH(COLUMNS($AB$1006:AC1006),$AB$1006:$AQ$1006,0)), HYPERLINK("#",""), HYPERLINK(CONCATENATE("#Metadata!", ADDRESS(INDEX($W$2:$W$1001,MATCH(ROWS($U$2:U58),$U$2:$U$1001,0),0), INDEX($AB$1004:$AQ$1004,1,MATCH(COLUMNS($AB$1006:AC1006),$AB$1006:$AQ$1006,0)))),"Fix")))</f>
        <v>0</v>
      </c>
      <c r="D58" s="5">
        <f>IF(OR(INDEX($V$2:$V$1001,MATCH(ROWS($U$2:U58),$U$2:$U$1001,0),1)&gt;=100000,INDEX($AB$1005:$AQ$1005,1,MATCH(COLUMNS($AB$1006:AD1006),$AB$1006:$AQ$1006,0))&gt;=100000), " ",IF(INDEX($AB$2:$AQ$1001,MATCH(ROWS($U$2:U58),$U$2:$U$1001,0),MATCH(COLUMNS($AB$1006:AD1006),$AB$1006:$AQ$1006,0)), HYPERLINK("#",""), HYPERLINK(CONCATENATE("#Metadata!", ADDRESS(INDEX($W$2:$W$1001,MATCH(ROWS($U$2:U58),$U$2:$U$1001,0),0), INDEX($AB$1004:$AQ$1004,1,MATCH(COLUMNS($AB$1006:AD1006),$AB$1006:$AQ$1006,0)))),"Fix")))</f>
        <v>0</v>
      </c>
      <c r="E58" s="5">
        <f>IF(OR(INDEX($V$2:$V$1001,MATCH(ROWS($U$2:U58),$U$2:$U$1001,0),1)&gt;=100000,INDEX($AB$1005:$AQ$1005,1,MATCH(COLUMNS($AB$1006:AE1006),$AB$1006:$AQ$1006,0))&gt;=100000), " ",IF(INDEX($AB$2:$AQ$1001,MATCH(ROWS($U$2:U58),$U$2:$U$1001,0),MATCH(COLUMNS($AB$1006:AE1006),$AB$1006:$AQ$1006,0)), HYPERLINK("#",""), HYPERLINK(CONCATENATE("#Metadata!", ADDRESS(INDEX($W$2:$W$1001,MATCH(ROWS($U$2:U58),$U$2:$U$1001,0),0), INDEX($AB$1004:$AQ$1004,1,MATCH(COLUMNS($AB$1006:AE1006),$AB$1006:$AQ$1006,0)))),"Fix")))</f>
        <v>0</v>
      </c>
      <c r="F58" s="5">
        <f>IF(OR(INDEX($V$2:$V$1001,MATCH(ROWS($U$2:U58),$U$2:$U$1001,0),1)&gt;=100000,INDEX($AB$1005:$AQ$1005,1,MATCH(COLUMNS($AB$1006:AF1006),$AB$1006:$AQ$1006,0))&gt;=100000), " ",IF(INDEX($AB$2:$AQ$1001,MATCH(ROWS($U$2:U58),$U$2:$U$1001,0),MATCH(COLUMNS($AB$1006:AF1006),$AB$1006:$AQ$1006,0)), HYPERLINK("#",""), HYPERLINK(CONCATENATE("#Metadata!", ADDRESS(INDEX($W$2:$W$1001,MATCH(ROWS($U$2:U58),$U$2:$U$1001,0),0), INDEX($AB$1004:$AQ$1004,1,MATCH(COLUMNS($AB$1006:AF1006),$AB$1006:$AQ$1006,0)))),"Fix")))</f>
        <v>0</v>
      </c>
      <c r="G58" s="5">
        <f>IF(OR(INDEX($V$2:$V$1001,MATCH(ROWS($U$2:U58),$U$2:$U$1001,0),1)&gt;=100000,INDEX($AB$1005:$AQ$1005,1,MATCH(COLUMNS($AB$1006:AG1006),$AB$1006:$AQ$1006,0))&gt;=100000), " ",IF(INDEX($AB$2:$AQ$1001,MATCH(ROWS($U$2:U58),$U$2:$U$1001,0),MATCH(COLUMNS($AB$1006:AG1006),$AB$1006:$AQ$1006,0)), HYPERLINK("#",""), HYPERLINK(CONCATENATE("#Metadata!", ADDRESS(INDEX($W$2:$W$1001,MATCH(ROWS($U$2:U58),$U$2:$U$1001,0),0), INDEX($AB$1004:$AQ$1004,1,MATCH(COLUMNS($AB$1006:AG1006),$AB$1006:$AQ$1006,0)))),"Fix")))</f>
        <v>0</v>
      </c>
      <c r="H58" s="5">
        <f>IF(OR(INDEX($V$2:$V$1001,MATCH(ROWS($U$2:U58),$U$2:$U$1001,0),1)&gt;=100000,INDEX($AB$1005:$AQ$1005,1,MATCH(COLUMNS($AB$1006:AH1006),$AB$1006:$AQ$1006,0))&gt;=100000), " ",IF(INDEX($AB$2:$AQ$1001,MATCH(ROWS($U$2:U58),$U$2:$U$1001,0),MATCH(COLUMNS($AB$1006:AH1006),$AB$1006:$AQ$1006,0)), HYPERLINK("#",""), HYPERLINK(CONCATENATE("#Metadata!", ADDRESS(INDEX($W$2:$W$1001,MATCH(ROWS($U$2:U58),$U$2:$U$1001,0),0), INDEX($AB$1004:$AQ$1004,1,MATCH(COLUMNS($AB$1006:AH1006),$AB$1006:$AQ$1006,0)))),"Fix")))</f>
        <v>0</v>
      </c>
      <c r="I58" s="5">
        <f>IF(OR(INDEX($V$2:$V$1001,MATCH(ROWS($U$2:U58),$U$2:$U$1001,0),1)&gt;=100000,INDEX($AB$1005:$AQ$1005,1,MATCH(COLUMNS($AB$1006:AI1006),$AB$1006:$AQ$1006,0))&gt;=100000), " ",IF(INDEX($AB$2:$AQ$1001,MATCH(ROWS($U$2:U58),$U$2:$U$1001,0),MATCH(COLUMNS($AB$1006:AI1006),$AB$1006:$AQ$1006,0)), HYPERLINK("#",""), HYPERLINK(CONCATENATE("#Metadata!", ADDRESS(INDEX($W$2:$W$1001,MATCH(ROWS($U$2:U58),$U$2:$U$1001,0),0), INDEX($AB$1004:$AQ$1004,1,MATCH(COLUMNS($AB$1006:AI1006),$AB$1006:$AQ$1006,0)))),"Fix")))</f>
        <v>0</v>
      </c>
      <c r="J58" s="5">
        <f>IF(OR(INDEX($V$2:$V$1001,MATCH(ROWS($U$2:U58),$U$2:$U$1001,0),1)&gt;=100000,INDEX($AB$1005:$AQ$1005,1,MATCH(COLUMNS($AB$1006:AJ1006),$AB$1006:$AQ$1006,0))&gt;=100000), " ",IF(INDEX($AB$2:$AQ$1001,MATCH(ROWS($U$2:U58),$U$2:$U$1001,0),MATCH(COLUMNS($AB$1006:AJ1006),$AB$1006:$AQ$1006,0)), HYPERLINK("#",""), HYPERLINK(CONCATENATE("#Metadata!", ADDRESS(INDEX($W$2:$W$1001,MATCH(ROWS($U$2:U58),$U$2:$U$1001,0),0), INDEX($AB$1004:$AQ$1004,1,MATCH(COLUMNS($AB$1006:AJ1006),$AB$1006:$AQ$1006,0)))),"Fix")))</f>
        <v>0</v>
      </c>
      <c r="K58" s="5">
        <f>IF(OR(INDEX($V$2:$V$1001,MATCH(ROWS($U$2:U58),$U$2:$U$1001,0),1)&gt;=100000,INDEX($AB$1005:$AQ$1005,1,MATCH(COLUMNS($AB$1006:AK1006),$AB$1006:$AQ$1006,0))&gt;=100000), " ",IF(INDEX($AB$2:$AQ$1001,MATCH(ROWS($U$2:U58),$U$2:$U$1001,0),MATCH(COLUMNS($AB$1006:AK1006),$AB$1006:$AQ$1006,0)), HYPERLINK("#",""), HYPERLINK(CONCATENATE("#Metadata!", ADDRESS(INDEX($W$2:$W$1001,MATCH(ROWS($U$2:U58),$U$2:$U$1001,0),0), INDEX($AB$1004:$AQ$1004,1,MATCH(COLUMNS($AB$1006:AK1006),$AB$1006:$AQ$1006,0)))),"Fix")))</f>
        <v>0</v>
      </c>
      <c r="L58" s="5">
        <f>IF(OR(INDEX($V$2:$V$1001,MATCH(ROWS($U$2:U58),$U$2:$U$1001,0),1)&gt;=100000,INDEX($AB$1005:$AQ$1005,1,MATCH(COLUMNS($AB$1006:AL1006),$AB$1006:$AQ$1006,0))&gt;=100000), " ",IF(INDEX($AB$2:$AQ$1001,MATCH(ROWS($U$2:U58),$U$2:$U$1001,0),MATCH(COLUMNS($AB$1006:AL1006),$AB$1006:$AQ$1006,0)), HYPERLINK("#",""), HYPERLINK(CONCATENATE("#Metadata!", ADDRESS(INDEX($W$2:$W$1001,MATCH(ROWS($U$2:U58),$U$2:$U$1001,0),0), INDEX($AB$1004:$AQ$1004,1,MATCH(COLUMNS($AB$1006:AL1006),$AB$1006:$AQ$1006,0)))),"Fix")))</f>
        <v>0</v>
      </c>
      <c r="M58" s="5">
        <f>IF(OR(INDEX($V$2:$V$1001,MATCH(ROWS($U$2:U58),$U$2:$U$1001,0),1)&gt;=100000,INDEX($AB$1005:$AQ$1005,1,MATCH(COLUMNS($AB$1006:AM1006),$AB$1006:$AQ$1006,0))&gt;=100000), " ",IF(INDEX($AB$2:$AQ$1001,MATCH(ROWS($U$2:U58),$U$2:$U$1001,0),MATCH(COLUMNS($AB$1006:AM1006),$AB$1006:$AQ$1006,0)), HYPERLINK("#",""), HYPERLINK(CONCATENATE("#Metadata!", ADDRESS(INDEX($W$2:$W$1001,MATCH(ROWS($U$2:U58),$U$2:$U$1001,0),0), INDEX($AB$1004:$AQ$1004,1,MATCH(COLUMNS($AB$1006:AM1006),$AB$1006:$AQ$1006,0)))),"Fix")))</f>
        <v>0</v>
      </c>
      <c r="N58" s="5">
        <f>IF(OR(INDEX($V$2:$V$1001,MATCH(ROWS($U$2:U58),$U$2:$U$1001,0),1)&gt;=100000,INDEX($AB$1005:$AQ$1005,1,MATCH(COLUMNS($AB$1006:AN1006),$AB$1006:$AQ$1006,0))&gt;=100000), " ",IF(INDEX($AB$2:$AQ$1001,MATCH(ROWS($U$2:U58),$U$2:$U$1001,0),MATCH(COLUMNS($AB$1006:AN1006),$AB$1006:$AQ$1006,0)), HYPERLINK("#",""), HYPERLINK(CONCATENATE("#Metadata!", ADDRESS(INDEX($W$2:$W$1001,MATCH(ROWS($U$2:U58),$U$2:$U$1001,0),0), INDEX($AB$1004:$AQ$1004,1,MATCH(COLUMNS($AB$1006:AN1006),$AB$1006:$AQ$1006,0)))),"Fix")))</f>
        <v>0</v>
      </c>
      <c r="O58" s="5">
        <f>IF(OR(INDEX($V$2:$V$1001,MATCH(ROWS($U$2:U58),$U$2:$U$1001,0),1)&gt;=100000,INDEX($AB$1005:$AQ$1005,1,MATCH(COLUMNS($AB$1006:AO1006),$AB$1006:$AQ$1006,0))&gt;=100000), " ",IF(INDEX($AB$2:$AQ$1001,MATCH(ROWS($U$2:U58),$U$2:$U$1001,0),MATCH(COLUMNS($AB$1006:AO1006),$AB$1006:$AQ$1006,0)), HYPERLINK("#",""), HYPERLINK(CONCATENATE("#Metadata!", ADDRESS(INDEX($W$2:$W$1001,MATCH(ROWS($U$2:U58),$U$2:$U$1001,0),0), INDEX($AB$1004:$AQ$1004,1,MATCH(COLUMNS($AB$1006:AO1006),$AB$1006:$AQ$1006,0)))),"Fix")))</f>
        <v>0</v>
      </c>
      <c r="P58" s="5">
        <f>IF(OR(INDEX($V$2:$V$1001,MATCH(ROWS($U$2:U58),$U$2:$U$1001,0),1)&gt;=100000,INDEX($AB$1005:$AQ$1005,1,MATCH(COLUMNS($AB$1006:AP1006),$AB$1006:$AQ$1006,0))&gt;=100000), " ",IF(INDEX($AB$2:$AQ$1001,MATCH(ROWS($U$2:U58),$U$2:$U$1001,0),MATCH(COLUMNS($AB$1006:AP1006),$AB$1006:$AQ$1006,0)), HYPERLINK("#",""), HYPERLINK(CONCATENATE("#Metadata!", ADDRESS(INDEX($W$2:$W$1001,MATCH(ROWS($U$2:U58),$U$2:$U$1001,0),0), INDEX($AB$1004:$AQ$1004,1,MATCH(COLUMNS($AB$1006:AP1006),$AB$1006:$AQ$1006,0)))),"Fix")))</f>
        <v>0</v>
      </c>
      <c r="Q58" s="5">
        <f>IF(OR(INDEX($V$2:$V$1001,MATCH(ROWS($U$2:U58),$U$2:$U$1001,0),1)&gt;=100000,INDEX($AB$1005:$AQ$1005,1,MATCH(COLUMNS($AB$1006:AQ1006),$AB$1006:$AQ$1006,0))&gt;=100000), " ",IF(INDEX($AB$2:$AQ$1001,MATCH(ROWS($U$2:U58),$U$2:$U$1001,0),MATCH(COLUMNS($AB$1006:AQ1006),$AB$1006:$AQ$1006,0)), HYPERLINK("#",""), HYPERLINK(CONCATENATE("#Metadata!", ADDRESS(INDEX($W$2:$W$1001,MATCH(ROWS($U$2:U58),$U$2:$U$1001,0),0), INDEX($AB$1004:$AQ$1004,1,MATCH(COLUMNS($AB$1006:AQ1006),$AB$1006:$AQ$1006,0)))),"Fix")))</f>
        <v>0</v>
      </c>
      <c r="U58">
        <v>0</v>
      </c>
      <c r="V58">
        <v>0</v>
      </c>
      <c r="W58">
        <v>0</v>
      </c>
      <c r="X58">
        <f>IF(Y58,TRUE,AND(AB58:AQ58))</f>
        <v>0</v>
      </c>
      <c r="Y58">
        <f>COUNTBLANK(Metadata!B58:Q58)=COLUMNS(Metadata!B58:Q58)</f>
        <v>0</v>
      </c>
      <c r="Z58">
        <v>0</v>
      </c>
      <c r="AB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AC58">
        <f>AND(IF(Metadata!C58="",FALSE,TRUE),exact(Metadata!C58,"urban biome"))</f>
        <v>0</v>
      </c>
      <c r="AD58">
        <f>AND(IF(Metadata!D58="",FALSE,TRUE),exact(Metadata!D58,"human-associated habitat"))</f>
        <v>0</v>
      </c>
      <c r="AE58">
        <f>AND(IF(Metadata!E58="",FALSE,TRUE),OR(exact(Metadata!E58,"human-associated"),exact(Metadata!E58,"human-skin"),exact(Metadata!E58,"human-oral"),exact(Metadata!E58,"human-gut"),exact(Metadata!E58,"human-vaginal")))</f>
        <v>0</v>
      </c>
      <c r="AF58">
        <f>AND(IF(Metadata!F58="",FALSE,ISNUMBER(VALUE(Metadata!F58))),Metadata!F58&gt;0)</f>
        <v>0</v>
      </c>
      <c r="AG58">
        <f>AND(IF(Metadata!G58="",FALSE,TRUE),exact(Metadata!G58,"years"))</f>
        <v>0</v>
      </c>
      <c r="AH58">
        <f>OR(AND(IF(Metadata!H58="",FALSE,TRUE),OR(exact(Metadata!H58,"not applicable"),exact(Metadata!H58,"not collected"),exact(Metadata!H58,"not provided"),exact(Metadata!H58,"restricted access"))),AND(IF(Metadata!H58="",FALSE,ISNUMBER(VALUE(Metadata!H58))),Metadata!H58&gt;0))</f>
        <v>0</v>
      </c>
      <c r="AI58">
        <f>AND(IF(Metadata!I58="",FALSE,TRUE),exact(Metadata!I58,"human"))</f>
        <v>0</v>
      </c>
      <c r="AJ58">
        <f>AND(IF(Metadata!J58="",FALSE,ISNUMBER(VALUE(Metadata!J58))),Metadata!J58&gt;0)</f>
        <v>0</v>
      </c>
      <c r="AK58">
        <f>AND(IF(Metadata!K58="",FALSE,TRUE),exact(Metadata!K58,"cm"))</f>
        <v>0</v>
      </c>
      <c r="AL58">
        <f>AND(IF(Metadata!L58="",FALSE,TRUE),exact(Metadata!L58,"Homo sapiens"))</f>
        <v>0</v>
      </c>
      <c r="AM58">
        <f>AND(IF(Metadata!M58="",FALSE,TRUE),exact(Metadata!M58,"9606"))</f>
        <v>0</v>
      </c>
      <c r="AN58">
        <f>AND(IF(Metadata!N58="",FALSE,ISNUMBER(VALUE(Metadata!N58))),Metadata!N58&gt;0)</f>
        <v>0</v>
      </c>
      <c r="AO58">
        <f>AND(IF(Metadata!O58="",FALSE,TRUE),exact(Metadata!O58,"kg"))</f>
        <v>0</v>
      </c>
      <c r="AP58">
        <f>OR(AND(IF(Metadata!P58="",FALSE,TRUE),exact(Metadata!P58,"not provided")),IF(Metadata!P58="",FALSE,TRUE))</f>
        <v>0</v>
      </c>
      <c r="AQ58">
        <f>OR(AND(IF(Metadata!Q58="",FALSE,TRUE),exact(Metadata!Q58,"not provided")),IF(Metadata!Q58="",FALSE,TRUE))</f>
        <v>0</v>
      </c>
    </row>
    <row r="59" spans="1:43">
      <c r="A59" s="4">
        <f>IF(B59=" "," ",HYPERLINK(CONCATENATE("#metadata!",ADDRESS(INDEX($W$2:$W$1001,MATCH(ROWS($U$2:U59),$U$2:$U$1001,0),0),2)),INDEX($Z$2:$Z$1001,MATCH(ROWS($U$2:U59),$U$2:$U$1001,0),0)))</f>
        <v>0</v>
      </c>
      <c r="B59" s="5">
        <f>IF(OR(INDEX($V$2:$V$1001,MATCH(ROWS($U$2:U59),$U$2:$U$1001,0),1)&gt;=100000,INDEX($AB$1005:$AQ$1005,1,MATCH(COLUMNS($AB$1006:AB1006),$AB$1006:$AQ$1006,0))&gt;=100000), " ",IF(INDEX($AB$2:$AQ$1001,MATCH(ROWS($U$2:U59),$U$2:$U$1001,0),MATCH(COLUMNS($AB$1006:AB1006),$AB$1006:$AQ$1006,0)), HYPERLINK("#",""), HYPERLINK(CONCATENATE("#Metadata!", ADDRESS(INDEX($W$2:$W$1001,MATCH(ROWS($U$2:U59),$U$2:$U$1001,0),0), INDEX($AB$1004:$AQ$1004,1,MATCH(COLUMNS($AB$1006:AB1006),$AB$1006:$AQ$1006,0)))),"Fix")))</f>
        <v>0</v>
      </c>
      <c r="C59" s="5">
        <f>IF(OR(INDEX($V$2:$V$1001,MATCH(ROWS($U$2:U59),$U$2:$U$1001,0),1)&gt;=100000,INDEX($AB$1005:$AQ$1005,1,MATCH(COLUMNS($AB$1006:AC1006),$AB$1006:$AQ$1006,0))&gt;=100000), " ",IF(INDEX($AB$2:$AQ$1001,MATCH(ROWS($U$2:U59),$U$2:$U$1001,0),MATCH(COLUMNS($AB$1006:AC1006),$AB$1006:$AQ$1006,0)), HYPERLINK("#",""), HYPERLINK(CONCATENATE("#Metadata!", ADDRESS(INDEX($W$2:$W$1001,MATCH(ROWS($U$2:U59),$U$2:$U$1001,0),0), INDEX($AB$1004:$AQ$1004,1,MATCH(COLUMNS($AB$1006:AC1006),$AB$1006:$AQ$1006,0)))),"Fix")))</f>
        <v>0</v>
      </c>
      <c r="D59" s="5">
        <f>IF(OR(INDEX($V$2:$V$1001,MATCH(ROWS($U$2:U59),$U$2:$U$1001,0),1)&gt;=100000,INDEX($AB$1005:$AQ$1005,1,MATCH(COLUMNS($AB$1006:AD1006),$AB$1006:$AQ$1006,0))&gt;=100000), " ",IF(INDEX($AB$2:$AQ$1001,MATCH(ROWS($U$2:U59),$U$2:$U$1001,0),MATCH(COLUMNS($AB$1006:AD1006),$AB$1006:$AQ$1006,0)), HYPERLINK("#",""), HYPERLINK(CONCATENATE("#Metadata!", ADDRESS(INDEX($W$2:$W$1001,MATCH(ROWS($U$2:U59),$U$2:$U$1001,0),0), INDEX($AB$1004:$AQ$1004,1,MATCH(COLUMNS($AB$1006:AD1006),$AB$1006:$AQ$1006,0)))),"Fix")))</f>
        <v>0</v>
      </c>
      <c r="E59" s="5">
        <f>IF(OR(INDEX($V$2:$V$1001,MATCH(ROWS($U$2:U59),$U$2:$U$1001,0),1)&gt;=100000,INDEX($AB$1005:$AQ$1005,1,MATCH(COLUMNS($AB$1006:AE1006),$AB$1006:$AQ$1006,0))&gt;=100000), " ",IF(INDEX($AB$2:$AQ$1001,MATCH(ROWS($U$2:U59),$U$2:$U$1001,0),MATCH(COLUMNS($AB$1006:AE1006),$AB$1006:$AQ$1006,0)), HYPERLINK("#",""), HYPERLINK(CONCATENATE("#Metadata!", ADDRESS(INDEX($W$2:$W$1001,MATCH(ROWS($U$2:U59),$U$2:$U$1001,0),0), INDEX($AB$1004:$AQ$1004,1,MATCH(COLUMNS($AB$1006:AE1006),$AB$1006:$AQ$1006,0)))),"Fix")))</f>
        <v>0</v>
      </c>
      <c r="F59" s="5">
        <f>IF(OR(INDEX($V$2:$V$1001,MATCH(ROWS($U$2:U59),$U$2:$U$1001,0),1)&gt;=100000,INDEX($AB$1005:$AQ$1005,1,MATCH(COLUMNS($AB$1006:AF1006),$AB$1006:$AQ$1006,0))&gt;=100000), " ",IF(INDEX($AB$2:$AQ$1001,MATCH(ROWS($U$2:U59),$U$2:$U$1001,0),MATCH(COLUMNS($AB$1006:AF1006),$AB$1006:$AQ$1006,0)), HYPERLINK("#",""), HYPERLINK(CONCATENATE("#Metadata!", ADDRESS(INDEX($W$2:$W$1001,MATCH(ROWS($U$2:U59),$U$2:$U$1001,0),0), INDEX($AB$1004:$AQ$1004,1,MATCH(COLUMNS($AB$1006:AF1006),$AB$1006:$AQ$1006,0)))),"Fix")))</f>
        <v>0</v>
      </c>
      <c r="G59" s="5">
        <f>IF(OR(INDEX($V$2:$V$1001,MATCH(ROWS($U$2:U59),$U$2:$U$1001,0),1)&gt;=100000,INDEX($AB$1005:$AQ$1005,1,MATCH(COLUMNS($AB$1006:AG1006),$AB$1006:$AQ$1006,0))&gt;=100000), " ",IF(INDEX($AB$2:$AQ$1001,MATCH(ROWS($U$2:U59),$U$2:$U$1001,0),MATCH(COLUMNS($AB$1006:AG1006),$AB$1006:$AQ$1006,0)), HYPERLINK("#",""), HYPERLINK(CONCATENATE("#Metadata!", ADDRESS(INDEX($W$2:$W$1001,MATCH(ROWS($U$2:U59),$U$2:$U$1001,0),0), INDEX($AB$1004:$AQ$1004,1,MATCH(COLUMNS($AB$1006:AG1006),$AB$1006:$AQ$1006,0)))),"Fix")))</f>
        <v>0</v>
      </c>
      <c r="H59" s="5">
        <f>IF(OR(INDEX($V$2:$V$1001,MATCH(ROWS($U$2:U59),$U$2:$U$1001,0),1)&gt;=100000,INDEX($AB$1005:$AQ$1005,1,MATCH(COLUMNS($AB$1006:AH1006),$AB$1006:$AQ$1006,0))&gt;=100000), " ",IF(INDEX($AB$2:$AQ$1001,MATCH(ROWS($U$2:U59),$U$2:$U$1001,0),MATCH(COLUMNS($AB$1006:AH1006),$AB$1006:$AQ$1006,0)), HYPERLINK("#",""), HYPERLINK(CONCATENATE("#Metadata!", ADDRESS(INDEX($W$2:$W$1001,MATCH(ROWS($U$2:U59),$U$2:$U$1001,0),0), INDEX($AB$1004:$AQ$1004,1,MATCH(COLUMNS($AB$1006:AH1006),$AB$1006:$AQ$1006,0)))),"Fix")))</f>
        <v>0</v>
      </c>
      <c r="I59" s="5">
        <f>IF(OR(INDEX($V$2:$V$1001,MATCH(ROWS($U$2:U59),$U$2:$U$1001,0),1)&gt;=100000,INDEX($AB$1005:$AQ$1005,1,MATCH(COLUMNS($AB$1006:AI1006),$AB$1006:$AQ$1006,0))&gt;=100000), " ",IF(INDEX($AB$2:$AQ$1001,MATCH(ROWS($U$2:U59),$U$2:$U$1001,0),MATCH(COLUMNS($AB$1006:AI1006),$AB$1006:$AQ$1006,0)), HYPERLINK("#",""), HYPERLINK(CONCATENATE("#Metadata!", ADDRESS(INDEX($W$2:$W$1001,MATCH(ROWS($U$2:U59),$U$2:$U$1001,0),0), INDEX($AB$1004:$AQ$1004,1,MATCH(COLUMNS($AB$1006:AI1006),$AB$1006:$AQ$1006,0)))),"Fix")))</f>
        <v>0</v>
      </c>
      <c r="J59" s="5">
        <f>IF(OR(INDEX($V$2:$V$1001,MATCH(ROWS($U$2:U59),$U$2:$U$1001,0),1)&gt;=100000,INDEX($AB$1005:$AQ$1005,1,MATCH(COLUMNS($AB$1006:AJ1006),$AB$1006:$AQ$1006,0))&gt;=100000), " ",IF(INDEX($AB$2:$AQ$1001,MATCH(ROWS($U$2:U59),$U$2:$U$1001,0),MATCH(COLUMNS($AB$1006:AJ1006),$AB$1006:$AQ$1006,0)), HYPERLINK("#",""), HYPERLINK(CONCATENATE("#Metadata!", ADDRESS(INDEX($W$2:$W$1001,MATCH(ROWS($U$2:U59),$U$2:$U$1001,0),0), INDEX($AB$1004:$AQ$1004,1,MATCH(COLUMNS($AB$1006:AJ1006),$AB$1006:$AQ$1006,0)))),"Fix")))</f>
        <v>0</v>
      </c>
      <c r="K59" s="5">
        <f>IF(OR(INDEX($V$2:$V$1001,MATCH(ROWS($U$2:U59),$U$2:$U$1001,0),1)&gt;=100000,INDEX($AB$1005:$AQ$1005,1,MATCH(COLUMNS($AB$1006:AK1006),$AB$1006:$AQ$1006,0))&gt;=100000), " ",IF(INDEX($AB$2:$AQ$1001,MATCH(ROWS($U$2:U59),$U$2:$U$1001,0),MATCH(COLUMNS($AB$1006:AK1006),$AB$1006:$AQ$1006,0)), HYPERLINK("#",""), HYPERLINK(CONCATENATE("#Metadata!", ADDRESS(INDEX($W$2:$W$1001,MATCH(ROWS($U$2:U59),$U$2:$U$1001,0),0), INDEX($AB$1004:$AQ$1004,1,MATCH(COLUMNS($AB$1006:AK1006),$AB$1006:$AQ$1006,0)))),"Fix")))</f>
        <v>0</v>
      </c>
      <c r="L59" s="5">
        <f>IF(OR(INDEX($V$2:$V$1001,MATCH(ROWS($U$2:U59),$U$2:$U$1001,0),1)&gt;=100000,INDEX($AB$1005:$AQ$1005,1,MATCH(COLUMNS($AB$1006:AL1006),$AB$1006:$AQ$1006,0))&gt;=100000), " ",IF(INDEX($AB$2:$AQ$1001,MATCH(ROWS($U$2:U59),$U$2:$U$1001,0),MATCH(COLUMNS($AB$1006:AL1006),$AB$1006:$AQ$1006,0)), HYPERLINK("#",""), HYPERLINK(CONCATENATE("#Metadata!", ADDRESS(INDEX($W$2:$W$1001,MATCH(ROWS($U$2:U59),$U$2:$U$1001,0),0), INDEX($AB$1004:$AQ$1004,1,MATCH(COLUMNS($AB$1006:AL1006),$AB$1006:$AQ$1006,0)))),"Fix")))</f>
        <v>0</v>
      </c>
      <c r="M59" s="5">
        <f>IF(OR(INDEX($V$2:$V$1001,MATCH(ROWS($U$2:U59),$U$2:$U$1001,0),1)&gt;=100000,INDEX($AB$1005:$AQ$1005,1,MATCH(COLUMNS($AB$1006:AM1006),$AB$1006:$AQ$1006,0))&gt;=100000), " ",IF(INDEX($AB$2:$AQ$1001,MATCH(ROWS($U$2:U59),$U$2:$U$1001,0),MATCH(COLUMNS($AB$1006:AM1006),$AB$1006:$AQ$1006,0)), HYPERLINK("#",""), HYPERLINK(CONCATENATE("#Metadata!", ADDRESS(INDEX($W$2:$W$1001,MATCH(ROWS($U$2:U59),$U$2:$U$1001,0),0), INDEX($AB$1004:$AQ$1004,1,MATCH(COLUMNS($AB$1006:AM1006),$AB$1006:$AQ$1006,0)))),"Fix")))</f>
        <v>0</v>
      </c>
      <c r="N59" s="5">
        <f>IF(OR(INDEX($V$2:$V$1001,MATCH(ROWS($U$2:U59),$U$2:$U$1001,0),1)&gt;=100000,INDEX($AB$1005:$AQ$1005,1,MATCH(COLUMNS($AB$1006:AN1006),$AB$1006:$AQ$1006,0))&gt;=100000), " ",IF(INDEX($AB$2:$AQ$1001,MATCH(ROWS($U$2:U59),$U$2:$U$1001,0),MATCH(COLUMNS($AB$1006:AN1006),$AB$1006:$AQ$1006,0)), HYPERLINK("#",""), HYPERLINK(CONCATENATE("#Metadata!", ADDRESS(INDEX($W$2:$W$1001,MATCH(ROWS($U$2:U59),$U$2:$U$1001,0),0), INDEX($AB$1004:$AQ$1004,1,MATCH(COLUMNS($AB$1006:AN1006),$AB$1006:$AQ$1006,0)))),"Fix")))</f>
        <v>0</v>
      </c>
      <c r="O59" s="5">
        <f>IF(OR(INDEX($V$2:$V$1001,MATCH(ROWS($U$2:U59),$U$2:$U$1001,0),1)&gt;=100000,INDEX($AB$1005:$AQ$1005,1,MATCH(COLUMNS($AB$1006:AO1006),$AB$1006:$AQ$1006,0))&gt;=100000), " ",IF(INDEX($AB$2:$AQ$1001,MATCH(ROWS($U$2:U59),$U$2:$U$1001,0),MATCH(COLUMNS($AB$1006:AO1006),$AB$1006:$AQ$1006,0)), HYPERLINK("#",""), HYPERLINK(CONCATENATE("#Metadata!", ADDRESS(INDEX($W$2:$W$1001,MATCH(ROWS($U$2:U59),$U$2:$U$1001,0),0), INDEX($AB$1004:$AQ$1004,1,MATCH(COLUMNS($AB$1006:AO1006),$AB$1006:$AQ$1006,0)))),"Fix")))</f>
        <v>0</v>
      </c>
      <c r="P59" s="5">
        <f>IF(OR(INDEX($V$2:$V$1001,MATCH(ROWS($U$2:U59),$U$2:$U$1001,0),1)&gt;=100000,INDEX($AB$1005:$AQ$1005,1,MATCH(COLUMNS($AB$1006:AP1006),$AB$1006:$AQ$1006,0))&gt;=100000), " ",IF(INDEX($AB$2:$AQ$1001,MATCH(ROWS($U$2:U59),$U$2:$U$1001,0),MATCH(COLUMNS($AB$1006:AP1006),$AB$1006:$AQ$1006,0)), HYPERLINK("#",""), HYPERLINK(CONCATENATE("#Metadata!", ADDRESS(INDEX($W$2:$W$1001,MATCH(ROWS($U$2:U59),$U$2:$U$1001,0),0), INDEX($AB$1004:$AQ$1004,1,MATCH(COLUMNS($AB$1006:AP1006),$AB$1006:$AQ$1006,0)))),"Fix")))</f>
        <v>0</v>
      </c>
      <c r="Q59" s="5">
        <f>IF(OR(INDEX($V$2:$V$1001,MATCH(ROWS($U$2:U59),$U$2:$U$1001,0),1)&gt;=100000,INDEX($AB$1005:$AQ$1005,1,MATCH(COLUMNS($AB$1006:AQ1006),$AB$1006:$AQ$1006,0))&gt;=100000), " ",IF(INDEX($AB$2:$AQ$1001,MATCH(ROWS($U$2:U59),$U$2:$U$1001,0),MATCH(COLUMNS($AB$1006:AQ1006),$AB$1006:$AQ$1006,0)), HYPERLINK("#",""), HYPERLINK(CONCATENATE("#Metadata!", ADDRESS(INDEX($W$2:$W$1001,MATCH(ROWS($U$2:U59),$U$2:$U$1001,0),0), INDEX($AB$1004:$AQ$1004,1,MATCH(COLUMNS($AB$1006:AQ1006),$AB$1006:$AQ$1006,0)))),"Fix")))</f>
        <v>0</v>
      </c>
      <c r="U59">
        <v>0</v>
      </c>
      <c r="V59">
        <v>0</v>
      </c>
      <c r="W59">
        <v>0</v>
      </c>
      <c r="X59">
        <f>IF(Y59,TRUE,AND(AB59:AQ59))</f>
        <v>0</v>
      </c>
      <c r="Y59">
        <f>COUNTBLANK(Metadata!B59:Q59)=COLUMNS(Metadata!B59:Q59)</f>
        <v>0</v>
      </c>
      <c r="Z59">
        <v>0</v>
      </c>
      <c r="AB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AC59">
        <f>AND(IF(Metadata!C59="",FALSE,TRUE),exact(Metadata!C59,"urban biome"))</f>
        <v>0</v>
      </c>
      <c r="AD59">
        <f>AND(IF(Metadata!D59="",FALSE,TRUE),exact(Metadata!D59,"human-associated habitat"))</f>
        <v>0</v>
      </c>
      <c r="AE59">
        <f>AND(IF(Metadata!E59="",FALSE,TRUE),OR(exact(Metadata!E59,"human-associated"),exact(Metadata!E59,"human-skin"),exact(Metadata!E59,"human-oral"),exact(Metadata!E59,"human-gut"),exact(Metadata!E59,"human-vaginal")))</f>
        <v>0</v>
      </c>
      <c r="AF59">
        <f>AND(IF(Metadata!F59="",FALSE,ISNUMBER(VALUE(Metadata!F59))),Metadata!F59&gt;0)</f>
        <v>0</v>
      </c>
      <c r="AG59">
        <f>AND(IF(Metadata!G59="",FALSE,TRUE),exact(Metadata!G59,"years"))</f>
        <v>0</v>
      </c>
      <c r="AH59">
        <f>OR(AND(IF(Metadata!H59="",FALSE,TRUE),OR(exact(Metadata!H59,"not applicable"),exact(Metadata!H59,"not collected"),exact(Metadata!H59,"not provided"),exact(Metadata!H59,"restricted access"))),AND(IF(Metadata!H59="",FALSE,ISNUMBER(VALUE(Metadata!H59))),Metadata!H59&gt;0))</f>
        <v>0</v>
      </c>
      <c r="AI59">
        <f>AND(IF(Metadata!I59="",FALSE,TRUE),exact(Metadata!I59,"human"))</f>
        <v>0</v>
      </c>
      <c r="AJ59">
        <f>AND(IF(Metadata!J59="",FALSE,ISNUMBER(VALUE(Metadata!J59))),Metadata!J59&gt;0)</f>
        <v>0</v>
      </c>
      <c r="AK59">
        <f>AND(IF(Metadata!K59="",FALSE,TRUE),exact(Metadata!K59,"cm"))</f>
        <v>0</v>
      </c>
      <c r="AL59">
        <f>AND(IF(Metadata!L59="",FALSE,TRUE),exact(Metadata!L59,"Homo sapiens"))</f>
        <v>0</v>
      </c>
      <c r="AM59">
        <f>AND(IF(Metadata!M59="",FALSE,TRUE),exact(Metadata!M59,"9606"))</f>
        <v>0</v>
      </c>
      <c r="AN59">
        <f>AND(IF(Metadata!N59="",FALSE,ISNUMBER(VALUE(Metadata!N59))),Metadata!N59&gt;0)</f>
        <v>0</v>
      </c>
      <c r="AO59">
        <f>AND(IF(Metadata!O59="",FALSE,TRUE),exact(Metadata!O59,"kg"))</f>
        <v>0</v>
      </c>
      <c r="AP59">
        <f>OR(AND(IF(Metadata!P59="",FALSE,TRUE),exact(Metadata!P59,"not provided")),IF(Metadata!P59="",FALSE,TRUE))</f>
        <v>0</v>
      </c>
      <c r="AQ59">
        <f>OR(AND(IF(Metadata!Q59="",FALSE,TRUE),exact(Metadata!Q59,"not provided")),IF(Metadata!Q59="",FALSE,TRUE))</f>
        <v>0</v>
      </c>
    </row>
    <row r="60" spans="1:43">
      <c r="A60" s="4">
        <f>IF(B60=" "," ",HYPERLINK(CONCATENATE("#metadata!",ADDRESS(INDEX($W$2:$W$1001,MATCH(ROWS($U$2:U60),$U$2:$U$1001,0),0),2)),INDEX($Z$2:$Z$1001,MATCH(ROWS($U$2:U60),$U$2:$U$1001,0),0)))</f>
        <v>0</v>
      </c>
      <c r="B60" s="5">
        <f>IF(OR(INDEX($V$2:$V$1001,MATCH(ROWS($U$2:U60),$U$2:$U$1001,0),1)&gt;=100000,INDEX($AB$1005:$AQ$1005,1,MATCH(COLUMNS($AB$1006:AB1006),$AB$1006:$AQ$1006,0))&gt;=100000), " ",IF(INDEX($AB$2:$AQ$1001,MATCH(ROWS($U$2:U60),$U$2:$U$1001,0),MATCH(COLUMNS($AB$1006:AB1006),$AB$1006:$AQ$1006,0)), HYPERLINK("#",""), HYPERLINK(CONCATENATE("#Metadata!", ADDRESS(INDEX($W$2:$W$1001,MATCH(ROWS($U$2:U60),$U$2:$U$1001,0),0), INDEX($AB$1004:$AQ$1004,1,MATCH(COLUMNS($AB$1006:AB1006),$AB$1006:$AQ$1006,0)))),"Fix")))</f>
        <v>0</v>
      </c>
      <c r="C60" s="5">
        <f>IF(OR(INDEX($V$2:$V$1001,MATCH(ROWS($U$2:U60),$U$2:$U$1001,0),1)&gt;=100000,INDEX($AB$1005:$AQ$1005,1,MATCH(COLUMNS($AB$1006:AC1006),$AB$1006:$AQ$1006,0))&gt;=100000), " ",IF(INDEX($AB$2:$AQ$1001,MATCH(ROWS($U$2:U60),$U$2:$U$1001,0),MATCH(COLUMNS($AB$1006:AC1006),$AB$1006:$AQ$1006,0)), HYPERLINK("#",""), HYPERLINK(CONCATENATE("#Metadata!", ADDRESS(INDEX($W$2:$W$1001,MATCH(ROWS($U$2:U60),$U$2:$U$1001,0),0), INDEX($AB$1004:$AQ$1004,1,MATCH(COLUMNS($AB$1006:AC1006),$AB$1006:$AQ$1006,0)))),"Fix")))</f>
        <v>0</v>
      </c>
      <c r="D60" s="5">
        <f>IF(OR(INDEX($V$2:$V$1001,MATCH(ROWS($U$2:U60),$U$2:$U$1001,0),1)&gt;=100000,INDEX($AB$1005:$AQ$1005,1,MATCH(COLUMNS($AB$1006:AD1006),$AB$1006:$AQ$1006,0))&gt;=100000), " ",IF(INDEX($AB$2:$AQ$1001,MATCH(ROWS($U$2:U60),$U$2:$U$1001,0),MATCH(COLUMNS($AB$1006:AD1006),$AB$1006:$AQ$1006,0)), HYPERLINK("#",""), HYPERLINK(CONCATENATE("#Metadata!", ADDRESS(INDEX($W$2:$W$1001,MATCH(ROWS($U$2:U60),$U$2:$U$1001,0),0), INDEX($AB$1004:$AQ$1004,1,MATCH(COLUMNS($AB$1006:AD1006),$AB$1006:$AQ$1006,0)))),"Fix")))</f>
        <v>0</v>
      </c>
      <c r="E60" s="5">
        <f>IF(OR(INDEX($V$2:$V$1001,MATCH(ROWS($U$2:U60),$U$2:$U$1001,0),1)&gt;=100000,INDEX($AB$1005:$AQ$1005,1,MATCH(COLUMNS($AB$1006:AE1006),$AB$1006:$AQ$1006,0))&gt;=100000), " ",IF(INDEX($AB$2:$AQ$1001,MATCH(ROWS($U$2:U60),$U$2:$U$1001,0),MATCH(COLUMNS($AB$1006:AE1006),$AB$1006:$AQ$1006,0)), HYPERLINK("#",""), HYPERLINK(CONCATENATE("#Metadata!", ADDRESS(INDEX($W$2:$W$1001,MATCH(ROWS($U$2:U60),$U$2:$U$1001,0),0), INDEX($AB$1004:$AQ$1004,1,MATCH(COLUMNS($AB$1006:AE1006),$AB$1006:$AQ$1006,0)))),"Fix")))</f>
        <v>0</v>
      </c>
      <c r="F60" s="5">
        <f>IF(OR(INDEX($V$2:$V$1001,MATCH(ROWS($U$2:U60),$U$2:$U$1001,0),1)&gt;=100000,INDEX($AB$1005:$AQ$1005,1,MATCH(COLUMNS($AB$1006:AF1006),$AB$1006:$AQ$1006,0))&gt;=100000), " ",IF(INDEX($AB$2:$AQ$1001,MATCH(ROWS($U$2:U60),$U$2:$U$1001,0),MATCH(COLUMNS($AB$1006:AF1006),$AB$1006:$AQ$1006,0)), HYPERLINK("#",""), HYPERLINK(CONCATENATE("#Metadata!", ADDRESS(INDEX($W$2:$W$1001,MATCH(ROWS($U$2:U60),$U$2:$U$1001,0),0), INDEX($AB$1004:$AQ$1004,1,MATCH(COLUMNS($AB$1006:AF1006),$AB$1006:$AQ$1006,0)))),"Fix")))</f>
        <v>0</v>
      </c>
      <c r="G60" s="5">
        <f>IF(OR(INDEX($V$2:$V$1001,MATCH(ROWS($U$2:U60),$U$2:$U$1001,0),1)&gt;=100000,INDEX($AB$1005:$AQ$1005,1,MATCH(COLUMNS($AB$1006:AG1006),$AB$1006:$AQ$1006,0))&gt;=100000), " ",IF(INDEX($AB$2:$AQ$1001,MATCH(ROWS($U$2:U60),$U$2:$U$1001,0),MATCH(COLUMNS($AB$1006:AG1006),$AB$1006:$AQ$1006,0)), HYPERLINK("#",""), HYPERLINK(CONCATENATE("#Metadata!", ADDRESS(INDEX($W$2:$W$1001,MATCH(ROWS($U$2:U60),$U$2:$U$1001,0),0), INDEX($AB$1004:$AQ$1004,1,MATCH(COLUMNS($AB$1006:AG1006),$AB$1006:$AQ$1006,0)))),"Fix")))</f>
        <v>0</v>
      </c>
      <c r="H60" s="5">
        <f>IF(OR(INDEX($V$2:$V$1001,MATCH(ROWS($U$2:U60),$U$2:$U$1001,0),1)&gt;=100000,INDEX($AB$1005:$AQ$1005,1,MATCH(COLUMNS($AB$1006:AH1006),$AB$1006:$AQ$1006,0))&gt;=100000), " ",IF(INDEX($AB$2:$AQ$1001,MATCH(ROWS($U$2:U60),$U$2:$U$1001,0),MATCH(COLUMNS($AB$1006:AH1006),$AB$1006:$AQ$1006,0)), HYPERLINK("#",""), HYPERLINK(CONCATENATE("#Metadata!", ADDRESS(INDEX($W$2:$W$1001,MATCH(ROWS($U$2:U60),$U$2:$U$1001,0),0), INDEX($AB$1004:$AQ$1004,1,MATCH(COLUMNS($AB$1006:AH1006),$AB$1006:$AQ$1006,0)))),"Fix")))</f>
        <v>0</v>
      </c>
      <c r="I60" s="5">
        <f>IF(OR(INDEX($V$2:$V$1001,MATCH(ROWS($U$2:U60),$U$2:$U$1001,0),1)&gt;=100000,INDEX($AB$1005:$AQ$1005,1,MATCH(COLUMNS($AB$1006:AI1006),$AB$1006:$AQ$1006,0))&gt;=100000), " ",IF(INDEX($AB$2:$AQ$1001,MATCH(ROWS($U$2:U60),$U$2:$U$1001,0),MATCH(COLUMNS($AB$1006:AI1006),$AB$1006:$AQ$1006,0)), HYPERLINK("#",""), HYPERLINK(CONCATENATE("#Metadata!", ADDRESS(INDEX($W$2:$W$1001,MATCH(ROWS($U$2:U60),$U$2:$U$1001,0),0), INDEX($AB$1004:$AQ$1004,1,MATCH(COLUMNS($AB$1006:AI1006),$AB$1006:$AQ$1006,0)))),"Fix")))</f>
        <v>0</v>
      </c>
      <c r="J60" s="5">
        <f>IF(OR(INDEX($V$2:$V$1001,MATCH(ROWS($U$2:U60),$U$2:$U$1001,0),1)&gt;=100000,INDEX($AB$1005:$AQ$1005,1,MATCH(COLUMNS($AB$1006:AJ1006),$AB$1006:$AQ$1006,0))&gt;=100000), " ",IF(INDEX($AB$2:$AQ$1001,MATCH(ROWS($U$2:U60),$U$2:$U$1001,0),MATCH(COLUMNS($AB$1006:AJ1006),$AB$1006:$AQ$1006,0)), HYPERLINK("#",""), HYPERLINK(CONCATENATE("#Metadata!", ADDRESS(INDEX($W$2:$W$1001,MATCH(ROWS($U$2:U60),$U$2:$U$1001,0),0), INDEX($AB$1004:$AQ$1004,1,MATCH(COLUMNS($AB$1006:AJ1006),$AB$1006:$AQ$1006,0)))),"Fix")))</f>
        <v>0</v>
      </c>
      <c r="K60" s="5">
        <f>IF(OR(INDEX($V$2:$V$1001,MATCH(ROWS($U$2:U60),$U$2:$U$1001,0),1)&gt;=100000,INDEX($AB$1005:$AQ$1005,1,MATCH(COLUMNS($AB$1006:AK1006),$AB$1006:$AQ$1006,0))&gt;=100000), " ",IF(INDEX($AB$2:$AQ$1001,MATCH(ROWS($U$2:U60),$U$2:$U$1001,0),MATCH(COLUMNS($AB$1006:AK1006),$AB$1006:$AQ$1006,0)), HYPERLINK("#",""), HYPERLINK(CONCATENATE("#Metadata!", ADDRESS(INDEX($W$2:$W$1001,MATCH(ROWS($U$2:U60),$U$2:$U$1001,0),0), INDEX($AB$1004:$AQ$1004,1,MATCH(COLUMNS($AB$1006:AK1006),$AB$1006:$AQ$1006,0)))),"Fix")))</f>
        <v>0</v>
      </c>
      <c r="L60" s="5">
        <f>IF(OR(INDEX($V$2:$V$1001,MATCH(ROWS($U$2:U60),$U$2:$U$1001,0),1)&gt;=100000,INDEX($AB$1005:$AQ$1005,1,MATCH(COLUMNS($AB$1006:AL1006),$AB$1006:$AQ$1006,0))&gt;=100000), " ",IF(INDEX($AB$2:$AQ$1001,MATCH(ROWS($U$2:U60),$U$2:$U$1001,0),MATCH(COLUMNS($AB$1006:AL1006),$AB$1006:$AQ$1006,0)), HYPERLINK("#",""), HYPERLINK(CONCATENATE("#Metadata!", ADDRESS(INDEX($W$2:$W$1001,MATCH(ROWS($U$2:U60),$U$2:$U$1001,0),0), INDEX($AB$1004:$AQ$1004,1,MATCH(COLUMNS($AB$1006:AL1006),$AB$1006:$AQ$1006,0)))),"Fix")))</f>
        <v>0</v>
      </c>
      <c r="M60" s="5">
        <f>IF(OR(INDEX($V$2:$V$1001,MATCH(ROWS($U$2:U60),$U$2:$U$1001,0),1)&gt;=100000,INDEX($AB$1005:$AQ$1005,1,MATCH(COLUMNS($AB$1006:AM1006),$AB$1006:$AQ$1006,0))&gt;=100000), " ",IF(INDEX($AB$2:$AQ$1001,MATCH(ROWS($U$2:U60),$U$2:$U$1001,0),MATCH(COLUMNS($AB$1006:AM1006),$AB$1006:$AQ$1006,0)), HYPERLINK("#",""), HYPERLINK(CONCATENATE("#Metadata!", ADDRESS(INDEX($W$2:$W$1001,MATCH(ROWS($U$2:U60),$U$2:$U$1001,0),0), INDEX($AB$1004:$AQ$1004,1,MATCH(COLUMNS($AB$1006:AM1006),$AB$1006:$AQ$1006,0)))),"Fix")))</f>
        <v>0</v>
      </c>
      <c r="N60" s="5">
        <f>IF(OR(INDEX($V$2:$V$1001,MATCH(ROWS($U$2:U60),$U$2:$U$1001,0),1)&gt;=100000,INDEX($AB$1005:$AQ$1005,1,MATCH(COLUMNS($AB$1006:AN1006),$AB$1006:$AQ$1006,0))&gt;=100000), " ",IF(INDEX($AB$2:$AQ$1001,MATCH(ROWS($U$2:U60),$U$2:$U$1001,0),MATCH(COLUMNS($AB$1006:AN1006),$AB$1006:$AQ$1006,0)), HYPERLINK("#",""), HYPERLINK(CONCATENATE("#Metadata!", ADDRESS(INDEX($W$2:$W$1001,MATCH(ROWS($U$2:U60),$U$2:$U$1001,0),0), INDEX($AB$1004:$AQ$1004,1,MATCH(COLUMNS($AB$1006:AN1006),$AB$1006:$AQ$1006,0)))),"Fix")))</f>
        <v>0</v>
      </c>
      <c r="O60" s="5">
        <f>IF(OR(INDEX($V$2:$V$1001,MATCH(ROWS($U$2:U60),$U$2:$U$1001,0),1)&gt;=100000,INDEX($AB$1005:$AQ$1005,1,MATCH(COLUMNS($AB$1006:AO1006),$AB$1006:$AQ$1006,0))&gt;=100000), " ",IF(INDEX($AB$2:$AQ$1001,MATCH(ROWS($U$2:U60),$U$2:$U$1001,0),MATCH(COLUMNS($AB$1006:AO1006),$AB$1006:$AQ$1006,0)), HYPERLINK("#",""), HYPERLINK(CONCATENATE("#Metadata!", ADDRESS(INDEX($W$2:$W$1001,MATCH(ROWS($U$2:U60),$U$2:$U$1001,0),0), INDEX($AB$1004:$AQ$1004,1,MATCH(COLUMNS($AB$1006:AO1006),$AB$1006:$AQ$1006,0)))),"Fix")))</f>
        <v>0</v>
      </c>
      <c r="P60" s="5">
        <f>IF(OR(INDEX($V$2:$V$1001,MATCH(ROWS($U$2:U60),$U$2:$U$1001,0),1)&gt;=100000,INDEX($AB$1005:$AQ$1005,1,MATCH(COLUMNS($AB$1006:AP1006),$AB$1006:$AQ$1006,0))&gt;=100000), " ",IF(INDEX($AB$2:$AQ$1001,MATCH(ROWS($U$2:U60),$U$2:$U$1001,0),MATCH(COLUMNS($AB$1006:AP1006),$AB$1006:$AQ$1006,0)), HYPERLINK("#",""), HYPERLINK(CONCATENATE("#Metadata!", ADDRESS(INDEX($W$2:$W$1001,MATCH(ROWS($U$2:U60),$U$2:$U$1001,0),0), INDEX($AB$1004:$AQ$1004,1,MATCH(COLUMNS($AB$1006:AP1006),$AB$1006:$AQ$1006,0)))),"Fix")))</f>
        <v>0</v>
      </c>
      <c r="Q60" s="5">
        <f>IF(OR(INDEX($V$2:$V$1001,MATCH(ROWS($U$2:U60),$U$2:$U$1001,0),1)&gt;=100000,INDEX($AB$1005:$AQ$1005,1,MATCH(COLUMNS($AB$1006:AQ1006),$AB$1006:$AQ$1006,0))&gt;=100000), " ",IF(INDEX($AB$2:$AQ$1001,MATCH(ROWS($U$2:U60),$U$2:$U$1001,0),MATCH(COLUMNS($AB$1006:AQ1006),$AB$1006:$AQ$1006,0)), HYPERLINK("#",""), HYPERLINK(CONCATENATE("#Metadata!", ADDRESS(INDEX($W$2:$W$1001,MATCH(ROWS($U$2:U60),$U$2:$U$1001,0),0), INDEX($AB$1004:$AQ$1004,1,MATCH(COLUMNS($AB$1006:AQ1006),$AB$1006:$AQ$1006,0)))),"Fix")))</f>
        <v>0</v>
      </c>
      <c r="U60">
        <v>0</v>
      </c>
      <c r="V60">
        <v>0</v>
      </c>
      <c r="W60">
        <v>0</v>
      </c>
      <c r="X60">
        <f>IF(Y60,TRUE,AND(AB60:AQ60))</f>
        <v>0</v>
      </c>
      <c r="Y60">
        <f>COUNTBLANK(Metadata!B60:Q60)=COLUMNS(Metadata!B60:Q60)</f>
        <v>0</v>
      </c>
      <c r="Z60">
        <v>0</v>
      </c>
      <c r="AB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AC60">
        <f>AND(IF(Metadata!C60="",FALSE,TRUE),exact(Metadata!C60,"urban biome"))</f>
        <v>0</v>
      </c>
      <c r="AD60">
        <f>AND(IF(Metadata!D60="",FALSE,TRUE),exact(Metadata!D60,"human-associated habitat"))</f>
        <v>0</v>
      </c>
      <c r="AE60">
        <f>AND(IF(Metadata!E60="",FALSE,TRUE),OR(exact(Metadata!E60,"human-associated"),exact(Metadata!E60,"human-skin"),exact(Metadata!E60,"human-oral"),exact(Metadata!E60,"human-gut"),exact(Metadata!E60,"human-vaginal")))</f>
        <v>0</v>
      </c>
      <c r="AF60">
        <f>AND(IF(Metadata!F60="",FALSE,ISNUMBER(VALUE(Metadata!F60))),Metadata!F60&gt;0)</f>
        <v>0</v>
      </c>
      <c r="AG60">
        <f>AND(IF(Metadata!G60="",FALSE,TRUE),exact(Metadata!G60,"years"))</f>
        <v>0</v>
      </c>
      <c r="AH60">
        <f>OR(AND(IF(Metadata!H60="",FALSE,TRUE),OR(exact(Metadata!H60,"not applicable"),exact(Metadata!H60,"not collected"),exact(Metadata!H60,"not provided"),exact(Metadata!H60,"restricted access"))),AND(IF(Metadata!H60="",FALSE,ISNUMBER(VALUE(Metadata!H60))),Metadata!H60&gt;0))</f>
        <v>0</v>
      </c>
      <c r="AI60">
        <f>AND(IF(Metadata!I60="",FALSE,TRUE),exact(Metadata!I60,"human"))</f>
        <v>0</v>
      </c>
      <c r="AJ60">
        <f>AND(IF(Metadata!J60="",FALSE,ISNUMBER(VALUE(Metadata!J60))),Metadata!J60&gt;0)</f>
        <v>0</v>
      </c>
      <c r="AK60">
        <f>AND(IF(Metadata!K60="",FALSE,TRUE),exact(Metadata!K60,"cm"))</f>
        <v>0</v>
      </c>
      <c r="AL60">
        <f>AND(IF(Metadata!L60="",FALSE,TRUE),exact(Metadata!L60,"Homo sapiens"))</f>
        <v>0</v>
      </c>
      <c r="AM60">
        <f>AND(IF(Metadata!M60="",FALSE,TRUE),exact(Metadata!M60,"9606"))</f>
        <v>0</v>
      </c>
      <c r="AN60">
        <f>AND(IF(Metadata!N60="",FALSE,ISNUMBER(VALUE(Metadata!N60))),Metadata!N60&gt;0)</f>
        <v>0</v>
      </c>
      <c r="AO60">
        <f>AND(IF(Metadata!O60="",FALSE,TRUE),exact(Metadata!O60,"kg"))</f>
        <v>0</v>
      </c>
      <c r="AP60">
        <f>OR(AND(IF(Metadata!P60="",FALSE,TRUE),exact(Metadata!P60,"not provided")),IF(Metadata!P60="",FALSE,TRUE))</f>
        <v>0</v>
      </c>
      <c r="AQ60">
        <f>OR(AND(IF(Metadata!Q60="",FALSE,TRUE),exact(Metadata!Q60,"not provided")),IF(Metadata!Q60="",FALSE,TRUE))</f>
        <v>0</v>
      </c>
    </row>
    <row r="61" spans="1:43">
      <c r="A61" s="4">
        <f>IF(B61=" "," ",HYPERLINK(CONCATENATE("#metadata!",ADDRESS(INDEX($W$2:$W$1001,MATCH(ROWS($U$2:U61),$U$2:$U$1001,0),0),2)),INDEX($Z$2:$Z$1001,MATCH(ROWS($U$2:U61),$U$2:$U$1001,0),0)))</f>
        <v>0</v>
      </c>
      <c r="B61" s="5">
        <f>IF(OR(INDEX($V$2:$V$1001,MATCH(ROWS($U$2:U61),$U$2:$U$1001,0),1)&gt;=100000,INDEX($AB$1005:$AQ$1005,1,MATCH(COLUMNS($AB$1006:AB1006),$AB$1006:$AQ$1006,0))&gt;=100000), " ",IF(INDEX($AB$2:$AQ$1001,MATCH(ROWS($U$2:U61),$U$2:$U$1001,0),MATCH(COLUMNS($AB$1006:AB1006),$AB$1006:$AQ$1006,0)), HYPERLINK("#",""), HYPERLINK(CONCATENATE("#Metadata!", ADDRESS(INDEX($W$2:$W$1001,MATCH(ROWS($U$2:U61),$U$2:$U$1001,0),0), INDEX($AB$1004:$AQ$1004,1,MATCH(COLUMNS($AB$1006:AB1006),$AB$1006:$AQ$1006,0)))),"Fix")))</f>
        <v>0</v>
      </c>
      <c r="C61" s="5">
        <f>IF(OR(INDEX($V$2:$V$1001,MATCH(ROWS($U$2:U61),$U$2:$U$1001,0),1)&gt;=100000,INDEX($AB$1005:$AQ$1005,1,MATCH(COLUMNS($AB$1006:AC1006),$AB$1006:$AQ$1006,0))&gt;=100000), " ",IF(INDEX($AB$2:$AQ$1001,MATCH(ROWS($U$2:U61),$U$2:$U$1001,0),MATCH(COLUMNS($AB$1006:AC1006),$AB$1006:$AQ$1006,0)), HYPERLINK("#",""), HYPERLINK(CONCATENATE("#Metadata!", ADDRESS(INDEX($W$2:$W$1001,MATCH(ROWS($U$2:U61),$U$2:$U$1001,0),0), INDEX($AB$1004:$AQ$1004,1,MATCH(COLUMNS($AB$1006:AC1006),$AB$1006:$AQ$1006,0)))),"Fix")))</f>
        <v>0</v>
      </c>
      <c r="D61" s="5">
        <f>IF(OR(INDEX($V$2:$V$1001,MATCH(ROWS($U$2:U61),$U$2:$U$1001,0),1)&gt;=100000,INDEX($AB$1005:$AQ$1005,1,MATCH(COLUMNS($AB$1006:AD1006),$AB$1006:$AQ$1006,0))&gt;=100000), " ",IF(INDEX($AB$2:$AQ$1001,MATCH(ROWS($U$2:U61),$U$2:$U$1001,0),MATCH(COLUMNS($AB$1006:AD1006),$AB$1006:$AQ$1006,0)), HYPERLINK("#",""), HYPERLINK(CONCATENATE("#Metadata!", ADDRESS(INDEX($W$2:$W$1001,MATCH(ROWS($U$2:U61),$U$2:$U$1001,0),0), INDEX($AB$1004:$AQ$1004,1,MATCH(COLUMNS($AB$1006:AD1006),$AB$1006:$AQ$1006,0)))),"Fix")))</f>
        <v>0</v>
      </c>
      <c r="E61" s="5">
        <f>IF(OR(INDEX($V$2:$V$1001,MATCH(ROWS($U$2:U61),$U$2:$U$1001,0),1)&gt;=100000,INDEX($AB$1005:$AQ$1005,1,MATCH(COLUMNS($AB$1006:AE1006),$AB$1006:$AQ$1006,0))&gt;=100000), " ",IF(INDEX($AB$2:$AQ$1001,MATCH(ROWS($U$2:U61),$U$2:$U$1001,0),MATCH(COLUMNS($AB$1006:AE1006),$AB$1006:$AQ$1006,0)), HYPERLINK("#",""), HYPERLINK(CONCATENATE("#Metadata!", ADDRESS(INDEX($W$2:$W$1001,MATCH(ROWS($U$2:U61),$U$2:$U$1001,0),0), INDEX($AB$1004:$AQ$1004,1,MATCH(COLUMNS($AB$1006:AE1006),$AB$1006:$AQ$1006,0)))),"Fix")))</f>
        <v>0</v>
      </c>
      <c r="F61" s="5">
        <f>IF(OR(INDEX($V$2:$V$1001,MATCH(ROWS($U$2:U61),$U$2:$U$1001,0),1)&gt;=100000,INDEX($AB$1005:$AQ$1005,1,MATCH(COLUMNS($AB$1006:AF1006),$AB$1006:$AQ$1006,0))&gt;=100000), " ",IF(INDEX($AB$2:$AQ$1001,MATCH(ROWS($U$2:U61),$U$2:$U$1001,0),MATCH(COLUMNS($AB$1006:AF1006),$AB$1006:$AQ$1006,0)), HYPERLINK("#",""), HYPERLINK(CONCATENATE("#Metadata!", ADDRESS(INDEX($W$2:$W$1001,MATCH(ROWS($U$2:U61),$U$2:$U$1001,0),0), INDEX($AB$1004:$AQ$1004,1,MATCH(COLUMNS($AB$1006:AF1006),$AB$1006:$AQ$1006,0)))),"Fix")))</f>
        <v>0</v>
      </c>
      <c r="G61" s="5">
        <f>IF(OR(INDEX($V$2:$V$1001,MATCH(ROWS($U$2:U61),$U$2:$U$1001,0),1)&gt;=100000,INDEX($AB$1005:$AQ$1005,1,MATCH(COLUMNS($AB$1006:AG1006),$AB$1006:$AQ$1006,0))&gt;=100000), " ",IF(INDEX($AB$2:$AQ$1001,MATCH(ROWS($U$2:U61),$U$2:$U$1001,0),MATCH(COLUMNS($AB$1006:AG1006),$AB$1006:$AQ$1006,0)), HYPERLINK("#",""), HYPERLINK(CONCATENATE("#Metadata!", ADDRESS(INDEX($W$2:$W$1001,MATCH(ROWS($U$2:U61),$U$2:$U$1001,0),0), INDEX($AB$1004:$AQ$1004,1,MATCH(COLUMNS($AB$1006:AG1006),$AB$1006:$AQ$1006,0)))),"Fix")))</f>
        <v>0</v>
      </c>
      <c r="H61" s="5">
        <f>IF(OR(INDEX($V$2:$V$1001,MATCH(ROWS($U$2:U61),$U$2:$U$1001,0),1)&gt;=100000,INDEX($AB$1005:$AQ$1005,1,MATCH(COLUMNS($AB$1006:AH1006),$AB$1006:$AQ$1006,0))&gt;=100000), " ",IF(INDEX($AB$2:$AQ$1001,MATCH(ROWS($U$2:U61),$U$2:$U$1001,0),MATCH(COLUMNS($AB$1006:AH1006),$AB$1006:$AQ$1006,0)), HYPERLINK("#",""), HYPERLINK(CONCATENATE("#Metadata!", ADDRESS(INDEX($W$2:$W$1001,MATCH(ROWS($U$2:U61),$U$2:$U$1001,0),0), INDEX($AB$1004:$AQ$1004,1,MATCH(COLUMNS($AB$1006:AH1006),$AB$1006:$AQ$1006,0)))),"Fix")))</f>
        <v>0</v>
      </c>
      <c r="I61" s="5">
        <f>IF(OR(INDEX($V$2:$V$1001,MATCH(ROWS($U$2:U61),$U$2:$U$1001,0),1)&gt;=100000,INDEX($AB$1005:$AQ$1005,1,MATCH(COLUMNS($AB$1006:AI1006),$AB$1006:$AQ$1006,0))&gt;=100000), " ",IF(INDEX($AB$2:$AQ$1001,MATCH(ROWS($U$2:U61),$U$2:$U$1001,0),MATCH(COLUMNS($AB$1006:AI1006),$AB$1006:$AQ$1006,0)), HYPERLINK("#",""), HYPERLINK(CONCATENATE("#Metadata!", ADDRESS(INDEX($W$2:$W$1001,MATCH(ROWS($U$2:U61),$U$2:$U$1001,0),0), INDEX($AB$1004:$AQ$1004,1,MATCH(COLUMNS($AB$1006:AI1006),$AB$1006:$AQ$1006,0)))),"Fix")))</f>
        <v>0</v>
      </c>
      <c r="J61" s="5">
        <f>IF(OR(INDEX($V$2:$V$1001,MATCH(ROWS($U$2:U61),$U$2:$U$1001,0),1)&gt;=100000,INDEX($AB$1005:$AQ$1005,1,MATCH(COLUMNS($AB$1006:AJ1006),$AB$1006:$AQ$1006,0))&gt;=100000), " ",IF(INDEX($AB$2:$AQ$1001,MATCH(ROWS($U$2:U61),$U$2:$U$1001,0),MATCH(COLUMNS($AB$1006:AJ1006),$AB$1006:$AQ$1006,0)), HYPERLINK("#",""), HYPERLINK(CONCATENATE("#Metadata!", ADDRESS(INDEX($W$2:$W$1001,MATCH(ROWS($U$2:U61),$U$2:$U$1001,0),0), INDEX($AB$1004:$AQ$1004,1,MATCH(COLUMNS($AB$1006:AJ1006),$AB$1006:$AQ$1006,0)))),"Fix")))</f>
        <v>0</v>
      </c>
      <c r="K61" s="5">
        <f>IF(OR(INDEX($V$2:$V$1001,MATCH(ROWS($U$2:U61),$U$2:$U$1001,0),1)&gt;=100000,INDEX($AB$1005:$AQ$1005,1,MATCH(COLUMNS($AB$1006:AK1006),$AB$1006:$AQ$1006,0))&gt;=100000), " ",IF(INDEX($AB$2:$AQ$1001,MATCH(ROWS($U$2:U61),$U$2:$U$1001,0),MATCH(COLUMNS($AB$1006:AK1006),$AB$1006:$AQ$1006,0)), HYPERLINK("#",""), HYPERLINK(CONCATENATE("#Metadata!", ADDRESS(INDEX($W$2:$W$1001,MATCH(ROWS($U$2:U61),$U$2:$U$1001,0),0), INDEX($AB$1004:$AQ$1004,1,MATCH(COLUMNS($AB$1006:AK1006),$AB$1006:$AQ$1006,0)))),"Fix")))</f>
        <v>0</v>
      </c>
      <c r="L61" s="5">
        <f>IF(OR(INDEX($V$2:$V$1001,MATCH(ROWS($U$2:U61),$U$2:$U$1001,0),1)&gt;=100000,INDEX($AB$1005:$AQ$1005,1,MATCH(COLUMNS($AB$1006:AL1006),$AB$1006:$AQ$1006,0))&gt;=100000), " ",IF(INDEX($AB$2:$AQ$1001,MATCH(ROWS($U$2:U61),$U$2:$U$1001,0),MATCH(COLUMNS($AB$1006:AL1006),$AB$1006:$AQ$1006,0)), HYPERLINK("#",""), HYPERLINK(CONCATENATE("#Metadata!", ADDRESS(INDEX($W$2:$W$1001,MATCH(ROWS($U$2:U61),$U$2:$U$1001,0),0), INDEX($AB$1004:$AQ$1004,1,MATCH(COLUMNS($AB$1006:AL1006),$AB$1006:$AQ$1006,0)))),"Fix")))</f>
        <v>0</v>
      </c>
      <c r="M61" s="5">
        <f>IF(OR(INDEX($V$2:$V$1001,MATCH(ROWS($U$2:U61),$U$2:$U$1001,0),1)&gt;=100000,INDEX($AB$1005:$AQ$1005,1,MATCH(COLUMNS($AB$1006:AM1006),$AB$1006:$AQ$1006,0))&gt;=100000), " ",IF(INDEX($AB$2:$AQ$1001,MATCH(ROWS($U$2:U61),$U$2:$U$1001,0),MATCH(COLUMNS($AB$1006:AM1006),$AB$1006:$AQ$1006,0)), HYPERLINK("#",""), HYPERLINK(CONCATENATE("#Metadata!", ADDRESS(INDEX($W$2:$W$1001,MATCH(ROWS($U$2:U61),$U$2:$U$1001,0),0), INDEX($AB$1004:$AQ$1004,1,MATCH(COLUMNS($AB$1006:AM1006),$AB$1006:$AQ$1006,0)))),"Fix")))</f>
        <v>0</v>
      </c>
      <c r="N61" s="5">
        <f>IF(OR(INDEX($V$2:$V$1001,MATCH(ROWS($U$2:U61),$U$2:$U$1001,0),1)&gt;=100000,INDEX($AB$1005:$AQ$1005,1,MATCH(COLUMNS($AB$1006:AN1006),$AB$1006:$AQ$1006,0))&gt;=100000), " ",IF(INDEX($AB$2:$AQ$1001,MATCH(ROWS($U$2:U61),$U$2:$U$1001,0),MATCH(COLUMNS($AB$1006:AN1006),$AB$1006:$AQ$1006,0)), HYPERLINK("#",""), HYPERLINK(CONCATENATE("#Metadata!", ADDRESS(INDEX($W$2:$W$1001,MATCH(ROWS($U$2:U61),$U$2:$U$1001,0),0), INDEX($AB$1004:$AQ$1004,1,MATCH(COLUMNS($AB$1006:AN1006),$AB$1006:$AQ$1006,0)))),"Fix")))</f>
        <v>0</v>
      </c>
      <c r="O61" s="5">
        <f>IF(OR(INDEX($V$2:$V$1001,MATCH(ROWS($U$2:U61),$U$2:$U$1001,0),1)&gt;=100000,INDEX($AB$1005:$AQ$1005,1,MATCH(COLUMNS($AB$1006:AO1006),$AB$1006:$AQ$1006,0))&gt;=100000), " ",IF(INDEX($AB$2:$AQ$1001,MATCH(ROWS($U$2:U61),$U$2:$U$1001,0),MATCH(COLUMNS($AB$1006:AO1006),$AB$1006:$AQ$1006,0)), HYPERLINK("#",""), HYPERLINK(CONCATENATE("#Metadata!", ADDRESS(INDEX($W$2:$W$1001,MATCH(ROWS($U$2:U61),$U$2:$U$1001,0),0), INDEX($AB$1004:$AQ$1004,1,MATCH(COLUMNS($AB$1006:AO1006),$AB$1006:$AQ$1006,0)))),"Fix")))</f>
        <v>0</v>
      </c>
      <c r="P61" s="5">
        <f>IF(OR(INDEX($V$2:$V$1001,MATCH(ROWS($U$2:U61),$U$2:$U$1001,0),1)&gt;=100000,INDEX($AB$1005:$AQ$1005,1,MATCH(COLUMNS($AB$1006:AP1006),$AB$1006:$AQ$1006,0))&gt;=100000), " ",IF(INDEX($AB$2:$AQ$1001,MATCH(ROWS($U$2:U61),$U$2:$U$1001,0),MATCH(COLUMNS($AB$1006:AP1006),$AB$1006:$AQ$1006,0)), HYPERLINK("#",""), HYPERLINK(CONCATENATE("#Metadata!", ADDRESS(INDEX($W$2:$W$1001,MATCH(ROWS($U$2:U61),$U$2:$U$1001,0),0), INDEX($AB$1004:$AQ$1004,1,MATCH(COLUMNS($AB$1006:AP1006),$AB$1006:$AQ$1006,0)))),"Fix")))</f>
        <v>0</v>
      </c>
      <c r="Q61" s="5">
        <f>IF(OR(INDEX($V$2:$V$1001,MATCH(ROWS($U$2:U61),$U$2:$U$1001,0),1)&gt;=100000,INDEX($AB$1005:$AQ$1005,1,MATCH(COLUMNS($AB$1006:AQ1006),$AB$1006:$AQ$1006,0))&gt;=100000), " ",IF(INDEX($AB$2:$AQ$1001,MATCH(ROWS($U$2:U61),$U$2:$U$1001,0),MATCH(COLUMNS($AB$1006:AQ1006),$AB$1006:$AQ$1006,0)), HYPERLINK("#",""), HYPERLINK(CONCATENATE("#Metadata!", ADDRESS(INDEX($W$2:$W$1001,MATCH(ROWS($U$2:U61),$U$2:$U$1001,0),0), INDEX($AB$1004:$AQ$1004,1,MATCH(COLUMNS($AB$1006:AQ1006),$AB$1006:$AQ$1006,0)))),"Fix")))</f>
        <v>0</v>
      </c>
      <c r="U61">
        <v>0</v>
      </c>
      <c r="V61">
        <v>0</v>
      </c>
      <c r="W61">
        <v>0</v>
      </c>
      <c r="X61">
        <f>IF(Y61,TRUE,AND(AB61:AQ61))</f>
        <v>0</v>
      </c>
      <c r="Y61">
        <f>COUNTBLANK(Metadata!B61:Q61)=COLUMNS(Metadata!B61:Q61)</f>
        <v>0</v>
      </c>
      <c r="Z61">
        <v>0</v>
      </c>
      <c r="AB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AC61">
        <f>AND(IF(Metadata!C61="",FALSE,TRUE),exact(Metadata!C61,"urban biome"))</f>
        <v>0</v>
      </c>
      <c r="AD61">
        <f>AND(IF(Metadata!D61="",FALSE,TRUE),exact(Metadata!D61,"human-associated habitat"))</f>
        <v>0</v>
      </c>
      <c r="AE61">
        <f>AND(IF(Metadata!E61="",FALSE,TRUE),OR(exact(Metadata!E61,"human-associated"),exact(Metadata!E61,"human-skin"),exact(Metadata!E61,"human-oral"),exact(Metadata!E61,"human-gut"),exact(Metadata!E61,"human-vaginal")))</f>
        <v>0</v>
      </c>
      <c r="AF61">
        <f>AND(IF(Metadata!F61="",FALSE,ISNUMBER(VALUE(Metadata!F61))),Metadata!F61&gt;0)</f>
        <v>0</v>
      </c>
      <c r="AG61">
        <f>AND(IF(Metadata!G61="",FALSE,TRUE),exact(Metadata!G61,"years"))</f>
        <v>0</v>
      </c>
      <c r="AH61">
        <f>OR(AND(IF(Metadata!H61="",FALSE,TRUE),OR(exact(Metadata!H61,"not applicable"),exact(Metadata!H61,"not collected"),exact(Metadata!H61,"not provided"),exact(Metadata!H61,"restricted access"))),AND(IF(Metadata!H61="",FALSE,ISNUMBER(VALUE(Metadata!H61))),Metadata!H61&gt;0))</f>
        <v>0</v>
      </c>
      <c r="AI61">
        <f>AND(IF(Metadata!I61="",FALSE,TRUE),exact(Metadata!I61,"human"))</f>
        <v>0</v>
      </c>
      <c r="AJ61">
        <f>AND(IF(Metadata!J61="",FALSE,ISNUMBER(VALUE(Metadata!J61))),Metadata!J61&gt;0)</f>
        <v>0</v>
      </c>
      <c r="AK61">
        <f>AND(IF(Metadata!K61="",FALSE,TRUE),exact(Metadata!K61,"cm"))</f>
        <v>0</v>
      </c>
      <c r="AL61">
        <f>AND(IF(Metadata!L61="",FALSE,TRUE),exact(Metadata!L61,"Homo sapiens"))</f>
        <v>0</v>
      </c>
      <c r="AM61">
        <f>AND(IF(Metadata!M61="",FALSE,TRUE),exact(Metadata!M61,"9606"))</f>
        <v>0</v>
      </c>
      <c r="AN61">
        <f>AND(IF(Metadata!N61="",FALSE,ISNUMBER(VALUE(Metadata!N61))),Metadata!N61&gt;0)</f>
        <v>0</v>
      </c>
      <c r="AO61">
        <f>AND(IF(Metadata!O61="",FALSE,TRUE),exact(Metadata!O61,"kg"))</f>
        <v>0</v>
      </c>
      <c r="AP61">
        <f>OR(AND(IF(Metadata!P61="",FALSE,TRUE),exact(Metadata!P61,"not provided")),IF(Metadata!P61="",FALSE,TRUE))</f>
        <v>0</v>
      </c>
      <c r="AQ61">
        <f>OR(AND(IF(Metadata!Q61="",FALSE,TRUE),exact(Metadata!Q61,"not provided")),IF(Metadata!Q61="",FALSE,TRUE))</f>
        <v>0</v>
      </c>
    </row>
    <row r="62" spans="1:43">
      <c r="A62" s="4">
        <f>IF(B62=" "," ",HYPERLINK(CONCATENATE("#metadata!",ADDRESS(INDEX($W$2:$W$1001,MATCH(ROWS($U$2:U62),$U$2:$U$1001,0),0),2)),INDEX($Z$2:$Z$1001,MATCH(ROWS($U$2:U62),$U$2:$U$1001,0),0)))</f>
        <v>0</v>
      </c>
      <c r="B62" s="5">
        <f>IF(OR(INDEX($V$2:$V$1001,MATCH(ROWS($U$2:U62),$U$2:$U$1001,0),1)&gt;=100000,INDEX($AB$1005:$AQ$1005,1,MATCH(COLUMNS($AB$1006:AB1006),$AB$1006:$AQ$1006,0))&gt;=100000), " ",IF(INDEX($AB$2:$AQ$1001,MATCH(ROWS($U$2:U62),$U$2:$U$1001,0),MATCH(COLUMNS($AB$1006:AB1006),$AB$1006:$AQ$1006,0)), HYPERLINK("#",""), HYPERLINK(CONCATENATE("#Metadata!", ADDRESS(INDEX($W$2:$W$1001,MATCH(ROWS($U$2:U62),$U$2:$U$1001,0),0), INDEX($AB$1004:$AQ$1004,1,MATCH(COLUMNS($AB$1006:AB1006),$AB$1006:$AQ$1006,0)))),"Fix")))</f>
        <v>0</v>
      </c>
      <c r="C62" s="5">
        <f>IF(OR(INDEX($V$2:$V$1001,MATCH(ROWS($U$2:U62),$U$2:$U$1001,0),1)&gt;=100000,INDEX($AB$1005:$AQ$1005,1,MATCH(COLUMNS($AB$1006:AC1006),$AB$1006:$AQ$1006,0))&gt;=100000), " ",IF(INDEX($AB$2:$AQ$1001,MATCH(ROWS($U$2:U62),$U$2:$U$1001,0),MATCH(COLUMNS($AB$1006:AC1006),$AB$1006:$AQ$1006,0)), HYPERLINK("#",""), HYPERLINK(CONCATENATE("#Metadata!", ADDRESS(INDEX($W$2:$W$1001,MATCH(ROWS($U$2:U62),$U$2:$U$1001,0),0), INDEX($AB$1004:$AQ$1004,1,MATCH(COLUMNS($AB$1006:AC1006),$AB$1006:$AQ$1006,0)))),"Fix")))</f>
        <v>0</v>
      </c>
      <c r="D62" s="5">
        <f>IF(OR(INDEX($V$2:$V$1001,MATCH(ROWS($U$2:U62),$U$2:$U$1001,0),1)&gt;=100000,INDEX($AB$1005:$AQ$1005,1,MATCH(COLUMNS($AB$1006:AD1006),$AB$1006:$AQ$1006,0))&gt;=100000), " ",IF(INDEX($AB$2:$AQ$1001,MATCH(ROWS($U$2:U62),$U$2:$U$1001,0),MATCH(COLUMNS($AB$1006:AD1006),$AB$1006:$AQ$1006,0)), HYPERLINK("#",""), HYPERLINK(CONCATENATE("#Metadata!", ADDRESS(INDEX($W$2:$W$1001,MATCH(ROWS($U$2:U62),$U$2:$U$1001,0),0), INDEX($AB$1004:$AQ$1004,1,MATCH(COLUMNS($AB$1006:AD1006),$AB$1006:$AQ$1006,0)))),"Fix")))</f>
        <v>0</v>
      </c>
      <c r="E62" s="5">
        <f>IF(OR(INDEX($V$2:$V$1001,MATCH(ROWS($U$2:U62),$U$2:$U$1001,0),1)&gt;=100000,INDEX($AB$1005:$AQ$1005,1,MATCH(COLUMNS($AB$1006:AE1006),$AB$1006:$AQ$1006,0))&gt;=100000), " ",IF(INDEX($AB$2:$AQ$1001,MATCH(ROWS($U$2:U62),$U$2:$U$1001,0),MATCH(COLUMNS($AB$1006:AE1006),$AB$1006:$AQ$1006,0)), HYPERLINK("#",""), HYPERLINK(CONCATENATE("#Metadata!", ADDRESS(INDEX($W$2:$W$1001,MATCH(ROWS($U$2:U62),$U$2:$U$1001,0),0), INDEX($AB$1004:$AQ$1004,1,MATCH(COLUMNS($AB$1006:AE1006),$AB$1006:$AQ$1006,0)))),"Fix")))</f>
        <v>0</v>
      </c>
      <c r="F62" s="5">
        <f>IF(OR(INDEX($V$2:$V$1001,MATCH(ROWS($U$2:U62),$U$2:$U$1001,0),1)&gt;=100000,INDEX($AB$1005:$AQ$1005,1,MATCH(COLUMNS($AB$1006:AF1006),$AB$1006:$AQ$1006,0))&gt;=100000), " ",IF(INDEX($AB$2:$AQ$1001,MATCH(ROWS($U$2:U62),$U$2:$U$1001,0),MATCH(COLUMNS($AB$1006:AF1006),$AB$1006:$AQ$1006,0)), HYPERLINK("#",""), HYPERLINK(CONCATENATE("#Metadata!", ADDRESS(INDEX($W$2:$W$1001,MATCH(ROWS($U$2:U62),$U$2:$U$1001,0),0), INDEX($AB$1004:$AQ$1004,1,MATCH(COLUMNS($AB$1006:AF1006),$AB$1006:$AQ$1006,0)))),"Fix")))</f>
        <v>0</v>
      </c>
      <c r="G62" s="5">
        <f>IF(OR(INDEX($V$2:$V$1001,MATCH(ROWS($U$2:U62),$U$2:$U$1001,0),1)&gt;=100000,INDEX($AB$1005:$AQ$1005,1,MATCH(COLUMNS($AB$1006:AG1006),$AB$1006:$AQ$1006,0))&gt;=100000), " ",IF(INDEX($AB$2:$AQ$1001,MATCH(ROWS($U$2:U62),$U$2:$U$1001,0),MATCH(COLUMNS($AB$1006:AG1006),$AB$1006:$AQ$1006,0)), HYPERLINK("#",""), HYPERLINK(CONCATENATE("#Metadata!", ADDRESS(INDEX($W$2:$W$1001,MATCH(ROWS($U$2:U62),$U$2:$U$1001,0),0), INDEX($AB$1004:$AQ$1004,1,MATCH(COLUMNS($AB$1006:AG1006),$AB$1006:$AQ$1006,0)))),"Fix")))</f>
        <v>0</v>
      </c>
      <c r="H62" s="5">
        <f>IF(OR(INDEX($V$2:$V$1001,MATCH(ROWS($U$2:U62),$U$2:$U$1001,0),1)&gt;=100000,INDEX($AB$1005:$AQ$1005,1,MATCH(COLUMNS($AB$1006:AH1006),$AB$1006:$AQ$1006,0))&gt;=100000), " ",IF(INDEX($AB$2:$AQ$1001,MATCH(ROWS($U$2:U62),$U$2:$U$1001,0),MATCH(COLUMNS($AB$1006:AH1006),$AB$1006:$AQ$1006,0)), HYPERLINK("#",""), HYPERLINK(CONCATENATE("#Metadata!", ADDRESS(INDEX($W$2:$W$1001,MATCH(ROWS($U$2:U62),$U$2:$U$1001,0),0), INDEX($AB$1004:$AQ$1004,1,MATCH(COLUMNS($AB$1006:AH1006),$AB$1006:$AQ$1006,0)))),"Fix")))</f>
        <v>0</v>
      </c>
      <c r="I62" s="5">
        <f>IF(OR(INDEX($V$2:$V$1001,MATCH(ROWS($U$2:U62),$U$2:$U$1001,0),1)&gt;=100000,INDEX($AB$1005:$AQ$1005,1,MATCH(COLUMNS($AB$1006:AI1006),$AB$1006:$AQ$1006,0))&gt;=100000), " ",IF(INDEX($AB$2:$AQ$1001,MATCH(ROWS($U$2:U62),$U$2:$U$1001,0),MATCH(COLUMNS($AB$1006:AI1006),$AB$1006:$AQ$1006,0)), HYPERLINK("#",""), HYPERLINK(CONCATENATE("#Metadata!", ADDRESS(INDEX($W$2:$W$1001,MATCH(ROWS($U$2:U62),$U$2:$U$1001,0),0), INDEX($AB$1004:$AQ$1004,1,MATCH(COLUMNS($AB$1006:AI1006),$AB$1006:$AQ$1006,0)))),"Fix")))</f>
        <v>0</v>
      </c>
      <c r="J62" s="5">
        <f>IF(OR(INDEX($V$2:$V$1001,MATCH(ROWS($U$2:U62),$U$2:$U$1001,0),1)&gt;=100000,INDEX($AB$1005:$AQ$1005,1,MATCH(COLUMNS($AB$1006:AJ1006),$AB$1006:$AQ$1006,0))&gt;=100000), " ",IF(INDEX($AB$2:$AQ$1001,MATCH(ROWS($U$2:U62),$U$2:$U$1001,0),MATCH(COLUMNS($AB$1006:AJ1006),$AB$1006:$AQ$1006,0)), HYPERLINK("#",""), HYPERLINK(CONCATENATE("#Metadata!", ADDRESS(INDEX($W$2:$W$1001,MATCH(ROWS($U$2:U62),$U$2:$U$1001,0),0), INDEX($AB$1004:$AQ$1004,1,MATCH(COLUMNS($AB$1006:AJ1006),$AB$1006:$AQ$1006,0)))),"Fix")))</f>
        <v>0</v>
      </c>
      <c r="K62" s="5">
        <f>IF(OR(INDEX($V$2:$V$1001,MATCH(ROWS($U$2:U62),$U$2:$U$1001,0),1)&gt;=100000,INDEX($AB$1005:$AQ$1005,1,MATCH(COLUMNS($AB$1006:AK1006),$AB$1006:$AQ$1006,0))&gt;=100000), " ",IF(INDEX($AB$2:$AQ$1001,MATCH(ROWS($U$2:U62),$U$2:$U$1001,0),MATCH(COLUMNS($AB$1006:AK1006),$AB$1006:$AQ$1006,0)), HYPERLINK("#",""), HYPERLINK(CONCATENATE("#Metadata!", ADDRESS(INDEX($W$2:$W$1001,MATCH(ROWS($U$2:U62),$U$2:$U$1001,0),0), INDEX($AB$1004:$AQ$1004,1,MATCH(COLUMNS($AB$1006:AK1006),$AB$1006:$AQ$1006,0)))),"Fix")))</f>
        <v>0</v>
      </c>
      <c r="L62" s="5">
        <f>IF(OR(INDEX($V$2:$V$1001,MATCH(ROWS($U$2:U62),$U$2:$U$1001,0),1)&gt;=100000,INDEX($AB$1005:$AQ$1005,1,MATCH(COLUMNS($AB$1006:AL1006),$AB$1006:$AQ$1006,0))&gt;=100000), " ",IF(INDEX($AB$2:$AQ$1001,MATCH(ROWS($U$2:U62),$U$2:$U$1001,0),MATCH(COLUMNS($AB$1006:AL1006),$AB$1006:$AQ$1006,0)), HYPERLINK("#",""), HYPERLINK(CONCATENATE("#Metadata!", ADDRESS(INDEX($W$2:$W$1001,MATCH(ROWS($U$2:U62),$U$2:$U$1001,0),0), INDEX($AB$1004:$AQ$1004,1,MATCH(COLUMNS($AB$1006:AL1006),$AB$1006:$AQ$1006,0)))),"Fix")))</f>
        <v>0</v>
      </c>
      <c r="M62" s="5">
        <f>IF(OR(INDEX($V$2:$V$1001,MATCH(ROWS($U$2:U62),$U$2:$U$1001,0),1)&gt;=100000,INDEX($AB$1005:$AQ$1005,1,MATCH(COLUMNS($AB$1006:AM1006),$AB$1006:$AQ$1006,0))&gt;=100000), " ",IF(INDEX($AB$2:$AQ$1001,MATCH(ROWS($U$2:U62),$U$2:$U$1001,0),MATCH(COLUMNS($AB$1006:AM1006),$AB$1006:$AQ$1006,0)), HYPERLINK("#",""), HYPERLINK(CONCATENATE("#Metadata!", ADDRESS(INDEX($W$2:$W$1001,MATCH(ROWS($U$2:U62),$U$2:$U$1001,0),0), INDEX($AB$1004:$AQ$1004,1,MATCH(COLUMNS($AB$1006:AM1006),$AB$1006:$AQ$1006,0)))),"Fix")))</f>
        <v>0</v>
      </c>
      <c r="N62" s="5">
        <f>IF(OR(INDEX($V$2:$V$1001,MATCH(ROWS($U$2:U62),$U$2:$U$1001,0),1)&gt;=100000,INDEX($AB$1005:$AQ$1005,1,MATCH(COLUMNS($AB$1006:AN1006),$AB$1006:$AQ$1006,0))&gt;=100000), " ",IF(INDEX($AB$2:$AQ$1001,MATCH(ROWS($U$2:U62),$U$2:$U$1001,0),MATCH(COLUMNS($AB$1006:AN1006),$AB$1006:$AQ$1006,0)), HYPERLINK("#",""), HYPERLINK(CONCATENATE("#Metadata!", ADDRESS(INDEX($W$2:$W$1001,MATCH(ROWS($U$2:U62),$U$2:$U$1001,0),0), INDEX($AB$1004:$AQ$1004,1,MATCH(COLUMNS($AB$1006:AN1006),$AB$1006:$AQ$1006,0)))),"Fix")))</f>
        <v>0</v>
      </c>
      <c r="O62" s="5">
        <f>IF(OR(INDEX($V$2:$V$1001,MATCH(ROWS($U$2:U62),$U$2:$U$1001,0),1)&gt;=100000,INDEX($AB$1005:$AQ$1005,1,MATCH(COLUMNS($AB$1006:AO1006),$AB$1006:$AQ$1006,0))&gt;=100000), " ",IF(INDEX($AB$2:$AQ$1001,MATCH(ROWS($U$2:U62),$U$2:$U$1001,0),MATCH(COLUMNS($AB$1006:AO1006),$AB$1006:$AQ$1006,0)), HYPERLINK("#",""), HYPERLINK(CONCATENATE("#Metadata!", ADDRESS(INDEX($W$2:$W$1001,MATCH(ROWS($U$2:U62),$U$2:$U$1001,0),0), INDEX($AB$1004:$AQ$1004,1,MATCH(COLUMNS($AB$1006:AO1006),$AB$1006:$AQ$1006,0)))),"Fix")))</f>
        <v>0</v>
      </c>
      <c r="P62" s="5">
        <f>IF(OR(INDEX($V$2:$V$1001,MATCH(ROWS($U$2:U62),$U$2:$U$1001,0),1)&gt;=100000,INDEX($AB$1005:$AQ$1005,1,MATCH(COLUMNS($AB$1006:AP1006),$AB$1006:$AQ$1006,0))&gt;=100000), " ",IF(INDEX($AB$2:$AQ$1001,MATCH(ROWS($U$2:U62),$U$2:$U$1001,0),MATCH(COLUMNS($AB$1006:AP1006),$AB$1006:$AQ$1006,0)), HYPERLINK("#",""), HYPERLINK(CONCATENATE("#Metadata!", ADDRESS(INDEX($W$2:$W$1001,MATCH(ROWS($U$2:U62),$U$2:$U$1001,0),0), INDEX($AB$1004:$AQ$1004,1,MATCH(COLUMNS($AB$1006:AP1006),$AB$1006:$AQ$1006,0)))),"Fix")))</f>
        <v>0</v>
      </c>
      <c r="Q62" s="5">
        <f>IF(OR(INDEX($V$2:$V$1001,MATCH(ROWS($U$2:U62),$U$2:$U$1001,0),1)&gt;=100000,INDEX($AB$1005:$AQ$1005,1,MATCH(COLUMNS($AB$1006:AQ1006),$AB$1006:$AQ$1006,0))&gt;=100000), " ",IF(INDEX($AB$2:$AQ$1001,MATCH(ROWS($U$2:U62),$U$2:$U$1001,0),MATCH(COLUMNS($AB$1006:AQ1006),$AB$1006:$AQ$1006,0)), HYPERLINK("#",""), HYPERLINK(CONCATENATE("#Metadata!", ADDRESS(INDEX($W$2:$W$1001,MATCH(ROWS($U$2:U62),$U$2:$U$1001,0),0), INDEX($AB$1004:$AQ$1004,1,MATCH(COLUMNS($AB$1006:AQ1006),$AB$1006:$AQ$1006,0)))),"Fix")))</f>
        <v>0</v>
      </c>
      <c r="U62">
        <v>0</v>
      </c>
      <c r="V62">
        <v>0</v>
      </c>
      <c r="W62">
        <v>0</v>
      </c>
      <c r="X62">
        <f>IF(Y62,TRUE,AND(AB62:AQ62))</f>
        <v>0</v>
      </c>
      <c r="Y62">
        <f>COUNTBLANK(Metadata!B62:Q62)=COLUMNS(Metadata!B62:Q62)</f>
        <v>0</v>
      </c>
      <c r="Z62">
        <v>0</v>
      </c>
      <c r="AB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AC62">
        <f>AND(IF(Metadata!C62="",FALSE,TRUE),exact(Metadata!C62,"urban biome"))</f>
        <v>0</v>
      </c>
      <c r="AD62">
        <f>AND(IF(Metadata!D62="",FALSE,TRUE),exact(Metadata!D62,"human-associated habitat"))</f>
        <v>0</v>
      </c>
      <c r="AE62">
        <f>AND(IF(Metadata!E62="",FALSE,TRUE),OR(exact(Metadata!E62,"human-associated"),exact(Metadata!E62,"human-skin"),exact(Metadata!E62,"human-oral"),exact(Metadata!E62,"human-gut"),exact(Metadata!E62,"human-vaginal")))</f>
        <v>0</v>
      </c>
      <c r="AF62">
        <f>AND(IF(Metadata!F62="",FALSE,ISNUMBER(VALUE(Metadata!F62))),Metadata!F62&gt;0)</f>
        <v>0</v>
      </c>
      <c r="AG62">
        <f>AND(IF(Metadata!G62="",FALSE,TRUE),exact(Metadata!G62,"years"))</f>
        <v>0</v>
      </c>
      <c r="AH62">
        <f>OR(AND(IF(Metadata!H62="",FALSE,TRUE),OR(exact(Metadata!H62,"not applicable"),exact(Metadata!H62,"not collected"),exact(Metadata!H62,"not provided"),exact(Metadata!H62,"restricted access"))),AND(IF(Metadata!H62="",FALSE,ISNUMBER(VALUE(Metadata!H62))),Metadata!H62&gt;0))</f>
        <v>0</v>
      </c>
      <c r="AI62">
        <f>AND(IF(Metadata!I62="",FALSE,TRUE),exact(Metadata!I62,"human"))</f>
        <v>0</v>
      </c>
      <c r="AJ62">
        <f>AND(IF(Metadata!J62="",FALSE,ISNUMBER(VALUE(Metadata!J62))),Metadata!J62&gt;0)</f>
        <v>0</v>
      </c>
      <c r="AK62">
        <f>AND(IF(Metadata!K62="",FALSE,TRUE),exact(Metadata!K62,"cm"))</f>
        <v>0</v>
      </c>
      <c r="AL62">
        <f>AND(IF(Metadata!L62="",FALSE,TRUE),exact(Metadata!L62,"Homo sapiens"))</f>
        <v>0</v>
      </c>
      <c r="AM62">
        <f>AND(IF(Metadata!M62="",FALSE,TRUE),exact(Metadata!M62,"9606"))</f>
        <v>0</v>
      </c>
      <c r="AN62">
        <f>AND(IF(Metadata!N62="",FALSE,ISNUMBER(VALUE(Metadata!N62))),Metadata!N62&gt;0)</f>
        <v>0</v>
      </c>
      <c r="AO62">
        <f>AND(IF(Metadata!O62="",FALSE,TRUE),exact(Metadata!O62,"kg"))</f>
        <v>0</v>
      </c>
      <c r="AP62">
        <f>OR(AND(IF(Metadata!P62="",FALSE,TRUE),exact(Metadata!P62,"not provided")),IF(Metadata!P62="",FALSE,TRUE))</f>
        <v>0</v>
      </c>
      <c r="AQ62">
        <f>OR(AND(IF(Metadata!Q62="",FALSE,TRUE),exact(Metadata!Q62,"not provided")),IF(Metadata!Q62="",FALSE,TRUE))</f>
        <v>0</v>
      </c>
    </row>
    <row r="63" spans="1:43">
      <c r="A63" s="4">
        <f>IF(B63=" "," ",HYPERLINK(CONCATENATE("#metadata!",ADDRESS(INDEX($W$2:$W$1001,MATCH(ROWS($U$2:U63),$U$2:$U$1001,0),0),2)),INDEX($Z$2:$Z$1001,MATCH(ROWS($U$2:U63),$U$2:$U$1001,0),0)))</f>
        <v>0</v>
      </c>
      <c r="B63" s="5">
        <f>IF(OR(INDEX($V$2:$V$1001,MATCH(ROWS($U$2:U63),$U$2:$U$1001,0),1)&gt;=100000,INDEX($AB$1005:$AQ$1005,1,MATCH(COLUMNS($AB$1006:AB1006),$AB$1006:$AQ$1006,0))&gt;=100000), " ",IF(INDEX($AB$2:$AQ$1001,MATCH(ROWS($U$2:U63),$U$2:$U$1001,0),MATCH(COLUMNS($AB$1006:AB1006),$AB$1006:$AQ$1006,0)), HYPERLINK("#",""), HYPERLINK(CONCATENATE("#Metadata!", ADDRESS(INDEX($W$2:$W$1001,MATCH(ROWS($U$2:U63),$U$2:$U$1001,0),0), INDEX($AB$1004:$AQ$1004,1,MATCH(COLUMNS($AB$1006:AB1006),$AB$1006:$AQ$1006,0)))),"Fix")))</f>
        <v>0</v>
      </c>
      <c r="C63" s="5">
        <f>IF(OR(INDEX($V$2:$V$1001,MATCH(ROWS($U$2:U63),$U$2:$U$1001,0),1)&gt;=100000,INDEX($AB$1005:$AQ$1005,1,MATCH(COLUMNS($AB$1006:AC1006),$AB$1006:$AQ$1006,0))&gt;=100000), " ",IF(INDEX($AB$2:$AQ$1001,MATCH(ROWS($U$2:U63),$U$2:$U$1001,0),MATCH(COLUMNS($AB$1006:AC1006),$AB$1006:$AQ$1006,0)), HYPERLINK("#",""), HYPERLINK(CONCATENATE("#Metadata!", ADDRESS(INDEX($W$2:$W$1001,MATCH(ROWS($U$2:U63),$U$2:$U$1001,0),0), INDEX($AB$1004:$AQ$1004,1,MATCH(COLUMNS($AB$1006:AC1006),$AB$1006:$AQ$1006,0)))),"Fix")))</f>
        <v>0</v>
      </c>
      <c r="D63" s="5">
        <f>IF(OR(INDEX($V$2:$V$1001,MATCH(ROWS($U$2:U63),$U$2:$U$1001,0),1)&gt;=100000,INDEX($AB$1005:$AQ$1005,1,MATCH(COLUMNS($AB$1006:AD1006),$AB$1006:$AQ$1006,0))&gt;=100000), " ",IF(INDEX($AB$2:$AQ$1001,MATCH(ROWS($U$2:U63),$U$2:$U$1001,0),MATCH(COLUMNS($AB$1006:AD1006),$AB$1006:$AQ$1006,0)), HYPERLINK("#",""), HYPERLINK(CONCATENATE("#Metadata!", ADDRESS(INDEX($W$2:$W$1001,MATCH(ROWS($U$2:U63),$U$2:$U$1001,0),0), INDEX($AB$1004:$AQ$1004,1,MATCH(COLUMNS($AB$1006:AD1006),$AB$1006:$AQ$1006,0)))),"Fix")))</f>
        <v>0</v>
      </c>
      <c r="E63" s="5">
        <f>IF(OR(INDEX($V$2:$V$1001,MATCH(ROWS($U$2:U63),$U$2:$U$1001,0),1)&gt;=100000,INDEX($AB$1005:$AQ$1005,1,MATCH(COLUMNS($AB$1006:AE1006),$AB$1006:$AQ$1006,0))&gt;=100000), " ",IF(INDEX($AB$2:$AQ$1001,MATCH(ROWS($U$2:U63),$U$2:$U$1001,0),MATCH(COLUMNS($AB$1006:AE1006),$AB$1006:$AQ$1006,0)), HYPERLINK("#",""), HYPERLINK(CONCATENATE("#Metadata!", ADDRESS(INDEX($W$2:$W$1001,MATCH(ROWS($U$2:U63),$U$2:$U$1001,0),0), INDEX($AB$1004:$AQ$1004,1,MATCH(COLUMNS($AB$1006:AE1006),$AB$1006:$AQ$1006,0)))),"Fix")))</f>
        <v>0</v>
      </c>
      <c r="F63" s="5">
        <f>IF(OR(INDEX($V$2:$V$1001,MATCH(ROWS($U$2:U63),$U$2:$U$1001,0),1)&gt;=100000,INDEX($AB$1005:$AQ$1005,1,MATCH(COLUMNS($AB$1006:AF1006),$AB$1006:$AQ$1006,0))&gt;=100000), " ",IF(INDEX($AB$2:$AQ$1001,MATCH(ROWS($U$2:U63),$U$2:$U$1001,0),MATCH(COLUMNS($AB$1006:AF1006),$AB$1006:$AQ$1006,0)), HYPERLINK("#",""), HYPERLINK(CONCATENATE("#Metadata!", ADDRESS(INDEX($W$2:$W$1001,MATCH(ROWS($U$2:U63),$U$2:$U$1001,0),0), INDEX($AB$1004:$AQ$1004,1,MATCH(COLUMNS($AB$1006:AF1006),$AB$1006:$AQ$1006,0)))),"Fix")))</f>
        <v>0</v>
      </c>
      <c r="G63" s="5">
        <f>IF(OR(INDEX($V$2:$V$1001,MATCH(ROWS($U$2:U63),$U$2:$U$1001,0),1)&gt;=100000,INDEX($AB$1005:$AQ$1005,1,MATCH(COLUMNS($AB$1006:AG1006),$AB$1006:$AQ$1006,0))&gt;=100000), " ",IF(INDEX($AB$2:$AQ$1001,MATCH(ROWS($U$2:U63),$U$2:$U$1001,0),MATCH(COLUMNS($AB$1006:AG1006),$AB$1006:$AQ$1006,0)), HYPERLINK("#",""), HYPERLINK(CONCATENATE("#Metadata!", ADDRESS(INDEX($W$2:$W$1001,MATCH(ROWS($U$2:U63),$U$2:$U$1001,0),0), INDEX($AB$1004:$AQ$1004,1,MATCH(COLUMNS($AB$1006:AG1006),$AB$1006:$AQ$1006,0)))),"Fix")))</f>
        <v>0</v>
      </c>
      <c r="H63" s="5">
        <f>IF(OR(INDEX($V$2:$V$1001,MATCH(ROWS($U$2:U63),$U$2:$U$1001,0),1)&gt;=100000,INDEX($AB$1005:$AQ$1005,1,MATCH(COLUMNS($AB$1006:AH1006),$AB$1006:$AQ$1006,0))&gt;=100000), " ",IF(INDEX($AB$2:$AQ$1001,MATCH(ROWS($U$2:U63),$U$2:$U$1001,0),MATCH(COLUMNS($AB$1006:AH1006),$AB$1006:$AQ$1006,0)), HYPERLINK("#",""), HYPERLINK(CONCATENATE("#Metadata!", ADDRESS(INDEX($W$2:$W$1001,MATCH(ROWS($U$2:U63),$U$2:$U$1001,0),0), INDEX($AB$1004:$AQ$1004,1,MATCH(COLUMNS($AB$1006:AH1006),$AB$1006:$AQ$1006,0)))),"Fix")))</f>
        <v>0</v>
      </c>
      <c r="I63" s="5">
        <f>IF(OR(INDEX($V$2:$V$1001,MATCH(ROWS($U$2:U63),$U$2:$U$1001,0),1)&gt;=100000,INDEX($AB$1005:$AQ$1005,1,MATCH(COLUMNS($AB$1006:AI1006),$AB$1006:$AQ$1006,0))&gt;=100000), " ",IF(INDEX($AB$2:$AQ$1001,MATCH(ROWS($U$2:U63),$U$2:$U$1001,0),MATCH(COLUMNS($AB$1006:AI1006),$AB$1006:$AQ$1006,0)), HYPERLINK("#",""), HYPERLINK(CONCATENATE("#Metadata!", ADDRESS(INDEX($W$2:$W$1001,MATCH(ROWS($U$2:U63),$U$2:$U$1001,0),0), INDEX($AB$1004:$AQ$1004,1,MATCH(COLUMNS($AB$1006:AI1006),$AB$1006:$AQ$1006,0)))),"Fix")))</f>
        <v>0</v>
      </c>
      <c r="J63" s="5">
        <f>IF(OR(INDEX($V$2:$V$1001,MATCH(ROWS($U$2:U63),$U$2:$U$1001,0),1)&gt;=100000,INDEX($AB$1005:$AQ$1005,1,MATCH(COLUMNS($AB$1006:AJ1006),$AB$1006:$AQ$1006,0))&gt;=100000), " ",IF(INDEX($AB$2:$AQ$1001,MATCH(ROWS($U$2:U63),$U$2:$U$1001,0),MATCH(COLUMNS($AB$1006:AJ1006),$AB$1006:$AQ$1006,0)), HYPERLINK("#",""), HYPERLINK(CONCATENATE("#Metadata!", ADDRESS(INDEX($W$2:$W$1001,MATCH(ROWS($U$2:U63),$U$2:$U$1001,0),0), INDEX($AB$1004:$AQ$1004,1,MATCH(COLUMNS($AB$1006:AJ1006),$AB$1006:$AQ$1006,0)))),"Fix")))</f>
        <v>0</v>
      </c>
      <c r="K63" s="5">
        <f>IF(OR(INDEX($V$2:$V$1001,MATCH(ROWS($U$2:U63),$U$2:$U$1001,0),1)&gt;=100000,INDEX($AB$1005:$AQ$1005,1,MATCH(COLUMNS($AB$1006:AK1006),$AB$1006:$AQ$1006,0))&gt;=100000), " ",IF(INDEX($AB$2:$AQ$1001,MATCH(ROWS($U$2:U63),$U$2:$U$1001,0),MATCH(COLUMNS($AB$1006:AK1006),$AB$1006:$AQ$1006,0)), HYPERLINK("#",""), HYPERLINK(CONCATENATE("#Metadata!", ADDRESS(INDEX($W$2:$W$1001,MATCH(ROWS($U$2:U63),$U$2:$U$1001,0),0), INDEX($AB$1004:$AQ$1004,1,MATCH(COLUMNS($AB$1006:AK1006),$AB$1006:$AQ$1006,0)))),"Fix")))</f>
        <v>0</v>
      </c>
      <c r="L63" s="5">
        <f>IF(OR(INDEX($V$2:$V$1001,MATCH(ROWS($U$2:U63),$U$2:$U$1001,0),1)&gt;=100000,INDEX($AB$1005:$AQ$1005,1,MATCH(COLUMNS($AB$1006:AL1006),$AB$1006:$AQ$1006,0))&gt;=100000), " ",IF(INDEX($AB$2:$AQ$1001,MATCH(ROWS($U$2:U63),$U$2:$U$1001,0),MATCH(COLUMNS($AB$1006:AL1006),$AB$1006:$AQ$1006,0)), HYPERLINK("#",""), HYPERLINK(CONCATENATE("#Metadata!", ADDRESS(INDEX($W$2:$W$1001,MATCH(ROWS($U$2:U63),$U$2:$U$1001,0),0), INDEX($AB$1004:$AQ$1004,1,MATCH(COLUMNS($AB$1006:AL1006),$AB$1006:$AQ$1006,0)))),"Fix")))</f>
        <v>0</v>
      </c>
      <c r="M63" s="5">
        <f>IF(OR(INDEX($V$2:$V$1001,MATCH(ROWS($U$2:U63),$U$2:$U$1001,0),1)&gt;=100000,INDEX($AB$1005:$AQ$1005,1,MATCH(COLUMNS($AB$1006:AM1006),$AB$1006:$AQ$1006,0))&gt;=100000), " ",IF(INDEX($AB$2:$AQ$1001,MATCH(ROWS($U$2:U63),$U$2:$U$1001,0),MATCH(COLUMNS($AB$1006:AM1006),$AB$1006:$AQ$1006,0)), HYPERLINK("#",""), HYPERLINK(CONCATENATE("#Metadata!", ADDRESS(INDEX($W$2:$W$1001,MATCH(ROWS($U$2:U63),$U$2:$U$1001,0),0), INDEX($AB$1004:$AQ$1004,1,MATCH(COLUMNS($AB$1006:AM1006),$AB$1006:$AQ$1006,0)))),"Fix")))</f>
        <v>0</v>
      </c>
      <c r="N63" s="5">
        <f>IF(OR(INDEX($V$2:$V$1001,MATCH(ROWS($U$2:U63),$U$2:$U$1001,0),1)&gt;=100000,INDEX($AB$1005:$AQ$1005,1,MATCH(COLUMNS($AB$1006:AN1006),$AB$1006:$AQ$1006,0))&gt;=100000), " ",IF(INDEX($AB$2:$AQ$1001,MATCH(ROWS($U$2:U63),$U$2:$U$1001,0),MATCH(COLUMNS($AB$1006:AN1006),$AB$1006:$AQ$1006,0)), HYPERLINK("#",""), HYPERLINK(CONCATENATE("#Metadata!", ADDRESS(INDEX($W$2:$W$1001,MATCH(ROWS($U$2:U63),$U$2:$U$1001,0),0), INDEX($AB$1004:$AQ$1004,1,MATCH(COLUMNS($AB$1006:AN1006),$AB$1006:$AQ$1006,0)))),"Fix")))</f>
        <v>0</v>
      </c>
      <c r="O63" s="5">
        <f>IF(OR(INDEX($V$2:$V$1001,MATCH(ROWS($U$2:U63),$U$2:$U$1001,0),1)&gt;=100000,INDEX($AB$1005:$AQ$1005,1,MATCH(COLUMNS($AB$1006:AO1006),$AB$1006:$AQ$1006,0))&gt;=100000), " ",IF(INDEX($AB$2:$AQ$1001,MATCH(ROWS($U$2:U63),$U$2:$U$1001,0),MATCH(COLUMNS($AB$1006:AO1006),$AB$1006:$AQ$1006,0)), HYPERLINK("#",""), HYPERLINK(CONCATENATE("#Metadata!", ADDRESS(INDEX($W$2:$W$1001,MATCH(ROWS($U$2:U63),$U$2:$U$1001,0),0), INDEX($AB$1004:$AQ$1004,1,MATCH(COLUMNS($AB$1006:AO1006),$AB$1006:$AQ$1006,0)))),"Fix")))</f>
        <v>0</v>
      </c>
      <c r="P63" s="5">
        <f>IF(OR(INDEX($V$2:$V$1001,MATCH(ROWS($U$2:U63),$U$2:$U$1001,0),1)&gt;=100000,INDEX($AB$1005:$AQ$1005,1,MATCH(COLUMNS($AB$1006:AP1006),$AB$1006:$AQ$1006,0))&gt;=100000), " ",IF(INDEX($AB$2:$AQ$1001,MATCH(ROWS($U$2:U63),$U$2:$U$1001,0),MATCH(COLUMNS($AB$1006:AP1006),$AB$1006:$AQ$1006,0)), HYPERLINK("#",""), HYPERLINK(CONCATENATE("#Metadata!", ADDRESS(INDEX($W$2:$W$1001,MATCH(ROWS($U$2:U63),$U$2:$U$1001,0),0), INDEX($AB$1004:$AQ$1004,1,MATCH(COLUMNS($AB$1006:AP1006),$AB$1006:$AQ$1006,0)))),"Fix")))</f>
        <v>0</v>
      </c>
      <c r="Q63" s="5">
        <f>IF(OR(INDEX($V$2:$V$1001,MATCH(ROWS($U$2:U63),$U$2:$U$1001,0),1)&gt;=100000,INDEX($AB$1005:$AQ$1005,1,MATCH(COLUMNS($AB$1006:AQ1006),$AB$1006:$AQ$1006,0))&gt;=100000), " ",IF(INDEX($AB$2:$AQ$1001,MATCH(ROWS($U$2:U63),$U$2:$U$1001,0),MATCH(COLUMNS($AB$1006:AQ1006),$AB$1006:$AQ$1006,0)), HYPERLINK("#",""), HYPERLINK(CONCATENATE("#Metadata!", ADDRESS(INDEX($W$2:$W$1001,MATCH(ROWS($U$2:U63),$U$2:$U$1001,0),0), INDEX($AB$1004:$AQ$1004,1,MATCH(COLUMNS($AB$1006:AQ1006),$AB$1006:$AQ$1006,0)))),"Fix")))</f>
        <v>0</v>
      </c>
      <c r="U63">
        <v>0</v>
      </c>
      <c r="V63">
        <v>0</v>
      </c>
      <c r="W63">
        <v>0</v>
      </c>
      <c r="X63">
        <f>IF(Y63,TRUE,AND(AB63:AQ63))</f>
        <v>0</v>
      </c>
      <c r="Y63">
        <f>COUNTBLANK(Metadata!B63:Q63)=COLUMNS(Metadata!B63:Q63)</f>
        <v>0</v>
      </c>
      <c r="Z63">
        <v>0</v>
      </c>
      <c r="AB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AC63">
        <f>AND(IF(Metadata!C63="",FALSE,TRUE),exact(Metadata!C63,"urban biome"))</f>
        <v>0</v>
      </c>
      <c r="AD63">
        <f>AND(IF(Metadata!D63="",FALSE,TRUE),exact(Metadata!D63,"human-associated habitat"))</f>
        <v>0</v>
      </c>
      <c r="AE63">
        <f>AND(IF(Metadata!E63="",FALSE,TRUE),OR(exact(Metadata!E63,"human-associated"),exact(Metadata!E63,"human-skin"),exact(Metadata!E63,"human-oral"),exact(Metadata!E63,"human-gut"),exact(Metadata!E63,"human-vaginal")))</f>
        <v>0</v>
      </c>
      <c r="AF63">
        <f>AND(IF(Metadata!F63="",FALSE,ISNUMBER(VALUE(Metadata!F63))),Metadata!F63&gt;0)</f>
        <v>0</v>
      </c>
      <c r="AG63">
        <f>AND(IF(Metadata!G63="",FALSE,TRUE),exact(Metadata!G63,"years"))</f>
        <v>0</v>
      </c>
      <c r="AH63">
        <f>OR(AND(IF(Metadata!H63="",FALSE,TRUE),OR(exact(Metadata!H63,"not applicable"),exact(Metadata!H63,"not collected"),exact(Metadata!H63,"not provided"),exact(Metadata!H63,"restricted access"))),AND(IF(Metadata!H63="",FALSE,ISNUMBER(VALUE(Metadata!H63))),Metadata!H63&gt;0))</f>
        <v>0</v>
      </c>
      <c r="AI63">
        <f>AND(IF(Metadata!I63="",FALSE,TRUE),exact(Metadata!I63,"human"))</f>
        <v>0</v>
      </c>
      <c r="AJ63">
        <f>AND(IF(Metadata!J63="",FALSE,ISNUMBER(VALUE(Metadata!J63))),Metadata!J63&gt;0)</f>
        <v>0</v>
      </c>
      <c r="AK63">
        <f>AND(IF(Metadata!K63="",FALSE,TRUE),exact(Metadata!K63,"cm"))</f>
        <v>0</v>
      </c>
      <c r="AL63">
        <f>AND(IF(Metadata!L63="",FALSE,TRUE),exact(Metadata!L63,"Homo sapiens"))</f>
        <v>0</v>
      </c>
      <c r="AM63">
        <f>AND(IF(Metadata!M63="",FALSE,TRUE),exact(Metadata!M63,"9606"))</f>
        <v>0</v>
      </c>
      <c r="AN63">
        <f>AND(IF(Metadata!N63="",FALSE,ISNUMBER(VALUE(Metadata!N63))),Metadata!N63&gt;0)</f>
        <v>0</v>
      </c>
      <c r="AO63">
        <f>AND(IF(Metadata!O63="",FALSE,TRUE),exact(Metadata!O63,"kg"))</f>
        <v>0</v>
      </c>
      <c r="AP63">
        <f>OR(AND(IF(Metadata!P63="",FALSE,TRUE),exact(Metadata!P63,"not provided")),IF(Metadata!P63="",FALSE,TRUE))</f>
        <v>0</v>
      </c>
      <c r="AQ63">
        <f>OR(AND(IF(Metadata!Q63="",FALSE,TRUE),exact(Metadata!Q63,"not provided")),IF(Metadata!Q63="",FALSE,TRUE))</f>
        <v>0</v>
      </c>
    </row>
    <row r="64" spans="1:43">
      <c r="A64" s="4">
        <f>IF(B64=" "," ",HYPERLINK(CONCATENATE("#metadata!",ADDRESS(INDEX($W$2:$W$1001,MATCH(ROWS($U$2:U64),$U$2:$U$1001,0),0),2)),INDEX($Z$2:$Z$1001,MATCH(ROWS($U$2:U64),$U$2:$U$1001,0),0)))</f>
        <v>0</v>
      </c>
      <c r="B64" s="5">
        <f>IF(OR(INDEX($V$2:$V$1001,MATCH(ROWS($U$2:U64),$U$2:$U$1001,0),1)&gt;=100000,INDEX($AB$1005:$AQ$1005,1,MATCH(COLUMNS($AB$1006:AB1006),$AB$1006:$AQ$1006,0))&gt;=100000), " ",IF(INDEX($AB$2:$AQ$1001,MATCH(ROWS($U$2:U64),$U$2:$U$1001,0),MATCH(COLUMNS($AB$1006:AB1006),$AB$1006:$AQ$1006,0)), HYPERLINK("#",""), HYPERLINK(CONCATENATE("#Metadata!", ADDRESS(INDEX($W$2:$W$1001,MATCH(ROWS($U$2:U64),$U$2:$U$1001,0),0), INDEX($AB$1004:$AQ$1004,1,MATCH(COLUMNS($AB$1006:AB1006),$AB$1006:$AQ$1006,0)))),"Fix")))</f>
        <v>0</v>
      </c>
      <c r="C64" s="5">
        <f>IF(OR(INDEX($V$2:$V$1001,MATCH(ROWS($U$2:U64),$U$2:$U$1001,0),1)&gt;=100000,INDEX($AB$1005:$AQ$1005,1,MATCH(COLUMNS($AB$1006:AC1006),$AB$1006:$AQ$1006,0))&gt;=100000), " ",IF(INDEX($AB$2:$AQ$1001,MATCH(ROWS($U$2:U64),$U$2:$U$1001,0),MATCH(COLUMNS($AB$1006:AC1006),$AB$1006:$AQ$1006,0)), HYPERLINK("#",""), HYPERLINK(CONCATENATE("#Metadata!", ADDRESS(INDEX($W$2:$W$1001,MATCH(ROWS($U$2:U64),$U$2:$U$1001,0),0), INDEX($AB$1004:$AQ$1004,1,MATCH(COLUMNS($AB$1006:AC1006),$AB$1006:$AQ$1006,0)))),"Fix")))</f>
        <v>0</v>
      </c>
      <c r="D64" s="5">
        <f>IF(OR(INDEX($V$2:$V$1001,MATCH(ROWS($U$2:U64),$U$2:$U$1001,0),1)&gt;=100000,INDEX($AB$1005:$AQ$1005,1,MATCH(COLUMNS($AB$1006:AD1006),$AB$1006:$AQ$1006,0))&gt;=100000), " ",IF(INDEX($AB$2:$AQ$1001,MATCH(ROWS($U$2:U64),$U$2:$U$1001,0),MATCH(COLUMNS($AB$1006:AD1006),$AB$1006:$AQ$1006,0)), HYPERLINK("#",""), HYPERLINK(CONCATENATE("#Metadata!", ADDRESS(INDEX($W$2:$W$1001,MATCH(ROWS($U$2:U64),$U$2:$U$1001,0),0), INDEX($AB$1004:$AQ$1004,1,MATCH(COLUMNS($AB$1006:AD1006),$AB$1006:$AQ$1006,0)))),"Fix")))</f>
        <v>0</v>
      </c>
      <c r="E64" s="5">
        <f>IF(OR(INDEX($V$2:$V$1001,MATCH(ROWS($U$2:U64),$U$2:$U$1001,0),1)&gt;=100000,INDEX($AB$1005:$AQ$1005,1,MATCH(COLUMNS($AB$1006:AE1006),$AB$1006:$AQ$1006,0))&gt;=100000), " ",IF(INDEX($AB$2:$AQ$1001,MATCH(ROWS($U$2:U64),$U$2:$U$1001,0),MATCH(COLUMNS($AB$1006:AE1006),$AB$1006:$AQ$1006,0)), HYPERLINK("#",""), HYPERLINK(CONCATENATE("#Metadata!", ADDRESS(INDEX($W$2:$W$1001,MATCH(ROWS($U$2:U64),$U$2:$U$1001,0),0), INDEX($AB$1004:$AQ$1004,1,MATCH(COLUMNS($AB$1006:AE1006),$AB$1006:$AQ$1006,0)))),"Fix")))</f>
        <v>0</v>
      </c>
      <c r="F64" s="5">
        <f>IF(OR(INDEX($V$2:$V$1001,MATCH(ROWS($U$2:U64),$U$2:$U$1001,0),1)&gt;=100000,INDEX($AB$1005:$AQ$1005,1,MATCH(COLUMNS($AB$1006:AF1006),$AB$1006:$AQ$1006,0))&gt;=100000), " ",IF(INDEX($AB$2:$AQ$1001,MATCH(ROWS($U$2:U64),$U$2:$U$1001,0),MATCH(COLUMNS($AB$1006:AF1006),$AB$1006:$AQ$1006,0)), HYPERLINK("#",""), HYPERLINK(CONCATENATE("#Metadata!", ADDRESS(INDEX($W$2:$W$1001,MATCH(ROWS($U$2:U64),$U$2:$U$1001,0),0), INDEX($AB$1004:$AQ$1004,1,MATCH(COLUMNS($AB$1006:AF1006),$AB$1006:$AQ$1006,0)))),"Fix")))</f>
        <v>0</v>
      </c>
      <c r="G64" s="5">
        <f>IF(OR(INDEX($V$2:$V$1001,MATCH(ROWS($U$2:U64),$U$2:$U$1001,0),1)&gt;=100000,INDEX($AB$1005:$AQ$1005,1,MATCH(COLUMNS($AB$1006:AG1006),$AB$1006:$AQ$1006,0))&gt;=100000), " ",IF(INDEX($AB$2:$AQ$1001,MATCH(ROWS($U$2:U64),$U$2:$U$1001,0),MATCH(COLUMNS($AB$1006:AG1006),$AB$1006:$AQ$1006,0)), HYPERLINK("#",""), HYPERLINK(CONCATENATE("#Metadata!", ADDRESS(INDEX($W$2:$W$1001,MATCH(ROWS($U$2:U64),$U$2:$U$1001,0),0), INDEX($AB$1004:$AQ$1004,1,MATCH(COLUMNS($AB$1006:AG1006),$AB$1006:$AQ$1006,0)))),"Fix")))</f>
        <v>0</v>
      </c>
      <c r="H64" s="5">
        <f>IF(OR(INDEX($V$2:$V$1001,MATCH(ROWS($U$2:U64),$U$2:$U$1001,0),1)&gt;=100000,INDEX($AB$1005:$AQ$1005,1,MATCH(COLUMNS($AB$1006:AH1006),$AB$1006:$AQ$1006,0))&gt;=100000), " ",IF(INDEX($AB$2:$AQ$1001,MATCH(ROWS($U$2:U64),$U$2:$U$1001,0),MATCH(COLUMNS($AB$1006:AH1006),$AB$1006:$AQ$1006,0)), HYPERLINK("#",""), HYPERLINK(CONCATENATE("#Metadata!", ADDRESS(INDEX($W$2:$W$1001,MATCH(ROWS($U$2:U64),$U$2:$U$1001,0),0), INDEX($AB$1004:$AQ$1004,1,MATCH(COLUMNS($AB$1006:AH1006),$AB$1006:$AQ$1006,0)))),"Fix")))</f>
        <v>0</v>
      </c>
      <c r="I64" s="5">
        <f>IF(OR(INDEX($V$2:$V$1001,MATCH(ROWS($U$2:U64),$U$2:$U$1001,0),1)&gt;=100000,INDEX($AB$1005:$AQ$1005,1,MATCH(COLUMNS($AB$1006:AI1006),$AB$1006:$AQ$1006,0))&gt;=100000), " ",IF(INDEX($AB$2:$AQ$1001,MATCH(ROWS($U$2:U64),$U$2:$U$1001,0),MATCH(COLUMNS($AB$1006:AI1006),$AB$1006:$AQ$1006,0)), HYPERLINK("#",""), HYPERLINK(CONCATENATE("#Metadata!", ADDRESS(INDEX($W$2:$W$1001,MATCH(ROWS($U$2:U64),$U$2:$U$1001,0),0), INDEX($AB$1004:$AQ$1004,1,MATCH(COLUMNS($AB$1006:AI1006),$AB$1006:$AQ$1006,0)))),"Fix")))</f>
        <v>0</v>
      </c>
      <c r="J64" s="5">
        <f>IF(OR(INDEX($V$2:$V$1001,MATCH(ROWS($U$2:U64),$U$2:$U$1001,0),1)&gt;=100000,INDEX($AB$1005:$AQ$1005,1,MATCH(COLUMNS($AB$1006:AJ1006),$AB$1006:$AQ$1006,0))&gt;=100000), " ",IF(INDEX($AB$2:$AQ$1001,MATCH(ROWS($U$2:U64),$U$2:$U$1001,0),MATCH(COLUMNS($AB$1006:AJ1006),$AB$1006:$AQ$1006,0)), HYPERLINK("#",""), HYPERLINK(CONCATENATE("#Metadata!", ADDRESS(INDEX($W$2:$W$1001,MATCH(ROWS($U$2:U64),$U$2:$U$1001,0),0), INDEX($AB$1004:$AQ$1004,1,MATCH(COLUMNS($AB$1006:AJ1006),$AB$1006:$AQ$1006,0)))),"Fix")))</f>
        <v>0</v>
      </c>
      <c r="K64" s="5">
        <f>IF(OR(INDEX($V$2:$V$1001,MATCH(ROWS($U$2:U64),$U$2:$U$1001,0),1)&gt;=100000,INDEX($AB$1005:$AQ$1005,1,MATCH(COLUMNS($AB$1006:AK1006),$AB$1006:$AQ$1006,0))&gt;=100000), " ",IF(INDEX($AB$2:$AQ$1001,MATCH(ROWS($U$2:U64),$U$2:$U$1001,0),MATCH(COLUMNS($AB$1006:AK1006),$AB$1006:$AQ$1006,0)), HYPERLINK("#",""), HYPERLINK(CONCATENATE("#Metadata!", ADDRESS(INDEX($W$2:$W$1001,MATCH(ROWS($U$2:U64),$U$2:$U$1001,0),0), INDEX($AB$1004:$AQ$1004,1,MATCH(COLUMNS($AB$1006:AK1006),$AB$1006:$AQ$1006,0)))),"Fix")))</f>
        <v>0</v>
      </c>
      <c r="L64" s="5">
        <f>IF(OR(INDEX($V$2:$V$1001,MATCH(ROWS($U$2:U64),$U$2:$U$1001,0),1)&gt;=100000,INDEX($AB$1005:$AQ$1005,1,MATCH(COLUMNS($AB$1006:AL1006),$AB$1006:$AQ$1006,0))&gt;=100000), " ",IF(INDEX($AB$2:$AQ$1001,MATCH(ROWS($U$2:U64),$U$2:$U$1001,0),MATCH(COLUMNS($AB$1006:AL1006),$AB$1006:$AQ$1006,0)), HYPERLINK("#",""), HYPERLINK(CONCATENATE("#Metadata!", ADDRESS(INDEX($W$2:$W$1001,MATCH(ROWS($U$2:U64),$U$2:$U$1001,0),0), INDEX($AB$1004:$AQ$1004,1,MATCH(COLUMNS($AB$1006:AL1006),$AB$1006:$AQ$1006,0)))),"Fix")))</f>
        <v>0</v>
      </c>
      <c r="M64" s="5">
        <f>IF(OR(INDEX($V$2:$V$1001,MATCH(ROWS($U$2:U64),$U$2:$U$1001,0),1)&gt;=100000,INDEX($AB$1005:$AQ$1005,1,MATCH(COLUMNS($AB$1006:AM1006),$AB$1006:$AQ$1006,0))&gt;=100000), " ",IF(INDEX($AB$2:$AQ$1001,MATCH(ROWS($U$2:U64),$U$2:$U$1001,0),MATCH(COLUMNS($AB$1006:AM1006),$AB$1006:$AQ$1006,0)), HYPERLINK("#",""), HYPERLINK(CONCATENATE("#Metadata!", ADDRESS(INDEX($W$2:$W$1001,MATCH(ROWS($U$2:U64),$U$2:$U$1001,0),0), INDEX($AB$1004:$AQ$1004,1,MATCH(COLUMNS($AB$1006:AM1006),$AB$1006:$AQ$1006,0)))),"Fix")))</f>
        <v>0</v>
      </c>
      <c r="N64" s="5">
        <f>IF(OR(INDEX($V$2:$V$1001,MATCH(ROWS($U$2:U64),$U$2:$U$1001,0),1)&gt;=100000,INDEX($AB$1005:$AQ$1005,1,MATCH(COLUMNS($AB$1006:AN1006),$AB$1006:$AQ$1006,0))&gt;=100000), " ",IF(INDEX($AB$2:$AQ$1001,MATCH(ROWS($U$2:U64),$U$2:$U$1001,0),MATCH(COLUMNS($AB$1006:AN1006),$AB$1006:$AQ$1006,0)), HYPERLINK("#",""), HYPERLINK(CONCATENATE("#Metadata!", ADDRESS(INDEX($W$2:$W$1001,MATCH(ROWS($U$2:U64),$U$2:$U$1001,0),0), INDEX($AB$1004:$AQ$1004,1,MATCH(COLUMNS($AB$1006:AN1006),$AB$1006:$AQ$1006,0)))),"Fix")))</f>
        <v>0</v>
      </c>
      <c r="O64" s="5">
        <f>IF(OR(INDEX($V$2:$V$1001,MATCH(ROWS($U$2:U64),$U$2:$U$1001,0),1)&gt;=100000,INDEX($AB$1005:$AQ$1005,1,MATCH(COLUMNS($AB$1006:AO1006),$AB$1006:$AQ$1006,0))&gt;=100000), " ",IF(INDEX($AB$2:$AQ$1001,MATCH(ROWS($U$2:U64),$U$2:$U$1001,0),MATCH(COLUMNS($AB$1006:AO1006),$AB$1006:$AQ$1006,0)), HYPERLINK("#",""), HYPERLINK(CONCATENATE("#Metadata!", ADDRESS(INDEX($W$2:$W$1001,MATCH(ROWS($U$2:U64),$U$2:$U$1001,0),0), INDEX($AB$1004:$AQ$1004,1,MATCH(COLUMNS($AB$1006:AO1006),$AB$1006:$AQ$1006,0)))),"Fix")))</f>
        <v>0</v>
      </c>
      <c r="P64" s="5">
        <f>IF(OR(INDEX($V$2:$V$1001,MATCH(ROWS($U$2:U64),$U$2:$U$1001,0),1)&gt;=100000,INDEX($AB$1005:$AQ$1005,1,MATCH(COLUMNS($AB$1006:AP1006),$AB$1006:$AQ$1006,0))&gt;=100000), " ",IF(INDEX($AB$2:$AQ$1001,MATCH(ROWS($U$2:U64),$U$2:$U$1001,0),MATCH(COLUMNS($AB$1006:AP1006),$AB$1006:$AQ$1006,0)), HYPERLINK("#",""), HYPERLINK(CONCATENATE("#Metadata!", ADDRESS(INDEX($W$2:$W$1001,MATCH(ROWS($U$2:U64),$U$2:$U$1001,0),0), INDEX($AB$1004:$AQ$1004,1,MATCH(COLUMNS($AB$1006:AP1006),$AB$1006:$AQ$1006,0)))),"Fix")))</f>
        <v>0</v>
      </c>
      <c r="Q64" s="5">
        <f>IF(OR(INDEX($V$2:$V$1001,MATCH(ROWS($U$2:U64),$U$2:$U$1001,0),1)&gt;=100000,INDEX($AB$1005:$AQ$1005,1,MATCH(COLUMNS($AB$1006:AQ1006),$AB$1006:$AQ$1006,0))&gt;=100000), " ",IF(INDEX($AB$2:$AQ$1001,MATCH(ROWS($U$2:U64),$U$2:$U$1001,0),MATCH(COLUMNS($AB$1006:AQ1006),$AB$1006:$AQ$1006,0)), HYPERLINK("#",""), HYPERLINK(CONCATENATE("#Metadata!", ADDRESS(INDEX($W$2:$W$1001,MATCH(ROWS($U$2:U64),$U$2:$U$1001,0),0), INDEX($AB$1004:$AQ$1004,1,MATCH(COLUMNS($AB$1006:AQ1006),$AB$1006:$AQ$1006,0)))),"Fix")))</f>
        <v>0</v>
      </c>
      <c r="U64">
        <v>0</v>
      </c>
      <c r="V64">
        <v>0</v>
      </c>
      <c r="W64">
        <v>0</v>
      </c>
      <c r="X64">
        <f>IF(Y64,TRUE,AND(AB64:AQ64))</f>
        <v>0</v>
      </c>
      <c r="Y64">
        <f>COUNTBLANK(Metadata!B64:Q64)=COLUMNS(Metadata!B64:Q64)</f>
        <v>0</v>
      </c>
      <c r="Z64">
        <v>0</v>
      </c>
      <c r="AB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AC64">
        <f>AND(IF(Metadata!C64="",FALSE,TRUE),exact(Metadata!C64,"urban biome"))</f>
        <v>0</v>
      </c>
      <c r="AD64">
        <f>AND(IF(Metadata!D64="",FALSE,TRUE),exact(Metadata!D64,"human-associated habitat"))</f>
        <v>0</v>
      </c>
      <c r="AE64">
        <f>AND(IF(Metadata!E64="",FALSE,TRUE),OR(exact(Metadata!E64,"human-associated"),exact(Metadata!E64,"human-skin"),exact(Metadata!E64,"human-oral"),exact(Metadata!E64,"human-gut"),exact(Metadata!E64,"human-vaginal")))</f>
        <v>0</v>
      </c>
      <c r="AF64">
        <f>AND(IF(Metadata!F64="",FALSE,ISNUMBER(VALUE(Metadata!F64))),Metadata!F64&gt;0)</f>
        <v>0</v>
      </c>
      <c r="AG64">
        <f>AND(IF(Metadata!G64="",FALSE,TRUE),exact(Metadata!G64,"years"))</f>
        <v>0</v>
      </c>
      <c r="AH64">
        <f>OR(AND(IF(Metadata!H64="",FALSE,TRUE),OR(exact(Metadata!H64,"not applicable"),exact(Metadata!H64,"not collected"),exact(Metadata!H64,"not provided"),exact(Metadata!H64,"restricted access"))),AND(IF(Metadata!H64="",FALSE,ISNUMBER(VALUE(Metadata!H64))),Metadata!H64&gt;0))</f>
        <v>0</v>
      </c>
      <c r="AI64">
        <f>AND(IF(Metadata!I64="",FALSE,TRUE),exact(Metadata!I64,"human"))</f>
        <v>0</v>
      </c>
      <c r="AJ64">
        <f>AND(IF(Metadata!J64="",FALSE,ISNUMBER(VALUE(Metadata!J64))),Metadata!J64&gt;0)</f>
        <v>0</v>
      </c>
      <c r="AK64">
        <f>AND(IF(Metadata!K64="",FALSE,TRUE),exact(Metadata!K64,"cm"))</f>
        <v>0</v>
      </c>
      <c r="AL64">
        <f>AND(IF(Metadata!L64="",FALSE,TRUE),exact(Metadata!L64,"Homo sapiens"))</f>
        <v>0</v>
      </c>
      <c r="AM64">
        <f>AND(IF(Metadata!M64="",FALSE,TRUE),exact(Metadata!M64,"9606"))</f>
        <v>0</v>
      </c>
      <c r="AN64">
        <f>AND(IF(Metadata!N64="",FALSE,ISNUMBER(VALUE(Metadata!N64))),Metadata!N64&gt;0)</f>
        <v>0</v>
      </c>
      <c r="AO64">
        <f>AND(IF(Metadata!O64="",FALSE,TRUE),exact(Metadata!O64,"kg"))</f>
        <v>0</v>
      </c>
      <c r="AP64">
        <f>OR(AND(IF(Metadata!P64="",FALSE,TRUE),exact(Metadata!P64,"not provided")),IF(Metadata!P64="",FALSE,TRUE))</f>
        <v>0</v>
      </c>
      <c r="AQ64">
        <f>OR(AND(IF(Metadata!Q64="",FALSE,TRUE),exact(Metadata!Q64,"not provided")),IF(Metadata!Q64="",FALSE,TRUE))</f>
        <v>0</v>
      </c>
    </row>
    <row r="65" spans="1:43">
      <c r="A65" s="4">
        <f>IF(B65=" "," ",HYPERLINK(CONCATENATE("#metadata!",ADDRESS(INDEX($W$2:$W$1001,MATCH(ROWS($U$2:U65),$U$2:$U$1001,0),0),2)),INDEX($Z$2:$Z$1001,MATCH(ROWS($U$2:U65),$U$2:$U$1001,0),0)))</f>
        <v>0</v>
      </c>
      <c r="B65" s="5">
        <f>IF(OR(INDEX($V$2:$V$1001,MATCH(ROWS($U$2:U65),$U$2:$U$1001,0),1)&gt;=100000,INDEX($AB$1005:$AQ$1005,1,MATCH(COLUMNS($AB$1006:AB1006),$AB$1006:$AQ$1006,0))&gt;=100000), " ",IF(INDEX($AB$2:$AQ$1001,MATCH(ROWS($U$2:U65),$U$2:$U$1001,0),MATCH(COLUMNS($AB$1006:AB1006),$AB$1006:$AQ$1006,0)), HYPERLINK("#",""), HYPERLINK(CONCATENATE("#Metadata!", ADDRESS(INDEX($W$2:$W$1001,MATCH(ROWS($U$2:U65),$U$2:$U$1001,0),0), INDEX($AB$1004:$AQ$1004,1,MATCH(COLUMNS($AB$1006:AB1006),$AB$1006:$AQ$1006,0)))),"Fix")))</f>
        <v>0</v>
      </c>
      <c r="C65" s="5">
        <f>IF(OR(INDEX($V$2:$V$1001,MATCH(ROWS($U$2:U65),$U$2:$U$1001,0),1)&gt;=100000,INDEX($AB$1005:$AQ$1005,1,MATCH(COLUMNS($AB$1006:AC1006),$AB$1006:$AQ$1006,0))&gt;=100000), " ",IF(INDEX($AB$2:$AQ$1001,MATCH(ROWS($U$2:U65),$U$2:$U$1001,0),MATCH(COLUMNS($AB$1006:AC1006),$AB$1006:$AQ$1006,0)), HYPERLINK("#",""), HYPERLINK(CONCATENATE("#Metadata!", ADDRESS(INDEX($W$2:$W$1001,MATCH(ROWS($U$2:U65),$U$2:$U$1001,0),0), INDEX($AB$1004:$AQ$1004,1,MATCH(COLUMNS($AB$1006:AC1006),$AB$1006:$AQ$1006,0)))),"Fix")))</f>
        <v>0</v>
      </c>
      <c r="D65" s="5">
        <f>IF(OR(INDEX($V$2:$V$1001,MATCH(ROWS($U$2:U65),$U$2:$U$1001,0),1)&gt;=100000,INDEX($AB$1005:$AQ$1005,1,MATCH(COLUMNS($AB$1006:AD1006),$AB$1006:$AQ$1006,0))&gt;=100000), " ",IF(INDEX($AB$2:$AQ$1001,MATCH(ROWS($U$2:U65),$U$2:$U$1001,0),MATCH(COLUMNS($AB$1006:AD1006),$AB$1006:$AQ$1006,0)), HYPERLINK("#",""), HYPERLINK(CONCATENATE("#Metadata!", ADDRESS(INDEX($W$2:$W$1001,MATCH(ROWS($U$2:U65),$U$2:$U$1001,0),0), INDEX($AB$1004:$AQ$1004,1,MATCH(COLUMNS($AB$1006:AD1006),$AB$1006:$AQ$1006,0)))),"Fix")))</f>
        <v>0</v>
      </c>
      <c r="E65" s="5">
        <f>IF(OR(INDEX($V$2:$V$1001,MATCH(ROWS($U$2:U65),$U$2:$U$1001,0),1)&gt;=100000,INDEX($AB$1005:$AQ$1005,1,MATCH(COLUMNS($AB$1006:AE1006),$AB$1006:$AQ$1006,0))&gt;=100000), " ",IF(INDEX($AB$2:$AQ$1001,MATCH(ROWS($U$2:U65),$U$2:$U$1001,0),MATCH(COLUMNS($AB$1006:AE1006),$AB$1006:$AQ$1006,0)), HYPERLINK("#",""), HYPERLINK(CONCATENATE("#Metadata!", ADDRESS(INDEX($W$2:$W$1001,MATCH(ROWS($U$2:U65),$U$2:$U$1001,0),0), INDEX($AB$1004:$AQ$1004,1,MATCH(COLUMNS($AB$1006:AE1006),$AB$1006:$AQ$1006,0)))),"Fix")))</f>
        <v>0</v>
      </c>
      <c r="F65" s="5">
        <f>IF(OR(INDEX($V$2:$V$1001,MATCH(ROWS($U$2:U65),$U$2:$U$1001,0),1)&gt;=100000,INDEX($AB$1005:$AQ$1005,1,MATCH(COLUMNS($AB$1006:AF1006),$AB$1006:$AQ$1006,0))&gt;=100000), " ",IF(INDEX($AB$2:$AQ$1001,MATCH(ROWS($U$2:U65),$U$2:$U$1001,0),MATCH(COLUMNS($AB$1006:AF1006),$AB$1006:$AQ$1006,0)), HYPERLINK("#",""), HYPERLINK(CONCATENATE("#Metadata!", ADDRESS(INDEX($W$2:$W$1001,MATCH(ROWS($U$2:U65),$U$2:$U$1001,0),0), INDEX($AB$1004:$AQ$1004,1,MATCH(COLUMNS($AB$1006:AF1006),$AB$1006:$AQ$1006,0)))),"Fix")))</f>
        <v>0</v>
      </c>
      <c r="G65" s="5">
        <f>IF(OR(INDEX($V$2:$V$1001,MATCH(ROWS($U$2:U65),$U$2:$U$1001,0),1)&gt;=100000,INDEX($AB$1005:$AQ$1005,1,MATCH(COLUMNS($AB$1006:AG1006),$AB$1006:$AQ$1006,0))&gt;=100000), " ",IF(INDEX($AB$2:$AQ$1001,MATCH(ROWS($U$2:U65),$U$2:$U$1001,0),MATCH(COLUMNS($AB$1006:AG1006),$AB$1006:$AQ$1006,0)), HYPERLINK("#",""), HYPERLINK(CONCATENATE("#Metadata!", ADDRESS(INDEX($W$2:$W$1001,MATCH(ROWS($U$2:U65),$U$2:$U$1001,0),0), INDEX($AB$1004:$AQ$1004,1,MATCH(COLUMNS($AB$1006:AG1006),$AB$1006:$AQ$1006,0)))),"Fix")))</f>
        <v>0</v>
      </c>
      <c r="H65" s="5">
        <f>IF(OR(INDEX($V$2:$V$1001,MATCH(ROWS($U$2:U65),$U$2:$U$1001,0),1)&gt;=100000,INDEX($AB$1005:$AQ$1005,1,MATCH(COLUMNS($AB$1006:AH1006),$AB$1006:$AQ$1006,0))&gt;=100000), " ",IF(INDEX($AB$2:$AQ$1001,MATCH(ROWS($U$2:U65),$U$2:$U$1001,0),MATCH(COLUMNS($AB$1006:AH1006),$AB$1006:$AQ$1006,0)), HYPERLINK("#",""), HYPERLINK(CONCATENATE("#Metadata!", ADDRESS(INDEX($W$2:$W$1001,MATCH(ROWS($U$2:U65),$U$2:$U$1001,0),0), INDEX($AB$1004:$AQ$1004,1,MATCH(COLUMNS($AB$1006:AH1006),$AB$1006:$AQ$1006,0)))),"Fix")))</f>
        <v>0</v>
      </c>
      <c r="I65" s="5">
        <f>IF(OR(INDEX($V$2:$V$1001,MATCH(ROWS($U$2:U65),$U$2:$U$1001,0),1)&gt;=100000,INDEX($AB$1005:$AQ$1005,1,MATCH(COLUMNS($AB$1006:AI1006),$AB$1006:$AQ$1006,0))&gt;=100000), " ",IF(INDEX($AB$2:$AQ$1001,MATCH(ROWS($U$2:U65),$U$2:$U$1001,0),MATCH(COLUMNS($AB$1006:AI1006),$AB$1006:$AQ$1006,0)), HYPERLINK("#",""), HYPERLINK(CONCATENATE("#Metadata!", ADDRESS(INDEX($W$2:$W$1001,MATCH(ROWS($U$2:U65),$U$2:$U$1001,0),0), INDEX($AB$1004:$AQ$1004,1,MATCH(COLUMNS($AB$1006:AI1006),$AB$1006:$AQ$1006,0)))),"Fix")))</f>
        <v>0</v>
      </c>
      <c r="J65" s="5">
        <f>IF(OR(INDEX($V$2:$V$1001,MATCH(ROWS($U$2:U65),$U$2:$U$1001,0),1)&gt;=100000,INDEX($AB$1005:$AQ$1005,1,MATCH(COLUMNS($AB$1006:AJ1006),$AB$1006:$AQ$1006,0))&gt;=100000), " ",IF(INDEX($AB$2:$AQ$1001,MATCH(ROWS($U$2:U65),$U$2:$U$1001,0),MATCH(COLUMNS($AB$1006:AJ1006),$AB$1006:$AQ$1006,0)), HYPERLINK("#",""), HYPERLINK(CONCATENATE("#Metadata!", ADDRESS(INDEX($W$2:$W$1001,MATCH(ROWS($U$2:U65),$U$2:$U$1001,0),0), INDEX($AB$1004:$AQ$1004,1,MATCH(COLUMNS($AB$1006:AJ1006),$AB$1006:$AQ$1006,0)))),"Fix")))</f>
        <v>0</v>
      </c>
      <c r="K65" s="5">
        <f>IF(OR(INDEX($V$2:$V$1001,MATCH(ROWS($U$2:U65),$U$2:$U$1001,0),1)&gt;=100000,INDEX($AB$1005:$AQ$1005,1,MATCH(COLUMNS($AB$1006:AK1006),$AB$1006:$AQ$1006,0))&gt;=100000), " ",IF(INDEX($AB$2:$AQ$1001,MATCH(ROWS($U$2:U65),$U$2:$U$1001,0),MATCH(COLUMNS($AB$1006:AK1006),$AB$1006:$AQ$1006,0)), HYPERLINK("#",""), HYPERLINK(CONCATENATE("#Metadata!", ADDRESS(INDEX($W$2:$W$1001,MATCH(ROWS($U$2:U65),$U$2:$U$1001,0),0), INDEX($AB$1004:$AQ$1004,1,MATCH(COLUMNS($AB$1006:AK1006),$AB$1006:$AQ$1006,0)))),"Fix")))</f>
        <v>0</v>
      </c>
      <c r="L65" s="5">
        <f>IF(OR(INDEX($V$2:$V$1001,MATCH(ROWS($U$2:U65),$U$2:$U$1001,0),1)&gt;=100000,INDEX($AB$1005:$AQ$1005,1,MATCH(COLUMNS($AB$1006:AL1006),$AB$1006:$AQ$1006,0))&gt;=100000), " ",IF(INDEX($AB$2:$AQ$1001,MATCH(ROWS($U$2:U65),$U$2:$U$1001,0),MATCH(COLUMNS($AB$1006:AL1006),$AB$1006:$AQ$1006,0)), HYPERLINK("#",""), HYPERLINK(CONCATENATE("#Metadata!", ADDRESS(INDEX($W$2:$W$1001,MATCH(ROWS($U$2:U65),$U$2:$U$1001,0),0), INDEX($AB$1004:$AQ$1004,1,MATCH(COLUMNS($AB$1006:AL1006),$AB$1006:$AQ$1006,0)))),"Fix")))</f>
        <v>0</v>
      </c>
      <c r="M65" s="5">
        <f>IF(OR(INDEX($V$2:$V$1001,MATCH(ROWS($U$2:U65),$U$2:$U$1001,0),1)&gt;=100000,INDEX($AB$1005:$AQ$1005,1,MATCH(COLUMNS($AB$1006:AM1006),$AB$1006:$AQ$1006,0))&gt;=100000), " ",IF(INDEX($AB$2:$AQ$1001,MATCH(ROWS($U$2:U65),$U$2:$U$1001,0),MATCH(COLUMNS($AB$1006:AM1006),$AB$1006:$AQ$1006,0)), HYPERLINK("#",""), HYPERLINK(CONCATENATE("#Metadata!", ADDRESS(INDEX($W$2:$W$1001,MATCH(ROWS($U$2:U65),$U$2:$U$1001,0),0), INDEX($AB$1004:$AQ$1004,1,MATCH(COLUMNS($AB$1006:AM1006),$AB$1006:$AQ$1006,0)))),"Fix")))</f>
        <v>0</v>
      </c>
      <c r="N65" s="5">
        <f>IF(OR(INDEX($V$2:$V$1001,MATCH(ROWS($U$2:U65),$U$2:$U$1001,0),1)&gt;=100000,INDEX($AB$1005:$AQ$1005,1,MATCH(COLUMNS($AB$1006:AN1006),$AB$1006:$AQ$1006,0))&gt;=100000), " ",IF(INDEX($AB$2:$AQ$1001,MATCH(ROWS($U$2:U65),$U$2:$U$1001,0),MATCH(COLUMNS($AB$1006:AN1006),$AB$1006:$AQ$1006,0)), HYPERLINK("#",""), HYPERLINK(CONCATENATE("#Metadata!", ADDRESS(INDEX($W$2:$W$1001,MATCH(ROWS($U$2:U65),$U$2:$U$1001,0),0), INDEX($AB$1004:$AQ$1004,1,MATCH(COLUMNS($AB$1006:AN1006),$AB$1006:$AQ$1006,0)))),"Fix")))</f>
        <v>0</v>
      </c>
      <c r="O65" s="5">
        <f>IF(OR(INDEX($V$2:$V$1001,MATCH(ROWS($U$2:U65),$U$2:$U$1001,0),1)&gt;=100000,INDEX($AB$1005:$AQ$1005,1,MATCH(COLUMNS($AB$1006:AO1006),$AB$1006:$AQ$1006,0))&gt;=100000), " ",IF(INDEX($AB$2:$AQ$1001,MATCH(ROWS($U$2:U65),$U$2:$U$1001,0),MATCH(COLUMNS($AB$1006:AO1006),$AB$1006:$AQ$1006,0)), HYPERLINK("#",""), HYPERLINK(CONCATENATE("#Metadata!", ADDRESS(INDEX($W$2:$W$1001,MATCH(ROWS($U$2:U65),$U$2:$U$1001,0),0), INDEX($AB$1004:$AQ$1004,1,MATCH(COLUMNS($AB$1006:AO1006),$AB$1006:$AQ$1006,0)))),"Fix")))</f>
        <v>0</v>
      </c>
      <c r="P65" s="5">
        <f>IF(OR(INDEX($V$2:$V$1001,MATCH(ROWS($U$2:U65),$U$2:$U$1001,0),1)&gt;=100000,INDEX($AB$1005:$AQ$1005,1,MATCH(COLUMNS($AB$1006:AP1006),$AB$1006:$AQ$1006,0))&gt;=100000), " ",IF(INDEX($AB$2:$AQ$1001,MATCH(ROWS($U$2:U65),$U$2:$U$1001,0),MATCH(COLUMNS($AB$1006:AP1006),$AB$1006:$AQ$1006,0)), HYPERLINK("#",""), HYPERLINK(CONCATENATE("#Metadata!", ADDRESS(INDEX($W$2:$W$1001,MATCH(ROWS($U$2:U65),$U$2:$U$1001,0),0), INDEX($AB$1004:$AQ$1004,1,MATCH(COLUMNS($AB$1006:AP1006),$AB$1006:$AQ$1006,0)))),"Fix")))</f>
        <v>0</v>
      </c>
      <c r="Q65" s="5">
        <f>IF(OR(INDEX($V$2:$V$1001,MATCH(ROWS($U$2:U65),$U$2:$U$1001,0),1)&gt;=100000,INDEX($AB$1005:$AQ$1005,1,MATCH(COLUMNS($AB$1006:AQ1006),$AB$1006:$AQ$1006,0))&gt;=100000), " ",IF(INDEX($AB$2:$AQ$1001,MATCH(ROWS($U$2:U65),$U$2:$U$1001,0),MATCH(COLUMNS($AB$1006:AQ1006),$AB$1006:$AQ$1006,0)), HYPERLINK("#",""), HYPERLINK(CONCATENATE("#Metadata!", ADDRESS(INDEX($W$2:$W$1001,MATCH(ROWS($U$2:U65),$U$2:$U$1001,0),0), INDEX($AB$1004:$AQ$1004,1,MATCH(COLUMNS($AB$1006:AQ1006),$AB$1006:$AQ$1006,0)))),"Fix")))</f>
        <v>0</v>
      </c>
      <c r="U65">
        <v>0</v>
      </c>
      <c r="V65">
        <v>0</v>
      </c>
      <c r="W65">
        <v>0</v>
      </c>
      <c r="X65">
        <f>IF(Y65,TRUE,AND(AB65:AQ65))</f>
        <v>0</v>
      </c>
      <c r="Y65">
        <f>COUNTBLANK(Metadata!B65:Q65)=COLUMNS(Metadata!B65:Q65)</f>
        <v>0</v>
      </c>
      <c r="Z65">
        <v>0</v>
      </c>
      <c r="AB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AC65">
        <f>AND(IF(Metadata!C65="",FALSE,TRUE),exact(Metadata!C65,"urban biome"))</f>
        <v>0</v>
      </c>
      <c r="AD65">
        <f>AND(IF(Metadata!D65="",FALSE,TRUE),exact(Metadata!D65,"human-associated habitat"))</f>
        <v>0</v>
      </c>
      <c r="AE65">
        <f>AND(IF(Metadata!E65="",FALSE,TRUE),OR(exact(Metadata!E65,"human-associated"),exact(Metadata!E65,"human-skin"),exact(Metadata!E65,"human-oral"),exact(Metadata!E65,"human-gut"),exact(Metadata!E65,"human-vaginal")))</f>
        <v>0</v>
      </c>
      <c r="AF65">
        <f>AND(IF(Metadata!F65="",FALSE,ISNUMBER(VALUE(Metadata!F65))),Metadata!F65&gt;0)</f>
        <v>0</v>
      </c>
      <c r="AG65">
        <f>AND(IF(Metadata!G65="",FALSE,TRUE),exact(Metadata!G65,"years"))</f>
        <v>0</v>
      </c>
      <c r="AH65">
        <f>OR(AND(IF(Metadata!H65="",FALSE,TRUE),OR(exact(Metadata!H65,"not applicable"),exact(Metadata!H65,"not collected"),exact(Metadata!H65,"not provided"),exact(Metadata!H65,"restricted access"))),AND(IF(Metadata!H65="",FALSE,ISNUMBER(VALUE(Metadata!H65))),Metadata!H65&gt;0))</f>
        <v>0</v>
      </c>
      <c r="AI65">
        <f>AND(IF(Metadata!I65="",FALSE,TRUE),exact(Metadata!I65,"human"))</f>
        <v>0</v>
      </c>
      <c r="AJ65">
        <f>AND(IF(Metadata!J65="",FALSE,ISNUMBER(VALUE(Metadata!J65))),Metadata!J65&gt;0)</f>
        <v>0</v>
      </c>
      <c r="AK65">
        <f>AND(IF(Metadata!K65="",FALSE,TRUE),exact(Metadata!K65,"cm"))</f>
        <v>0</v>
      </c>
      <c r="AL65">
        <f>AND(IF(Metadata!L65="",FALSE,TRUE),exact(Metadata!L65,"Homo sapiens"))</f>
        <v>0</v>
      </c>
      <c r="AM65">
        <f>AND(IF(Metadata!M65="",FALSE,TRUE),exact(Metadata!M65,"9606"))</f>
        <v>0</v>
      </c>
      <c r="AN65">
        <f>AND(IF(Metadata!N65="",FALSE,ISNUMBER(VALUE(Metadata!N65))),Metadata!N65&gt;0)</f>
        <v>0</v>
      </c>
      <c r="AO65">
        <f>AND(IF(Metadata!O65="",FALSE,TRUE),exact(Metadata!O65,"kg"))</f>
        <v>0</v>
      </c>
      <c r="AP65">
        <f>OR(AND(IF(Metadata!P65="",FALSE,TRUE),exact(Metadata!P65,"not provided")),IF(Metadata!P65="",FALSE,TRUE))</f>
        <v>0</v>
      </c>
      <c r="AQ65">
        <f>OR(AND(IF(Metadata!Q65="",FALSE,TRUE),exact(Metadata!Q65,"not provided")),IF(Metadata!Q65="",FALSE,TRUE))</f>
        <v>0</v>
      </c>
    </row>
    <row r="66" spans="1:43">
      <c r="A66" s="4">
        <f>IF(B66=" "," ",HYPERLINK(CONCATENATE("#metadata!",ADDRESS(INDEX($W$2:$W$1001,MATCH(ROWS($U$2:U66),$U$2:$U$1001,0),0),2)),INDEX($Z$2:$Z$1001,MATCH(ROWS($U$2:U66),$U$2:$U$1001,0),0)))</f>
        <v>0</v>
      </c>
      <c r="B66" s="5">
        <f>IF(OR(INDEX($V$2:$V$1001,MATCH(ROWS($U$2:U66),$U$2:$U$1001,0),1)&gt;=100000,INDEX($AB$1005:$AQ$1005,1,MATCH(COLUMNS($AB$1006:AB1006),$AB$1006:$AQ$1006,0))&gt;=100000), " ",IF(INDEX($AB$2:$AQ$1001,MATCH(ROWS($U$2:U66),$U$2:$U$1001,0),MATCH(COLUMNS($AB$1006:AB1006),$AB$1006:$AQ$1006,0)), HYPERLINK("#",""), HYPERLINK(CONCATENATE("#Metadata!", ADDRESS(INDEX($W$2:$W$1001,MATCH(ROWS($U$2:U66),$U$2:$U$1001,0),0), INDEX($AB$1004:$AQ$1004,1,MATCH(COLUMNS($AB$1006:AB1006),$AB$1006:$AQ$1006,0)))),"Fix")))</f>
        <v>0</v>
      </c>
      <c r="C66" s="5">
        <f>IF(OR(INDEX($V$2:$V$1001,MATCH(ROWS($U$2:U66),$U$2:$U$1001,0),1)&gt;=100000,INDEX($AB$1005:$AQ$1005,1,MATCH(COLUMNS($AB$1006:AC1006),$AB$1006:$AQ$1006,0))&gt;=100000), " ",IF(INDEX($AB$2:$AQ$1001,MATCH(ROWS($U$2:U66),$U$2:$U$1001,0),MATCH(COLUMNS($AB$1006:AC1006),$AB$1006:$AQ$1006,0)), HYPERLINK("#",""), HYPERLINK(CONCATENATE("#Metadata!", ADDRESS(INDEX($W$2:$W$1001,MATCH(ROWS($U$2:U66),$U$2:$U$1001,0),0), INDEX($AB$1004:$AQ$1004,1,MATCH(COLUMNS($AB$1006:AC1006),$AB$1006:$AQ$1006,0)))),"Fix")))</f>
        <v>0</v>
      </c>
      <c r="D66" s="5">
        <f>IF(OR(INDEX($V$2:$V$1001,MATCH(ROWS($U$2:U66),$U$2:$U$1001,0),1)&gt;=100000,INDEX($AB$1005:$AQ$1005,1,MATCH(COLUMNS($AB$1006:AD1006),$AB$1006:$AQ$1006,0))&gt;=100000), " ",IF(INDEX($AB$2:$AQ$1001,MATCH(ROWS($U$2:U66),$U$2:$U$1001,0),MATCH(COLUMNS($AB$1006:AD1006),$AB$1006:$AQ$1006,0)), HYPERLINK("#",""), HYPERLINK(CONCATENATE("#Metadata!", ADDRESS(INDEX($W$2:$W$1001,MATCH(ROWS($U$2:U66),$U$2:$U$1001,0),0), INDEX($AB$1004:$AQ$1004,1,MATCH(COLUMNS($AB$1006:AD1006),$AB$1006:$AQ$1006,0)))),"Fix")))</f>
        <v>0</v>
      </c>
      <c r="E66" s="5">
        <f>IF(OR(INDEX($V$2:$V$1001,MATCH(ROWS($U$2:U66),$U$2:$U$1001,0),1)&gt;=100000,INDEX($AB$1005:$AQ$1005,1,MATCH(COLUMNS($AB$1006:AE1006),$AB$1006:$AQ$1006,0))&gt;=100000), " ",IF(INDEX($AB$2:$AQ$1001,MATCH(ROWS($U$2:U66),$U$2:$U$1001,0),MATCH(COLUMNS($AB$1006:AE1006),$AB$1006:$AQ$1006,0)), HYPERLINK("#",""), HYPERLINK(CONCATENATE("#Metadata!", ADDRESS(INDEX($W$2:$W$1001,MATCH(ROWS($U$2:U66),$U$2:$U$1001,0),0), INDEX($AB$1004:$AQ$1004,1,MATCH(COLUMNS($AB$1006:AE1006),$AB$1006:$AQ$1006,0)))),"Fix")))</f>
        <v>0</v>
      </c>
      <c r="F66" s="5">
        <f>IF(OR(INDEX($V$2:$V$1001,MATCH(ROWS($U$2:U66),$U$2:$U$1001,0),1)&gt;=100000,INDEX($AB$1005:$AQ$1005,1,MATCH(COLUMNS($AB$1006:AF1006),$AB$1006:$AQ$1006,0))&gt;=100000), " ",IF(INDEX($AB$2:$AQ$1001,MATCH(ROWS($U$2:U66),$U$2:$U$1001,0),MATCH(COLUMNS($AB$1006:AF1006),$AB$1006:$AQ$1006,0)), HYPERLINK("#",""), HYPERLINK(CONCATENATE("#Metadata!", ADDRESS(INDEX($W$2:$W$1001,MATCH(ROWS($U$2:U66),$U$2:$U$1001,0),0), INDEX($AB$1004:$AQ$1004,1,MATCH(COLUMNS($AB$1006:AF1006),$AB$1006:$AQ$1006,0)))),"Fix")))</f>
        <v>0</v>
      </c>
      <c r="G66" s="5">
        <f>IF(OR(INDEX($V$2:$V$1001,MATCH(ROWS($U$2:U66),$U$2:$U$1001,0),1)&gt;=100000,INDEX($AB$1005:$AQ$1005,1,MATCH(COLUMNS($AB$1006:AG1006),$AB$1006:$AQ$1006,0))&gt;=100000), " ",IF(INDEX($AB$2:$AQ$1001,MATCH(ROWS($U$2:U66),$U$2:$U$1001,0),MATCH(COLUMNS($AB$1006:AG1006),$AB$1006:$AQ$1006,0)), HYPERLINK("#",""), HYPERLINK(CONCATENATE("#Metadata!", ADDRESS(INDEX($W$2:$W$1001,MATCH(ROWS($U$2:U66),$U$2:$U$1001,0),0), INDEX($AB$1004:$AQ$1004,1,MATCH(COLUMNS($AB$1006:AG1006),$AB$1006:$AQ$1006,0)))),"Fix")))</f>
        <v>0</v>
      </c>
      <c r="H66" s="5">
        <f>IF(OR(INDEX($V$2:$V$1001,MATCH(ROWS($U$2:U66),$U$2:$U$1001,0),1)&gt;=100000,INDEX($AB$1005:$AQ$1005,1,MATCH(COLUMNS($AB$1006:AH1006),$AB$1006:$AQ$1006,0))&gt;=100000), " ",IF(INDEX($AB$2:$AQ$1001,MATCH(ROWS($U$2:U66),$U$2:$U$1001,0),MATCH(COLUMNS($AB$1006:AH1006),$AB$1006:$AQ$1006,0)), HYPERLINK("#",""), HYPERLINK(CONCATENATE("#Metadata!", ADDRESS(INDEX($W$2:$W$1001,MATCH(ROWS($U$2:U66),$U$2:$U$1001,0),0), INDEX($AB$1004:$AQ$1004,1,MATCH(COLUMNS($AB$1006:AH1006),$AB$1006:$AQ$1006,0)))),"Fix")))</f>
        <v>0</v>
      </c>
      <c r="I66" s="5">
        <f>IF(OR(INDEX($V$2:$V$1001,MATCH(ROWS($U$2:U66),$U$2:$U$1001,0),1)&gt;=100000,INDEX($AB$1005:$AQ$1005,1,MATCH(COLUMNS($AB$1006:AI1006),$AB$1006:$AQ$1006,0))&gt;=100000), " ",IF(INDEX($AB$2:$AQ$1001,MATCH(ROWS($U$2:U66),$U$2:$U$1001,0),MATCH(COLUMNS($AB$1006:AI1006),$AB$1006:$AQ$1006,0)), HYPERLINK("#",""), HYPERLINK(CONCATENATE("#Metadata!", ADDRESS(INDEX($W$2:$W$1001,MATCH(ROWS($U$2:U66),$U$2:$U$1001,0),0), INDEX($AB$1004:$AQ$1004,1,MATCH(COLUMNS($AB$1006:AI1006),$AB$1006:$AQ$1006,0)))),"Fix")))</f>
        <v>0</v>
      </c>
      <c r="J66" s="5">
        <f>IF(OR(INDEX($V$2:$V$1001,MATCH(ROWS($U$2:U66),$U$2:$U$1001,0),1)&gt;=100000,INDEX($AB$1005:$AQ$1005,1,MATCH(COLUMNS($AB$1006:AJ1006),$AB$1006:$AQ$1006,0))&gt;=100000), " ",IF(INDEX($AB$2:$AQ$1001,MATCH(ROWS($U$2:U66),$U$2:$U$1001,0),MATCH(COLUMNS($AB$1006:AJ1006),$AB$1006:$AQ$1006,0)), HYPERLINK("#",""), HYPERLINK(CONCATENATE("#Metadata!", ADDRESS(INDEX($W$2:$W$1001,MATCH(ROWS($U$2:U66),$U$2:$U$1001,0),0), INDEX($AB$1004:$AQ$1004,1,MATCH(COLUMNS($AB$1006:AJ1006),$AB$1006:$AQ$1006,0)))),"Fix")))</f>
        <v>0</v>
      </c>
      <c r="K66" s="5">
        <f>IF(OR(INDEX($V$2:$V$1001,MATCH(ROWS($U$2:U66),$U$2:$U$1001,0),1)&gt;=100000,INDEX($AB$1005:$AQ$1005,1,MATCH(COLUMNS($AB$1006:AK1006),$AB$1006:$AQ$1006,0))&gt;=100000), " ",IF(INDEX($AB$2:$AQ$1001,MATCH(ROWS($U$2:U66),$U$2:$U$1001,0),MATCH(COLUMNS($AB$1006:AK1006),$AB$1006:$AQ$1006,0)), HYPERLINK("#",""), HYPERLINK(CONCATENATE("#Metadata!", ADDRESS(INDEX($W$2:$W$1001,MATCH(ROWS($U$2:U66),$U$2:$U$1001,0),0), INDEX($AB$1004:$AQ$1004,1,MATCH(COLUMNS($AB$1006:AK1006),$AB$1006:$AQ$1006,0)))),"Fix")))</f>
        <v>0</v>
      </c>
      <c r="L66" s="5">
        <f>IF(OR(INDEX($V$2:$V$1001,MATCH(ROWS($U$2:U66),$U$2:$U$1001,0),1)&gt;=100000,INDEX($AB$1005:$AQ$1005,1,MATCH(COLUMNS($AB$1006:AL1006),$AB$1006:$AQ$1006,0))&gt;=100000), " ",IF(INDEX($AB$2:$AQ$1001,MATCH(ROWS($U$2:U66),$U$2:$U$1001,0),MATCH(COLUMNS($AB$1006:AL1006),$AB$1006:$AQ$1006,0)), HYPERLINK("#",""), HYPERLINK(CONCATENATE("#Metadata!", ADDRESS(INDEX($W$2:$W$1001,MATCH(ROWS($U$2:U66),$U$2:$U$1001,0),0), INDEX($AB$1004:$AQ$1004,1,MATCH(COLUMNS($AB$1006:AL1006),$AB$1006:$AQ$1006,0)))),"Fix")))</f>
        <v>0</v>
      </c>
      <c r="M66" s="5">
        <f>IF(OR(INDEX($V$2:$V$1001,MATCH(ROWS($U$2:U66),$U$2:$U$1001,0),1)&gt;=100000,INDEX($AB$1005:$AQ$1005,1,MATCH(COLUMNS($AB$1006:AM1006),$AB$1006:$AQ$1006,0))&gt;=100000), " ",IF(INDEX($AB$2:$AQ$1001,MATCH(ROWS($U$2:U66),$U$2:$U$1001,0),MATCH(COLUMNS($AB$1006:AM1006),$AB$1006:$AQ$1006,0)), HYPERLINK("#",""), HYPERLINK(CONCATENATE("#Metadata!", ADDRESS(INDEX($W$2:$W$1001,MATCH(ROWS($U$2:U66),$U$2:$U$1001,0),0), INDEX($AB$1004:$AQ$1004,1,MATCH(COLUMNS($AB$1006:AM1006),$AB$1006:$AQ$1006,0)))),"Fix")))</f>
        <v>0</v>
      </c>
      <c r="N66" s="5">
        <f>IF(OR(INDEX($V$2:$V$1001,MATCH(ROWS($U$2:U66),$U$2:$U$1001,0),1)&gt;=100000,INDEX($AB$1005:$AQ$1005,1,MATCH(COLUMNS($AB$1006:AN1006),$AB$1006:$AQ$1006,0))&gt;=100000), " ",IF(INDEX($AB$2:$AQ$1001,MATCH(ROWS($U$2:U66),$U$2:$U$1001,0),MATCH(COLUMNS($AB$1006:AN1006),$AB$1006:$AQ$1006,0)), HYPERLINK("#",""), HYPERLINK(CONCATENATE("#Metadata!", ADDRESS(INDEX($W$2:$W$1001,MATCH(ROWS($U$2:U66),$U$2:$U$1001,0),0), INDEX($AB$1004:$AQ$1004,1,MATCH(COLUMNS($AB$1006:AN1006),$AB$1006:$AQ$1006,0)))),"Fix")))</f>
        <v>0</v>
      </c>
      <c r="O66" s="5">
        <f>IF(OR(INDEX($V$2:$V$1001,MATCH(ROWS($U$2:U66),$U$2:$U$1001,0),1)&gt;=100000,INDEX($AB$1005:$AQ$1005,1,MATCH(COLUMNS($AB$1006:AO1006),$AB$1006:$AQ$1006,0))&gt;=100000), " ",IF(INDEX($AB$2:$AQ$1001,MATCH(ROWS($U$2:U66),$U$2:$U$1001,0),MATCH(COLUMNS($AB$1006:AO1006),$AB$1006:$AQ$1006,0)), HYPERLINK("#",""), HYPERLINK(CONCATENATE("#Metadata!", ADDRESS(INDEX($W$2:$W$1001,MATCH(ROWS($U$2:U66),$U$2:$U$1001,0),0), INDEX($AB$1004:$AQ$1004,1,MATCH(COLUMNS($AB$1006:AO1006),$AB$1006:$AQ$1006,0)))),"Fix")))</f>
        <v>0</v>
      </c>
      <c r="P66" s="5">
        <f>IF(OR(INDEX($V$2:$V$1001,MATCH(ROWS($U$2:U66),$U$2:$U$1001,0),1)&gt;=100000,INDEX($AB$1005:$AQ$1005,1,MATCH(COLUMNS($AB$1006:AP1006),$AB$1006:$AQ$1006,0))&gt;=100000), " ",IF(INDEX($AB$2:$AQ$1001,MATCH(ROWS($U$2:U66),$U$2:$U$1001,0),MATCH(COLUMNS($AB$1006:AP1006),$AB$1006:$AQ$1006,0)), HYPERLINK("#",""), HYPERLINK(CONCATENATE("#Metadata!", ADDRESS(INDEX($W$2:$W$1001,MATCH(ROWS($U$2:U66),$U$2:$U$1001,0),0), INDEX($AB$1004:$AQ$1004,1,MATCH(COLUMNS($AB$1006:AP1006),$AB$1006:$AQ$1006,0)))),"Fix")))</f>
        <v>0</v>
      </c>
      <c r="Q66" s="5">
        <f>IF(OR(INDEX($V$2:$V$1001,MATCH(ROWS($U$2:U66),$U$2:$U$1001,0),1)&gt;=100000,INDEX($AB$1005:$AQ$1005,1,MATCH(COLUMNS($AB$1006:AQ1006),$AB$1006:$AQ$1006,0))&gt;=100000), " ",IF(INDEX($AB$2:$AQ$1001,MATCH(ROWS($U$2:U66),$U$2:$U$1001,0),MATCH(COLUMNS($AB$1006:AQ1006),$AB$1006:$AQ$1006,0)), HYPERLINK("#",""), HYPERLINK(CONCATENATE("#Metadata!", ADDRESS(INDEX($W$2:$W$1001,MATCH(ROWS($U$2:U66),$U$2:$U$1001,0),0), INDEX($AB$1004:$AQ$1004,1,MATCH(COLUMNS($AB$1006:AQ1006),$AB$1006:$AQ$1006,0)))),"Fix")))</f>
        <v>0</v>
      </c>
      <c r="U66">
        <v>0</v>
      </c>
      <c r="V66">
        <v>0</v>
      </c>
      <c r="W66">
        <v>0</v>
      </c>
      <c r="X66">
        <f>IF(Y66,TRUE,AND(AB66:AQ66))</f>
        <v>0</v>
      </c>
      <c r="Y66">
        <f>COUNTBLANK(Metadata!B66:Q66)=COLUMNS(Metadata!B66:Q66)</f>
        <v>0</v>
      </c>
      <c r="Z66">
        <v>0</v>
      </c>
      <c r="AB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AC66">
        <f>AND(IF(Metadata!C66="",FALSE,TRUE),exact(Metadata!C66,"urban biome"))</f>
        <v>0</v>
      </c>
      <c r="AD66">
        <f>AND(IF(Metadata!D66="",FALSE,TRUE),exact(Metadata!D66,"human-associated habitat"))</f>
        <v>0</v>
      </c>
      <c r="AE66">
        <f>AND(IF(Metadata!E66="",FALSE,TRUE),OR(exact(Metadata!E66,"human-associated"),exact(Metadata!E66,"human-skin"),exact(Metadata!E66,"human-oral"),exact(Metadata!E66,"human-gut"),exact(Metadata!E66,"human-vaginal")))</f>
        <v>0</v>
      </c>
      <c r="AF66">
        <f>AND(IF(Metadata!F66="",FALSE,ISNUMBER(VALUE(Metadata!F66))),Metadata!F66&gt;0)</f>
        <v>0</v>
      </c>
      <c r="AG66">
        <f>AND(IF(Metadata!G66="",FALSE,TRUE),exact(Metadata!G66,"years"))</f>
        <v>0</v>
      </c>
      <c r="AH66">
        <f>OR(AND(IF(Metadata!H66="",FALSE,TRUE),OR(exact(Metadata!H66,"not applicable"),exact(Metadata!H66,"not collected"),exact(Metadata!H66,"not provided"),exact(Metadata!H66,"restricted access"))),AND(IF(Metadata!H66="",FALSE,ISNUMBER(VALUE(Metadata!H66))),Metadata!H66&gt;0))</f>
        <v>0</v>
      </c>
      <c r="AI66">
        <f>AND(IF(Metadata!I66="",FALSE,TRUE),exact(Metadata!I66,"human"))</f>
        <v>0</v>
      </c>
      <c r="AJ66">
        <f>AND(IF(Metadata!J66="",FALSE,ISNUMBER(VALUE(Metadata!J66))),Metadata!J66&gt;0)</f>
        <v>0</v>
      </c>
      <c r="AK66">
        <f>AND(IF(Metadata!K66="",FALSE,TRUE),exact(Metadata!K66,"cm"))</f>
        <v>0</v>
      </c>
      <c r="AL66">
        <f>AND(IF(Metadata!L66="",FALSE,TRUE),exact(Metadata!L66,"Homo sapiens"))</f>
        <v>0</v>
      </c>
      <c r="AM66">
        <f>AND(IF(Metadata!M66="",FALSE,TRUE),exact(Metadata!M66,"9606"))</f>
        <v>0</v>
      </c>
      <c r="AN66">
        <f>AND(IF(Metadata!N66="",FALSE,ISNUMBER(VALUE(Metadata!N66))),Metadata!N66&gt;0)</f>
        <v>0</v>
      </c>
      <c r="AO66">
        <f>AND(IF(Metadata!O66="",FALSE,TRUE),exact(Metadata!O66,"kg"))</f>
        <v>0</v>
      </c>
      <c r="AP66">
        <f>OR(AND(IF(Metadata!P66="",FALSE,TRUE),exact(Metadata!P66,"not provided")),IF(Metadata!P66="",FALSE,TRUE))</f>
        <v>0</v>
      </c>
      <c r="AQ66">
        <f>OR(AND(IF(Metadata!Q66="",FALSE,TRUE),exact(Metadata!Q66,"not provided")),IF(Metadata!Q66="",FALSE,TRUE))</f>
        <v>0</v>
      </c>
    </row>
    <row r="67" spans="1:43">
      <c r="A67" s="4">
        <f>IF(B67=" "," ",HYPERLINK(CONCATENATE("#metadata!",ADDRESS(INDEX($W$2:$W$1001,MATCH(ROWS($U$2:U67),$U$2:$U$1001,0),0),2)),INDEX($Z$2:$Z$1001,MATCH(ROWS($U$2:U67),$U$2:$U$1001,0),0)))</f>
        <v>0</v>
      </c>
      <c r="B67" s="5">
        <f>IF(OR(INDEX($V$2:$V$1001,MATCH(ROWS($U$2:U67),$U$2:$U$1001,0),1)&gt;=100000,INDEX($AB$1005:$AQ$1005,1,MATCH(COLUMNS($AB$1006:AB1006),$AB$1006:$AQ$1006,0))&gt;=100000), " ",IF(INDEX($AB$2:$AQ$1001,MATCH(ROWS($U$2:U67),$U$2:$U$1001,0),MATCH(COLUMNS($AB$1006:AB1006),$AB$1006:$AQ$1006,0)), HYPERLINK("#",""), HYPERLINK(CONCATENATE("#Metadata!", ADDRESS(INDEX($W$2:$W$1001,MATCH(ROWS($U$2:U67),$U$2:$U$1001,0),0), INDEX($AB$1004:$AQ$1004,1,MATCH(COLUMNS($AB$1006:AB1006),$AB$1006:$AQ$1006,0)))),"Fix")))</f>
        <v>0</v>
      </c>
      <c r="C67" s="5">
        <f>IF(OR(INDEX($V$2:$V$1001,MATCH(ROWS($U$2:U67),$U$2:$U$1001,0),1)&gt;=100000,INDEX($AB$1005:$AQ$1005,1,MATCH(COLUMNS($AB$1006:AC1006),$AB$1006:$AQ$1006,0))&gt;=100000), " ",IF(INDEX($AB$2:$AQ$1001,MATCH(ROWS($U$2:U67),$U$2:$U$1001,0),MATCH(COLUMNS($AB$1006:AC1006),$AB$1006:$AQ$1006,0)), HYPERLINK("#",""), HYPERLINK(CONCATENATE("#Metadata!", ADDRESS(INDEX($W$2:$W$1001,MATCH(ROWS($U$2:U67),$U$2:$U$1001,0),0), INDEX($AB$1004:$AQ$1004,1,MATCH(COLUMNS($AB$1006:AC1006),$AB$1006:$AQ$1006,0)))),"Fix")))</f>
        <v>0</v>
      </c>
      <c r="D67" s="5">
        <f>IF(OR(INDEX($V$2:$V$1001,MATCH(ROWS($U$2:U67),$U$2:$U$1001,0),1)&gt;=100000,INDEX($AB$1005:$AQ$1005,1,MATCH(COLUMNS($AB$1006:AD1006),$AB$1006:$AQ$1006,0))&gt;=100000), " ",IF(INDEX($AB$2:$AQ$1001,MATCH(ROWS($U$2:U67),$U$2:$U$1001,0),MATCH(COLUMNS($AB$1006:AD1006),$AB$1006:$AQ$1006,0)), HYPERLINK("#",""), HYPERLINK(CONCATENATE("#Metadata!", ADDRESS(INDEX($W$2:$W$1001,MATCH(ROWS($U$2:U67),$U$2:$U$1001,0),0), INDEX($AB$1004:$AQ$1004,1,MATCH(COLUMNS($AB$1006:AD1006),$AB$1006:$AQ$1006,0)))),"Fix")))</f>
        <v>0</v>
      </c>
      <c r="E67" s="5">
        <f>IF(OR(INDEX($V$2:$V$1001,MATCH(ROWS($U$2:U67),$U$2:$U$1001,0),1)&gt;=100000,INDEX($AB$1005:$AQ$1005,1,MATCH(COLUMNS($AB$1006:AE1006),$AB$1006:$AQ$1006,0))&gt;=100000), " ",IF(INDEX($AB$2:$AQ$1001,MATCH(ROWS($U$2:U67),$U$2:$U$1001,0),MATCH(COLUMNS($AB$1006:AE1006),$AB$1006:$AQ$1006,0)), HYPERLINK("#",""), HYPERLINK(CONCATENATE("#Metadata!", ADDRESS(INDEX($W$2:$W$1001,MATCH(ROWS($U$2:U67),$U$2:$U$1001,0),0), INDEX($AB$1004:$AQ$1004,1,MATCH(COLUMNS($AB$1006:AE1006),$AB$1006:$AQ$1006,0)))),"Fix")))</f>
        <v>0</v>
      </c>
      <c r="F67" s="5">
        <f>IF(OR(INDEX($V$2:$V$1001,MATCH(ROWS($U$2:U67),$U$2:$U$1001,0),1)&gt;=100000,INDEX($AB$1005:$AQ$1005,1,MATCH(COLUMNS($AB$1006:AF1006),$AB$1006:$AQ$1006,0))&gt;=100000), " ",IF(INDEX($AB$2:$AQ$1001,MATCH(ROWS($U$2:U67),$U$2:$U$1001,0),MATCH(COLUMNS($AB$1006:AF1006),$AB$1006:$AQ$1006,0)), HYPERLINK("#",""), HYPERLINK(CONCATENATE("#Metadata!", ADDRESS(INDEX($W$2:$W$1001,MATCH(ROWS($U$2:U67),$U$2:$U$1001,0),0), INDEX($AB$1004:$AQ$1004,1,MATCH(COLUMNS($AB$1006:AF1006),$AB$1006:$AQ$1006,0)))),"Fix")))</f>
        <v>0</v>
      </c>
      <c r="G67" s="5">
        <f>IF(OR(INDEX($V$2:$V$1001,MATCH(ROWS($U$2:U67),$U$2:$U$1001,0),1)&gt;=100000,INDEX($AB$1005:$AQ$1005,1,MATCH(COLUMNS($AB$1006:AG1006),$AB$1006:$AQ$1006,0))&gt;=100000), " ",IF(INDEX($AB$2:$AQ$1001,MATCH(ROWS($U$2:U67),$U$2:$U$1001,0),MATCH(COLUMNS($AB$1006:AG1006),$AB$1006:$AQ$1006,0)), HYPERLINK("#",""), HYPERLINK(CONCATENATE("#Metadata!", ADDRESS(INDEX($W$2:$W$1001,MATCH(ROWS($U$2:U67),$U$2:$U$1001,0),0), INDEX($AB$1004:$AQ$1004,1,MATCH(COLUMNS($AB$1006:AG1006),$AB$1006:$AQ$1006,0)))),"Fix")))</f>
        <v>0</v>
      </c>
      <c r="H67" s="5">
        <f>IF(OR(INDEX($V$2:$V$1001,MATCH(ROWS($U$2:U67),$U$2:$U$1001,0),1)&gt;=100000,INDEX($AB$1005:$AQ$1005,1,MATCH(COLUMNS($AB$1006:AH1006),$AB$1006:$AQ$1006,0))&gt;=100000), " ",IF(INDEX($AB$2:$AQ$1001,MATCH(ROWS($U$2:U67),$U$2:$U$1001,0),MATCH(COLUMNS($AB$1006:AH1006),$AB$1006:$AQ$1006,0)), HYPERLINK("#",""), HYPERLINK(CONCATENATE("#Metadata!", ADDRESS(INDEX($W$2:$W$1001,MATCH(ROWS($U$2:U67),$U$2:$U$1001,0),0), INDEX($AB$1004:$AQ$1004,1,MATCH(COLUMNS($AB$1006:AH1006),$AB$1006:$AQ$1006,0)))),"Fix")))</f>
        <v>0</v>
      </c>
      <c r="I67" s="5">
        <f>IF(OR(INDEX($V$2:$V$1001,MATCH(ROWS($U$2:U67),$U$2:$U$1001,0),1)&gt;=100000,INDEX($AB$1005:$AQ$1005,1,MATCH(COLUMNS($AB$1006:AI1006),$AB$1006:$AQ$1006,0))&gt;=100000), " ",IF(INDEX($AB$2:$AQ$1001,MATCH(ROWS($U$2:U67),$U$2:$U$1001,0),MATCH(COLUMNS($AB$1006:AI1006),$AB$1006:$AQ$1006,0)), HYPERLINK("#",""), HYPERLINK(CONCATENATE("#Metadata!", ADDRESS(INDEX($W$2:$W$1001,MATCH(ROWS($U$2:U67),$U$2:$U$1001,0),0), INDEX($AB$1004:$AQ$1004,1,MATCH(COLUMNS($AB$1006:AI1006),$AB$1006:$AQ$1006,0)))),"Fix")))</f>
        <v>0</v>
      </c>
      <c r="J67" s="5">
        <f>IF(OR(INDEX($V$2:$V$1001,MATCH(ROWS($U$2:U67),$U$2:$U$1001,0),1)&gt;=100000,INDEX($AB$1005:$AQ$1005,1,MATCH(COLUMNS($AB$1006:AJ1006),$AB$1006:$AQ$1006,0))&gt;=100000), " ",IF(INDEX($AB$2:$AQ$1001,MATCH(ROWS($U$2:U67),$U$2:$U$1001,0),MATCH(COLUMNS($AB$1006:AJ1006),$AB$1006:$AQ$1006,0)), HYPERLINK("#",""), HYPERLINK(CONCATENATE("#Metadata!", ADDRESS(INDEX($W$2:$W$1001,MATCH(ROWS($U$2:U67),$U$2:$U$1001,0),0), INDEX($AB$1004:$AQ$1004,1,MATCH(COLUMNS($AB$1006:AJ1006),$AB$1006:$AQ$1006,0)))),"Fix")))</f>
        <v>0</v>
      </c>
      <c r="K67" s="5">
        <f>IF(OR(INDEX($V$2:$V$1001,MATCH(ROWS($U$2:U67),$U$2:$U$1001,0),1)&gt;=100000,INDEX($AB$1005:$AQ$1005,1,MATCH(COLUMNS($AB$1006:AK1006),$AB$1006:$AQ$1006,0))&gt;=100000), " ",IF(INDEX($AB$2:$AQ$1001,MATCH(ROWS($U$2:U67),$U$2:$U$1001,0),MATCH(COLUMNS($AB$1006:AK1006),$AB$1006:$AQ$1006,0)), HYPERLINK("#",""), HYPERLINK(CONCATENATE("#Metadata!", ADDRESS(INDEX($W$2:$W$1001,MATCH(ROWS($U$2:U67),$U$2:$U$1001,0),0), INDEX($AB$1004:$AQ$1004,1,MATCH(COLUMNS($AB$1006:AK1006),$AB$1006:$AQ$1006,0)))),"Fix")))</f>
        <v>0</v>
      </c>
      <c r="L67" s="5">
        <f>IF(OR(INDEX($V$2:$V$1001,MATCH(ROWS($U$2:U67),$U$2:$U$1001,0),1)&gt;=100000,INDEX($AB$1005:$AQ$1005,1,MATCH(COLUMNS($AB$1006:AL1006),$AB$1006:$AQ$1006,0))&gt;=100000), " ",IF(INDEX($AB$2:$AQ$1001,MATCH(ROWS($U$2:U67),$U$2:$U$1001,0),MATCH(COLUMNS($AB$1006:AL1006),$AB$1006:$AQ$1006,0)), HYPERLINK("#",""), HYPERLINK(CONCATENATE("#Metadata!", ADDRESS(INDEX($W$2:$W$1001,MATCH(ROWS($U$2:U67),$U$2:$U$1001,0),0), INDEX($AB$1004:$AQ$1004,1,MATCH(COLUMNS($AB$1006:AL1006),$AB$1006:$AQ$1006,0)))),"Fix")))</f>
        <v>0</v>
      </c>
      <c r="M67" s="5">
        <f>IF(OR(INDEX($V$2:$V$1001,MATCH(ROWS($U$2:U67),$U$2:$U$1001,0),1)&gt;=100000,INDEX($AB$1005:$AQ$1005,1,MATCH(COLUMNS($AB$1006:AM1006),$AB$1006:$AQ$1006,0))&gt;=100000), " ",IF(INDEX($AB$2:$AQ$1001,MATCH(ROWS($U$2:U67),$U$2:$U$1001,0),MATCH(COLUMNS($AB$1006:AM1006),$AB$1006:$AQ$1006,0)), HYPERLINK("#",""), HYPERLINK(CONCATENATE("#Metadata!", ADDRESS(INDEX($W$2:$W$1001,MATCH(ROWS($U$2:U67),$U$2:$U$1001,0),0), INDEX($AB$1004:$AQ$1004,1,MATCH(COLUMNS($AB$1006:AM1006),$AB$1006:$AQ$1006,0)))),"Fix")))</f>
        <v>0</v>
      </c>
      <c r="N67" s="5">
        <f>IF(OR(INDEX($V$2:$V$1001,MATCH(ROWS($U$2:U67),$U$2:$U$1001,0),1)&gt;=100000,INDEX($AB$1005:$AQ$1005,1,MATCH(COLUMNS($AB$1006:AN1006),$AB$1006:$AQ$1006,0))&gt;=100000), " ",IF(INDEX($AB$2:$AQ$1001,MATCH(ROWS($U$2:U67),$U$2:$U$1001,0),MATCH(COLUMNS($AB$1006:AN1006),$AB$1006:$AQ$1006,0)), HYPERLINK("#",""), HYPERLINK(CONCATENATE("#Metadata!", ADDRESS(INDEX($W$2:$W$1001,MATCH(ROWS($U$2:U67),$U$2:$U$1001,0),0), INDEX($AB$1004:$AQ$1004,1,MATCH(COLUMNS($AB$1006:AN1006),$AB$1006:$AQ$1006,0)))),"Fix")))</f>
        <v>0</v>
      </c>
      <c r="O67" s="5">
        <f>IF(OR(INDEX($V$2:$V$1001,MATCH(ROWS($U$2:U67),$U$2:$U$1001,0),1)&gt;=100000,INDEX($AB$1005:$AQ$1005,1,MATCH(COLUMNS($AB$1006:AO1006),$AB$1006:$AQ$1006,0))&gt;=100000), " ",IF(INDEX($AB$2:$AQ$1001,MATCH(ROWS($U$2:U67),$U$2:$U$1001,0),MATCH(COLUMNS($AB$1006:AO1006),$AB$1006:$AQ$1006,0)), HYPERLINK("#",""), HYPERLINK(CONCATENATE("#Metadata!", ADDRESS(INDEX($W$2:$W$1001,MATCH(ROWS($U$2:U67),$U$2:$U$1001,0),0), INDEX($AB$1004:$AQ$1004,1,MATCH(COLUMNS($AB$1006:AO1006),$AB$1006:$AQ$1006,0)))),"Fix")))</f>
        <v>0</v>
      </c>
      <c r="P67" s="5">
        <f>IF(OR(INDEX($V$2:$V$1001,MATCH(ROWS($U$2:U67),$U$2:$U$1001,0),1)&gt;=100000,INDEX($AB$1005:$AQ$1005,1,MATCH(COLUMNS($AB$1006:AP1006),$AB$1006:$AQ$1006,0))&gt;=100000), " ",IF(INDEX($AB$2:$AQ$1001,MATCH(ROWS($U$2:U67),$U$2:$U$1001,0),MATCH(COLUMNS($AB$1006:AP1006),$AB$1006:$AQ$1006,0)), HYPERLINK("#",""), HYPERLINK(CONCATENATE("#Metadata!", ADDRESS(INDEX($W$2:$W$1001,MATCH(ROWS($U$2:U67),$U$2:$U$1001,0),0), INDEX($AB$1004:$AQ$1004,1,MATCH(COLUMNS($AB$1006:AP1006),$AB$1006:$AQ$1006,0)))),"Fix")))</f>
        <v>0</v>
      </c>
      <c r="Q67" s="5">
        <f>IF(OR(INDEX($V$2:$V$1001,MATCH(ROWS($U$2:U67),$U$2:$U$1001,0),1)&gt;=100000,INDEX($AB$1005:$AQ$1005,1,MATCH(COLUMNS($AB$1006:AQ1006),$AB$1006:$AQ$1006,0))&gt;=100000), " ",IF(INDEX($AB$2:$AQ$1001,MATCH(ROWS($U$2:U67),$U$2:$U$1001,0),MATCH(COLUMNS($AB$1006:AQ1006),$AB$1006:$AQ$1006,0)), HYPERLINK("#",""), HYPERLINK(CONCATENATE("#Metadata!", ADDRESS(INDEX($W$2:$W$1001,MATCH(ROWS($U$2:U67),$U$2:$U$1001,0),0), INDEX($AB$1004:$AQ$1004,1,MATCH(COLUMNS($AB$1006:AQ1006),$AB$1006:$AQ$1006,0)))),"Fix")))</f>
        <v>0</v>
      </c>
      <c r="U67">
        <v>0</v>
      </c>
      <c r="V67">
        <v>0</v>
      </c>
      <c r="W67">
        <v>0</v>
      </c>
      <c r="X67">
        <f>IF(Y67,TRUE,AND(AB67:AQ67))</f>
        <v>0</v>
      </c>
      <c r="Y67">
        <f>COUNTBLANK(Metadata!B67:Q67)=COLUMNS(Metadata!B67:Q67)</f>
        <v>0</v>
      </c>
      <c r="Z67">
        <v>0</v>
      </c>
      <c r="AB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AC67">
        <f>AND(IF(Metadata!C67="",FALSE,TRUE),exact(Metadata!C67,"urban biome"))</f>
        <v>0</v>
      </c>
      <c r="AD67">
        <f>AND(IF(Metadata!D67="",FALSE,TRUE),exact(Metadata!D67,"human-associated habitat"))</f>
        <v>0</v>
      </c>
      <c r="AE67">
        <f>AND(IF(Metadata!E67="",FALSE,TRUE),OR(exact(Metadata!E67,"human-associated"),exact(Metadata!E67,"human-skin"),exact(Metadata!E67,"human-oral"),exact(Metadata!E67,"human-gut"),exact(Metadata!E67,"human-vaginal")))</f>
        <v>0</v>
      </c>
      <c r="AF67">
        <f>AND(IF(Metadata!F67="",FALSE,ISNUMBER(VALUE(Metadata!F67))),Metadata!F67&gt;0)</f>
        <v>0</v>
      </c>
      <c r="AG67">
        <f>AND(IF(Metadata!G67="",FALSE,TRUE),exact(Metadata!G67,"years"))</f>
        <v>0</v>
      </c>
      <c r="AH67">
        <f>OR(AND(IF(Metadata!H67="",FALSE,TRUE),OR(exact(Metadata!H67,"not applicable"),exact(Metadata!H67,"not collected"),exact(Metadata!H67,"not provided"),exact(Metadata!H67,"restricted access"))),AND(IF(Metadata!H67="",FALSE,ISNUMBER(VALUE(Metadata!H67))),Metadata!H67&gt;0))</f>
        <v>0</v>
      </c>
      <c r="AI67">
        <f>AND(IF(Metadata!I67="",FALSE,TRUE),exact(Metadata!I67,"human"))</f>
        <v>0</v>
      </c>
      <c r="AJ67">
        <f>AND(IF(Metadata!J67="",FALSE,ISNUMBER(VALUE(Metadata!J67))),Metadata!J67&gt;0)</f>
        <v>0</v>
      </c>
      <c r="AK67">
        <f>AND(IF(Metadata!K67="",FALSE,TRUE),exact(Metadata!K67,"cm"))</f>
        <v>0</v>
      </c>
      <c r="AL67">
        <f>AND(IF(Metadata!L67="",FALSE,TRUE),exact(Metadata!L67,"Homo sapiens"))</f>
        <v>0</v>
      </c>
      <c r="AM67">
        <f>AND(IF(Metadata!M67="",FALSE,TRUE),exact(Metadata!M67,"9606"))</f>
        <v>0</v>
      </c>
      <c r="AN67">
        <f>AND(IF(Metadata!N67="",FALSE,ISNUMBER(VALUE(Metadata!N67))),Metadata!N67&gt;0)</f>
        <v>0</v>
      </c>
      <c r="AO67">
        <f>AND(IF(Metadata!O67="",FALSE,TRUE),exact(Metadata!O67,"kg"))</f>
        <v>0</v>
      </c>
      <c r="AP67">
        <f>OR(AND(IF(Metadata!P67="",FALSE,TRUE),exact(Metadata!P67,"not provided")),IF(Metadata!P67="",FALSE,TRUE))</f>
        <v>0</v>
      </c>
      <c r="AQ67">
        <f>OR(AND(IF(Metadata!Q67="",FALSE,TRUE),exact(Metadata!Q67,"not provided")),IF(Metadata!Q67="",FALSE,TRUE))</f>
        <v>0</v>
      </c>
    </row>
    <row r="68" spans="1:43">
      <c r="A68" s="4">
        <f>IF(B68=" "," ",HYPERLINK(CONCATENATE("#metadata!",ADDRESS(INDEX($W$2:$W$1001,MATCH(ROWS($U$2:U68),$U$2:$U$1001,0),0),2)),INDEX($Z$2:$Z$1001,MATCH(ROWS($U$2:U68),$U$2:$U$1001,0),0)))</f>
        <v>0</v>
      </c>
      <c r="B68" s="5">
        <f>IF(OR(INDEX($V$2:$V$1001,MATCH(ROWS($U$2:U68),$U$2:$U$1001,0),1)&gt;=100000,INDEX($AB$1005:$AQ$1005,1,MATCH(COLUMNS($AB$1006:AB1006),$AB$1006:$AQ$1006,0))&gt;=100000), " ",IF(INDEX($AB$2:$AQ$1001,MATCH(ROWS($U$2:U68),$U$2:$U$1001,0),MATCH(COLUMNS($AB$1006:AB1006),$AB$1006:$AQ$1006,0)), HYPERLINK("#",""), HYPERLINK(CONCATENATE("#Metadata!", ADDRESS(INDEX($W$2:$W$1001,MATCH(ROWS($U$2:U68),$U$2:$U$1001,0),0), INDEX($AB$1004:$AQ$1004,1,MATCH(COLUMNS($AB$1006:AB1006),$AB$1006:$AQ$1006,0)))),"Fix")))</f>
        <v>0</v>
      </c>
      <c r="C68" s="5">
        <f>IF(OR(INDEX($V$2:$V$1001,MATCH(ROWS($U$2:U68),$U$2:$U$1001,0),1)&gt;=100000,INDEX($AB$1005:$AQ$1005,1,MATCH(COLUMNS($AB$1006:AC1006),$AB$1006:$AQ$1006,0))&gt;=100000), " ",IF(INDEX($AB$2:$AQ$1001,MATCH(ROWS($U$2:U68),$U$2:$U$1001,0),MATCH(COLUMNS($AB$1006:AC1006),$AB$1006:$AQ$1006,0)), HYPERLINK("#",""), HYPERLINK(CONCATENATE("#Metadata!", ADDRESS(INDEX($W$2:$W$1001,MATCH(ROWS($U$2:U68),$U$2:$U$1001,0),0), INDEX($AB$1004:$AQ$1004,1,MATCH(COLUMNS($AB$1006:AC1006),$AB$1006:$AQ$1006,0)))),"Fix")))</f>
        <v>0</v>
      </c>
      <c r="D68" s="5">
        <f>IF(OR(INDEX($V$2:$V$1001,MATCH(ROWS($U$2:U68),$U$2:$U$1001,0),1)&gt;=100000,INDEX($AB$1005:$AQ$1005,1,MATCH(COLUMNS($AB$1006:AD1006),$AB$1006:$AQ$1006,0))&gt;=100000), " ",IF(INDEX($AB$2:$AQ$1001,MATCH(ROWS($U$2:U68),$U$2:$U$1001,0),MATCH(COLUMNS($AB$1006:AD1006),$AB$1006:$AQ$1006,0)), HYPERLINK("#",""), HYPERLINK(CONCATENATE("#Metadata!", ADDRESS(INDEX($W$2:$W$1001,MATCH(ROWS($U$2:U68),$U$2:$U$1001,0),0), INDEX($AB$1004:$AQ$1004,1,MATCH(COLUMNS($AB$1006:AD1006),$AB$1006:$AQ$1006,0)))),"Fix")))</f>
        <v>0</v>
      </c>
      <c r="E68" s="5">
        <f>IF(OR(INDEX($V$2:$V$1001,MATCH(ROWS($U$2:U68),$U$2:$U$1001,0),1)&gt;=100000,INDEX($AB$1005:$AQ$1005,1,MATCH(COLUMNS($AB$1006:AE1006),$AB$1006:$AQ$1006,0))&gt;=100000), " ",IF(INDEX($AB$2:$AQ$1001,MATCH(ROWS($U$2:U68),$U$2:$U$1001,0),MATCH(COLUMNS($AB$1006:AE1006),$AB$1006:$AQ$1006,0)), HYPERLINK("#",""), HYPERLINK(CONCATENATE("#Metadata!", ADDRESS(INDEX($W$2:$W$1001,MATCH(ROWS($U$2:U68),$U$2:$U$1001,0),0), INDEX($AB$1004:$AQ$1004,1,MATCH(COLUMNS($AB$1006:AE1006),$AB$1006:$AQ$1006,0)))),"Fix")))</f>
        <v>0</v>
      </c>
      <c r="F68" s="5">
        <f>IF(OR(INDEX($V$2:$V$1001,MATCH(ROWS($U$2:U68),$U$2:$U$1001,0),1)&gt;=100000,INDEX($AB$1005:$AQ$1005,1,MATCH(COLUMNS($AB$1006:AF1006),$AB$1006:$AQ$1006,0))&gt;=100000), " ",IF(INDEX($AB$2:$AQ$1001,MATCH(ROWS($U$2:U68),$U$2:$U$1001,0),MATCH(COLUMNS($AB$1006:AF1006),$AB$1006:$AQ$1006,0)), HYPERLINK("#",""), HYPERLINK(CONCATENATE("#Metadata!", ADDRESS(INDEX($W$2:$W$1001,MATCH(ROWS($U$2:U68),$U$2:$U$1001,0),0), INDEX($AB$1004:$AQ$1004,1,MATCH(COLUMNS($AB$1006:AF1006),$AB$1006:$AQ$1006,0)))),"Fix")))</f>
        <v>0</v>
      </c>
      <c r="G68" s="5">
        <f>IF(OR(INDEX($V$2:$V$1001,MATCH(ROWS($U$2:U68),$U$2:$U$1001,0),1)&gt;=100000,INDEX($AB$1005:$AQ$1005,1,MATCH(COLUMNS($AB$1006:AG1006),$AB$1006:$AQ$1006,0))&gt;=100000), " ",IF(INDEX($AB$2:$AQ$1001,MATCH(ROWS($U$2:U68),$U$2:$U$1001,0),MATCH(COLUMNS($AB$1006:AG1006),$AB$1006:$AQ$1006,0)), HYPERLINK("#",""), HYPERLINK(CONCATENATE("#Metadata!", ADDRESS(INDEX($W$2:$W$1001,MATCH(ROWS($U$2:U68),$U$2:$U$1001,0),0), INDEX($AB$1004:$AQ$1004,1,MATCH(COLUMNS($AB$1006:AG1006),$AB$1006:$AQ$1006,0)))),"Fix")))</f>
        <v>0</v>
      </c>
      <c r="H68" s="5">
        <f>IF(OR(INDEX($V$2:$V$1001,MATCH(ROWS($U$2:U68),$U$2:$U$1001,0),1)&gt;=100000,INDEX($AB$1005:$AQ$1005,1,MATCH(COLUMNS($AB$1006:AH1006),$AB$1006:$AQ$1006,0))&gt;=100000), " ",IF(INDEX($AB$2:$AQ$1001,MATCH(ROWS($U$2:U68),$U$2:$U$1001,0),MATCH(COLUMNS($AB$1006:AH1006),$AB$1006:$AQ$1006,0)), HYPERLINK("#",""), HYPERLINK(CONCATENATE("#Metadata!", ADDRESS(INDEX($W$2:$W$1001,MATCH(ROWS($U$2:U68),$U$2:$U$1001,0),0), INDEX($AB$1004:$AQ$1004,1,MATCH(COLUMNS($AB$1006:AH1006),$AB$1006:$AQ$1006,0)))),"Fix")))</f>
        <v>0</v>
      </c>
      <c r="I68" s="5">
        <f>IF(OR(INDEX($V$2:$V$1001,MATCH(ROWS($U$2:U68),$U$2:$U$1001,0),1)&gt;=100000,INDEX($AB$1005:$AQ$1005,1,MATCH(COLUMNS($AB$1006:AI1006),$AB$1006:$AQ$1006,0))&gt;=100000), " ",IF(INDEX($AB$2:$AQ$1001,MATCH(ROWS($U$2:U68),$U$2:$U$1001,0),MATCH(COLUMNS($AB$1006:AI1006),$AB$1006:$AQ$1006,0)), HYPERLINK("#",""), HYPERLINK(CONCATENATE("#Metadata!", ADDRESS(INDEX($W$2:$W$1001,MATCH(ROWS($U$2:U68),$U$2:$U$1001,0),0), INDEX($AB$1004:$AQ$1004,1,MATCH(COLUMNS($AB$1006:AI1006),$AB$1006:$AQ$1006,0)))),"Fix")))</f>
        <v>0</v>
      </c>
      <c r="J68" s="5">
        <f>IF(OR(INDEX($V$2:$V$1001,MATCH(ROWS($U$2:U68),$U$2:$U$1001,0),1)&gt;=100000,INDEX($AB$1005:$AQ$1005,1,MATCH(COLUMNS($AB$1006:AJ1006),$AB$1006:$AQ$1006,0))&gt;=100000), " ",IF(INDEX($AB$2:$AQ$1001,MATCH(ROWS($U$2:U68),$U$2:$U$1001,0),MATCH(COLUMNS($AB$1006:AJ1006),$AB$1006:$AQ$1006,0)), HYPERLINK("#",""), HYPERLINK(CONCATENATE("#Metadata!", ADDRESS(INDEX($W$2:$W$1001,MATCH(ROWS($U$2:U68),$U$2:$U$1001,0),0), INDEX($AB$1004:$AQ$1004,1,MATCH(COLUMNS($AB$1006:AJ1006),$AB$1006:$AQ$1006,0)))),"Fix")))</f>
        <v>0</v>
      </c>
      <c r="K68" s="5">
        <f>IF(OR(INDEX($V$2:$V$1001,MATCH(ROWS($U$2:U68),$U$2:$U$1001,0),1)&gt;=100000,INDEX($AB$1005:$AQ$1005,1,MATCH(COLUMNS($AB$1006:AK1006),$AB$1006:$AQ$1006,0))&gt;=100000), " ",IF(INDEX($AB$2:$AQ$1001,MATCH(ROWS($U$2:U68),$U$2:$U$1001,0),MATCH(COLUMNS($AB$1006:AK1006),$AB$1006:$AQ$1006,0)), HYPERLINK("#",""), HYPERLINK(CONCATENATE("#Metadata!", ADDRESS(INDEX($W$2:$W$1001,MATCH(ROWS($U$2:U68),$U$2:$U$1001,0),0), INDEX($AB$1004:$AQ$1004,1,MATCH(COLUMNS($AB$1006:AK1006),$AB$1006:$AQ$1006,0)))),"Fix")))</f>
        <v>0</v>
      </c>
      <c r="L68" s="5">
        <f>IF(OR(INDEX($V$2:$V$1001,MATCH(ROWS($U$2:U68),$U$2:$U$1001,0),1)&gt;=100000,INDEX($AB$1005:$AQ$1005,1,MATCH(COLUMNS($AB$1006:AL1006),$AB$1006:$AQ$1006,0))&gt;=100000), " ",IF(INDEX($AB$2:$AQ$1001,MATCH(ROWS($U$2:U68),$U$2:$U$1001,0),MATCH(COLUMNS($AB$1006:AL1006),$AB$1006:$AQ$1006,0)), HYPERLINK("#",""), HYPERLINK(CONCATENATE("#Metadata!", ADDRESS(INDEX($W$2:$W$1001,MATCH(ROWS($U$2:U68),$U$2:$U$1001,0),0), INDEX($AB$1004:$AQ$1004,1,MATCH(COLUMNS($AB$1006:AL1006),$AB$1006:$AQ$1006,0)))),"Fix")))</f>
        <v>0</v>
      </c>
      <c r="M68" s="5">
        <f>IF(OR(INDEX($V$2:$V$1001,MATCH(ROWS($U$2:U68),$U$2:$U$1001,0),1)&gt;=100000,INDEX($AB$1005:$AQ$1005,1,MATCH(COLUMNS($AB$1006:AM1006),$AB$1006:$AQ$1006,0))&gt;=100000), " ",IF(INDEX($AB$2:$AQ$1001,MATCH(ROWS($U$2:U68),$U$2:$U$1001,0),MATCH(COLUMNS($AB$1006:AM1006),$AB$1006:$AQ$1006,0)), HYPERLINK("#",""), HYPERLINK(CONCATENATE("#Metadata!", ADDRESS(INDEX($W$2:$W$1001,MATCH(ROWS($U$2:U68),$U$2:$U$1001,0),0), INDEX($AB$1004:$AQ$1004,1,MATCH(COLUMNS($AB$1006:AM1006),$AB$1006:$AQ$1006,0)))),"Fix")))</f>
        <v>0</v>
      </c>
      <c r="N68" s="5">
        <f>IF(OR(INDEX($V$2:$V$1001,MATCH(ROWS($U$2:U68),$U$2:$U$1001,0),1)&gt;=100000,INDEX($AB$1005:$AQ$1005,1,MATCH(COLUMNS($AB$1006:AN1006),$AB$1006:$AQ$1006,0))&gt;=100000), " ",IF(INDEX($AB$2:$AQ$1001,MATCH(ROWS($U$2:U68),$U$2:$U$1001,0),MATCH(COLUMNS($AB$1006:AN1006),$AB$1006:$AQ$1006,0)), HYPERLINK("#",""), HYPERLINK(CONCATENATE("#Metadata!", ADDRESS(INDEX($W$2:$W$1001,MATCH(ROWS($U$2:U68),$U$2:$U$1001,0),0), INDEX($AB$1004:$AQ$1004,1,MATCH(COLUMNS($AB$1006:AN1006),$AB$1006:$AQ$1006,0)))),"Fix")))</f>
        <v>0</v>
      </c>
      <c r="O68" s="5">
        <f>IF(OR(INDEX($V$2:$V$1001,MATCH(ROWS($U$2:U68),$U$2:$U$1001,0),1)&gt;=100000,INDEX($AB$1005:$AQ$1005,1,MATCH(COLUMNS($AB$1006:AO1006),$AB$1006:$AQ$1006,0))&gt;=100000), " ",IF(INDEX($AB$2:$AQ$1001,MATCH(ROWS($U$2:U68),$U$2:$U$1001,0),MATCH(COLUMNS($AB$1006:AO1006),$AB$1006:$AQ$1006,0)), HYPERLINK("#",""), HYPERLINK(CONCATENATE("#Metadata!", ADDRESS(INDEX($W$2:$W$1001,MATCH(ROWS($U$2:U68),$U$2:$U$1001,0),0), INDEX($AB$1004:$AQ$1004,1,MATCH(COLUMNS($AB$1006:AO1006),$AB$1006:$AQ$1006,0)))),"Fix")))</f>
        <v>0</v>
      </c>
      <c r="P68" s="5">
        <f>IF(OR(INDEX($V$2:$V$1001,MATCH(ROWS($U$2:U68),$U$2:$U$1001,0),1)&gt;=100000,INDEX($AB$1005:$AQ$1005,1,MATCH(COLUMNS($AB$1006:AP1006),$AB$1006:$AQ$1006,0))&gt;=100000), " ",IF(INDEX($AB$2:$AQ$1001,MATCH(ROWS($U$2:U68),$U$2:$U$1001,0),MATCH(COLUMNS($AB$1006:AP1006),$AB$1006:$AQ$1006,0)), HYPERLINK("#",""), HYPERLINK(CONCATENATE("#Metadata!", ADDRESS(INDEX($W$2:$W$1001,MATCH(ROWS($U$2:U68),$U$2:$U$1001,0),0), INDEX($AB$1004:$AQ$1004,1,MATCH(COLUMNS($AB$1006:AP1006),$AB$1006:$AQ$1006,0)))),"Fix")))</f>
        <v>0</v>
      </c>
      <c r="Q68" s="5">
        <f>IF(OR(INDEX($V$2:$V$1001,MATCH(ROWS($U$2:U68),$U$2:$U$1001,0),1)&gt;=100000,INDEX($AB$1005:$AQ$1005,1,MATCH(COLUMNS($AB$1006:AQ1006),$AB$1006:$AQ$1006,0))&gt;=100000), " ",IF(INDEX($AB$2:$AQ$1001,MATCH(ROWS($U$2:U68),$U$2:$U$1001,0),MATCH(COLUMNS($AB$1006:AQ1006),$AB$1006:$AQ$1006,0)), HYPERLINK("#",""), HYPERLINK(CONCATENATE("#Metadata!", ADDRESS(INDEX($W$2:$W$1001,MATCH(ROWS($U$2:U68),$U$2:$U$1001,0),0), INDEX($AB$1004:$AQ$1004,1,MATCH(COLUMNS($AB$1006:AQ1006),$AB$1006:$AQ$1006,0)))),"Fix")))</f>
        <v>0</v>
      </c>
      <c r="U68">
        <v>0</v>
      </c>
      <c r="V68">
        <v>0</v>
      </c>
      <c r="W68">
        <v>0</v>
      </c>
      <c r="X68">
        <f>IF(Y68,TRUE,AND(AB68:AQ68))</f>
        <v>0</v>
      </c>
      <c r="Y68">
        <f>COUNTBLANK(Metadata!B68:Q68)=COLUMNS(Metadata!B68:Q68)</f>
        <v>0</v>
      </c>
      <c r="Z68">
        <v>0</v>
      </c>
      <c r="AB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AC68">
        <f>AND(IF(Metadata!C68="",FALSE,TRUE),exact(Metadata!C68,"urban biome"))</f>
        <v>0</v>
      </c>
      <c r="AD68">
        <f>AND(IF(Metadata!D68="",FALSE,TRUE),exact(Metadata!D68,"human-associated habitat"))</f>
        <v>0</v>
      </c>
      <c r="AE68">
        <f>AND(IF(Metadata!E68="",FALSE,TRUE),OR(exact(Metadata!E68,"human-associated"),exact(Metadata!E68,"human-skin"),exact(Metadata!E68,"human-oral"),exact(Metadata!E68,"human-gut"),exact(Metadata!E68,"human-vaginal")))</f>
        <v>0</v>
      </c>
      <c r="AF68">
        <f>AND(IF(Metadata!F68="",FALSE,ISNUMBER(VALUE(Metadata!F68))),Metadata!F68&gt;0)</f>
        <v>0</v>
      </c>
      <c r="AG68">
        <f>AND(IF(Metadata!G68="",FALSE,TRUE),exact(Metadata!G68,"years"))</f>
        <v>0</v>
      </c>
      <c r="AH68">
        <f>OR(AND(IF(Metadata!H68="",FALSE,TRUE),OR(exact(Metadata!H68,"not applicable"),exact(Metadata!H68,"not collected"),exact(Metadata!H68,"not provided"),exact(Metadata!H68,"restricted access"))),AND(IF(Metadata!H68="",FALSE,ISNUMBER(VALUE(Metadata!H68))),Metadata!H68&gt;0))</f>
        <v>0</v>
      </c>
      <c r="AI68">
        <f>AND(IF(Metadata!I68="",FALSE,TRUE),exact(Metadata!I68,"human"))</f>
        <v>0</v>
      </c>
      <c r="AJ68">
        <f>AND(IF(Metadata!J68="",FALSE,ISNUMBER(VALUE(Metadata!J68))),Metadata!J68&gt;0)</f>
        <v>0</v>
      </c>
      <c r="AK68">
        <f>AND(IF(Metadata!K68="",FALSE,TRUE),exact(Metadata!K68,"cm"))</f>
        <v>0</v>
      </c>
      <c r="AL68">
        <f>AND(IF(Metadata!L68="",FALSE,TRUE),exact(Metadata!L68,"Homo sapiens"))</f>
        <v>0</v>
      </c>
      <c r="AM68">
        <f>AND(IF(Metadata!M68="",FALSE,TRUE),exact(Metadata!M68,"9606"))</f>
        <v>0</v>
      </c>
      <c r="AN68">
        <f>AND(IF(Metadata!N68="",FALSE,ISNUMBER(VALUE(Metadata!N68))),Metadata!N68&gt;0)</f>
        <v>0</v>
      </c>
      <c r="AO68">
        <f>AND(IF(Metadata!O68="",FALSE,TRUE),exact(Metadata!O68,"kg"))</f>
        <v>0</v>
      </c>
      <c r="AP68">
        <f>OR(AND(IF(Metadata!P68="",FALSE,TRUE),exact(Metadata!P68,"not provided")),IF(Metadata!P68="",FALSE,TRUE))</f>
        <v>0</v>
      </c>
      <c r="AQ68">
        <f>OR(AND(IF(Metadata!Q68="",FALSE,TRUE),exact(Metadata!Q68,"not provided")),IF(Metadata!Q68="",FALSE,TRUE))</f>
        <v>0</v>
      </c>
    </row>
    <row r="69" spans="1:43">
      <c r="A69" s="4">
        <f>IF(B69=" "," ",HYPERLINK(CONCATENATE("#metadata!",ADDRESS(INDEX($W$2:$W$1001,MATCH(ROWS($U$2:U69),$U$2:$U$1001,0),0),2)),INDEX($Z$2:$Z$1001,MATCH(ROWS($U$2:U69),$U$2:$U$1001,0),0)))</f>
        <v>0</v>
      </c>
      <c r="B69" s="5">
        <f>IF(OR(INDEX($V$2:$V$1001,MATCH(ROWS($U$2:U69),$U$2:$U$1001,0),1)&gt;=100000,INDEX($AB$1005:$AQ$1005,1,MATCH(COLUMNS($AB$1006:AB1006),$AB$1006:$AQ$1006,0))&gt;=100000), " ",IF(INDEX($AB$2:$AQ$1001,MATCH(ROWS($U$2:U69),$U$2:$U$1001,0),MATCH(COLUMNS($AB$1006:AB1006),$AB$1006:$AQ$1006,0)), HYPERLINK("#",""), HYPERLINK(CONCATENATE("#Metadata!", ADDRESS(INDEX($W$2:$W$1001,MATCH(ROWS($U$2:U69),$U$2:$U$1001,0),0), INDEX($AB$1004:$AQ$1004,1,MATCH(COLUMNS($AB$1006:AB1006),$AB$1006:$AQ$1006,0)))),"Fix")))</f>
        <v>0</v>
      </c>
      <c r="C69" s="5">
        <f>IF(OR(INDEX($V$2:$V$1001,MATCH(ROWS($U$2:U69),$U$2:$U$1001,0),1)&gt;=100000,INDEX($AB$1005:$AQ$1005,1,MATCH(COLUMNS($AB$1006:AC1006),$AB$1006:$AQ$1006,0))&gt;=100000), " ",IF(INDEX($AB$2:$AQ$1001,MATCH(ROWS($U$2:U69),$U$2:$U$1001,0),MATCH(COLUMNS($AB$1006:AC1006),$AB$1006:$AQ$1006,0)), HYPERLINK("#",""), HYPERLINK(CONCATENATE("#Metadata!", ADDRESS(INDEX($W$2:$W$1001,MATCH(ROWS($U$2:U69),$U$2:$U$1001,0),0), INDEX($AB$1004:$AQ$1004,1,MATCH(COLUMNS($AB$1006:AC1006),$AB$1006:$AQ$1006,0)))),"Fix")))</f>
        <v>0</v>
      </c>
      <c r="D69" s="5">
        <f>IF(OR(INDEX($V$2:$V$1001,MATCH(ROWS($U$2:U69),$U$2:$U$1001,0),1)&gt;=100000,INDEX($AB$1005:$AQ$1005,1,MATCH(COLUMNS($AB$1006:AD1006),$AB$1006:$AQ$1006,0))&gt;=100000), " ",IF(INDEX($AB$2:$AQ$1001,MATCH(ROWS($U$2:U69),$U$2:$U$1001,0),MATCH(COLUMNS($AB$1006:AD1006),$AB$1006:$AQ$1006,0)), HYPERLINK("#",""), HYPERLINK(CONCATENATE("#Metadata!", ADDRESS(INDEX($W$2:$W$1001,MATCH(ROWS($U$2:U69),$U$2:$U$1001,0),0), INDEX($AB$1004:$AQ$1004,1,MATCH(COLUMNS($AB$1006:AD1006),$AB$1006:$AQ$1006,0)))),"Fix")))</f>
        <v>0</v>
      </c>
      <c r="E69" s="5">
        <f>IF(OR(INDEX($V$2:$V$1001,MATCH(ROWS($U$2:U69),$U$2:$U$1001,0),1)&gt;=100000,INDEX($AB$1005:$AQ$1005,1,MATCH(COLUMNS($AB$1006:AE1006),$AB$1006:$AQ$1006,0))&gt;=100000), " ",IF(INDEX($AB$2:$AQ$1001,MATCH(ROWS($U$2:U69),$U$2:$U$1001,0),MATCH(COLUMNS($AB$1006:AE1006),$AB$1006:$AQ$1006,0)), HYPERLINK("#",""), HYPERLINK(CONCATENATE("#Metadata!", ADDRESS(INDEX($W$2:$W$1001,MATCH(ROWS($U$2:U69),$U$2:$U$1001,0),0), INDEX($AB$1004:$AQ$1004,1,MATCH(COLUMNS($AB$1006:AE1006),$AB$1006:$AQ$1006,0)))),"Fix")))</f>
        <v>0</v>
      </c>
      <c r="F69" s="5">
        <f>IF(OR(INDEX($V$2:$V$1001,MATCH(ROWS($U$2:U69),$U$2:$U$1001,0),1)&gt;=100000,INDEX($AB$1005:$AQ$1005,1,MATCH(COLUMNS($AB$1006:AF1006),$AB$1006:$AQ$1006,0))&gt;=100000), " ",IF(INDEX($AB$2:$AQ$1001,MATCH(ROWS($U$2:U69),$U$2:$U$1001,0),MATCH(COLUMNS($AB$1006:AF1006),$AB$1006:$AQ$1006,0)), HYPERLINK("#",""), HYPERLINK(CONCATENATE("#Metadata!", ADDRESS(INDEX($W$2:$W$1001,MATCH(ROWS($U$2:U69),$U$2:$U$1001,0),0), INDEX($AB$1004:$AQ$1004,1,MATCH(COLUMNS($AB$1006:AF1006),$AB$1006:$AQ$1006,0)))),"Fix")))</f>
        <v>0</v>
      </c>
      <c r="G69" s="5">
        <f>IF(OR(INDEX($V$2:$V$1001,MATCH(ROWS($U$2:U69),$U$2:$U$1001,0),1)&gt;=100000,INDEX($AB$1005:$AQ$1005,1,MATCH(COLUMNS($AB$1006:AG1006),$AB$1006:$AQ$1006,0))&gt;=100000), " ",IF(INDEX($AB$2:$AQ$1001,MATCH(ROWS($U$2:U69),$U$2:$U$1001,0),MATCH(COLUMNS($AB$1006:AG1006),$AB$1006:$AQ$1006,0)), HYPERLINK("#",""), HYPERLINK(CONCATENATE("#Metadata!", ADDRESS(INDEX($W$2:$W$1001,MATCH(ROWS($U$2:U69),$U$2:$U$1001,0),0), INDEX($AB$1004:$AQ$1004,1,MATCH(COLUMNS($AB$1006:AG1006),$AB$1006:$AQ$1006,0)))),"Fix")))</f>
        <v>0</v>
      </c>
      <c r="H69" s="5">
        <f>IF(OR(INDEX($V$2:$V$1001,MATCH(ROWS($U$2:U69),$U$2:$U$1001,0),1)&gt;=100000,INDEX($AB$1005:$AQ$1005,1,MATCH(COLUMNS($AB$1006:AH1006),$AB$1006:$AQ$1006,0))&gt;=100000), " ",IF(INDEX($AB$2:$AQ$1001,MATCH(ROWS($U$2:U69),$U$2:$U$1001,0),MATCH(COLUMNS($AB$1006:AH1006),$AB$1006:$AQ$1006,0)), HYPERLINK("#",""), HYPERLINK(CONCATENATE("#Metadata!", ADDRESS(INDEX($W$2:$W$1001,MATCH(ROWS($U$2:U69),$U$2:$U$1001,0),0), INDEX($AB$1004:$AQ$1004,1,MATCH(COLUMNS($AB$1006:AH1006),$AB$1006:$AQ$1006,0)))),"Fix")))</f>
        <v>0</v>
      </c>
      <c r="I69" s="5">
        <f>IF(OR(INDEX($V$2:$V$1001,MATCH(ROWS($U$2:U69),$U$2:$U$1001,0),1)&gt;=100000,INDEX($AB$1005:$AQ$1005,1,MATCH(COLUMNS($AB$1006:AI1006),$AB$1006:$AQ$1006,0))&gt;=100000), " ",IF(INDEX($AB$2:$AQ$1001,MATCH(ROWS($U$2:U69),$U$2:$U$1001,0),MATCH(COLUMNS($AB$1006:AI1006),$AB$1006:$AQ$1006,0)), HYPERLINK("#",""), HYPERLINK(CONCATENATE("#Metadata!", ADDRESS(INDEX($W$2:$W$1001,MATCH(ROWS($U$2:U69),$U$2:$U$1001,0),0), INDEX($AB$1004:$AQ$1004,1,MATCH(COLUMNS($AB$1006:AI1006),$AB$1006:$AQ$1006,0)))),"Fix")))</f>
        <v>0</v>
      </c>
      <c r="J69" s="5">
        <f>IF(OR(INDEX($V$2:$V$1001,MATCH(ROWS($U$2:U69),$U$2:$U$1001,0),1)&gt;=100000,INDEX($AB$1005:$AQ$1005,1,MATCH(COLUMNS($AB$1006:AJ1006),$AB$1006:$AQ$1006,0))&gt;=100000), " ",IF(INDEX($AB$2:$AQ$1001,MATCH(ROWS($U$2:U69),$U$2:$U$1001,0),MATCH(COLUMNS($AB$1006:AJ1006),$AB$1006:$AQ$1006,0)), HYPERLINK("#",""), HYPERLINK(CONCATENATE("#Metadata!", ADDRESS(INDEX($W$2:$W$1001,MATCH(ROWS($U$2:U69),$U$2:$U$1001,0),0), INDEX($AB$1004:$AQ$1004,1,MATCH(COLUMNS($AB$1006:AJ1006),$AB$1006:$AQ$1006,0)))),"Fix")))</f>
        <v>0</v>
      </c>
      <c r="K69" s="5">
        <f>IF(OR(INDEX($V$2:$V$1001,MATCH(ROWS($U$2:U69),$U$2:$U$1001,0),1)&gt;=100000,INDEX($AB$1005:$AQ$1005,1,MATCH(COLUMNS($AB$1006:AK1006),$AB$1006:$AQ$1006,0))&gt;=100000), " ",IF(INDEX($AB$2:$AQ$1001,MATCH(ROWS($U$2:U69),$U$2:$U$1001,0),MATCH(COLUMNS($AB$1006:AK1006),$AB$1006:$AQ$1006,0)), HYPERLINK("#",""), HYPERLINK(CONCATENATE("#Metadata!", ADDRESS(INDEX($W$2:$W$1001,MATCH(ROWS($U$2:U69),$U$2:$U$1001,0),0), INDEX($AB$1004:$AQ$1004,1,MATCH(COLUMNS($AB$1006:AK1006),$AB$1006:$AQ$1006,0)))),"Fix")))</f>
        <v>0</v>
      </c>
      <c r="L69" s="5">
        <f>IF(OR(INDEX($V$2:$V$1001,MATCH(ROWS($U$2:U69),$U$2:$U$1001,0),1)&gt;=100000,INDEX($AB$1005:$AQ$1005,1,MATCH(COLUMNS($AB$1006:AL1006),$AB$1006:$AQ$1006,0))&gt;=100000), " ",IF(INDEX($AB$2:$AQ$1001,MATCH(ROWS($U$2:U69),$U$2:$U$1001,0),MATCH(COLUMNS($AB$1006:AL1006),$AB$1006:$AQ$1006,0)), HYPERLINK("#",""), HYPERLINK(CONCATENATE("#Metadata!", ADDRESS(INDEX($W$2:$W$1001,MATCH(ROWS($U$2:U69),$U$2:$U$1001,0),0), INDEX($AB$1004:$AQ$1004,1,MATCH(COLUMNS($AB$1006:AL1006),$AB$1006:$AQ$1006,0)))),"Fix")))</f>
        <v>0</v>
      </c>
      <c r="M69" s="5">
        <f>IF(OR(INDEX($V$2:$V$1001,MATCH(ROWS($U$2:U69),$U$2:$U$1001,0),1)&gt;=100000,INDEX($AB$1005:$AQ$1005,1,MATCH(COLUMNS($AB$1006:AM1006),$AB$1006:$AQ$1006,0))&gt;=100000), " ",IF(INDEX($AB$2:$AQ$1001,MATCH(ROWS($U$2:U69),$U$2:$U$1001,0),MATCH(COLUMNS($AB$1006:AM1006),$AB$1006:$AQ$1006,0)), HYPERLINK("#",""), HYPERLINK(CONCATENATE("#Metadata!", ADDRESS(INDEX($W$2:$W$1001,MATCH(ROWS($U$2:U69),$U$2:$U$1001,0),0), INDEX($AB$1004:$AQ$1004,1,MATCH(COLUMNS($AB$1006:AM1006),$AB$1006:$AQ$1006,0)))),"Fix")))</f>
        <v>0</v>
      </c>
      <c r="N69" s="5">
        <f>IF(OR(INDEX($V$2:$V$1001,MATCH(ROWS($U$2:U69),$U$2:$U$1001,0),1)&gt;=100000,INDEX($AB$1005:$AQ$1005,1,MATCH(COLUMNS($AB$1006:AN1006),$AB$1006:$AQ$1006,0))&gt;=100000), " ",IF(INDEX($AB$2:$AQ$1001,MATCH(ROWS($U$2:U69),$U$2:$U$1001,0),MATCH(COLUMNS($AB$1006:AN1006),$AB$1006:$AQ$1006,0)), HYPERLINK("#",""), HYPERLINK(CONCATENATE("#Metadata!", ADDRESS(INDEX($W$2:$W$1001,MATCH(ROWS($U$2:U69),$U$2:$U$1001,0),0), INDEX($AB$1004:$AQ$1004,1,MATCH(COLUMNS($AB$1006:AN1006),$AB$1006:$AQ$1006,0)))),"Fix")))</f>
        <v>0</v>
      </c>
      <c r="O69" s="5">
        <f>IF(OR(INDEX($V$2:$V$1001,MATCH(ROWS($U$2:U69),$U$2:$U$1001,0),1)&gt;=100000,INDEX($AB$1005:$AQ$1005,1,MATCH(COLUMNS($AB$1006:AO1006),$AB$1006:$AQ$1006,0))&gt;=100000), " ",IF(INDEX($AB$2:$AQ$1001,MATCH(ROWS($U$2:U69),$U$2:$U$1001,0),MATCH(COLUMNS($AB$1006:AO1006),$AB$1006:$AQ$1006,0)), HYPERLINK("#",""), HYPERLINK(CONCATENATE("#Metadata!", ADDRESS(INDEX($W$2:$W$1001,MATCH(ROWS($U$2:U69),$U$2:$U$1001,0),0), INDEX($AB$1004:$AQ$1004,1,MATCH(COLUMNS($AB$1006:AO1006),$AB$1006:$AQ$1006,0)))),"Fix")))</f>
        <v>0</v>
      </c>
      <c r="P69" s="5">
        <f>IF(OR(INDEX($V$2:$V$1001,MATCH(ROWS($U$2:U69),$U$2:$U$1001,0),1)&gt;=100000,INDEX($AB$1005:$AQ$1005,1,MATCH(COLUMNS($AB$1006:AP1006),$AB$1006:$AQ$1006,0))&gt;=100000), " ",IF(INDEX($AB$2:$AQ$1001,MATCH(ROWS($U$2:U69),$U$2:$U$1001,0),MATCH(COLUMNS($AB$1006:AP1006),$AB$1006:$AQ$1006,0)), HYPERLINK("#",""), HYPERLINK(CONCATENATE("#Metadata!", ADDRESS(INDEX($W$2:$W$1001,MATCH(ROWS($U$2:U69),$U$2:$U$1001,0),0), INDEX($AB$1004:$AQ$1004,1,MATCH(COLUMNS($AB$1006:AP1006),$AB$1006:$AQ$1006,0)))),"Fix")))</f>
        <v>0</v>
      </c>
      <c r="Q69" s="5">
        <f>IF(OR(INDEX($V$2:$V$1001,MATCH(ROWS($U$2:U69),$U$2:$U$1001,0),1)&gt;=100000,INDEX($AB$1005:$AQ$1005,1,MATCH(COLUMNS($AB$1006:AQ1006),$AB$1006:$AQ$1006,0))&gt;=100000), " ",IF(INDEX($AB$2:$AQ$1001,MATCH(ROWS($U$2:U69),$U$2:$U$1001,0),MATCH(COLUMNS($AB$1006:AQ1006),$AB$1006:$AQ$1006,0)), HYPERLINK("#",""), HYPERLINK(CONCATENATE("#Metadata!", ADDRESS(INDEX($W$2:$W$1001,MATCH(ROWS($U$2:U69),$U$2:$U$1001,0),0), INDEX($AB$1004:$AQ$1004,1,MATCH(COLUMNS($AB$1006:AQ1006),$AB$1006:$AQ$1006,0)))),"Fix")))</f>
        <v>0</v>
      </c>
      <c r="U69">
        <v>0</v>
      </c>
      <c r="V69">
        <v>0</v>
      </c>
      <c r="W69">
        <v>0</v>
      </c>
      <c r="X69">
        <f>IF(Y69,TRUE,AND(AB69:AQ69))</f>
        <v>0</v>
      </c>
      <c r="Y69">
        <f>COUNTBLANK(Metadata!B69:Q69)=COLUMNS(Metadata!B69:Q69)</f>
        <v>0</v>
      </c>
      <c r="Z69">
        <v>0</v>
      </c>
      <c r="AB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AC69">
        <f>AND(IF(Metadata!C69="",FALSE,TRUE),exact(Metadata!C69,"urban biome"))</f>
        <v>0</v>
      </c>
      <c r="AD69">
        <f>AND(IF(Metadata!D69="",FALSE,TRUE),exact(Metadata!D69,"human-associated habitat"))</f>
        <v>0</v>
      </c>
      <c r="AE69">
        <f>AND(IF(Metadata!E69="",FALSE,TRUE),OR(exact(Metadata!E69,"human-associated"),exact(Metadata!E69,"human-skin"),exact(Metadata!E69,"human-oral"),exact(Metadata!E69,"human-gut"),exact(Metadata!E69,"human-vaginal")))</f>
        <v>0</v>
      </c>
      <c r="AF69">
        <f>AND(IF(Metadata!F69="",FALSE,ISNUMBER(VALUE(Metadata!F69))),Metadata!F69&gt;0)</f>
        <v>0</v>
      </c>
      <c r="AG69">
        <f>AND(IF(Metadata!G69="",FALSE,TRUE),exact(Metadata!G69,"years"))</f>
        <v>0</v>
      </c>
      <c r="AH69">
        <f>OR(AND(IF(Metadata!H69="",FALSE,TRUE),OR(exact(Metadata!H69,"not applicable"),exact(Metadata!H69,"not collected"),exact(Metadata!H69,"not provided"),exact(Metadata!H69,"restricted access"))),AND(IF(Metadata!H69="",FALSE,ISNUMBER(VALUE(Metadata!H69))),Metadata!H69&gt;0))</f>
        <v>0</v>
      </c>
      <c r="AI69">
        <f>AND(IF(Metadata!I69="",FALSE,TRUE),exact(Metadata!I69,"human"))</f>
        <v>0</v>
      </c>
      <c r="AJ69">
        <f>AND(IF(Metadata!J69="",FALSE,ISNUMBER(VALUE(Metadata!J69))),Metadata!J69&gt;0)</f>
        <v>0</v>
      </c>
      <c r="AK69">
        <f>AND(IF(Metadata!K69="",FALSE,TRUE),exact(Metadata!K69,"cm"))</f>
        <v>0</v>
      </c>
      <c r="AL69">
        <f>AND(IF(Metadata!L69="",FALSE,TRUE),exact(Metadata!L69,"Homo sapiens"))</f>
        <v>0</v>
      </c>
      <c r="AM69">
        <f>AND(IF(Metadata!M69="",FALSE,TRUE),exact(Metadata!M69,"9606"))</f>
        <v>0</v>
      </c>
      <c r="AN69">
        <f>AND(IF(Metadata!N69="",FALSE,ISNUMBER(VALUE(Metadata!N69))),Metadata!N69&gt;0)</f>
        <v>0</v>
      </c>
      <c r="AO69">
        <f>AND(IF(Metadata!O69="",FALSE,TRUE),exact(Metadata!O69,"kg"))</f>
        <v>0</v>
      </c>
      <c r="AP69">
        <f>OR(AND(IF(Metadata!P69="",FALSE,TRUE),exact(Metadata!P69,"not provided")),IF(Metadata!P69="",FALSE,TRUE))</f>
        <v>0</v>
      </c>
      <c r="AQ69">
        <f>OR(AND(IF(Metadata!Q69="",FALSE,TRUE),exact(Metadata!Q69,"not provided")),IF(Metadata!Q69="",FALSE,TRUE))</f>
        <v>0</v>
      </c>
    </row>
    <row r="70" spans="1:43">
      <c r="A70" s="4">
        <f>IF(B70=" "," ",HYPERLINK(CONCATENATE("#metadata!",ADDRESS(INDEX($W$2:$W$1001,MATCH(ROWS($U$2:U70),$U$2:$U$1001,0),0),2)),INDEX($Z$2:$Z$1001,MATCH(ROWS($U$2:U70),$U$2:$U$1001,0),0)))</f>
        <v>0</v>
      </c>
      <c r="B70" s="5">
        <f>IF(OR(INDEX($V$2:$V$1001,MATCH(ROWS($U$2:U70),$U$2:$U$1001,0),1)&gt;=100000,INDEX($AB$1005:$AQ$1005,1,MATCH(COLUMNS($AB$1006:AB1006),$AB$1006:$AQ$1006,0))&gt;=100000), " ",IF(INDEX($AB$2:$AQ$1001,MATCH(ROWS($U$2:U70),$U$2:$U$1001,0),MATCH(COLUMNS($AB$1006:AB1006),$AB$1006:$AQ$1006,0)), HYPERLINK("#",""), HYPERLINK(CONCATENATE("#Metadata!", ADDRESS(INDEX($W$2:$W$1001,MATCH(ROWS($U$2:U70),$U$2:$U$1001,0),0), INDEX($AB$1004:$AQ$1004,1,MATCH(COLUMNS($AB$1006:AB1006),$AB$1006:$AQ$1006,0)))),"Fix")))</f>
        <v>0</v>
      </c>
      <c r="C70" s="5">
        <f>IF(OR(INDEX($V$2:$V$1001,MATCH(ROWS($U$2:U70),$U$2:$U$1001,0),1)&gt;=100000,INDEX($AB$1005:$AQ$1005,1,MATCH(COLUMNS($AB$1006:AC1006),$AB$1006:$AQ$1006,0))&gt;=100000), " ",IF(INDEX($AB$2:$AQ$1001,MATCH(ROWS($U$2:U70),$U$2:$U$1001,0),MATCH(COLUMNS($AB$1006:AC1006),$AB$1006:$AQ$1006,0)), HYPERLINK("#",""), HYPERLINK(CONCATENATE("#Metadata!", ADDRESS(INDEX($W$2:$W$1001,MATCH(ROWS($U$2:U70),$U$2:$U$1001,0),0), INDEX($AB$1004:$AQ$1004,1,MATCH(COLUMNS($AB$1006:AC1006),$AB$1006:$AQ$1006,0)))),"Fix")))</f>
        <v>0</v>
      </c>
      <c r="D70" s="5">
        <f>IF(OR(INDEX($V$2:$V$1001,MATCH(ROWS($U$2:U70),$U$2:$U$1001,0),1)&gt;=100000,INDEX($AB$1005:$AQ$1005,1,MATCH(COLUMNS($AB$1006:AD1006),$AB$1006:$AQ$1006,0))&gt;=100000), " ",IF(INDEX($AB$2:$AQ$1001,MATCH(ROWS($U$2:U70),$U$2:$U$1001,0),MATCH(COLUMNS($AB$1006:AD1006),$AB$1006:$AQ$1006,0)), HYPERLINK("#",""), HYPERLINK(CONCATENATE("#Metadata!", ADDRESS(INDEX($W$2:$W$1001,MATCH(ROWS($U$2:U70),$U$2:$U$1001,0),0), INDEX($AB$1004:$AQ$1004,1,MATCH(COLUMNS($AB$1006:AD1006),$AB$1006:$AQ$1006,0)))),"Fix")))</f>
        <v>0</v>
      </c>
      <c r="E70" s="5">
        <f>IF(OR(INDEX($V$2:$V$1001,MATCH(ROWS($U$2:U70),$U$2:$U$1001,0),1)&gt;=100000,INDEX($AB$1005:$AQ$1005,1,MATCH(COLUMNS($AB$1006:AE1006),$AB$1006:$AQ$1006,0))&gt;=100000), " ",IF(INDEX($AB$2:$AQ$1001,MATCH(ROWS($U$2:U70),$U$2:$U$1001,0),MATCH(COLUMNS($AB$1006:AE1006),$AB$1006:$AQ$1006,0)), HYPERLINK("#",""), HYPERLINK(CONCATENATE("#Metadata!", ADDRESS(INDEX($W$2:$W$1001,MATCH(ROWS($U$2:U70),$U$2:$U$1001,0),0), INDEX($AB$1004:$AQ$1004,1,MATCH(COLUMNS($AB$1006:AE1006),$AB$1006:$AQ$1006,0)))),"Fix")))</f>
        <v>0</v>
      </c>
      <c r="F70" s="5">
        <f>IF(OR(INDEX($V$2:$V$1001,MATCH(ROWS($U$2:U70),$U$2:$U$1001,0),1)&gt;=100000,INDEX($AB$1005:$AQ$1005,1,MATCH(COLUMNS($AB$1006:AF1006),$AB$1006:$AQ$1006,0))&gt;=100000), " ",IF(INDEX($AB$2:$AQ$1001,MATCH(ROWS($U$2:U70),$U$2:$U$1001,0),MATCH(COLUMNS($AB$1006:AF1006),$AB$1006:$AQ$1006,0)), HYPERLINK("#",""), HYPERLINK(CONCATENATE("#Metadata!", ADDRESS(INDEX($W$2:$W$1001,MATCH(ROWS($U$2:U70),$U$2:$U$1001,0),0), INDEX($AB$1004:$AQ$1004,1,MATCH(COLUMNS($AB$1006:AF1006),$AB$1006:$AQ$1006,0)))),"Fix")))</f>
        <v>0</v>
      </c>
      <c r="G70" s="5">
        <f>IF(OR(INDEX($V$2:$V$1001,MATCH(ROWS($U$2:U70),$U$2:$U$1001,0),1)&gt;=100000,INDEX($AB$1005:$AQ$1005,1,MATCH(COLUMNS($AB$1006:AG1006),$AB$1006:$AQ$1006,0))&gt;=100000), " ",IF(INDEX($AB$2:$AQ$1001,MATCH(ROWS($U$2:U70),$U$2:$U$1001,0),MATCH(COLUMNS($AB$1006:AG1006),$AB$1006:$AQ$1006,0)), HYPERLINK("#",""), HYPERLINK(CONCATENATE("#Metadata!", ADDRESS(INDEX($W$2:$W$1001,MATCH(ROWS($U$2:U70),$U$2:$U$1001,0),0), INDEX($AB$1004:$AQ$1004,1,MATCH(COLUMNS($AB$1006:AG1006),$AB$1006:$AQ$1006,0)))),"Fix")))</f>
        <v>0</v>
      </c>
      <c r="H70" s="5">
        <f>IF(OR(INDEX($V$2:$V$1001,MATCH(ROWS($U$2:U70),$U$2:$U$1001,0),1)&gt;=100000,INDEX($AB$1005:$AQ$1005,1,MATCH(COLUMNS($AB$1006:AH1006),$AB$1006:$AQ$1006,0))&gt;=100000), " ",IF(INDEX($AB$2:$AQ$1001,MATCH(ROWS($U$2:U70),$U$2:$U$1001,0),MATCH(COLUMNS($AB$1006:AH1006),$AB$1006:$AQ$1006,0)), HYPERLINK("#",""), HYPERLINK(CONCATENATE("#Metadata!", ADDRESS(INDEX($W$2:$W$1001,MATCH(ROWS($U$2:U70),$U$2:$U$1001,0),0), INDEX($AB$1004:$AQ$1004,1,MATCH(COLUMNS($AB$1006:AH1006),$AB$1006:$AQ$1006,0)))),"Fix")))</f>
        <v>0</v>
      </c>
      <c r="I70" s="5">
        <f>IF(OR(INDEX($V$2:$V$1001,MATCH(ROWS($U$2:U70),$U$2:$U$1001,0),1)&gt;=100000,INDEX($AB$1005:$AQ$1005,1,MATCH(COLUMNS($AB$1006:AI1006),$AB$1006:$AQ$1006,0))&gt;=100000), " ",IF(INDEX($AB$2:$AQ$1001,MATCH(ROWS($U$2:U70),$U$2:$U$1001,0),MATCH(COLUMNS($AB$1006:AI1006),$AB$1006:$AQ$1006,0)), HYPERLINK("#",""), HYPERLINK(CONCATENATE("#Metadata!", ADDRESS(INDEX($W$2:$W$1001,MATCH(ROWS($U$2:U70),$U$2:$U$1001,0),0), INDEX($AB$1004:$AQ$1004,1,MATCH(COLUMNS($AB$1006:AI1006),$AB$1006:$AQ$1006,0)))),"Fix")))</f>
        <v>0</v>
      </c>
      <c r="J70" s="5">
        <f>IF(OR(INDEX($V$2:$V$1001,MATCH(ROWS($U$2:U70),$U$2:$U$1001,0),1)&gt;=100000,INDEX($AB$1005:$AQ$1005,1,MATCH(COLUMNS($AB$1006:AJ1006),$AB$1006:$AQ$1006,0))&gt;=100000), " ",IF(INDEX($AB$2:$AQ$1001,MATCH(ROWS($U$2:U70),$U$2:$U$1001,0),MATCH(COLUMNS($AB$1006:AJ1006),$AB$1006:$AQ$1006,0)), HYPERLINK("#",""), HYPERLINK(CONCATENATE("#Metadata!", ADDRESS(INDEX($W$2:$W$1001,MATCH(ROWS($U$2:U70),$U$2:$U$1001,0),0), INDEX($AB$1004:$AQ$1004,1,MATCH(COLUMNS($AB$1006:AJ1006),$AB$1006:$AQ$1006,0)))),"Fix")))</f>
        <v>0</v>
      </c>
      <c r="K70" s="5">
        <f>IF(OR(INDEX($V$2:$V$1001,MATCH(ROWS($U$2:U70),$U$2:$U$1001,0),1)&gt;=100000,INDEX($AB$1005:$AQ$1005,1,MATCH(COLUMNS($AB$1006:AK1006),$AB$1006:$AQ$1006,0))&gt;=100000), " ",IF(INDEX($AB$2:$AQ$1001,MATCH(ROWS($U$2:U70),$U$2:$U$1001,0),MATCH(COLUMNS($AB$1006:AK1006),$AB$1006:$AQ$1006,0)), HYPERLINK("#",""), HYPERLINK(CONCATENATE("#Metadata!", ADDRESS(INDEX($W$2:$W$1001,MATCH(ROWS($U$2:U70),$U$2:$U$1001,0),0), INDEX($AB$1004:$AQ$1004,1,MATCH(COLUMNS($AB$1006:AK1006),$AB$1006:$AQ$1006,0)))),"Fix")))</f>
        <v>0</v>
      </c>
      <c r="L70" s="5">
        <f>IF(OR(INDEX($V$2:$V$1001,MATCH(ROWS($U$2:U70),$U$2:$U$1001,0),1)&gt;=100000,INDEX($AB$1005:$AQ$1005,1,MATCH(COLUMNS($AB$1006:AL1006),$AB$1006:$AQ$1006,0))&gt;=100000), " ",IF(INDEX($AB$2:$AQ$1001,MATCH(ROWS($U$2:U70),$U$2:$U$1001,0),MATCH(COLUMNS($AB$1006:AL1006),$AB$1006:$AQ$1006,0)), HYPERLINK("#",""), HYPERLINK(CONCATENATE("#Metadata!", ADDRESS(INDEX($W$2:$W$1001,MATCH(ROWS($U$2:U70),$U$2:$U$1001,0),0), INDEX($AB$1004:$AQ$1004,1,MATCH(COLUMNS($AB$1006:AL1006),$AB$1006:$AQ$1006,0)))),"Fix")))</f>
        <v>0</v>
      </c>
      <c r="M70" s="5">
        <f>IF(OR(INDEX($V$2:$V$1001,MATCH(ROWS($U$2:U70),$U$2:$U$1001,0),1)&gt;=100000,INDEX($AB$1005:$AQ$1005,1,MATCH(COLUMNS($AB$1006:AM1006),$AB$1006:$AQ$1006,0))&gt;=100000), " ",IF(INDEX($AB$2:$AQ$1001,MATCH(ROWS($U$2:U70),$U$2:$U$1001,0),MATCH(COLUMNS($AB$1006:AM1006),$AB$1006:$AQ$1006,0)), HYPERLINK("#",""), HYPERLINK(CONCATENATE("#Metadata!", ADDRESS(INDEX($W$2:$W$1001,MATCH(ROWS($U$2:U70),$U$2:$U$1001,0),0), INDEX($AB$1004:$AQ$1004,1,MATCH(COLUMNS($AB$1006:AM1006),$AB$1006:$AQ$1006,0)))),"Fix")))</f>
        <v>0</v>
      </c>
      <c r="N70" s="5">
        <f>IF(OR(INDEX($V$2:$V$1001,MATCH(ROWS($U$2:U70),$U$2:$U$1001,0),1)&gt;=100000,INDEX($AB$1005:$AQ$1005,1,MATCH(COLUMNS($AB$1006:AN1006),$AB$1006:$AQ$1006,0))&gt;=100000), " ",IF(INDEX($AB$2:$AQ$1001,MATCH(ROWS($U$2:U70),$U$2:$U$1001,0),MATCH(COLUMNS($AB$1006:AN1006),$AB$1006:$AQ$1006,0)), HYPERLINK("#",""), HYPERLINK(CONCATENATE("#Metadata!", ADDRESS(INDEX($W$2:$W$1001,MATCH(ROWS($U$2:U70),$U$2:$U$1001,0),0), INDEX($AB$1004:$AQ$1004,1,MATCH(COLUMNS($AB$1006:AN1006),$AB$1006:$AQ$1006,0)))),"Fix")))</f>
        <v>0</v>
      </c>
      <c r="O70" s="5">
        <f>IF(OR(INDEX($V$2:$V$1001,MATCH(ROWS($U$2:U70),$U$2:$U$1001,0),1)&gt;=100000,INDEX($AB$1005:$AQ$1005,1,MATCH(COLUMNS($AB$1006:AO1006),$AB$1006:$AQ$1006,0))&gt;=100000), " ",IF(INDEX($AB$2:$AQ$1001,MATCH(ROWS($U$2:U70),$U$2:$U$1001,0),MATCH(COLUMNS($AB$1006:AO1006),$AB$1006:$AQ$1006,0)), HYPERLINK("#",""), HYPERLINK(CONCATENATE("#Metadata!", ADDRESS(INDEX($W$2:$W$1001,MATCH(ROWS($U$2:U70),$U$2:$U$1001,0),0), INDEX($AB$1004:$AQ$1004,1,MATCH(COLUMNS($AB$1006:AO1006),$AB$1006:$AQ$1006,0)))),"Fix")))</f>
        <v>0</v>
      </c>
      <c r="P70" s="5">
        <f>IF(OR(INDEX($V$2:$V$1001,MATCH(ROWS($U$2:U70),$U$2:$U$1001,0),1)&gt;=100000,INDEX($AB$1005:$AQ$1005,1,MATCH(COLUMNS($AB$1006:AP1006),$AB$1006:$AQ$1006,0))&gt;=100000), " ",IF(INDEX($AB$2:$AQ$1001,MATCH(ROWS($U$2:U70),$U$2:$U$1001,0),MATCH(COLUMNS($AB$1006:AP1006),$AB$1006:$AQ$1006,0)), HYPERLINK("#",""), HYPERLINK(CONCATENATE("#Metadata!", ADDRESS(INDEX($W$2:$W$1001,MATCH(ROWS($U$2:U70),$U$2:$U$1001,0),0), INDEX($AB$1004:$AQ$1004,1,MATCH(COLUMNS($AB$1006:AP1006),$AB$1006:$AQ$1006,0)))),"Fix")))</f>
        <v>0</v>
      </c>
      <c r="Q70" s="5">
        <f>IF(OR(INDEX($V$2:$V$1001,MATCH(ROWS($U$2:U70),$U$2:$U$1001,0),1)&gt;=100000,INDEX($AB$1005:$AQ$1005,1,MATCH(COLUMNS($AB$1006:AQ1006),$AB$1006:$AQ$1006,0))&gt;=100000), " ",IF(INDEX($AB$2:$AQ$1001,MATCH(ROWS($U$2:U70),$U$2:$U$1001,0),MATCH(COLUMNS($AB$1006:AQ1006),$AB$1006:$AQ$1006,0)), HYPERLINK("#",""), HYPERLINK(CONCATENATE("#Metadata!", ADDRESS(INDEX($W$2:$W$1001,MATCH(ROWS($U$2:U70),$U$2:$U$1001,0),0), INDEX($AB$1004:$AQ$1004,1,MATCH(COLUMNS($AB$1006:AQ1006),$AB$1006:$AQ$1006,0)))),"Fix")))</f>
        <v>0</v>
      </c>
      <c r="U70">
        <v>0</v>
      </c>
      <c r="V70">
        <v>0</v>
      </c>
      <c r="W70">
        <v>0</v>
      </c>
      <c r="X70">
        <f>IF(Y70,TRUE,AND(AB70:AQ70))</f>
        <v>0</v>
      </c>
      <c r="Y70">
        <f>COUNTBLANK(Metadata!B70:Q70)=COLUMNS(Metadata!B70:Q70)</f>
        <v>0</v>
      </c>
      <c r="Z70">
        <v>0</v>
      </c>
      <c r="AB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AC70">
        <f>AND(IF(Metadata!C70="",FALSE,TRUE),exact(Metadata!C70,"urban biome"))</f>
        <v>0</v>
      </c>
      <c r="AD70">
        <f>AND(IF(Metadata!D70="",FALSE,TRUE),exact(Metadata!D70,"human-associated habitat"))</f>
        <v>0</v>
      </c>
      <c r="AE70">
        <f>AND(IF(Metadata!E70="",FALSE,TRUE),OR(exact(Metadata!E70,"human-associated"),exact(Metadata!E70,"human-skin"),exact(Metadata!E70,"human-oral"),exact(Metadata!E70,"human-gut"),exact(Metadata!E70,"human-vaginal")))</f>
        <v>0</v>
      </c>
      <c r="AF70">
        <f>AND(IF(Metadata!F70="",FALSE,ISNUMBER(VALUE(Metadata!F70))),Metadata!F70&gt;0)</f>
        <v>0</v>
      </c>
      <c r="AG70">
        <f>AND(IF(Metadata!G70="",FALSE,TRUE),exact(Metadata!G70,"years"))</f>
        <v>0</v>
      </c>
      <c r="AH70">
        <f>OR(AND(IF(Metadata!H70="",FALSE,TRUE),OR(exact(Metadata!H70,"not applicable"),exact(Metadata!H70,"not collected"),exact(Metadata!H70,"not provided"),exact(Metadata!H70,"restricted access"))),AND(IF(Metadata!H70="",FALSE,ISNUMBER(VALUE(Metadata!H70))),Metadata!H70&gt;0))</f>
        <v>0</v>
      </c>
      <c r="AI70">
        <f>AND(IF(Metadata!I70="",FALSE,TRUE),exact(Metadata!I70,"human"))</f>
        <v>0</v>
      </c>
      <c r="AJ70">
        <f>AND(IF(Metadata!J70="",FALSE,ISNUMBER(VALUE(Metadata!J70))),Metadata!J70&gt;0)</f>
        <v>0</v>
      </c>
      <c r="AK70">
        <f>AND(IF(Metadata!K70="",FALSE,TRUE),exact(Metadata!K70,"cm"))</f>
        <v>0</v>
      </c>
      <c r="AL70">
        <f>AND(IF(Metadata!L70="",FALSE,TRUE),exact(Metadata!L70,"Homo sapiens"))</f>
        <v>0</v>
      </c>
      <c r="AM70">
        <f>AND(IF(Metadata!M70="",FALSE,TRUE),exact(Metadata!M70,"9606"))</f>
        <v>0</v>
      </c>
      <c r="AN70">
        <f>AND(IF(Metadata!N70="",FALSE,ISNUMBER(VALUE(Metadata!N70))),Metadata!N70&gt;0)</f>
        <v>0</v>
      </c>
      <c r="AO70">
        <f>AND(IF(Metadata!O70="",FALSE,TRUE),exact(Metadata!O70,"kg"))</f>
        <v>0</v>
      </c>
      <c r="AP70">
        <f>OR(AND(IF(Metadata!P70="",FALSE,TRUE),exact(Metadata!P70,"not provided")),IF(Metadata!P70="",FALSE,TRUE))</f>
        <v>0</v>
      </c>
      <c r="AQ70">
        <f>OR(AND(IF(Metadata!Q70="",FALSE,TRUE),exact(Metadata!Q70,"not provided")),IF(Metadata!Q70="",FALSE,TRUE))</f>
        <v>0</v>
      </c>
    </row>
    <row r="71" spans="1:43">
      <c r="A71" s="4">
        <f>IF(B71=" "," ",HYPERLINK(CONCATENATE("#metadata!",ADDRESS(INDEX($W$2:$W$1001,MATCH(ROWS($U$2:U71),$U$2:$U$1001,0),0),2)),INDEX($Z$2:$Z$1001,MATCH(ROWS($U$2:U71),$U$2:$U$1001,0),0)))</f>
        <v>0</v>
      </c>
      <c r="B71" s="5">
        <f>IF(OR(INDEX($V$2:$V$1001,MATCH(ROWS($U$2:U71),$U$2:$U$1001,0),1)&gt;=100000,INDEX($AB$1005:$AQ$1005,1,MATCH(COLUMNS($AB$1006:AB1006),$AB$1006:$AQ$1006,0))&gt;=100000), " ",IF(INDEX($AB$2:$AQ$1001,MATCH(ROWS($U$2:U71),$U$2:$U$1001,0),MATCH(COLUMNS($AB$1006:AB1006),$AB$1006:$AQ$1006,0)), HYPERLINK("#",""), HYPERLINK(CONCATENATE("#Metadata!", ADDRESS(INDEX($W$2:$W$1001,MATCH(ROWS($U$2:U71),$U$2:$U$1001,0),0), INDEX($AB$1004:$AQ$1004,1,MATCH(COLUMNS($AB$1006:AB1006),$AB$1006:$AQ$1006,0)))),"Fix")))</f>
        <v>0</v>
      </c>
      <c r="C71" s="5">
        <f>IF(OR(INDEX($V$2:$V$1001,MATCH(ROWS($U$2:U71),$U$2:$U$1001,0),1)&gt;=100000,INDEX($AB$1005:$AQ$1005,1,MATCH(COLUMNS($AB$1006:AC1006),$AB$1006:$AQ$1006,0))&gt;=100000), " ",IF(INDEX($AB$2:$AQ$1001,MATCH(ROWS($U$2:U71),$U$2:$U$1001,0),MATCH(COLUMNS($AB$1006:AC1006),$AB$1006:$AQ$1006,0)), HYPERLINK("#",""), HYPERLINK(CONCATENATE("#Metadata!", ADDRESS(INDEX($W$2:$W$1001,MATCH(ROWS($U$2:U71),$U$2:$U$1001,0),0), INDEX($AB$1004:$AQ$1004,1,MATCH(COLUMNS($AB$1006:AC1006),$AB$1006:$AQ$1006,0)))),"Fix")))</f>
        <v>0</v>
      </c>
      <c r="D71" s="5">
        <f>IF(OR(INDEX($V$2:$V$1001,MATCH(ROWS($U$2:U71),$U$2:$U$1001,0),1)&gt;=100000,INDEX($AB$1005:$AQ$1005,1,MATCH(COLUMNS($AB$1006:AD1006),$AB$1006:$AQ$1006,0))&gt;=100000), " ",IF(INDEX($AB$2:$AQ$1001,MATCH(ROWS($U$2:U71),$U$2:$U$1001,0),MATCH(COLUMNS($AB$1006:AD1006),$AB$1006:$AQ$1006,0)), HYPERLINK("#",""), HYPERLINK(CONCATENATE("#Metadata!", ADDRESS(INDEX($W$2:$W$1001,MATCH(ROWS($U$2:U71),$U$2:$U$1001,0),0), INDEX($AB$1004:$AQ$1004,1,MATCH(COLUMNS($AB$1006:AD1006),$AB$1006:$AQ$1006,0)))),"Fix")))</f>
        <v>0</v>
      </c>
      <c r="E71" s="5">
        <f>IF(OR(INDEX($V$2:$V$1001,MATCH(ROWS($U$2:U71),$U$2:$U$1001,0),1)&gt;=100000,INDEX($AB$1005:$AQ$1005,1,MATCH(COLUMNS($AB$1006:AE1006),$AB$1006:$AQ$1006,0))&gt;=100000), " ",IF(INDEX($AB$2:$AQ$1001,MATCH(ROWS($U$2:U71),$U$2:$U$1001,0),MATCH(COLUMNS($AB$1006:AE1006),$AB$1006:$AQ$1006,0)), HYPERLINK("#",""), HYPERLINK(CONCATENATE("#Metadata!", ADDRESS(INDEX($W$2:$W$1001,MATCH(ROWS($U$2:U71),$U$2:$U$1001,0),0), INDEX($AB$1004:$AQ$1004,1,MATCH(COLUMNS($AB$1006:AE1006),$AB$1006:$AQ$1006,0)))),"Fix")))</f>
        <v>0</v>
      </c>
      <c r="F71" s="5">
        <f>IF(OR(INDEX($V$2:$V$1001,MATCH(ROWS($U$2:U71),$U$2:$U$1001,0),1)&gt;=100000,INDEX($AB$1005:$AQ$1005,1,MATCH(COLUMNS($AB$1006:AF1006),$AB$1006:$AQ$1006,0))&gt;=100000), " ",IF(INDEX($AB$2:$AQ$1001,MATCH(ROWS($U$2:U71),$U$2:$U$1001,0),MATCH(COLUMNS($AB$1006:AF1006),$AB$1006:$AQ$1006,0)), HYPERLINK("#",""), HYPERLINK(CONCATENATE("#Metadata!", ADDRESS(INDEX($W$2:$W$1001,MATCH(ROWS($U$2:U71),$U$2:$U$1001,0),0), INDEX($AB$1004:$AQ$1004,1,MATCH(COLUMNS($AB$1006:AF1006),$AB$1006:$AQ$1006,0)))),"Fix")))</f>
        <v>0</v>
      </c>
      <c r="G71" s="5">
        <f>IF(OR(INDEX($V$2:$V$1001,MATCH(ROWS($U$2:U71),$U$2:$U$1001,0),1)&gt;=100000,INDEX($AB$1005:$AQ$1005,1,MATCH(COLUMNS($AB$1006:AG1006),$AB$1006:$AQ$1006,0))&gt;=100000), " ",IF(INDEX($AB$2:$AQ$1001,MATCH(ROWS($U$2:U71),$U$2:$U$1001,0),MATCH(COLUMNS($AB$1006:AG1006),$AB$1006:$AQ$1006,0)), HYPERLINK("#",""), HYPERLINK(CONCATENATE("#Metadata!", ADDRESS(INDEX($W$2:$W$1001,MATCH(ROWS($U$2:U71),$U$2:$U$1001,0),0), INDEX($AB$1004:$AQ$1004,1,MATCH(COLUMNS($AB$1006:AG1006),$AB$1006:$AQ$1006,0)))),"Fix")))</f>
        <v>0</v>
      </c>
      <c r="H71" s="5">
        <f>IF(OR(INDEX($V$2:$V$1001,MATCH(ROWS($U$2:U71),$U$2:$U$1001,0),1)&gt;=100000,INDEX($AB$1005:$AQ$1005,1,MATCH(COLUMNS($AB$1006:AH1006),$AB$1006:$AQ$1006,0))&gt;=100000), " ",IF(INDEX($AB$2:$AQ$1001,MATCH(ROWS($U$2:U71),$U$2:$U$1001,0),MATCH(COLUMNS($AB$1006:AH1006),$AB$1006:$AQ$1006,0)), HYPERLINK("#",""), HYPERLINK(CONCATENATE("#Metadata!", ADDRESS(INDEX($W$2:$W$1001,MATCH(ROWS($U$2:U71),$U$2:$U$1001,0),0), INDEX($AB$1004:$AQ$1004,1,MATCH(COLUMNS($AB$1006:AH1006),$AB$1006:$AQ$1006,0)))),"Fix")))</f>
        <v>0</v>
      </c>
      <c r="I71" s="5">
        <f>IF(OR(INDEX($V$2:$V$1001,MATCH(ROWS($U$2:U71),$U$2:$U$1001,0),1)&gt;=100000,INDEX($AB$1005:$AQ$1005,1,MATCH(COLUMNS($AB$1006:AI1006),$AB$1006:$AQ$1006,0))&gt;=100000), " ",IF(INDEX($AB$2:$AQ$1001,MATCH(ROWS($U$2:U71),$U$2:$U$1001,0),MATCH(COLUMNS($AB$1006:AI1006),$AB$1006:$AQ$1006,0)), HYPERLINK("#",""), HYPERLINK(CONCATENATE("#Metadata!", ADDRESS(INDEX($W$2:$W$1001,MATCH(ROWS($U$2:U71),$U$2:$U$1001,0),0), INDEX($AB$1004:$AQ$1004,1,MATCH(COLUMNS($AB$1006:AI1006),$AB$1006:$AQ$1006,0)))),"Fix")))</f>
        <v>0</v>
      </c>
      <c r="J71" s="5">
        <f>IF(OR(INDEX($V$2:$V$1001,MATCH(ROWS($U$2:U71),$U$2:$U$1001,0),1)&gt;=100000,INDEX($AB$1005:$AQ$1005,1,MATCH(COLUMNS($AB$1006:AJ1006),$AB$1006:$AQ$1006,0))&gt;=100000), " ",IF(INDEX($AB$2:$AQ$1001,MATCH(ROWS($U$2:U71),$U$2:$U$1001,0),MATCH(COLUMNS($AB$1006:AJ1006),$AB$1006:$AQ$1006,0)), HYPERLINK("#",""), HYPERLINK(CONCATENATE("#Metadata!", ADDRESS(INDEX($W$2:$W$1001,MATCH(ROWS($U$2:U71),$U$2:$U$1001,0),0), INDEX($AB$1004:$AQ$1004,1,MATCH(COLUMNS($AB$1006:AJ1006),$AB$1006:$AQ$1006,0)))),"Fix")))</f>
        <v>0</v>
      </c>
      <c r="K71" s="5">
        <f>IF(OR(INDEX($V$2:$V$1001,MATCH(ROWS($U$2:U71),$U$2:$U$1001,0),1)&gt;=100000,INDEX($AB$1005:$AQ$1005,1,MATCH(COLUMNS($AB$1006:AK1006),$AB$1006:$AQ$1006,0))&gt;=100000), " ",IF(INDEX($AB$2:$AQ$1001,MATCH(ROWS($U$2:U71),$U$2:$U$1001,0),MATCH(COLUMNS($AB$1006:AK1006),$AB$1006:$AQ$1006,0)), HYPERLINK("#",""), HYPERLINK(CONCATENATE("#Metadata!", ADDRESS(INDEX($W$2:$W$1001,MATCH(ROWS($U$2:U71),$U$2:$U$1001,0),0), INDEX($AB$1004:$AQ$1004,1,MATCH(COLUMNS($AB$1006:AK1006),$AB$1006:$AQ$1006,0)))),"Fix")))</f>
        <v>0</v>
      </c>
      <c r="L71" s="5">
        <f>IF(OR(INDEX($V$2:$V$1001,MATCH(ROWS($U$2:U71),$U$2:$U$1001,0),1)&gt;=100000,INDEX($AB$1005:$AQ$1005,1,MATCH(COLUMNS($AB$1006:AL1006),$AB$1006:$AQ$1006,0))&gt;=100000), " ",IF(INDEX($AB$2:$AQ$1001,MATCH(ROWS($U$2:U71),$U$2:$U$1001,0),MATCH(COLUMNS($AB$1006:AL1006),$AB$1006:$AQ$1006,0)), HYPERLINK("#",""), HYPERLINK(CONCATENATE("#Metadata!", ADDRESS(INDEX($W$2:$W$1001,MATCH(ROWS($U$2:U71),$U$2:$U$1001,0),0), INDEX($AB$1004:$AQ$1004,1,MATCH(COLUMNS($AB$1006:AL1006),$AB$1006:$AQ$1006,0)))),"Fix")))</f>
        <v>0</v>
      </c>
      <c r="M71" s="5">
        <f>IF(OR(INDEX($V$2:$V$1001,MATCH(ROWS($U$2:U71),$U$2:$U$1001,0),1)&gt;=100000,INDEX($AB$1005:$AQ$1005,1,MATCH(COLUMNS($AB$1006:AM1006),$AB$1006:$AQ$1006,0))&gt;=100000), " ",IF(INDEX($AB$2:$AQ$1001,MATCH(ROWS($U$2:U71),$U$2:$U$1001,0),MATCH(COLUMNS($AB$1006:AM1006),$AB$1006:$AQ$1006,0)), HYPERLINK("#",""), HYPERLINK(CONCATENATE("#Metadata!", ADDRESS(INDEX($W$2:$W$1001,MATCH(ROWS($U$2:U71),$U$2:$U$1001,0),0), INDEX($AB$1004:$AQ$1004,1,MATCH(COLUMNS($AB$1006:AM1006),$AB$1006:$AQ$1006,0)))),"Fix")))</f>
        <v>0</v>
      </c>
      <c r="N71" s="5">
        <f>IF(OR(INDEX($V$2:$V$1001,MATCH(ROWS($U$2:U71),$U$2:$U$1001,0),1)&gt;=100000,INDEX($AB$1005:$AQ$1005,1,MATCH(COLUMNS($AB$1006:AN1006),$AB$1006:$AQ$1006,0))&gt;=100000), " ",IF(INDEX($AB$2:$AQ$1001,MATCH(ROWS($U$2:U71),$U$2:$U$1001,0),MATCH(COLUMNS($AB$1006:AN1006),$AB$1006:$AQ$1006,0)), HYPERLINK("#",""), HYPERLINK(CONCATENATE("#Metadata!", ADDRESS(INDEX($W$2:$W$1001,MATCH(ROWS($U$2:U71),$U$2:$U$1001,0),0), INDEX($AB$1004:$AQ$1004,1,MATCH(COLUMNS($AB$1006:AN1006),$AB$1006:$AQ$1006,0)))),"Fix")))</f>
        <v>0</v>
      </c>
      <c r="O71" s="5">
        <f>IF(OR(INDEX($V$2:$V$1001,MATCH(ROWS($U$2:U71),$U$2:$U$1001,0),1)&gt;=100000,INDEX($AB$1005:$AQ$1005,1,MATCH(COLUMNS($AB$1006:AO1006),$AB$1006:$AQ$1006,0))&gt;=100000), " ",IF(INDEX($AB$2:$AQ$1001,MATCH(ROWS($U$2:U71),$U$2:$U$1001,0),MATCH(COLUMNS($AB$1006:AO1006),$AB$1006:$AQ$1006,0)), HYPERLINK("#",""), HYPERLINK(CONCATENATE("#Metadata!", ADDRESS(INDEX($W$2:$W$1001,MATCH(ROWS($U$2:U71),$U$2:$U$1001,0),0), INDEX($AB$1004:$AQ$1004,1,MATCH(COLUMNS($AB$1006:AO1006),$AB$1006:$AQ$1006,0)))),"Fix")))</f>
        <v>0</v>
      </c>
      <c r="P71" s="5">
        <f>IF(OR(INDEX($V$2:$V$1001,MATCH(ROWS($U$2:U71),$U$2:$U$1001,0),1)&gt;=100000,INDEX($AB$1005:$AQ$1005,1,MATCH(COLUMNS($AB$1006:AP1006),$AB$1006:$AQ$1006,0))&gt;=100000), " ",IF(INDEX($AB$2:$AQ$1001,MATCH(ROWS($U$2:U71),$U$2:$U$1001,0),MATCH(COLUMNS($AB$1006:AP1006),$AB$1006:$AQ$1006,0)), HYPERLINK("#",""), HYPERLINK(CONCATENATE("#Metadata!", ADDRESS(INDEX($W$2:$W$1001,MATCH(ROWS($U$2:U71),$U$2:$U$1001,0),0), INDEX($AB$1004:$AQ$1004,1,MATCH(COLUMNS($AB$1006:AP1006),$AB$1006:$AQ$1006,0)))),"Fix")))</f>
        <v>0</v>
      </c>
      <c r="Q71" s="5">
        <f>IF(OR(INDEX($V$2:$V$1001,MATCH(ROWS($U$2:U71),$U$2:$U$1001,0),1)&gt;=100000,INDEX($AB$1005:$AQ$1005,1,MATCH(COLUMNS($AB$1006:AQ1006),$AB$1006:$AQ$1006,0))&gt;=100000), " ",IF(INDEX($AB$2:$AQ$1001,MATCH(ROWS($U$2:U71),$U$2:$U$1001,0),MATCH(COLUMNS($AB$1006:AQ1006),$AB$1006:$AQ$1006,0)), HYPERLINK("#",""), HYPERLINK(CONCATENATE("#Metadata!", ADDRESS(INDEX($W$2:$W$1001,MATCH(ROWS($U$2:U71),$U$2:$U$1001,0),0), INDEX($AB$1004:$AQ$1004,1,MATCH(COLUMNS($AB$1006:AQ1006),$AB$1006:$AQ$1006,0)))),"Fix")))</f>
        <v>0</v>
      </c>
      <c r="U71">
        <v>0</v>
      </c>
      <c r="V71">
        <v>0</v>
      </c>
      <c r="W71">
        <v>0</v>
      </c>
      <c r="X71">
        <f>IF(Y71,TRUE,AND(AB71:AQ71))</f>
        <v>0</v>
      </c>
      <c r="Y71">
        <f>COUNTBLANK(Metadata!B71:Q71)=COLUMNS(Metadata!B71:Q71)</f>
        <v>0</v>
      </c>
      <c r="Z71">
        <v>0</v>
      </c>
      <c r="AB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AC71">
        <f>AND(IF(Metadata!C71="",FALSE,TRUE),exact(Metadata!C71,"urban biome"))</f>
        <v>0</v>
      </c>
      <c r="AD71">
        <f>AND(IF(Metadata!D71="",FALSE,TRUE),exact(Metadata!D71,"human-associated habitat"))</f>
        <v>0</v>
      </c>
      <c r="AE71">
        <f>AND(IF(Metadata!E71="",FALSE,TRUE),OR(exact(Metadata!E71,"human-associated"),exact(Metadata!E71,"human-skin"),exact(Metadata!E71,"human-oral"),exact(Metadata!E71,"human-gut"),exact(Metadata!E71,"human-vaginal")))</f>
        <v>0</v>
      </c>
      <c r="AF71">
        <f>AND(IF(Metadata!F71="",FALSE,ISNUMBER(VALUE(Metadata!F71))),Metadata!F71&gt;0)</f>
        <v>0</v>
      </c>
      <c r="AG71">
        <f>AND(IF(Metadata!G71="",FALSE,TRUE),exact(Metadata!G71,"years"))</f>
        <v>0</v>
      </c>
      <c r="AH71">
        <f>OR(AND(IF(Metadata!H71="",FALSE,TRUE),OR(exact(Metadata!H71,"not applicable"),exact(Metadata!H71,"not collected"),exact(Metadata!H71,"not provided"),exact(Metadata!H71,"restricted access"))),AND(IF(Metadata!H71="",FALSE,ISNUMBER(VALUE(Metadata!H71))),Metadata!H71&gt;0))</f>
        <v>0</v>
      </c>
      <c r="AI71">
        <f>AND(IF(Metadata!I71="",FALSE,TRUE),exact(Metadata!I71,"human"))</f>
        <v>0</v>
      </c>
      <c r="AJ71">
        <f>AND(IF(Metadata!J71="",FALSE,ISNUMBER(VALUE(Metadata!J71))),Metadata!J71&gt;0)</f>
        <v>0</v>
      </c>
      <c r="AK71">
        <f>AND(IF(Metadata!K71="",FALSE,TRUE),exact(Metadata!K71,"cm"))</f>
        <v>0</v>
      </c>
      <c r="AL71">
        <f>AND(IF(Metadata!L71="",FALSE,TRUE),exact(Metadata!L71,"Homo sapiens"))</f>
        <v>0</v>
      </c>
      <c r="AM71">
        <f>AND(IF(Metadata!M71="",FALSE,TRUE),exact(Metadata!M71,"9606"))</f>
        <v>0</v>
      </c>
      <c r="AN71">
        <f>AND(IF(Metadata!N71="",FALSE,ISNUMBER(VALUE(Metadata!N71))),Metadata!N71&gt;0)</f>
        <v>0</v>
      </c>
      <c r="AO71">
        <f>AND(IF(Metadata!O71="",FALSE,TRUE),exact(Metadata!O71,"kg"))</f>
        <v>0</v>
      </c>
      <c r="AP71">
        <f>OR(AND(IF(Metadata!P71="",FALSE,TRUE),exact(Metadata!P71,"not provided")),IF(Metadata!P71="",FALSE,TRUE))</f>
        <v>0</v>
      </c>
      <c r="AQ71">
        <f>OR(AND(IF(Metadata!Q71="",FALSE,TRUE),exact(Metadata!Q71,"not provided")),IF(Metadata!Q71="",FALSE,TRUE))</f>
        <v>0</v>
      </c>
    </row>
    <row r="72" spans="1:43">
      <c r="A72" s="4">
        <f>IF(B72=" "," ",HYPERLINK(CONCATENATE("#metadata!",ADDRESS(INDEX($W$2:$W$1001,MATCH(ROWS($U$2:U72),$U$2:$U$1001,0),0),2)),INDEX($Z$2:$Z$1001,MATCH(ROWS($U$2:U72),$U$2:$U$1001,0),0)))</f>
        <v>0</v>
      </c>
      <c r="B72" s="5">
        <f>IF(OR(INDEX($V$2:$V$1001,MATCH(ROWS($U$2:U72),$U$2:$U$1001,0),1)&gt;=100000,INDEX($AB$1005:$AQ$1005,1,MATCH(COLUMNS($AB$1006:AB1006),$AB$1006:$AQ$1006,0))&gt;=100000), " ",IF(INDEX($AB$2:$AQ$1001,MATCH(ROWS($U$2:U72),$U$2:$U$1001,0),MATCH(COLUMNS($AB$1006:AB1006),$AB$1006:$AQ$1006,0)), HYPERLINK("#",""), HYPERLINK(CONCATENATE("#Metadata!", ADDRESS(INDEX($W$2:$W$1001,MATCH(ROWS($U$2:U72),$U$2:$U$1001,0),0), INDEX($AB$1004:$AQ$1004,1,MATCH(COLUMNS($AB$1006:AB1006),$AB$1006:$AQ$1006,0)))),"Fix")))</f>
        <v>0</v>
      </c>
      <c r="C72" s="5">
        <f>IF(OR(INDEX($V$2:$V$1001,MATCH(ROWS($U$2:U72),$U$2:$U$1001,0),1)&gt;=100000,INDEX($AB$1005:$AQ$1005,1,MATCH(COLUMNS($AB$1006:AC1006),$AB$1006:$AQ$1006,0))&gt;=100000), " ",IF(INDEX($AB$2:$AQ$1001,MATCH(ROWS($U$2:U72),$U$2:$U$1001,0),MATCH(COLUMNS($AB$1006:AC1006),$AB$1006:$AQ$1006,0)), HYPERLINK("#",""), HYPERLINK(CONCATENATE("#Metadata!", ADDRESS(INDEX($W$2:$W$1001,MATCH(ROWS($U$2:U72),$U$2:$U$1001,0),0), INDEX($AB$1004:$AQ$1004,1,MATCH(COLUMNS($AB$1006:AC1006),$AB$1006:$AQ$1006,0)))),"Fix")))</f>
        <v>0</v>
      </c>
      <c r="D72" s="5">
        <f>IF(OR(INDEX($V$2:$V$1001,MATCH(ROWS($U$2:U72),$U$2:$U$1001,0),1)&gt;=100000,INDEX($AB$1005:$AQ$1005,1,MATCH(COLUMNS($AB$1006:AD1006),$AB$1006:$AQ$1006,0))&gt;=100000), " ",IF(INDEX($AB$2:$AQ$1001,MATCH(ROWS($U$2:U72),$U$2:$U$1001,0),MATCH(COLUMNS($AB$1006:AD1006),$AB$1006:$AQ$1006,0)), HYPERLINK("#",""), HYPERLINK(CONCATENATE("#Metadata!", ADDRESS(INDEX($W$2:$W$1001,MATCH(ROWS($U$2:U72),$U$2:$U$1001,0),0), INDEX($AB$1004:$AQ$1004,1,MATCH(COLUMNS($AB$1006:AD1006),$AB$1006:$AQ$1006,0)))),"Fix")))</f>
        <v>0</v>
      </c>
      <c r="E72" s="5">
        <f>IF(OR(INDEX($V$2:$V$1001,MATCH(ROWS($U$2:U72),$U$2:$U$1001,0),1)&gt;=100000,INDEX($AB$1005:$AQ$1005,1,MATCH(COLUMNS($AB$1006:AE1006),$AB$1006:$AQ$1006,0))&gt;=100000), " ",IF(INDEX($AB$2:$AQ$1001,MATCH(ROWS($U$2:U72),$U$2:$U$1001,0),MATCH(COLUMNS($AB$1006:AE1006),$AB$1006:$AQ$1006,0)), HYPERLINK("#",""), HYPERLINK(CONCATENATE("#Metadata!", ADDRESS(INDEX($W$2:$W$1001,MATCH(ROWS($U$2:U72),$U$2:$U$1001,0),0), INDEX($AB$1004:$AQ$1004,1,MATCH(COLUMNS($AB$1006:AE1006),$AB$1006:$AQ$1006,0)))),"Fix")))</f>
        <v>0</v>
      </c>
      <c r="F72" s="5">
        <f>IF(OR(INDEX($V$2:$V$1001,MATCH(ROWS($U$2:U72),$U$2:$U$1001,0),1)&gt;=100000,INDEX($AB$1005:$AQ$1005,1,MATCH(COLUMNS($AB$1006:AF1006),$AB$1006:$AQ$1006,0))&gt;=100000), " ",IF(INDEX($AB$2:$AQ$1001,MATCH(ROWS($U$2:U72),$U$2:$U$1001,0),MATCH(COLUMNS($AB$1006:AF1006),$AB$1006:$AQ$1006,0)), HYPERLINK("#",""), HYPERLINK(CONCATENATE("#Metadata!", ADDRESS(INDEX($W$2:$W$1001,MATCH(ROWS($U$2:U72),$U$2:$U$1001,0),0), INDEX($AB$1004:$AQ$1004,1,MATCH(COLUMNS($AB$1006:AF1006),$AB$1006:$AQ$1006,0)))),"Fix")))</f>
        <v>0</v>
      </c>
      <c r="G72" s="5">
        <f>IF(OR(INDEX($V$2:$V$1001,MATCH(ROWS($U$2:U72),$U$2:$U$1001,0),1)&gt;=100000,INDEX($AB$1005:$AQ$1005,1,MATCH(COLUMNS($AB$1006:AG1006),$AB$1006:$AQ$1006,0))&gt;=100000), " ",IF(INDEX($AB$2:$AQ$1001,MATCH(ROWS($U$2:U72),$U$2:$U$1001,0),MATCH(COLUMNS($AB$1006:AG1006),$AB$1006:$AQ$1006,0)), HYPERLINK("#",""), HYPERLINK(CONCATENATE("#Metadata!", ADDRESS(INDEX($W$2:$W$1001,MATCH(ROWS($U$2:U72),$U$2:$U$1001,0),0), INDEX($AB$1004:$AQ$1004,1,MATCH(COLUMNS($AB$1006:AG1006),$AB$1006:$AQ$1006,0)))),"Fix")))</f>
        <v>0</v>
      </c>
      <c r="H72" s="5">
        <f>IF(OR(INDEX($V$2:$V$1001,MATCH(ROWS($U$2:U72),$U$2:$U$1001,0),1)&gt;=100000,INDEX($AB$1005:$AQ$1005,1,MATCH(COLUMNS($AB$1006:AH1006),$AB$1006:$AQ$1006,0))&gt;=100000), " ",IF(INDEX($AB$2:$AQ$1001,MATCH(ROWS($U$2:U72),$U$2:$U$1001,0),MATCH(COLUMNS($AB$1006:AH1006),$AB$1006:$AQ$1006,0)), HYPERLINK("#",""), HYPERLINK(CONCATENATE("#Metadata!", ADDRESS(INDEX($W$2:$W$1001,MATCH(ROWS($U$2:U72),$U$2:$U$1001,0),0), INDEX($AB$1004:$AQ$1004,1,MATCH(COLUMNS($AB$1006:AH1006),$AB$1006:$AQ$1006,0)))),"Fix")))</f>
        <v>0</v>
      </c>
      <c r="I72" s="5">
        <f>IF(OR(INDEX($V$2:$V$1001,MATCH(ROWS($U$2:U72),$U$2:$U$1001,0),1)&gt;=100000,INDEX($AB$1005:$AQ$1005,1,MATCH(COLUMNS($AB$1006:AI1006),$AB$1006:$AQ$1006,0))&gt;=100000), " ",IF(INDEX($AB$2:$AQ$1001,MATCH(ROWS($U$2:U72),$U$2:$U$1001,0),MATCH(COLUMNS($AB$1006:AI1006),$AB$1006:$AQ$1006,0)), HYPERLINK("#",""), HYPERLINK(CONCATENATE("#Metadata!", ADDRESS(INDEX($W$2:$W$1001,MATCH(ROWS($U$2:U72),$U$2:$U$1001,0),0), INDEX($AB$1004:$AQ$1004,1,MATCH(COLUMNS($AB$1006:AI1006),$AB$1006:$AQ$1006,0)))),"Fix")))</f>
        <v>0</v>
      </c>
      <c r="J72" s="5">
        <f>IF(OR(INDEX($V$2:$V$1001,MATCH(ROWS($U$2:U72),$U$2:$U$1001,0),1)&gt;=100000,INDEX($AB$1005:$AQ$1005,1,MATCH(COLUMNS($AB$1006:AJ1006),$AB$1006:$AQ$1006,0))&gt;=100000), " ",IF(INDEX($AB$2:$AQ$1001,MATCH(ROWS($U$2:U72),$U$2:$U$1001,0),MATCH(COLUMNS($AB$1006:AJ1006),$AB$1006:$AQ$1006,0)), HYPERLINK("#",""), HYPERLINK(CONCATENATE("#Metadata!", ADDRESS(INDEX($W$2:$W$1001,MATCH(ROWS($U$2:U72),$U$2:$U$1001,0),0), INDEX($AB$1004:$AQ$1004,1,MATCH(COLUMNS($AB$1006:AJ1006),$AB$1006:$AQ$1006,0)))),"Fix")))</f>
        <v>0</v>
      </c>
      <c r="K72" s="5">
        <f>IF(OR(INDEX($V$2:$V$1001,MATCH(ROWS($U$2:U72),$U$2:$U$1001,0),1)&gt;=100000,INDEX($AB$1005:$AQ$1005,1,MATCH(COLUMNS($AB$1006:AK1006),$AB$1006:$AQ$1006,0))&gt;=100000), " ",IF(INDEX($AB$2:$AQ$1001,MATCH(ROWS($U$2:U72),$U$2:$U$1001,0),MATCH(COLUMNS($AB$1006:AK1006),$AB$1006:$AQ$1006,0)), HYPERLINK("#",""), HYPERLINK(CONCATENATE("#Metadata!", ADDRESS(INDEX($W$2:$W$1001,MATCH(ROWS($U$2:U72),$U$2:$U$1001,0),0), INDEX($AB$1004:$AQ$1004,1,MATCH(COLUMNS($AB$1006:AK1006),$AB$1006:$AQ$1006,0)))),"Fix")))</f>
        <v>0</v>
      </c>
      <c r="L72" s="5">
        <f>IF(OR(INDEX($V$2:$V$1001,MATCH(ROWS($U$2:U72),$U$2:$U$1001,0),1)&gt;=100000,INDEX($AB$1005:$AQ$1005,1,MATCH(COLUMNS($AB$1006:AL1006),$AB$1006:$AQ$1006,0))&gt;=100000), " ",IF(INDEX($AB$2:$AQ$1001,MATCH(ROWS($U$2:U72),$U$2:$U$1001,0),MATCH(COLUMNS($AB$1006:AL1006),$AB$1006:$AQ$1006,0)), HYPERLINK("#",""), HYPERLINK(CONCATENATE("#Metadata!", ADDRESS(INDEX($W$2:$W$1001,MATCH(ROWS($U$2:U72),$U$2:$U$1001,0),0), INDEX($AB$1004:$AQ$1004,1,MATCH(COLUMNS($AB$1006:AL1006),$AB$1006:$AQ$1006,0)))),"Fix")))</f>
        <v>0</v>
      </c>
      <c r="M72" s="5">
        <f>IF(OR(INDEX($V$2:$V$1001,MATCH(ROWS($U$2:U72),$U$2:$U$1001,0),1)&gt;=100000,INDEX($AB$1005:$AQ$1005,1,MATCH(COLUMNS($AB$1006:AM1006),$AB$1006:$AQ$1006,0))&gt;=100000), " ",IF(INDEX($AB$2:$AQ$1001,MATCH(ROWS($U$2:U72),$U$2:$U$1001,0),MATCH(COLUMNS($AB$1006:AM1006),$AB$1006:$AQ$1006,0)), HYPERLINK("#",""), HYPERLINK(CONCATENATE("#Metadata!", ADDRESS(INDEX($W$2:$W$1001,MATCH(ROWS($U$2:U72),$U$2:$U$1001,0),0), INDEX($AB$1004:$AQ$1004,1,MATCH(COLUMNS($AB$1006:AM1006),$AB$1006:$AQ$1006,0)))),"Fix")))</f>
        <v>0</v>
      </c>
      <c r="N72" s="5">
        <f>IF(OR(INDEX($V$2:$V$1001,MATCH(ROWS($U$2:U72),$U$2:$U$1001,0),1)&gt;=100000,INDEX($AB$1005:$AQ$1005,1,MATCH(COLUMNS($AB$1006:AN1006),$AB$1006:$AQ$1006,0))&gt;=100000), " ",IF(INDEX($AB$2:$AQ$1001,MATCH(ROWS($U$2:U72),$U$2:$U$1001,0),MATCH(COLUMNS($AB$1006:AN1006),$AB$1006:$AQ$1006,0)), HYPERLINK("#",""), HYPERLINK(CONCATENATE("#Metadata!", ADDRESS(INDEX($W$2:$W$1001,MATCH(ROWS($U$2:U72),$U$2:$U$1001,0),0), INDEX($AB$1004:$AQ$1004,1,MATCH(COLUMNS($AB$1006:AN1006),$AB$1006:$AQ$1006,0)))),"Fix")))</f>
        <v>0</v>
      </c>
      <c r="O72" s="5">
        <f>IF(OR(INDEX($V$2:$V$1001,MATCH(ROWS($U$2:U72),$U$2:$U$1001,0),1)&gt;=100000,INDEX($AB$1005:$AQ$1005,1,MATCH(COLUMNS($AB$1006:AO1006),$AB$1006:$AQ$1006,0))&gt;=100000), " ",IF(INDEX($AB$2:$AQ$1001,MATCH(ROWS($U$2:U72),$U$2:$U$1001,0),MATCH(COLUMNS($AB$1006:AO1006),$AB$1006:$AQ$1006,0)), HYPERLINK("#",""), HYPERLINK(CONCATENATE("#Metadata!", ADDRESS(INDEX($W$2:$W$1001,MATCH(ROWS($U$2:U72),$U$2:$U$1001,0),0), INDEX($AB$1004:$AQ$1004,1,MATCH(COLUMNS($AB$1006:AO1006),$AB$1006:$AQ$1006,0)))),"Fix")))</f>
        <v>0</v>
      </c>
      <c r="P72" s="5">
        <f>IF(OR(INDEX($V$2:$V$1001,MATCH(ROWS($U$2:U72),$U$2:$U$1001,0),1)&gt;=100000,INDEX($AB$1005:$AQ$1005,1,MATCH(COLUMNS($AB$1006:AP1006),$AB$1006:$AQ$1006,0))&gt;=100000), " ",IF(INDEX($AB$2:$AQ$1001,MATCH(ROWS($U$2:U72),$U$2:$U$1001,0),MATCH(COLUMNS($AB$1006:AP1006),$AB$1006:$AQ$1006,0)), HYPERLINK("#",""), HYPERLINK(CONCATENATE("#Metadata!", ADDRESS(INDEX($W$2:$W$1001,MATCH(ROWS($U$2:U72),$U$2:$U$1001,0),0), INDEX($AB$1004:$AQ$1004,1,MATCH(COLUMNS($AB$1006:AP1006),$AB$1006:$AQ$1006,0)))),"Fix")))</f>
        <v>0</v>
      </c>
      <c r="Q72" s="5">
        <f>IF(OR(INDEX($V$2:$V$1001,MATCH(ROWS($U$2:U72),$U$2:$U$1001,0),1)&gt;=100000,INDEX($AB$1005:$AQ$1005,1,MATCH(COLUMNS($AB$1006:AQ1006),$AB$1006:$AQ$1006,0))&gt;=100000), " ",IF(INDEX($AB$2:$AQ$1001,MATCH(ROWS($U$2:U72),$U$2:$U$1001,0),MATCH(COLUMNS($AB$1006:AQ1006),$AB$1006:$AQ$1006,0)), HYPERLINK("#",""), HYPERLINK(CONCATENATE("#Metadata!", ADDRESS(INDEX($W$2:$W$1001,MATCH(ROWS($U$2:U72),$U$2:$U$1001,0),0), INDEX($AB$1004:$AQ$1004,1,MATCH(COLUMNS($AB$1006:AQ1006),$AB$1006:$AQ$1006,0)))),"Fix")))</f>
        <v>0</v>
      </c>
      <c r="U72">
        <v>0</v>
      </c>
      <c r="V72">
        <v>0</v>
      </c>
      <c r="W72">
        <v>0</v>
      </c>
      <c r="X72">
        <f>IF(Y72,TRUE,AND(AB72:AQ72))</f>
        <v>0</v>
      </c>
      <c r="Y72">
        <f>COUNTBLANK(Metadata!B72:Q72)=COLUMNS(Metadata!B72:Q72)</f>
        <v>0</v>
      </c>
      <c r="Z72">
        <v>0</v>
      </c>
      <c r="AB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AC72">
        <f>AND(IF(Metadata!C72="",FALSE,TRUE),exact(Metadata!C72,"urban biome"))</f>
        <v>0</v>
      </c>
      <c r="AD72">
        <f>AND(IF(Metadata!D72="",FALSE,TRUE),exact(Metadata!D72,"human-associated habitat"))</f>
        <v>0</v>
      </c>
      <c r="AE72">
        <f>AND(IF(Metadata!E72="",FALSE,TRUE),OR(exact(Metadata!E72,"human-associated"),exact(Metadata!E72,"human-skin"),exact(Metadata!E72,"human-oral"),exact(Metadata!E72,"human-gut"),exact(Metadata!E72,"human-vaginal")))</f>
        <v>0</v>
      </c>
      <c r="AF72">
        <f>AND(IF(Metadata!F72="",FALSE,ISNUMBER(VALUE(Metadata!F72))),Metadata!F72&gt;0)</f>
        <v>0</v>
      </c>
      <c r="AG72">
        <f>AND(IF(Metadata!G72="",FALSE,TRUE),exact(Metadata!G72,"years"))</f>
        <v>0</v>
      </c>
      <c r="AH72">
        <f>OR(AND(IF(Metadata!H72="",FALSE,TRUE),OR(exact(Metadata!H72,"not applicable"),exact(Metadata!H72,"not collected"),exact(Metadata!H72,"not provided"),exact(Metadata!H72,"restricted access"))),AND(IF(Metadata!H72="",FALSE,ISNUMBER(VALUE(Metadata!H72))),Metadata!H72&gt;0))</f>
        <v>0</v>
      </c>
      <c r="AI72">
        <f>AND(IF(Metadata!I72="",FALSE,TRUE),exact(Metadata!I72,"human"))</f>
        <v>0</v>
      </c>
      <c r="AJ72">
        <f>AND(IF(Metadata!J72="",FALSE,ISNUMBER(VALUE(Metadata!J72))),Metadata!J72&gt;0)</f>
        <v>0</v>
      </c>
      <c r="AK72">
        <f>AND(IF(Metadata!K72="",FALSE,TRUE),exact(Metadata!K72,"cm"))</f>
        <v>0</v>
      </c>
      <c r="AL72">
        <f>AND(IF(Metadata!L72="",FALSE,TRUE),exact(Metadata!L72,"Homo sapiens"))</f>
        <v>0</v>
      </c>
      <c r="AM72">
        <f>AND(IF(Metadata!M72="",FALSE,TRUE),exact(Metadata!M72,"9606"))</f>
        <v>0</v>
      </c>
      <c r="AN72">
        <f>AND(IF(Metadata!N72="",FALSE,ISNUMBER(VALUE(Metadata!N72))),Metadata!N72&gt;0)</f>
        <v>0</v>
      </c>
      <c r="AO72">
        <f>AND(IF(Metadata!O72="",FALSE,TRUE),exact(Metadata!O72,"kg"))</f>
        <v>0</v>
      </c>
      <c r="AP72">
        <f>OR(AND(IF(Metadata!P72="",FALSE,TRUE),exact(Metadata!P72,"not provided")),IF(Metadata!P72="",FALSE,TRUE))</f>
        <v>0</v>
      </c>
      <c r="AQ72">
        <f>OR(AND(IF(Metadata!Q72="",FALSE,TRUE),exact(Metadata!Q72,"not provided")),IF(Metadata!Q72="",FALSE,TRUE))</f>
        <v>0</v>
      </c>
    </row>
    <row r="73" spans="1:43">
      <c r="A73" s="4">
        <f>IF(B73=" "," ",HYPERLINK(CONCATENATE("#metadata!",ADDRESS(INDEX($W$2:$W$1001,MATCH(ROWS($U$2:U73),$U$2:$U$1001,0),0),2)),INDEX($Z$2:$Z$1001,MATCH(ROWS($U$2:U73),$U$2:$U$1001,0),0)))</f>
        <v>0</v>
      </c>
      <c r="B73" s="5">
        <f>IF(OR(INDEX($V$2:$V$1001,MATCH(ROWS($U$2:U73),$U$2:$U$1001,0),1)&gt;=100000,INDEX($AB$1005:$AQ$1005,1,MATCH(COLUMNS($AB$1006:AB1006),$AB$1006:$AQ$1006,0))&gt;=100000), " ",IF(INDEX($AB$2:$AQ$1001,MATCH(ROWS($U$2:U73),$U$2:$U$1001,0),MATCH(COLUMNS($AB$1006:AB1006),$AB$1006:$AQ$1006,0)), HYPERLINK("#",""), HYPERLINK(CONCATENATE("#Metadata!", ADDRESS(INDEX($W$2:$W$1001,MATCH(ROWS($U$2:U73),$U$2:$U$1001,0),0), INDEX($AB$1004:$AQ$1004,1,MATCH(COLUMNS($AB$1006:AB1006),$AB$1006:$AQ$1006,0)))),"Fix")))</f>
        <v>0</v>
      </c>
      <c r="C73" s="5">
        <f>IF(OR(INDEX($V$2:$V$1001,MATCH(ROWS($U$2:U73),$U$2:$U$1001,0),1)&gt;=100000,INDEX($AB$1005:$AQ$1005,1,MATCH(COLUMNS($AB$1006:AC1006),$AB$1006:$AQ$1006,0))&gt;=100000), " ",IF(INDEX($AB$2:$AQ$1001,MATCH(ROWS($U$2:U73),$U$2:$U$1001,0),MATCH(COLUMNS($AB$1006:AC1006),$AB$1006:$AQ$1006,0)), HYPERLINK("#",""), HYPERLINK(CONCATENATE("#Metadata!", ADDRESS(INDEX($W$2:$W$1001,MATCH(ROWS($U$2:U73),$U$2:$U$1001,0),0), INDEX($AB$1004:$AQ$1004,1,MATCH(COLUMNS($AB$1006:AC1006),$AB$1006:$AQ$1006,0)))),"Fix")))</f>
        <v>0</v>
      </c>
      <c r="D73" s="5">
        <f>IF(OR(INDEX($V$2:$V$1001,MATCH(ROWS($U$2:U73),$U$2:$U$1001,0),1)&gt;=100000,INDEX($AB$1005:$AQ$1005,1,MATCH(COLUMNS($AB$1006:AD1006),$AB$1006:$AQ$1006,0))&gt;=100000), " ",IF(INDEX($AB$2:$AQ$1001,MATCH(ROWS($U$2:U73),$U$2:$U$1001,0),MATCH(COLUMNS($AB$1006:AD1006),$AB$1006:$AQ$1006,0)), HYPERLINK("#",""), HYPERLINK(CONCATENATE("#Metadata!", ADDRESS(INDEX($W$2:$W$1001,MATCH(ROWS($U$2:U73),$U$2:$U$1001,0),0), INDEX($AB$1004:$AQ$1004,1,MATCH(COLUMNS($AB$1006:AD1006),$AB$1006:$AQ$1006,0)))),"Fix")))</f>
        <v>0</v>
      </c>
      <c r="E73" s="5">
        <f>IF(OR(INDEX($V$2:$V$1001,MATCH(ROWS($U$2:U73),$U$2:$U$1001,0),1)&gt;=100000,INDEX($AB$1005:$AQ$1005,1,MATCH(COLUMNS($AB$1006:AE1006),$AB$1006:$AQ$1006,0))&gt;=100000), " ",IF(INDEX($AB$2:$AQ$1001,MATCH(ROWS($U$2:U73),$U$2:$U$1001,0),MATCH(COLUMNS($AB$1006:AE1006),$AB$1006:$AQ$1006,0)), HYPERLINK("#",""), HYPERLINK(CONCATENATE("#Metadata!", ADDRESS(INDEX($W$2:$W$1001,MATCH(ROWS($U$2:U73),$U$2:$U$1001,0),0), INDEX($AB$1004:$AQ$1004,1,MATCH(COLUMNS($AB$1006:AE1006),$AB$1006:$AQ$1006,0)))),"Fix")))</f>
        <v>0</v>
      </c>
      <c r="F73" s="5">
        <f>IF(OR(INDEX($V$2:$V$1001,MATCH(ROWS($U$2:U73),$U$2:$U$1001,0),1)&gt;=100000,INDEX($AB$1005:$AQ$1005,1,MATCH(COLUMNS($AB$1006:AF1006),$AB$1006:$AQ$1006,0))&gt;=100000), " ",IF(INDEX($AB$2:$AQ$1001,MATCH(ROWS($U$2:U73),$U$2:$U$1001,0),MATCH(COLUMNS($AB$1006:AF1006),$AB$1006:$AQ$1006,0)), HYPERLINK("#",""), HYPERLINK(CONCATENATE("#Metadata!", ADDRESS(INDEX($W$2:$W$1001,MATCH(ROWS($U$2:U73),$U$2:$U$1001,0),0), INDEX($AB$1004:$AQ$1004,1,MATCH(COLUMNS($AB$1006:AF1006),$AB$1006:$AQ$1006,0)))),"Fix")))</f>
        <v>0</v>
      </c>
      <c r="G73" s="5">
        <f>IF(OR(INDEX($V$2:$V$1001,MATCH(ROWS($U$2:U73),$U$2:$U$1001,0),1)&gt;=100000,INDEX($AB$1005:$AQ$1005,1,MATCH(COLUMNS($AB$1006:AG1006),$AB$1006:$AQ$1006,0))&gt;=100000), " ",IF(INDEX($AB$2:$AQ$1001,MATCH(ROWS($U$2:U73),$U$2:$U$1001,0),MATCH(COLUMNS($AB$1006:AG1006),$AB$1006:$AQ$1006,0)), HYPERLINK("#",""), HYPERLINK(CONCATENATE("#Metadata!", ADDRESS(INDEX($W$2:$W$1001,MATCH(ROWS($U$2:U73),$U$2:$U$1001,0),0), INDEX($AB$1004:$AQ$1004,1,MATCH(COLUMNS($AB$1006:AG1006),$AB$1006:$AQ$1006,0)))),"Fix")))</f>
        <v>0</v>
      </c>
      <c r="H73" s="5">
        <f>IF(OR(INDEX($V$2:$V$1001,MATCH(ROWS($U$2:U73),$U$2:$U$1001,0),1)&gt;=100000,INDEX($AB$1005:$AQ$1005,1,MATCH(COLUMNS($AB$1006:AH1006),$AB$1006:$AQ$1006,0))&gt;=100000), " ",IF(INDEX($AB$2:$AQ$1001,MATCH(ROWS($U$2:U73),$U$2:$U$1001,0),MATCH(COLUMNS($AB$1006:AH1006),$AB$1006:$AQ$1006,0)), HYPERLINK("#",""), HYPERLINK(CONCATENATE("#Metadata!", ADDRESS(INDEX($W$2:$W$1001,MATCH(ROWS($U$2:U73),$U$2:$U$1001,0),0), INDEX($AB$1004:$AQ$1004,1,MATCH(COLUMNS($AB$1006:AH1006),$AB$1006:$AQ$1006,0)))),"Fix")))</f>
        <v>0</v>
      </c>
      <c r="I73" s="5">
        <f>IF(OR(INDEX($V$2:$V$1001,MATCH(ROWS($U$2:U73),$U$2:$U$1001,0),1)&gt;=100000,INDEX($AB$1005:$AQ$1005,1,MATCH(COLUMNS($AB$1006:AI1006),$AB$1006:$AQ$1006,0))&gt;=100000), " ",IF(INDEX($AB$2:$AQ$1001,MATCH(ROWS($U$2:U73),$U$2:$U$1001,0),MATCH(COLUMNS($AB$1006:AI1006),$AB$1006:$AQ$1006,0)), HYPERLINK("#",""), HYPERLINK(CONCATENATE("#Metadata!", ADDRESS(INDEX($W$2:$W$1001,MATCH(ROWS($U$2:U73),$U$2:$U$1001,0),0), INDEX($AB$1004:$AQ$1004,1,MATCH(COLUMNS($AB$1006:AI1006),$AB$1006:$AQ$1006,0)))),"Fix")))</f>
        <v>0</v>
      </c>
      <c r="J73" s="5">
        <f>IF(OR(INDEX($V$2:$V$1001,MATCH(ROWS($U$2:U73),$U$2:$U$1001,0),1)&gt;=100000,INDEX($AB$1005:$AQ$1005,1,MATCH(COLUMNS($AB$1006:AJ1006),$AB$1006:$AQ$1006,0))&gt;=100000), " ",IF(INDEX($AB$2:$AQ$1001,MATCH(ROWS($U$2:U73),$U$2:$U$1001,0),MATCH(COLUMNS($AB$1006:AJ1006),$AB$1006:$AQ$1006,0)), HYPERLINK("#",""), HYPERLINK(CONCATENATE("#Metadata!", ADDRESS(INDEX($W$2:$W$1001,MATCH(ROWS($U$2:U73),$U$2:$U$1001,0),0), INDEX($AB$1004:$AQ$1004,1,MATCH(COLUMNS($AB$1006:AJ1006),$AB$1006:$AQ$1006,0)))),"Fix")))</f>
        <v>0</v>
      </c>
      <c r="K73" s="5">
        <f>IF(OR(INDEX($V$2:$V$1001,MATCH(ROWS($U$2:U73),$U$2:$U$1001,0),1)&gt;=100000,INDEX($AB$1005:$AQ$1005,1,MATCH(COLUMNS($AB$1006:AK1006),$AB$1006:$AQ$1006,0))&gt;=100000), " ",IF(INDEX($AB$2:$AQ$1001,MATCH(ROWS($U$2:U73),$U$2:$U$1001,0),MATCH(COLUMNS($AB$1006:AK1006),$AB$1006:$AQ$1006,0)), HYPERLINK("#",""), HYPERLINK(CONCATENATE("#Metadata!", ADDRESS(INDEX($W$2:$W$1001,MATCH(ROWS($U$2:U73),$U$2:$U$1001,0),0), INDEX($AB$1004:$AQ$1004,1,MATCH(COLUMNS($AB$1006:AK1006),$AB$1006:$AQ$1006,0)))),"Fix")))</f>
        <v>0</v>
      </c>
      <c r="L73" s="5">
        <f>IF(OR(INDEX($V$2:$V$1001,MATCH(ROWS($U$2:U73),$U$2:$U$1001,0),1)&gt;=100000,INDEX($AB$1005:$AQ$1005,1,MATCH(COLUMNS($AB$1006:AL1006),$AB$1006:$AQ$1006,0))&gt;=100000), " ",IF(INDEX($AB$2:$AQ$1001,MATCH(ROWS($U$2:U73),$U$2:$U$1001,0),MATCH(COLUMNS($AB$1006:AL1006),$AB$1006:$AQ$1006,0)), HYPERLINK("#",""), HYPERLINK(CONCATENATE("#Metadata!", ADDRESS(INDEX($W$2:$W$1001,MATCH(ROWS($U$2:U73),$U$2:$U$1001,0),0), INDEX($AB$1004:$AQ$1004,1,MATCH(COLUMNS($AB$1006:AL1006),$AB$1006:$AQ$1006,0)))),"Fix")))</f>
        <v>0</v>
      </c>
      <c r="M73" s="5">
        <f>IF(OR(INDEX($V$2:$V$1001,MATCH(ROWS($U$2:U73),$U$2:$U$1001,0),1)&gt;=100000,INDEX($AB$1005:$AQ$1005,1,MATCH(COLUMNS($AB$1006:AM1006),$AB$1006:$AQ$1006,0))&gt;=100000), " ",IF(INDEX($AB$2:$AQ$1001,MATCH(ROWS($U$2:U73),$U$2:$U$1001,0),MATCH(COLUMNS($AB$1006:AM1006),$AB$1006:$AQ$1006,0)), HYPERLINK("#",""), HYPERLINK(CONCATENATE("#Metadata!", ADDRESS(INDEX($W$2:$W$1001,MATCH(ROWS($U$2:U73),$U$2:$U$1001,0),0), INDEX($AB$1004:$AQ$1004,1,MATCH(COLUMNS($AB$1006:AM1006),$AB$1006:$AQ$1006,0)))),"Fix")))</f>
        <v>0</v>
      </c>
      <c r="N73" s="5">
        <f>IF(OR(INDEX($V$2:$V$1001,MATCH(ROWS($U$2:U73),$U$2:$U$1001,0),1)&gt;=100000,INDEX($AB$1005:$AQ$1005,1,MATCH(COLUMNS($AB$1006:AN1006),$AB$1006:$AQ$1006,0))&gt;=100000), " ",IF(INDEX($AB$2:$AQ$1001,MATCH(ROWS($U$2:U73),$U$2:$U$1001,0),MATCH(COLUMNS($AB$1006:AN1006),$AB$1006:$AQ$1006,0)), HYPERLINK("#",""), HYPERLINK(CONCATENATE("#Metadata!", ADDRESS(INDEX($W$2:$W$1001,MATCH(ROWS($U$2:U73),$U$2:$U$1001,0),0), INDEX($AB$1004:$AQ$1004,1,MATCH(COLUMNS($AB$1006:AN1006),$AB$1006:$AQ$1006,0)))),"Fix")))</f>
        <v>0</v>
      </c>
      <c r="O73" s="5">
        <f>IF(OR(INDEX($V$2:$V$1001,MATCH(ROWS($U$2:U73),$U$2:$U$1001,0),1)&gt;=100000,INDEX($AB$1005:$AQ$1005,1,MATCH(COLUMNS($AB$1006:AO1006),$AB$1006:$AQ$1006,0))&gt;=100000), " ",IF(INDEX($AB$2:$AQ$1001,MATCH(ROWS($U$2:U73),$U$2:$U$1001,0),MATCH(COLUMNS($AB$1006:AO1006),$AB$1006:$AQ$1006,0)), HYPERLINK("#",""), HYPERLINK(CONCATENATE("#Metadata!", ADDRESS(INDEX($W$2:$W$1001,MATCH(ROWS($U$2:U73),$U$2:$U$1001,0),0), INDEX($AB$1004:$AQ$1004,1,MATCH(COLUMNS($AB$1006:AO1006),$AB$1006:$AQ$1006,0)))),"Fix")))</f>
        <v>0</v>
      </c>
      <c r="P73" s="5">
        <f>IF(OR(INDEX($V$2:$V$1001,MATCH(ROWS($U$2:U73),$U$2:$U$1001,0),1)&gt;=100000,INDEX($AB$1005:$AQ$1005,1,MATCH(COLUMNS($AB$1006:AP1006),$AB$1006:$AQ$1006,0))&gt;=100000), " ",IF(INDEX($AB$2:$AQ$1001,MATCH(ROWS($U$2:U73),$U$2:$U$1001,0),MATCH(COLUMNS($AB$1006:AP1006),$AB$1006:$AQ$1006,0)), HYPERLINK("#",""), HYPERLINK(CONCATENATE("#Metadata!", ADDRESS(INDEX($W$2:$W$1001,MATCH(ROWS($U$2:U73),$U$2:$U$1001,0),0), INDEX($AB$1004:$AQ$1004,1,MATCH(COLUMNS($AB$1006:AP1006),$AB$1006:$AQ$1006,0)))),"Fix")))</f>
        <v>0</v>
      </c>
      <c r="Q73" s="5">
        <f>IF(OR(INDEX($V$2:$V$1001,MATCH(ROWS($U$2:U73),$U$2:$U$1001,0),1)&gt;=100000,INDEX($AB$1005:$AQ$1005,1,MATCH(COLUMNS($AB$1006:AQ1006),$AB$1006:$AQ$1006,0))&gt;=100000), " ",IF(INDEX($AB$2:$AQ$1001,MATCH(ROWS($U$2:U73),$U$2:$U$1001,0),MATCH(COLUMNS($AB$1006:AQ1006),$AB$1006:$AQ$1006,0)), HYPERLINK("#",""), HYPERLINK(CONCATENATE("#Metadata!", ADDRESS(INDEX($W$2:$W$1001,MATCH(ROWS($U$2:U73),$U$2:$U$1001,0),0), INDEX($AB$1004:$AQ$1004,1,MATCH(COLUMNS($AB$1006:AQ1006),$AB$1006:$AQ$1006,0)))),"Fix")))</f>
        <v>0</v>
      </c>
      <c r="U73">
        <v>0</v>
      </c>
      <c r="V73">
        <v>0</v>
      </c>
      <c r="W73">
        <v>0</v>
      </c>
      <c r="X73">
        <f>IF(Y73,TRUE,AND(AB73:AQ73))</f>
        <v>0</v>
      </c>
      <c r="Y73">
        <f>COUNTBLANK(Metadata!B73:Q73)=COLUMNS(Metadata!B73:Q73)</f>
        <v>0</v>
      </c>
      <c r="Z73">
        <v>0</v>
      </c>
      <c r="AB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AC73">
        <f>AND(IF(Metadata!C73="",FALSE,TRUE),exact(Metadata!C73,"urban biome"))</f>
        <v>0</v>
      </c>
      <c r="AD73">
        <f>AND(IF(Metadata!D73="",FALSE,TRUE),exact(Metadata!D73,"human-associated habitat"))</f>
        <v>0</v>
      </c>
      <c r="AE73">
        <f>AND(IF(Metadata!E73="",FALSE,TRUE),OR(exact(Metadata!E73,"human-associated"),exact(Metadata!E73,"human-skin"),exact(Metadata!E73,"human-oral"),exact(Metadata!E73,"human-gut"),exact(Metadata!E73,"human-vaginal")))</f>
        <v>0</v>
      </c>
      <c r="AF73">
        <f>AND(IF(Metadata!F73="",FALSE,ISNUMBER(VALUE(Metadata!F73))),Metadata!F73&gt;0)</f>
        <v>0</v>
      </c>
      <c r="AG73">
        <f>AND(IF(Metadata!G73="",FALSE,TRUE),exact(Metadata!G73,"years"))</f>
        <v>0</v>
      </c>
      <c r="AH73">
        <f>OR(AND(IF(Metadata!H73="",FALSE,TRUE),OR(exact(Metadata!H73,"not applicable"),exact(Metadata!H73,"not collected"),exact(Metadata!H73,"not provided"),exact(Metadata!H73,"restricted access"))),AND(IF(Metadata!H73="",FALSE,ISNUMBER(VALUE(Metadata!H73))),Metadata!H73&gt;0))</f>
        <v>0</v>
      </c>
      <c r="AI73">
        <f>AND(IF(Metadata!I73="",FALSE,TRUE),exact(Metadata!I73,"human"))</f>
        <v>0</v>
      </c>
      <c r="AJ73">
        <f>AND(IF(Metadata!J73="",FALSE,ISNUMBER(VALUE(Metadata!J73))),Metadata!J73&gt;0)</f>
        <v>0</v>
      </c>
      <c r="AK73">
        <f>AND(IF(Metadata!K73="",FALSE,TRUE),exact(Metadata!K73,"cm"))</f>
        <v>0</v>
      </c>
      <c r="AL73">
        <f>AND(IF(Metadata!L73="",FALSE,TRUE),exact(Metadata!L73,"Homo sapiens"))</f>
        <v>0</v>
      </c>
      <c r="AM73">
        <f>AND(IF(Metadata!M73="",FALSE,TRUE),exact(Metadata!M73,"9606"))</f>
        <v>0</v>
      </c>
      <c r="AN73">
        <f>AND(IF(Metadata!N73="",FALSE,ISNUMBER(VALUE(Metadata!N73))),Metadata!N73&gt;0)</f>
        <v>0</v>
      </c>
      <c r="AO73">
        <f>AND(IF(Metadata!O73="",FALSE,TRUE),exact(Metadata!O73,"kg"))</f>
        <v>0</v>
      </c>
      <c r="AP73">
        <f>OR(AND(IF(Metadata!P73="",FALSE,TRUE),exact(Metadata!P73,"not provided")),IF(Metadata!P73="",FALSE,TRUE))</f>
        <v>0</v>
      </c>
      <c r="AQ73">
        <f>OR(AND(IF(Metadata!Q73="",FALSE,TRUE),exact(Metadata!Q73,"not provided")),IF(Metadata!Q73="",FALSE,TRUE))</f>
        <v>0</v>
      </c>
    </row>
    <row r="74" spans="1:43">
      <c r="A74" s="4">
        <f>IF(B74=" "," ",HYPERLINK(CONCATENATE("#metadata!",ADDRESS(INDEX($W$2:$W$1001,MATCH(ROWS($U$2:U74),$U$2:$U$1001,0),0),2)),INDEX($Z$2:$Z$1001,MATCH(ROWS($U$2:U74),$U$2:$U$1001,0),0)))</f>
        <v>0</v>
      </c>
      <c r="B74" s="5">
        <f>IF(OR(INDEX($V$2:$V$1001,MATCH(ROWS($U$2:U74),$U$2:$U$1001,0),1)&gt;=100000,INDEX($AB$1005:$AQ$1005,1,MATCH(COLUMNS($AB$1006:AB1006),$AB$1006:$AQ$1006,0))&gt;=100000), " ",IF(INDEX($AB$2:$AQ$1001,MATCH(ROWS($U$2:U74),$U$2:$U$1001,0),MATCH(COLUMNS($AB$1006:AB1006),$AB$1006:$AQ$1006,0)), HYPERLINK("#",""), HYPERLINK(CONCATENATE("#Metadata!", ADDRESS(INDEX($W$2:$W$1001,MATCH(ROWS($U$2:U74),$U$2:$U$1001,0),0), INDEX($AB$1004:$AQ$1004,1,MATCH(COLUMNS($AB$1006:AB1006),$AB$1006:$AQ$1006,0)))),"Fix")))</f>
        <v>0</v>
      </c>
      <c r="C74" s="5">
        <f>IF(OR(INDEX($V$2:$V$1001,MATCH(ROWS($U$2:U74),$U$2:$U$1001,0),1)&gt;=100000,INDEX($AB$1005:$AQ$1005,1,MATCH(COLUMNS($AB$1006:AC1006),$AB$1006:$AQ$1006,0))&gt;=100000), " ",IF(INDEX($AB$2:$AQ$1001,MATCH(ROWS($U$2:U74),$U$2:$U$1001,0),MATCH(COLUMNS($AB$1006:AC1006),$AB$1006:$AQ$1006,0)), HYPERLINK("#",""), HYPERLINK(CONCATENATE("#Metadata!", ADDRESS(INDEX($W$2:$W$1001,MATCH(ROWS($U$2:U74),$U$2:$U$1001,0),0), INDEX($AB$1004:$AQ$1004,1,MATCH(COLUMNS($AB$1006:AC1006),$AB$1006:$AQ$1006,0)))),"Fix")))</f>
        <v>0</v>
      </c>
      <c r="D74" s="5">
        <f>IF(OR(INDEX($V$2:$V$1001,MATCH(ROWS($U$2:U74),$U$2:$U$1001,0),1)&gt;=100000,INDEX($AB$1005:$AQ$1005,1,MATCH(COLUMNS($AB$1006:AD1006),$AB$1006:$AQ$1006,0))&gt;=100000), " ",IF(INDEX($AB$2:$AQ$1001,MATCH(ROWS($U$2:U74),$U$2:$U$1001,0),MATCH(COLUMNS($AB$1006:AD1006),$AB$1006:$AQ$1006,0)), HYPERLINK("#",""), HYPERLINK(CONCATENATE("#Metadata!", ADDRESS(INDEX($W$2:$W$1001,MATCH(ROWS($U$2:U74),$U$2:$U$1001,0),0), INDEX($AB$1004:$AQ$1004,1,MATCH(COLUMNS($AB$1006:AD1006),$AB$1006:$AQ$1006,0)))),"Fix")))</f>
        <v>0</v>
      </c>
      <c r="E74" s="5">
        <f>IF(OR(INDEX($V$2:$V$1001,MATCH(ROWS($U$2:U74),$U$2:$U$1001,0),1)&gt;=100000,INDEX($AB$1005:$AQ$1005,1,MATCH(COLUMNS($AB$1006:AE1006),$AB$1006:$AQ$1006,0))&gt;=100000), " ",IF(INDEX($AB$2:$AQ$1001,MATCH(ROWS($U$2:U74),$U$2:$U$1001,0),MATCH(COLUMNS($AB$1006:AE1006),$AB$1006:$AQ$1006,0)), HYPERLINK("#",""), HYPERLINK(CONCATENATE("#Metadata!", ADDRESS(INDEX($W$2:$W$1001,MATCH(ROWS($U$2:U74),$U$2:$U$1001,0),0), INDEX($AB$1004:$AQ$1004,1,MATCH(COLUMNS($AB$1006:AE1006),$AB$1006:$AQ$1006,0)))),"Fix")))</f>
        <v>0</v>
      </c>
      <c r="F74" s="5">
        <f>IF(OR(INDEX($V$2:$V$1001,MATCH(ROWS($U$2:U74),$U$2:$U$1001,0),1)&gt;=100000,INDEX($AB$1005:$AQ$1005,1,MATCH(COLUMNS($AB$1006:AF1006),$AB$1006:$AQ$1006,0))&gt;=100000), " ",IF(INDEX($AB$2:$AQ$1001,MATCH(ROWS($U$2:U74),$U$2:$U$1001,0),MATCH(COLUMNS($AB$1006:AF1006),$AB$1006:$AQ$1006,0)), HYPERLINK("#",""), HYPERLINK(CONCATENATE("#Metadata!", ADDRESS(INDEX($W$2:$W$1001,MATCH(ROWS($U$2:U74),$U$2:$U$1001,0),0), INDEX($AB$1004:$AQ$1004,1,MATCH(COLUMNS($AB$1006:AF1006),$AB$1006:$AQ$1006,0)))),"Fix")))</f>
        <v>0</v>
      </c>
      <c r="G74" s="5">
        <f>IF(OR(INDEX($V$2:$V$1001,MATCH(ROWS($U$2:U74),$U$2:$U$1001,0),1)&gt;=100000,INDEX($AB$1005:$AQ$1005,1,MATCH(COLUMNS($AB$1006:AG1006),$AB$1006:$AQ$1006,0))&gt;=100000), " ",IF(INDEX($AB$2:$AQ$1001,MATCH(ROWS($U$2:U74),$U$2:$U$1001,0),MATCH(COLUMNS($AB$1006:AG1006),$AB$1006:$AQ$1006,0)), HYPERLINK("#",""), HYPERLINK(CONCATENATE("#Metadata!", ADDRESS(INDEX($W$2:$W$1001,MATCH(ROWS($U$2:U74),$U$2:$U$1001,0),0), INDEX($AB$1004:$AQ$1004,1,MATCH(COLUMNS($AB$1006:AG1006),$AB$1006:$AQ$1006,0)))),"Fix")))</f>
        <v>0</v>
      </c>
      <c r="H74" s="5">
        <f>IF(OR(INDEX($V$2:$V$1001,MATCH(ROWS($U$2:U74),$U$2:$U$1001,0),1)&gt;=100000,INDEX($AB$1005:$AQ$1005,1,MATCH(COLUMNS($AB$1006:AH1006),$AB$1006:$AQ$1006,0))&gt;=100000), " ",IF(INDEX($AB$2:$AQ$1001,MATCH(ROWS($U$2:U74),$U$2:$U$1001,0),MATCH(COLUMNS($AB$1006:AH1006),$AB$1006:$AQ$1006,0)), HYPERLINK("#",""), HYPERLINK(CONCATENATE("#Metadata!", ADDRESS(INDEX($W$2:$W$1001,MATCH(ROWS($U$2:U74),$U$2:$U$1001,0),0), INDEX($AB$1004:$AQ$1004,1,MATCH(COLUMNS($AB$1006:AH1006),$AB$1006:$AQ$1006,0)))),"Fix")))</f>
        <v>0</v>
      </c>
      <c r="I74" s="5">
        <f>IF(OR(INDEX($V$2:$V$1001,MATCH(ROWS($U$2:U74),$U$2:$U$1001,0),1)&gt;=100000,INDEX($AB$1005:$AQ$1005,1,MATCH(COLUMNS($AB$1006:AI1006),$AB$1006:$AQ$1006,0))&gt;=100000), " ",IF(INDEX($AB$2:$AQ$1001,MATCH(ROWS($U$2:U74),$U$2:$U$1001,0),MATCH(COLUMNS($AB$1006:AI1006),$AB$1006:$AQ$1006,0)), HYPERLINK("#",""), HYPERLINK(CONCATENATE("#Metadata!", ADDRESS(INDEX($W$2:$W$1001,MATCH(ROWS($U$2:U74),$U$2:$U$1001,0),0), INDEX($AB$1004:$AQ$1004,1,MATCH(COLUMNS($AB$1006:AI1006),$AB$1006:$AQ$1006,0)))),"Fix")))</f>
        <v>0</v>
      </c>
      <c r="J74" s="5">
        <f>IF(OR(INDEX($V$2:$V$1001,MATCH(ROWS($U$2:U74),$U$2:$U$1001,0),1)&gt;=100000,INDEX($AB$1005:$AQ$1005,1,MATCH(COLUMNS($AB$1006:AJ1006),$AB$1006:$AQ$1006,0))&gt;=100000), " ",IF(INDEX($AB$2:$AQ$1001,MATCH(ROWS($U$2:U74),$U$2:$U$1001,0),MATCH(COLUMNS($AB$1006:AJ1006),$AB$1006:$AQ$1006,0)), HYPERLINK("#",""), HYPERLINK(CONCATENATE("#Metadata!", ADDRESS(INDEX($W$2:$W$1001,MATCH(ROWS($U$2:U74),$U$2:$U$1001,0),0), INDEX($AB$1004:$AQ$1004,1,MATCH(COLUMNS($AB$1006:AJ1006),$AB$1006:$AQ$1006,0)))),"Fix")))</f>
        <v>0</v>
      </c>
      <c r="K74" s="5">
        <f>IF(OR(INDEX($V$2:$V$1001,MATCH(ROWS($U$2:U74),$U$2:$U$1001,0),1)&gt;=100000,INDEX($AB$1005:$AQ$1005,1,MATCH(COLUMNS($AB$1006:AK1006),$AB$1006:$AQ$1006,0))&gt;=100000), " ",IF(INDEX($AB$2:$AQ$1001,MATCH(ROWS($U$2:U74),$U$2:$U$1001,0),MATCH(COLUMNS($AB$1006:AK1006),$AB$1006:$AQ$1006,0)), HYPERLINK("#",""), HYPERLINK(CONCATENATE("#Metadata!", ADDRESS(INDEX($W$2:$W$1001,MATCH(ROWS($U$2:U74),$U$2:$U$1001,0),0), INDEX($AB$1004:$AQ$1004,1,MATCH(COLUMNS($AB$1006:AK1006),$AB$1006:$AQ$1006,0)))),"Fix")))</f>
        <v>0</v>
      </c>
      <c r="L74" s="5">
        <f>IF(OR(INDEX($V$2:$V$1001,MATCH(ROWS($U$2:U74),$U$2:$U$1001,0),1)&gt;=100000,INDEX($AB$1005:$AQ$1005,1,MATCH(COLUMNS($AB$1006:AL1006),$AB$1006:$AQ$1006,0))&gt;=100000), " ",IF(INDEX($AB$2:$AQ$1001,MATCH(ROWS($U$2:U74),$U$2:$U$1001,0),MATCH(COLUMNS($AB$1006:AL1006),$AB$1006:$AQ$1006,0)), HYPERLINK("#",""), HYPERLINK(CONCATENATE("#Metadata!", ADDRESS(INDEX($W$2:$W$1001,MATCH(ROWS($U$2:U74),$U$2:$U$1001,0),0), INDEX($AB$1004:$AQ$1004,1,MATCH(COLUMNS($AB$1006:AL1006),$AB$1006:$AQ$1006,0)))),"Fix")))</f>
        <v>0</v>
      </c>
      <c r="M74" s="5">
        <f>IF(OR(INDEX($V$2:$V$1001,MATCH(ROWS($U$2:U74),$U$2:$U$1001,0),1)&gt;=100000,INDEX($AB$1005:$AQ$1005,1,MATCH(COLUMNS($AB$1006:AM1006),$AB$1006:$AQ$1006,0))&gt;=100000), " ",IF(INDEX($AB$2:$AQ$1001,MATCH(ROWS($U$2:U74),$U$2:$U$1001,0),MATCH(COLUMNS($AB$1006:AM1006),$AB$1006:$AQ$1006,0)), HYPERLINK("#",""), HYPERLINK(CONCATENATE("#Metadata!", ADDRESS(INDEX($W$2:$W$1001,MATCH(ROWS($U$2:U74),$U$2:$U$1001,0),0), INDEX($AB$1004:$AQ$1004,1,MATCH(COLUMNS($AB$1006:AM1006),$AB$1006:$AQ$1006,0)))),"Fix")))</f>
        <v>0</v>
      </c>
      <c r="N74" s="5">
        <f>IF(OR(INDEX($V$2:$V$1001,MATCH(ROWS($U$2:U74),$U$2:$U$1001,0),1)&gt;=100000,INDEX($AB$1005:$AQ$1005,1,MATCH(COLUMNS($AB$1006:AN1006),$AB$1006:$AQ$1006,0))&gt;=100000), " ",IF(INDEX($AB$2:$AQ$1001,MATCH(ROWS($U$2:U74),$U$2:$U$1001,0),MATCH(COLUMNS($AB$1006:AN1006),$AB$1006:$AQ$1006,0)), HYPERLINK("#",""), HYPERLINK(CONCATENATE("#Metadata!", ADDRESS(INDEX($W$2:$W$1001,MATCH(ROWS($U$2:U74),$U$2:$U$1001,0),0), INDEX($AB$1004:$AQ$1004,1,MATCH(COLUMNS($AB$1006:AN1006),$AB$1006:$AQ$1006,0)))),"Fix")))</f>
        <v>0</v>
      </c>
      <c r="O74" s="5">
        <f>IF(OR(INDEX($V$2:$V$1001,MATCH(ROWS($U$2:U74),$U$2:$U$1001,0),1)&gt;=100000,INDEX($AB$1005:$AQ$1005,1,MATCH(COLUMNS($AB$1006:AO1006),$AB$1006:$AQ$1006,0))&gt;=100000), " ",IF(INDEX($AB$2:$AQ$1001,MATCH(ROWS($U$2:U74),$U$2:$U$1001,0),MATCH(COLUMNS($AB$1006:AO1006),$AB$1006:$AQ$1006,0)), HYPERLINK("#",""), HYPERLINK(CONCATENATE("#Metadata!", ADDRESS(INDEX($W$2:$W$1001,MATCH(ROWS($U$2:U74),$U$2:$U$1001,0),0), INDEX($AB$1004:$AQ$1004,1,MATCH(COLUMNS($AB$1006:AO1006),$AB$1006:$AQ$1006,0)))),"Fix")))</f>
        <v>0</v>
      </c>
      <c r="P74" s="5">
        <f>IF(OR(INDEX($V$2:$V$1001,MATCH(ROWS($U$2:U74),$U$2:$U$1001,0),1)&gt;=100000,INDEX($AB$1005:$AQ$1005,1,MATCH(COLUMNS($AB$1006:AP1006),$AB$1006:$AQ$1006,0))&gt;=100000), " ",IF(INDEX($AB$2:$AQ$1001,MATCH(ROWS($U$2:U74),$U$2:$U$1001,0),MATCH(COLUMNS($AB$1006:AP1006),$AB$1006:$AQ$1006,0)), HYPERLINK("#",""), HYPERLINK(CONCATENATE("#Metadata!", ADDRESS(INDEX($W$2:$W$1001,MATCH(ROWS($U$2:U74),$U$2:$U$1001,0),0), INDEX($AB$1004:$AQ$1004,1,MATCH(COLUMNS($AB$1006:AP1006),$AB$1006:$AQ$1006,0)))),"Fix")))</f>
        <v>0</v>
      </c>
      <c r="Q74" s="5">
        <f>IF(OR(INDEX($V$2:$V$1001,MATCH(ROWS($U$2:U74),$U$2:$U$1001,0),1)&gt;=100000,INDEX($AB$1005:$AQ$1005,1,MATCH(COLUMNS($AB$1006:AQ1006),$AB$1006:$AQ$1006,0))&gt;=100000), " ",IF(INDEX($AB$2:$AQ$1001,MATCH(ROWS($U$2:U74),$U$2:$U$1001,0),MATCH(COLUMNS($AB$1006:AQ1006),$AB$1006:$AQ$1006,0)), HYPERLINK("#",""), HYPERLINK(CONCATENATE("#Metadata!", ADDRESS(INDEX($W$2:$W$1001,MATCH(ROWS($U$2:U74),$U$2:$U$1001,0),0), INDEX($AB$1004:$AQ$1004,1,MATCH(COLUMNS($AB$1006:AQ1006),$AB$1006:$AQ$1006,0)))),"Fix")))</f>
        <v>0</v>
      </c>
      <c r="U74">
        <v>0</v>
      </c>
      <c r="V74">
        <v>0</v>
      </c>
      <c r="W74">
        <v>0</v>
      </c>
      <c r="X74">
        <f>IF(Y74,TRUE,AND(AB74:AQ74))</f>
        <v>0</v>
      </c>
      <c r="Y74">
        <f>COUNTBLANK(Metadata!B74:Q74)=COLUMNS(Metadata!B74:Q74)</f>
        <v>0</v>
      </c>
      <c r="Z74">
        <v>0</v>
      </c>
      <c r="AB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AC74">
        <f>AND(IF(Metadata!C74="",FALSE,TRUE),exact(Metadata!C74,"urban biome"))</f>
        <v>0</v>
      </c>
      <c r="AD74">
        <f>AND(IF(Metadata!D74="",FALSE,TRUE),exact(Metadata!D74,"human-associated habitat"))</f>
        <v>0</v>
      </c>
      <c r="AE74">
        <f>AND(IF(Metadata!E74="",FALSE,TRUE),OR(exact(Metadata!E74,"human-associated"),exact(Metadata!E74,"human-skin"),exact(Metadata!E74,"human-oral"),exact(Metadata!E74,"human-gut"),exact(Metadata!E74,"human-vaginal")))</f>
        <v>0</v>
      </c>
      <c r="AF74">
        <f>AND(IF(Metadata!F74="",FALSE,ISNUMBER(VALUE(Metadata!F74))),Metadata!F74&gt;0)</f>
        <v>0</v>
      </c>
      <c r="AG74">
        <f>AND(IF(Metadata!G74="",FALSE,TRUE),exact(Metadata!G74,"years"))</f>
        <v>0</v>
      </c>
      <c r="AH74">
        <f>OR(AND(IF(Metadata!H74="",FALSE,TRUE),OR(exact(Metadata!H74,"not applicable"),exact(Metadata!H74,"not collected"),exact(Metadata!H74,"not provided"),exact(Metadata!H74,"restricted access"))),AND(IF(Metadata!H74="",FALSE,ISNUMBER(VALUE(Metadata!H74))),Metadata!H74&gt;0))</f>
        <v>0</v>
      </c>
      <c r="AI74">
        <f>AND(IF(Metadata!I74="",FALSE,TRUE),exact(Metadata!I74,"human"))</f>
        <v>0</v>
      </c>
      <c r="AJ74">
        <f>AND(IF(Metadata!J74="",FALSE,ISNUMBER(VALUE(Metadata!J74))),Metadata!J74&gt;0)</f>
        <v>0</v>
      </c>
      <c r="AK74">
        <f>AND(IF(Metadata!K74="",FALSE,TRUE),exact(Metadata!K74,"cm"))</f>
        <v>0</v>
      </c>
      <c r="AL74">
        <f>AND(IF(Metadata!L74="",FALSE,TRUE),exact(Metadata!L74,"Homo sapiens"))</f>
        <v>0</v>
      </c>
      <c r="AM74">
        <f>AND(IF(Metadata!M74="",FALSE,TRUE),exact(Metadata!M74,"9606"))</f>
        <v>0</v>
      </c>
      <c r="AN74">
        <f>AND(IF(Metadata!N74="",FALSE,ISNUMBER(VALUE(Metadata!N74))),Metadata!N74&gt;0)</f>
        <v>0</v>
      </c>
      <c r="AO74">
        <f>AND(IF(Metadata!O74="",FALSE,TRUE),exact(Metadata!O74,"kg"))</f>
        <v>0</v>
      </c>
      <c r="AP74">
        <f>OR(AND(IF(Metadata!P74="",FALSE,TRUE),exact(Metadata!P74,"not provided")),IF(Metadata!P74="",FALSE,TRUE))</f>
        <v>0</v>
      </c>
      <c r="AQ74">
        <f>OR(AND(IF(Metadata!Q74="",FALSE,TRUE),exact(Metadata!Q74,"not provided")),IF(Metadata!Q74="",FALSE,TRUE))</f>
        <v>0</v>
      </c>
    </row>
    <row r="75" spans="1:43">
      <c r="A75" s="4">
        <f>IF(B75=" "," ",HYPERLINK(CONCATENATE("#metadata!",ADDRESS(INDEX($W$2:$W$1001,MATCH(ROWS($U$2:U75),$U$2:$U$1001,0),0),2)),INDEX($Z$2:$Z$1001,MATCH(ROWS($U$2:U75),$U$2:$U$1001,0),0)))</f>
        <v>0</v>
      </c>
      <c r="B75" s="5">
        <f>IF(OR(INDEX($V$2:$V$1001,MATCH(ROWS($U$2:U75),$U$2:$U$1001,0),1)&gt;=100000,INDEX($AB$1005:$AQ$1005,1,MATCH(COLUMNS($AB$1006:AB1006),$AB$1006:$AQ$1006,0))&gt;=100000), " ",IF(INDEX($AB$2:$AQ$1001,MATCH(ROWS($U$2:U75),$U$2:$U$1001,0),MATCH(COLUMNS($AB$1006:AB1006),$AB$1006:$AQ$1006,0)), HYPERLINK("#",""), HYPERLINK(CONCATENATE("#Metadata!", ADDRESS(INDEX($W$2:$W$1001,MATCH(ROWS($U$2:U75),$U$2:$U$1001,0),0), INDEX($AB$1004:$AQ$1004,1,MATCH(COLUMNS($AB$1006:AB1006),$AB$1006:$AQ$1006,0)))),"Fix")))</f>
        <v>0</v>
      </c>
      <c r="C75" s="5">
        <f>IF(OR(INDEX($V$2:$V$1001,MATCH(ROWS($U$2:U75),$U$2:$U$1001,0),1)&gt;=100000,INDEX($AB$1005:$AQ$1005,1,MATCH(COLUMNS($AB$1006:AC1006),$AB$1006:$AQ$1006,0))&gt;=100000), " ",IF(INDEX($AB$2:$AQ$1001,MATCH(ROWS($U$2:U75),$U$2:$U$1001,0),MATCH(COLUMNS($AB$1006:AC1006),$AB$1006:$AQ$1006,0)), HYPERLINK("#",""), HYPERLINK(CONCATENATE("#Metadata!", ADDRESS(INDEX($W$2:$W$1001,MATCH(ROWS($U$2:U75),$U$2:$U$1001,0),0), INDEX($AB$1004:$AQ$1004,1,MATCH(COLUMNS($AB$1006:AC1006),$AB$1006:$AQ$1006,0)))),"Fix")))</f>
        <v>0</v>
      </c>
      <c r="D75" s="5">
        <f>IF(OR(INDEX($V$2:$V$1001,MATCH(ROWS($U$2:U75),$U$2:$U$1001,0),1)&gt;=100000,INDEX($AB$1005:$AQ$1005,1,MATCH(COLUMNS($AB$1006:AD1006),$AB$1006:$AQ$1006,0))&gt;=100000), " ",IF(INDEX($AB$2:$AQ$1001,MATCH(ROWS($U$2:U75),$U$2:$U$1001,0),MATCH(COLUMNS($AB$1006:AD1006),$AB$1006:$AQ$1006,0)), HYPERLINK("#",""), HYPERLINK(CONCATENATE("#Metadata!", ADDRESS(INDEX($W$2:$W$1001,MATCH(ROWS($U$2:U75),$U$2:$U$1001,0),0), INDEX($AB$1004:$AQ$1004,1,MATCH(COLUMNS($AB$1006:AD1006),$AB$1006:$AQ$1006,0)))),"Fix")))</f>
        <v>0</v>
      </c>
      <c r="E75" s="5">
        <f>IF(OR(INDEX($V$2:$V$1001,MATCH(ROWS($U$2:U75),$U$2:$U$1001,0),1)&gt;=100000,INDEX($AB$1005:$AQ$1005,1,MATCH(COLUMNS($AB$1006:AE1006),$AB$1006:$AQ$1006,0))&gt;=100000), " ",IF(INDEX($AB$2:$AQ$1001,MATCH(ROWS($U$2:U75),$U$2:$U$1001,0),MATCH(COLUMNS($AB$1006:AE1006),$AB$1006:$AQ$1006,0)), HYPERLINK("#",""), HYPERLINK(CONCATENATE("#Metadata!", ADDRESS(INDEX($W$2:$W$1001,MATCH(ROWS($U$2:U75),$U$2:$U$1001,0),0), INDEX($AB$1004:$AQ$1004,1,MATCH(COLUMNS($AB$1006:AE1006),$AB$1006:$AQ$1006,0)))),"Fix")))</f>
        <v>0</v>
      </c>
      <c r="F75" s="5">
        <f>IF(OR(INDEX($V$2:$V$1001,MATCH(ROWS($U$2:U75),$U$2:$U$1001,0),1)&gt;=100000,INDEX($AB$1005:$AQ$1005,1,MATCH(COLUMNS($AB$1006:AF1006),$AB$1006:$AQ$1006,0))&gt;=100000), " ",IF(INDEX($AB$2:$AQ$1001,MATCH(ROWS($U$2:U75),$U$2:$U$1001,0),MATCH(COLUMNS($AB$1006:AF1006),$AB$1006:$AQ$1006,0)), HYPERLINK("#",""), HYPERLINK(CONCATENATE("#Metadata!", ADDRESS(INDEX($W$2:$W$1001,MATCH(ROWS($U$2:U75),$U$2:$U$1001,0),0), INDEX($AB$1004:$AQ$1004,1,MATCH(COLUMNS($AB$1006:AF1006),$AB$1006:$AQ$1006,0)))),"Fix")))</f>
        <v>0</v>
      </c>
      <c r="G75" s="5">
        <f>IF(OR(INDEX($V$2:$V$1001,MATCH(ROWS($U$2:U75),$U$2:$U$1001,0),1)&gt;=100000,INDEX($AB$1005:$AQ$1005,1,MATCH(COLUMNS($AB$1006:AG1006),$AB$1006:$AQ$1006,0))&gt;=100000), " ",IF(INDEX($AB$2:$AQ$1001,MATCH(ROWS($U$2:U75),$U$2:$U$1001,0),MATCH(COLUMNS($AB$1006:AG1006),$AB$1006:$AQ$1006,0)), HYPERLINK("#",""), HYPERLINK(CONCATENATE("#Metadata!", ADDRESS(INDEX($W$2:$W$1001,MATCH(ROWS($U$2:U75),$U$2:$U$1001,0),0), INDEX($AB$1004:$AQ$1004,1,MATCH(COLUMNS($AB$1006:AG1006),$AB$1006:$AQ$1006,0)))),"Fix")))</f>
        <v>0</v>
      </c>
      <c r="H75" s="5">
        <f>IF(OR(INDEX($V$2:$V$1001,MATCH(ROWS($U$2:U75),$U$2:$U$1001,0),1)&gt;=100000,INDEX($AB$1005:$AQ$1005,1,MATCH(COLUMNS($AB$1006:AH1006),$AB$1006:$AQ$1006,0))&gt;=100000), " ",IF(INDEX($AB$2:$AQ$1001,MATCH(ROWS($U$2:U75),$U$2:$U$1001,0),MATCH(COLUMNS($AB$1006:AH1006),$AB$1006:$AQ$1006,0)), HYPERLINK("#",""), HYPERLINK(CONCATENATE("#Metadata!", ADDRESS(INDEX($W$2:$W$1001,MATCH(ROWS($U$2:U75),$U$2:$U$1001,0),0), INDEX($AB$1004:$AQ$1004,1,MATCH(COLUMNS($AB$1006:AH1006),$AB$1006:$AQ$1006,0)))),"Fix")))</f>
        <v>0</v>
      </c>
      <c r="I75" s="5">
        <f>IF(OR(INDEX($V$2:$V$1001,MATCH(ROWS($U$2:U75),$U$2:$U$1001,0),1)&gt;=100000,INDEX($AB$1005:$AQ$1005,1,MATCH(COLUMNS($AB$1006:AI1006),$AB$1006:$AQ$1006,0))&gt;=100000), " ",IF(INDEX($AB$2:$AQ$1001,MATCH(ROWS($U$2:U75),$U$2:$U$1001,0),MATCH(COLUMNS($AB$1006:AI1006),$AB$1006:$AQ$1006,0)), HYPERLINK("#",""), HYPERLINK(CONCATENATE("#Metadata!", ADDRESS(INDEX($W$2:$W$1001,MATCH(ROWS($U$2:U75),$U$2:$U$1001,0),0), INDEX($AB$1004:$AQ$1004,1,MATCH(COLUMNS($AB$1006:AI1006),$AB$1006:$AQ$1006,0)))),"Fix")))</f>
        <v>0</v>
      </c>
      <c r="J75" s="5">
        <f>IF(OR(INDEX($V$2:$V$1001,MATCH(ROWS($U$2:U75),$U$2:$U$1001,0),1)&gt;=100000,INDEX($AB$1005:$AQ$1005,1,MATCH(COLUMNS($AB$1006:AJ1006),$AB$1006:$AQ$1006,0))&gt;=100000), " ",IF(INDEX($AB$2:$AQ$1001,MATCH(ROWS($U$2:U75),$U$2:$U$1001,0),MATCH(COLUMNS($AB$1006:AJ1006),$AB$1006:$AQ$1006,0)), HYPERLINK("#",""), HYPERLINK(CONCATENATE("#Metadata!", ADDRESS(INDEX($W$2:$W$1001,MATCH(ROWS($U$2:U75),$U$2:$U$1001,0),0), INDEX($AB$1004:$AQ$1004,1,MATCH(COLUMNS($AB$1006:AJ1006),$AB$1006:$AQ$1006,0)))),"Fix")))</f>
        <v>0</v>
      </c>
      <c r="K75" s="5">
        <f>IF(OR(INDEX($V$2:$V$1001,MATCH(ROWS($U$2:U75),$U$2:$U$1001,0),1)&gt;=100000,INDEX($AB$1005:$AQ$1005,1,MATCH(COLUMNS($AB$1006:AK1006),$AB$1006:$AQ$1006,0))&gt;=100000), " ",IF(INDEX($AB$2:$AQ$1001,MATCH(ROWS($U$2:U75),$U$2:$U$1001,0),MATCH(COLUMNS($AB$1006:AK1006),$AB$1006:$AQ$1006,0)), HYPERLINK("#",""), HYPERLINK(CONCATENATE("#Metadata!", ADDRESS(INDEX($W$2:$W$1001,MATCH(ROWS($U$2:U75),$U$2:$U$1001,0),0), INDEX($AB$1004:$AQ$1004,1,MATCH(COLUMNS($AB$1006:AK1006),$AB$1006:$AQ$1006,0)))),"Fix")))</f>
        <v>0</v>
      </c>
      <c r="L75" s="5">
        <f>IF(OR(INDEX($V$2:$V$1001,MATCH(ROWS($U$2:U75),$U$2:$U$1001,0),1)&gt;=100000,INDEX($AB$1005:$AQ$1005,1,MATCH(COLUMNS($AB$1006:AL1006),$AB$1006:$AQ$1006,0))&gt;=100000), " ",IF(INDEX($AB$2:$AQ$1001,MATCH(ROWS($U$2:U75),$U$2:$U$1001,0),MATCH(COLUMNS($AB$1006:AL1006),$AB$1006:$AQ$1006,0)), HYPERLINK("#",""), HYPERLINK(CONCATENATE("#Metadata!", ADDRESS(INDEX($W$2:$W$1001,MATCH(ROWS($U$2:U75),$U$2:$U$1001,0),0), INDEX($AB$1004:$AQ$1004,1,MATCH(COLUMNS($AB$1006:AL1006),$AB$1006:$AQ$1006,0)))),"Fix")))</f>
        <v>0</v>
      </c>
      <c r="M75" s="5">
        <f>IF(OR(INDEX($V$2:$V$1001,MATCH(ROWS($U$2:U75),$U$2:$U$1001,0),1)&gt;=100000,INDEX($AB$1005:$AQ$1005,1,MATCH(COLUMNS($AB$1006:AM1006),$AB$1006:$AQ$1006,0))&gt;=100000), " ",IF(INDEX($AB$2:$AQ$1001,MATCH(ROWS($U$2:U75),$U$2:$U$1001,0),MATCH(COLUMNS($AB$1006:AM1006),$AB$1006:$AQ$1006,0)), HYPERLINK("#",""), HYPERLINK(CONCATENATE("#Metadata!", ADDRESS(INDEX($W$2:$W$1001,MATCH(ROWS($U$2:U75),$U$2:$U$1001,0),0), INDEX($AB$1004:$AQ$1004,1,MATCH(COLUMNS($AB$1006:AM1006),$AB$1006:$AQ$1006,0)))),"Fix")))</f>
        <v>0</v>
      </c>
      <c r="N75" s="5">
        <f>IF(OR(INDEX($V$2:$V$1001,MATCH(ROWS($U$2:U75),$U$2:$U$1001,0),1)&gt;=100000,INDEX($AB$1005:$AQ$1005,1,MATCH(COLUMNS($AB$1006:AN1006),$AB$1006:$AQ$1006,0))&gt;=100000), " ",IF(INDEX($AB$2:$AQ$1001,MATCH(ROWS($U$2:U75),$U$2:$U$1001,0),MATCH(COLUMNS($AB$1006:AN1006),$AB$1006:$AQ$1006,0)), HYPERLINK("#",""), HYPERLINK(CONCATENATE("#Metadata!", ADDRESS(INDEX($W$2:$W$1001,MATCH(ROWS($U$2:U75),$U$2:$U$1001,0),0), INDEX($AB$1004:$AQ$1004,1,MATCH(COLUMNS($AB$1006:AN1006),$AB$1006:$AQ$1006,0)))),"Fix")))</f>
        <v>0</v>
      </c>
      <c r="O75" s="5">
        <f>IF(OR(INDEX($V$2:$V$1001,MATCH(ROWS($U$2:U75),$U$2:$U$1001,0),1)&gt;=100000,INDEX($AB$1005:$AQ$1005,1,MATCH(COLUMNS($AB$1006:AO1006),$AB$1006:$AQ$1006,0))&gt;=100000), " ",IF(INDEX($AB$2:$AQ$1001,MATCH(ROWS($U$2:U75),$U$2:$U$1001,0),MATCH(COLUMNS($AB$1006:AO1006),$AB$1006:$AQ$1006,0)), HYPERLINK("#",""), HYPERLINK(CONCATENATE("#Metadata!", ADDRESS(INDEX($W$2:$W$1001,MATCH(ROWS($U$2:U75),$U$2:$U$1001,0),0), INDEX($AB$1004:$AQ$1004,1,MATCH(COLUMNS($AB$1006:AO1006),$AB$1006:$AQ$1006,0)))),"Fix")))</f>
        <v>0</v>
      </c>
      <c r="P75" s="5">
        <f>IF(OR(INDEX($V$2:$V$1001,MATCH(ROWS($U$2:U75),$U$2:$U$1001,0),1)&gt;=100000,INDEX($AB$1005:$AQ$1005,1,MATCH(COLUMNS($AB$1006:AP1006),$AB$1006:$AQ$1006,0))&gt;=100000), " ",IF(INDEX($AB$2:$AQ$1001,MATCH(ROWS($U$2:U75),$U$2:$U$1001,0),MATCH(COLUMNS($AB$1006:AP1006),$AB$1006:$AQ$1006,0)), HYPERLINK("#",""), HYPERLINK(CONCATENATE("#Metadata!", ADDRESS(INDEX($W$2:$W$1001,MATCH(ROWS($U$2:U75),$U$2:$U$1001,0),0), INDEX($AB$1004:$AQ$1004,1,MATCH(COLUMNS($AB$1006:AP1006),$AB$1006:$AQ$1006,0)))),"Fix")))</f>
        <v>0</v>
      </c>
      <c r="Q75" s="5">
        <f>IF(OR(INDEX($V$2:$V$1001,MATCH(ROWS($U$2:U75),$U$2:$U$1001,0),1)&gt;=100000,INDEX($AB$1005:$AQ$1005,1,MATCH(COLUMNS($AB$1006:AQ1006),$AB$1006:$AQ$1006,0))&gt;=100000), " ",IF(INDEX($AB$2:$AQ$1001,MATCH(ROWS($U$2:U75),$U$2:$U$1001,0),MATCH(COLUMNS($AB$1006:AQ1006),$AB$1006:$AQ$1006,0)), HYPERLINK("#",""), HYPERLINK(CONCATENATE("#Metadata!", ADDRESS(INDEX($W$2:$W$1001,MATCH(ROWS($U$2:U75),$U$2:$U$1001,0),0), INDEX($AB$1004:$AQ$1004,1,MATCH(COLUMNS($AB$1006:AQ1006),$AB$1006:$AQ$1006,0)))),"Fix")))</f>
        <v>0</v>
      </c>
      <c r="U75">
        <v>0</v>
      </c>
      <c r="V75">
        <v>0</v>
      </c>
      <c r="W75">
        <v>0</v>
      </c>
      <c r="X75">
        <f>IF(Y75,TRUE,AND(AB75:AQ75))</f>
        <v>0</v>
      </c>
      <c r="Y75">
        <f>COUNTBLANK(Metadata!B75:Q75)=COLUMNS(Metadata!B75:Q75)</f>
        <v>0</v>
      </c>
      <c r="Z75">
        <v>0</v>
      </c>
      <c r="AB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AC75">
        <f>AND(IF(Metadata!C75="",FALSE,TRUE),exact(Metadata!C75,"urban biome"))</f>
        <v>0</v>
      </c>
      <c r="AD75">
        <f>AND(IF(Metadata!D75="",FALSE,TRUE),exact(Metadata!D75,"human-associated habitat"))</f>
        <v>0</v>
      </c>
      <c r="AE75">
        <f>AND(IF(Metadata!E75="",FALSE,TRUE),OR(exact(Metadata!E75,"human-associated"),exact(Metadata!E75,"human-skin"),exact(Metadata!E75,"human-oral"),exact(Metadata!E75,"human-gut"),exact(Metadata!E75,"human-vaginal")))</f>
        <v>0</v>
      </c>
      <c r="AF75">
        <f>AND(IF(Metadata!F75="",FALSE,ISNUMBER(VALUE(Metadata!F75))),Metadata!F75&gt;0)</f>
        <v>0</v>
      </c>
      <c r="AG75">
        <f>AND(IF(Metadata!G75="",FALSE,TRUE),exact(Metadata!G75,"years"))</f>
        <v>0</v>
      </c>
      <c r="AH75">
        <f>OR(AND(IF(Metadata!H75="",FALSE,TRUE),OR(exact(Metadata!H75,"not applicable"),exact(Metadata!H75,"not collected"),exact(Metadata!H75,"not provided"),exact(Metadata!H75,"restricted access"))),AND(IF(Metadata!H75="",FALSE,ISNUMBER(VALUE(Metadata!H75))),Metadata!H75&gt;0))</f>
        <v>0</v>
      </c>
      <c r="AI75">
        <f>AND(IF(Metadata!I75="",FALSE,TRUE),exact(Metadata!I75,"human"))</f>
        <v>0</v>
      </c>
      <c r="AJ75">
        <f>AND(IF(Metadata!J75="",FALSE,ISNUMBER(VALUE(Metadata!J75))),Metadata!J75&gt;0)</f>
        <v>0</v>
      </c>
      <c r="AK75">
        <f>AND(IF(Metadata!K75="",FALSE,TRUE),exact(Metadata!K75,"cm"))</f>
        <v>0</v>
      </c>
      <c r="AL75">
        <f>AND(IF(Metadata!L75="",FALSE,TRUE),exact(Metadata!L75,"Homo sapiens"))</f>
        <v>0</v>
      </c>
      <c r="AM75">
        <f>AND(IF(Metadata!M75="",FALSE,TRUE),exact(Metadata!M75,"9606"))</f>
        <v>0</v>
      </c>
      <c r="AN75">
        <f>AND(IF(Metadata!N75="",FALSE,ISNUMBER(VALUE(Metadata!N75))),Metadata!N75&gt;0)</f>
        <v>0</v>
      </c>
      <c r="AO75">
        <f>AND(IF(Metadata!O75="",FALSE,TRUE),exact(Metadata!O75,"kg"))</f>
        <v>0</v>
      </c>
      <c r="AP75">
        <f>OR(AND(IF(Metadata!P75="",FALSE,TRUE),exact(Metadata!P75,"not provided")),IF(Metadata!P75="",FALSE,TRUE))</f>
        <v>0</v>
      </c>
      <c r="AQ75">
        <f>OR(AND(IF(Metadata!Q75="",FALSE,TRUE),exact(Metadata!Q75,"not provided")),IF(Metadata!Q75="",FALSE,TRUE))</f>
        <v>0</v>
      </c>
    </row>
    <row r="76" spans="1:43">
      <c r="A76" s="4">
        <f>IF(B76=" "," ",HYPERLINK(CONCATENATE("#metadata!",ADDRESS(INDEX($W$2:$W$1001,MATCH(ROWS($U$2:U76),$U$2:$U$1001,0),0),2)),INDEX($Z$2:$Z$1001,MATCH(ROWS($U$2:U76),$U$2:$U$1001,0),0)))</f>
        <v>0</v>
      </c>
      <c r="B76" s="5">
        <f>IF(OR(INDEX($V$2:$V$1001,MATCH(ROWS($U$2:U76),$U$2:$U$1001,0),1)&gt;=100000,INDEX($AB$1005:$AQ$1005,1,MATCH(COLUMNS($AB$1006:AB1006),$AB$1006:$AQ$1006,0))&gt;=100000), " ",IF(INDEX($AB$2:$AQ$1001,MATCH(ROWS($U$2:U76),$U$2:$U$1001,0),MATCH(COLUMNS($AB$1006:AB1006),$AB$1006:$AQ$1006,0)), HYPERLINK("#",""), HYPERLINK(CONCATENATE("#Metadata!", ADDRESS(INDEX($W$2:$W$1001,MATCH(ROWS($U$2:U76),$U$2:$U$1001,0),0), INDEX($AB$1004:$AQ$1004,1,MATCH(COLUMNS($AB$1006:AB1006),$AB$1006:$AQ$1006,0)))),"Fix")))</f>
        <v>0</v>
      </c>
      <c r="C76" s="5">
        <f>IF(OR(INDEX($V$2:$V$1001,MATCH(ROWS($U$2:U76),$U$2:$U$1001,0),1)&gt;=100000,INDEX($AB$1005:$AQ$1005,1,MATCH(COLUMNS($AB$1006:AC1006),$AB$1006:$AQ$1006,0))&gt;=100000), " ",IF(INDEX($AB$2:$AQ$1001,MATCH(ROWS($U$2:U76),$U$2:$U$1001,0),MATCH(COLUMNS($AB$1006:AC1006),$AB$1006:$AQ$1006,0)), HYPERLINK("#",""), HYPERLINK(CONCATENATE("#Metadata!", ADDRESS(INDEX($W$2:$W$1001,MATCH(ROWS($U$2:U76),$U$2:$U$1001,0),0), INDEX($AB$1004:$AQ$1004,1,MATCH(COLUMNS($AB$1006:AC1006),$AB$1006:$AQ$1006,0)))),"Fix")))</f>
        <v>0</v>
      </c>
      <c r="D76" s="5">
        <f>IF(OR(INDEX($V$2:$V$1001,MATCH(ROWS($U$2:U76),$U$2:$U$1001,0),1)&gt;=100000,INDEX($AB$1005:$AQ$1005,1,MATCH(COLUMNS($AB$1006:AD1006),$AB$1006:$AQ$1006,0))&gt;=100000), " ",IF(INDEX($AB$2:$AQ$1001,MATCH(ROWS($U$2:U76),$U$2:$U$1001,0),MATCH(COLUMNS($AB$1006:AD1006),$AB$1006:$AQ$1006,0)), HYPERLINK("#",""), HYPERLINK(CONCATENATE("#Metadata!", ADDRESS(INDEX($W$2:$W$1001,MATCH(ROWS($U$2:U76),$U$2:$U$1001,0),0), INDEX($AB$1004:$AQ$1004,1,MATCH(COLUMNS($AB$1006:AD1006),$AB$1006:$AQ$1006,0)))),"Fix")))</f>
        <v>0</v>
      </c>
      <c r="E76" s="5">
        <f>IF(OR(INDEX($V$2:$V$1001,MATCH(ROWS($U$2:U76),$U$2:$U$1001,0),1)&gt;=100000,INDEX($AB$1005:$AQ$1005,1,MATCH(COLUMNS($AB$1006:AE1006),$AB$1006:$AQ$1006,0))&gt;=100000), " ",IF(INDEX($AB$2:$AQ$1001,MATCH(ROWS($U$2:U76),$U$2:$U$1001,0),MATCH(COLUMNS($AB$1006:AE1006),$AB$1006:$AQ$1006,0)), HYPERLINK("#",""), HYPERLINK(CONCATENATE("#Metadata!", ADDRESS(INDEX($W$2:$W$1001,MATCH(ROWS($U$2:U76),$U$2:$U$1001,0),0), INDEX($AB$1004:$AQ$1004,1,MATCH(COLUMNS($AB$1006:AE1006),$AB$1006:$AQ$1006,0)))),"Fix")))</f>
        <v>0</v>
      </c>
      <c r="F76" s="5">
        <f>IF(OR(INDEX($V$2:$V$1001,MATCH(ROWS($U$2:U76),$U$2:$U$1001,0),1)&gt;=100000,INDEX($AB$1005:$AQ$1005,1,MATCH(COLUMNS($AB$1006:AF1006),$AB$1006:$AQ$1006,0))&gt;=100000), " ",IF(INDEX($AB$2:$AQ$1001,MATCH(ROWS($U$2:U76),$U$2:$U$1001,0),MATCH(COLUMNS($AB$1006:AF1006),$AB$1006:$AQ$1006,0)), HYPERLINK("#",""), HYPERLINK(CONCATENATE("#Metadata!", ADDRESS(INDEX($W$2:$W$1001,MATCH(ROWS($U$2:U76),$U$2:$U$1001,0),0), INDEX($AB$1004:$AQ$1004,1,MATCH(COLUMNS($AB$1006:AF1006),$AB$1006:$AQ$1006,0)))),"Fix")))</f>
        <v>0</v>
      </c>
      <c r="G76" s="5">
        <f>IF(OR(INDEX($V$2:$V$1001,MATCH(ROWS($U$2:U76),$U$2:$U$1001,0),1)&gt;=100000,INDEX($AB$1005:$AQ$1005,1,MATCH(COLUMNS($AB$1006:AG1006),$AB$1006:$AQ$1006,0))&gt;=100000), " ",IF(INDEX($AB$2:$AQ$1001,MATCH(ROWS($U$2:U76),$U$2:$U$1001,0),MATCH(COLUMNS($AB$1006:AG1006),$AB$1006:$AQ$1006,0)), HYPERLINK("#",""), HYPERLINK(CONCATENATE("#Metadata!", ADDRESS(INDEX($W$2:$W$1001,MATCH(ROWS($U$2:U76),$U$2:$U$1001,0),0), INDEX($AB$1004:$AQ$1004,1,MATCH(COLUMNS($AB$1006:AG1006),$AB$1006:$AQ$1006,0)))),"Fix")))</f>
        <v>0</v>
      </c>
      <c r="H76" s="5">
        <f>IF(OR(INDEX($V$2:$V$1001,MATCH(ROWS($U$2:U76),$U$2:$U$1001,0),1)&gt;=100000,INDEX($AB$1005:$AQ$1005,1,MATCH(COLUMNS($AB$1006:AH1006),$AB$1006:$AQ$1006,0))&gt;=100000), " ",IF(INDEX($AB$2:$AQ$1001,MATCH(ROWS($U$2:U76),$U$2:$U$1001,0),MATCH(COLUMNS($AB$1006:AH1006),$AB$1006:$AQ$1006,0)), HYPERLINK("#",""), HYPERLINK(CONCATENATE("#Metadata!", ADDRESS(INDEX($W$2:$W$1001,MATCH(ROWS($U$2:U76),$U$2:$U$1001,0),0), INDEX($AB$1004:$AQ$1004,1,MATCH(COLUMNS($AB$1006:AH1006),$AB$1006:$AQ$1006,0)))),"Fix")))</f>
        <v>0</v>
      </c>
      <c r="I76" s="5">
        <f>IF(OR(INDEX($V$2:$V$1001,MATCH(ROWS($U$2:U76),$U$2:$U$1001,0),1)&gt;=100000,INDEX($AB$1005:$AQ$1005,1,MATCH(COLUMNS($AB$1006:AI1006),$AB$1006:$AQ$1006,0))&gt;=100000), " ",IF(INDEX($AB$2:$AQ$1001,MATCH(ROWS($U$2:U76),$U$2:$U$1001,0),MATCH(COLUMNS($AB$1006:AI1006),$AB$1006:$AQ$1006,0)), HYPERLINK("#",""), HYPERLINK(CONCATENATE("#Metadata!", ADDRESS(INDEX($W$2:$W$1001,MATCH(ROWS($U$2:U76),$U$2:$U$1001,0),0), INDEX($AB$1004:$AQ$1004,1,MATCH(COLUMNS($AB$1006:AI1006),$AB$1006:$AQ$1006,0)))),"Fix")))</f>
        <v>0</v>
      </c>
      <c r="J76" s="5">
        <f>IF(OR(INDEX($V$2:$V$1001,MATCH(ROWS($U$2:U76),$U$2:$U$1001,0),1)&gt;=100000,INDEX($AB$1005:$AQ$1005,1,MATCH(COLUMNS($AB$1006:AJ1006),$AB$1006:$AQ$1006,0))&gt;=100000), " ",IF(INDEX($AB$2:$AQ$1001,MATCH(ROWS($U$2:U76),$U$2:$U$1001,0),MATCH(COLUMNS($AB$1006:AJ1006),$AB$1006:$AQ$1006,0)), HYPERLINK("#",""), HYPERLINK(CONCATENATE("#Metadata!", ADDRESS(INDEX($W$2:$W$1001,MATCH(ROWS($U$2:U76),$U$2:$U$1001,0),0), INDEX($AB$1004:$AQ$1004,1,MATCH(COLUMNS($AB$1006:AJ1006),$AB$1006:$AQ$1006,0)))),"Fix")))</f>
        <v>0</v>
      </c>
      <c r="K76" s="5">
        <f>IF(OR(INDEX($V$2:$V$1001,MATCH(ROWS($U$2:U76),$U$2:$U$1001,0),1)&gt;=100000,INDEX($AB$1005:$AQ$1005,1,MATCH(COLUMNS($AB$1006:AK1006),$AB$1006:$AQ$1006,0))&gt;=100000), " ",IF(INDEX($AB$2:$AQ$1001,MATCH(ROWS($U$2:U76),$U$2:$U$1001,0),MATCH(COLUMNS($AB$1006:AK1006),$AB$1006:$AQ$1006,0)), HYPERLINK("#",""), HYPERLINK(CONCATENATE("#Metadata!", ADDRESS(INDEX($W$2:$W$1001,MATCH(ROWS($U$2:U76),$U$2:$U$1001,0),0), INDEX($AB$1004:$AQ$1004,1,MATCH(COLUMNS($AB$1006:AK1006),$AB$1006:$AQ$1006,0)))),"Fix")))</f>
        <v>0</v>
      </c>
      <c r="L76" s="5">
        <f>IF(OR(INDEX($V$2:$V$1001,MATCH(ROWS($U$2:U76),$U$2:$U$1001,0),1)&gt;=100000,INDEX($AB$1005:$AQ$1005,1,MATCH(COLUMNS($AB$1006:AL1006),$AB$1006:$AQ$1006,0))&gt;=100000), " ",IF(INDEX($AB$2:$AQ$1001,MATCH(ROWS($U$2:U76),$U$2:$U$1001,0),MATCH(COLUMNS($AB$1006:AL1006),$AB$1006:$AQ$1006,0)), HYPERLINK("#",""), HYPERLINK(CONCATENATE("#Metadata!", ADDRESS(INDEX($W$2:$W$1001,MATCH(ROWS($U$2:U76),$U$2:$U$1001,0),0), INDEX($AB$1004:$AQ$1004,1,MATCH(COLUMNS($AB$1006:AL1006),$AB$1006:$AQ$1006,0)))),"Fix")))</f>
        <v>0</v>
      </c>
      <c r="M76" s="5">
        <f>IF(OR(INDEX($V$2:$V$1001,MATCH(ROWS($U$2:U76),$U$2:$U$1001,0),1)&gt;=100000,INDEX($AB$1005:$AQ$1005,1,MATCH(COLUMNS($AB$1006:AM1006),$AB$1006:$AQ$1006,0))&gt;=100000), " ",IF(INDEX($AB$2:$AQ$1001,MATCH(ROWS($U$2:U76),$U$2:$U$1001,0),MATCH(COLUMNS($AB$1006:AM1006),$AB$1006:$AQ$1006,0)), HYPERLINK("#",""), HYPERLINK(CONCATENATE("#Metadata!", ADDRESS(INDEX($W$2:$W$1001,MATCH(ROWS($U$2:U76),$U$2:$U$1001,0),0), INDEX($AB$1004:$AQ$1004,1,MATCH(COLUMNS($AB$1006:AM1006),$AB$1006:$AQ$1006,0)))),"Fix")))</f>
        <v>0</v>
      </c>
      <c r="N76" s="5">
        <f>IF(OR(INDEX($V$2:$V$1001,MATCH(ROWS($U$2:U76),$U$2:$U$1001,0),1)&gt;=100000,INDEX($AB$1005:$AQ$1005,1,MATCH(COLUMNS($AB$1006:AN1006),$AB$1006:$AQ$1006,0))&gt;=100000), " ",IF(INDEX($AB$2:$AQ$1001,MATCH(ROWS($U$2:U76),$U$2:$U$1001,0),MATCH(COLUMNS($AB$1006:AN1006),$AB$1006:$AQ$1006,0)), HYPERLINK("#",""), HYPERLINK(CONCATENATE("#Metadata!", ADDRESS(INDEX($W$2:$W$1001,MATCH(ROWS($U$2:U76),$U$2:$U$1001,0),0), INDEX($AB$1004:$AQ$1004,1,MATCH(COLUMNS($AB$1006:AN1006),$AB$1006:$AQ$1006,0)))),"Fix")))</f>
        <v>0</v>
      </c>
      <c r="O76" s="5">
        <f>IF(OR(INDEX($V$2:$V$1001,MATCH(ROWS($U$2:U76),$U$2:$U$1001,0),1)&gt;=100000,INDEX($AB$1005:$AQ$1005,1,MATCH(COLUMNS($AB$1006:AO1006),$AB$1006:$AQ$1006,0))&gt;=100000), " ",IF(INDEX($AB$2:$AQ$1001,MATCH(ROWS($U$2:U76),$U$2:$U$1001,0),MATCH(COLUMNS($AB$1006:AO1006),$AB$1006:$AQ$1006,0)), HYPERLINK("#",""), HYPERLINK(CONCATENATE("#Metadata!", ADDRESS(INDEX($W$2:$W$1001,MATCH(ROWS($U$2:U76),$U$2:$U$1001,0),0), INDEX($AB$1004:$AQ$1004,1,MATCH(COLUMNS($AB$1006:AO1006),$AB$1006:$AQ$1006,0)))),"Fix")))</f>
        <v>0</v>
      </c>
      <c r="P76" s="5">
        <f>IF(OR(INDEX($V$2:$V$1001,MATCH(ROWS($U$2:U76),$U$2:$U$1001,0),1)&gt;=100000,INDEX($AB$1005:$AQ$1005,1,MATCH(COLUMNS($AB$1006:AP1006),$AB$1006:$AQ$1006,0))&gt;=100000), " ",IF(INDEX($AB$2:$AQ$1001,MATCH(ROWS($U$2:U76),$U$2:$U$1001,0),MATCH(COLUMNS($AB$1006:AP1006),$AB$1006:$AQ$1006,0)), HYPERLINK("#",""), HYPERLINK(CONCATENATE("#Metadata!", ADDRESS(INDEX($W$2:$W$1001,MATCH(ROWS($U$2:U76),$U$2:$U$1001,0),0), INDEX($AB$1004:$AQ$1004,1,MATCH(COLUMNS($AB$1006:AP1006),$AB$1006:$AQ$1006,0)))),"Fix")))</f>
        <v>0</v>
      </c>
      <c r="Q76" s="5">
        <f>IF(OR(INDEX($V$2:$V$1001,MATCH(ROWS($U$2:U76),$U$2:$U$1001,0),1)&gt;=100000,INDEX($AB$1005:$AQ$1005,1,MATCH(COLUMNS($AB$1006:AQ1006),$AB$1006:$AQ$1006,0))&gt;=100000), " ",IF(INDEX($AB$2:$AQ$1001,MATCH(ROWS($U$2:U76),$U$2:$U$1001,0),MATCH(COLUMNS($AB$1006:AQ1006),$AB$1006:$AQ$1006,0)), HYPERLINK("#",""), HYPERLINK(CONCATENATE("#Metadata!", ADDRESS(INDEX($W$2:$W$1001,MATCH(ROWS($U$2:U76),$U$2:$U$1001,0),0), INDEX($AB$1004:$AQ$1004,1,MATCH(COLUMNS($AB$1006:AQ1006),$AB$1006:$AQ$1006,0)))),"Fix")))</f>
        <v>0</v>
      </c>
      <c r="U76">
        <v>0</v>
      </c>
      <c r="V76">
        <v>0</v>
      </c>
      <c r="W76">
        <v>0</v>
      </c>
      <c r="X76">
        <f>IF(Y76,TRUE,AND(AB76:AQ76))</f>
        <v>0</v>
      </c>
      <c r="Y76">
        <f>COUNTBLANK(Metadata!B76:Q76)=COLUMNS(Metadata!B76:Q76)</f>
        <v>0</v>
      </c>
      <c r="Z76">
        <v>0</v>
      </c>
      <c r="AB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AC76">
        <f>AND(IF(Metadata!C76="",FALSE,TRUE),exact(Metadata!C76,"urban biome"))</f>
        <v>0</v>
      </c>
      <c r="AD76">
        <f>AND(IF(Metadata!D76="",FALSE,TRUE),exact(Metadata!D76,"human-associated habitat"))</f>
        <v>0</v>
      </c>
      <c r="AE76">
        <f>AND(IF(Metadata!E76="",FALSE,TRUE),OR(exact(Metadata!E76,"human-associated"),exact(Metadata!E76,"human-skin"),exact(Metadata!E76,"human-oral"),exact(Metadata!E76,"human-gut"),exact(Metadata!E76,"human-vaginal")))</f>
        <v>0</v>
      </c>
      <c r="AF76">
        <f>AND(IF(Metadata!F76="",FALSE,ISNUMBER(VALUE(Metadata!F76))),Metadata!F76&gt;0)</f>
        <v>0</v>
      </c>
      <c r="AG76">
        <f>AND(IF(Metadata!G76="",FALSE,TRUE),exact(Metadata!G76,"years"))</f>
        <v>0</v>
      </c>
      <c r="AH76">
        <f>OR(AND(IF(Metadata!H76="",FALSE,TRUE),OR(exact(Metadata!H76,"not applicable"),exact(Metadata!H76,"not collected"),exact(Metadata!H76,"not provided"),exact(Metadata!H76,"restricted access"))),AND(IF(Metadata!H76="",FALSE,ISNUMBER(VALUE(Metadata!H76))),Metadata!H76&gt;0))</f>
        <v>0</v>
      </c>
      <c r="AI76">
        <f>AND(IF(Metadata!I76="",FALSE,TRUE),exact(Metadata!I76,"human"))</f>
        <v>0</v>
      </c>
      <c r="AJ76">
        <f>AND(IF(Metadata!J76="",FALSE,ISNUMBER(VALUE(Metadata!J76))),Metadata!J76&gt;0)</f>
        <v>0</v>
      </c>
      <c r="AK76">
        <f>AND(IF(Metadata!K76="",FALSE,TRUE),exact(Metadata!K76,"cm"))</f>
        <v>0</v>
      </c>
      <c r="AL76">
        <f>AND(IF(Metadata!L76="",FALSE,TRUE),exact(Metadata!L76,"Homo sapiens"))</f>
        <v>0</v>
      </c>
      <c r="AM76">
        <f>AND(IF(Metadata!M76="",FALSE,TRUE),exact(Metadata!M76,"9606"))</f>
        <v>0</v>
      </c>
      <c r="AN76">
        <f>AND(IF(Metadata!N76="",FALSE,ISNUMBER(VALUE(Metadata!N76))),Metadata!N76&gt;0)</f>
        <v>0</v>
      </c>
      <c r="AO76">
        <f>AND(IF(Metadata!O76="",FALSE,TRUE),exact(Metadata!O76,"kg"))</f>
        <v>0</v>
      </c>
      <c r="AP76">
        <f>OR(AND(IF(Metadata!P76="",FALSE,TRUE),exact(Metadata!P76,"not provided")),IF(Metadata!P76="",FALSE,TRUE))</f>
        <v>0</v>
      </c>
      <c r="AQ76">
        <f>OR(AND(IF(Metadata!Q76="",FALSE,TRUE),exact(Metadata!Q76,"not provided")),IF(Metadata!Q76="",FALSE,TRUE))</f>
        <v>0</v>
      </c>
    </row>
    <row r="77" spans="1:43">
      <c r="A77" s="4">
        <f>IF(B77=" "," ",HYPERLINK(CONCATENATE("#metadata!",ADDRESS(INDEX($W$2:$W$1001,MATCH(ROWS($U$2:U77),$U$2:$U$1001,0),0),2)),INDEX($Z$2:$Z$1001,MATCH(ROWS($U$2:U77),$U$2:$U$1001,0),0)))</f>
        <v>0</v>
      </c>
      <c r="B77" s="5">
        <f>IF(OR(INDEX($V$2:$V$1001,MATCH(ROWS($U$2:U77),$U$2:$U$1001,0),1)&gt;=100000,INDEX($AB$1005:$AQ$1005,1,MATCH(COLUMNS($AB$1006:AB1006),$AB$1006:$AQ$1006,0))&gt;=100000), " ",IF(INDEX($AB$2:$AQ$1001,MATCH(ROWS($U$2:U77),$U$2:$U$1001,0),MATCH(COLUMNS($AB$1006:AB1006),$AB$1006:$AQ$1006,0)), HYPERLINK("#",""), HYPERLINK(CONCATENATE("#Metadata!", ADDRESS(INDEX($W$2:$W$1001,MATCH(ROWS($U$2:U77),$U$2:$U$1001,0),0), INDEX($AB$1004:$AQ$1004,1,MATCH(COLUMNS($AB$1006:AB1006),$AB$1006:$AQ$1006,0)))),"Fix")))</f>
        <v>0</v>
      </c>
      <c r="C77" s="5">
        <f>IF(OR(INDEX($V$2:$V$1001,MATCH(ROWS($U$2:U77),$U$2:$U$1001,0),1)&gt;=100000,INDEX($AB$1005:$AQ$1005,1,MATCH(COLUMNS($AB$1006:AC1006),$AB$1006:$AQ$1006,0))&gt;=100000), " ",IF(INDEX($AB$2:$AQ$1001,MATCH(ROWS($U$2:U77),$U$2:$U$1001,0),MATCH(COLUMNS($AB$1006:AC1006),$AB$1006:$AQ$1006,0)), HYPERLINK("#",""), HYPERLINK(CONCATENATE("#Metadata!", ADDRESS(INDEX($W$2:$W$1001,MATCH(ROWS($U$2:U77),$U$2:$U$1001,0),0), INDEX($AB$1004:$AQ$1004,1,MATCH(COLUMNS($AB$1006:AC1006),$AB$1006:$AQ$1006,0)))),"Fix")))</f>
        <v>0</v>
      </c>
      <c r="D77" s="5">
        <f>IF(OR(INDEX($V$2:$V$1001,MATCH(ROWS($U$2:U77),$U$2:$U$1001,0),1)&gt;=100000,INDEX($AB$1005:$AQ$1005,1,MATCH(COLUMNS($AB$1006:AD1006),$AB$1006:$AQ$1006,0))&gt;=100000), " ",IF(INDEX($AB$2:$AQ$1001,MATCH(ROWS($U$2:U77),$U$2:$U$1001,0),MATCH(COLUMNS($AB$1006:AD1006),$AB$1006:$AQ$1006,0)), HYPERLINK("#",""), HYPERLINK(CONCATENATE("#Metadata!", ADDRESS(INDEX($W$2:$W$1001,MATCH(ROWS($U$2:U77),$U$2:$U$1001,0),0), INDEX($AB$1004:$AQ$1004,1,MATCH(COLUMNS($AB$1006:AD1006),$AB$1006:$AQ$1006,0)))),"Fix")))</f>
        <v>0</v>
      </c>
      <c r="E77" s="5">
        <f>IF(OR(INDEX($V$2:$V$1001,MATCH(ROWS($U$2:U77),$U$2:$U$1001,0),1)&gt;=100000,INDEX($AB$1005:$AQ$1005,1,MATCH(COLUMNS($AB$1006:AE1006),$AB$1006:$AQ$1006,0))&gt;=100000), " ",IF(INDEX($AB$2:$AQ$1001,MATCH(ROWS($U$2:U77),$U$2:$U$1001,0),MATCH(COLUMNS($AB$1006:AE1006),$AB$1006:$AQ$1006,0)), HYPERLINK("#",""), HYPERLINK(CONCATENATE("#Metadata!", ADDRESS(INDEX($W$2:$W$1001,MATCH(ROWS($U$2:U77),$U$2:$U$1001,0),0), INDEX($AB$1004:$AQ$1004,1,MATCH(COLUMNS($AB$1006:AE1006),$AB$1006:$AQ$1006,0)))),"Fix")))</f>
        <v>0</v>
      </c>
      <c r="F77" s="5">
        <f>IF(OR(INDEX($V$2:$V$1001,MATCH(ROWS($U$2:U77),$U$2:$U$1001,0),1)&gt;=100000,INDEX($AB$1005:$AQ$1005,1,MATCH(COLUMNS($AB$1006:AF1006),$AB$1006:$AQ$1006,0))&gt;=100000), " ",IF(INDEX($AB$2:$AQ$1001,MATCH(ROWS($U$2:U77),$U$2:$U$1001,0),MATCH(COLUMNS($AB$1006:AF1006),$AB$1006:$AQ$1006,0)), HYPERLINK("#",""), HYPERLINK(CONCATENATE("#Metadata!", ADDRESS(INDEX($W$2:$W$1001,MATCH(ROWS($U$2:U77),$U$2:$U$1001,0),0), INDEX($AB$1004:$AQ$1004,1,MATCH(COLUMNS($AB$1006:AF1006),$AB$1006:$AQ$1006,0)))),"Fix")))</f>
        <v>0</v>
      </c>
      <c r="G77" s="5">
        <f>IF(OR(INDEX($V$2:$V$1001,MATCH(ROWS($U$2:U77),$U$2:$U$1001,0),1)&gt;=100000,INDEX($AB$1005:$AQ$1005,1,MATCH(COLUMNS($AB$1006:AG1006),$AB$1006:$AQ$1006,0))&gt;=100000), " ",IF(INDEX($AB$2:$AQ$1001,MATCH(ROWS($U$2:U77),$U$2:$U$1001,0),MATCH(COLUMNS($AB$1006:AG1006),$AB$1006:$AQ$1006,0)), HYPERLINK("#",""), HYPERLINK(CONCATENATE("#Metadata!", ADDRESS(INDEX($W$2:$W$1001,MATCH(ROWS($U$2:U77),$U$2:$U$1001,0),0), INDEX($AB$1004:$AQ$1004,1,MATCH(COLUMNS($AB$1006:AG1006),$AB$1006:$AQ$1006,0)))),"Fix")))</f>
        <v>0</v>
      </c>
      <c r="H77" s="5">
        <f>IF(OR(INDEX($V$2:$V$1001,MATCH(ROWS($U$2:U77),$U$2:$U$1001,0),1)&gt;=100000,INDEX($AB$1005:$AQ$1005,1,MATCH(COLUMNS($AB$1006:AH1006),$AB$1006:$AQ$1006,0))&gt;=100000), " ",IF(INDEX($AB$2:$AQ$1001,MATCH(ROWS($U$2:U77),$U$2:$U$1001,0),MATCH(COLUMNS($AB$1006:AH1006),$AB$1006:$AQ$1006,0)), HYPERLINK("#",""), HYPERLINK(CONCATENATE("#Metadata!", ADDRESS(INDEX($W$2:$W$1001,MATCH(ROWS($U$2:U77),$U$2:$U$1001,0),0), INDEX($AB$1004:$AQ$1004,1,MATCH(COLUMNS($AB$1006:AH1006),$AB$1006:$AQ$1006,0)))),"Fix")))</f>
        <v>0</v>
      </c>
      <c r="I77" s="5">
        <f>IF(OR(INDEX($V$2:$V$1001,MATCH(ROWS($U$2:U77),$U$2:$U$1001,0),1)&gt;=100000,INDEX($AB$1005:$AQ$1005,1,MATCH(COLUMNS($AB$1006:AI1006),$AB$1006:$AQ$1006,0))&gt;=100000), " ",IF(INDEX($AB$2:$AQ$1001,MATCH(ROWS($U$2:U77),$U$2:$U$1001,0),MATCH(COLUMNS($AB$1006:AI1006),$AB$1006:$AQ$1006,0)), HYPERLINK("#",""), HYPERLINK(CONCATENATE("#Metadata!", ADDRESS(INDEX($W$2:$W$1001,MATCH(ROWS($U$2:U77),$U$2:$U$1001,0),0), INDEX($AB$1004:$AQ$1004,1,MATCH(COLUMNS($AB$1006:AI1006),$AB$1006:$AQ$1006,0)))),"Fix")))</f>
        <v>0</v>
      </c>
      <c r="J77" s="5">
        <f>IF(OR(INDEX($V$2:$V$1001,MATCH(ROWS($U$2:U77),$U$2:$U$1001,0),1)&gt;=100000,INDEX($AB$1005:$AQ$1005,1,MATCH(COLUMNS($AB$1006:AJ1006),$AB$1006:$AQ$1006,0))&gt;=100000), " ",IF(INDEX($AB$2:$AQ$1001,MATCH(ROWS($U$2:U77),$U$2:$U$1001,0),MATCH(COLUMNS($AB$1006:AJ1006),$AB$1006:$AQ$1006,0)), HYPERLINK("#",""), HYPERLINK(CONCATENATE("#Metadata!", ADDRESS(INDEX($W$2:$W$1001,MATCH(ROWS($U$2:U77),$U$2:$U$1001,0),0), INDEX($AB$1004:$AQ$1004,1,MATCH(COLUMNS($AB$1006:AJ1006),$AB$1006:$AQ$1006,0)))),"Fix")))</f>
        <v>0</v>
      </c>
      <c r="K77" s="5">
        <f>IF(OR(INDEX($V$2:$V$1001,MATCH(ROWS($U$2:U77),$U$2:$U$1001,0),1)&gt;=100000,INDEX($AB$1005:$AQ$1005,1,MATCH(COLUMNS($AB$1006:AK1006),$AB$1006:$AQ$1006,0))&gt;=100000), " ",IF(INDEX($AB$2:$AQ$1001,MATCH(ROWS($U$2:U77),$U$2:$U$1001,0),MATCH(COLUMNS($AB$1006:AK1006),$AB$1006:$AQ$1006,0)), HYPERLINK("#",""), HYPERLINK(CONCATENATE("#Metadata!", ADDRESS(INDEX($W$2:$W$1001,MATCH(ROWS($U$2:U77),$U$2:$U$1001,0),0), INDEX($AB$1004:$AQ$1004,1,MATCH(COLUMNS($AB$1006:AK1006),$AB$1006:$AQ$1006,0)))),"Fix")))</f>
        <v>0</v>
      </c>
      <c r="L77" s="5">
        <f>IF(OR(INDEX($V$2:$V$1001,MATCH(ROWS($U$2:U77),$U$2:$U$1001,0),1)&gt;=100000,INDEX($AB$1005:$AQ$1005,1,MATCH(COLUMNS($AB$1006:AL1006),$AB$1006:$AQ$1006,0))&gt;=100000), " ",IF(INDEX($AB$2:$AQ$1001,MATCH(ROWS($U$2:U77),$U$2:$U$1001,0),MATCH(COLUMNS($AB$1006:AL1006),$AB$1006:$AQ$1006,0)), HYPERLINK("#",""), HYPERLINK(CONCATENATE("#Metadata!", ADDRESS(INDEX($W$2:$W$1001,MATCH(ROWS($U$2:U77),$U$2:$U$1001,0),0), INDEX($AB$1004:$AQ$1004,1,MATCH(COLUMNS($AB$1006:AL1006),$AB$1006:$AQ$1006,0)))),"Fix")))</f>
        <v>0</v>
      </c>
      <c r="M77" s="5">
        <f>IF(OR(INDEX($V$2:$V$1001,MATCH(ROWS($U$2:U77),$U$2:$U$1001,0),1)&gt;=100000,INDEX($AB$1005:$AQ$1005,1,MATCH(COLUMNS($AB$1006:AM1006),$AB$1006:$AQ$1006,0))&gt;=100000), " ",IF(INDEX($AB$2:$AQ$1001,MATCH(ROWS($U$2:U77),$U$2:$U$1001,0),MATCH(COLUMNS($AB$1006:AM1006),$AB$1006:$AQ$1006,0)), HYPERLINK("#",""), HYPERLINK(CONCATENATE("#Metadata!", ADDRESS(INDEX($W$2:$W$1001,MATCH(ROWS($U$2:U77),$U$2:$U$1001,0),0), INDEX($AB$1004:$AQ$1004,1,MATCH(COLUMNS($AB$1006:AM1006),$AB$1006:$AQ$1006,0)))),"Fix")))</f>
        <v>0</v>
      </c>
      <c r="N77" s="5">
        <f>IF(OR(INDEX($V$2:$V$1001,MATCH(ROWS($U$2:U77),$U$2:$U$1001,0),1)&gt;=100000,INDEX($AB$1005:$AQ$1005,1,MATCH(COLUMNS($AB$1006:AN1006),$AB$1006:$AQ$1006,0))&gt;=100000), " ",IF(INDEX($AB$2:$AQ$1001,MATCH(ROWS($U$2:U77),$U$2:$U$1001,0),MATCH(COLUMNS($AB$1006:AN1006),$AB$1006:$AQ$1006,0)), HYPERLINK("#",""), HYPERLINK(CONCATENATE("#Metadata!", ADDRESS(INDEX($W$2:$W$1001,MATCH(ROWS($U$2:U77),$U$2:$U$1001,0),0), INDEX($AB$1004:$AQ$1004,1,MATCH(COLUMNS($AB$1006:AN1006),$AB$1006:$AQ$1006,0)))),"Fix")))</f>
        <v>0</v>
      </c>
      <c r="O77" s="5">
        <f>IF(OR(INDEX($V$2:$V$1001,MATCH(ROWS($U$2:U77),$U$2:$U$1001,0),1)&gt;=100000,INDEX($AB$1005:$AQ$1005,1,MATCH(COLUMNS($AB$1006:AO1006),$AB$1006:$AQ$1006,0))&gt;=100000), " ",IF(INDEX($AB$2:$AQ$1001,MATCH(ROWS($U$2:U77),$U$2:$U$1001,0),MATCH(COLUMNS($AB$1006:AO1006),$AB$1006:$AQ$1006,0)), HYPERLINK("#",""), HYPERLINK(CONCATENATE("#Metadata!", ADDRESS(INDEX($W$2:$W$1001,MATCH(ROWS($U$2:U77),$U$2:$U$1001,0),0), INDEX($AB$1004:$AQ$1004,1,MATCH(COLUMNS($AB$1006:AO1006),$AB$1006:$AQ$1006,0)))),"Fix")))</f>
        <v>0</v>
      </c>
      <c r="P77" s="5">
        <f>IF(OR(INDEX($V$2:$V$1001,MATCH(ROWS($U$2:U77),$U$2:$U$1001,0),1)&gt;=100000,INDEX($AB$1005:$AQ$1005,1,MATCH(COLUMNS($AB$1006:AP1006),$AB$1006:$AQ$1006,0))&gt;=100000), " ",IF(INDEX($AB$2:$AQ$1001,MATCH(ROWS($U$2:U77),$U$2:$U$1001,0),MATCH(COLUMNS($AB$1006:AP1006),$AB$1006:$AQ$1006,0)), HYPERLINK("#",""), HYPERLINK(CONCATENATE("#Metadata!", ADDRESS(INDEX($W$2:$W$1001,MATCH(ROWS($U$2:U77),$U$2:$U$1001,0),0), INDEX($AB$1004:$AQ$1004,1,MATCH(COLUMNS($AB$1006:AP1006),$AB$1006:$AQ$1006,0)))),"Fix")))</f>
        <v>0</v>
      </c>
      <c r="Q77" s="5">
        <f>IF(OR(INDEX($V$2:$V$1001,MATCH(ROWS($U$2:U77),$U$2:$U$1001,0),1)&gt;=100000,INDEX($AB$1005:$AQ$1005,1,MATCH(COLUMNS($AB$1006:AQ1006),$AB$1006:$AQ$1006,0))&gt;=100000), " ",IF(INDEX($AB$2:$AQ$1001,MATCH(ROWS($U$2:U77),$U$2:$U$1001,0),MATCH(COLUMNS($AB$1006:AQ1006),$AB$1006:$AQ$1006,0)), HYPERLINK("#",""), HYPERLINK(CONCATENATE("#Metadata!", ADDRESS(INDEX($W$2:$W$1001,MATCH(ROWS($U$2:U77),$U$2:$U$1001,0),0), INDEX($AB$1004:$AQ$1004,1,MATCH(COLUMNS($AB$1006:AQ1006),$AB$1006:$AQ$1006,0)))),"Fix")))</f>
        <v>0</v>
      </c>
      <c r="U77">
        <v>0</v>
      </c>
      <c r="V77">
        <v>0</v>
      </c>
      <c r="W77">
        <v>0</v>
      </c>
      <c r="X77">
        <f>IF(Y77,TRUE,AND(AB77:AQ77))</f>
        <v>0</v>
      </c>
      <c r="Y77">
        <f>COUNTBLANK(Metadata!B77:Q77)=COLUMNS(Metadata!B77:Q77)</f>
        <v>0</v>
      </c>
      <c r="Z77">
        <v>0</v>
      </c>
      <c r="AB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AC77">
        <f>AND(IF(Metadata!C77="",FALSE,TRUE),exact(Metadata!C77,"urban biome"))</f>
        <v>0</v>
      </c>
      <c r="AD77">
        <f>AND(IF(Metadata!D77="",FALSE,TRUE),exact(Metadata!D77,"human-associated habitat"))</f>
        <v>0</v>
      </c>
      <c r="AE77">
        <f>AND(IF(Metadata!E77="",FALSE,TRUE),OR(exact(Metadata!E77,"human-associated"),exact(Metadata!E77,"human-skin"),exact(Metadata!E77,"human-oral"),exact(Metadata!E77,"human-gut"),exact(Metadata!E77,"human-vaginal")))</f>
        <v>0</v>
      </c>
      <c r="AF77">
        <f>AND(IF(Metadata!F77="",FALSE,ISNUMBER(VALUE(Metadata!F77))),Metadata!F77&gt;0)</f>
        <v>0</v>
      </c>
      <c r="AG77">
        <f>AND(IF(Metadata!G77="",FALSE,TRUE),exact(Metadata!G77,"years"))</f>
        <v>0</v>
      </c>
      <c r="AH77">
        <f>OR(AND(IF(Metadata!H77="",FALSE,TRUE),OR(exact(Metadata!H77,"not applicable"),exact(Metadata!H77,"not collected"),exact(Metadata!H77,"not provided"),exact(Metadata!H77,"restricted access"))),AND(IF(Metadata!H77="",FALSE,ISNUMBER(VALUE(Metadata!H77))),Metadata!H77&gt;0))</f>
        <v>0</v>
      </c>
      <c r="AI77">
        <f>AND(IF(Metadata!I77="",FALSE,TRUE),exact(Metadata!I77,"human"))</f>
        <v>0</v>
      </c>
      <c r="AJ77">
        <f>AND(IF(Metadata!J77="",FALSE,ISNUMBER(VALUE(Metadata!J77))),Metadata!J77&gt;0)</f>
        <v>0</v>
      </c>
      <c r="AK77">
        <f>AND(IF(Metadata!K77="",FALSE,TRUE),exact(Metadata!K77,"cm"))</f>
        <v>0</v>
      </c>
      <c r="AL77">
        <f>AND(IF(Metadata!L77="",FALSE,TRUE),exact(Metadata!L77,"Homo sapiens"))</f>
        <v>0</v>
      </c>
      <c r="AM77">
        <f>AND(IF(Metadata!M77="",FALSE,TRUE),exact(Metadata!M77,"9606"))</f>
        <v>0</v>
      </c>
      <c r="AN77">
        <f>AND(IF(Metadata!N77="",FALSE,ISNUMBER(VALUE(Metadata!N77))),Metadata!N77&gt;0)</f>
        <v>0</v>
      </c>
      <c r="AO77">
        <f>AND(IF(Metadata!O77="",FALSE,TRUE),exact(Metadata!O77,"kg"))</f>
        <v>0</v>
      </c>
      <c r="AP77">
        <f>OR(AND(IF(Metadata!P77="",FALSE,TRUE),exact(Metadata!P77,"not provided")),IF(Metadata!P77="",FALSE,TRUE))</f>
        <v>0</v>
      </c>
      <c r="AQ77">
        <f>OR(AND(IF(Metadata!Q77="",FALSE,TRUE),exact(Metadata!Q77,"not provided")),IF(Metadata!Q77="",FALSE,TRUE))</f>
        <v>0</v>
      </c>
    </row>
    <row r="78" spans="1:43">
      <c r="A78" s="4">
        <f>IF(B78=" "," ",HYPERLINK(CONCATENATE("#metadata!",ADDRESS(INDEX($W$2:$W$1001,MATCH(ROWS($U$2:U78),$U$2:$U$1001,0),0),2)),INDEX($Z$2:$Z$1001,MATCH(ROWS($U$2:U78),$U$2:$U$1001,0),0)))</f>
        <v>0</v>
      </c>
      <c r="B78" s="5">
        <f>IF(OR(INDEX($V$2:$V$1001,MATCH(ROWS($U$2:U78),$U$2:$U$1001,0),1)&gt;=100000,INDEX($AB$1005:$AQ$1005,1,MATCH(COLUMNS($AB$1006:AB1006),$AB$1006:$AQ$1006,0))&gt;=100000), " ",IF(INDEX($AB$2:$AQ$1001,MATCH(ROWS($U$2:U78),$U$2:$U$1001,0),MATCH(COLUMNS($AB$1006:AB1006),$AB$1006:$AQ$1006,0)), HYPERLINK("#",""), HYPERLINK(CONCATENATE("#Metadata!", ADDRESS(INDEX($W$2:$W$1001,MATCH(ROWS($U$2:U78),$U$2:$U$1001,0),0), INDEX($AB$1004:$AQ$1004,1,MATCH(COLUMNS($AB$1006:AB1006),$AB$1006:$AQ$1006,0)))),"Fix")))</f>
        <v>0</v>
      </c>
      <c r="C78" s="5">
        <f>IF(OR(INDEX($V$2:$V$1001,MATCH(ROWS($U$2:U78),$U$2:$U$1001,0),1)&gt;=100000,INDEX($AB$1005:$AQ$1005,1,MATCH(COLUMNS($AB$1006:AC1006),$AB$1006:$AQ$1006,0))&gt;=100000), " ",IF(INDEX($AB$2:$AQ$1001,MATCH(ROWS($U$2:U78),$U$2:$U$1001,0),MATCH(COLUMNS($AB$1006:AC1006),$AB$1006:$AQ$1006,0)), HYPERLINK("#",""), HYPERLINK(CONCATENATE("#Metadata!", ADDRESS(INDEX($W$2:$W$1001,MATCH(ROWS($U$2:U78),$U$2:$U$1001,0),0), INDEX($AB$1004:$AQ$1004,1,MATCH(COLUMNS($AB$1006:AC1006),$AB$1006:$AQ$1006,0)))),"Fix")))</f>
        <v>0</v>
      </c>
      <c r="D78" s="5">
        <f>IF(OR(INDEX($V$2:$V$1001,MATCH(ROWS($U$2:U78),$U$2:$U$1001,0),1)&gt;=100000,INDEX($AB$1005:$AQ$1005,1,MATCH(COLUMNS($AB$1006:AD1006),$AB$1006:$AQ$1006,0))&gt;=100000), " ",IF(INDEX($AB$2:$AQ$1001,MATCH(ROWS($U$2:U78),$U$2:$U$1001,0),MATCH(COLUMNS($AB$1006:AD1006),$AB$1006:$AQ$1006,0)), HYPERLINK("#",""), HYPERLINK(CONCATENATE("#Metadata!", ADDRESS(INDEX($W$2:$W$1001,MATCH(ROWS($U$2:U78),$U$2:$U$1001,0),0), INDEX($AB$1004:$AQ$1004,1,MATCH(COLUMNS($AB$1006:AD1006),$AB$1006:$AQ$1006,0)))),"Fix")))</f>
        <v>0</v>
      </c>
      <c r="E78" s="5">
        <f>IF(OR(INDEX($V$2:$V$1001,MATCH(ROWS($U$2:U78),$U$2:$U$1001,0),1)&gt;=100000,INDEX($AB$1005:$AQ$1005,1,MATCH(COLUMNS($AB$1006:AE1006),$AB$1006:$AQ$1006,0))&gt;=100000), " ",IF(INDEX($AB$2:$AQ$1001,MATCH(ROWS($U$2:U78),$U$2:$U$1001,0),MATCH(COLUMNS($AB$1006:AE1006),$AB$1006:$AQ$1006,0)), HYPERLINK("#",""), HYPERLINK(CONCATENATE("#Metadata!", ADDRESS(INDEX($W$2:$W$1001,MATCH(ROWS($U$2:U78),$U$2:$U$1001,0),0), INDEX($AB$1004:$AQ$1004,1,MATCH(COLUMNS($AB$1006:AE1006),$AB$1006:$AQ$1006,0)))),"Fix")))</f>
        <v>0</v>
      </c>
      <c r="F78" s="5">
        <f>IF(OR(INDEX($V$2:$V$1001,MATCH(ROWS($U$2:U78),$U$2:$U$1001,0),1)&gt;=100000,INDEX($AB$1005:$AQ$1005,1,MATCH(COLUMNS($AB$1006:AF1006),$AB$1006:$AQ$1006,0))&gt;=100000), " ",IF(INDEX($AB$2:$AQ$1001,MATCH(ROWS($U$2:U78),$U$2:$U$1001,0),MATCH(COLUMNS($AB$1006:AF1006),$AB$1006:$AQ$1006,0)), HYPERLINK("#",""), HYPERLINK(CONCATENATE("#Metadata!", ADDRESS(INDEX($W$2:$W$1001,MATCH(ROWS($U$2:U78),$U$2:$U$1001,0),0), INDEX($AB$1004:$AQ$1004,1,MATCH(COLUMNS($AB$1006:AF1006),$AB$1006:$AQ$1006,0)))),"Fix")))</f>
        <v>0</v>
      </c>
      <c r="G78" s="5">
        <f>IF(OR(INDEX($V$2:$V$1001,MATCH(ROWS($U$2:U78),$U$2:$U$1001,0),1)&gt;=100000,INDEX($AB$1005:$AQ$1005,1,MATCH(COLUMNS($AB$1006:AG1006),$AB$1006:$AQ$1006,0))&gt;=100000), " ",IF(INDEX($AB$2:$AQ$1001,MATCH(ROWS($U$2:U78),$U$2:$U$1001,0),MATCH(COLUMNS($AB$1006:AG1006),$AB$1006:$AQ$1006,0)), HYPERLINK("#",""), HYPERLINK(CONCATENATE("#Metadata!", ADDRESS(INDEX($W$2:$W$1001,MATCH(ROWS($U$2:U78),$U$2:$U$1001,0),0), INDEX($AB$1004:$AQ$1004,1,MATCH(COLUMNS($AB$1006:AG1006),$AB$1006:$AQ$1006,0)))),"Fix")))</f>
        <v>0</v>
      </c>
      <c r="H78" s="5">
        <f>IF(OR(INDEX($V$2:$V$1001,MATCH(ROWS($U$2:U78),$U$2:$U$1001,0),1)&gt;=100000,INDEX($AB$1005:$AQ$1005,1,MATCH(COLUMNS($AB$1006:AH1006),$AB$1006:$AQ$1006,0))&gt;=100000), " ",IF(INDEX($AB$2:$AQ$1001,MATCH(ROWS($U$2:U78),$U$2:$U$1001,0),MATCH(COLUMNS($AB$1006:AH1006),$AB$1006:$AQ$1006,0)), HYPERLINK("#",""), HYPERLINK(CONCATENATE("#Metadata!", ADDRESS(INDEX($W$2:$W$1001,MATCH(ROWS($U$2:U78),$U$2:$U$1001,0),0), INDEX($AB$1004:$AQ$1004,1,MATCH(COLUMNS($AB$1006:AH1006),$AB$1006:$AQ$1006,0)))),"Fix")))</f>
        <v>0</v>
      </c>
      <c r="I78" s="5">
        <f>IF(OR(INDEX($V$2:$V$1001,MATCH(ROWS($U$2:U78),$U$2:$U$1001,0),1)&gt;=100000,INDEX($AB$1005:$AQ$1005,1,MATCH(COLUMNS($AB$1006:AI1006),$AB$1006:$AQ$1006,0))&gt;=100000), " ",IF(INDEX($AB$2:$AQ$1001,MATCH(ROWS($U$2:U78),$U$2:$U$1001,0),MATCH(COLUMNS($AB$1006:AI1006),$AB$1006:$AQ$1006,0)), HYPERLINK("#",""), HYPERLINK(CONCATENATE("#Metadata!", ADDRESS(INDEX($W$2:$W$1001,MATCH(ROWS($U$2:U78),$U$2:$U$1001,0),0), INDEX($AB$1004:$AQ$1004,1,MATCH(COLUMNS($AB$1006:AI1006),$AB$1006:$AQ$1006,0)))),"Fix")))</f>
        <v>0</v>
      </c>
      <c r="J78" s="5">
        <f>IF(OR(INDEX($V$2:$V$1001,MATCH(ROWS($U$2:U78),$U$2:$U$1001,0),1)&gt;=100000,INDEX($AB$1005:$AQ$1005,1,MATCH(COLUMNS($AB$1006:AJ1006),$AB$1006:$AQ$1006,0))&gt;=100000), " ",IF(INDEX($AB$2:$AQ$1001,MATCH(ROWS($U$2:U78),$U$2:$U$1001,0),MATCH(COLUMNS($AB$1006:AJ1006),$AB$1006:$AQ$1006,0)), HYPERLINK("#",""), HYPERLINK(CONCATENATE("#Metadata!", ADDRESS(INDEX($W$2:$W$1001,MATCH(ROWS($U$2:U78),$U$2:$U$1001,0),0), INDEX($AB$1004:$AQ$1004,1,MATCH(COLUMNS($AB$1006:AJ1006),$AB$1006:$AQ$1006,0)))),"Fix")))</f>
        <v>0</v>
      </c>
      <c r="K78" s="5">
        <f>IF(OR(INDEX($V$2:$V$1001,MATCH(ROWS($U$2:U78),$U$2:$U$1001,0),1)&gt;=100000,INDEX($AB$1005:$AQ$1005,1,MATCH(COLUMNS($AB$1006:AK1006),$AB$1006:$AQ$1006,0))&gt;=100000), " ",IF(INDEX($AB$2:$AQ$1001,MATCH(ROWS($U$2:U78),$U$2:$U$1001,0),MATCH(COLUMNS($AB$1006:AK1006),$AB$1006:$AQ$1006,0)), HYPERLINK("#",""), HYPERLINK(CONCATENATE("#Metadata!", ADDRESS(INDEX($W$2:$W$1001,MATCH(ROWS($U$2:U78),$U$2:$U$1001,0),0), INDEX($AB$1004:$AQ$1004,1,MATCH(COLUMNS($AB$1006:AK1006),$AB$1006:$AQ$1006,0)))),"Fix")))</f>
        <v>0</v>
      </c>
      <c r="L78" s="5">
        <f>IF(OR(INDEX($V$2:$V$1001,MATCH(ROWS($U$2:U78),$U$2:$U$1001,0),1)&gt;=100000,INDEX($AB$1005:$AQ$1005,1,MATCH(COLUMNS($AB$1006:AL1006),$AB$1006:$AQ$1006,0))&gt;=100000), " ",IF(INDEX($AB$2:$AQ$1001,MATCH(ROWS($U$2:U78),$U$2:$U$1001,0),MATCH(COLUMNS($AB$1006:AL1006),$AB$1006:$AQ$1006,0)), HYPERLINK("#",""), HYPERLINK(CONCATENATE("#Metadata!", ADDRESS(INDEX($W$2:$W$1001,MATCH(ROWS($U$2:U78),$U$2:$U$1001,0),0), INDEX($AB$1004:$AQ$1004,1,MATCH(COLUMNS($AB$1006:AL1006),$AB$1006:$AQ$1006,0)))),"Fix")))</f>
        <v>0</v>
      </c>
      <c r="M78" s="5">
        <f>IF(OR(INDEX($V$2:$V$1001,MATCH(ROWS($U$2:U78),$U$2:$U$1001,0),1)&gt;=100000,INDEX($AB$1005:$AQ$1005,1,MATCH(COLUMNS($AB$1006:AM1006),$AB$1006:$AQ$1006,0))&gt;=100000), " ",IF(INDEX($AB$2:$AQ$1001,MATCH(ROWS($U$2:U78),$U$2:$U$1001,0),MATCH(COLUMNS($AB$1006:AM1006),$AB$1006:$AQ$1006,0)), HYPERLINK("#",""), HYPERLINK(CONCATENATE("#Metadata!", ADDRESS(INDEX($W$2:$W$1001,MATCH(ROWS($U$2:U78),$U$2:$U$1001,0),0), INDEX($AB$1004:$AQ$1004,1,MATCH(COLUMNS($AB$1006:AM1006),$AB$1006:$AQ$1006,0)))),"Fix")))</f>
        <v>0</v>
      </c>
      <c r="N78" s="5">
        <f>IF(OR(INDEX($V$2:$V$1001,MATCH(ROWS($U$2:U78),$U$2:$U$1001,0),1)&gt;=100000,INDEX($AB$1005:$AQ$1005,1,MATCH(COLUMNS($AB$1006:AN1006),$AB$1006:$AQ$1006,0))&gt;=100000), " ",IF(INDEX($AB$2:$AQ$1001,MATCH(ROWS($U$2:U78),$U$2:$U$1001,0),MATCH(COLUMNS($AB$1006:AN1006),$AB$1006:$AQ$1006,0)), HYPERLINK("#",""), HYPERLINK(CONCATENATE("#Metadata!", ADDRESS(INDEX($W$2:$W$1001,MATCH(ROWS($U$2:U78),$U$2:$U$1001,0),0), INDEX($AB$1004:$AQ$1004,1,MATCH(COLUMNS($AB$1006:AN1006),$AB$1006:$AQ$1006,0)))),"Fix")))</f>
        <v>0</v>
      </c>
      <c r="O78" s="5">
        <f>IF(OR(INDEX($V$2:$V$1001,MATCH(ROWS($U$2:U78),$U$2:$U$1001,0),1)&gt;=100000,INDEX($AB$1005:$AQ$1005,1,MATCH(COLUMNS($AB$1006:AO1006),$AB$1006:$AQ$1006,0))&gt;=100000), " ",IF(INDEX($AB$2:$AQ$1001,MATCH(ROWS($U$2:U78),$U$2:$U$1001,0),MATCH(COLUMNS($AB$1006:AO1006),$AB$1006:$AQ$1006,0)), HYPERLINK("#",""), HYPERLINK(CONCATENATE("#Metadata!", ADDRESS(INDEX($W$2:$W$1001,MATCH(ROWS($U$2:U78),$U$2:$U$1001,0),0), INDEX($AB$1004:$AQ$1004,1,MATCH(COLUMNS($AB$1006:AO1006),$AB$1006:$AQ$1006,0)))),"Fix")))</f>
        <v>0</v>
      </c>
      <c r="P78" s="5">
        <f>IF(OR(INDEX($V$2:$V$1001,MATCH(ROWS($U$2:U78),$U$2:$U$1001,0),1)&gt;=100000,INDEX($AB$1005:$AQ$1005,1,MATCH(COLUMNS($AB$1006:AP1006),$AB$1006:$AQ$1006,0))&gt;=100000), " ",IF(INDEX($AB$2:$AQ$1001,MATCH(ROWS($U$2:U78),$U$2:$U$1001,0),MATCH(COLUMNS($AB$1006:AP1006),$AB$1006:$AQ$1006,0)), HYPERLINK("#",""), HYPERLINK(CONCATENATE("#Metadata!", ADDRESS(INDEX($W$2:$W$1001,MATCH(ROWS($U$2:U78),$U$2:$U$1001,0),0), INDEX($AB$1004:$AQ$1004,1,MATCH(COLUMNS($AB$1006:AP1006),$AB$1006:$AQ$1006,0)))),"Fix")))</f>
        <v>0</v>
      </c>
      <c r="Q78" s="5">
        <f>IF(OR(INDEX($V$2:$V$1001,MATCH(ROWS($U$2:U78),$U$2:$U$1001,0),1)&gt;=100000,INDEX($AB$1005:$AQ$1005,1,MATCH(COLUMNS($AB$1006:AQ1006),$AB$1006:$AQ$1006,0))&gt;=100000), " ",IF(INDEX($AB$2:$AQ$1001,MATCH(ROWS($U$2:U78),$U$2:$U$1001,0),MATCH(COLUMNS($AB$1006:AQ1006),$AB$1006:$AQ$1006,0)), HYPERLINK("#",""), HYPERLINK(CONCATENATE("#Metadata!", ADDRESS(INDEX($W$2:$W$1001,MATCH(ROWS($U$2:U78),$U$2:$U$1001,0),0), INDEX($AB$1004:$AQ$1004,1,MATCH(COLUMNS($AB$1006:AQ1006),$AB$1006:$AQ$1006,0)))),"Fix")))</f>
        <v>0</v>
      </c>
      <c r="U78">
        <v>0</v>
      </c>
      <c r="V78">
        <v>0</v>
      </c>
      <c r="W78">
        <v>0</v>
      </c>
      <c r="X78">
        <f>IF(Y78,TRUE,AND(AB78:AQ78))</f>
        <v>0</v>
      </c>
      <c r="Y78">
        <f>COUNTBLANK(Metadata!B78:Q78)=COLUMNS(Metadata!B78:Q78)</f>
        <v>0</v>
      </c>
      <c r="Z78">
        <v>0</v>
      </c>
      <c r="AB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AC78">
        <f>AND(IF(Metadata!C78="",FALSE,TRUE),exact(Metadata!C78,"urban biome"))</f>
        <v>0</v>
      </c>
      <c r="AD78">
        <f>AND(IF(Metadata!D78="",FALSE,TRUE),exact(Metadata!D78,"human-associated habitat"))</f>
        <v>0</v>
      </c>
      <c r="AE78">
        <f>AND(IF(Metadata!E78="",FALSE,TRUE),OR(exact(Metadata!E78,"human-associated"),exact(Metadata!E78,"human-skin"),exact(Metadata!E78,"human-oral"),exact(Metadata!E78,"human-gut"),exact(Metadata!E78,"human-vaginal")))</f>
        <v>0</v>
      </c>
      <c r="AF78">
        <f>AND(IF(Metadata!F78="",FALSE,ISNUMBER(VALUE(Metadata!F78))),Metadata!F78&gt;0)</f>
        <v>0</v>
      </c>
      <c r="AG78">
        <f>AND(IF(Metadata!G78="",FALSE,TRUE),exact(Metadata!G78,"years"))</f>
        <v>0</v>
      </c>
      <c r="AH78">
        <f>OR(AND(IF(Metadata!H78="",FALSE,TRUE),OR(exact(Metadata!H78,"not applicable"),exact(Metadata!H78,"not collected"),exact(Metadata!H78,"not provided"),exact(Metadata!H78,"restricted access"))),AND(IF(Metadata!H78="",FALSE,ISNUMBER(VALUE(Metadata!H78))),Metadata!H78&gt;0))</f>
        <v>0</v>
      </c>
      <c r="AI78">
        <f>AND(IF(Metadata!I78="",FALSE,TRUE),exact(Metadata!I78,"human"))</f>
        <v>0</v>
      </c>
      <c r="AJ78">
        <f>AND(IF(Metadata!J78="",FALSE,ISNUMBER(VALUE(Metadata!J78))),Metadata!J78&gt;0)</f>
        <v>0</v>
      </c>
      <c r="AK78">
        <f>AND(IF(Metadata!K78="",FALSE,TRUE),exact(Metadata!K78,"cm"))</f>
        <v>0</v>
      </c>
      <c r="AL78">
        <f>AND(IF(Metadata!L78="",FALSE,TRUE),exact(Metadata!L78,"Homo sapiens"))</f>
        <v>0</v>
      </c>
      <c r="AM78">
        <f>AND(IF(Metadata!M78="",FALSE,TRUE),exact(Metadata!M78,"9606"))</f>
        <v>0</v>
      </c>
      <c r="AN78">
        <f>AND(IF(Metadata!N78="",FALSE,ISNUMBER(VALUE(Metadata!N78))),Metadata!N78&gt;0)</f>
        <v>0</v>
      </c>
      <c r="AO78">
        <f>AND(IF(Metadata!O78="",FALSE,TRUE),exact(Metadata!O78,"kg"))</f>
        <v>0</v>
      </c>
      <c r="AP78">
        <f>OR(AND(IF(Metadata!P78="",FALSE,TRUE),exact(Metadata!P78,"not provided")),IF(Metadata!P78="",FALSE,TRUE))</f>
        <v>0</v>
      </c>
      <c r="AQ78">
        <f>OR(AND(IF(Metadata!Q78="",FALSE,TRUE),exact(Metadata!Q78,"not provided")),IF(Metadata!Q78="",FALSE,TRUE))</f>
        <v>0</v>
      </c>
    </row>
    <row r="79" spans="1:43">
      <c r="A79" s="4">
        <f>IF(B79=" "," ",HYPERLINK(CONCATENATE("#metadata!",ADDRESS(INDEX($W$2:$W$1001,MATCH(ROWS($U$2:U79),$U$2:$U$1001,0),0),2)),INDEX($Z$2:$Z$1001,MATCH(ROWS($U$2:U79),$U$2:$U$1001,0),0)))</f>
        <v>0</v>
      </c>
      <c r="B79" s="5">
        <f>IF(OR(INDEX($V$2:$V$1001,MATCH(ROWS($U$2:U79),$U$2:$U$1001,0),1)&gt;=100000,INDEX($AB$1005:$AQ$1005,1,MATCH(COLUMNS($AB$1006:AB1006),$AB$1006:$AQ$1006,0))&gt;=100000), " ",IF(INDEX($AB$2:$AQ$1001,MATCH(ROWS($U$2:U79),$U$2:$U$1001,0),MATCH(COLUMNS($AB$1006:AB1006),$AB$1006:$AQ$1006,0)), HYPERLINK("#",""), HYPERLINK(CONCATENATE("#Metadata!", ADDRESS(INDEX($W$2:$W$1001,MATCH(ROWS($U$2:U79),$U$2:$U$1001,0),0), INDEX($AB$1004:$AQ$1004,1,MATCH(COLUMNS($AB$1006:AB1006),$AB$1006:$AQ$1006,0)))),"Fix")))</f>
        <v>0</v>
      </c>
      <c r="C79" s="5">
        <f>IF(OR(INDEX($V$2:$V$1001,MATCH(ROWS($U$2:U79),$U$2:$U$1001,0),1)&gt;=100000,INDEX($AB$1005:$AQ$1005,1,MATCH(COLUMNS($AB$1006:AC1006),$AB$1006:$AQ$1006,0))&gt;=100000), " ",IF(INDEX($AB$2:$AQ$1001,MATCH(ROWS($U$2:U79),$U$2:$U$1001,0),MATCH(COLUMNS($AB$1006:AC1006),$AB$1006:$AQ$1006,0)), HYPERLINK("#",""), HYPERLINK(CONCATENATE("#Metadata!", ADDRESS(INDEX($W$2:$W$1001,MATCH(ROWS($U$2:U79),$U$2:$U$1001,0),0), INDEX($AB$1004:$AQ$1004,1,MATCH(COLUMNS($AB$1006:AC1006),$AB$1006:$AQ$1006,0)))),"Fix")))</f>
        <v>0</v>
      </c>
      <c r="D79" s="5">
        <f>IF(OR(INDEX($V$2:$V$1001,MATCH(ROWS($U$2:U79),$U$2:$U$1001,0),1)&gt;=100000,INDEX($AB$1005:$AQ$1005,1,MATCH(COLUMNS($AB$1006:AD1006),$AB$1006:$AQ$1006,0))&gt;=100000), " ",IF(INDEX($AB$2:$AQ$1001,MATCH(ROWS($U$2:U79),$U$2:$U$1001,0),MATCH(COLUMNS($AB$1006:AD1006),$AB$1006:$AQ$1006,0)), HYPERLINK("#",""), HYPERLINK(CONCATENATE("#Metadata!", ADDRESS(INDEX($W$2:$W$1001,MATCH(ROWS($U$2:U79),$U$2:$U$1001,0),0), INDEX($AB$1004:$AQ$1004,1,MATCH(COLUMNS($AB$1006:AD1006),$AB$1006:$AQ$1006,0)))),"Fix")))</f>
        <v>0</v>
      </c>
      <c r="E79" s="5">
        <f>IF(OR(INDEX($V$2:$V$1001,MATCH(ROWS($U$2:U79),$U$2:$U$1001,0),1)&gt;=100000,INDEX($AB$1005:$AQ$1005,1,MATCH(COLUMNS($AB$1006:AE1006),$AB$1006:$AQ$1006,0))&gt;=100000), " ",IF(INDEX($AB$2:$AQ$1001,MATCH(ROWS($U$2:U79),$U$2:$U$1001,0),MATCH(COLUMNS($AB$1006:AE1006),$AB$1006:$AQ$1006,0)), HYPERLINK("#",""), HYPERLINK(CONCATENATE("#Metadata!", ADDRESS(INDEX($W$2:$W$1001,MATCH(ROWS($U$2:U79),$U$2:$U$1001,0),0), INDEX($AB$1004:$AQ$1004,1,MATCH(COLUMNS($AB$1006:AE1006),$AB$1006:$AQ$1006,0)))),"Fix")))</f>
        <v>0</v>
      </c>
      <c r="F79" s="5">
        <f>IF(OR(INDEX($V$2:$V$1001,MATCH(ROWS($U$2:U79),$U$2:$U$1001,0),1)&gt;=100000,INDEX($AB$1005:$AQ$1005,1,MATCH(COLUMNS($AB$1006:AF1006),$AB$1006:$AQ$1006,0))&gt;=100000), " ",IF(INDEX($AB$2:$AQ$1001,MATCH(ROWS($U$2:U79),$U$2:$U$1001,0),MATCH(COLUMNS($AB$1006:AF1006),$AB$1006:$AQ$1006,0)), HYPERLINK("#",""), HYPERLINK(CONCATENATE("#Metadata!", ADDRESS(INDEX($W$2:$W$1001,MATCH(ROWS($U$2:U79),$U$2:$U$1001,0),0), INDEX($AB$1004:$AQ$1004,1,MATCH(COLUMNS($AB$1006:AF1006),$AB$1006:$AQ$1006,0)))),"Fix")))</f>
        <v>0</v>
      </c>
      <c r="G79" s="5">
        <f>IF(OR(INDEX($V$2:$V$1001,MATCH(ROWS($U$2:U79),$U$2:$U$1001,0),1)&gt;=100000,INDEX($AB$1005:$AQ$1005,1,MATCH(COLUMNS($AB$1006:AG1006),$AB$1006:$AQ$1006,0))&gt;=100000), " ",IF(INDEX($AB$2:$AQ$1001,MATCH(ROWS($U$2:U79),$U$2:$U$1001,0),MATCH(COLUMNS($AB$1006:AG1006),$AB$1006:$AQ$1006,0)), HYPERLINK("#",""), HYPERLINK(CONCATENATE("#Metadata!", ADDRESS(INDEX($W$2:$W$1001,MATCH(ROWS($U$2:U79),$U$2:$U$1001,0),0), INDEX($AB$1004:$AQ$1004,1,MATCH(COLUMNS($AB$1006:AG1006),$AB$1006:$AQ$1006,0)))),"Fix")))</f>
        <v>0</v>
      </c>
      <c r="H79" s="5">
        <f>IF(OR(INDEX($V$2:$V$1001,MATCH(ROWS($U$2:U79),$U$2:$U$1001,0),1)&gt;=100000,INDEX($AB$1005:$AQ$1005,1,MATCH(COLUMNS($AB$1006:AH1006),$AB$1006:$AQ$1006,0))&gt;=100000), " ",IF(INDEX($AB$2:$AQ$1001,MATCH(ROWS($U$2:U79),$U$2:$U$1001,0),MATCH(COLUMNS($AB$1006:AH1006),$AB$1006:$AQ$1006,0)), HYPERLINK("#",""), HYPERLINK(CONCATENATE("#Metadata!", ADDRESS(INDEX($W$2:$W$1001,MATCH(ROWS($U$2:U79),$U$2:$U$1001,0),0), INDEX($AB$1004:$AQ$1004,1,MATCH(COLUMNS($AB$1006:AH1006),$AB$1006:$AQ$1006,0)))),"Fix")))</f>
        <v>0</v>
      </c>
      <c r="I79" s="5">
        <f>IF(OR(INDEX($V$2:$V$1001,MATCH(ROWS($U$2:U79),$U$2:$U$1001,0),1)&gt;=100000,INDEX($AB$1005:$AQ$1005,1,MATCH(COLUMNS($AB$1006:AI1006),$AB$1006:$AQ$1006,0))&gt;=100000), " ",IF(INDEX($AB$2:$AQ$1001,MATCH(ROWS($U$2:U79),$U$2:$U$1001,0),MATCH(COLUMNS($AB$1006:AI1006),$AB$1006:$AQ$1006,0)), HYPERLINK("#",""), HYPERLINK(CONCATENATE("#Metadata!", ADDRESS(INDEX($W$2:$W$1001,MATCH(ROWS($U$2:U79),$U$2:$U$1001,0),0), INDEX($AB$1004:$AQ$1004,1,MATCH(COLUMNS($AB$1006:AI1006),$AB$1006:$AQ$1006,0)))),"Fix")))</f>
        <v>0</v>
      </c>
      <c r="J79" s="5">
        <f>IF(OR(INDEX($V$2:$V$1001,MATCH(ROWS($U$2:U79),$U$2:$U$1001,0),1)&gt;=100000,INDEX($AB$1005:$AQ$1005,1,MATCH(COLUMNS($AB$1006:AJ1006),$AB$1006:$AQ$1006,0))&gt;=100000), " ",IF(INDEX($AB$2:$AQ$1001,MATCH(ROWS($U$2:U79),$U$2:$U$1001,0),MATCH(COLUMNS($AB$1006:AJ1006),$AB$1006:$AQ$1006,0)), HYPERLINK("#",""), HYPERLINK(CONCATENATE("#Metadata!", ADDRESS(INDEX($W$2:$W$1001,MATCH(ROWS($U$2:U79),$U$2:$U$1001,0),0), INDEX($AB$1004:$AQ$1004,1,MATCH(COLUMNS($AB$1006:AJ1006),$AB$1006:$AQ$1006,0)))),"Fix")))</f>
        <v>0</v>
      </c>
      <c r="K79" s="5">
        <f>IF(OR(INDEX($V$2:$V$1001,MATCH(ROWS($U$2:U79),$U$2:$U$1001,0),1)&gt;=100000,INDEX($AB$1005:$AQ$1005,1,MATCH(COLUMNS($AB$1006:AK1006),$AB$1006:$AQ$1006,0))&gt;=100000), " ",IF(INDEX($AB$2:$AQ$1001,MATCH(ROWS($U$2:U79),$U$2:$U$1001,0),MATCH(COLUMNS($AB$1006:AK1006),$AB$1006:$AQ$1006,0)), HYPERLINK("#",""), HYPERLINK(CONCATENATE("#Metadata!", ADDRESS(INDEX($W$2:$W$1001,MATCH(ROWS($U$2:U79),$U$2:$U$1001,0),0), INDEX($AB$1004:$AQ$1004,1,MATCH(COLUMNS($AB$1006:AK1006),$AB$1006:$AQ$1006,0)))),"Fix")))</f>
        <v>0</v>
      </c>
      <c r="L79" s="5">
        <f>IF(OR(INDEX($V$2:$V$1001,MATCH(ROWS($U$2:U79),$U$2:$U$1001,0),1)&gt;=100000,INDEX($AB$1005:$AQ$1005,1,MATCH(COLUMNS($AB$1006:AL1006),$AB$1006:$AQ$1006,0))&gt;=100000), " ",IF(INDEX($AB$2:$AQ$1001,MATCH(ROWS($U$2:U79),$U$2:$U$1001,0),MATCH(COLUMNS($AB$1006:AL1006),$AB$1006:$AQ$1006,0)), HYPERLINK("#",""), HYPERLINK(CONCATENATE("#Metadata!", ADDRESS(INDEX($W$2:$W$1001,MATCH(ROWS($U$2:U79),$U$2:$U$1001,0),0), INDEX($AB$1004:$AQ$1004,1,MATCH(COLUMNS($AB$1006:AL1006),$AB$1006:$AQ$1006,0)))),"Fix")))</f>
        <v>0</v>
      </c>
      <c r="M79" s="5">
        <f>IF(OR(INDEX($V$2:$V$1001,MATCH(ROWS($U$2:U79),$U$2:$U$1001,0),1)&gt;=100000,INDEX($AB$1005:$AQ$1005,1,MATCH(COLUMNS($AB$1006:AM1006),$AB$1006:$AQ$1006,0))&gt;=100000), " ",IF(INDEX($AB$2:$AQ$1001,MATCH(ROWS($U$2:U79),$U$2:$U$1001,0),MATCH(COLUMNS($AB$1006:AM1006),$AB$1006:$AQ$1006,0)), HYPERLINK("#",""), HYPERLINK(CONCATENATE("#Metadata!", ADDRESS(INDEX($W$2:$W$1001,MATCH(ROWS($U$2:U79),$U$2:$U$1001,0),0), INDEX($AB$1004:$AQ$1004,1,MATCH(COLUMNS($AB$1006:AM1006),$AB$1006:$AQ$1006,0)))),"Fix")))</f>
        <v>0</v>
      </c>
      <c r="N79" s="5">
        <f>IF(OR(INDEX($V$2:$V$1001,MATCH(ROWS($U$2:U79),$U$2:$U$1001,0),1)&gt;=100000,INDEX($AB$1005:$AQ$1005,1,MATCH(COLUMNS($AB$1006:AN1006),$AB$1006:$AQ$1006,0))&gt;=100000), " ",IF(INDEX($AB$2:$AQ$1001,MATCH(ROWS($U$2:U79),$U$2:$U$1001,0),MATCH(COLUMNS($AB$1006:AN1006),$AB$1006:$AQ$1006,0)), HYPERLINK("#",""), HYPERLINK(CONCATENATE("#Metadata!", ADDRESS(INDEX($W$2:$W$1001,MATCH(ROWS($U$2:U79),$U$2:$U$1001,0),0), INDEX($AB$1004:$AQ$1004,1,MATCH(COLUMNS($AB$1006:AN1006),$AB$1006:$AQ$1006,0)))),"Fix")))</f>
        <v>0</v>
      </c>
      <c r="O79" s="5">
        <f>IF(OR(INDEX($V$2:$V$1001,MATCH(ROWS($U$2:U79),$U$2:$U$1001,0),1)&gt;=100000,INDEX($AB$1005:$AQ$1005,1,MATCH(COLUMNS($AB$1006:AO1006),$AB$1006:$AQ$1006,0))&gt;=100000), " ",IF(INDEX($AB$2:$AQ$1001,MATCH(ROWS($U$2:U79),$U$2:$U$1001,0),MATCH(COLUMNS($AB$1006:AO1006),$AB$1006:$AQ$1006,0)), HYPERLINK("#",""), HYPERLINK(CONCATENATE("#Metadata!", ADDRESS(INDEX($W$2:$W$1001,MATCH(ROWS($U$2:U79),$U$2:$U$1001,0),0), INDEX($AB$1004:$AQ$1004,1,MATCH(COLUMNS($AB$1006:AO1006),$AB$1006:$AQ$1006,0)))),"Fix")))</f>
        <v>0</v>
      </c>
      <c r="P79" s="5">
        <f>IF(OR(INDEX($V$2:$V$1001,MATCH(ROWS($U$2:U79),$U$2:$U$1001,0),1)&gt;=100000,INDEX($AB$1005:$AQ$1005,1,MATCH(COLUMNS($AB$1006:AP1006),$AB$1006:$AQ$1006,0))&gt;=100000), " ",IF(INDEX($AB$2:$AQ$1001,MATCH(ROWS($U$2:U79),$U$2:$U$1001,0),MATCH(COLUMNS($AB$1006:AP1006),$AB$1006:$AQ$1006,0)), HYPERLINK("#",""), HYPERLINK(CONCATENATE("#Metadata!", ADDRESS(INDEX($W$2:$W$1001,MATCH(ROWS($U$2:U79),$U$2:$U$1001,0),0), INDEX($AB$1004:$AQ$1004,1,MATCH(COLUMNS($AB$1006:AP1006),$AB$1006:$AQ$1006,0)))),"Fix")))</f>
        <v>0</v>
      </c>
      <c r="Q79" s="5">
        <f>IF(OR(INDEX($V$2:$V$1001,MATCH(ROWS($U$2:U79),$U$2:$U$1001,0),1)&gt;=100000,INDEX($AB$1005:$AQ$1005,1,MATCH(COLUMNS($AB$1006:AQ1006),$AB$1006:$AQ$1006,0))&gt;=100000), " ",IF(INDEX($AB$2:$AQ$1001,MATCH(ROWS($U$2:U79),$U$2:$U$1001,0),MATCH(COLUMNS($AB$1006:AQ1006),$AB$1006:$AQ$1006,0)), HYPERLINK("#",""), HYPERLINK(CONCATENATE("#Metadata!", ADDRESS(INDEX($W$2:$W$1001,MATCH(ROWS($U$2:U79),$U$2:$U$1001,0),0), INDEX($AB$1004:$AQ$1004,1,MATCH(COLUMNS($AB$1006:AQ1006),$AB$1006:$AQ$1006,0)))),"Fix")))</f>
        <v>0</v>
      </c>
      <c r="U79">
        <v>0</v>
      </c>
      <c r="V79">
        <v>0</v>
      </c>
      <c r="W79">
        <v>0</v>
      </c>
      <c r="X79">
        <f>IF(Y79,TRUE,AND(AB79:AQ79))</f>
        <v>0</v>
      </c>
      <c r="Y79">
        <f>COUNTBLANK(Metadata!B79:Q79)=COLUMNS(Metadata!B79:Q79)</f>
        <v>0</v>
      </c>
      <c r="Z79">
        <v>0</v>
      </c>
      <c r="AB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AC79">
        <f>AND(IF(Metadata!C79="",FALSE,TRUE),exact(Metadata!C79,"urban biome"))</f>
        <v>0</v>
      </c>
      <c r="AD79">
        <f>AND(IF(Metadata!D79="",FALSE,TRUE),exact(Metadata!D79,"human-associated habitat"))</f>
        <v>0</v>
      </c>
      <c r="AE79">
        <f>AND(IF(Metadata!E79="",FALSE,TRUE),OR(exact(Metadata!E79,"human-associated"),exact(Metadata!E79,"human-skin"),exact(Metadata!E79,"human-oral"),exact(Metadata!E79,"human-gut"),exact(Metadata!E79,"human-vaginal")))</f>
        <v>0</v>
      </c>
      <c r="AF79">
        <f>AND(IF(Metadata!F79="",FALSE,ISNUMBER(VALUE(Metadata!F79))),Metadata!F79&gt;0)</f>
        <v>0</v>
      </c>
      <c r="AG79">
        <f>AND(IF(Metadata!G79="",FALSE,TRUE),exact(Metadata!G79,"years"))</f>
        <v>0</v>
      </c>
      <c r="AH79">
        <f>OR(AND(IF(Metadata!H79="",FALSE,TRUE),OR(exact(Metadata!H79,"not applicable"),exact(Metadata!H79,"not collected"),exact(Metadata!H79,"not provided"),exact(Metadata!H79,"restricted access"))),AND(IF(Metadata!H79="",FALSE,ISNUMBER(VALUE(Metadata!H79))),Metadata!H79&gt;0))</f>
        <v>0</v>
      </c>
      <c r="AI79">
        <f>AND(IF(Metadata!I79="",FALSE,TRUE),exact(Metadata!I79,"human"))</f>
        <v>0</v>
      </c>
      <c r="AJ79">
        <f>AND(IF(Metadata!J79="",FALSE,ISNUMBER(VALUE(Metadata!J79))),Metadata!J79&gt;0)</f>
        <v>0</v>
      </c>
      <c r="AK79">
        <f>AND(IF(Metadata!K79="",FALSE,TRUE),exact(Metadata!K79,"cm"))</f>
        <v>0</v>
      </c>
      <c r="AL79">
        <f>AND(IF(Metadata!L79="",FALSE,TRUE),exact(Metadata!L79,"Homo sapiens"))</f>
        <v>0</v>
      </c>
      <c r="AM79">
        <f>AND(IF(Metadata!M79="",FALSE,TRUE),exact(Metadata!M79,"9606"))</f>
        <v>0</v>
      </c>
      <c r="AN79">
        <f>AND(IF(Metadata!N79="",FALSE,ISNUMBER(VALUE(Metadata!N79))),Metadata!N79&gt;0)</f>
        <v>0</v>
      </c>
      <c r="AO79">
        <f>AND(IF(Metadata!O79="",FALSE,TRUE),exact(Metadata!O79,"kg"))</f>
        <v>0</v>
      </c>
      <c r="AP79">
        <f>OR(AND(IF(Metadata!P79="",FALSE,TRUE),exact(Metadata!P79,"not provided")),IF(Metadata!P79="",FALSE,TRUE))</f>
        <v>0</v>
      </c>
      <c r="AQ79">
        <f>OR(AND(IF(Metadata!Q79="",FALSE,TRUE),exact(Metadata!Q79,"not provided")),IF(Metadata!Q79="",FALSE,TRUE))</f>
        <v>0</v>
      </c>
    </row>
    <row r="80" spans="1:43">
      <c r="A80" s="4">
        <f>IF(B80=" "," ",HYPERLINK(CONCATENATE("#metadata!",ADDRESS(INDEX($W$2:$W$1001,MATCH(ROWS($U$2:U80),$U$2:$U$1001,0),0),2)),INDEX($Z$2:$Z$1001,MATCH(ROWS($U$2:U80),$U$2:$U$1001,0),0)))</f>
        <v>0</v>
      </c>
      <c r="B80" s="5">
        <f>IF(OR(INDEX($V$2:$V$1001,MATCH(ROWS($U$2:U80),$U$2:$U$1001,0),1)&gt;=100000,INDEX($AB$1005:$AQ$1005,1,MATCH(COLUMNS($AB$1006:AB1006),$AB$1006:$AQ$1006,0))&gt;=100000), " ",IF(INDEX($AB$2:$AQ$1001,MATCH(ROWS($U$2:U80),$U$2:$U$1001,0),MATCH(COLUMNS($AB$1006:AB1006),$AB$1006:$AQ$1006,0)), HYPERLINK("#",""), HYPERLINK(CONCATENATE("#Metadata!", ADDRESS(INDEX($W$2:$W$1001,MATCH(ROWS($U$2:U80),$U$2:$U$1001,0),0), INDEX($AB$1004:$AQ$1004,1,MATCH(COLUMNS($AB$1006:AB1006),$AB$1006:$AQ$1006,0)))),"Fix")))</f>
        <v>0</v>
      </c>
      <c r="C80" s="5">
        <f>IF(OR(INDEX($V$2:$V$1001,MATCH(ROWS($U$2:U80),$U$2:$U$1001,0),1)&gt;=100000,INDEX($AB$1005:$AQ$1005,1,MATCH(COLUMNS($AB$1006:AC1006),$AB$1006:$AQ$1006,0))&gt;=100000), " ",IF(INDEX($AB$2:$AQ$1001,MATCH(ROWS($U$2:U80),$U$2:$U$1001,0),MATCH(COLUMNS($AB$1006:AC1006),$AB$1006:$AQ$1006,0)), HYPERLINK("#",""), HYPERLINK(CONCATENATE("#Metadata!", ADDRESS(INDEX($W$2:$W$1001,MATCH(ROWS($U$2:U80),$U$2:$U$1001,0),0), INDEX($AB$1004:$AQ$1004,1,MATCH(COLUMNS($AB$1006:AC1006),$AB$1006:$AQ$1006,0)))),"Fix")))</f>
        <v>0</v>
      </c>
      <c r="D80" s="5">
        <f>IF(OR(INDEX($V$2:$V$1001,MATCH(ROWS($U$2:U80),$U$2:$U$1001,0),1)&gt;=100000,INDEX($AB$1005:$AQ$1005,1,MATCH(COLUMNS($AB$1006:AD1006),$AB$1006:$AQ$1006,0))&gt;=100000), " ",IF(INDEX($AB$2:$AQ$1001,MATCH(ROWS($U$2:U80),$U$2:$U$1001,0),MATCH(COLUMNS($AB$1006:AD1006),$AB$1006:$AQ$1006,0)), HYPERLINK("#",""), HYPERLINK(CONCATENATE("#Metadata!", ADDRESS(INDEX($W$2:$W$1001,MATCH(ROWS($U$2:U80),$U$2:$U$1001,0),0), INDEX($AB$1004:$AQ$1004,1,MATCH(COLUMNS($AB$1006:AD1006),$AB$1006:$AQ$1006,0)))),"Fix")))</f>
        <v>0</v>
      </c>
      <c r="E80" s="5">
        <f>IF(OR(INDEX($V$2:$V$1001,MATCH(ROWS($U$2:U80),$U$2:$U$1001,0),1)&gt;=100000,INDEX($AB$1005:$AQ$1005,1,MATCH(COLUMNS($AB$1006:AE1006),$AB$1006:$AQ$1006,0))&gt;=100000), " ",IF(INDEX($AB$2:$AQ$1001,MATCH(ROWS($U$2:U80),$U$2:$U$1001,0),MATCH(COLUMNS($AB$1006:AE1006),$AB$1006:$AQ$1006,0)), HYPERLINK("#",""), HYPERLINK(CONCATENATE("#Metadata!", ADDRESS(INDEX($W$2:$W$1001,MATCH(ROWS($U$2:U80),$U$2:$U$1001,0),0), INDEX($AB$1004:$AQ$1004,1,MATCH(COLUMNS($AB$1006:AE1006),$AB$1006:$AQ$1006,0)))),"Fix")))</f>
        <v>0</v>
      </c>
      <c r="F80" s="5">
        <f>IF(OR(INDEX($V$2:$V$1001,MATCH(ROWS($U$2:U80),$U$2:$U$1001,0),1)&gt;=100000,INDEX($AB$1005:$AQ$1005,1,MATCH(COLUMNS($AB$1006:AF1006),$AB$1006:$AQ$1006,0))&gt;=100000), " ",IF(INDEX($AB$2:$AQ$1001,MATCH(ROWS($U$2:U80),$U$2:$U$1001,0),MATCH(COLUMNS($AB$1006:AF1006),$AB$1006:$AQ$1006,0)), HYPERLINK("#",""), HYPERLINK(CONCATENATE("#Metadata!", ADDRESS(INDEX($W$2:$W$1001,MATCH(ROWS($U$2:U80),$U$2:$U$1001,0),0), INDEX($AB$1004:$AQ$1004,1,MATCH(COLUMNS($AB$1006:AF1006),$AB$1006:$AQ$1006,0)))),"Fix")))</f>
        <v>0</v>
      </c>
      <c r="G80" s="5">
        <f>IF(OR(INDEX($V$2:$V$1001,MATCH(ROWS($U$2:U80),$U$2:$U$1001,0),1)&gt;=100000,INDEX($AB$1005:$AQ$1005,1,MATCH(COLUMNS($AB$1006:AG1006),$AB$1006:$AQ$1006,0))&gt;=100000), " ",IF(INDEX($AB$2:$AQ$1001,MATCH(ROWS($U$2:U80),$U$2:$U$1001,0),MATCH(COLUMNS($AB$1006:AG1006),$AB$1006:$AQ$1006,0)), HYPERLINK("#",""), HYPERLINK(CONCATENATE("#Metadata!", ADDRESS(INDEX($W$2:$W$1001,MATCH(ROWS($U$2:U80),$U$2:$U$1001,0),0), INDEX($AB$1004:$AQ$1004,1,MATCH(COLUMNS($AB$1006:AG1006),$AB$1006:$AQ$1006,0)))),"Fix")))</f>
        <v>0</v>
      </c>
      <c r="H80" s="5">
        <f>IF(OR(INDEX($V$2:$V$1001,MATCH(ROWS($U$2:U80),$U$2:$U$1001,0),1)&gt;=100000,INDEX($AB$1005:$AQ$1005,1,MATCH(COLUMNS($AB$1006:AH1006),$AB$1006:$AQ$1006,0))&gt;=100000), " ",IF(INDEX($AB$2:$AQ$1001,MATCH(ROWS($U$2:U80),$U$2:$U$1001,0),MATCH(COLUMNS($AB$1006:AH1006),$AB$1006:$AQ$1006,0)), HYPERLINK("#",""), HYPERLINK(CONCATENATE("#Metadata!", ADDRESS(INDEX($W$2:$W$1001,MATCH(ROWS($U$2:U80),$U$2:$U$1001,0),0), INDEX($AB$1004:$AQ$1004,1,MATCH(COLUMNS($AB$1006:AH1006),$AB$1006:$AQ$1006,0)))),"Fix")))</f>
        <v>0</v>
      </c>
      <c r="I80" s="5">
        <f>IF(OR(INDEX($V$2:$V$1001,MATCH(ROWS($U$2:U80),$U$2:$U$1001,0),1)&gt;=100000,INDEX($AB$1005:$AQ$1005,1,MATCH(COLUMNS($AB$1006:AI1006),$AB$1006:$AQ$1006,0))&gt;=100000), " ",IF(INDEX($AB$2:$AQ$1001,MATCH(ROWS($U$2:U80),$U$2:$U$1001,0),MATCH(COLUMNS($AB$1006:AI1006),$AB$1006:$AQ$1006,0)), HYPERLINK("#",""), HYPERLINK(CONCATENATE("#Metadata!", ADDRESS(INDEX($W$2:$W$1001,MATCH(ROWS($U$2:U80),$U$2:$U$1001,0),0), INDEX($AB$1004:$AQ$1004,1,MATCH(COLUMNS($AB$1006:AI1006),$AB$1006:$AQ$1006,0)))),"Fix")))</f>
        <v>0</v>
      </c>
      <c r="J80" s="5">
        <f>IF(OR(INDEX($V$2:$V$1001,MATCH(ROWS($U$2:U80),$U$2:$U$1001,0),1)&gt;=100000,INDEX($AB$1005:$AQ$1005,1,MATCH(COLUMNS($AB$1006:AJ1006),$AB$1006:$AQ$1006,0))&gt;=100000), " ",IF(INDEX($AB$2:$AQ$1001,MATCH(ROWS($U$2:U80),$U$2:$U$1001,0),MATCH(COLUMNS($AB$1006:AJ1006),$AB$1006:$AQ$1006,0)), HYPERLINK("#",""), HYPERLINK(CONCATENATE("#Metadata!", ADDRESS(INDEX($W$2:$W$1001,MATCH(ROWS($U$2:U80),$U$2:$U$1001,0),0), INDEX($AB$1004:$AQ$1004,1,MATCH(COLUMNS($AB$1006:AJ1006),$AB$1006:$AQ$1006,0)))),"Fix")))</f>
        <v>0</v>
      </c>
      <c r="K80" s="5">
        <f>IF(OR(INDEX($V$2:$V$1001,MATCH(ROWS($U$2:U80),$U$2:$U$1001,0),1)&gt;=100000,INDEX($AB$1005:$AQ$1005,1,MATCH(COLUMNS($AB$1006:AK1006),$AB$1006:$AQ$1006,0))&gt;=100000), " ",IF(INDEX($AB$2:$AQ$1001,MATCH(ROWS($U$2:U80),$U$2:$U$1001,0),MATCH(COLUMNS($AB$1006:AK1006),$AB$1006:$AQ$1006,0)), HYPERLINK("#",""), HYPERLINK(CONCATENATE("#Metadata!", ADDRESS(INDEX($W$2:$W$1001,MATCH(ROWS($U$2:U80),$U$2:$U$1001,0),0), INDEX($AB$1004:$AQ$1004,1,MATCH(COLUMNS($AB$1006:AK1006),$AB$1006:$AQ$1006,0)))),"Fix")))</f>
        <v>0</v>
      </c>
      <c r="L80" s="5">
        <f>IF(OR(INDEX($V$2:$V$1001,MATCH(ROWS($U$2:U80),$U$2:$U$1001,0),1)&gt;=100000,INDEX($AB$1005:$AQ$1005,1,MATCH(COLUMNS($AB$1006:AL1006),$AB$1006:$AQ$1006,0))&gt;=100000), " ",IF(INDEX($AB$2:$AQ$1001,MATCH(ROWS($U$2:U80),$U$2:$U$1001,0),MATCH(COLUMNS($AB$1006:AL1006),$AB$1006:$AQ$1006,0)), HYPERLINK("#",""), HYPERLINK(CONCATENATE("#Metadata!", ADDRESS(INDEX($W$2:$W$1001,MATCH(ROWS($U$2:U80),$U$2:$U$1001,0),0), INDEX($AB$1004:$AQ$1004,1,MATCH(COLUMNS($AB$1006:AL1006),$AB$1006:$AQ$1006,0)))),"Fix")))</f>
        <v>0</v>
      </c>
      <c r="M80" s="5">
        <f>IF(OR(INDEX($V$2:$V$1001,MATCH(ROWS($U$2:U80),$U$2:$U$1001,0),1)&gt;=100000,INDEX($AB$1005:$AQ$1005,1,MATCH(COLUMNS($AB$1006:AM1006),$AB$1006:$AQ$1006,0))&gt;=100000), " ",IF(INDEX($AB$2:$AQ$1001,MATCH(ROWS($U$2:U80),$U$2:$U$1001,0),MATCH(COLUMNS($AB$1006:AM1006),$AB$1006:$AQ$1006,0)), HYPERLINK("#",""), HYPERLINK(CONCATENATE("#Metadata!", ADDRESS(INDEX($W$2:$W$1001,MATCH(ROWS($U$2:U80),$U$2:$U$1001,0),0), INDEX($AB$1004:$AQ$1004,1,MATCH(COLUMNS($AB$1006:AM1006),$AB$1006:$AQ$1006,0)))),"Fix")))</f>
        <v>0</v>
      </c>
      <c r="N80" s="5">
        <f>IF(OR(INDEX($V$2:$V$1001,MATCH(ROWS($U$2:U80),$U$2:$U$1001,0),1)&gt;=100000,INDEX($AB$1005:$AQ$1005,1,MATCH(COLUMNS($AB$1006:AN1006),$AB$1006:$AQ$1006,0))&gt;=100000), " ",IF(INDEX($AB$2:$AQ$1001,MATCH(ROWS($U$2:U80),$U$2:$U$1001,0),MATCH(COLUMNS($AB$1006:AN1006),$AB$1006:$AQ$1006,0)), HYPERLINK("#",""), HYPERLINK(CONCATENATE("#Metadata!", ADDRESS(INDEX($W$2:$W$1001,MATCH(ROWS($U$2:U80),$U$2:$U$1001,0),0), INDEX($AB$1004:$AQ$1004,1,MATCH(COLUMNS($AB$1006:AN1006),$AB$1006:$AQ$1006,0)))),"Fix")))</f>
        <v>0</v>
      </c>
      <c r="O80" s="5">
        <f>IF(OR(INDEX($V$2:$V$1001,MATCH(ROWS($U$2:U80),$U$2:$U$1001,0),1)&gt;=100000,INDEX($AB$1005:$AQ$1005,1,MATCH(COLUMNS($AB$1006:AO1006),$AB$1006:$AQ$1006,0))&gt;=100000), " ",IF(INDEX($AB$2:$AQ$1001,MATCH(ROWS($U$2:U80),$U$2:$U$1001,0),MATCH(COLUMNS($AB$1006:AO1006),$AB$1006:$AQ$1006,0)), HYPERLINK("#",""), HYPERLINK(CONCATENATE("#Metadata!", ADDRESS(INDEX($W$2:$W$1001,MATCH(ROWS($U$2:U80),$U$2:$U$1001,0),0), INDEX($AB$1004:$AQ$1004,1,MATCH(COLUMNS($AB$1006:AO1006),$AB$1006:$AQ$1006,0)))),"Fix")))</f>
        <v>0</v>
      </c>
      <c r="P80" s="5">
        <f>IF(OR(INDEX($V$2:$V$1001,MATCH(ROWS($U$2:U80),$U$2:$U$1001,0),1)&gt;=100000,INDEX($AB$1005:$AQ$1005,1,MATCH(COLUMNS($AB$1006:AP1006),$AB$1006:$AQ$1006,0))&gt;=100000), " ",IF(INDEX($AB$2:$AQ$1001,MATCH(ROWS($U$2:U80),$U$2:$U$1001,0),MATCH(COLUMNS($AB$1006:AP1006),$AB$1006:$AQ$1006,0)), HYPERLINK("#",""), HYPERLINK(CONCATENATE("#Metadata!", ADDRESS(INDEX($W$2:$W$1001,MATCH(ROWS($U$2:U80),$U$2:$U$1001,0),0), INDEX($AB$1004:$AQ$1004,1,MATCH(COLUMNS($AB$1006:AP1006),$AB$1006:$AQ$1006,0)))),"Fix")))</f>
        <v>0</v>
      </c>
      <c r="Q80" s="5">
        <f>IF(OR(INDEX($V$2:$V$1001,MATCH(ROWS($U$2:U80),$U$2:$U$1001,0),1)&gt;=100000,INDEX($AB$1005:$AQ$1005,1,MATCH(COLUMNS($AB$1006:AQ1006),$AB$1006:$AQ$1006,0))&gt;=100000), " ",IF(INDEX($AB$2:$AQ$1001,MATCH(ROWS($U$2:U80),$U$2:$U$1001,0),MATCH(COLUMNS($AB$1006:AQ1006),$AB$1006:$AQ$1006,0)), HYPERLINK("#",""), HYPERLINK(CONCATENATE("#Metadata!", ADDRESS(INDEX($W$2:$W$1001,MATCH(ROWS($U$2:U80),$U$2:$U$1001,0),0), INDEX($AB$1004:$AQ$1004,1,MATCH(COLUMNS($AB$1006:AQ1006),$AB$1006:$AQ$1006,0)))),"Fix")))</f>
        <v>0</v>
      </c>
      <c r="U80">
        <v>0</v>
      </c>
      <c r="V80">
        <v>0</v>
      </c>
      <c r="W80">
        <v>0</v>
      </c>
      <c r="X80">
        <f>IF(Y80,TRUE,AND(AB80:AQ80))</f>
        <v>0</v>
      </c>
      <c r="Y80">
        <f>COUNTBLANK(Metadata!B80:Q80)=COLUMNS(Metadata!B80:Q80)</f>
        <v>0</v>
      </c>
      <c r="Z80">
        <v>0</v>
      </c>
      <c r="AB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AC80">
        <f>AND(IF(Metadata!C80="",FALSE,TRUE),exact(Metadata!C80,"urban biome"))</f>
        <v>0</v>
      </c>
      <c r="AD80">
        <f>AND(IF(Metadata!D80="",FALSE,TRUE),exact(Metadata!D80,"human-associated habitat"))</f>
        <v>0</v>
      </c>
      <c r="AE80">
        <f>AND(IF(Metadata!E80="",FALSE,TRUE),OR(exact(Metadata!E80,"human-associated"),exact(Metadata!E80,"human-skin"),exact(Metadata!E80,"human-oral"),exact(Metadata!E80,"human-gut"),exact(Metadata!E80,"human-vaginal")))</f>
        <v>0</v>
      </c>
      <c r="AF80">
        <f>AND(IF(Metadata!F80="",FALSE,ISNUMBER(VALUE(Metadata!F80))),Metadata!F80&gt;0)</f>
        <v>0</v>
      </c>
      <c r="AG80">
        <f>AND(IF(Metadata!G80="",FALSE,TRUE),exact(Metadata!G80,"years"))</f>
        <v>0</v>
      </c>
      <c r="AH80">
        <f>OR(AND(IF(Metadata!H80="",FALSE,TRUE),OR(exact(Metadata!H80,"not applicable"),exact(Metadata!H80,"not collected"),exact(Metadata!H80,"not provided"),exact(Metadata!H80,"restricted access"))),AND(IF(Metadata!H80="",FALSE,ISNUMBER(VALUE(Metadata!H80))),Metadata!H80&gt;0))</f>
        <v>0</v>
      </c>
      <c r="AI80">
        <f>AND(IF(Metadata!I80="",FALSE,TRUE),exact(Metadata!I80,"human"))</f>
        <v>0</v>
      </c>
      <c r="AJ80">
        <f>AND(IF(Metadata!J80="",FALSE,ISNUMBER(VALUE(Metadata!J80))),Metadata!J80&gt;0)</f>
        <v>0</v>
      </c>
      <c r="AK80">
        <f>AND(IF(Metadata!K80="",FALSE,TRUE),exact(Metadata!K80,"cm"))</f>
        <v>0</v>
      </c>
      <c r="AL80">
        <f>AND(IF(Metadata!L80="",FALSE,TRUE),exact(Metadata!L80,"Homo sapiens"))</f>
        <v>0</v>
      </c>
      <c r="AM80">
        <f>AND(IF(Metadata!M80="",FALSE,TRUE),exact(Metadata!M80,"9606"))</f>
        <v>0</v>
      </c>
      <c r="AN80">
        <f>AND(IF(Metadata!N80="",FALSE,ISNUMBER(VALUE(Metadata!N80))),Metadata!N80&gt;0)</f>
        <v>0</v>
      </c>
      <c r="AO80">
        <f>AND(IF(Metadata!O80="",FALSE,TRUE),exact(Metadata!O80,"kg"))</f>
        <v>0</v>
      </c>
      <c r="AP80">
        <f>OR(AND(IF(Metadata!P80="",FALSE,TRUE),exact(Metadata!P80,"not provided")),IF(Metadata!P80="",FALSE,TRUE))</f>
        <v>0</v>
      </c>
      <c r="AQ80">
        <f>OR(AND(IF(Metadata!Q80="",FALSE,TRUE),exact(Metadata!Q80,"not provided")),IF(Metadata!Q80="",FALSE,TRUE))</f>
        <v>0</v>
      </c>
    </row>
    <row r="81" spans="1:43">
      <c r="A81" s="4">
        <f>IF(B81=" "," ",HYPERLINK(CONCATENATE("#metadata!",ADDRESS(INDEX($W$2:$W$1001,MATCH(ROWS($U$2:U81),$U$2:$U$1001,0),0),2)),INDEX($Z$2:$Z$1001,MATCH(ROWS($U$2:U81),$U$2:$U$1001,0),0)))</f>
        <v>0</v>
      </c>
      <c r="B81" s="5">
        <f>IF(OR(INDEX($V$2:$V$1001,MATCH(ROWS($U$2:U81),$U$2:$U$1001,0),1)&gt;=100000,INDEX($AB$1005:$AQ$1005,1,MATCH(COLUMNS($AB$1006:AB1006),$AB$1006:$AQ$1006,0))&gt;=100000), " ",IF(INDEX($AB$2:$AQ$1001,MATCH(ROWS($U$2:U81),$U$2:$U$1001,0),MATCH(COLUMNS($AB$1006:AB1006),$AB$1006:$AQ$1006,0)), HYPERLINK("#",""), HYPERLINK(CONCATENATE("#Metadata!", ADDRESS(INDEX($W$2:$W$1001,MATCH(ROWS($U$2:U81),$U$2:$U$1001,0),0), INDEX($AB$1004:$AQ$1004,1,MATCH(COLUMNS($AB$1006:AB1006),$AB$1006:$AQ$1006,0)))),"Fix")))</f>
        <v>0</v>
      </c>
      <c r="C81" s="5">
        <f>IF(OR(INDEX($V$2:$V$1001,MATCH(ROWS($U$2:U81),$U$2:$U$1001,0),1)&gt;=100000,INDEX($AB$1005:$AQ$1005,1,MATCH(COLUMNS($AB$1006:AC1006),$AB$1006:$AQ$1006,0))&gt;=100000), " ",IF(INDEX($AB$2:$AQ$1001,MATCH(ROWS($U$2:U81),$U$2:$U$1001,0),MATCH(COLUMNS($AB$1006:AC1006),$AB$1006:$AQ$1006,0)), HYPERLINK("#",""), HYPERLINK(CONCATENATE("#Metadata!", ADDRESS(INDEX($W$2:$W$1001,MATCH(ROWS($U$2:U81),$U$2:$U$1001,0),0), INDEX($AB$1004:$AQ$1004,1,MATCH(COLUMNS($AB$1006:AC1006),$AB$1006:$AQ$1006,0)))),"Fix")))</f>
        <v>0</v>
      </c>
      <c r="D81" s="5">
        <f>IF(OR(INDEX($V$2:$V$1001,MATCH(ROWS($U$2:U81),$U$2:$U$1001,0),1)&gt;=100000,INDEX($AB$1005:$AQ$1005,1,MATCH(COLUMNS($AB$1006:AD1006),$AB$1006:$AQ$1006,0))&gt;=100000), " ",IF(INDEX($AB$2:$AQ$1001,MATCH(ROWS($U$2:U81),$U$2:$U$1001,0),MATCH(COLUMNS($AB$1006:AD1006),$AB$1006:$AQ$1006,0)), HYPERLINK("#",""), HYPERLINK(CONCATENATE("#Metadata!", ADDRESS(INDEX($W$2:$W$1001,MATCH(ROWS($U$2:U81),$U$2:$U$1001,0),0), INDEX($AB$1004:$AQ$1004,1,MATCH(COLUMNS($AB$1006:AD1006),$AB$1006:$AQ$1006,0)))),"Fix")))</f>
        <v>0</v>
      </c>
      <c r="E81" s="5">
        <f>IF(OR(INDEX($V$2:$V$1001,MATCH(ROWS($U$2:U81),$U$2:$U$1001,0),1)&gt;=100000,INDEX($AB$1005:$AQ$1005,1,MATCH(COLUMNS($AB$1006:AE1006),$AB$1006:$AQ$1006,0))&gt;=100000), " ",IF(INDEX($AB$2:$AQ$1001,MATCH(ROWS($U$2:U81),$U$2:$U$1001,0),MATCH(COLUMNS($AB$1006:AE1006),$AB$1006:$AQ$1006,0)), HYPERLINK("#",""), HYPERLINK(CONCATENATE("#Metadata!", ADDRESS(INDEX($W$2:$W$1001,MATCH(ROWS($U$2:U81),$U$2:$U$1001,0),0), INDEX($AB$1004:$AQ$1004,1,MATCH(COLUMNS($AB$1006:AE1006),$AB$1006:$AQ$1006,0)))),"Fix")))</f>
        <v>0</v>
      </c>
      <c r="F81" s="5">
        <f>IF(OR(INDEX($V$2:$V$1001,MATCH(ROWS($U$2:U81),$U$2:$U$1001,0),1)&gt;=100000,INDEX($AB$1005:$AQ$1005,1,MATCH(COLUMNS($AB$1006:AF1006),$AB$1006:$AQ$1006,0))&gt;=100000), " ",IF(INDEX($AB$2:$AQ$1001,MATCH(ROWS($U$2:U81),$U$2:$U$1001,0),MATCH(COLUMNS($AB$1006:AF1006),$AB$1006:$AQ$1006,0)), HYPERLINK("#",""), HYPERLINK(CONCATENATE("#Metadata!", ADDRESS(INDEX($W$2:$W$1001,MATCH(ROWS($U$2:U81),$U$2:$U$1001,0),0), INDEX($AB$1004:$AQ$1004,1,MATCH(COLUMNS($AB$1006:AF1006),$AB$1006:$AQ$1006,0)))),"Fix")))</f>
        <v>0</v>
      </c>
      <c r="G81" s="5">
        <f>IF(OR(INDEX($V$2:$V$1001,MATCH(ROWS($U$2:U81),$U$2:$U$1001,0),1)&gt;=100000,INDEX($AB$1005:$AQ$1005,1,MATCH(COLUMNS($AB$1006:AG1006),$AB$1006:$AQ$1006,0))&gt;=100000), " ",IF(INDEX($AB$2:$AQ$1001,MATCH(ROWS($U$2:U81),$U$2:$U$1001,0),MATCH(COLUMNS($AB$1006:AG1006),$AB$1006:$AQ$1006,0)), HYPERLINK("#",""), HYPERLINK(CONCATENATE("#Metadata!", ADDRESS(INDEX($W$2:$W$1001,MATCH(ROWS($U$2:U81),$U$2:$U$1001,0),0), INDEX($AB$1004:$AQ$1004,1,MATCH(COLUMNS($AB$1006:AG1006),$AB$1006:$AQ$1006,0)))),"Fix")))</f>
        <v>0</v>
      </c>
      <c r="H81" s="5">
        <f>IF(OR(INDEX($V$2:$V$1001,MATCH(ROWS($U$2:U81),$U$2:$U$1001,0),1)&gt;=100000,INDEX($AB$1005:$AQ$1005,1,MATCH(COLUMNS($AB$1006:AH1006),$AB$1006:$AQ$1006,0))&gt;=100000), " ",IF(INDEX($AB$2:$AQ$1001,MATCH(ROWS($U$2:U81),$U$2:$U$1001,0),MATCH(COLUMNS($AB$1006:AH1006),$AB$1006:$AQ$1006,0)), HYPERLINK("#",""), HYPERLINK(CONCATENATE("#Metadata!", ADDRESS(INDEX($W$2:$W$1001,MATCH(ROWS($U$2:U81),$U$2:$U$1001,0),0), INDEX($AB$1004:$AQ$1004,1,MATCH(COLUMNS($AB$1006:AH1006),$AB$1006:$AQ$1006,0)))),"Fix")))</f>
        <v>0</v>
      </c>
      <c r="I81" s="5">
        <f>IF(OR(INDEX($V$2:$V$1001,MATCH(ROWS($U$2:U81),$U$2:$U$1001,0),1)&gt;=100000,INDEX($AB$1005:$AQ$1005,1,MATCH(COLUMNS($AB$1006:AI1006),$AB$1006:$AQ$1006,0))&gt;=100000), " ",IF(INDEX($AB$2:$AQ$1001,MATCH(ROWS($U$2:U81),$U$2:$U$1001,0),MATCH(COLUMNS($AB$1006:AI1006),$AB$1006:$AQ$1006,0)), HYPERLINK("#",""), HYPERLINK(CONCATENATE("#Metadata!", ADDRESS(INDEX($W$2:$W$1001,MATCH(ROWS($U$2:U81),$U$2:$U$1001,0),0), INDEX($AB$1004:$AQ$1004,1,MATCH(COLUMNS($AB$1006:AI1006),$AB$1006:$AQ$1006,0)))),"Fix")))</f>
        <v>0</v>
      </c>
      <c r="J81" s="5">
        <f>IF(OR(INDEX($V$2:$V$1001,MATCH(ROWS($U$2:U81),$U$2:$U$1001,0),1)&gt;=100000,INDEX($AB$1005:$AQ$1005,1,MATCH(COLUMNS($AB$1006:AJ1006),$AB$1006:$AQ$1006,0))&gt;=100000), " ",IF(INDEX($AB$2:$AQ$1001,MATCH(ROWS($U$2:U81),$U$2:$U$1001,0),MATCH(COLUMNS($AB$1006:AJ1006),$AB$1006:$AQ$1006,0)), HYPERLINK("#",""), HYPERLINK(CONCATENATE("#Metadata!", ADDRESS(INDEX($W$2:$W$1001,MATCH(ROWS($U$2:U81),$U$2:$U$1001,0),0), INDEX($AB$1004:$AQ$1004,1,MATCH(COLUMNS($AB$1006:AJ1006),$AB$1006:$AQ$1006,0)))),"Fix")))</f>
        <v>0</v>
      </c>
      <c r="K81" s="5">
        <f>IF(OR(INDEX($V$2:$V$1001,MATCH(ROWS($U$2:U81),$U$2:$U$1001,0),1)&gt;=100000,INDEX($AB$1005:$AQ$1005,1,MATCH(COLUMNS($AB$1006:AK1006),$AB$1006:$AQ$1006,0))&gt;=100000), " ",IF(INDEX($AB$2:$AQ$1001,MATCH(ROWS($U$2:U81),$U$2:$U$1001,0),MATCH(COLUMNS($AB$1006:AK1006),$AB$1006:$AQ$1006,0)), HYPERLINK("#",""), HYPERLINK(CONCATENATE("#Metadata!", ADDRESS(INDEX($W$2:$W$1001,MATCH(ROWS($U$2:U81),$U$2:$U$1001,0),0), INDEX($AB$1004:$AQ$1004,1,MATCH(COLUMNS($AB$1006:AK1006),$AB$1006:$AQ$1006,0)))),"Fix")))</f>
        <v>0</v>
      </c>
      <c r="L81" s="5">
        <f>IF(OR(INDEX($V$2:$V$1001,MATCH(ROWS($U$2:U81),$U$2:$U$1001,0),1)&gt;=100000,INDEX($AB$1005:$AQ$1005,1,MATCH(COLUMNS($AB$1006:AL1006),$AB$1006:$AQ$1006,0))&gt;=100000), " ",IF(INDEX($AB$2:$AQ$1001,MATCH(ROWS($U$2:U81),$U$2:$U$1001,0),MATCH(COLUMNS($AB$1006:AL1006),$AB$1006:$AQ$1006,0)), HYPERLINK("#",""), HYPERLINK(CONCATENATE("#Metadata!", ADDRESS(INDEX($W$2:$W$1001,MATCH(ROWS($U$2:U81),$U$2:$U$1001,0),0), INDEX($AB$1004:$AQ$1004,1,MATCH(COLUMNS($AB$1006:AL1006),$AB$1006:$AQ$1006,0)))),"Fix")))</f>
        <v>0</v>
      </c>
      <c r="M81" s="5">
        <f>IF(OR(INDEX($V$2:$V$1001,MATCH(ROWS($U$2:U81),$U$2:$U$1001,0),1)&gt;=100000,INDEX($AB$1005:$AQ$1005,1,MATCH(COLUMNS($AB$1006:AM1006),$AB$1006:$AQ$1006,0))&gt;=100000), " ",IF(INDEX($AB$2:$AQ$1001,MATCH(ROWS($U$2:U81),$U$2:$U$1001,0),MATCH(COLUMNS($AB$1006:AM1006),$AB$1006:$AQ$1006,0)), HYPERLINK("#",""), HYPERLINK(CONCATENATE("#Metadata!", ADDRESS(INDEX($W$2:$W$1001,MATCH(ROWS($U$2:U81),$U$2:$U$1001,0),0), INDEX($AB$1004:$AQ$1004,1,MATCH(COLUMNS($AB$1006:AM1006),$AB$1006:$AQ$1006,0)))),"Fix")))</f>
        <v>0</v>
      </c>
      <c r="N81" s="5">
        <f>IF(OR(INDEX($V$2:$V$1001,MATCH(ROWS($U$2:U81),$U$2:$U$1001,0),1)&gt;=100000,INDEX($AB$1005:$AQ$1005,1,MATCH(COLUMNS($AB$1006:AN1006),$AB$1006:$AQ$1006,0))&gt;=100000), " ",IF(INDEX($AB$2:$AQ$1001,MATCH(ROWS($U$2:U81),$U$2:$U$1001,0),MATCH(COLUMNS($AB$1006:AN1006),$AB$1006:$AQ$1006,0)), HYPERLINK("#",""), HYPERLINK(CONCATENATE("#Metadata!", ADDRESS(INDEX($W$2:$W$1001,MATCH(ROWS($U$2:U81),$U$2:$U$1001,0),0), INDEX($AB$1004:$AQ$1004,1,MATCH(COLUMNS($AB$1006:AN1006),$AB$1006:$AQ$1006,0)))),"Fix")))</f>
        <v>0</v>
      </c>
      <c r="O81" s="5">
        <f>IF(OR(INDEX($V$2:$V$1001,MATCH(ROWS($U$2:U81),$U$2:$U$1001,0),1)&gt;=100000,INDEX($AB$1005:$AQ$1005,1,MATCH(COLUMNS($AB$1006:AO1006),$AB$1006:$AQ$1006,0))&gt;=100000), " ",IF(INDEX($AB$2:$AQ$1001,MATCH(ROWS($U$2:U81),$U$2:$U$1001,0),MATCH(COLUMNS($AB$1006:AO1006),$AB$1006:$AQ$1006,0)), HYPERLINK("#",""), HYPERLINK(CONCATENATE("#Metadata!", ADDRESS(INDEX($W$2:$W$1001,MATCH(ROWS($U$2:U81),$U$2:$U$1001,0),0), INDEX($AB$1004:$AQ$1004,1,MATCH(COLUMNS($AB$1006:AO1006),$AB$1006:$AQ$1006,0)))),"Fix")))</f>
        <v>0</v>
      </c>
      <c r="P81" s="5">
        <f>IF(OR(INDEX($V$2:$V$1001,MATCH(ROWS($U$2:U81),$U$2:$U$1001,0),1)&gt;=100000,INDEX($AB$1005:$AQ$1005,1,MATCH(COLUMNS($AB$1006:AP1006),$AB$1006:$AQ$1006,0))&gt;=100000), " ",IF(INDEX($AB$2:$AQ$1001,MATCH(ROWS($U$2:U81),$U$2:$U$1001,0),MATCH(COLUMNS($AB$1006:AP1006),$AB$1006:$AQ$1006,0)), HYPERLINK("#",""), HYPERLINK(CONCATENATE("#Metadata!", ADDRESS(INDEX($W$2:$W$1001,MATCH(ROWS($U$2:U81),$U$2:$U$1001,0),0), INDEX($AB$1004:$AQ$1004,1,MATCH(COLUMNS($AB$1006:AP1006),$AB$1006:$AQ$1006,0)))),"Fix")))</f>
        <v>0</v>
      </c>
      <c r="Q81" s="5">
        <f>IF(OR(INDEX($V$2:$V$1001,MATCH(ROWS($U$2:U81),$U$2:$U$1001,0),1)&gt;=100000,INDEX($AB$1005:$AQ$1005,1,MATCH(COLUMNS($AB$1006:AQ1006),$AB$1006:$AQ$1006,0))&gt;=100000), " ",IF(INDEX($AB$2:$AQ$1001,MATCH(ROWS($U$2:U81),$U$2:$U$1001,0),MATCH(COLUMNS($AB$1006:AQ1006),$AB$1006:$AQ$1006,0)), HYPERLINK("#",""), HYPERLINK(CONCATENATE("#Metadata!", ADDRESS(INDEX($W$2:$W$1001,MATCH(ROWS($U$2:U81),$U$2:$U$1001,0),0), INDEX($AB$1004:$AQ$1004,1,MATCH(COLUMNS($AB$1006:AQ1006),$AB$1006:$AQ$1006,0)))),"Fix")))</f>
        <v>0</v>
      </c>
      <c r="U81">
        <v>0</v>
      </c>
      <c r="V81">
        <v>0</v>
      </c>
      <c r="W81">
        <v>0</v>
      </c>
      <c r="X81">
        <f>IF(Y81,TRUE,AND(AB81:AQ81))</f>
        <v>0</v>
      </c>
      <c r="Y81">
        <f>COUNTBLANK(Metadata!B81:Q81)=COLUMNS(Metadata!B81:Q81)</f>
        <v>0</v>
      </c>
      <c r="Z81">
        <v>0</v>
      </c>
      <c r="AB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AC81">
        <f>AND(IF(Metadata!C81="",FALSE,TRUE),exact(Metadata!C81,"urban biome"))</f>
        <v>0</v>
      </c>
      <c r="AD81">
        <f>AND(IF(Metadata!D81="",FALSE,TRUE),exact(Metadata!D81,"human-associated habitat"))</f>
        <v>0</v>
      </c>
      <c r="AE81">
        <f>AND(IF(Metadata!E81="",FALSE,TRUE),OR(exact(Metadata!E81,"human-associated"),exact(Metadata!E81,"human-skin"),exact(Metadata!E81,"human-oral"),exact(Metadata!E81,"human-gut"),exact(Metadata!E81,"human-vaginal")))</f>
        <v>0</v>
      </c>
      <c r="AF81">
        <f>AND(IF(Metadata!F81="",FALSE,ISNUMBER(VALUE(Metadata!F81))),Metadata!F81&gt;0)</f>
        <v>0</v>
      </c>
      <c r="AG81">
        <f>AND(IF(Metadata!G81="",FALSE,TRUE),exact(Metadata!G81,"years"))</f>
        <v>0</v>
      </c>
      <c r="AH81">
        <f>OR(AND(IF(Metadata!H81="",FALSE,TRUE),OR(exact(Metadata!H81,"not applicable"),exact(Metadata!H81,"not collected"),exact(Metadata!H81,"not provided"),exact(Metadata!H81,"restricted access"))),AND(IF(Metadata!H81="",FALSE,ISNUMBER(VALUE(Metadata!H81))),Metadata!H81&gt;0))</f>
        <v>0</v>
      </c>
      <c r="AI81">
        <f>AND(IF(Metadata!I81="",FALSE,TRUE),exact(Metadata!I81,"human"))</f>
        <v>0</v>
      </c>
      <c r="AJ81">
        <f>AND(IF(Metadata!J81="",FALSE,ISNUMBER(VALUE(Metadata!J81))),Metadata!J81&gt;0)</f>
        <v>0</v>
      </c>
      <c r="AK81">
        <f>AND(IF(Metadata!K81="",FALSE,TRUE),exact(Metadata!K81,"cm"))</f>
        <v>0</v>
      </c>
      <c r="AL81">
        <f>AND(IF(Metadata!L81="",FALSE,TRUE),exact(Metadata!L81,"Homo sapiens"))</f>
        <v>0</v>
      </c>
      <c r="AM81">
        <f>AND(IF(Metadata!M81="",FALSE,TRUE),exact(Metadata!M81,"9606"))</f>
        <v>0</v>
      </c>
      <c r="AN81">
        <f>AND(IF(Metadata!N81="",FALSE,ISNUMBER(VALUE(Metadata!N81))),Metadata!N81&gt;0)</f>
        <v>0</v>
      </c>
      <c r="AO81">
        <f>AND(IF(Metadata!O81="",FALSE,TRUE),exact(Metadata!O81,"kg"))</f>
        <v>0</v>
      </c>
      <c r="AP81">
        <f>OR(AND(IF(Metadata!P81="",FALSE,TRUE),exact(Metadata!P81,"not provided")),IF(Metadata!P81="",FALSE,TRUE))</f>
        <v>0</v>
      </c>
      <c r="AQ81">
        <f>OR(AND(IF(Metadata!Q81="",FALSE,TRUE),exact(Metadata!Q81,"not provided")),IF(Metadata!Q81="",FALSE,TRUE))</f>
        <v>0</v>
      </c>
    </row>
    <row r="82" spans="1:43">
      <c r="A82" s="4">
        <f>IF(B82=" "," ",HYPERLINK(CONCATENATE("#metadata!",ADDRESS(INDEX($W$2:$W$1001,MATCH(ROWS($U$2:U82),$U$2:$U$1001,0),0),2)),INDEX($Z$2:$Z$1001,MATCH(ROWS($U$2:U82),$U$2:$U$1001,0),0)))</f>
        <v>0</v>
      </c>
      <c r="B82" s="5">
        <f>IF(OR(INDEX($V$2:$V$1001,MATCH(ROWS($U$2:U82),$U$2:$U$1001,0),1)&gt;=100000,INDEX($AB$1005:$AQ$1005,1,MATCH(COLUMNS($AB$1006:AB1006),$AB$1006:$AQ$1006,0))&gt;=100000), " ",IF(INDEX($AB$2:$AQ$1001,MATCH(ROWS($U$2:U82),$U$2:$U$1001,0),MATCH(COLUMNS($AB$1006:AB1006),$AB$1006:$AQ$1006,0)), HYPERLINK("#",""), HYPERLINK(CONCATENATE("#Metadata!", ADDRESS(INDEX($W$2:$W$1001,MATCH(ROWS($U$2:U82),$U$2:$U$1001,0),0), INDEX($AB$1004:$AQ$1004,1,MATCH(COLUMNS($AB$1006:AB1006),$AB$1006:$AQ$1006,0)))),"Fix")))</f>
        <v>0</v>
      </c>
      <c r="C82" s="5">
        <f>IF(OR(INDEX($V$2:$V$1001,MATCH(ROWS($U$2:U82),$U$2:$U$1001,0),1)&gt;=100000,INDEX($AB$1005:$AQ$1005,1,MATCH(COLUMNS($AB$1006:AC1006),$AB$1006:$AQ$1006,0))&gt;=100000), " ",IF(INDEX($AB$2:$AQ$1001,MATCH(ROWS($U$2:U82),$U$2:$U$1001,0),MATCH(COLUMNS($AB$1006:AC1006),$AB$1006:$AQ$1006,0)), HYPERLINK("#",""), HYPERLINK(CONCATENATE("#Metadata!", ADDRESS(INDEX($W$2:$W$1001,MATCH(ROWS($U$2:U82),$U$2:$U$1001,0),0), INDEX($AB$1004:$AQ$1004,1,MATCH(COLUMNS($AB$1006:AC1006),$AB$1006:$AQ$1006,0)))),"Fix")))</f>
        <v>0</v>
      </c>
      <c r="D82" s="5">
        <f>IF(OR(INDEX($V$2:$V$1001,MATCH(ROWS($U$2:U82),$U$2:$U$1001,0),1)&gt;=100000,INDEX($AB$1005:$AQ$1005,1,MATCH(COLUMNS($AB$1006:AD1006),$AB$1006:$AQ$1006,0))&gt;=100000), " ",IF(INDEX($AB$2:$AQ$1001,MATCH(ROWS($U$2:U82),$U$2:$U$1001,0),MATCH(COLUMNS($AB$1006:AD1006),$AB$1006:$AQ$1006,0)), HYPERLINK("#",""), HYPERLINK(CONCATENATE("#Metadata!", ADDRESS(INDEX($W$2:$W$1001,MATCH(ROWS($U$2:U82),$U$2:$U$1001,0),0), INDEX($AB$1004:$AQ$1004,1,MATCH(COLUMNS($AB$1006:AD1006),$AB$1006:$AQ$1006,0)))),"Fix")))</f>
        <v>0</v>
      </c>
      <c r="E82" s="5">
        <f>IF(OR(INDEX($V$2:$V$1001,MATCH(ROWS($U$2:U82),$U$2:$U$1001,0),1)&gt;=100000,INDEX($AB$1005:$AQ$1005,1,MATCH(COLUMNS($AB$1006:AE1006),$AB$1006:$AQ$1006,0))&gt;=100000), " ",IF(INDEX($AB$2:$AQ$1001,MATCH(ROWS($U$2:U82),$U$2:$U$1001,0),MATCH(COLUMNS($AB$1006:AE1006),$AB$1006:$AQ$1006,0)), HYPERLINK("#",""), HYPERLINK(CONCATENATE("#Metadata!", ADDRESS(INDEX($W$2:$W$1001,MATCH(ROWS($U$2:U82),$U$2:$U$1001,0),0), INDEX($AB$1004:$AQ$1004,1,MATCH(COLUMNS($AB$1006:AE1006),$AB$1006:$AQ$1006,0)))),"Fix")))</f>
        <v>0</v>
      </c>
      <c r="F82" s="5">
        <f>IF(OR(INDEX($V$2:$V$1001,MATCH(ROWS($U$2:U82),$U$2:$U$1001,0),1)&gt;=100000,INDEX($AB$1005:$AQ$1005,1,MATCH(COLUMNS($AB$1006:AF1006),$AB$1006:$AQ$1006,0))&gt;=100000), " ",IF(INDEX($AB$2:$AQ$1001,MATCH(ROWS($U$2:U82),$U$2:$U$1001,0),MATCH(COLUMNS($AB$1006:AF1006),$AB$1006:$AQ$1006,0)), HYPERLINK("#",""), HYPERLINK(CONCATENATE("#Metadata!", ADDRESS(INDEX($W$2:$W$1001,MATCH(ROWS($U$2:U82),$U$2:$U$1001,0),0), INDEX($AB$1004:$AQ$1004,1,MATCH(COLUMNS($AB$1006:AF1006),$AB$1006:$AQ$1006,0)))),"Fix")))</f>
        <v>0</v>
      </c>
      <c r="G82" s="5">
        <f>IF(OR(INDEX($V$2:$V$1001,MATCH(ROWS($U$2:U82),$U$2:$U$1001,0),1)&gt;=100000,INDEX($AB$1005:$AQ$1005,1,MATCH(COLUMNS($AB$1006:AG1006),$AB$1006:$AQ$1006,0))&gt;=100000), " ",IF(INDEX($AB$2:$AQ$1001,MATCH(ROWS($U$2:U82),$U$2:$U$1001,0),MATCH(COLUMNS($AB$1006:AG1006),$AB$1006:$AQ$1006,0)), HYPERLINK("#",""), HYPERLINK(CONCATENATE("#Metadata!", ADDRESS(INDEX($W$2:$W$1001,MATCH(ROWS($U$2:U82),$U$2:$U$1001,0),0), INDEX($AB$1004:$AQ$1004,1,MATCH(COLUMNS($AB$1006:AG1006),$AB$1006:$AQ$1006,0)))),"Fix")))</f>
        <v>0</v>
      </c>
      <c r="H82" s="5">
        <f>IF(OR(INDEX($V$2:$V$1001,MATCH(ROWS($U$2:U82),$U$2:$U$1001,0),1)&gt;=100000,INDEX($AB$1005:$AQ$1005,1,MATCH(COLUMNS($AB$1006:AH1006),$AB$1006:$AQ$1006,0))&gt;=100000), " ",IF(INDEX($AB$2:$AQ$1001,MATCH(ROWS($U$2:U82),$U$2:$U$1001,0),MATCH(COLUMNS($AB$1006:AH1006),$AB$1006:$AQ$1006,0)), HYPERLINK("#",""), HYPERLINK(CONCATENATE("#Metadata!", ADDRESS(INDEX($W$2:$W$1001,MATCH(ROWS($U$2:U82),$U$2:$U$1001,0),0), INDEX($AB$1004:$AQ$1004,1,MATCH(COLUMNS($AB$1006:AH1006),$AB$1006:$AQ$1006,0)))),"Fix")))</f>
        <v>0</v>
      </c>
      <c r="I82" s="5">
        <f>IF(OR(INDEX($V$2:$V$1001,MATCH(ROWS($U$2:U82),$U$2:$U$1001,0),1)&gt;=100000,INDEX($AB$1005:$AQ$1005,1,MATCH(COLUMNS($AB$1006:AI1006),$AB$1006:$AQ$1006,0))&gt;=100000), " ",IF(INDEX($AB$2:$AQ$1001,MATCH(ROWS($U$2:U82),$U$2:$U$1001,0),MATCH(COLUMNS($AB$1006:AI1006),$AB$1006:$AQ$1006,0)), HYPERLINK("#",""), HYPERLINK(CONCATENATE("#Metadata!", ADDRESS(INDEX($W$2:$W$1001,MATCH(ROWS($U$2:U82),$U$2:$U$1001,0),0), INDEX($AB$1004:$AQ$1004,1,MATCH(COLUMNS($AB$1006:AI1006),$AB$1006:$AQ$1006,0)))),"Fix")))</f>
        <v>0</v>
      </c>
      <c r="J82" s="5">
        <f>IF(OR(INDEX($V$2:$V$1001,MATCH(ROWS($U$2:U82),$U$2:$U$1001,0),1)&gt;=100000,INDEX($AB$1005:$AQ$1005,1,MATCH(COLUMNS($AB$1006:AJ1006),$AB$1006:$AQ$1006,0))&gt;=100000), " ",IF(INDEX($AB$2:$AQ$1001,MATCH(ROWS($U$2:U82),$U$2:$U$1001,0),MATCH(COLUMNS($AB$1006:AJ1006),$AB$1006:$AQ$1006,0)), HYPERLINK("#",""), HYPERLINK(CONCATENATE("#Metadata!", ADDRESS(INDEX($W$2:$W$1001,MATCH(ROWS($U$2:U82),$U$2:$U$1001,0),0), INDEX($AB$1004:$AQ$1004,1,MATCH(COLUMNS($AB$1006:AJ1006),$AB$1006:$AQ$1006,0)))),"Fix")))</f>
        <v>0</v>
      </c>
      <c r="K82" s="5">
        <f>IF(OR(INDEX($V$2:$V$1001,MATCH(ROWS($U$2:U82),$U$2:$U$1001,0),1)&gt;=100000,INDEX($AB$1005:$AQ$1005,1,MATCH(COLUMNS($AB$1006:AK1006),$AB$1006:$AQ$1006,0))&gt;=100000), " ",IF(INDEX($AB$2:$AQ$1001,MATCH(ROWS($U$2:U82),$U$2:$U$1001,0),MATCH(COLUMNS($AB$1006:AK1006),$AB$1006:$AQ$1006,0)), HYPERLINK("#",""), HYPERLINK(CONCATENATE("#Metadata!", ADDRESS(INDEX($W$2:$W$1001,MATCH(ROWS($U$2:U82),$U$2:$U$1001,0),0), INDEX($AB$1004:$AQ$1004,1,MATCH(COLUMNS($AB$1006:AK1006),$AB$1006:$AQ$1006,0)))),"Fix")))</f>
        <v>0</v>
      </c>
      <c r="L82" s="5">
        <f>IF(OR(INDEX($V$2:$V$1001,MATCH(ROWS($U$2:U82),$U$2:$U$1001,0),1)&gt;=100000,INDEX($AB$1005:$AQ$1005,1,MATCH(COLUMNS($AB$1006:AL1006),$AB$1006:$AQ$1006,0))&gt;=100000), " ",IF(INDEX($AB$2:$AQ$1001,MATCH(ROWS($U$2:U82),$U$2:$U$1001,0),MATCH(COLUMNS($AB$1006:AL1006),$AB$1006:$AQ$1006,0)), HYPERLINK("#",""), HYPERLINK(CONCATENATE("#Metadata!", ADDRESS(INDEX($W$2:$W$1001,MATCH(ROWS($U$2:U82),$U$2:$U$1001,0),0), INDEX($AB$1004:$AQ$1004,1,MATCH(COLUMNS($AB$1006:AL1006),$AB$1006:$AQ$1006,0)))),"Fix")))</f>
        <v>0</v>
      </c>
      <c r="M82" s="5">
        <f>IF(OR(INDEX($V$2:$V$1001,MATCH(ROWS($U$2:U82),$U$2:$U$1001,0),1)&gt;=100000,INDEX($AB$1005:$AQ$1005,1,MATCH(COLUMNS($AB$1006:AM1006),$AB$1006:$AQ$1006,0))&gt;=100000), " ",IF(INDEX($AB$2:$AQ$1001,MATCH(ROWS($U$2:U82),$U$2:$U$1001,0),MATCH(COLUMNS($AB$1006:AM1006),$AB$1006:$AQ$1006,0)), HYPERLINK("#",""), HYPERLINK(CONCATENATE("#Metadata!", ADDRESS(INDEX($W$2:$W$1001,MATCH(ROWS($U$2:U82),$U$2:$U$1001,0),0), INDEX($AB$1004:$AQ$1004,1,MATCH(COLUMNS($AB$1006:AM1006),$AB$1006:$AQ$1006,0)))),"Fix")))</f>
        <v>0</v>
      </c>
      <c r="N82" s="5">
        <f>IF(OR(INDEX($V$2:$V$1001,MATCH(ROWS($U$2:U82),$U$2:$U$1001,0),1)&gt;=100000,INDEX($AB$1005:$AQ$1005,1,MATCH(COLUMNS($AB$1006:AN1006),$AB$1006:$AQ$1006,0))&gt;=100000), " ",IF(INDEX($AB$2:$AQ$1001,MATCH(ROWS($U$2:U82),$U$2:$U$1001,0),MATCH(COLUMNS($AB$1006:AN1006),$AB$1006:$AQ$1006,0)), HYPERLINK("#",""), HYPERLINK(CONCATENATE("#Metadata!", ADDRESS(INDEX($W$2:$W$1001,MATCH(ROWS($U$2:U82),$U$2:$U$1001,0),0), INDEX($AB$1004:$AQ$1004,1,MATCH(COLUMNS($AB$1006:AN1006),$AB$1006:$AQ$1006,0)))),"Fix")))</f>
        <v>0</v>
      </c>
      <c r="O82" s="5">
        <f>IF(OR(INDEX($V$2:$V$1001,MATCH(ROWS($U$2:U82),$U$2:$U$1001,0),1)&gt;=100000,INDEX($AB$1005:$AQ$1005,1,MATCH(COLUMNS($AB$1006:AO1006),$AB$1006:$AQ$1006,0))&gt;=100000), " ",IF(INDEX($AB$2:$AQ$1001,MATCH(ROWS($U$2:U82),$U$2:$U$1001,0),MATCH(COLUMNS($AB$1006:AO1006),$AB$1006:$AQ$1006,0)), HYPERLINK("#",""), HYPERLINK(CONCATENATE("#Metadata!", ADDRESS(INDEX($W$2:$W$1001,MATCH(ROWS($U$2:U82),$U$2:$U$1001,0),0), INDEX($AB$1004:$AQ$1004,1,MATCH(COLUMNS($AB$1006:AO1006),$AB$1006:$AQ$1006,0)))),"Fix")))</f>
        <v>0</v>
      </c>
      <c r="P82" s="5">
        <f>IF(OR(INDEX($V$2:$V$1001,MATCH(ROWS($U$2:U82),$U$2:$U$1001,0),1)&gt;=100000,INDEX($AB$1005:$AQ$1005,1,MATCH(COLUMNS($AB$1006:AP1006),$AB$1006:$AQ$1006,0))&gt;=100000), " ",IF(INDEX($AB$2:$AQ$1001,MATCH(ROWS($U$2:U82),$U$2:$U$1001,0),MATCH(COLUMNS($AB$1006:AP1006),$AB$1006:$AQ$1006,0)), HYPERLINK("#",""), HYPERLINK(CONCATENATE("#Metadata!", ADDRESS(INDEX($W$2:$W$1001,MATCH(ROWS($U$2:U82),$U$2:$U$1001,0),0), INDEX($AB$1004:$AQ$1004,1,MATCH(COLUMNS($AB$1006:AP1006),$AB$1006:$AQ$1006,0)))),"Fix")))</f>
        <v>0</v>
      </c>
      <c r="Q82" s="5">
        <f>IF(OR(INDEX($V$2:$V$1001,MATCH(ROWS($U$2:U82),$U$2:$U$1001,0),1)&gt;=100000,INDEX($AB$1005:$AQ$1005,1,MATCH(COLUMNS($AB$1006:AQ1006),$AB$1006:$AQ$1006,0))&gt;=100000), " ",IF(INDEX($AB$2:$AQ$1001,MATCH(ROWS($U$2:U82),$U$2:$U$1001,0),MATCH(COLUMNS($AB$1006:AQ1006),$AB$1006:$AQ$1006,0)), HYPERLINK("#",""), HYPERLINK(CONCATENATE("#Metadata!", ADDRESS(INDEX($W$2:$W$1001,MATCH(ROWS($U$2:U82),$U$2:$U$1001,0),0), INDEX($AB$1004:$AQ$1004,1,MATCH(COLUMNS($AB$1006:AQ1006),$AB$1006:$AQ$1006,0)))),"Fix")))</f>
        <v>0</v>
      </c>
      <c r="U82">
        <v>0</v>
      </c>
      <c r="V82">
        <v>0</v>
      </c>
      <c r="W82">
        <v>0</v>
      </c>
      <c r="X82">
        <f>IF(Y82,TRUE,AND(AB82:AQ82))</f>
        <v>0</v>
      </c>
      <c r="Y82">
        <f>COUNTBLANK(Metadata!B82:Q82)=COLUMNS(Metadata!B82:Q82)</f>
        <v>0</v>
      </c>
      <c r="Z82">
        <v>0</v>
      </c>
      <c r="AB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AC82">
        <f>AND(IF(Metadata!C82="",FALSE,TRUE),exact(Metadata!C82,"urban biome"))</f>
        <v>0</v>
      </c>
      <c r="AD82">
        <f>AND(IF(Metadata!D82="",FALSE,TRUE),exact(Metadata!D82,"human-associated habitat"))</f>
        <v>0</v>
      </c>
      <c r="AE82">
        <f>AND(IF(Metadata!E82="",FALSE,TRUE),OR(exact(Metadata!E82,"human-associated"),exact(Metadata!E82,"human-skin"),exact(Metadata!E82,"human-oral"),exact(Metadata!E82,"human-gut"),exact(Metadata!E82,"human-vaginal")))</f>
        <v>0</v>
      </c>
      <c r="AF82">
        <f>AND(IF(Metadata!F82="",FALSE,ISNUMBER(VALUE(Metadata!F82))),Metadata!F82&gt;0)</f>
        <v>0</v>
      </c>
      <c r="AG82">
        <f>AND(IF(Metadata!G82="",FALSE,TRUE),exact(Metadata!G82,"years"))</f>
        <v>0</v>
      </c>
      <c r="AH82">
        <f>OR(AND(IF(Metadata!H82="",FALSE,TRUE),OR(exact(Metadata!H82,"not applicable"),exact(Metadata!H82,"not collected"),exact(Metadata!H82,"not provided"),exact(Metadata!H82,"restricted access"))),AND(IF(Metadata!H82="",FALSE,ISNUMBER(VALUE(Metadata!H82))),Metadata!H82&gt;0))</f>
        <v>0</v>
      </c>
      <c r="AI82">
        <f>AND(IF(Metadata!I82="",FALSE,TRUE),exact(Metadata!I82,"human"))</f>
        <v>0</v>
      </c>
      <c r="AJ82">
        <f>AND(IF(Metadata!J82="",FALSE,ISNUMBER(VALUE(Metadata!J82))),Metadata!J82&gt;0)</f>
        <v>0</v>
      </c>
      <c r="AK82">
        <f>AND(IF(Metadata!K82="",FALSE,TRUE),exact(Metadata!K82,"cm"))</f>
        <v>0</v>
      </c>
      <c r="AL82">
        <f>AND(IF(Metadata!L82="",FALSE,TRUE),exact(Metadata!L82,"Homo sapiens"))</f>
        <v>0</v>
      </c>
      <c r="AM82">
        <f>AND(IF(Metadata!M82="",FALSE,TRUE),exact(Metadata!M82,"9606"))</f>
        <v>0</v>
      </c>
      <c r="AN82">
        <f>AND(IF(Metadata!N82="",FALSE,ISNUMBER(VALUE(Metadata!N82))),Metadata!N82&gt;0)</f>
        <v>0</v>
      </c>
      <c r="AO82">
        <f>AND(IF(Metadata!O82="",FALSE,TRUE),exact(Metadata!O82,"kg"))</f>
        <v>0</v>
      </c>
      <c r="AP82">
        <f>OR(AND(IF(Metadata!P82="",FALSE,TRUE),exact(Metadata!P82,"not provided")),IF(Metadata!P82="",FALSE,TRUE))</f>
        <v>0</v>
      </c>
      <c r="AQ82">
        <f>OR(AND(IF(Metadata!Q82="",FALSE,TRUE),exact(Metadata!Q82,"not provided")),IF(Metadata!Q82="",FALSE,TRUE))</f>
        <v>0</v>
      </c>
    </row>
    <row r="83" spans="1:43">
      <c r="A83" s="4">
        <f>IF(B83=" "," ",HYPERLINK(CONCATENATE("#metadata!",ADDRESS(INDEX($W$2:$W$1001,MATCH(ROWS($U$2:U83),$U$2:$U$1001,0),0),2)),INDEX($Z$2:$Z$1001,MATCH(ROWS($U$2:U83),$U$2:$U$1001,0),0)))</f>
        <v>0</v>
      </c>
      <c r="B83" s="5">
        <f>IF(OR(INDEX($V$2:$V$1001,MATCH(ROWS($U$2:U83),$U$2:$U$1001,0),1)&gt;=100000,INDEX($AB$1005:$AQ$1005,1,MATCH(COLUMNS($AB$1006:AB1006),$AB$1006:$AQ$1006,0))&gt;=100000), " ",IF(INDEX($AB$2:$AQ$1001,MATCH(ROWS($U$2:U83),$U$2:$U$1001,0),MATCH(COLUMNS($AB$1006:AB1006),$AB$1006:$AQ$1006,0)), HYPERLINK("#",""), HYPERLINK(CONCATENATE("#Metadata!", ADDRESS(INDEX($W$2:$W$1001,MATCH(ROWS($U$2:U83),$U$2:$U$1001,0),0), INDEX($AB$1004:$AQ$1004,1,MATCH(COLUMNS($AB$1006:AB1006),$AB$1006:$AQ$1006,0)))),"Fix")))</f>
        <v>0</v>
      </c>
      <c r="C83" s="5">
        <f>IF(OR(INDEX($V$2:$V$1001,MATCH(ROWS($U$2:U83),$U$2:$U$1001,0),1)&gt;=100000,INDEX($AB$1005:$AQ$1005,1,MATCH(COLUMNS($AB$1006:AC1006),$AB$1006:$AQ$1006,0))&gt;=100000), " ",IF(INDEX($AB$2:$AQ$1001,MATCH(ROWS($U$2:U83),$U$2:$U$1001,0),MATCH(COLUMNS($AB$1006:AC1006),$AB$1006:$AQ$1006,0)), HYPERLINK("#",""), HYPERLINK(CONCATENATE("#Metadata!", ADDRESS(INDEX($W$2:$W$1001,MATCH(ROWS($U$2:U83),$U$2:$U$1001,0),0), INDEX($AB$1004:$AQ$1004,1,MATCH(COLUMNS($AB$1006:AC1006),$AB$1006:$AQ$1006,0)))),"Fix")))</f>
        <v>0</v>
      </c>
      <c r="D83" s="5">
        <f>IF(OR(INDEX($V$2:$V$1001,MATCH(ROWS($U$2:U83),$U$2:$U$1001,0),1)&gt;=100000,INDEX($AB$1005:$AQ$1005,1,MATCH(COLUMNS($AB$1006:AD1006),$AB$1006:$AQ$1006,0))&gt;=100000), " ",IF(INDEX($AB$2:$AQ$1001,MATCH(ROWS($U$2:U83),$U$2:$U$1001,0),MATCH(COLUMNS($AB$1006:AD1006),$AB$1006:$AQ$1006,0)), HYPERLINK("#",""), HYPERLINK(CONCATENATE("#Metadata!", ADDRESS(INDEX($W$2:$W$1001,MATCH(ROWS($U$2:U83),$U$2:$U$1001,0),0), INDEX($AB$1004:$AQ$1004,1,MATCH(COLUMNS($AB$1006:AD1006),$AB$1006:$AQ$1006,0)))),"Fix")))</f>
        <v>0</v>
      </c>
      <c r="E83" s="5">
        <f>IF(OR(INDEX($V$2:$V$1001,MATCH(ROWS($U$2:U83),$U$2:$U$1001,0),1)&gt;=100000,INDEX($AB$1005:$AQ$1005,1,MATCH(COLUMNS($AB$1006:AE1006),$AB$1006:$AQ$1006,0))&gt;=100000), " ",IF(INDEX($AB$2:$AQ$1001,MATCH(ROWS($U$2:U83),$U$2:$U$1001,0),MATCH(COLUMNS($AB$1006:AE1006),$AB$1006:$AQ$1006,0)), HYPERLINK("#",""), HYPERLINK(CONCATENATE("#Metadata!", ADDRESS(INDEX($W$2:$W$1001,MATCH(ROWS($U$2:U83),$U$2:$U$1001,0),0), INDEX($AB$1004:$AQ$1004,1,MATCH(COLUMNS($AB$1006:AE1006),$AB$1006:$AQ$1006,0)))),"Fix")))</f>
        <v>0</v>
      </c>
      <c r="F83" s="5">
        <f>IF(OR(INDEX($V$2:$V$1001,MATCH(ROWS($U$2:U83),$U$2:$U$1001,0),1)&gt;=100000,INDEX($AB$1005:$AQ$1005,1,MATCH(COLUMNS($AB$1006:AF1006),$AB$1006:$AQ$1006,0))&gt;=100000), " ",IF(INDEX($AB$2:$AQ$1001,MATCH(ROWS($U$2:U83),$U$2:$U$1001,0),MATCH(COLUMNS($AB$1006:AF1006),$AB$1006:$AQ$1006,0)), HYPERLINK("#",""), HYPERLINK(CONCATENATE("#Metadata!", ADDRESS(INDEX($W$2:$W$1001,MATCH(ROWS($U$2:U83),$U$2:$U$1001,0),0), INDEX($AB$1004:$AQ$1004,1,MATCH(COLUMNS($AB$1006:AF1006),$AB$1006:$AQ$1006,0)))),"Fix")))</f>
        <v>0</v>
      </c>
      <c r="G83" s="5">
        <f>IF(OR(INDEX($V$2:$V$1001,MATCH(ROWS($U$2:U83),$U$2:$U$1001,0),1)&gt;=100000,INDEX($AB$1005:$AQ$1005,1,MATCH(COLUMNS($AB$1006:AG1006),$AB$1006:$AQ$1006,0))&gt;=100000), " ",IF(INDEX($AB$2:$AQ$1001,MATCH(ROWS($U$2:U83),$U$2:$U$1001,0),MATCH(COLUMNS($AB$1006:AG1006),$AB$1006:$AQ$1006,0)), HYPERLINK("#",""), HYPERLINK(CONCATENATE("#Metadata!", ADDRESS(INDEX($W$2:$W$1001,MATCH(ROWS($U$2:U83),$U$2:$U$1001,0),0), INDEX($AB$1004:$AQ$1004,1,MATCH(COLUMNS($AB$1006:AG1006),$AB$1006:$AQ$1006,0)))),"Fix")))</f>
        <v>0</v>
      </c>
      <c r="H83" s="5">
        <f>IF(OR(INDEX($V$2:$V$1001,MATCH(ROWS($U$2:U83),$U$2:$U$1001,0),1)&gt;=100000,INDEX($AB$1005:$AQ$1005,1,MATCH(COLUMNS($AB$1006:AH1006),$AB$1006:$AQ$1006,0))&gt;=100000), " ",IF(INDEX($AB$2:$AQ$1001,MATCH(ROWS($U$2:U83),$U$2:$U$1001,0),MATCH(COLUMNS($AB$1006:AH1006),$AB$1006:$AQ$1006,0)), HYPERLINK("#",""), HYPERLINK(CONCATENATE("#Metadata!", ADDRESS(INDEX($W$2:$W$1001,MATCH(ROWS($U$2:U83),$U$2:$U$1001,0),0), INDEX($AB$1004:$AQ$1004,1,MATCH(COLUMNS($AB$1006:AH1006),$AB$1006:$AQ$1006,0)))),"Fix")))</f>
        <v>0</v>
      </c>
      <c r="I83" s="5">
        <f>IF(OR(INDEX($V$2:$V$1001,MATCH(ROWS($U$2:U83),$U$2:$U$1001,0),1)&gt;=100000,INDEX($AB$1005:$AQ$1005,1,MATCH(COLUMNS($AB$1006:AI1006),$AB$1006:$AQ$1006,0))&gt;=100000), " ",IF(INDEX($AB$2:$AQ$1001,MATCH(ROWS($U$2:U83),$U$2:$U$1001,0),MATCH(COLUMNS($AB$1006:AI1006),$AB$1006:$AQ$1006,0)), HYPERLINK("#",""), HYPERLINK(CONCATENATE("#Metadata!", ADDRESS(INDEX($W$2:$W$1001,MATCH(ROWS($U$2:U83),$U$2:$U$1001,0),0), INDEX($AB$1004:$AQ$1004,1,MATCH(COLUMNS($AB$1006:AI1006),$AB$1006:$AQ$1006,0)))),"Fix")))</f>
        <v>0</v>
      </c>
      <c r="J83" s="5">
        <f>IF(OR(INDEX($V$2:$V$1001,MATCH(ROWS($U$2:U83),$U$2:$U$1001,0),1)&gt;=100000,INDEX($AB$1005:$AQ$1005,1,MATCH(COLUMNS($AB$1006:AJ1006),$AB$1006:$AQ$1006,0))&gt;=100000), " ",IF(INDEX($AB$2:$AQ$1001,MATCH(ROWS($U$2:U83),$U$2:$U$1001,0),MATCH(COLUMNS($AB$1006:AJ1006),$AB$1006:$AQ$1006,0)), HYPERLINK("#",""), HYPERLINK(CONCATENATE("#Metadata!", ADDRESS(INDEX($W$2:$W$1001,MATCH(ROWS($U$2:U83),$U$2:$U$1001,0),0), INDEX($AB$1004:$AQ$1004,1,MATCH(COLUMNS($AB$1006:AJ1006),$AB$1006:$AQ$1006,0)))),"Fix")))</f>
        <v>0</v>
      </c>
      <c r="K83" s="5">
        <f>IF(OR(INDEX($V$2:$V$1001,MATCH(ROWS($U$2:U83),$U$2:$U$1001,0),1)&gt;=100000,INDEX($AB$1005:$AQ$1005,1,MATCH(COLUMNS($AB$1006:AK1006),$AB$1006:$AQ$1006,0))&gt;=100000), " ",IF(INDEX($AB$2:$AQ$1001,MATCH(ROWS($U$2:U83),$U$2:$U$1001,0),MATCH(COLUMNS($AB$1006:AK1006),$AB$1006:$AQ$1006,0)), HYPERLINK("#",""), HYPERLINK(CONCATENATE("#Metadata!", ADDRESS(INDEX($W$2:$W$1001,MATCH(ROWS($U$2:U83),$U$2:$U$1001,0),0), INDEX($AB$1004:$AQ$1004,1,MATCH(COLUMNS($AB$1006:AK1006),$AB$1006:$AQ$1006,0)))),"Fix")))</f>
        <v>0</v>
      </c>
      <c r="L83" s="5">
        <f>IF(OR(INDEX($V$2:$V$1001,MATCH(ROWS($U$2:U83),$U$2:$U$1001,0),1)&gt;=100000,INDEX($AB$1005:$AQ$1005,1,MATCH(COLUMNS($AB$1006:AL1006),$AB$1006:$AQ$1006,0))&gt;=100000), " ",IF(INDEX($AB$2:$AQ$1001,MATCH(ROWS($U$2:U83),$U$2:$U$1001,0),MATCH(COLUMNS($AB$1006:AL1006),$AB$1006:$AQ$1006,0)), HYPERLINK("#",""), HYPERLINK(CONCATENATE("#Metadata!", ADDRESS(INDEX($W$2:$W$1001,MATCH(ROWS($U$2:U83),$U$2:$U$1001,0),0), INDEX($AB$1004:$AQ$1004,1,MATCH(COLUMNS($AB$1006:AL1006),$AB$1006:$AQ$1006,0)))),"Fix")))</f>
        <v>0</v>
      </c>
      <c r="M83" s="5">
        <f>IF(OR(INDEX($V$2:$V$1001,MATCH(ROWS($U$2:U83),$U$2:$U$1001,0),1)&gt;=100000,INDEX($AB$1005:$AQ$1005,1,MATCH(COLUMNS($AB$1006:AM1006),$AB$1006:$AQ$1006,0))&gt;=100000), " ",IF(INDEX($AB$2:$AQ$1001,MATCH(ROWS($U$2:U83),$U$2:$U$1001,0),MATCH(COLUMNS($AB$1006:AM1006),$AB$1006:$AQ$1006,0)), HYPERLINK("#",""), HYPERLINK(CONCATENATE("#Metadata!", ADDRESS(INDEX($W$2:$W$1001,MATCH(ROWS($U$2:U83),$U$2:$U$1001,0),0), INDEX($AB$1004:$AQ$1004,1,MATCH(COLUMNS($AB$1006:AM1006),$AB$1006:$AQ$1006,0)))),"Fix")))</f>
        <v>0</v>
      </c>
      <c r="N83" s="5">
        <f>IF(OR(INDEX($V$2:$V$1001,MATCH(ROWS($U$2:U83),$U$2:$U$1001,0),1)&gt;=100000,INDEX($AB$1005:$AQ$1005,1,MATCH(COLUMNS($AB$1006:AN1006),$AB$1006:$AQ$1006,0))&gt;=100000), " ",IF(INDEX($AB$2:$AQ$1001,MATCH(ROWS($U$2:U83),$U$2:$U$1001,0),MATCH(COLUMNS($AB$1006:AN1006),$AB$1006:$AQ$1006,0)), HYPERLINK("#",""), HYPERLINK(CONCATENATE("#Metadata!", ADDRESS(INDEX($W$2:$W$1001,MATCH(ROWS($U$2:U83),$U$2:$U$1001,0),0), INDEX($AB$1004:$AQ$1004,1,MATCH(COLUMNS($AB$1006:AN1006),$AB$1006:$AQ$1006,0)))),"Fix")))</f>
        <v>0</v>
      </c>
      <c r="O83" s="5">
        <f>IF(OR(INDEX($V$2:$V$1001,MATCH(ROWS($U$2:U83),$U$2:$U$1001,0),1)&gt;=100000,INDEX($AB$1005:$AQ$1005,1,MATCH(COLUMNS($AB$1006:AO1006),$AB$1006:$AQ$1006,0))&gt;=100000), " ",IF(INDEX($AB$2:$AQ$1001,MATCH(ROWS($U$2:U83),$U$2:$U$1001,0),MATCH(COLUMNS($AB$1006:AO1006),$AB$1006:$AQ$1006,0)), HYPERLINK("#",""), HYPERLINK(CONCATENATE("#Metadata!", ADDRESS(INDEX($W$2:$W$1001,MATCH(ROWS($U$2:U83),$U$2:$U$1001,0),0), INDEX($AB$1004:$AQ$1004,1,MATCH(COLUMNS($AB$1006:AO1006),$AB$1006:$AQ$1006,0)))),"Fix")))</f>
        <v>0</v>
      </c>
      <c r="P83" s="5">
        <f>IF(OR(INDEX($V$2:$V$1001,MATCH(ROWS($U$2:U83),$U$2:$U$1001,0),1)&gt;=100000,INDEX($AB$1005:$AQ$1005,1,MATCH(COLUMNS($AB$1006:AP1006),$AB$1006:$AQ$1006,0))&gt;=100000), " ",IF(INDEX($AB$2:$AQ$1001,MATCH(ROWS($U$2:U83),$U$2:$U$1001,0),MATCH(COLUMNS($AB$1006:AP1006),$AB$1006:$AQ$1006,0)), HYPERLINK("#",""), HYPERLINK(CONCATENATE("#Metadata!", ADDRESS(INDEX($W$2:$W$1001,MATCH(ROWS($U$2:U83),$U$2:$U$1001,0),0), INDEX($AB$1004:$AQ$1004,1,MATCH(COLUMNS($AB$1006:AP1006),$AB$1006:$AQ$1006,0)))),"Fix")))</f>
        <v>0</v>
      </c>
      <c r="Q83" s="5">
        <f>IF(OR(INDEX($V$2:$V$1001,MATCH(ROWS($U$2:U83),$U$2:$U$1001,0),1)&gt;=100000,INDEX($AB$1005:$AQ$1005,1,MATCH(COLUMNS($AB$1006:AQ1006),$AB$1006:$AQ$1006,0))&gt;=100000), " ",IF(INDEX($AB$2:$AQ$1001,MATCH(ROWS($U$2:U83),$U$2:$U$1001,0),MATCH(COLUMNS($AB$1006:AQ1006),$AB$1006:$AQ$1006,0)), HYPERLINK("#",""), HYPERLINK(CONCATENATE("#Metadata!", ADDRESS(INDEX($W$2:$W$1001,MATCH(ROWS($U$2:U83),$U$2:$U$1001,0),0), INDEX($AB$1004:$AQ$1004,1,MATCH(COLUMNS($AB$1006:AQ1006),$AB$1006:$AQ$1006,0)))),"Fix")))</f>
        <v>0</v>
      </c>
      <c r="U83">
        <v>0</v>
      </c>
      <c r="V83">
        <v>0</v>
      </c>
      <c r="W83">
        <v>0</v>
      </c>
      <c r="X83">
        <f>IF(Y83,TRUE,AND(AB83:AQ83))</f>
        <v>0</v>
      </c>
      <c r="Y83">
        <f>COUNTBLANK(Metadata!B83:Q83)=COLUMNS(Metadata!B83:Q83)</f>
        <v>0</v>
      </c>
      <c r="Z83">
        <v>0</v>
      </c>
      <c r="AB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AC83">
        <f>AND(IF(Metadata!C83="",FALSE,TRUE),exact(Metadata!C83,"urban biome"))</f>
        <v>0</v>
      </c>
      <c r="AD83">
        <f>AND(IF(Metadata!D83="",FALSE,TRUE),exact(Metadata!D83,"human-associated habitat"))</f>
        <v>0</v>
      </c>
      <c r="AE83">
        <f>AND(IF(Metadata!E83="",FALSE,TRUE),OR(exact(Metadata!E83,"human-associated"),exact(Metadata!E83,"human-skin"),exact(Metadata!E83,"human-oral"),exact(Metadata!E83,"human-gut"),exact(Metadata!E83,"human-vaginal")))</f>
        <v>0</v>
      </c>
      <c r="AF83">
        <f>AND(IF(Metadata!F83="",FALSE,ISNUMBER(VALUE(Metadata!F83))),Metadata!F83&gt;0)</f>
        <v>0</v>
      </c>
      <c r="AG83">
        <f>AND(IF(Metadata!G83="",FALSE,TRUE),exact(Metadata!G83,"years"))</f>
        <v>0</v>
      </c>
      <c r="AH83">
        <f>OR(AND(IF(Metadata!H83="",FALSE,TRUE),OR(exact(Metadata!H83,"not applicable"),exact(Metadata!H83,"not collected"),exact(Metadata!H83,"not provided"),exact(Metadata!H83,"restricted access"))),AND(IF(Metadata!H83="",FALSE,ISNUMBER(VALUE(Metadata!H83))),Metadata!H83&gt;0))</f>
        <v>0</v>
      </c>
      <c r="AI83">
        <f>AND(IF(Metadata!I83="",FALSE,TRUE),exact(Metadata!I83,"human"))</f>
        <v>0</v>
      </c>
      <c r="AJ83">
        <f>AND(IF(Metadata!J83="",FALSE,ISNUMBER(VALUE(Metadata!J83))),Metadata!J83&gt;0)</f>
        <v>0</v>
      </c>
      <c r="AK83">
        <f>AND(IF(Metadata!K83="",FALSE,TRUE),exact(Metadata!K83,"cm"))</f>
        <v>0</v>
      </c>
      <c r="AL83">
        <f>AND(IF(Metadata!L83="",FALSE,TRUE),exact(Metadata!L83,"Homo sapiens"))</f>
        <v>0</v>
      </c>
      <c r="AM83">
        <f>AND(IF(Metadata!M83="",FALSE,TRUE),exact(Metadata!M83,"9606"))</f>
        <v>0</v>
      </c>
      <c r="AN83">
        <f>AND(IF(Metadata!N83="",FALSE,ISNUMBER(VALUE(Metadata!N83))),Metadata!N83&gt;0)</f>
        <v>0</v>
      </c>
      <c r="AO83">
        <f>AND(IF(Metadata!O83="",FALSE,TRUE),exact(Metadata!O83,"kg"))</f>
        <v>0</v>
      </c>
      <c r="AP83">
        <f>OR(AND(IF(Metadata!P83="",FALSE,TRUE),exact(Metadata!P83,"not provided")),IF(Metadata!P83="",FALSE,TRUE))</f>
        <v>0</v>
      </c>
      <c r="AQ83">
        <f>OR(AND(IF(Metadata!Q83="",FALSE,TRUE),exact(Metadata!Q83,"not provided")),IF(Metadata!Q83="",FALSE,TRUE))</f>
        <v>0</v>
      </c>
    </row>
    <row r="84" spans="1:43">
      <c r="A84" s="4">
        <f>IF(B84=" "," ",HYPERLINK(CONCATENATE("#metadata!",ADDRESS(INDEX($W$2:$W$1001,MATCH(ROWS($U$2:U84),$U$2:$U$1001,0),0),2)),INDEX($Z$2:$Z$1001,MATCH(ROWS($U$2:U84),$U$2:$U$1001,0),0)))</f>
        <v>0</v>
      </c>
      <c r="B84" s="5">
        <f>IF(OR(INDEX($V$2:$V$1001,MATCH(ROWS($U$2:U84),$U$2:$U$1001,0),1)&gt;=100000,INDEX($AB$1005:$AQ$1005,1,MATCH(COLUMNS($AB$1006:AB1006),$AB$1006:$AQ$1006,0))&gt;=100000), " ",IF(INDEX($AB$2:$AQ$1001,MATCH(ROWS($U$2:U84),$U$2:$U$1001,0),MATCH(COLUMNS($AB$1006:AB1006),$AB$1006:$AQ$1006,0)), HYPERLINK("#",""), HYPERLINK(CONCATENATE("#Metadata!", ADDRESS(INDEX($W$2:$W$1001,MATCH(ROWS($U$2:U84),$U$2:$U$1001,0),0), INDEX($AB$1004:$AQ$1004,1,MATCH(COLUMNS($AB$1006:AB1006),$AB$1006:$AQ$1006,0)))),"Fix")))</f>
        <v>0</v>
      </c>
      <c r="C84" s="5">
        <f>IF(OR(INDEX($V$2:$V$1001,MATCH(ROWS($U$2:U84),$U$2:$U$1001,0),1)&gt;=100000,INDEX($AB$1005:$AQ$1005,1,MATCH(COLUMNS($AB$1006:AC1006),$AB$1006:$AQ$1006,0))&gt;=100000), " ",IF(INDEX($AB$2:$AQ$1001,MATCH(ROWS($U$2:U84),$U$2:$U$1001,0),MATCH(COLUMNS($AB$1006:AC1006),$AB$1006:$AQ$1006,0)), HYPERLINK("#",""), HYPERLINK(CONCATENATE("#Metadata!", ADDRESS(INDEX($W$2:$W$1001,MATCH(ROWS($U$2:U84),$U$2:$U$1001,0),0), INDEX($AB$1004:$AQ$1004,1,MATCH(COLUMNS($AB$1006:AC1006),$AB$1006:$AQ$1006,0)))),"Fix")))</f>
        <v>0</v>
      </c>
      <c r="D84" s="5">
        <f>IF(OR(INDEX($V$2:$V$1001,MATCH(ROWS($U$2:U84),$U$2:$U$1001,0),1)&gt;=100000,INDEX($AB$1005:$AQ$1005,1,MATCH(COLUMNS($AB$1006:AD1006),$AB$1006:$AQ$1006,0))&gt;=100000), " ",IF(INDEX($AB$2:$AQ$1001,MATCH(ROWS($U$2:U84),$U$2:$U$1001,0),MATCH(COLUMNS($AB$1006:AD1006),$AB$1006:$AQ$1006,0)), HYPERLINK("#",""), HYPERLINK(CONCATENATE("#Metadata!", ADDRESS(INDEX($W$2:$W$1001,MATCH(ROWS($U$2:U84),$U$2:$U$1001,0),0), INDEX($AB$1004:$AQ$1004,1,MATCH(COLUMNS($AB$1006:AD1006),$AB$1006:$AQ$1006,0)))),"Fix")))</f>
        <v>0</v>
      </c>
      <c r="E84" s="5">
        <f>IF(OR(INDEX($V$2:$V$1001,MATCH(ROWS($U$2:U84),$U$2:$U$1001,0),1)&gt;=100000,INDEX($AB$1005:$AQ$1005,1,MATCH(COLUMNS($AB$1006:AE1006),$AB$1006:$AQ$1006,0))&gt;=100000), " ",IF(INDEX($AB$2:$AQ$1001,MATCH(ROWS($U$2:U84),$U$2:$U$1001,0),MATCH(COLUMNS($AB$1006:AE1006),$AB$1006:$AQ$1006,0)), HYPERLINK("#",""), HYPERLINK(CONCATENATE("#Metadata!", ADDRESS(INDEX($W$2:$W$1001,MATCH(ROWS($U$2:U84),$U$2:$U$1001,0),0), INDEX($AB$1004:$AQ$1004,1,MATCH(COLUMNS($AB$1006:AE1006),$AB$1006:$AQ$1006,0)))),"Fix")))</f>
        <v>0</v>
      </c>
      <c r="F84" s="5">
        <f>IF(OR(INDEX($V$2:$V$1001,MATCH(ROWS($U$2:U84),$U$2:$U$1001,0),1)&gt;=100000,INDEX($AB$1005:$AQ$1005,1,MATCH(COLUMNS($AB$1006:AF1006),$AB$1006:$AQ$1006,0))&gt;=100000), " ",IF(INDEX($AB$2:$AQ$1001,MATCH(ROWS($U$2:U84),$U$2:$U$1001,0),MATCH(COLUMNS($AB$1006:AF1006),$AB$1006:$AQ$1006,0)), HYPERLINK("#",""), HYPERLINK(CONCATENATE("#Metadata!", ADDRESS(INDEX($W$2:$W$1001,MATCH(ROWS($U$2:U84),$U$2:$U$1001,0),0), INDEX($AB$1004:$AQ$1004,1,MATCH(COLUMNS($AB$1006:AF1006),$AB$1006:$AQ$1006,0)))),"Fix")))</f>
        <v>0</v>
      </c>
      <c r="G84" s="5">
        <f>IF(OR(INDEX($V$2:$V$1001,MATCH(ROWS($U$2:U84),$U$2:$U$1001,0),1)&gt;=100000,INDEX($AB$1005:$AQ$1005,1,MATCH(COLUMNS($AB$1006:AG1006),$AB$1006:$AQ$1006,0))&gt;=100000), " ",IF(INDEX($AB$2:$AQ$1001,MATCH(ROWS($U$2:U84),$U$2:$U$1001,0),MATCH(COLUMNS($AB$1006:AG1006),$AB$1006:$AQ$1006,0)), HYPERLINK("#",""), HYPERLINK(CONCATENATE("#Metadata!", ADDRESS(INDEX($W$2:$W$1001,MATCH(ROWS($U$2:U84),$U$2:$U$1001,0),0), INDEX($AB$1004:$AQ$1004,1,MATCH(COLUMNS($AB$1006:AG1006),$AB$1006:$AQ$1006,0)))),"Fix")))</f>
        <v>0</v>
      </c>
      <c r="H84" s="5">
        <f>IF(OR(INDEX($V$2:$V$1001,MATCH(ROWS($U$2:U84),$U$2:$U$1001,0),1)&gt;=100000,INDEX($AB$1005:$AQ$1005,1,MATCH(COLUMNS($AB$1006:AH1006),$AB$1006:$AQ$1006,0))&gt;=100000), " ",IF(INDEX($AB$2:$AQ$1001,MATCH(ROWS($U$2:U84),$U$2:$U$1001,0),MATCH(COLUMNS($AB$1006:AH1006),$AB$1006:$AQ$1006,0)), HYPERLINK("#",""), HYPERLINK(CONCATENATE("#Metadata!", ADDRESS(INDEX($W$2:$W$1001,MATCH(ROWS($U$2:U84),$U$2:$U$1001,0),0), INDEX($AB$1004:$AQ$1004,1,MATCH(COLUMNS($AB$1006:AH1006),$AB$1006:$AQ$1006,0)))),"Fix")))</f>
        <v>0</v>
      </c>
      <c r="I84" s="5">
        <f>IF(OR(INDEX($V$2:$V$1001,MATCH(ROWS($U$2:U84),$U$2:$U$1001,0),1)&gt;=100000,INDEX($AB$1005:$AQ$1005,1,MATCH(COLUMNS($AB$1006:AI1006),$AB$1006:$AQ$1006,0))&gt;=100000), " ",IF(INDEX($AB$2:$AQ$1001,MATCH(ROWS($U$2:U84),$U$2:$U$1001,0),MATCH(COLUMNS($AB$1006:AI1006),$AB$1006:$AQ$1006,0)), HYPERLINK("#",""), HYPERLINK(CONCATENATE("#Metadata!", ADDRESS(INDEX($W$2:$W$1001,MATCH(ROWS($U$2:U84),$U$2:$U$1001,0),0), INDEX($AB$1004:$AQ$1004,1,MATCH(COLUMNS($AB$1006:AI1006),$AB$1006:$AQ$1006,0)))),"Fix")))</f>
        <v>0</v>
      </c>
      <c r="J84" s="5">
        <f>IF(OR(INDEX($V$2:$V$1001,MATCH(ROWS($U$2:U84),$U$2:$U$1001,0),1)&gt;=100000,INDEX($AB$1005:$AQ$1005,1,MATCH(COLUMNS($AB$1006:AJ1006),$AB$1006:$AQ$1006,0))&gt;=100000), " ",IF(INDEX($AB$2:$AQ$1001,MATCH(ROWS($U$2:U84),$U$2:$U$1001,0),MATCH(COLUMNS($AB$1006:AJ1006),$AB$1006:$AQ$1006,0)), HYPERLINK("#",""), HYPERLINK(CONCATENATE("#Metadata!", ADDRESS(INDEX($W$2:$W$1001,MATCH(ROWS($U$2:U84),$U$2:$U$1001,0),0), INDEX($AB$1004:$AQ$1004,1,MATCH(COLUMNS($AB$1006:AJ1006),$AB$1006:$AQ$1006,0)))),"Fix")))</f>
        <v>0</v>
      </c>
      <c r="K84" s="5">
        <f>IF(OR(INDEX($V$2:$V$1001,MATCH(ROWS($U$2:U84),$U$2:$U$1001,0),1)&gt;=100000,INDEX($AB$1005:$AQ$1005,1,MATCH(COLUMNS($AB$1006:AK1006),$AB$1006:$AQ$1006,0))&gt;=100000), " ",IF(INDEX($AB$2:$AQ$1001,MATCH(ROWS($U$2:U84),$U$2:$U$1001,0),MATCH(COLUMNS($AB$1006:AK1006),$AB$1006:$AQ$1006,0)), HYPERLINK("#",""), HYPERLINK(CONCATENATE("#Metadata!", ADDRESS(INDEX($W$2:$W$1001,MATCH(ROWS($U$2:U84),$U$2:$U$1001,0),0), INDEX($AB$1004:$AQ$1004,1,MATCH(COLUMNS($AB$1006:AK1006),$AB$1006:$AQ$1006,0)))),"Fix")))</f>
        <v>0</v>
      </c>
      <c r="L84" s="5">
        <f>IF(OR(INDEX($V$2:$V$1001,MATCH(ROWS($U$2:U84),$U$2:$U$1001,0),1)&gt;=100000,INDEX($AB$1005:$AQ$1005,1,MATCH(COLUMNS($AB$1006:AL1006),$AB$1006:$AQ$1006,0))&gt;=100000), " ",IF(INDEX($AB$2:$AQ$1001,MATCH(ROWS($U$2:U84),$U$2:$U$1001,0),MATCH(COLUMNS($AB$1006:AL1006),$AB$1006:$AQ$1006,0)), HYPERLINK("#",""), HYPERLINK(CONCATENATE("#Metadata!", ADDRESS(INDEX($W$2:$W$1001,MATCH(ROWS($U$2:U84),$U$2:$U$1001,0),0), INDEX($AB$1004:$AQ$1004,1,MATCH(COLUMNS($AB$1006:AL1006),$AB$1006:$AQ$1006,0)))),"Fix")))</f>
        <v>0</v>
      </c>
      <c r="M84" s="5">
        <f>IF(OR(INDEX($V$2:$V$1001,MATCH(ROWS($U$2:U84),$U$2:$U$1001,0),1)&gt;=100000,INDEX($AB$1005:$AQ$1005,1,MATCH(COLUMNS($AB$1006:AM1006),$AB$1006:$AQ$1006,0))&gt;=100000), " ",IF(INDEX($AB$2:$AQ$1001,MATCH(ROWS($U$2:U84),$U$2:$U$1001,0),MATCH(COLUMNS($AB$1006:AM1006),$AB$1006:$AQ$1006,0)), HYPERLINK("#",""), HYPERLINK(CONCATENATE("#Metadata!", ADDRESS(INDEX($W$2:$W$1001,MATCH(ROWS($U$2:U84),$U$2:$U$1001,0),0), INDEX($AB$1004:$AQ$1004,1,MATCH(COLUMNS($AB$1006:AM1006),$AB$1006:$AQ$1006,0)))),"Fix")))</f>
        <v>0</v>
      </c>
      <c r="N84" s="5">
        <f>IF(OR(INDEX($V$2:$V$1001,MATCH(ROWS($U$2:U84),$U$2:$U$1001,0),1)&gt;=100000,INDEX($AB$1005:$AQ$1005,1,MATCH(COLUMNS($AB$1006:AN1006),$AB$1006:$AQ$1006,0))&gt;=100000), " ",IF(INDEX($AB$2:$AQ$1001,MATCH(ROWS($U$2:U84),$U$2:$U$1001,0),MATCH(COLUMNS($AB$1006:AN1006),$AB$1006:$AQ$1006,0)), HYPERLINK("#",""), HYPERLINK(CONCATENATE("#Metadata!", ADDRESS(INDEX($W$2:$W$1001,MATCH(ROWS($U$2:U84),$U$2:$U$1001,0),0), INDEX($AB$1004:$AQ$1004,1,MATCH(COLUMNS($AB$1006:AN1006),$AB$1006:$AQ$1006,0)))),"Fix")))</f>
        <v>0</v>
      </c>
      <c r="O84" s="5">
        <f>IF(OR(INDEX($V$2:$V$1001,MATCH(ROWS($U$2:U84),$U$2:$U$1001,0),1)&gt;=100000,INDEX($AB$1005:$AQ$1005,1,MATCH(COLUMNS($AB$1006:AO1006),$AB$1006:$AQ$1006,0))&gt;=100000), " ",IF(INDEX($AB$2:$AQ$1001,MATCH(ROWS($U$2:U84),$U$2:$U$1001,0),MATCH(COLUMNS($AB$1006:AO1006),$AB$1006:$AQ$1006,0)), HYPERLINK("#",""), HYPERLINK(CONCATENATE("#Metadata!", ADDRESS(INDEX($W$2:$W$1001,MATCH(ROWS($U$2:U84),$U$2:$U$1001,0),0), INDEX($AB$1004:$AQ$1004,1,MATCH(COLUMNS($AB$1006:AO1006),$AB$1006:$AQ$1006,0)))),"Fix")))</f>
        <v>0</v>
      </c>
      <c r="P84" s="5">
        <f>IF(OR(INDEX($V$2:$V$1001,MATCH(ROWS($U$2:U84),$U$2:$U$1001,0),1)&gt;=100000,INDEX($AB$1005:$AQ$1005,1,MATCH(COLUMNS($AB$1006:AP1006),$AB$1006:$AQ$1006,0))&gt;=100000), " ",IF(INDEX($AB$2:$AQ$1001,MATCH(ROWS($U$2:U84),$U$2:$U$1001,0),MATCH(COLUMNS($AB$1006:AP1006),$AB$1006:$AQ$1006,0)), HYPERLINK("#",""), HYPERLINK(CONCATENATE("#Metadata!", ADDRESS(INDEX($W$2:$W$1001,MATCH(ROWS($U$2:U84),$U$2:$U$1001,0),0), INDEX($AB$1004:$AQ$1004,1,MATCH(COLUMNS($AB$1006:AP1006),$AB$1006:$AQ$1006,0)))),"Fix")))</f>
        <v>0</v>
      </c>
      <c r="Q84" s="5">
        <f>IF(OR(INDEX($V$2:$V$1001,MATCH(ROWS($U$2:U84),$U$2:$U$1001,0),1)&gt;=100000,INDEX($AB$1005:$AQ$1005,1,MATCH(COLUMNS($AB$1006:AQ1006),$AB$1006:$AQ$1006,0))&gt;=100000), " ",IF(INDEX($AB$2:$AQ$1001,MATCH(ROWS($U$2:U84),$U$2:$U$1001,0),MATCH(COLUMNS($AB$1006:AQ1006),$AB$1006:$AQ$1006,0)), HYPERLINK("#",""), HYPERLINK(CONCATENATE("#Metadata!", ADDRESS(INDEX($W$2:$W$1001,MATCH(ROWS($U$2:U84),$U$2:$U$1001,0),0), INDEX($AB$1004:$AQ$1004,1,MATCH(COLUMNS($AB$1006:AQ1006),$AB$1006:$AQ$1006,0)))),"Fix")))</f>
        <v>0</v>
      </c>
      <c r="U84">
        <v>0</v>
      </c>
      <c r="V84">
        <v>0</v>
      </c>
      <c r="W84">
        <v>0</v>
      </c>
      <c r="X84">
        <f>IF(Y84,TRUE,AND(AB84:AQ84))</f>
        <v>0</v>
      </c>
      <c r="Y84">
        <f>COUNTBLANK(Metadata!B84:Q84)=COLUMNS(Metadata!B84:Q84)</f>
        <v>0</v>
      </c>
      <c r="Z84">
        <v>0</v>
      </c>
      <c r="AB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AC84">
        <f>AND(IF(Metadata!C84="",FALSE,TRUE),exact(Metadata!C84,"urban biome"))</f>
        <v>0</v>
      </c>
      <c r="AD84">
        <f>AND(IF(Metadata!D84="",FALSE,TRUE),exact(Metadata!D84,"human-associated habitat"))</f>
        <v>0</v>
      </c>
      <c r="AE84">
        <f>AND(IF(Metadata!E84="",FALSE,TRUE),OR(exact(Metadata!E84,"human-associated"),exact(Metadata!E84,"human-skin"),exact(Metadata!E84,"human-oral"),exact(Metadata!E84,"human-gut"),exact(Metadata!E84,"human-vaginal")))</f>
        <v>0</v>
      </c>
      <c r="AF84">
        <f>AND(IF(Metadata!F84="",FALSE,ISNUMBER(VALUE(Metadata!F84))),Metadata!F84&gt;0)</f>
        <v>0</v>
      </c>
      <c r="AG84">
        <f>AND(IF(Metadata!G84="",FALSE,TRUE),exact(Metadata!G84,"years"))</f>
        <v>0</v>
      </c>
      <c r="AH84">
        <f>OR(AND(IF(Metadata!H84="",FALSE,TRUE),OR(exact(Metadata!H84,"not applicable"),exact(Metadata!H84,"not collected"),exact(Metadata!H84,"not provided"),exact(Metadata!H84,"restricted access"))),AND(IF(Metadata!H84="",FALSE,ISNUMBER(VALUE(Metadata!H84))),Metadata!H84&gt;0))</f>
        <v>0</v>
      </c>
      <c r="AI84">
        <f>AND(IF(Metadata!I84="",FALSE,TRUE),exact(Metadata!I84,"human"))</f>
        <v>0</v>
      </c>
      <c r="AJ84">
        <f>AND(IF(Metadata!J84="",FALSE,ISNUMBER(VALUE(Metadata!J84))),Metadata!J84&gt;0)</f>
        <v>0</v>
      </c>
      <c r="AK84">
        <f>AND(IF(Metadata!K84="",FALSE,TRUE),exact(Metadata!K84,"cm"))</f>
        <v>0</v>
      </c>
      <c r="AL84">
        <f>AND(IF(Metadata!L84="",FALSE,TRUE),exact(Metadata!L84,"Homo sapiens"))</f>
        <v>0</v>
      </c>
      <c r="AM84">
        <f>AND(IF(Metadata!M84="",FALSE,TRUE),exact(Metadata!M84,"9606"))</f>
        <v>0</v>
      </c>
      <c r="AN84">
        <f>AND(IF(Metadata!N84="",FALSE,ISNUMBER(VALUE(Metadata!N84))),Metadata!N84&gt;0)</f>
        <v>0</v>
      </c>
      <c r="AO84">
        <f>AND(IF(Metadata!O84="",FALSE,TRUE),exact(Metadata!O84,"kg"))</f>
        <v>0</v>
      </c>
      <c r="AP84">
        <f>OR(AND(IF(Metadata!P84="",FALSE,TRUE),exact(Metadata!P84,"not provided")),IF(Metadata!P84="",FALSE,TRUE))</f>
        <v>0</v>
      </c>
      <c r="AQ84">
        <f>OR(AND(IF(Metadata!Q84="",FALSE,TRUE),exact(Metadata!Q84,"not provided")),IF(Metadata!Q84="",FALSE,TRUE))</f>
        <v>0</v>
      </c>
    </row>
    <row r="85" spans="1:43">
      <c r="A85" s="4">
        <f>IF(B85=" "," ",HYPERLINK(CONCATENATE("#metadata!",ADDRESS(INDEX($W$2:$W$1001,MATCH(ROWS($U$2:U85),$U$2:$U$1001,0),0),2)),INDEX($Z$2:$Z$1001,MATCH(ROWS($U$2:U85),$U$2:$U$1001,0),0)))</f>
        <v>0</v>
      </c>
      <c r="B85" s="5">
        <f>IF(OR(INDEX($V$2:$V$1001,MATCH(ROWS($U$2:U85),$U$2:$U$1001,0),1)&gt;=100000,INDEX($AB$1005:$AQ$1005,1,MATCH(COLUMNS($AB$1006:AB1006),$AB$1006:$AQ$1006,0))&gt;=100000), " ",IF(INDEX($AB$2:$AQ$1001,MATCH(ROWS($U$2:U85),$U$2:$U$1001,0),MATCH(COLUMNS($AB$1006:AB1006),$AB$1006:$AQ$1006,0)), HYPERLINK("#",""), HYPERLINK(CONCATENATE("#Metadata!", ADDRESS(INDEX($W$2:$W$1001,MATCH(ROWS($U$2:U85),$U$2:$U$1001,0),0), INDEX($AB$1004:$AQ$1004,1,MATCH(COLUMNS($AB$1006:AB1006),$AB$1006:$AQ$1006,0)))),"Fix")))</f>
        <v>0</v>
      </c>
      <c r="C85" s="5">
        <f>IF(OR(INDEX($V$2:$V$1001,MATCH(ROWS($U$2:U85),$U$2:$U$1001,0),1)&gt;=100000,INDEX($AB$1005:$AQ$1005,1,MATCH(COLUMNS($AB$1006:AC1006),$AB$1006:$AQ$1006,0))&gt;=100000), " ",IF(INDEX($AB$2:$AQ$1001,MATCH(ROWS($U$2:U85),$U$2:$U$1001,0),MATCH(COLUMNS($AB$1006:AC1006),$AB$1006:$AQ$1006,0)), HYPERLINK("#",""), HYPERLINK(CONCATENATE("#Metadata!", ADDRESS(INDEX($W$2:$W$1001,MATCH(ROWS($U$2:U85),$U$2:$U$1001,0),0), INDEX($AB$1004:$AQ$1004,1,MATCH(COLUMNS($AB$1006:AC1006),$AB$1006:$AQ$1006,0)))),"Fix")))</f>
        <v>0</v>
      </c>
      <c r="D85" s="5">
        <f>IF(OR(INDEX($V$2:$V$1001,MATCH(ROWS($U$2:U85),$U$2:$U$1001,0),1)&gt;=100000,INDEX($AB$1005:$AQ$1005,1,MATCH(COLUMNS($AB$1006:AD1006),$AB$1006:$AQ$1006,0))&gt;=100000), " ",IF(INDEX($AB$2:$AQ$1001,MATCH(ROWS($U$2:U85),$U$2:$U$1001,0),MATCH(COLUMNS($AB$1006:AD1006),$AB$1006:$AQ$1006,0)), HYPERLINK("#",""), HYPERLINK(CONCATENATE("#Metadata!", ADDRESS(INDEX($W$2:$W$1001,MATCH(ROWS($U$2:U85),$U$2:$U$1001,0),0), INDEX($AB$1004:$AQ$1004,1,MATCH(COLUMNS($AB$1006:AD1006),$AB$1006:$AQ$1006,0)))),"Fix")))</f>
        <v>0</v>
      </c>
      <c r="E85" s="5">
        <f>IF(OR(INDEX($V$2:$V$1001,MATCH(ROWS($U$2:U85),$U$2:$U$1001,0),1)&gt;=100000,INDEX($AB$1005:$AQ$1005,1,MATCH(COLUMNS($AB$1006:AE1006),$AB$1006:$AQ$1006,0))&gt;=100000), " ",IF(INDEX($AB$2:$AQ$1001,MATCH(ROWS($U$2:U85),$U$2:$U$1001,0),MATCH(COLUMNS($AB$1006:AE1006),$AB$1006:$AQ$1006,0)), HYPERLINK("#",""), HYPERLINK(CONCATENATE("#Metadata!", ADDRESS(INDEX($W$2:$W$1001,MATCH(ROWS($U$2:U85),$U$2:$U$1001,0),0), INDEX($AB$1004:$AQ$1004,1,MATCH(COLUMNS($AB$1006:AE1006),$AB$1006:$AQ$1006,0)))),"Fix")))</f>
        <v>0</v>
      </c>
      <c r="F85" s="5">
        <f>IF(OR(INDEX($V$2:$V$1001,MATCH(ROWS($U$2:U85),$U$2:$U$1001,0),1)&gt;=100000,INDEX($AB$1005:$AQ$1005,1,MATCH(COLUMNS($AB$1006:AF1006),$AB$1006:$AQ$1006,0))&gt;=100000), " ",IF(INDEX($AB$2:$AQ$1001,MATCH(ROWS($U$2:U85),$U$2:$U$1001,0),MATCH(COLUMNS($AB$1006:AF1006),$AB$1006:$AQ$1006,0)), HYPERLINK("#",""), HYPERLINK(CONCATENATE("#Metadata!", ADDRESS(INDEX($W$2:$W$1001,MATCH(ROWS($U$2:U85),$U$2:$U$1001,0),0), INDEX($AB$1004:$AQ$1004,1,MATCH(COLUMNS($AB$1006:AF1006),$AB$1006:$AQ$1006,0)))),"Fix")))</f>
        <v>0</v>
      </c>
      <c r="G85" s="5">
        <f>IF(OR(INDEX($V$2:$V$1001,MATCH(ROWS($U$2:U85),$U$2:$U$1001,0),1)&gt;=100000,INDEX($AB$1005:$AQ$1005,1,MATCH(COLUMNS($AB$1006:AG1006),$AB$1006:$AQ$1006,0))&gt;=100000), " ",IF(INDEX($AB$2:$AQ$1001,MATCH(ROWS($U$2:U85),$U$2:$U$1001,0),MATCH(COLUMNS($AB$1006:AG1006),$AB$1006:$AQ$1006,0)), HYPERLINK("#",""), HYPERLINK(CONCATENATE("#Metadata!", ADDRESS(INDEX($W$2:$W$1001,MATCH(ROWS($U$2:U85),$U$2:$U$1001,0),0), INDEX($AB$1004:$AQ$1004,1,MATCH(COLUMNS($AB$1006:AG1006),$AB$1006:$AQ$1006,0)))),"Fix")))</f>
        <v>0</v>
      </c>
      <c r="H85" s="5">
        <f>IF(OR(INDEX($V$2:$V$1001,MATCH(ROWS($U$2:U85),$U$2:$U$1001,0),1)&gt;=100000,INDEX($AB$1005:$AQ$1005,1,MATCH(COLUMNS($AB$1006:AH1006),$AB$1006:$AQ$1006,0))&gt;=100000), " ",IF(INDEX($AB$2:$AQ$1001,MATCH(ROWS($U$2:U85),$U$2:$U$1001,0),MATCH(COLUMNS($AB$1006:AH1006),$AB$1006:$AQ$1006,0)), HYPERLINK("#",""), HYPERLINK(CONCATENATE("#Metadata!", ADDRESS(INDEX($W$2:$W$1001,MATCH(ROWS($U$2:U85),$U$2:$U$1001,0),0), INDEX($AB$1004:$AQ$1004,1,MATCH(COLUMNS($AB$1006:AH1006),$AB$1006:$AQ$1006,0)))),"Fix")))</f>
        <v>0</v>
      </c>
      <c r="I85" s="5">
        <f>IF(OR(INDEX($V$2:$V$1001,MATCH(ROWS($U$2:U85),$U$2:$U$1001,0),1)&gt;=100000,INDEX($AB$1005:$AQ$1005,1,MATCH(COLUMNS($AB$1006:AI1006),$AB$1006:$AQ$1006,0))&gt;=100000), " ",IF(INDEX($AB$2:$AQ$1001,MATCH(ROWS($U$2:U85),$U$2:$U$1001,0),MATCH(COLUMNS($AB$1006:AI1006),$AB$1006:$AQ$1006,0)), HYPERLINK("#",""), HYPERLINK(CONCATENATE("#Metadata!", ADDRESS(INDEX($W$2:$W$1001,MATCH(ROWS($U$2:U85),$U$2:$U$1001,0),0), INDEX($AB$1004:$AQ$1004,1,MATCH(COLUMNS($AB$1006:AI1006),$AB$1006:$AQ$1006,0)))),"Fix")))</f>
        <v>0</v>
      </c>
      <c r="J85" s="5">
        <f>IF(OR(INDEX($V$2:$V$1001,MATCH(ROWS($U$2:U85),$U$2:$U$1001,0),1)&gt;=100000,INDEX($AB$1005:$AQ$1005,1,MATCH(COLUMNS($AB$1006:AJ1006),$AB$1006:$AQ$1006,0))&gt;=100000), " ",IF(INDEX($AB$2:$AQ$1001,MATCH(ROWS($U$2:U85),$U$2:$U$1001,0),MATCH(COLUMNS($AB$1006:AJ1006),$AB$1006:$AQ$1006,0)), HYPERLINK("#",""), HYPERLINK(CONCATENATE("#Metadata!", ADDRESS(INDEX($W$2:$W$1001,MATCH(ROWS($U$2:U85),$U$2:$U$1001,0),0), INDEX($AB$1004:$AQ$1004,1,MATCH(COLUMNS($AB$1006:AJ1006),$AB$1006:$AQ$1006,0)))),"Fix")))</f>
        <v>0</v>
      </c>
      <c r="K85" s="5">
        <f>IF(OR(INDEX($V$2:$V$1001,MATCH(ROWS($U$2:U85),$U$2:$U$1001,0),1)&gt;=100000,INDEX($AB$1005:$AQ$1005,1,MATCH(COLUMNS($AB$1006:AK1006),$AB$1006:$AQ$1006,0))&gt;=100000), " ",IF(INDEX($AB$2:$AQ$1001,MATCH(ROWS($U$2:U85),$U$2:$U$1001,0),MATCH(COLUMNS($AB$1006:AK1006),$AB$1006:$AQ$1006,0)), HYPERLINK("#",""), HYPERLINK(CONCATENATE("#Metadata!", ADDRESS(INDEX($W$2:$W$1001,MATCH(ROWS($U$2:U85),$U$2:$U$1001,0),0), INDEX($AB$1004:$AQ$1004,1,MATCH(COLUMNS($AB$1006:AK1006),$AB$1006:$AQ$1006,0)))),"Fix")))</f>
        <v>0</v>
      </c>
      <c r="L85" s="5">
        <f>IF(OR(INDEX($V$2:$V$1001,MATCH(ROWS($U$2:U85),$U$2:$U$1001,0),1)&gt;=100000,INDEX($AB$1005:$AQ$1005,1,MATCH(COLUMNS($AB$1006:AL1006),$AB$1006:$AQ$1006,0))&gt;=100000), " ",IF(INDEX($AB$2:$AQ$1001,MATCH(ROWS($U$2:U85),$U$2:$U$1001,0),MATCH(COLUMNS($AB$1006:AL1006),$AB$1006:$AQ$1006,0)), HYPERLINK("#",""), HYPERLINK(CONCATENATE("#Metadata!", ADDRESS(INDEX($W$2:$W$1001,MATCH(ROWS($U$2:U85),$U$2:$U$1001,0),0), INDEX($AB$1004:$AQ$1004,1,MATCH(COLUMNS($AB$1006:AL1006),$AB$1006:$AQ$1006,0)))),"Fix")))</f>
        <v>0</v>
      </c>
      <c r="M85" s="5">
        <f>IF(OR(INDEX($V$2:$V$1001,MATCH(ROWS($U$2:U85),$U$2:$U$1001,0),1)&gt;=100000,INDEX($AB$1005:$AQ$1005,1,MATCH(COLUMNS($AB$1006:AM1006),$AB$1006:$AQ$1006,0))&gt;=100000), " ",IF(INDEX($AB$2:$AQ$1001,MATCH(ROWS($U$2:U85),$U$2:$U$1001,0),MATCH(COLUMNS($AB$1006:AM1006),$AB$1006:$AQ$1006,0)), HYPERLINK("#",""), HYPERLINK(CONCATENATE("#Metadata!", ADDRESS(INDEX($W$2:$W$1001,MATCH(ROWS($U$2:U85),$U$2:$U$1001,0),0), INDEX($AB$1004:$AQ$1004,1,MATCH(COLUMNS($AB$1006:AM1006),$AB$1006:$AQ$1006,0)))),"Fix")))</f>
        <v>0</v>
      </c>
      <c r="N85" s="5">
        <f>IF(OR(INDEX($V$2:$V$1001,MATCH(ROWS($U$2:U85),$U$2:$U$1001,0),1)&gt;=100000,INDEX($AB$1005:$AQ$1005,1,MATCH(COLUMNS($AB$1006:AN1006),$AB$1006:$AQ$1006,0))&gt;=100000), " ",IF(INDEX($AB$2:$AQ$1001,MATCH(ROWS($U$2:U85),$U$2:$U$1001,0),MATCH(COLUMNS($AB$1006:AN1006),$AB$1006:$AQ$1006,0)), HYPERLINK("#",""), HYPERLINK(CONCATENATE("#Metadata!", ADDRESS(INDEX($W$2:$W$1001,MATCH(ROWS($U$2:U85),$U$2:$U$1001,0),0), INDEX($AB$1004:$AQ$1004,1,MATCH(COLUMNS($AB$1006:AN1006),$AB$1006:$AQ$1006,0)))),"Fix")))</f>
        <v>0</v>
      </c>
      <c r="O85" s="5">
        <f>IF(OR(INDEX($V$2:$V$1001,MATCH(ROWS($U$2:U85),$U$2:$U$1001,0),1)&gt;=100000,INDEX($AB$1005:$AQ$1005,1,MATCH(COLUMNS($AB$1006:AO1006),$AB$1006:$AQ$1006,0))&gt;=100000), " ",IF(INDEX($AB$2:$AQ$1001,MATCH(ROWS($U$2:U85),$U$2:$U$1001,0),MATCH(COLUMNS($AB$1006:AO1006),$AB$1006:$AQ$1006,0)), HYPERLINK("#",""), HYPERLINK(CONCATENATE("#Metadata!", ADDRESS(INDEX($W$2:$W$1001,MATCH(ROWS($U$2:U85),$U$2:$U$1001,0),0), INDEX($AB$1004:$AQ$1004,1,MATCH(COLUMNS($AB$1006:AO1006),$AB$1006:$AQ$1006,0)))),"Fix")))</f>
        <v>0</v>
      </c>
      <c r="P85" s="5">
        <f>IF(OR(INDEX($V$2:$V$1001,MATCH(ROWS($U$2:U85),$U$2:$U$1001,0),1)&gt;=100000,INDEX($AB$1005:$AQ$1005,1,MATCH(COLUMNS($AB$1006:AP1006),$AB$1006:$AQ$1006,0))&gt;=100000), " ",IF(INDEX($AB$2:$AQ$1001,MATCH(ROWS($U$2:U85),$U$2:$U$1001,0),MATCH(COLUMNS($AB$1006:AP1006),$AB$1006:$AQ$1006,0)), HYPERLINK("#",""), HYPERLINK(CONCATENATE("#Metadata!", ADDRESS(INDEX($W$2:$W$1001,MATCH(ROWS($U$2:U85),$U$2:$U$1001,0),0), INDEX($AB$1004:$AQ$1004,1,MATCH(COLUMNS($AB$1006:AP1006),$AB$1006:$AQ$1006,0)))),"Fix")))</f>
        <v>0</v>
      </c>
      <c r="Q85" s="5">
        <f>IF(OR(INDEX($V$2:$V$1001,MATCH(ROWS($U$2:U85),$U$2:$U$1001,0),1)&gt;=100000,INDEX($AB$1005:$AQ$1005,1,MATCH(COLUMNS($AB$1006:AQ1006),$AB$1006:$AQ$1006,0))&gt;=100000), " ",IF(INDEX($AB$2:$AQ$1001,MATCH(ROWS($U$2:U85),$U$2:$U$1001,0),MATCH(COLUMNS($AB$1006:AQ1006),$AB$1006:$AQ$1006,0)), HYPERLINK("#",""), HYPERLINK(CONCATENATE("#Metadata!", ADDRESS(INDEX($W$2:$W$1001,MATCH(ROWS($U$2:U85),$U$2:$U$1001,0),0), INDEX($AB$1004:$AQ$1004,1,MATCH(COLUMNS($AB$1006:AQ1006),$AB$1006:$AQ$1006,0)))),"Fix")))</f>
        <v>0</v>
      </c>
      <c r="U85">
        <v>0</v>
      </c>
      <c r="V85">
        <v>0</v>
      </c>
      <c r="W85">
        <v>0</v>
      </c>
      <c r="X85">
        <f>IF(Y85,TRUE,AND(AB85:AQ85))</f>
        <v>0</v>
      </c>
      <c r="Y85">
        <f>COUNTBLANK(Metadata!B85:Q85)=COLUMNS(Metadata!B85:Q85)</f>
        <v>0</v>
      </c>
      <c r="Z85">
        <v>0</v>
      </c>
      <c r="AB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AC85">
        <f>AND(IF(Metadata!C85="",FALSE,TRUE),exact(Metadata!C85,"urban biome"))</f>
        <v>0</v>
      </c>
      <c r="AD85">
        <f>AND(IF(Metadata!D85="",FALSE,TRUE),exact(Metadata!D85,"human-associated habitat"))</f>
        <v>0</v>
      </c>
      <c r="AE85">
        <f>AND(IF(Metadata!E85="",FALSE,TRUE),OR(exact(Metadata!E85,"human-associated"),exact(Metadata!E85,"human-skin"),exact(Metadata!E85,"human-oral"),exact(Metadata!E85,"human-gut"),exact(Metadata!E85,"human-vaginal")))</f>
        <v>0</v>
      </c>
      <c r="AF85">
        <f>AND(IF(Metadata!F85="",FALSE,ISNUMBER(VALUE(Metadata!F85))),Metadata!F85&gt;0)</f>
        <v>0</v>
      </c>
      <c r="AG85">
        <f>AND(IF(Metadata!G85="",FALSE,TRUE),exact(Metadata!G85,"years"))</f>
        <v>0</v>
      </c>
      <c r="AH85">
        <f>OR(AND(IF(Metadata!H85="",FALSE,TRUE),OR(exact(Metadata!H85,"not applicable"),exact(Metadata!H85,"not collected"),exact(Metadata!H85,"not provided"),exact(Metadata!H85,"restricted access"))),AND(IF(Metadata!H85="",FALSE,ISNUMBER(VALUE(Metadata!H85))),Metadata!H85&gt;0))</f>
        <v>0</v>
      </c>
      <c r="AI85">
        <f>AND(IF(Metadata!I85="",FALSE,TRUE),exact(Metadata!I85,"human"))</f>
        <v>0</v>
      </c>
      <c r="AJ85">
        <f>AND(IF(Metadata!J85="",FALSE,ISNUMBER(VALUE(Metadata!J85))),Metadata!J85&gt;0)</f>
        <v>0</v>
      </c>
      <c r="AK85">
        <f>AND(IF(Metadata!K85="",FALSE,TRUE),exact(Metadata!K85,"cm"))</f>
        <v>0</v>
      </c>
      <c r="AL85">
        <f>AND(IF(Metadata!L85="",FALSE,TRUE),exact(Metadata!L85,"Homo sapiens"))</f>
        <v>0</v>
      </c>
      <c r="AM85">
        <f>AND(IF(Metadata!M85="",FALSE,TRUE),exact(Metadata!M85,"9606"))</f>
        <v>0</v>
      </c>
      <c r="AN85">
        <f>AND(IF(Metadata!N85="",FALSE,ISNUMBER(VALUE(Metadata!N85))),Metadata!N85&gt;0)</f>
        <v>0</v>
      </c>
      <c r="AO85">
        <f>AND(IF(Metadata!O85="",FALSE,TRUE),exact(Metadata!O85,"kg"))</f>
        <v>0</v>
      </c>
      <c r="AP85">
        <f>OR(AND(IF(Metadata!P85="",FALSE,TRUE),exact(Metadata!P85,"not provided")),IF(Metadata!P85="",FALSE,TRUE))</f>
        <v>0</v>
      </c>
      <c r="AQ85">
        <f>OR(AND(IF(Metadata!Q85="",FALSE,TRUE),exact(Metadata!Q85,"not provided")),IF(Metadata!Q85="",FALSE,TRUE))</f>
        <v>0</v>
      </c>
    </row>
    <row r="86" spans="1:43">
      <c r="A86" s="4">
        <f>IF(B86=" "," ",HYPERLINK(CONCATENATE("#metadata!",ADDRESS(INDEX($W$2:$W$1001,MATCH(ROWS($U$2:U86),$U$2:$U$1001,0),0),2)),INDEX($Z$2:$Z$1001,MATCH(ROWS($U$2:U86),$U$2:$U$1001,0),0)))</f>
        <v>0</v>
      </c>
      <c r="B86" s="5">
        <f>IF(OR(INDEX($V$2:$V$1001,MATCH(ROWS($U$2:U86),$U$2:$U$1001,0),1)&gt;=100000,INDEX($AB$1005:$AQ$1005,1,MATCH(COLUMNS($AB$1006:AB1006),$AB$1006:$AQ$1006,0))&gt;=100000), " ",IF(INDEX($AB$2:$AQ$1001,MATCH(ROWS($U$2:U86),$U$2:$U$1001,0),MATCH(COLUMNS($AB$1006:AB1006),$AB$1006:$AQ$1006,0)), HYPERLINK("#",""), HYPERLINK(CONCATENATE("#Metadata!", ADDRESS(INDEX($W$2:$W$1001,MATCH(ROWS($U$2:U86),$U$2:$U$1001,0),0), INDEX($AB$1004:$AQ$1004,1,MATCH(COLUMNS($AB$1006:AB1006),$AB$1006:$AQ$1006,0)))),"Fix")))</f>
        <v>0</v>
      </c>
      <c r="C86" s="5">
        <f>IF(OR(INDEX($V$2:$V$1001,MATCH(ROWS($U$2:U86),$U$2:$U$1001,0),1)&gt;=100000,INDEX($AB$1005:$AQ$1005,1,MATCH(COLUMNS($AB$1006:AC1006),$AB$1006:$AQ$1006,0))&gt;=100000), " ",IF(INDEX($AB$2:$AQ$1001,MATCH(ROWS($U$2:U86),$U$2:$U$1001,0),MATCH(COLUMNS($AB$1006:AC1006),$AB$1006:$AQ$1006,0)), HYPERLINK("#",""), HYPERLINK(CONCATENATE("#Metadata!", ADDRESS(INDEX($W$2:$W$1001,MATCH(ROWS($U$2:U86),$U$2:$U$1001,0),0), INDEX($AB$1004:$AQ$1004,1,MATCH(COLUMNS($AB$1006:AC1006),$AB$1006:$AQ$1006,0)))),"Fix")))</f>
        <v>0</v>
      </c>
      <c r="D86" s="5">
        <f>IF(OR(INDEX($V$2:$V$1001,MATCH(ROWS($U$2:U86),$U$2:$U$1001,0),1)&gt;=100000,INDEX($AB$1005:$AQ$1005,1,MATCH(COLUMNS($AB$1006:AD1006),$AB$1006:$AQ$1006,0))&gt;=100000), " ",IF(INDEX($AB$2:$AQ$1001,MATCH(ROWS($U$2:U86),$U$2:$U$1001,0),MATCH(COLUMNS($AB$1006:AD1006),$AB$1006:$AQ$1006,0)), HYPERLINK("#",""), HYPERLINK(CONCATENATE("#Metadata!", ADDRESS(INDEX($W$2:$W$1001,MATCH(ROWS($U$2:U86),$U$2:$U$1001,0),0), INDEX($AB$1004:$AQ$1004,1,MATCH(COLUMNS($AB$1006:AD1006),$AB$1006:$AQ$1006,0)))),"Fix")))</f>
        <v>0</v>
      </c>
      <c r="E86" s="5">
        <f>IF(OR(INDEX($V$2:$V$1001,MATCH(ROWS($U$2:U86),$U$2:$U$1001,0),1)&gt;=100000,INDEX($AB$1005:$AQ$1005,1,MATCH(COLUMNS($AB$1006:AE1006),$AB$1006:$AQ$1006,0))&gt;=100000), " ",IF(INDEX($AB$2:$AQ$1001,MATCH(ROWS($U$2:U86),$U$2:$U$1001,0),MATCH(COLUMNS($AB$1006:AE1006),$AB$1006:$AQ$1006,0)), HYPERLINK("#",""), HYPERLINK(CONCATENATE("#Metadata!", ADDRESS(INDEX($W$2:$W$1001,MATCH(ROWS($U$2:U86),$U$2:$U$1001,0),0), INDEX($AB$1004:$AQ$1004,1,MATCH(COLUMNS($AB$1006:AE1006),$AB$1006:$AQ$1006,0)))),"Fix")))</f>
        <v>0</v>
      </c>
      <c r="F86" s="5">
        <f>IF(OR(INDEX($V$2:$V$1001,MATCH(ROWS($U$2:U86),$U$2:$U$1001,0),1)&gt;=100000,INDEX($AB$1005:$AQ$1005,1,MATCH(COLUMNS($AB$1006:AF1006),$AB$1006:$AQ$1006,0))&gt;=100000), " ",IF(INDEX($AB$2:$AQ$1001,MATCH(ROWS($U$2:U86),$U$2:$U$1001,0),MATCH(COLUMNS($AB$1006:AF1006),$AB$1006:$AQ$1006,0)), HYPERLINK("#",""), HYPERLINK(CONCATENATE("#Metadata!", ADDRESS(INDEX($W$2:$W$1001,MATCH(ROWS($U$2:U86),$U$2:$U$1001,0),0), INDEX($AB$1004:$AQ$1004,1,MATCH(COLUMNS($AB$1006:AF1006),$AB$1006:$AQ$1006,0)))),"Fix")))</f>
        <v>0</v>
      </c>
      <c r="G86" s="5">
        <f>IF(OR(INDEX($V$2:$V$1001,MATCH(ROWS($U$2:U86),$U$2:$U$1001,0),1)&gt;=100000,INDEX($AB$1005:$AQ$1005,1,MATCH(COLUMNS($AB$1006:AG1006),$AB$1006:$AQ$1006,0))&gt;=100000), " ",IF(INDEX($AB$2:$AQ$1001,MATCH(ROWS($U$2:U86),$U$2:$U$1001,0),MATCH(COLUMNS($AB$1006:AG1006),$AB$1006:$AQ$1006,0)), HYPERLINK("#",""), HYPERLINK(CONCATENATE("#Metadata!", ADDRESS(INDEX($W$2:$W$1001,MATCH(ROWS($U$2:U86),$U$2:$U$1001,0),0), INDEX($AB$1004:$AQ$1004,1,MATCH(COLUMNS($AB$1006:AG1006),$AB$1006:$AQ$1006,0)))),"Fix")))</f>
        <v>0</v>
      </c>
      <c r="H86" s="5">
        <f>IF(OR(INDEX($V$2:$V$1001,MATCH(ROWS($U$2:U86),$U$2:$U$1001,0),1)&gt;=100000,INDEX($AB$1005:$AQ$1005,1,MATCH(COLUMNS($AB$1006:AH1006),$AB$1006:$AQ$1006,0))&gt;=100000), " ",IF(INDEX($AB$2:$AQ$1001,MATCH(ROWS($U$2:U86),$U$2:$U$1001,0),MATCH(COLUMNS($AB$1006:AH1006),$AB$1006:$AQ$1006,0)), HYPERLINK("#",""), HYPERLINK(CONCATENATE("#Metadata!", ADDRESS(INDEX($W$2:$W$1001,MATCH(ROWS($U$2:U86),$U$2:$U$1001,0),0), INDEX($AB$1004:$AQ$1004,1,MATCH(COLUMNS($AB$1006:AH1006),$AB$1006:$AQ$1006,0)))),"Fix")))</f>
        <v>0</v>
      </c>
      <c r="I86" s="5">
        <f>IF(OR(INDEX($V$2:$V$1001,MATCH(ROWS($U$2:U86),$U$2:$U$1001,0),1)&gt;=100000,INDEX($AB$1005:$AQ$1005,1,MATCH(COLUMNS($AB$1006:AI1006),$AB$1006:$AQ$1006,0))&gt;=100000), " ",IF(INDEX($AB$2:$AQ$1001,MATCH(ROWS($U$2:U86),$U$2:$U$1001,0),MATCH(COLUMNS($AB$1006:AI1006),$AB$1006:$AQ$1006,0)), HYPERLINK("#",""), HYPERLINK(CONCATENATE("#Metadata!", ADDRESS(INDEX($W$2:$W$1001,MATCH(ROWS($U$2:U86),$U$2:$U$1001,0),0), INDEX($AB$1004:$AQ$1004,1,MATCH(COLUMNS($AB$1006:AI1006),$AB$1006:$AQ$1006,0)))),"Fix")))</f>
        <v>0</v>
      </c>
      <c r="J86" s="5">
        <f>IF(OR(INDEX($V$2:$V$1001,MATCH(ROWS($U$2:U86),$U$2:$U$1001,0),1)&gt;=100000,INDEX($AB$1005:$AQ$1005,1,MATCH(COLUMNS($AB$1006:AJ1006),$AB$1006:$AQ$1006,0))&gt;=100000), " ",IF(INDEX($AB$2:$AQ$1001,MATCH(ROWS($U$2:U86),$U$2:$U$1001,0),MATCH(COLUMNS($AB$1006:AJ1006),$AB$1006:$AQ$1006,0)), HYPERLINK("#",""), HYPERLINK(CONCATENATE("#Metadata!", ADDRESS(INDEX($W$2:$W$1001,MATCH(ROWS($U$2:U86),$U$2:$U$1001,0),0), INDEX($AB$1004:$AQ$1004,1,MATCH(COLUMNS($AB$1006:AJ1006),$AB$1006:$AQ$1006,0)))),"Fix")))</f>
        <v>0</v>
      </c>
      <c r="K86" s="5">
        <f>IF(OR(INDEX($V$2:$V$1001,MATCH(ROWS($U$2:U86),$U$2:$U$1001,0),1)&gt;=100000,INDEX($AB$1005:$AQ$1005,1,MATCH(COLUMNS($AB$1006:AK1006),$AB$1006:$AQ$1006,0))&gt;=100000), " ",IF(INDEX($AB$2:$AQ$1001,MATCH(ROWS($U$2:U86),$U$2:$U$1001,0),MATCH(COLUMNS($AB$1006:AK1006),$AB$1006:$AQ$1006,0)), HYPERLINK("#",""), HYPERLINK(CONCATENATE("#Metadata!", ADDRESS(INDEX($W$2:$W$1001,MATCH(ROWS($U$2:U86),$U$2:$U$1001,0),0), INDEX($AB$1004:$AQ$1004,1,MATCH(COLUMNS($AB$1006:AK1006),$AB$1006:$AQ$1006,0)))),"Fix")))</f>
        <v>0</v>
      </c>
      <c r="L86" s="5">
        <f>IF(OR(INDEX($V$2:$V$1001,MATCH(ROWS($U$2:U86),$U$2:$U$1001,0),1)&gt;=100000,INDEX($AB$1005:$AQ$1005,1,MATCH(COLUMNS($AB$1006:AL1006),$AB$1006:$AQ$1006,0))&gt;=100000), " ",IF(INDEX($AB$2:$AQ$1001,MATCH(ROWS($U$2:U86),$U$2:$U$1001,0),MATCH(COLUMNS($AB$1006:AL1006),$AB$1006:$AQ$1006,0)), HYPERLINK("#",""), HYPERLINK(CONCATENATE("#Metadata!", ADDRESS(INDEX($W$2:$W$1001,MATCH(ROWS($U$2:U86),$U$2:$U$1001,0),0), INDEX($AB$1004:$AQ$1004,1,MATCH(COLUMNS($AB$1006:AL1006),$AB$1006:$AQ$1006,0)))),"Fix")))</f>
        <v>0</v>
      </c>
      <c r="M86" s="5">
        <f>IF(OR(INDEX($V$2:$V$1001,MATCH(ROWS($U$2:U86),$U$2:$U$1001,0),1)&gt;=100000,INDEX($AB$1005:$AQ$1005,1,MATCH(COLUMNS($AB$1006:AM1006),$AB$1006:$AQ$1006,0))&gt;=100000), " ",IF(INDEX($AB$2:$AQ$1001,MATCH(ROWS($U$2:U86),$U$2:$U$1001,0),MATCH(COLUMNS($AB$1006:AM1006),$AB$1006:$AQ$1006,0)), HYPERLINK("#",""), HYPERLINK(CONCATENATE("#Metadata!", ADDRESS(INDEX($W$2:$W$1001,MATCH(ROWS($U$2:U86),$U$2:$U$1001,0),0), INDEX($AB$1004:$AQ$1004,1,MATCH(COLUMNS($AB$1006:AM1006),$AB$1006:$AQ$1006,0)))),"Fix")))</f>
        <v>0</v>
      </c>
      <c r="N86" s="5">
        <f>IF(OR(INDEX($V$2:$V$1001,MATCH(ROWS($U$2:U86),$U$2:$U$1001,0),1)&gt;=100000,INDEX($AB$1005:$AQ$1005,1,MATCH(COLUMNS($AB$1006:AN1006),$AB$1006:$AQ$1006,0))&gt;=100000), " ",IF(INDEX($AB$2:$AQ$1001,MATCH(ROWS($U$2:U86),$U$2:$U$1001,0),MATCH(COLUMNS($AB$1006:AN1006),$AB$1006:$AQ$1006,0)), HYPERLINK("#",""), HYPERLINK(CONCATENATE("#Metadata!", ADDRESS(INDEX($W$2:$W$1001,MATCH(ROWS($U$2:U86),$U$2:$U$1001,0),0), INDEX($AB$1004:$AQ$1004,1,MATCH(COLUMNS($AB$1006:AN1006),$AB$1006:$AQ$1006,0)))),"Fix")))</f>
        <v>0</v>
      </c>
      <c r="O86" s="5">
        <f>IF(OR(INDEX($V$2:$V$1001,MATCH(ROWS($U$2:U86),$U$2:$U$1001,0),1)&gt;=100000,INDEX($AB$1005:$AQ$1005,1,MATCH(COLUMNS($AB$1006:AO1006),$AB$1006:$AQ$1006,0))&gt;=100000), " ",IF(INDEX($AB$2:$AQ$1001,MATCH(ROWS($U$2:U86),$U$2:$U$1001,0),MATCH(COLUMNS($AB$1006:AO1006),$AB$1006:$AQ$1006,0)), HYPERLINK("#",""), HYPERLINK(CONCATENATE("#Metadata!", ADDRESS(INDEX($W$2:$W$1001,MATCH(ROWS($U$2:U86),$U$2:$U$1001,0),0), INDEX($AB$1004:$AQ$1004,1,MATCH(COLUMNS($AB$1006:AO1006),$AB$1006:$AQ$1006,0)))),"Fix")))</f>
        <v>0</v>
      </c>
      <c r="P86" s="5">
        <f>IF(OR(INDEX($V$2:$V$1001,MATCH(ROWS($U$2:U86),$U$2:$U$1001,0),1)&gt;=100000,INDEX($AB$1005:$AQ$1005,1,MATCH(COLUMNS($AB$1006:AP1006),$AB$1006:$AQ$1006,0))&gt;=100000), " ",IF(INDEX($AB$2:$AQ$1001,MATCH(ROWS($U$2:U86),$U$2:$U$1001,0),MATCH(COLUMNS($AB$1006:AP1006),$AB$1006:$AQ$1006,0)), HYPERLINK("#",""), HYPERLINK(CONCATENATE("#Metadata!", ADDRESS(INDEX($W$2:$W$1001,MATCH(ROWS($U$2:U86),$U$2:$U$1001,0),0), INDEX($AB$1004:$AQ$1004,1,MATCH(COLUMNS($AB$1006:AP1006),$AB$1006:$AQ$1006,0)))),"Fix")))</f>
        <v>0</v>
      </c>
      <c r="Q86" s="5">
        <f>IF(OR(INDEX($V$2:$V$1001,MATCH(ROWS($U$2:U86),$U$2:$U$1001,0),1)&gt;=100000,INDEX($AB$1005:$AQ$1005,1,MATCH(COLUMNS($AB$1006:AQ1006),$AB$1006:$AQ$1006,0))&gt;=100000), " ",IF(INDEX($AB$2:$AQ$1001,MATCH(ROWS($U$2:U86),$U$2:$U$1001,0),MATCH(COLUMNS($AB$1006:AQ1006),$AB$1006:$AQ$1006,0)), HYPERLINK("#",""), HYPERLINK(CONCATENATE("#Metadata!", ADDRESS(INDEX($W$2:$W$1001,MATCH(ROWS($U$2:U86),$U$2:$U$1001,0),0), INDEX($AB$1004:$AQ$1004,1,MATCH(COLUMNS($AB$1006:AQ1006),$AB$1006:$AQ$1006,0)))),"Fix")))</f>
        <v>0</v>
      </c>
      <c r="U86">
        <v>0</v>
      </c>
      <c r="V86">
        <v>0</v>
      </c>
      <c r="W86">
        <v>0</v>
      </c>
      <c r="X86">
        <f>IF(Y86,TRUE,AND(AB86:AQ86))</f>
        <v>0</v>
      </c>
      <c r="Y86">
        <f>COUNTBLANK(Metadata!B86:Q86)=COLUMNS(Metadata!B86:Q86)</f>
        <v>0</v>
      </c>
      <c r="Z86">
        <v>0</v>
      </c>
      <c r="AB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AC86">
        <f>AND(IF(Metadata!C86="",FALSE,TRUE),exact(Metadata!C86,"urban biome"))</f>
        <v>0</v>
      </c>
      <c r="AD86">
        <f>AND(IF(Metadata!D86="",FALSE,TRUE),exact(Metadata!D86,"human-associated habitat"))</f>
        <v>0</v>
      </c>
      <c r="AE86">
        <f>AND(IF(Metadata!E86="",FALSE,TRUE),OR(exact(Metadata!E86,"human-associated"),exact(Metadata!E86,"human-skin"),exact(Metadata!E86,"human-oral"),exact(Metadata!E86,"human-gut"),exact(Metadata!E86,"human-vaginal")))</f>
        <v>0</v>
      </c>
      <c r="AF86">
        <f>AND(IF(Metadata!F86="",FALSE,ISNUMBER(VALUE(Metadata!F86))),Metadata!F86&gt;0)</f>
        <v>0</v>
      </c>
      <c r="AG86">
        <f>AND(IF(Metadata!G86="",FALSE,TRUE),exact(Metadata!G86,"years"))</f>
        <v>0</v>
      </c>
      <c r="AH86">
        <f>OR(AND(IF(Metadata!H86="",FALSE,TRUE),OR(exact(Metadata!H86,"not applicable"),exact(Metadata!H86,"not collected"),exact(Metadata!H86,"not provided"),exact(Metadata!H86,"restricted access"))),AND(IF(Metadata!H86="",FALSE,ISNUMBER(VALUE(Metadata!H86))),Metadata!H86&gt;0))</f>
        <v>0</v>
      </c>
      <c r="AI86">
        <f>AND(IF(Metadata!I86="",FALSE,TRUE),exact(Metadata!I86,"human"))</f>
        <v>0</v>
      </c>
      <c r="AJ86">
        <f>AND(IF(Metadata!J86="",FALSE,ISNUMBER(VALUE(Metadata!J86))),Metadata!J86&gt;0)</f>
        <v>0</v>
      </c>
      <c r="AK86">
        <f>AND(IF(Metadata!K86="",FALSE,TRUE),exact(Metadata!K86,"cm"))</f>
        <v>0</v>
      </c>
      <c r="AL86">
        <f>AND(IF(Metadata!L86="",FALSE,TRUE),exact(Metadata!L86,"Homo sapiens"))</f>
        <v>0</v>
      </c>
      <c r="AM86">
        <f>AND(IF(Metadata!M86="",FALSE,TRUE),exact(Metadata!M86,"9606"))</f>
        <v>0</v>
      </c>
      <c r="AN86">
        <f>AND(IF(Metadata!N86="",FALSE,ISNUMBER(VALUE(Metadata!N86))),Metadata!N86&gt;0)</f>
        <v>0</v>
      </c>
      <c r="AO86">
        <f>AND(IF(Metadata!O86="",FALSE,TRUE),exact(Metadata!O86,"kg"))</f>
        <v>0</v>
      </c>
      <c r="AP86">
        <f>OR(AND(IF(Metadata!P86="",FALSE,TRUE),exact(Metadata!P86,"not provided")),IF(Metadata!P86="",FALSE,TRUE))</f>
        <v>0</v>
      </c>
      <c r="AQ86">
        <f>OR(AND(IF(Metadata!Q86="",FALSE,TRUE),exact(Metadata!Q86,"not provided")),IF(Metadata!Q86="",FALSE,TRUE))</f>
        <v>0</v>
      </c>
    </row>
    <row r="87" spans="1:43">
      <c r="A87" s="4">
        <f>IF(B87=" "," ",HYPERLINK(CONCATENATE("#metadata!",ADDRESS(INDEX($W$2:$W$1001,MATCH(ROWS($U$2:U87),$U$2:$U$1001,0),0),2)),INDEX($Z$2:$Z$1001,MATCH(ROWS($U$2:U87),$U$2:$U$1001,0),0)))</f>
        <v>0</v>
      </c>
      <c r="B87" s="5">
        <f>IF(OR(INDEX($V$2:$V$1001,MATCH(ROWS($U$2:U87),$U$2:$U$1001,0),1)&gt;=100000,INDEX($AB$1005:$AQ$1005,1,MATCH(COLUMNS($AB$1006:AB1006),$AB$1006:$AQ$1006,0))&gt;=100000), " ",IF(INDEX($AB$2:$AQ$1001,MATCH(ROWS($U$2:U87),$U$2:$U$1001,0),MATCH(COLUMNS($AB$1006:AB1006),$AB$1006:$AQ$1006,0)), HYPERLINK("#",""), HYPERLINK(CONCATENATE("#Metadata!", ADDRESS(INDEX($W$2:$W$1001,MATCH(ROWS($U$2:U87),$U$2:$U$1001,0),0), INDEX($AB$1004:$AQ$1004,1,MATCH(COLUMNS($AB$1006:AB1006),$AB$1006:$AQ$1006,0)))),"Fix")))</f>
        <v>0</v>
      </c>
      <c r="C87" s="5">
        <f>IF(OR(INDEX($V$2:$V$1001,MATCH(ROWS($U$2:U87),$U$2:$U$1001,0),1)&gt;=100000,INDEX($AB$1005:$AQ$1005,1,MATCH(COLUMNS($AB$1006:AC1006),$AB$1006:$AQ$1006,0))&gt;=100000), " ",IF(INDEX($AB$2:$AQ$1001,MATCH(ROWS($U$2:U87),$U$2:$U$1001,0),MATCH(COLUMNS($AB$1006:AC1006),$AB$1006:$AQ$1006,0)), HYPERLINK("#",""), HYPERLINK(CONCATENATE("#Metadata!", ADDRESS(INDEX($W$2:$W$1001,MATCH(ROWS($U$2:U87),$U$2:$U$1001,0),0), INDEX($AB$1004:$AQ$1004,1,MATCH(COLUMNS($AB$1006:AC1006),$AB$1006:$AQ$1006,0)))),"Fix")))</f>
        <v>0</v>
      </c>
      <c r="D87" s="5">
        <f>IF(OR(INDEX($V$2:$V$1001,MATCH(ROWS($U$2:U87),$U$2:$U$1001,0),1)&gt;=100000,INDEX($AB$1005:$AQ$1005,1,MATCH(COLUMNS($AB$1006:AD1006),$AB$1006:$AQ$1006,0))&gt;=100000), " ",IF(INDEX($AB$2:$AQ$1001,MATCH(ROWS($U$2:U87),$U$2:$U$1001,0),MATCH(COLUMNS($AB$1006:AD1006),$AB$1006:$AQ$1006,0)), HYPERLINK("#",""), HYPERLINK(CONCATENATE("#Metadata!", ADDRESS(INDEX($W$2:$W$1001,MATCH(ROWS($U$2:U87),$U$2:$U$1001,0),0), INDEX($AB$1004:$AQ$1004,1,MATCH(COLUMNS($AB$1006:AD1006),$AB$1006:$AQ$1006,0)))),"Fix")))</f>
        <v>0</v>
      </c>
      <c r="E87" s="5">
        <f>IF(OR(INDEX($V$2:$V$1001,MATCH(ROWS($U$2:U87),$U$2:$U$1001,0),1)&gt;=100000,INDEX($AB$1005:$AQ$1005,1,MATCH(COLUMNS($AB$1006:AE1006),$AB$1006:$AQ$1006,0))&gt;=100000), " ",IF(INDEX($AB$2:$AQ$1001,MATCH(ROWS($U$2:U87),$U$2:$U$1001,0),MATCH(COLUMNS($AB$1006:AE1006),$AB$1006:$AQ$1006,0)), HYPERLINK("#",""), HYPERLINK(CONCATENATE("#Metadata!", ADDRESS(INDEX($W$2:$W$1001,MATCH(ROWS($U$2:U87),$U$2:$U$1001,0),0), INDEX($AB$1004:$AQ$1004,1,MATCH(COLUMNS($AB$1006:AE1006),$AB$1006:$AQ$1006,0)))),"Fix")))</f>
        <v>0</v>
      </c>
      <c r="F87" s="5">
        <f>IF(OR(INDEX($V$2:$V$1001,MATCH(ROWS($U$2:U87),$U$2:$U$1001,0),1)&gt;=100000,INDEX($AB$1005:$AQ$1005,1,MATCH(COLUMNS($AB$1006:AF1006),$AB$1006:$AQ$1006,0))&gt;=100000), " ",IF(INDEX($AB$2:$AQ$1001,MATCH(ROWS($U$2:U87),$U$2:$U$1001,0),MATCH(COLUMNS($AB$1006:AF1006),$AB$1006:$AQ$1006,0)), HYPERLINK("#",""), HYPERLINK(CONCATENATE("#Metadata!", ADDRESS(INDEX($W$2:$W$1001,MATCH(ROWS($U$2:U87),$U$2:$U$1001,0),0), INDEX($AB$1004:$AQ$1004,1,MATCH(COLUMNS($AB$1006:AF1006),$AB$1006:$AQ$1006,0)))),"Fix")))</f>
        <v>0</v>
      </c>
      <c r="G87" s="5">
        <f>IF(OR(INDEX($V$2:$V$1001,MATCH(ROWS($U$2:U87),$U$2:$U$1001,0),1)&gt;=100000,INDEX($AB$1005:$AQ$1005,1,MATCH(COLUMNS($AB$1006:AG1006),$AB$1006:$AQ$1006,0))&gt;=100000), " ",IF(INDEX($AB$2:$AQ$1001,MATCH(ROWS($U$2:U87),$U$2:$U$1001,0),MATCH(COLUMNS($AB$1006:AG1006),$AB$1006:$AQ$1006,0)), HYPERLINK("#",""), HYPERLINK(CONCATENATE("#Metadata!", ADDRESS(INDEX($W$2:$W$1001,MATCH(ROWS($U$2:U87),$U$2:$U$1001,0),0), INDEX($AB$1004:$AQ$1004,1,MATCH(COLUMNS($AB$1006:AG1006),$AB$1006:$AQ$1006,0)))),"Fix")))</f>
        <v>0</v>
      </c>
      <c r="H87" s="5">
        <f>IF(OR(INDEX($V$2:$V$1001,MATCH(ROWS($U$2:U87),$U$2:$U$1001,0),1)&gt;=100000,INDEX($AB$1005:$AQ$1005,1,MATCH(COLUMNS($AB$1006:AH1006),$AB$1006:$AQ$1006,0))&gt;=100000), " ",IF(INDEX($AB$2:$AQ$1001,MATCH(ROWS($U$2:U87),$U$2:$U$1001,0),MATCH(COLUMNS($AB$1006:AH1006),$AB$1006:$AQ$1006,0)), HYPERLINK("#",""), HYPERLINK(CONCATENATE("#Metadata!", ADDRESS(INDEX($W$2:$W$1001,MATCH(ROWS($U$2:U87),$U$2:$U$1001,0),0), INDEX($AB$1004:$AQ$1004,1,MATCH(COLUMNS($AB$1006:AH1006),$AB$1006:$AQ$1006,0)))),"Fix")))</f>
        <v>0</v>
      </c>
      <c r="I87" s="5">
        <f>IF(OR(INDEX($V$2:$V$1001,MATCH(ROWS($U$2:U87),$U$2:$U$1001,0),1)&gt;=100000,INDEX($AB$1005:$AQ$1005,1,MATCH(COLUMNS($AB$1006:AI1006),$AB$1006:$AQ$1006,0))&gt;=100000), " ",IF(INDEX($AB$2:$AQ$1001,MATCH(ROWS($U$2:U87),$U$2:$U$1001,0),MATCH(COLUMNS($AB$1006:AI1006),$AB$1006:$AQ$1006,0)), HYPERLINK("#",""), HYPERLINK(CONCATENATE("#Metadata!", ADDRESS(INDEX($W$2:$W$1001,MATCH(ROWS($U$2:U87),$U$2:$U$1001,0),0), INDEX($AB$1004:$AQ$1004,1,MATCH(COLUMNS($AB$1006:AI1006),$AB$1006:$AQ$1006,0)))),"Fix")))</f>
        <v>0</v>
      </c>
      <c r="J87" s="5">
        <f>IF(OR(INDEX($V$2:$V$1001,MATCH(ROWS($U$2:U87),$U$2:$U$1001,0),1)&gt;=100000,INDEX($AB$1005:$AQ$1005,1,MATCH(COLUMNS($AB$1006:AJ1006),$AB$1006:$AQ$1006,0))&gt;=100000), " ",IF(INDEX($AB$2:$AQ$1001,MATCH(ROWS($U$2:U87),$U$2:$U$1001,0),MATCH(COLUMNS($AB$1006:AJ1006),$AB$1006:$AQ$1006,0)), HYPERLINK("#",""), HYPERLINK(CONCATENATE("#Metadata!", ADDRESS(INDEX($W$2:$W$1001,MATCH(ROWS($U$2:U87),$U$2:$U$1001,0),0), INDEX($AB$1004:$AQ$1004,1,MATCH(COLUMNS($AB$1006:AJ1006),$AB$1006:$AQ$1006,0)))),"Fix")))</f>
        <v>0</v>
      </c>
      <c r="K87" s="5">
        <f>IF(OR(INDEX($V$2:$V$1001,MATCH(ROWS($U$2:U87),$U$2:$U$1001,0),1)&gt;=100000,INDEX($AB$1005:$AQ$1005,1,MATCH(COLUMNS($AB$1006:AK1006),$AB$1006:$AQ$1006,0))&gt;=100000), " ",IF(INDEX($AB$2:$AQ$1001,MATCH(ROWS($U$2:U87),$U$2:$U$1001,0),MATCH(COLUMNS($AB$1006:AK1006),$AB$1006:$AQ$1006,0)), HYPERLINK("#",""), HYPERLINK(CONCATENATE("#Metadata!", ADDRESS(INDEX($W$2:$W$1001,MATCH(ROWS($U$2:U87),$U$2:$U$1001,0),0), INDEX($AB$1004:$AQ$1004,1,MATCH(COLUMNS($AB$1006:AK1006),$AB$1006:$AQ$1006,0)))),"Fix")))</f>
        <v>0</v>
      </c>
      <c r="L87" s="5">
        <f>IF(OR(INDEX($V$2:$V$1001,MATCH(ROWS($U$2:U87),$U$2:$U$1001,0),1)&gt;=100000,INDEX($AB$1005:$AQ$1005,1,MATCH(COLUMNS($AB$1006:AL1006),$AB$1006:$AQ$1006,0))&gt;=100000), " ",IF(INDEX($AB$2:$AQ$1001,MATCH(ROWS($U$2:U87),$U$2:$U$1001,0),MATCH(COLUMNS($AB$1006:AL1006),$AB$1006:$AQ$1006,0)), HYPERLINK("#",""), HYPERLINK(CONCATENATE("#Metadata!", ADDRESS(INDEX($W$2:$W$1001,MATCH(ROWS($U$2:U87),$U$2:$U$1001,0),0), INDEX($AB$1004:$AQ$1004,1,MATCH(COLUMNS($AB$1006:AL1006),$AB$1006:$AQ$1006,0)))),"Fix")))</f>
        <v>0</v>
      </c>
      <c r="M87" s="5">
        <f>IF(OR(INDEX($V$2:$V$1001,MATCH(ROWS($U$2:U87),$U$2:$U$1001,0),1)&gt;=100000,INDEX($AB$1005:$AQ$1005,1,MATCH(COLUMNS($AB$1006:AM1006),$AB$1006:$AQ$1006,0))&gt;=100000), " ",IF(INDEX($AB$2:$AQ$1001,MATCH(ROWS($U$2:U87),$U$2:$U$1001,0),MATCH(COLUMNS($AB$1006:AM1006),$AB$1006:$AQ$1006,0)), HYPERLINK("#",""), HYPERLINK(CONCATENATE("#Metadata!", ADDRESS(INDEX($W$2:$W$1001,MATCH(ROWS($U$2:U87),$U$2:$U$1001,0),0), INDEX($AB$1004:$AQ$1004,1,MATCH(COLUMNS($AB$1006:AM1006),$AB$1006:$AQ$1006,0)))),"Fix")))</f>
        <v>0</v>
      </c>
      <c r="N87" s="5">
        <f>IF(OR(INDEX($V$2:$V$1001,MATCH(ROWS($U$2:U87),$U$2:$U$1001,0),1)&gt;=100000,INDEX($AB$1005:$AQ$1005,1,MATCH(COLUMNS($AB$1006:AN1006),$AB$1006:$AQ$1006,0))&gt;=100000), " ",IF(INDEX($AB$2:$AQ$1001,MATCH(ROWS($U$2:U87),$U$2:$U$1001,0),MATCH(COLUMNS($AB$1006:AN1006),$AB$1006:$AQ$1006,0)), HYPERLINK("#",""), HYPERLINK(CONCATENATE("#Metadata!", ADDRESS(INDEX($W$2:$W$1001,MATCH(ROWS($U$2:U87),$U$2:$U$1001,0),0), INDEX($AB$1004:$AQ$1004,1,MATCH(COLUMNS($AB$1006:AN1006),$AB$1006:$AQ$1006,0)))),"Fix")))</f>
        <v>0</v>
      </c>
      <c r="O87" s="5">
        <f>IF(OR(INDEX($V$2:$V$1001,MATCH(ROWS($U$2:U87),$U$2:$U$1001,0),1)&gt;=100000,INDEX($AB$1005:$AQ$1005,1,MATCH(COLUMNS($AB$1006:AO1006),$AB$1006:$AQ$1006,0))&gt;=100000), " ",IF(INDEX($AB$2:$AQ$1001,MATCH(ROWS($U$2:U87),$U$2:$U$1001,0),MATCH(COLUMNS($AB$1006:AO1006),$AB$1006:$AQ$1006,0)), HYPERLINK("#",""), HYPERLINK(CONCATENATE("#Metadata!", ADDRESS(INDEX($W$2:$W$1001,MATCH(ROWS($U$2:U87),$U$2:$U$1001,0),0), INDEX($AB$1004:$AQ$1004,1,MATCH(COLUMNS($AB$1006:AO1006),$AB$1006:$AQ$1006,0)))),"Fix")))</f>
        <v>0</v>
      </c>
      <c r="P87" s="5">
        <f>IF(OR(INDEX($V$2:$V$1001,MATCH(ROWS($U$2:U87),$U$2:$U$1001,0),1)&gt;=100000,INDEX($AB$1005:$AQ$1005,1,MATCH(COLUMNS($AB$1006:AP1006),$AB$1006:$AQ$1006,0))&gt;=100000), " ",IF(INDEX($AB$2:$AQ$1001,MATCH(ROWS($U$2:U87),$U$2:$U$1001,0),MATCH(COLUMNS($AB$1006:AP1006),$AB$1006:$AQ$1006,0)), HYPERLINK("#",""), HYPERLINK(CONCATENATE("#Metadata!", ADDRESS(INDEX($W$2:$W$1001,MATCH(ROWS($U$2:U87),$U$2:$U$1001,0),0), INDEX($AB$1004:$AQ$1004,1,MATCH(COLUMNS($AB$1006:AP1006),$AB$1006:$AQ$1006,0)))),"Fix")))</f>
        <v>0</v>
      </c>
      <c r="Q87" s="5">
        <f>IF(OR(INDEX($V$2:$V$1001,MATCH(ROWS($U$2:U87),$U$2:$U$1001,0),1)&gt;=100000,INDEX($AB$1005:$AQ$1005,1,MATCH(COLUMNS($AB$1006:AQ1006),$AB$1006:$AQ$1006,0))&gt;=100000), " ",IF(INDEX($AB$2:$AQ$1001,MATCH(ROWS($U$2:U87),$U$2:$U$1001,0),MATCH(COLUMNS($AB$1006:AQ1006),$AB$1006:$AQ$1006,0)), HYPERLINK("#",""), HYPERLINK(CONCATENATE("#Metadata!", ADDRESS(INDEX($W$2:$W$1001,MATCH(ROWS($U$2:U87),$U$2:$U$1001,0),0), INDEX($AB$1004:$AQ$1004,1,MATCH(COLUMNS($AB$1006:AQ1006),$AB$1006:$AQ$1006,0)))),"Fix")))</f>
        <v>0</v>
      </c>
      <c r="U87">
        <v>0</v>
      </c>
      <c r="V87">
        <v>0</v>
      </c>
      <c r="W87">
        <v>0</v>
      </c>
      <c r="X87">
        <f>IF(Y87,TRUE,AND(AB87:AQ87))</f>
        <v>0</v>
      </c>
      <c r="Y87">
        <f>COUNTBLANK(Metadata!B87:Q87)=COLUMNS(Metadata!B87:Q87)</f>
        <v>0</v>
      </c>
      <c r="Z87">
        <v>0</v>
      </c>
      <c r="AB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AC87">
        <f>AND(IF(Metadata!C87="",FALSE,TRUE),exact(Metadata!C87,"urban biome"))</f>
        <v>0</v>
      </c>
      <c r="AD87">
        <f>AND(IF(Metadata!D87="",FALSE,TRUE),exact(Metadata!D87,"human-associated habitat"))</f>
        <v>0</v>
      </c>
      <c r="AE87">
        <f>AND(IF(Metadata!E87="",FALSE,TRUE),OR(exact(Metadata!E87,"human-associated"),exact(Metadata!E87,"human-skin"),exact(Metadata!E87,"human-oral"),exact(Metadata!E87,"human-gut"),exact(Metadata!E87,"human-vaginal")))</f>
        <v>0</v>
      </c>
      <c r="AF87">
        <f>AND(IF(Metadata!F87="",FALSE,ISNUMBER(VALUE(Metadata!F87))),Metadata!F87&gt;0)</f>
        <v>0</v>
      </c>
      <c r="AG87">
        <f>AND(IF(Metadata!G87="",FALSE,TRUE),exact(Metadata!G87,"years"))</f>
        <v>0</v>
      </c>
      <c r="AH87">
        <f>OR(AND(IF(Metadata!H87="",FALSE,TRUE),OR(exact(Metadata!H87,"not applicable"),exact(Metadata!H87,"not collected"),exact(Metadata!H87,"not provided"),exact(Metadata!H87,"restricted access"))),AND(IF(Metadata!H87="",FALSE,ISNUMBER(VALUE(Metadata!H87))),Metadata!H87&gt;0))</f>
        <v>0</v>
      </c>
      <c r="AI87">
        <f>AND(IF(Metadata!I87="",FALSE,TRUE),exact(Metadata!I87,"human"))</f>
        <v>0</v>
      </c>
      <c r="AJ87">
        <f>AND(IF(Metadata!J87="",FALSE,ISNUMBER(VALUE(Metadata!J87))),Metadata!J87&gt;0)</f>
        <v>0</v>
      </c>
      <c r="AK87">
        <f>AND(IF(Metadata!K87="",FALSE,TRUE),exact(Metadata!K87,"cm"))</f>
        <v>0</v>
      </c>
      <c r="AL87">
        <f>AND(IF(Metadata!L87="",FALSE,TRUE),exact(Metadata!L87,"Homo sapiens"))</f>
        <v>0</v>
      </c>
      <c r="AM87">
        <f>AND(IF(Metadata!M87="",FALSE,TRUE),exact(Metadata!M87,"9606"))</f>
        <v>0</v>
      </c>
      <c r="AN87">
        <f>AND(IF(Metadata!N87="",FALSE,ISNUMBER(VALUE(Metadata!N87))),Metadata!N87&gt;0)</f>
        <v>0</v>
      </c>
      <c r="AO87">
        <f>AND(IF(Metadata!O87="",FALSE,TRUE),exact(Metadata!O87,"kg"))</f>
        <v>0</v>
      </c>
      <c r="AP87">
        <f>OR(AND(IF(Metadata!P87="",FALSE,TRUE),exact(Metadata!P87,"not provided")),IF(Metadata!P87="",FALSE,TRUE))</f>
        <v>0</v>
      </c>
      <c r="AQ87">
        <f>OR(AND(IF(Metadata!Q87="",FALSE,TRUE),exact(Metadata!Q87,"not provided")),IF(Metadata!Q87="",FALSE,TRUE))</f>
        <v>0</v>
      </c>
    </row>
    <row r="88" spans="1:43">
      <c r="A88" s="4">
        <f>IF(B88=" "," ",HYPERLINK(CONCATENATE("#metadata!",ADDRESS(INDEX($W$2:$W$1001,MATCH(ROWS($U$2:U88),$U$2:$U$1001,0),0),2)),INDEX($Z$2:$Z$1001,MATCH(ROWS($U$2:U88),$U$2:$U$1001,0),0)))</f>
        <v>0</v>
      </c>
      <c r="B88" s="5">
        <f>IF(OR(INDEX($V$2:$V$1001,MATCH(ROWS($U$2:U88),$U$2:$U$1001,0),1)&gt;=100000,INDEX($AB$1005:$AQ$1005,1,MATCH(COLUMNS($AB$1006:AB1006),$AB$1006:$AQ$1006,0))&gt;=100000), " ",IF(INDEX($AB$2:$AQ$1001,MATCH(ROWS($U$2:U88),$U$2:$U$1001,0),MATCH(COLUMNS($AB$1006:AB1006),$AB$1006:$AQ$1006,0)), HYPERLINK("#",""), HYPERLINK(CONCATENATE("#Metadata!", ADDRESS(INDEX($W$2:$W$1001,MATCH(ROWS($U$2:U88),$U$2:$U$1001,0),0), INDEX($AB$1004:$AQ$1004,1,MATCH(COLUMNS($AB$1006:AB1006),$AB$1006:$AQ$1006,0)))),"Fix")))</f>
        <v>0</v>
      </c>
      <c r="C88" s="5">
        <f>IF(OR(INDEX($V$2:$V$1001,MATCH(ROWS($U$2:U88),$U$2:$U$1001,0),1)&gt;=100000,INDEX($AB$1005:$AQ$1005,1,MATCH(COLUMNS($AB$1006:AC1006),$AB$1006:$AQ$1006,0))&gt;=100000), " ",IF(INDEX($AB$2:$AQ$1001,MATCH(ROWS($U$2:U88),$U$2:$U$1001,0),MATCH(COLUMNS($AB$1006:AC1006),$AB$1006:$AQ$1006,0)), HYPERLINK("#",""), HYPERLINK(CONCATENATE("#Metadata!", ADDRESS(INDEX($W$2:$W$1001,MATCH(ROWS($U$2:U88),$U$2:$U$1001,0),0), INDEX($AB$1004:$AQ$1004,1,MATCH(COLUMNS($AB$1006:AC1006),$AB$1006:$AQ$1006,0)))),"Fix")))</f>
        <v>0</v>
      </c>
      <c r="D88" s="5">
        <f>IF(OR(INDEX($V$2:$V$1001,MATCH(ROWS($U$2:U88),$U$2:$U$1001,0),1)&gt;=100000,INDEX($AB$1005:$AQ$1005,1,MATCH(COLUMNS($AB$1006:AD1006),$AB$1006:$AQ$1006,0))&gt;=100000), " ",IF(INDEX($AB$2:$AQ$1001,MATCH(ROWS($U$2:U88),$U$2:$U$1001,0),MATCH(COLUMNS($AB$1006:AD1006),$AB$1006:$AQ$1006,0)), HYPERLINK("#",""), HYPERLINK(CONCATENATE("#Metadata!", ADDRESS(INDEX($W$2:$W$1001,MATCH(ROWS($U$2:U88),$U$2:$U$1001,0),0), INDEX($AB$1004:$AQ$1004,1,MATCH(COLUMNS($AB$1006:AD1006),$AB$1006:$AQ$1006,0)))),"Fix")))</f>
        <v>0</v>
      </c>
      <c r="E88" s="5">
        <f>IF(OR(INDEX($V$2:$V$1001,MATCH(ROWS($U$2:U88),$U$2:$U$1001,0),1)&gt;=100000,INDEX($AB$1005:$AQ$1005,1,MATCH(COLUMNS($AB$1006:AE1006),$AB$1006:$AQ$1006,0))&gt;=100000), " ",IF(INDEX($AB$2:$AQ$1001,MATCH(ROWS($U$2:U88),$U$2:$U$1001,0),MATCH(COLUMNS($AB$1006:AE1006),$AB$1006:$AQ$1006,0)), HYPERLINK("#",""), HYPERLINK(CONCATENATE("#Metadata!", ADDRESS(INDEX($W$2:$W$1001,MATCH(ROWS($U$2:U88),$U$2:$U$1001,0),0), INDEX($AB$1004:$AQ$1004,1,MATCH(COLUMNS($AB$1006:AE1006),$AB$1006:$AQ$1006,0)))),"Fix")))</f>
        <v>0</v>
      </c>
      <c r="F88" s="5">
        <f>IF(OR(INDEX($V$2:$V$1001,MATCH(ROWS($U$2:U88),$U$2:$U$1001,0),1)&gt;=100000,INDEX($AB$1005:$AQ$1005,1,MATCH(COLUMNS($AB$1006:AF1006),$AB$1006:$AQ$1006,0))&gt;=100000), " ",IF(INDEX($AB$2:$AQ$1001,MATCH(ROWS($U$2:U88),$U$2:$U$1001,0),MATCH(COLUMNS($AB$1006:AF1006),$AB$1006:$AQ$1006,0)), HYPERLINK("#",""), HYPERLINK(CONCATENATE("#Metadata!", ADDRESS(INDEX($W$2:$W$1001,MATCH(ROWS($U$2:U88),$U$2:$U$1001,0),0), INDEX($AB$1004:$AQ$1004,1,MATCH(COLUMNS($AB$1006:AF1006),$AB$1006:$AQ$1006,0)))),"Fix")))</f>
        <v>0</v>
      </c>
      <c r="G88" s="5">
        <f>IF(OR(INDEX($V$2:$V$1001,MATCH(ROWS($U$2:U88),$U$2:$U$1001,0),1)&gt;=100000,INDEX($AB$1005:$AQ$1005,1,MATCH(COLUMNS($AB$1006:AG1006),$AB$1006:$AQ$1006,0))&gt;=100000), " ",IF(INDEX($AB$2:$AQ$1001,MATCH(ROWS($U$2:U88),$U$2:$U$1001,0),MATCH(COLUMNS($AB$1006:AG1006),$AB$1006:$AQ$1006,0)), HYPERLINK("#",""), HYPERLINK(CONCATENATE("#Metadata!", ADDRESS(INDEX($W$2:$W$1001,MATCH(ROWS($U$2:U88),$U$2:$U$1001,0),0), INDEX($AB$1004:$AQ$1004,1,MATCH(COLUMNS($AB$1006:AG1006),$AB$1006:$AQ$1006,0)))),"Fix")))</f>
        <v>0</v>
      </c>
      <c r="H88" s="5">
        <f>IF(OR(INDEX($V$2:$V$1001,MATCH(ROWS($U$2:U88),$U$2:$U$1001,0),1)&gt;=100000,INDEX($AB$1005:$AQ$1005,1,MATCH(COLUMNS($AB$1006:AH1006),$AB$1006:$AQ$1006,0))&gt;=100000), " ",IF(INDEX($AB$2:$AQ$1001,MATCH(ROWS($U$2:U88),$U$2:$U$1001,0),MATCH(COLUMNS($AB$1006:AH1006),$AB$1006:$AQ$1006,0)), HYPERLINK("#",""), HYPERLINK(CONCATENATE("#Metadata!", ADDRESS(INDEX($W$2:$W$1001,MATCH(ROWS($U$2:U88),$U$2:$U$1001,0),0), INDEX($AB$1004:$AQ$1004,1,MATCH(COLUMNS($AB$1006:AH1006),$AB$1006:$AQ$1006,0)))),"Fix")))</f>
        <v>0</v>
      </c>
      <c r="I88" s="5">
        <f>IF(OR(INDEX($V$2:$V$1001,MATCH(ROWS($U$2:U88),$U$2:$U$1001,0),1)&gt;=100000,INDEX($AB$1005:$AQ$1005,1,MATCH(COLUMNS($AB$1006:AI1006),$AB$1006:$AQ$1006,0))&gt;=100000), " ",IF(INDEX($AB$2:$AQ$1001,MATCH(ROWS($U$2:U88),$U$2:$U$1001,0),MATCH(COLUMNS($AB$1006:AI1006),$AB$1006:$AQ$1006,0)), HYPERLINK("#",""), HYPERLINK(CONCATENATE("#Metadata!", ADDRESS(INDEX($W$2:$W$1001,MATCH(ROWS($U$2:U88),$U$2:$U$1001,0),0), INDEX($AB$1004:$AQ$1004,1,MATCH(COLUMNS($AB$1006:AI1006),$AB$1006:$AQ$1006,0)))),"Fix")))</f>
        <v>0</v>
      </c>
      <c r="J88" s="5">
        <f>IF(OR(INDEX($V$2:$V$1001,MATCH(ROWS($U$2:U88),$U$2:$U$1001,0),1)&gt;=100000,INDEX($AB$1005:$AQ$1005,1,MATCH(COLUMNS($AB$1006:AJ1006),$AB$1006:$AQ$1006,0))&gt;=100000), " ",IF(INDEX($AB$2:$AQ$1001,MATCH(ROWS($U$2:U88),$U$2:$U$1001,0),MATCH(COLUMNS($AB$1006:AJ1006),$AB$1006:$AQ$1006,0)), HYPERLINK("#",""), HYPERLINK(CONCATENATE("#Metadata!", ADDRESS(INDEX($W$2:$W$1001,MATCH(ROWS($U$2:U88),$U$2:$U$1001,0),0), INDEX($AB$1004:$AQ$1004,1,MATCH(COLUMNS($AB$1006:AJ1006),$AB$1006:$AQ$1006,0)))),"Fix")))</f>
        <v>0</v>
      </c>
      <c r="K88" s="5">
        <f>IF(OR(INDEX($V$2:$V$1001,MATCH(ROWS($U$2:U88),$U$2:$U$1001,0),1)&gt;=100000,INDEX($AB$1005:$AQ$1005,1,MATCH(COLUMNS($AB$1006:AK1006),$AB$1006:$AQ$1006,0))&gt;=100000), " ",IF(INDEX($AB$2:$AQ$1001,MATCH(ROWS($U$2:U88),$U$2:$U$1001,0),MATCH(COLUMNS($AB$1006:AK1006),$AB$1006:$AQ$1006,0)), HYPERLINK("#",""), HYPERLINK(CONCATENATE("#Metadata!", ADDRESS(INDEX($W$2:$W$1001,MATCH(ROWS($U$2:U88),$U$2:$U$1001,0),0), INDEX($AB$1004:$AQ$1004,1,MATCH(COLUMNS($AB$1006:AK1006),$AB$1006:$AQ$1006,0)))),"Fix")))</f>
        <v>0</v>
      </c>
      <c r="L88" s="5">
        <f>IF(OR(INDEX($V$2:$V$1001,MATCH(ROWS($U$2:U88),$U$2:$U$1001,0),1)&gt;=100000,INDEX($AB$1005:$AQ$1005,1,MATCH(COLUMNS($AB$1006:AL1006),$AB$1006:$AQ$1006,0))&gt;=100000), " ",IF(INDEX($AB$2:$AQ$1001,MATCH(ROWS($U$2:U88),$U$2:$U$1001,0),MATCH(COLUMNS($AB$1006:AL1006),$AB$1006:$AQ$1006,0)), HYPERLINK("#",""), HYPERLINK(CONCATENATE("#Metadata!", ADDRESS(INDEX($W$2:$W$1001,MATCH(ROWS($U$2:U88),$U$2:$U$1001,0),0), INDEX($AB$1004:$AQ$1004,1,MATCH(COLUMNS($AB$1006:AL1006),$AB$1006:$AQ$1006,0)))),"Fix")))</f>
        <v>0</v>
      </c>
      <c r="M88" s="5">
        <f>IF(OR(INDEX($V$2:$V$1001,MATCH(ROWS($U$2:U88),$U$2:$U$1001,0),1)&gt;=100000,INDEX($AB$1005:$AQ$1005,1,MATCH(COLUMNS($AB$1006:AM1006),$AB$1006:$AQ$1006,0))&gt;=100000), " ",IF(INDEX($AB$2:$AQ$1001,MATCH(ROWS($U$2:U88),$U$2:$U$1001,0),MATCH(COLUMNS($AB$1006:AM1006),$AB$1006:$AQ$1006,0)), HYPERLINK("#",""), HYPERLINK(CONCATENATE("#Metadata!", ADDRESS(INDEX($W$2:$W$1001,MATCH(ROWS($U$2:U88),$U$2:$U$1001,0),0), INDEX($AB$1004:$AQ$1004,1,MATCH(COLUMNS($AB$1006:AM1006),$AB$1006:$AQ$1006,0)))),"Fix")))</f>
        <v>0</v>
      </c>
      <c r="N88" s="5">
        <f>IF(OR(INDEX($V$2:$V$1001,MATCH(ROWS($U$2:U88),$U$2:$U$1001,0),1)&gt;=100000,INDEX($AB$1005:$AQ$1005,1,MATCH(COLUMNS($AB$1006:AN1006),$AB$1006:$AQ$1006,0))&gt;=100000), " ",IF(INDEX($AB$2:$AQ$1001,MATCH(ROWS($U$2:U88),$U$2:$U$1001,0),MATCH(COLUMNS($AB$1006:AN1006),$AB$1006:$AQ$1006,0)), HYPERLINK("#",""), HYPERLINK(CONCATENATE("#Metadata!", ADDRESS(INDEX($W$2:$W$1001,MATCH(ROWS($U$2:U88),$U$2:$U$1001,0),0), INDEX($AB$1004:$AQ$1004,1,MATCH(COLUMNS($AB$1006:AN1006),$AB$1006:$AQ$1006,0)))),"Fix")))</f>
        <v>0</v>
      </c>
      <c r="O88" s="5">
        <f>IF(OR(INDEX($V$2:$V$1001,MATCH(ROWS($U$2:U88),$U$2:$U$1001,0),1)&gt;=100000,INDEX($AB$1005:$AQ$1005,1,MATCH(COLUMNS($AB$1006:AO1006),$AB$1006:$AQ$1006,0))&gt;=100000), " ",IF(INDEX($AB$2:$AQ$1001,MATCH(ROWS($U$2:U88),$U$2:$U$1001,0),MATCH(COLUMNS($AB$1006:AO1006),$AB$1006:$AQ$1006,0)), HYPERLINK("#",""), HYPERLINK(CONCATENATE("#Metadata!", ADDRESS(INDEX($W$2:$W$1001,MATCH(ROWS($U$2:U88),$U$2:$U$1001,0),0), INDEX($AB$1004:$AQ$1004,1,MATCH(COLUMNS($AB$1006:AO1006),$AB$1006:$AQ$1006,0)))),"Fix")))</f>
        <v>0</v>
      </c>
      <c r="P88" s="5">
        <f>IF(OR(INDEX($V$2:$V$1001,MATCH(ROWS($U$2:U88),$U$2:$U$1001,0),1)&gt;=100000,INDEX($AB$1005:$AQ$1005,1,MATCH(COLUMNS($AB$1006:AP1006),$AB$1006:$AQ$1006,0))&gt;=100000), " ",IF(INDEX($AB$2:$AQ$1001,MATCH(ROWS($U$2:U88),$U$2:$U$1001,0),MATCH(COLUMNS($AB$1006:AP1006),$AB$1006:$AQ$1006,0)), HYPERLINK("#",""), HYPERLINK(CONCATENATE("#Metadata!", ADDRESS(INDEX($W$2:$W$1001,MATCH(ROWS($U$2:U88),$U$2:$U$1001,0),0), INDEX($AB$1004:$AQ$1004,1,MATCH(COLUMNS($AB$1006:AP1006),$AB$1006:$AQ$1006,0)))),"Fix")))</f>
        <v>0</v>
      </c>
      <c r="Q88" s="5">
        <f>IF(OR(INDEX($V$2:$V$1001,MATCH(ROWS($U$2:U88),$U$2:$U$1001,0),1)&gt;=100000,INDEX($AB$1005:$AQ$1005,1,MATCH(COLUMNS($AB$1006:AQ1006),$AB$1006:$AQ$1006,0))&gt;=100000), " ",IF(INDEX($AB$2:$AQ$1001,MATCH(ROWS($U$2:U88),$U$2:$U$1001,0),MATCH(COLUMNS($AB$1006:AQ1006),$AB$1006:$AQ$1006,0)), HYPERLINK("#",""), HYPERLINK(CONCATENATE("#Metadata!", ADDRESS(INDEX($W$2:$W$1001,MATCH(ROWS($U$2:U88),$U$2:$U$1001,0),0), INDEX($AB$1004:$AQ$1004,1,MATCH(COLUMNS($AB$1006:AQ1006),$AB$1006:$AQ$1006,0)))),"Fix")))</f>
        <v>0</v>
      </c>
      <c r="U88">
        <v>0</v>
      </c>
      <c r="V88">
        <v>0</v>
      </c>
      <c r="W88">
        <v>0</v>
      </c>
      <c r="X88">
        <f>IF(Y88,TRUE,AND(AB88:AQ88))</f>
        <v>0</v>
      </c>
      <c r="Y88">
        <f>COUNTBLANK(Metadata!B88:Q88)=COLUMNS(Metadata!B88:Q88)</f>
        <v>0</v>
      </c>
      <c r="Z88">
        <v>0</v>
      </c>
      <c r="AB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AC88">
        <f>AND(IF(Metadata!C88="",FALSE,TRUE),exact(Metadata!C88,"urban biome"))</f>
        <v>0</v>
      </c>
      <c r="AD88">
        <f>AND(IF(Metadata!D88="",FALSE,TRUE),exact(Metadata!D88,"human-associated habitat"))</f>
        <v>0</v>
      </c>
      <c r="AE88">
        <f>AND(IF(Metadata!E88="",FALSE,TRUE),OR(exact(Metadata!E88,"human-associated"),exact(Metadata!E88,"human-skin"),exact(Metadata!E88,"human-oral"),exact(Metadata!E88,"human-gut"),exact(Metadata!E88,"human-vaginal")))</f>
        <v>0</v>
      </c>
      <c r="AF88">
        <f>AND(IF(Metadata!F88="",FALSE,ISNUMBER(VALUE(Metadata!F88))),Metadata!F88&gt;0)</f>
        <v>0</v>
      </c>
      <c r="AG88">
        <f>AND(IF(Metadata!G88="",FALSE,TRUE),exact(Metadata!G88,"years"))</f>
        <v>0</v>
      </c>
      <c r="AH88">
        <f>OR(AND(IF(Metadata!H88="",FALSE,TRUE),OR(exact(Metadata!H88,"not applicable"),exact(Metadata!H88,"not collected"),exact(Metadata!H88,"not provided"),exact(Metadata!H88,"restricted access"))),AND(IF(Metadata!H88="",FALSE,ISNUMBER(VALUE(Metadata!H88))),Metadata!H88&gt;0))</f>
        <v>0</v>
      </c>
      <c r="AI88">
        <f>AND(IF(Metadata!I88="",FALSE,TRUE),exact(Metadata!I88,"human"))</f>
        <v>0</v>
      </c>
      <c r="AJ88">
        <f>AND(IF(Metadata!J88="",FALSE,ISNUMBER(VALUE(Metadata!J88))),Metadata!J88&gt;0)</f>
        <v>0</v>
      </c>
      <c r="AK88">
        <f>AND(IF(Metadata!K88="",FALSE,TRUE),exact(Metadata!K88,"cm"))</f>
        <v>0</v>
      </c>
      <c r="AL88">
        <f>AND(IF(Metadata!L88="",FALSE,TRUE),exact(Metadata!L88,"Homo sapiens"))</f>
        <v>0</v>
      </c>
      <c r="AM88">
        <f>AND(IF(Metadata!M88="",FALSE,TRUE),exact(Metadata!M88,"9606"))</f>
        <v>0</v>
      </c>
      <c r="AN88">
        <f>AND(IF(Metadata!N88="",FALSE,ISNUMBER(VALUE(Metadata!N88))),Metadata!N88&gt;0)</f>
        <v>0</v>
      </c>
      <c r="AO88">
        <f>AND(IF(Metadata!O88="",FALSE,TRUE),exact(Metadata!O88,"kg"))</f>
        <v>0</v>
      </c>
      <c r="AP88">
        <f>OR(AND(IF(Metadata!P88="",FALSE,TRUE),exact(Metadata!P88,"not provided")),IF(Metadata!P88="",FALSE,TRUE))</f>
        <v>0</v>
      </c>
      <c r="AQ88">
        <f>OR(AND(IF(Metadata!Q88="",FALSE,TRUE),exact(Metadata!Q88,"not provided")),IF(Metadata!Q88="",FALSE,TRUE))</f>
        <v>0</v>
      </c>
    </row>
    <row r="89" spans="1:43">
      <c r="A89" s="4">
        <f>IF(B89=" "," ",HYPERLINK(CONCATENATE("#metadata!",ADDRESS(INDEX($W$2:$W$1001,MATCH(ROWS($U$2:U89),$U$2:$U$1001,0),0),2)),INDEX($Z$2:$Z$1001,MATCH(ROWS($U$2:U89),$U$2:$U$1001,0),0)))</f>
        <v>0</v>
      </c>
      <c r="B89" s="5">
        <f>IF(OR(INDEX($V$2:$V$1001,MATCH(ROWS($U$2:U89),$U$2:$U$1001,0),1)&gt;=100000,INDEX($AB$1005:$AQ$1005,1,MATCH(COLUMNS($AB$1006:AB1006),$AB$1006:$AQ$1006,0))&gt;=100000), " ",IF(INDEX($AB$2:$AQ$1001,MATCH(ROWS($U$2:U89),$U$2:$U$1001,0),MATCH(COLUMNS($AB$1006:AB1006),$AB$1006:$AQ$1006,0)), HYPERLINK("#",""), HYPERLINK(CONCATENATE("#Metadata!", ADDRESS(INDEX($W$2:$W$1001,MATCH(ROWS($U$2:U89),$U$2:$U$1001,0),0), INDEX($AB$1004:$AQ$1004,1,MATCH(COLUMNS($AB$1006:AB1006),$AB$1006:$AQ$1006,0)))),"Fix")))</f>
        <v>0</v>
      </c>
      <c r="C89" s="5">
        <f>IF(OR(INDEX($V$2:$V$1001,MATCH(ROWS($U$2:U89),$U$2:$U$1001,0),1)&gt;=100000,INDEX($AB$1005:$AQ$1005,1,MATCH(COLUMNS($AB$1006:AC1006),$AB$1006:$AQ$1006,0))&gt;=100000), " ",IF(INDEX($AB$2:$AQ$1001,MATCH(ROWS($U$2:U89),$U$2:$U$1001,0),MATCH(COLUMNS($AB$1006:AC1006),$AB$1006:$AQ$1006,0)), HYPERLINK("#",""), HYPERLINK(CONCATENATE("#Metadata!", ADDRESS(INDEX($W$2:$W$1001,MATCH(ROWS($U$2:U89),$U$2:$U$1001,0),0), INDEX($AB$1004:$AQ$1004,1,MATCH(COLUMNS($AB$1006:AC1006),$AB$1006:$AQ$1006,0)))),"Fix")))</f>
        <v>0</v>
      </c>
      <c r="D89" s="5">
        <f>IF(OR(INDEX($V$2:$V$1001,MATCH(ROWS($U$2:U89),$U$2:$U$1001,0),1)&gt;=100000,INDEX($AB$1005:$AQ$1005,1,MATCH(COLUMNS($AB$1006:AD1006),$AB$1006:$AQ$1006,0))&gt;=100000), " ",IF(INDEX($AB$2:$AQ$1001,MATCH(ROWS($U$2:U89),$U$2:$U$1001,0),MATCH(COLUMNS($AB$1006:AD1006),$AB$1006:$AQ$1006,0)), HYPERLINK("#",""), HYPERLINK(CONCATENATE("#Metadata!", ADDRESS(INDEX($W$2:$W$1001,MATCH(ROWS($U$2:U89),$U$2:$U$1001,0),0), INDEX($AB$1004:$AQ$1004,1,MATCH(COLUMNS($AB$1006:AD1006),$AB$1006:$AQ$1006,0)))),"Fix")))</f>
        <v>0</v>
      </c>
      <c r="E89" s="5">
        <f>IF(OR(INDEX($V$2:$V$1001,MATCH(ROWS($U$2:U89),$U$2:$U$1001,0),1)&gt;=100000,INDEX($AB$1005:$AQ$1005,1,MATCH(COLUMNS($AB$1006:AE1006),$AB$1006:$AQ$1006,0))&gt;=100000), " ",IF(INDEX($AB$2:$AQ$1001,MATCH(ROWS($U$2:U89),$U$2:$U$1001,0),MATCH(COLUMNS($AB$1006:AE1006),$AB$1006:$AQ$1006,0)), HYPERLINK("#",""), HYPERLINK(CONCATENATE("#Metadata!", ADDRESS(INDEX($W$2:$W$1001,MATCH(ROWS($U$2:U89),$U$2:$U$1001,0),0), INDEX($AB$1004:$AQ$1004,1,MATCH(COLUMNS($AB$1006:AE1006),$AB$1006:$AQ$1006,0)))),"Fix")))</f>
        <v>0</v>
      </c>
      <c r="F89" s="5">
        <f>IF(OR(INDEX($V$2:$V$1001,MATCH(ROWS($U$2:U89),$U$2:$U$1001,0),1)&gt;=100000,INDEX($AB$1005:$AQ$1005,1,MATCH(COLUMNS($AB$1006:AF1006),$AB$1006:$AQ$1006,0))&gt;=100000), " ",IF(INDEX($AB$2:$AQ$1001,MATCH(ROWS($U$2:U89),$U$2:$U$1001,0),MATCH(COLUMNS($AB$1006:AF1006),$AB$1006:$AQ$1006,0)), HYPERLINK("#",""), HYPERLINK(CONCATENATE("#Metadata!", ADDRESS(INDEX($W$2:$W$1001,MATCH(ROWS($U$2:U89),$U$2:$U$1001,0),0), INDEX($AB$1004:$AQ$1004,1,MATCH(COLUMNS($AB$1006:AF1006),$AB$1006:$AQ$1006,0)))),"Fix")))</f>
        <v>0</v>
      </c>
      <c r="G89" s="5">
        <f>IF(OR(INDEX($V$2:$V$1001,MATCH(ROWS($U$2:U89),$U$2:$U$1001,0),1)&gt;=100000,INDEX($AB$1005:$AQ$1005,1,MATCH(COLUMNS($AB$1006:AG1006),$AB$1006:$AQ$1006,0))&gt;=100000), " ",IF(INDEX($AB$2:$AQ$1001,MATCH(ROWS($U$2:U89),$U$2:$U$1001,0),MATCH(COLUMNS($AB$1006:AG1006),$AB$1006:$AQ$1006,0)), HYPERLINK("#",""), HYPERLINK(CONCATENATE("#Metadata!", ADDRESS(INDEX($W$2:$W$1001,MATCH(ROWS($U$2:U89),$U$2:$U$1001,0),0), INDEX($AB$1004:$AQ$1004,1,MATCH(COLUMNS($AB$1006:AG1006),$AB$1006:$AQ$1006,0)))),"Fix")))</f>
        <v>0</v>
      </c>
      <c r="H89" s="5">
        <f>IF(OR(INDEX($V$2:$V$1001,MATCH(ROWS($U$2:U89),$U$2:$U$1001,0),1)&gt;=100000,INDEX($AB$1005:$AQ$1005,1,MATCH(COLUMNS($AB$1006:AH1006),$AB$1006:$AQ$1006,0))&gt;=100000), " ",IF(INDEX($AB$2:$AQ$1001,MATCH(ROWS($U$2:U89),$U$2:$U$1001,0),MATCH(COLUMNS($AB$1006:AH1006),$AB$1006:$AQ$1006,0)), HYPERLINK("#",""), HYPERLINK(CONCATENATE("#Metadata!", ADDRESS(INDEX($W$2:$W$1001,MATCH(ROWS($U$2:U89),$U$2:$U$1001,0),0), INDEX($AB$1004:$AQ$1004,1,MATCH(COLUMNS($AB$1006:AH1006),$AB$1006:$AQ$1006,0)))),"Fix")))</f>
        <v>0</v>
      </c>
      <c r="I89" s="5">
        <f>IF(OR(INDEX($V$2:$V$1001,MATCH(ROWS($U$2:U89),$U$2:$U$1001,0),1)&gt;=100000,INDEX($AB$1005:$AQ$1005,1,MATCH(COLUMNS($AB$1006:AI1006),$AB$1006:$AQ$1006,0))&gt;=100000), " ",IF(INDEX($AB$2:$AQ$1001,MATCH(ROWS($U$2:U89),$U$2:$U$1001,0),MATCH(COLUMNS($AB$1006:AI1006),$AB$1006:$AQ$1006,0)), HYPERLINK("#",""), HYPERLINK(CONCATENATE("#Metadata!", ADDRESS(INDEX($W$2:$W$1001,MATCH(ROWS($U$2:U89),$U$2:$U$1001,0),0), INDEX($AB$1004:$AQ$1004,1,MATCH(COLUMNS($AB$1006:AI1006),$AB$1006:$AQ$1006,0)))),"Fix")))</f>
        <v>0</v>
      </c>
      <c r="J89" s="5">
        <f>IF(OR(INDEX($V$2:$V$1001,MATCH(ROWS($U$2:U89),$U$2:$U$1001,0),1)&gt;=100000,INDEX($AB$1005:$AQ$1005,1,MATCH(COLUMNS($AB$1006:AJ1006),$AB$1006:$AQ$1006,0))&gt;=100000), " ",IF(INDEX($AB$2:$AQ$1001,MATCH(ROWS($U$2:U89),$U$2:$U$1001,0),MATCH(COLUMNS($AB$1006:AJ1006),$AB$1006:$AQ$1006,0)), HYPERLINK("#",""), HYPERLINK(CONCATENATE("#Metadata!", ADDRESS(INDEX($W$2:$W$1001,MATCH(ROWS($U$2:U89),$U$2:$U$1001,0),0), INDEX($AB$1004:$AQ$1004,1,MATCH(COLUMNS($AB$1006:AJ1006),$AB$1006:$AQ$1006,0)))),"Fix")))</f>
        <v>0</v>
      </c>
      <c r="K89" s="5">
        <f>IF(OR(INDEX($V$2:$V$1001,MATCH(ROWS($U$2:U89),$U$2:$U$1001,0),1)&gt;=100000,INDEX($AB$1005:$AQ$1005,1,MATCH(COLUMNS($AB$1006:AK1006),$AB$1006:$AQ$1006,0))&gt;=100000), " ",IF(INDEX($AB$2:$AQ$1001,MATCH(ROWS($U$2:U89),$U$2:$U$1001,0),MATCH(COLUMNS($AB$1006:AK1006),$AB$1006:$AQ$1006,0)), HYPERLINK("#",""), HYPERLINK(CONCATENATE("#Metadata!", ADDRESS(INDEX($W$2:$W$1001,MATCH(ROWS($U$2:U89),$U$2:$U$1001,0),0), INDEX($AB$1004:$AQ$1004,1,MATCH(COLUMNS($AB$1006:AK1006),$AB$1006:$AQ$1006,0)))),"Fix")))</f>
        <v>0</v>
      </c>
      <c r="L89" s="5">
        <f>IF(OR(INDEX($V$2:$V$1001,MATCH(ROWS($U$2:U89),$U$2:$U$1001,0),1)&gt;=100000,INDEX($AB$1005:$AQ$1005,1,MATCH(COLUMNS($AB$1006:AL1006),$AB$1006:$AQ$1006,0))&gt;=100000), " ",IF(INDEX($AB$2:$AQ$1001,MATCH(ROWS($U$2:U89),$U$2:$U$1001,0),MATCH(COLUMNS($AB$1006:AL1006),$AB$1006:$AQ$1006,0)), HYPERLINK("#",""), HYPERLINK(CONCATENATE("#Metadata!", ADDRESS(INDEX($W$2:$W$1001,MATCH(ROWS($U$2:U89),$U$2:$U$1001,0),0), INDEX($AB$1004:$AQ$1004,1,MATCH(COLUMNS($AB$1006:AL1006),$AB$1006:$AQ$1006,0)))),"Fix")))</f>
        <v>0</v>
      </c>
      <c r="M89" s="5">
        <f>IF(OR(INDEX($V$2:$V$1001,MATCH(ROWS($U$2:U89),$U$2:$U$1001,0),1)&gt;=100000,INDEX($AB$1005:$AQ$1005,1,MATCH(COLUMNS($AB$1006:AM1006),$AB$1006:$AQ$1006,0))&gt;=100000), " ",IF(INDEX($AB$2:$AQ$1001,MATCH(ROWS($U$2:U89),$U$2:$U$1001,0),MATCH(COLUMNS($AB$1006:AM1006),$AB$1006:$AQ$1006,0)), HYPERLINK("#",""), HYPERLINK(CONCATENATE("#Metadata!", ADDRESS(INDEX($W$2:$W$1001,MATCH(ROWS($U$2:U89),$U$2:$U$1001,0),0), INDEX($AB$1004:$AQ$1004,1,MATCH(COLUMNS($AB$1006:AM1006),$AB$1006:$AQ$1006,0)))),"Fix")))</f>
        <v>0</v>
      </c>
      <c r="N89" s="5">
        <f>IF(OR(INDEX($V$2:$V$1001,MATCH(ROWS($U$2:U89),$U$2:$U$1001,0),1)&gt;=100000,INDEX($AB$1005:$AQ$1005,1,MATCH(COLUMNS($AB$1006:AN1006),$AB$1006:$AQ$1006,0))&gt;=100000), " ",IF(INDEX($AB$2:$AQ$1001,MATCH(ROWS($U$2:U89),$U$2:$U$1001,0),MATCH(COLUMNS($AB$1006:AN1006),$AB$1006:$AQ$1006,0)), HYPERLINK("#",""), HYPERLINK(CONCATENATE("#Metadata!", ADDRESS(INDEX($W$2:$W$1001,MATCH(ROWS($U$2:U89),$U$2:$U$1001,0),0), INDEX($AB$1004:$AQ$1004,1,MATCH(COLUMNS($AB$1006:AN1006),$AB$1006:$AQ$1006,0)))),"Fix")))</f>
        <v>0</v>
      </c>
      <c r="O89" s="5">
        <f>IF(OR(INDEX($V$2:$V$1001,MATCH(ROWS($U$2:U89),$U$2:$U$1001,0),1)&gt;=100000,INDEX($AB$1005:$AQ$1005,1,MATCH(COLUMNS($AB$1006:AO1006),$AB$1006:$AQ$1006,0))&gt;=100000), " ",IF(INDEX($AB$2:$AQ$1001,MATCH(ROWS($U$2:U89),$U$2:$U$1001,0),MATCH(COLUMNS($AB$1006:AO1006),$AB$1006:$AQ$1006,0)), HYPERLINK("#",""), HYPERLINK(CONCATENATE("#Metadata!", ADDRESS(INDEX($W$2:$W$1001,MATCH(ROWS($U$2:U89),$U$2:$U$1001,0),0), INDEX($AB$1004:$AQ$1004,1,MATCH(COLUMNS($AB$1006:AO1006),$AB$1006:$AQ$1006,0)))),"Fix")))</f>
        <v>0</v>
      </c>
      <c r="P89" s="5">
        <f>IF(OR(INDEX($V$2:$V$1001,MATCH(ROWS($U$2:U89),$U$2:$U$1001,0),1)&gt;=100000,INDEX($AB$1005:$AQ$1005,1,MATCH(COLUMNS($AB$1006:AP1006),$AB$1006:$AQ$1006,0))&gt;=100000), " ",IF(INDEX($AB$2:$AQ$1001,MATCH(ROWS($U$2:U89),$U$2:$U$1001,0),MATCH(COLUMNS($AB$1006:AP1006),$AB$1006:$AQ$1006,0)), HYPERLINK("#",""), HYPERLINK(CONCATENATE("#Metadata!", ADDRESS(INDEX($W$2:$W$1001,MATCH(ROWS($U$2:U89),$U$2:$U$1001,0),0), INDEX($AB$1004:$AQ$1004,1,MATCH(COLUMNS($AB$1006:AP1006),$AB$1006:$AQ$1006,0)))),"Fix")))</f>
        <v>0</v>
      </c>
      <c r="Q89" s="5">
        <f>IF(OR(INDEX($V$2:$V$1001,MATCH(ROWS($U$2:U89),$U$2:$U$1001,0),1)&gt;=100000,INDEX($AB$1005:$AQ$1005,1,MATCH(COLUMNS($AB$1006:AQ1006),$AB$1006:$AQ$1006,0))&gt;=100000), " ",IF(INDEX($AB$2:$AQ$1001,MATCH(ROWS($U$2:U89),$U$2:$U$1001,0),MATCH(COLUMNS($AB$1006:AQ1006),$AB$1006:$AQ$1006,0)), HYPERLINK("#",""), HYPERLINK(CONCATENATE("#Metadata!", ADDRESS(INDEX($W$2:$W$1001,MATCH(ROWS($U$2:U89),$U$2:$U$1001,0),0), INDEX($AB$1004:$AQ$1004,1,MATCH(COLUMNS($AB$1006:AQ1006),$AB$1006:$AQ$1006,0)))),"Fix")))</f>
        <v>0</v>
      </c>
      <c r="U89">
        <v>0</v>
      </c>
      <c r="V89">
        <v>0</v>
      </c>
      <c r="W89">
        <v>0</v>
      </c>
      <c r="X89">
        <f>IF(Y89,TRUE,AND(AB89:AQ89))</f>
        <v>0</v>
      </c>
      <c r="Y89">
        <f>COUNTBLANK(Metadata!B89:Q89)=COLUMNS(Metadata!B89:Q89)</f>
        <v>0</v>
      </c>
      <c r="Z89">
        <v>0</v>
      </c>
      <c r="AB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AC89">
        <f>AND(IF(Metadata!C89="",FALSE,TRUE),exact(Metadata!C89,"urban biome"))</f>
        <v>0</v>
      </c>
      <c r="AD89">
        <f>AND(IF(Metadata!D89="",FALSE,TRUE),exact(Metadata!D89,"human-associated habitat"))</f>
        <v>0</v>
      </c>
      <c r="AE89">
        <f>AND(IF(Metadata!E89="",FALSE,TRUE),OR(exact(Metadata!E89,"human-associated"),exact(Metadata!E89,"human-skin"),exact(Metadata!E89,"human-oral"),exact(Metadata!E89,"human-gut"),exact(Metadata!E89,"human-vaginal")))</f>
        <v>0</v>
      </c>
      <c r="AF89">
        <f>AND(IF(Metadata!F89="",FALSE,ISNUMBER(VALUE(Metadata!F89))),Metadata!F89&gt;0)</f>
        <v>0</v>
      </c>
      <c r="AG89">
        <f>AND(IF(Metadata!G89="",FALSE,TRUE),exact(Metadata!G89,"years"))</f>
        <v>0</v>
      </c>
      <c r="AH89">
        <f>OR(AND(IF(Metadata!H89="",FALSE,TRUE),OR(exact(Metadata!H89,"not applicable"),exact(Metadata!H89,"not collected"),exact(Metadata!H89,"not provided"),exact(Metadata!H89,"restricted access"))),AND(IF(Metadata!H89="",FALSE,ISNUMBER(VALUE(Metadata!H89))),Metadata!H89&gt;0))</f>
        <v>0</v>
      </c>
      <c r="AI89">
        <f>AND(IF(Metadata!I89="",FALSE,TRUE),exact(Metadata!I89,"human"))</f>
        <v>0</v>
      </c>
      <c r="AJ89">
        <f>AND(IF(Metadata!J89="",FALSE,ISNUMBER(VALUE(Metadata!J89))),Metadata!J89&gt;0)</f>
        <v>0</v>
      </c>
      <c r="AK89">
        <f>AND(IF(Metadata!K89="",FALSE,TRUE),exact(Metadata!K89,"cm"))</f>
        <v>0</v>
      </c>
      <c r="AL89">
        <f>AND(IF(Metadata!L89="",FALSE,TRUE),exact(Metadata!L89,"Homo sapiens"))</f>
        <v>0</v>
      </c>
      <c r="AM89">
        <f>AND(IF(Metadata!M89="",FALSE,TRUE),exact(Metadata!M89,"9606"))</f>
        <v>0</v>
      </c>
      <c r="AN89">
        <f>AND(IF(Metadata!N89="",FALSE,ISNUMBER(VALUE(Metadata!N89))),Metadata!N89&gt;0)</f>
        <v>0</v>
      </c>
      <c r="AO89">
        <f>AND(IF(Metadata!O89="",FALSE,TRUE),exact(Metadata!O89,"kg"))</f>
        <v>0</v>
      </c>
      <c r="AP89">
        <f>OR(AND(IF(Metadata!P89="",FALSE,TRUE),exact(Metadata!P89,"not provided")),IF(Metadata!P89="",FALSE,TRUE))</f>
        <v>0</v>
      </c>
      <c r="AQ89">
        <f>OR(AND(IF(Metadata!Q89="",FALSE,TRUE),exact(Metadata!Q89,"not provided")),IF(Metadata!Q89="",FALSE,TRUE))</f>
        <v>0</v>
      </c>
    </row>
    <row r="90" spans="1:43">
      <c r="A90" s="4">
        <f>IF(B90=" "," ",HYPERLINK(CONCATENATE("#metadata!",ADDRESS(INDEX($W$2:$W$1001,MATCH(ROWS($U$2:U90),$U$2:$U$1001,0),0),2)),INDEX($Z$2:$Z$1001,MATCH(ROWS($U$2:U90),$U$2:$U$1001,0),0)))</f>
        <v>0</v>
      </c>
      <c r="B90" s="5">
        <f>IF(OR(INDEX($V$2:$V$1001,MATCH(ROWS($U$2:U90),$U$2:$U$1001,0),1)&gt;=100000,INDEX($AB$1005:$AQ$1005,1,MATCH(COLUMNS($AB$1006:AB1006),$AB$1006:$AQ$1006,0))&gt;=100000), " ",IF(INDEX($AB$2:$AQ$1001,MATCH(ROWS($U$2:U90),$U$2:$U$1001,0),MATCH(COLUMNS($AB$1006:AB1006),$AB$1006:$AQ$1006,0)), HYPERLINK("#",""), HYPERLINK(CONCATENATE("#Metadata!", ADDRESS(INDEX($W$2:$W$1001,MATCH(ROWS($U$2:U90),$U$2:$U$1001,0),0), INDEX($AB$1004:$AQ$1004,1,MATCH(COLUMNS($AB$1006:AB1006),$AB$1006:$AQ$1006,0)))),"Fix")))</f>
        <v>0</v>
      </c>
      <c r="C90" s="5">
        <f>IF(OR(INDEX($V$2:$V$1001,MATCH(ROWS($U$2:U90),$U$2:$U$1001,0),1)&gt;=100000,INDEX($AB$1005:$AQ$1005,1,MATCH(COLUMNS($AB$1006:AC1006),$AB$1006:$AQ$1006,0))&gt;=100000), " ",IF(INDEX($AB$2:$AQ$1001,MATCH(ROWS($U$2:U90),$U$2:$U$1001,0),MATCH(COLUMNS($AB$1006:AC1006),$AB$1006:$AQ$1006,0)), HYPERLINK("#",""), HYPERLINK(CONCATENATE("#Metadata!", ADDRESS(INDEX($W$2:$W$1001,MATCH(ROWS($U$2:U90),$U$2:$U$1001,0),0), INDEX($AB$1004:$AQ$1004,1,MATCH(COLUMNS($AB$1006:AC1006),$AB$1006:$AQ$1006,0)))),"Fix")))</f>
        <v>0</v>
      </c>
      <c r="D90" s="5">
        <f>IF(OR(INDEX($V$2:$V$1001,MATCH(ROWS($U$2:U90),$U$2:$U$1001,0),1)&gt;=100000,INDEX($AB$1005:$AQ$1005,1,MATCH(COLUMNS($AB$1006:AD1006),$AB$1006:$AQ$1006,0))&gt;=100000), " ",IF(INDEX($AB$2:$AQ$1001,MATCH(ROWS($U$2:U90),$U$2:$U$1001,0),MATCH(COLUMNS($AB$1006:AD1006),$AB$1006:$AQ$1006,0)), HYPERLINK("#",""), HYPERLINK(CONCATENATE("#Metadata!", ADDRESS(INDEX($W$2:$W$1001,MATCH(ROWS($U$2:U90),$U$2:$U$1001,0),0), INDEX($AB$1004:$AQ$1004,1,MATCH(COLUMNS($AB$1006:AD1006),$AB$1006:$AQ$1006,0)))),"Fix")))</f>
        <v>0</v>
      </c>
      <c r="E90" s="5">
        <f>IF(OR(INDEX($V$2:$V$1001,MATCH(ROWS($U$2:U90),$U$2:$U$1001,0),1)&gt;=100000,INDEX($AB$1005:$AQ$1005,1,MATCH(COLUMNS($AB$1006:AE1006),$AB$1006:$AQ$1006,0))&gt;=100000), " ",IF(INDEX($AB$2:$AQ$1001,MATCH(ROWS($U$2:U90),$U$2:$U$1001,0),MATCH(COLUMNS($AB$1006:AE1006),$AB$1006:$AQ$1006,0)), HYPERLINK("#",""), HYPERLINK(CONCATENATE("#Metadata!", ADDRESS(INDEX($W$2:$W$1001,MATCH(ROWS($U$2:U90),$U$2:$U$1001,0),0), INDEX($AB$1004:$AQ$1004,1,MATCH(COLUMNS($AB$1006:AE1006),$AB$1006:$AQ$1006,0)))),"Fix")))</f>
        <v>0</v>
      </c>
      <c r="F90" s="5">
        <f>IF(OR(INDEX($V$2:$V$1001,MATCH(ROWS($U$2:U90),$U$2:$U$1001,0),1)&gt;=100000,INDEX($AB$1005:$AQ$1005,1,MATCH(COLUMNS($AB$1006:AF1006),$AB$1006:$AQ$1006,0))&gt;=100000), " ",IF(INDEX($AB$2:$AQ$1001,MATCH(ROWS($U$2:U90),$U$2:$U$1001,0),MATCH(COLUMNS($AB$1006:AF1006),$AB$1006:$AQ$1006,0)), HYPERLINK("#",""), HYPERLINK(CONCATENATE("#Metadata!", ADDRESS(INDEX($W$2:$W$1001,MATCH(ROWS($U$2:U90),$U$2:$U$1001,0),0), INDEX($AB$1004:$AQ$1004,1,MATCH(COLUMNS($AB$1006:AF1006),$AB$1006:$AQ$1006,0)))),"Fix")))</f>
        <v>0</v>
      </c>
      <c r="G90" s="5">
        <f>IF(OR(INDEX($V$2:$V$1001,MATCH(ROWS($U$2:U90),$U$2:$U$1001,0),1)&gt;=100000,INDEX($AB$1005:$AQ$1005,1,MATCH(COLUMNS($AB$1006:AG1006),$AB$1006:$AQ$1006,0))&gt;=100000), " ",IF(INDEX($AB$2:$AQ$1001,MATCH(ROWS($U$2:U90),$U$2:$U$1001,0),MATCH(COLUMNS($AB$1006:AG1006),$AB$1006:$AQ$1006,0)), HYPERLINK("#",""), HYPERLINK(CONCATENATE("#Metadata!", ADDRESS(INDEX($W$2:$W$1001,MATCH(ROWS($U$2:U90),$U$2:$U$1001,0),0), INDEX($AB$1004:$AQ$1004,1,MATCH(COLUMNS($AB$1006:AG1006),$AB$1006:$AQ$1006,0)))),"Fix")))</f>
        <v>0</v>
      </c>
      <c r="H90" s="5">
        <f>IF(OR(INDEX($V$2:$V$1001,MATCH(ROWS($U$2:U90),$U$2:$U$1001,0),1)&gt;=100000,INDEX($AB$1005:$AQ$1005,1,MATCH(COLUMNS($AB$1006:AH1006),$AB$1006:$AQ$1006,0))&gt;=100000), " ",IF(INDEX($AB$2:$AQ$1001,MATCH(ROWS($U$2:U90),$U$2:$U$1001,0),MATCH(COLUMNS($AB$1006:AH1006),$AB$1006:$AQ$1006,0)), HYPERLINK("#",""), HYPERLINK(CONCATENATE("#Metadata!", ADDRESS(INDEX($W$2:$W$1001,MATCH(ROWS($U$2:U90),$U$2:$U$1001,0),0), INDEX($AB$1004:$AQ$1004,1,MATCH(COLUMNS($AB$1006:AH1006),$AB$1006:$AQ$1006,0)))),"Fix")))</f>
        <v>0</v>
      </c>
      <c r="I90" s="5">
        <f>IF(OR(INDEX($V$2:$V$1001,MATCH(ROWS($U$2:U90),$U$2:$U$1001,0),1)&gt;=100000,INDEX($AB$1005:$AQ$1005,1,MATCH(COLUMNS($AB$1006:AI1006),$AB$1006:$AQ$1006,0))&gt;=100000), " ",IF(INDEX($AB$2:$AQ$1001,MATCH(ROWS($U$2:U90),$U$2:$U$1001,0),MATCH(COLUMNS($AB$1006:AI1006),$AB$1006:$AQ$1006,0)), HYPERLINK("#",""), HYPERLINK(CONCATENATE("#Metadata!", ADDRESS(INDEX($W$2:$W$1001,MATCH(ROWS($U$2:U90),$U$2:$U$1001,0),0), INDEX($AB$1004:$AQ$1004,1,MATCH(COLUMNS($AB$1006:AI1006),$AB$1006:$AQ$1006,0)))),"Fix")))</f>
        <v>0</v>
      </c>
      <c r="J90" s="5">
        <f>IF(OR(INDEX($V$2:$V$1001,MATCH(ROWS($U$2:U90),$U$2:$U$1001,0),1)&gt;=100000,INDEX($AB$1005:$AQ$1005,1,MATCH(COLUMNS($AB$1006:AJ1006),$AB$1006:$AQ$1006,0))&gt;=100000), " ",IF(INDEX($AB$2:$AQ$1001,MATCH(ROWS($U$2:U90),$U$2:$U$1001,0),MATCH(COLUMNS($AB$1006:AJ1006),$AB$1006:$AQ$1006,0)), HYPERLINK("#",""), HYPERLINK(CONCATENATE("#Metadata!", ADDRESS(INDEX($W$2:$W$1001,MATCH(ROWS($U$2:U90),$U$2:$U$1001,0),0), INDEX($AB$1004:$AQ$1004,1,MATCH(COLUMNS($AB$1006:AJ1006),$AB$1006:$AQ$1006,0)))),"Fix")))</f>
        <v>0</v>
      </c>
      <c r="K90" s="5">
        <f>IF(OR(INDEX($V$2:$V$1001,MATCH(ROWS($U$2:U90),$U$2:$U$1001,0),1)&gt;=100000,INDEX($AB$1005:$AQ$1005,1,MATCH(COLUMNS($AB$1006:AK1006),$AB$1006:$AQ$1006,0))&gt;=100000), " ",IF(INDEX($AB$2:$AQ$1001,MATCH(ROWS($U$2:U90),$U$2:$U$1001,0),MATCH(COLUMNS($AB$1006:AK1006),$AB$1006:$AQ$1006,0)), HYPERLINK("#",""), HYPERLINK(CONCATENATE("#Metadata!", ADDRESS(INDEX($W$2:$W$1001,MATCH(ROWS($U$2:U90),$U$2:$U$1001,0),0), INDEX($AB$1004:$AQ$1004,1,MATCH(COLUMNS($AB$1006:AK1006),$AB$1006:$AQ$1006,0)))),"Fix")))</f>
        <v>0</v>
      </c>
      <c r="L90" s="5">
        <f>IF(OR(INDEX($V$2:$V$1001,MATCH(ROWS($U$2:U90),$U$2:$U$1001,0),1)&gt;=100000,INDEX($AB$1005:$AQ$1005,1,MATCH(COLUMNS($AB$1006:AL1006),$AB$1006:$AQ$1006,0))&gt;=100000), " ",IF(INDEX($AB$2:$AQ$1001,MATCH(ROWS($U$2:U90),$U$2:$U$1001,0),MATCH(COLUMNS($AB$1006:AL1006),$AB$1006:$AQ$1006,0)), HYPERLINK("#",""), HYPERLINK(CONCATENATE("#Metadata!", ADDRESS(INDEX($W$2:$W$1001,MATCH(ROWS($U$2:U90),$U$2:$U$1001,0),0), INDEX($AB$1004:$AQ$1004,1,MATCH(COLUMNS($AB$1006:AL1006),$AB$1006:$AQ$1006,0)))),"Fix")))</f>
        <v>0</v>
      </c>
      <c r="M90" s="5">
        <f>IF(OR(INDEX($V$2:$V$1001,MATCH(ROWS($U$2:U90),$U$2:$U$1001,0),1)&gt;=100000,INDEX($AB$1005:$AQ$1005,1,MATCH(COLUMNS($AB$1006:AM1006),$AB$1006:$AQ$1006,0))&gt;=100000), " ",IF(INDEX($AB$2:$AQ$1001,MATCH(ROWS($U$2:U90),$U$2:$U$1001,0),MATCH(COLUMNS($AB$1006:AM1006),$AB$1006:$AQ$1006,0)), HYPERLINK("#",""), HYPERLINK(CONCATENATE("#Metadata!", ADDRESS(INDEX($W$2:$W$1001,MATCH(ROWS($U$2:U90),$U$2:$U$1001,0),0), INDEX($AB$1004:$AQ$1004,1,MATCH(COLUMNS($AB$1006:AM1006),$AB$1006:$AQ$1006,0)))),"Fix")))</f>
        <v>0</v>
      </c>
      <c r="N90" s="5">
        <f>IF(OR(INDEX($V$2:$V$1001,MATCH(ROWS($U$2:U90),$U$2:$U$1001,0),1)&gt;=100000,INDEX($AB$1005:$AQ$1005,1,MATCH(COLUMNS($AB$1006:AN1006),$AB$1006:$AQ$1006,0))&gt;=100000), " ",IF(INDEX($AB$2:$AQ$1001,MATCH(ROWS($U$2:U90),$U$2:$U$1001,0),MATCH(COLUMNS($AB$1006:AN1006),$AB$1006:$AQ$1006,0)), HYPERLINK("#",""), HYPERLINK(CONCATENATE("#Metadata!", ADDRESS(INDEX($W$2:$W$1001,MATCH(ROWS($U$2:U90),$U$2:$U$1001,0),0), INDEX($AB$1004:$AQ$1004,1,MATCH(COLUMNS($AB$1006:AN1006),$AB$1006:$AQ$1006,0)))),"Fix")))</f>
        <v>0</v>
      </c>
      <c r="O90" s="5">
        <f>IF(OR(INDEX($V$2:$V$1001,MATCH(ROWS($U$2:U90),$U$2:$U$1001,0),1)&gt;=100000,INDEX($AB$1005:$AQ$1005,1,MATCH(COLUMNS($AB$1006:AO1006),$AB$1006:$AQ$1006,0))&gt;=100000), " ",IF(INDEX($AB$2:$AQ$1001,MATCH(ROWS($U$2:U90),$U$2:$U$1001,0),MATCH(COLUMNS($AB$1006:AO1006),$AB$1006:$AQ$1006,0)), HYPERLINK("#",""), HYPERLINK(CONCATENATE("#Metadata!", ADDRESS(INDEX($W$2:$W$1001,MATCH(ROWS($U$2:U90),$U$2:$U$1001,0),0), INDEX($AB$1004:$AQ$1004,1,MATCH(COLUMNS($AB$1006:AO1006),$AB$1006:$AQ$1006,0)))),"Fix")))</f>
        <v>0</v>
      </c>
      <c r="P90" s="5">
        <f>IF(OR(INDEX($V$2:$V$1001,MATCH(ROWS($U$2:U90),$U$2:$U$1001,0),1)&gt;=100000,INDEX($AB$1005:$AQ$1005,1,MATCH(COLUMNS($AB$1006:AP1006),$AB$1006:$AQ$1006,0))&gt;=100000), " ",IF(INDEX($AB$2:$AQ$1001,MATCH(ROWS($U$2:U90),$U$2:$U$1001,0),MATCH(COLUMNS($AB$1006:AP1006),$AB$1006:$AQ$1006,0)), HYPERLINK("#",""), HYPERLINK(CONCATENATE("#Metadata!", ADDRESS(INDEX($W$2:$W$1001,MATCH(ROWS($U$2:U90),$U$2:$U$1001,0),0), INDEX($AB$1004:$AQ$1004,1,MATCH(COLUMNS($AB$1006:AP1006),$AB$1006:$AQ$1006,0)))),"Fix")))</f>
        <v>0</v>
      </c>
      <c r="Q90" s="5">
        <f>IF(OR(INDEX($V$2:$V$1001,MATCH(ROWS($U$2:U90),$U$2:$U$1001,0),1)&gt;=100000,INDEX($AB$1005:$AQ$1005,1,MATCH(COLUMNS($AB$1006:AQ1006),$AB$1006:$AQ$1006,0))&gt;=100000), " ",IF(INDEX($AB$2:$AQ$1001,MATCH(ROWS($U$2:U90),$U$2:$U$1001,0),MATCH(COLUMNS($AB$1006:AQ1006),$AB$1006:$AQ$1006,0)), HYPERLINK("#",""), HYPERLINK(CONCATENATE("#Metadata!", ADDRESS(INDEX($W$2:$W$1001,MATCH(ROWS($U$2:U90),$U$2:$U$1001,0),0), INDEX($AB$1004:$AQ$1004,1,MATCH(COLUMNS($AB$1006:AQ1006),$AB$1006:$AQ$1006,0)))),"Fix")))</f>
        <v>0</v>
      </c>
      <c r="U90">
        <v>0</v>
      </c>
      <c r="V90">
        <v>0</v>
      </c>
      <c r="W90">
        <v>0</v>
      </c>
      <c r="X90">
        <f>IF(Y90,TRUE,AND(AB90:AQ90))</f>
        <v>0</v>
      </c>
      <c r="Y90">
        <f>COUNTBLANK(Metadata!B90:Q90)=COLUMNS(Metadata!B90:Q90)</f>
        <v>0</v>
      </c>
      <c r="Z90">
        <v>0</v>
      </c>
      <c r="AB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AC90">
        <f>AND(IF(Metadata!C90="",FALSE,TRUE),exact(Metadata!C90,"urban biome"))</f>
        <v>0</v>
      </c>
      <c r="AD90">
        <f>AND(IF(Metadata!D90="",FALSE,TRUE),exact(Metadata!D90,"human-associated habitat"))</f>
        <v>0</v>
      </c>
      <c r="AE90">
        <f>AND(IF(Metadata!E90="",FALSE,TRUE),OR(exact(Metadata!E90,"human-associated"),exact(Metadata!E90,"human-skin"),exact(Metadata!E90,"human-oral"),exact(Metadata!E90,"human-gut"),exact(Metadata!E90,"human-vaginal")))</f>
        <v>0</v>
      </c>
      <c r="AF90">
        <f>AND(IF(Metadata!F90="",FALSE,ISNUMBER(VALUE(Metadata!F90))),Metadata!F90&gt;0)</f>
        <v>0</v>
      </c>
      <c r="AG90">
        <f>AND(IF(Metadata!G90="",FALSE,TRUE),exact(Metadata!G90,"years"))</f>
        <v>0</v>
      </c>
      <c r="AH90">
        <f>OR(AND(IF(Metadata!H90="",FALSE,TRUE),OR(exact(Metadata!H90,"not applicable"),exact(Metadata!H90,"not collected"),exact(Metadata!H90,"not provided"),exact(Metadata!H90,"restricted access"))),AND(IF(Metadata!H90="",FALSE,ISNUMBER(VALUE(Metadata!H90))),Metadata!H90&gt;0))</f>
        <v>0</v>
      </c>
      <c r="AI90">
        <f>AND(IF(Metadata!I90="",FALSE,TRUE),exact(Metadata!I90,"human"))</f>
        <v>0</v>
      </c>
      <c r="AJ90">
        <f>AND(IF(Metadata!J90="",FALSE,ISNUMBER(VALUE(Metadata!J90))),Metadata!J90&gt;0)</f>
        <v>0</v>
      </c>
      <c r="AK90">
        <f>AND(IF(Metadata!K90="",FALSE,TRUE),exact(Metadata!K90,"cm"))</f>
        <v>0</v>
      </c>
      <c r="AL90">
        <f>AND(IF(Metadata!L90="",FALSE,TRUE),exact(Metadata!L90,"Homo sapiens"))</f>
        <v>0</v>
      </c>
      <c r="AM90">
        <f>AND(IF(Metadata!M90="",FALSE,TRUE),exact(Metadata!M90,"9606"))</f>
        <v>0</v>
      </c>
      <c r="AN90">
        <f>AND(IF(Metadata!N90="",FALSE,ISNUMBER(VALUE(Metadata!N90))),Metadata!N90&gt;0)</f>
        <v>0</v>
      </c>
      <c r="AO90">
        <f>AND(IF(Metadata!O90="",FALSE,TRUE),exact(Metadata!O90,"kg"))</f>
        <v>0</v>
      </c>
      <c r="AP90">
        <f>OR(AND(IF(Metadata!P90="",FALSE,TRUE),exact(Metadata!P90,"not provided")),IF(Metadata!P90="",FALSE,TRUE))</f>
        <v>0</v>
      </c>
      <c r="AQ90">
        <f>OR(AND(IF(Metadata!Q90="",FALSE,TRUE),exact(Metadata!Q90,"not provided")),IF(Metadata!Q90="",FALSE,TRUE))</f>
        <v>0</v>
      </c>
    </row>
    <row r="91" spans="1:43">
      <c r="A91" s="4">
        <f>IF(B91=" "," ",HYPERLINK(CONCATENATE("#metadata!",ADDRESS(INDEX($W$2:$W$1001,MATCH(ROWS($U$2:U91),$U$2:$U$1001,0),0),2)),INDEX($Z$2:$Z$1001,MATCH(ROWS($U$2:U91),$U$2:$U$1001,0),0)))</f>
        <v>0</v>
      </c>
      <c r="B91" s="5">
        <f>IF(OR(INDEX($V$2:$V$1001,MATCH(ROWS($U$2:U91),$U$2:$U$1001,0),1)&gt;=100000,INDEX($AB$1005:$AQ$1005,1,MATCH(COLUMNS($AB$1006:AB1006),$AB$1006:$AQ$1006,0))&gt;=100000), " ",IF(INDEX($AB$2:$AQ$1001,MATCH(ROWS($U$2:U91),$U$2:$U$1001,0),MATCH(COLUMNS($AB$1006:AB1006),$AB$1006:$AQ$1006,0)), HYPERLINK("#",""), HYPERLINK(CONCATENATE("#Metadata!", ADDRESS(INDEX($W$2:$W$1001,MATCH(ROWS($U$2:U91),$U$2:$U$1001,0),0), INDEX($AB$1004:$AQ$1004,1,MATCH(COLUMNS($AB$1006:AB1006),$AB$1006:$AQ$1006,0)))),"Fix")))</f>
        <v>0</v>
      </c>
      <c r="C91" s="5">
        <f>IF(OR(INDEX($V$2:$V$1001,MATCH(ROWS($U$2:U91),$U$2:$U$1001,0),1)&gt;=100000,INDEX($AB$1005:$AQ$1005,1,MATCH(COLUMNS($AB$1006:AC1006),$AB$1006:$AQ$1006,0))&gt;=100000), " ",IF(INDEX($AB$2:$AQ$1001,MATCH(ROWS($U$2:U91),$U$2:$U$1001,0),MATCH(COLUMNS($AB$1006:AC1006),$AB$1006:$AQ$1006,0)), HYPERLINK("#",""), HYPERLINK(CONCATENATE("#Metadata!", ADDRESS(INDEX($W$2:$W$1001,MATCH(ROWS($U$2:U91),$U$2:$U$1001,0),0), INDEX($AB$1004:$AQ$1004,1,MATCH(COLUMNS($AB$1006:AC1006),$AB$1006:$AQ$1006,0)))),"Fix")))</f>
        <v>0</v>
      </c>
      <c r="D91" s="5">
        <f>IF(OR(INDEX($V$2:$V$1001,MATCH(ROWS($U$2:U91),$U$2:$U$1001,0),1)&gt;=100000,INDEX($AB$1005:$AQ$1005,1,MATCH(COLUMNS($AB$1006:AD1006),$AB$1006:$AQ$1006,0))&gt;=100000), " ",IF(INDEX($AB$2:$AQ$1001,MATCH(ROWS($U$2:U91),$U$2:$U$1001,0),MATCH(COLUMNS($AB$1006:AD1006),$AB$1006:$AQ$1006,0)), HYPERLINK("#",""), HYPERLINK(CONCATENATE("#Metadata!", ADDRESS(INDEX($W$2:$W$1001,MATCH(ROWS($U$2:U91),$U$2:$U$1001,0),0), INDEX($AB$1004:$AQ$1004,1,MATCH(COLUMNS($AB$1006:AD1006),$AB$1006:$AQ$1006,0)))),"Fix")))</f>
        <v>0</v>
      </c>
      <c r="E91" s="5">
        <f>IF(OR(INDEX($V$2:$V$1001,MATCH(ROWS($U$2:U91),$U$2:$U$1001,0),1)&gt;=100000,INDEX($AB$1005:$AQ$1005,1,MATCH(COLUMNS($AB$1006:AE1006),$AB$1006:$AQ$1006,0))&gt;=100000), " ",IF(INDEX($AB$2:$AQ$1001,MATCH(ROWS($U$2:U91),$U$2:$U$1001,0),MATCH(COLUMNS($AB$1006:AE1006),$AB$1006:$AQ$1006,0)), HYPERLINK("#",""), HYPERLINK(CONCATENATE("#Metadata!", ADDRESS(INDEX($W$2:$W$1001,MATCH(ROWS($U$2:U91),$U$2:$U$1001,0),0), INDEX($AB$1004:$AQ$1004,1,MATCH(COLUMNS($AB$1006:AE1006),$AB$1006:$AQ$1006,0)))),"Fix")))</f>
        <v>0</v>
      </c>
      <c r="F91" s="5">
        <f>IF(OR(INDEX($V$2:$V$1001,MATCH(ROWS($U$2:U91),$U$2:$U$1001,0),1)&gt;=100000,INDEX($AB$1005:$AQ$1005,1,MATCH(COLUMNS($AB$1006:AF1006),$AB$1006:$AQ$1006,0))&gt;=100000), " ",IF(INDEX($AB$2:$AQ$1001,MATCH(ROWS($U$2:U91),$U$2:$U$1001,0),MATCH(COLUMNS($AB$1006:AF1006),$AB$1006:$AQ$1006,0)), HYPERLINK("#",""), HYPERLINK(CONCATENATE("#Metadata!", ADDRESS(INDEX($W$2:$W$1001,MATCH(ROWS($U$2:U91),$U$2:$U$1001,0),0), INDEX($AB$1004:$AQ$1004,1,MATCH(COLUMNS($AB$1006:AF1006),$AB$1006:$AQ$1006,0)))),"Fix")))</f>
        <v>0</v>
      </c>
      <c r="G91" s="5">
        <f>IF(OR(INDEX($V$2:$V$1001,MATCH(ROWS($U$2:U91),$U$2:$U$1001,0),1)&gt;=100000,INDEX($AB$1005:$AQ$1005,1,MATCH(COLUMNS($AB$1006:AG1006),$AB$1006:$AQ$1006,0))&gt;=100000), " ",IF(INDEX($AB$2:$AQ$1001,MATCH(ROWS($U$2:U91),$U$2:$U$1001,0),MATCH(COLUMNS($AB$1006:AG1006),$AB$1006:$AQ$1006,0)), HYPERLINK("#",""), HYPERLINK(CONCATENATE("#Metadata!", ADDRESS(INDEX($W$2:$W$1001,MATCH(ROWS($U$2:U91),$U$2:$U$1001,0),0), INDEX($AB$1004:$AQ$1004,1,MATCH(COLUMNS($AB$1006:AG1006),$AB$1006:$AQ$1006,0)))),"Fix")))</f>
        <v>0</v>
      </c>
      <c r="H91" s="5">
        <f>IF(OR(INDEX($V$2:$V$1001,MATCH(ROWS($U$2:U91),$U$2:$U$1001,0),1)&gt;=100000,INDEX($AB$1005:$AQ$1005,1,MATCH(COLUMNS($AB$1006:AH1006),$AB$1006:$AQ$1006,0))&gt;=100000), " ",IF(INDEX($AB$2:$AQ$1001,MATCH(ROWS($U$2:U91),$U$2:$U$1001,0),MATCH(COLUMNS($AB$1006:AH1006),$AB$1006:$AQ$1006,0)), HYPERLINK("#",""), HYPERLINK(CONCATENATE("#Metadata!", ADDRESS(INDEX($W$2:$W$1001,MATCH(ROWS($U$2:U91),$U$2:$U$1001,0),0), INDEX($AB$1004:$AQ$1004,1,MATCH(COLUMNS($AB$1006:AH1006),$AB$1006:$AQ$1006,0)))),"Fix")))</f>
        <v>0</v>
      </c>
      <c r="I91" s="5">
        <f>IF(OR(INDEX($V$2:$V$1001,MATCH(ROWS($U$2:U91),$U$2:$U$1001,0),1)&gt;=100000,INDEX($AB$1005:$AQ$1005,1,MATCH(COLUMNS($AB$1006:AI1006),$AB$1006:$AQ$1006,0))&gt;=100000), " ",IF(INDEX($AB$2:$AQ$1001,MATCH(ROWS($U$2:U91),$U$2:$U$1001,0),MATCH(COLUMNS($AB$1006:AI1006),$AB$1006:$AQ$1006,0)), HYPERLINK("#",""), HYPERLINK(CONCATENATE("#Metadata!", ADDRESS(INDEX($W$2:$W$1001,MATCH(ROWS($U$2:U91),$U$2:$U$1001,0),0), INDEX($AB$1004:$AQ$1004,1,MATCH(COLUMNS($AB$1006:AI1006),$AB$1006:$AQ$1006,0)))),"Fix")))</f>
        <v>0</v>
      </c>
      <c r="J91" s="5">
        <f>IF(OR(INDEX($V$2:$V$1001,MATCH(ROWS($U$2:U91),$U$2:$U$1001,0),1)&gt;=100000,INDEX($AB$1005:$AQ$1005,1,MATCH(COLUMNS($AB$1006:AJ1006),$AB$1006:$AQ$1006,0))&gt;=100000), " ",IF(INDEX($AB$2:$AQ$1001,MATCH(ROWS($U$2:U91),$U$2:$U$1001,0),MATCH(COLUMNS($AB$1006:AJ1006),$AB$1006:$AQ$1006,0)), HYPERLINK("#",""), HYPERLINK(CONCATENATE("#Metadata!", ADDRESS(INDEX($W$2:$W$1001,MATCH(ROWS($U$2:U91),$U$2:$U$1001,0),0), INDEX($AB$1004:$AQ$1004,1,MATCH(COLUMNS($AB$1006:AJ1006),$AB$1006:$AQ$1006,0)))),"Fix")))</f>
        <v>0</v>
      </c>
      <c r="K91" s="5">
        <f>IF(OR(INDEX($V$2:$V$1001,MATCH(ROWS($U$2:U91),$U$2:$U$1001,0),1)&gt;=100000,INDEX($AB$1005:$AQ$1005,1,MATCH(COLUMNS($AB$1006:AK1006),$AB$1006:$AQ$1006,0))&gt;=100000), " ",IF(INDEX($AB$2:$AQ$1001,MATCH(ROWS($U$2:U91),$U$2:$U$1001,0),MATCH(COLUMNS($AB$1006:AK1006),$AB$1006:$AQ$1006,0)), HYPERLINK("#",""), HYPERLINK(CONCATENATE("#Metadata!", ADDRESS(INDEX($W$2:$W$1001,MATCH(ROWS($U$2:U91),$U$2:$U$1001,0),0), INDEX($AB$1004:$AQ$1004,1,MATCH(COLUMNS($AB$1006:AK1006),$AB$1006:$AQ$1006,0)))),"Fix")))</f>
        <v>0</v>
      </c>
      <c r="L91" s="5">
        <f>IF(OR(INDEX($V$2:$V$1001,MATCH(ROWS($U$2:U91),$U$2:$U$1001,0),1)&gt;=100000,INDEX($AB$1005:$AQ$1005,1,MATCH(COLUMNS($AB$1006:AL1006),$AB$1006:$AQ$1006,0))&gt;=100000), " ",IF(INDEX($AB$2:$AQ$1001,MATCH(ROWS($U$2:U91),$U$2:$U$1001,0),MATCH(COLUMNS($AB$1006:AL1006),$AB$1006:$AQ$1006,0)), HYPERLINK("#",""), HYPERLINK(CONCATENATE("#Metadata!", ADDRESS(INDEX($W$2:$W$1001,MATCH(ROWS($U$2:U91),$U$2:$U$1001,0),0), INDEX($AB$1004:$AQ$1004,1,MATCH(COLUMNS($AB$1006:AL1006),$AB$1006:$AQ$1006,0)))),"Fix")))</f>
        <v>0</v>
      </c>
      <c r="M91" s="5">
        <f>IF(OR(INDEX($V$2:$V$1001,MATCH(ROWS($U$2:U91),$U$2:$U$1001,0),1)&gt;=100000,INDEX($AB$1005:$AQ$1005,1,MATCH(COLUMNS($AB$1006:AM1006),$AB$1006:$AQ$1006,0))&gt;=100000), " ",IF(INDEX($AB$2:$AQ$1001,MATCH(ROWS($U$2:U91),$U$2:$U$1001,0),MATCH(COLUMNS($AB$1006:AM1006),$AB$1006:$AQ$1006,0)), HYPERLINK("#",""), HYPERLINK(CONCATENATE("#Metadata!", ADDRESS(INDEX($W$2:$W$1001,MATCH(ROWS($U$2:U91),$U$2:$U$1001,0),0), INDEX($AB$1004:$AQ$1004,1,MATCH(COLUMNS($AB$1006:AM1006),$AB$1006:$AQ$1006,0)))),"Fix")))</f>
        <v>0</v>
      </c>
      <c r="N91" s="5">
        <f>IF(OR(INDEX($V$2:$V$1001,MATCH(ROWS($U$2:U91),$U$2:$U$1001,0),1)&gt;=100000,INDEX($AB$1005:$AQ$1005,1,MATCH(COLUMNS($AB$1006:AN1006),$AB$1006:$AQ$1006,0))&gt;=100000), " ",IF(INDEX($AB$2:$AQ$1001,MATCH(ROWS($U$2:U91),$U$2:$U$1001,0),MATCH(COLUMNS($AB$1006:AN1006),$AB$1006:$AQ$1006,0)), HYPERLINK("#",""), HYPERLINK(CONCATENATE("#Metadata!", ADDRESS(INDEX($W$2:$W$1001,MATCH(ROWS($U$2:U91),$U$2:$U$1001,0),0), INDEX($AB$1004:$AQ$1004,1,MATCH(COLUMNS($AB$1006:AN1006),$AB$1006:$AQ$1006,0)))),"Fix")))</f>
        <v>0</v>
      </c>
      <c r="O91" s="5">
        <f>IF(OR(INDEX($V$2:$V$1001,MATCH(ROWS($U$2:U91),$U$2:$U$1001,0),1)&gt;=100000,INDEX($AB$1005:$AQ$1005,1,MATCH(COLUMNS($AB$1006:AO1006),$AB$1006:$AQ$1006,0))&gt;=100000), " ",IF(INDEX($AB$2:$AQ$1001,MATCH(ROWS($U$2:U91),$U$2:$U$1001,0),MATCH(COLUMNS($AB$1006:AO1006),$AB$1006:$AQ$1006,0)), HYPERLINK("#",""), HYPERLINK(CONCATENATE("#Metadata!", ADDRESS(INDEX($W$2:$W$1001,MATCH(ROWS($U$2:U91),$U$2:$U$1001,0),0), INDEX($AB$1004:$AQ$1004,1,MATCH(COLUMNS($AB$1006:AO1006),$AB$1006:$AQ$1006,0)))),"Fix")))</f>
        <v>0</v>
      </c>
      <c r="P91" s="5">
        <f>IF(OR(INDEX($V$2:$V$1001,MATCH(ROWS($U$2:U91),$U$2:$U$1001,0),1)&gt;=100000,INDEX($AB$1005:$AQ$1005,1,MATCH(COLUMNS($AB$1006:AP1006),$AB$1006:$AQ$1006,0))&gt;=100000), " ",IF(INDEX($AB$2:$AQ$1001,MATCH(ROWS($U$2:U91),$U$2:$U$1001,0),MATCH(COLUMNS($AB$1006:AP1006),$AB$1006:$AQ$1006,0)), HYPERLINK("#",""), HYPERLINK(CONCATENATE("#Metadata!", ADDRESS(INDEX($W$2:$W$1001,MATCH(ROWS($U$2:U91),$U$2:$U$1001,0),0), INDEX($AB$1004:$AQ$1004,1,MATCH(COLUMNS($AB$1006:AP1006),$AB$1006:$AQ$1006,0)))),"Fix")))</f>
        <v>0</v>
      </c>
      <c r="Q91" s="5">
        <f>IF(OR(INDEX($V$2:$V$1001,MATCH(ROWS($U$2:U91),$U$2:$U$1001,0),1)&gt;=100000,INDEX($AB$1005:$AQ$1005,1,MATCH(COLUMNS($AB$1006:AQ1006),$AB$1006:$AQ$1006,0))&gt;=100000), " ",IF(INDEX($AB$2:$AQ$1001,MATCH(ROWS($U$2:U91),$U$2:$U$1001,0),MATCH(COLUMNS($AB$1006:AQ1006),$AB$1006:$AQ$1006,0)), HYPERLINK("#",""), HYPERLINK(CONCATENATE("#Metadata!", ADDRESS(INDEX($W$2:$W$1001,MATCH(ROWS($U$2:U91),$U$2:$U$1001,0),0), INDEX($AB$1004:$AQ$1004,1,MATCH(COLUMNS($AB$1006:AQ1006),$AB$1006:$AQ$1006,0)))),"Fix")))</f>
        <v>0</v>
      </c>
      <c r="U91">
        <v>0</v>
      </c>
      <c r="V91">
        <v>0</v>
      </c>
      <c r="W91">
        <v>0</v>
      </c>
      <c r="X91">
        <f>IF(Y91,TRUE,AND(AB91:AQ91))</f>
        <v>0</v>
      </c>
      <c r="Y91">
        <f>COUNTBLANK(Metadata!B91:Q91)=COLUMNS(Metadata!B91:Q91)</f>
        <v>0</v>
      </c>
      <c r="Z91">
        <v>0</v>
      </c>
      <c r="AB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AC91">
        <f>AND(IF(Metadata!C91="",FALSE,TRUE),exact(Metadata!C91,"urban biome"))</f>
        <v>0</v>
      </c>
      <c r="AD91">
        <f>AND(IF(Metadata!D91="",FALSE,TRUE),exact(Metadata!D91,"human-associated habitat"))</f>
        <v>0</v>
      </c>
      <c r="AE91">
        <f>AND(IF(Metadata!E91="",FALSE,TRUE),OR(exact(Metadata!E91,"human-associated"),exact(Metadata!E91,"human-skin"),exact(Metadata!E91,"human-oral"),exact(Metadata!E91,"human-gut"),exact(Metadata!E91,"human-vaginal")))</f>
        <v>0</v>
      </c>
      <c r="AF91">
        <f>AND(IF(Metadata!F91="",FALSE,ISNUMBER(VALUE(Metadata!F91))),Metadata!F91&gt;0)</f>
        <v>0</v>
      </c>
      <c r="AG91">
        <f>AND(IF(Metadata!G91="",FALSE,TRUE),exact(Metadata!G91,"years"))</f>
        <v>0</v>
      </c>
      <c r="AH91">
        <f>OR(AND(IF(Metadata!H91="",FALSE,TRUE),OR(exact(Metadata!H91,"not applicable"),exact(Metadata!H91,"not collected"),exact(Metadata!H91,"not provided"),exact(Metadata!H91,"restricted access"))),AND(IF(Metadata!H91="",FALSE,ISNUMBER(VALUE(Metadata!H91))),Metadata!H91&gt;0))</f>
        <v>0</v>
      </c>
      <c r="AI91">
        <f>AND(IF(Metadata!I91="",FALSE,TRUE),exact(Metadata!I91,"human"))</f>
        <v>0</v>
      </c>
      <c r="AJ91">
        <f>AND(IF(Metadata!J91="",FALSE,ISNUMBER(VALUE(Metadata!J91))),Metadata!J91&gt;0)</f>
        <v>0</v>
      </c>
      <c r="AK91">
        <f>AND(IF(Metadata!K91="",FALSE,TRUE),exact(Metadata!K91,"cm"))</f>
        <v>0</v>
      </c>
      <c r="AL91">
        <f>AND(IF(Metadata!L91="",FALSE,TRUE),exact(Metadata!L91,"Homo sapiens"))</f>
        <v>0</v>
      </c>
      <c r="AM91">
        <f>AND(IF(Metadata!M91="",FALSE,TRUE),exact(Metadata!M91,"9606"))</f>
        <v>0</v>
      </c>
      <c r="AN91">
        <f>AND(IF(Metadata!N91="",FALSE,ISNUMBER(VALUE(Metadata!N91))),Metadata!N91&gt;0)</f>
        <v>0</v>
      </c>
      <c r="AO91">
        <f>AND(IF(Metadata!O91="",FALSE,TRUE),exact(Metadata!O91,"kg"))</f>
        <v>0</v>
      </c>
      <c r="AP91">
        <f>OR(AND(IF(Metadata!P91="",FALSE,TRUE),exact(Metadata!P91,"not provided")),IF(Metadata!P91="",FALSE,TRUE))</f>
        <v>0</v>
      </c>
      <c r="AQ91">
        <f>OR(AND(IF(Metadata!Q91="",FALSE,TRUE),exact(Metadata!Q91,"not provided")),IF(Metadata!Q91="",FALSE,TRUE))</f>
        <v>0</v>
      </c>
    </row>
    <row r="92" spans="1:43">
      <c r="A92" s="4">
        <f>IF(B92=" "," ",HYPERLINK(CONCATENATE("#metadata!",ADDRESS(INDEX($W$2:$W$1001,MATCH(ROWS($U$2:U92),$U$2:$U$1001,0),0),2)),INDEX($Z$2:$Z$1001,MATCH(ROWS($U$2:U92),$U$2:$U$1001,0),0)))</f>
        <v>0</v>
      </c>
      <c r="B92" s="5">
        <f>IF(OR(INDEX($V$2:$V$1001,MATCH(ROWS($U$2:U92),$U$2:$U$1001,0),1)&gt;=100000,INDEX($AB$1005:$AQ$1005,1,MATCH(COLUMNS($AB$1006:AB1006),$AB$1006:$AQ$1006,0))&gt;=100000), " ",IF(INDEX($AB$2:$AQ$1001,MATCH(ROWS($U$2:U92),$U$2:$U$1001,0),MATCH(COLUMNS($AB$1006:AB1006),$AB$1006:$AQ$1006,0)), HYPERLINK("#",""), HYPERLINK(CONCATENATE("#Metadata!", ADDRESS(INDEX($W$2:$W$1001,MATCH(ROWS($U$2:U92),$U$2:$U$1001,0),0), INDEX($AB$1004:$AQ$1004,1,MATCH(COLUMNS($AB$1006:AB1006),$AB$1006:$AQ$1006,0)))),"Fix")))</f>
        <v>0</v>
      </c>
      <c r="C92" s="5">
        <f>IF(OR(INDEX($V$2:$V$1001,MATCH(ROWS($U$2:U92),$U$2:$U$1001,0),1)&gt;=100000,INDEX($AB$1005:$AQ$1005,1,MATCH(COLUMNS($AB$1006:AC1006),$AB$1006:$AQ$1006,0))&gt;=100000), " ",IF(INDEX($AB$2:$AQ$1001,MATCH(ROWS($U$2:U92),$U$2:$U$1001,0),MATCH(COLUMNS($AB$1006:AC1006),$AB$1006:$AQ$1006,0)), HYPERLINK("#",""), HYPERLINK(CONCATENATE("#Metadata!", ADDRESS(INDEX($W$2:$W$1001,MATCH(ROWS($U$2:U92),$U$2:$U$1001,0),0), INDEX($AB$1004:$AQ$1004,1,MATCH(COLUMNS($AB$1006:AC1006),$AB$1006:$AQ$1006,0)))),"Fix")))</f>
        <v>0</v>
      </c>
      <c r="D92" s="5">
        <f>IF(OR(INDEX($V$2:$V$1001,MATCH(ROWS($U$2:U92),$U$2:$U$1001,0),1)&gt;=100000,INDEX($AB$1005:$AQ$1005,1,MATCH(COLUMNS($AB$1006:AD1006),$AB$1006:$AQ$1006,0))&gt;=100000), " ",IF(INDEX($AB$2:$AQ$1001,MATCH(ROWS($U$2:U92),$U$2:$U$1001,0),MATCH(COLUMNS($AB$1006:AD1006),$AB$1006:$AQ$1006,0)), HYPERLINK("#",""), HYPERLINK(CONCATENATE("#Metadata!", ADDRESS(INDEX($W$2:$W$1001,MATCH(ROWS($U$2:U92),$U$2:$U$1001,0),0), INDEX($AB$1004:$AQ$1004,1,MATCH(COLUMNS($AB$1006:AD1006),$AB$1006:$AQ$1006,0)))),"Fix")))</f>
        <v>0</v>
      </c>
      <c r="E92" s="5">
        <f>IF(OR(INDEX($V$2:$V$1001,MATCH(ROWS($U$2:U92),$U$2:$U$1001,0),1)&gt;=100000,INDEX($AB$1005:$AQ$1005,1,MATCH(COLUMNS($AB$1006:AE1006),$AB$1006:$AQ$1006,0))&gt;=100000), " ",IF(INDEX($AB$2:$AQ$1001,MATCH(ROWS($U$2:U92),$U$2:$U$1001,0),MATCH(COLUMNS($AB$1006:AE1006),$AB$1006:$AQ$1006,0)), HYPERLINK("#",""), HYPERLINK(CONCATENATE("#Metadata!", ADDRESS(INDEX($W$2:$W$1001,MATCH(ROWS($U$2:U92),$U$2:$U$1001,0),0), INDEX($AB$1004:$AQ$1004,1,MATCH(COLUMNS($AB$1006:AE1006),$AB$1006:$AQ$1006,0)))),"Fix")))</f>
        <v>0</v>
      </c>
      <c r="F92" s="5">
        <f>IF(OR(INDEX($V$2:$V$1001,MATCH(ROWS($U$2:U92),$U$2:$U$1001,0),1)&gt;=100000,INDEX($AB$1005:$AQ$1005,1,MATCH(COLUMNS($AB$1006:AF1006),$AB$1006:$AQ$1006,0))&gt;=100000), " ",IF(INDEX($AB$2:$AQ$1001,MATCH(ROWS($U$2:U92),$U$2:$U$1001,0),MATCH(COLUMNS($AB$1006:AF1006),$AB$1006:$AQ$1006,0)), HYPERLINK("#",""), HYPERLINK(CONCATENATE("#Metadata!", ADDRESS(INDEX($W$2:$W$1001,MATCH(ROWS($U$2:U92),$U$2:$U$1001,0),0), INDEX($AB$1004:$AQ$1004,1,MATCH(COLUMNS($AB$1006:AF1006),$AB$1006:$AQ$1006,0)))),"Fix")))</f>
        <v>0</v>
      </c>
      <c r="G92" s="5">
        <f>IF(OR(INDEX($V$2:$V$1001,MATCH(ROWS($U$2:U92),$U$2:$U$1001,0),1)&gt;=100000,INDEX($AB$1005:$AQ$1005,1,MATCH(COLUMNS($AB$1006:AG1006),$AB$1006:$AQ$1006,0))&gt;=100000), " ",IF(INDEX($AB$2:$AQ$1001,MATCH(ROWS($U$2:U92),$U$2:$U$1001,0),MATCH(COLUMNS($AB$1006:AG1006),$AB$1006:$AQ$1006,0)), HYPERLINK("#",""), HYPERLINK(CONCATENATE("#Metadata!", ADDRESS(INDEX($W$2:$W$1001,MATCH(ROWS($U$2:U92),$U$2:$U$1001,0),0), INDEX($AB$1004:$AQ$1004,1,MATCH(COLUMNS($AB$1006:AG1006),$AB$1006:$AQ$1006,0)))),"Fix")))</f>
        <v>0</v>
      </c>
      <c r="H92" s="5">
        <f>IF(OR(INDEX($V$2:$V$1001,MATCH(ROWS($U$2:U92),$U$2:$U$1001,0),1)&gt;=100000,INDEX($AB$1005:$AQ$1005,1,MATCH(COLUMNS($AB$1006:AH1006),$AB$1006:$AQ$1006,0))&gt;=100000), " ",IF(INDEX($AB$2:$AQ$1001,MATCH(ROWS($U$2:U92),$U$2:$U$1001,0),MATCH(COLUMNS($AB$1006:AH1006),$AB$1006:$AQ$1006,0)), HYPERLINK("#",""), HYPERLINK(CONCATENATE("#Metadata!", ADDRESS(INDEX($W$2:$W$1001,MATCH(ROWS($U$2:U92),$U$2:$U$1001,0),0), INDEX($AB$1004:$AQ$1004,1,MATCH(COLUMNS($AB$1006:AH1006),$AB$1006:$AQ$1006,0)))),"Fix")))</f>
        <v>0</v>
      </c>
      <c r="I92" s="5">
        <f>IF(OR(INDEX($V$2:$V$1001,MATCH(ROWS($U$2:U92),$U$2:$U$1001,0),1)&gt;=100000,INDEX($AB$1005:$AQ$1005,1,MATCH(COLUMNS($AB$1006:AI1006),$AB$1006:$AQ$1006,0))&gt;=100000), " ",IF(INDEX($AB$2:$AQ$1001,MATCH(ROWS($U$2:U92),$U$2:$U$1001,0),MATCH(COLUMNS($AB$1006:AI1006),$AB$1006:$AQ$1006,0)), HYPERLINK("#",""), HYPERLINK(CONCATENATE("#Metadata!", ADDRESS(INDEX($W$2:$W$1001,MATCH(ROWS($U$2:U92),$U$2:$U$1001,0),0), INDEX($AB$1004:$AQ$1004,1,MATCH(COLUMNS($AB$1006:AI1006),$AB$1006:$AQ$1006,0)))),"Fix")))</f>
        <v>0</v>
      </c>
      <c r="J92" s="5">
        <f>IF(OR(INDEX($V$2:$V$1001,MATCH(ROWS($U$2:U92),$U$2:$U$1001,0),1)&gt;=100000,INDEX($AB$1005:$AQ$1005,1,MATCH(COLUMNS($AB$1006:AJ1006),$AB$1006:$AQ$1006,0))&gt;=100000), " ",IF(INDEX($AB$2:$AQ$1001,MATCH(ROWS($U$2:U92),$U$2:$U$1001,0),MATCH(COLUMNS($AB$1006:AJ1006),$AB$1006:$AQ$1006,0)), HYPERLINK("#",""), HYPERLINK(CONCATENATE("#Metadata!", ADDRESS(INDEX($W$2:$W$1001,MATCH(ROWS($U$2:U92),$U$2:$U$1001,0),0), INDEX($AB$1004:$AQ$1004,1,MATCH(COLUMNS($AB$1006:AJ1006),$AB$1006:$AQ$1006,0)))),"Fix")))</f>
        <v>0</v>
      </c>
      <c r="K92" s="5">
        <f>IF(OR(INDEX($V$2:$V$1001,MATCH(ROWS($U$2:U92),$U$2:$U$1001,0),1)&gt;=100000,INDEX($AB$1005:$AQ$1005,1,MATCH(COLUMNS($AB$1006:AK1006),$AB$1006:$AQ$1006,0))&gt;=100000), " ",IF(INDEX($AB$2:$AQ$1001,MATCH(ROWS($U$2:U92),$U$2:$U$1001,0),MATCH(COLUMNS($AB$1006:AK1006),$AB$1006:$AQ$1006,0)), HYPERLINK("#",""), HYPERLINK(CONCATENATE("#Metadata!", ADDRESS(INDEX($W$2:$W$1001,MATCH(ROWS($U$2:U92),$U$2:$U$1001,0),0), INDEX($AB$1004:$AQ$1004,1,MATCH(COLUMNS($AB$1006:AK1006),$AB$1006:$AQ$1006,0)))),"Fix")))</f>
        <v>0</v>
      </c>
      <c r="L92" s="5">
        <f>IF(OR(INDEX($V$2:$V$1001,MATCH(ROWS($U$2:U92),$U$2:$U$1001,0),1)&gt;=100000,INDEX($AB$1005:$AQ$1005,1,MATCH(COLUMNS($AB$1006:AL1006),$AB$1006:$AQ$1006,0))&gt;=100000), " ",IF(INDEX($AB$2:$AQ$1001,MATCH(ROWS($U$2:U92),$U$2:$U$1001,0),MATCH(COLUMNS($AB$1006:AL1006),$AB$1006:$AQ$1006,0)), HYPERLINK("#",""), HYPERLINK(CONCATENATE("#Metadata!", ADDRESS(INDEX($W$2:$W$1001,MATCH(ROWS($U$2:U92),$U$2:$U$1001,0),0), INDEX($AB$1004:$AQ$1004,1,MATCH(COLUMNS($AB$1006:AL1006),$AB$1006:$AQ$1006,0)))),"Fix")))</f>
        <v>0</v>
      </c>
      <c r="M92" s="5">
        <f>IF(OR(INDEX($V$2:$V$1001,MATCH(ROWS($U$2:U92),$U$2:$U$1001,0),1)&gt;=100000,INDEX($AB$1005:$AQ$1005,1,MATCH(COLUMNS($AB$1006:AM1006),$AB$1006:$AQ$1006,0))&gt;=100000), " ",IF(INDEX($AB$2:$AQ$1001,MATCH(ROWS($U$2:U92),$U$2:$U$1001,0),MATCH(COLUMNS($AB$1006:AM1006),$AB$1006:$AQ$1006,0)), HYPERLINK("#",""), HYPERLINK(CONCATENATE("#Metadata!", ADDRESS(INDEX($W$2:$W$1001,MATCH(ROWS($U$2:U92),$U$2:$U$1001,0),0), INDEX($AB$1004:$AQ$1004,1,MATCH(COLUMNS($AB$1006:AM1006),$AB$1006:$AQ$1006,0)))),"Fix")))</f>
        <v>0</v>
      </c>
      <c r="N92" s="5">
        <f>IF(OR(INDEX($V$2:$V$1001,MATCH(ROWS($U$2:U92),$U$2:$U$1001,0),1)&gt;=100000,INDEX($AB$1005:$AQ$1005,1,MATCH(COLUMNS($AB$1006:AN1006),$AB$1006:$AQ$1006,0))&gt;=100000), " ",IF(INDEX($AB$2:$AQ$1001,MATCH(ROWS($U$2:U92),$U$2:$U$1001,0),MATCH(COLUMNS($AB$1006:AN1006),$AB$1006:$AQ$1006,0)), HYPERLINK("#",""), HYPERLINK(CONCATENATE("#Metadata!", ADDRESS(INDEX($W$2:$W$1001,MATCH(ROWS($U$2:U92),$U$2:$U$1001,0),0), INDEX($AB$1004:$AQ$1004,1,MATCH(COLUMNS($AB$1006:AN1006),$AB$1006:$AQ$1006,0)))),"Fix")))</f>
        <v>0</v>
      </c>
      <c r="O92" s="5">
        <f>IF(OR(INDEX($V$2:$V$1001,MATCH(ROWS($U$2:U92),$U$2:$U$1001,0),1)&gt;=100000,INDEX($AB$1005:$AQ$1005,1,MATCH(COLUMNS($AB$1006:AO1006),$AB$1006:$AQ$1006,0))&gt;=100000), " ",IF(INDEX($AB$2:$AQ$1001,MATCH(ROWS($U$2:U92),$U$2:$U$1001,0),MATCH(COLUMNS($AB$1006:AO1006),$AB$1006:$AQ$1006,0)), HYPERLINK("#",""), HYPERLINK(CONCATENATE("#Metadata!", ADDRESS(INDEX($W$2:$W$1001,MATCH(ROWS($U$2:U92),$U$2:$U$1001,0),0), INDEX($AB$1004:$AQ$1004,1,MATCH(COLUMNS($AB$1006:AO1006),$AB$1006:$AQ$1006,0)))),"Fix")))</f>
        <v>0</v>
      </c>
      <c r="P92" s="5">
        <f>IF(OR(INDEX($V$2:$V$1001,MATCH(ROWS($U$2:U92),$U$2:$U$1001,0),1)&gt;=100000,INDEX($AB$1005:$AQ$1005,1,MATCH(COLUMNS($AB$1006:AP1006),$AB$1006:$AQ$1006,0))&gt;=100000), " ",IF(INDEX($AB$2:$AQ$1001,MATCH(ROWS($U$2:U92),$U$2:$U$1001,0),MATCH(COLUMNS($AB$1006:AP1006),$AB$1006:$AQ$1006,0)), HYPERLINK("#",""), HYPERLINK(CONCATENATE("#Metadata!", ADDRESS(INDEX($W$2:$W$1001,MATCH(ROWS($U$2:U92),$U$2:$U$1001,0),0), INDEX($AB$1004:$AQ$1004,1,MATCH(COLUMNS($AB$1006:AP1006),$AB$1006:$AQ$1006,0)))),"Fix")))</f>
        <v>0</v>
      </c>
      <c r="Q92" s="5">
        <f>IF(OR(INDEX($V$2:$V$1001,MATCH(ROWS($U$2:U92),$U$2:$U$1001,0),1)&gt;=100000,INDEX($AB$1005:$AQ$1005,1,MATCH(COLUMNS($AB$1006:AQ1006),$AB$1006:$AQ$1006,0))&gt;=100000), " ",IF(INDEX($AB$2:$AQ$1001,MATCH(ROWS($U$2:U92),$U$2:$U$1001,0),MATCH(COLUMNS($AB$1006:AQ1006),$AB$1006:$AQ$1006,0)), HYPERLINK("#",""), HYPERLINK(CONCATENATE("#Metadata!", ADDRESS(INDEX($W$2:$W$1001,MATCH(ROWS($U$2:U92),$U$2:$U$1001,0),0), INDEX($AB$1004:$AQ$1004,1,MATCH(COLUMNS($AB$1006:AQ1006),$AB$1006:$AQ$1006,0)))),"Fix")))</f>
        <v>0</v>
      </c>
      <c r="U92">
        <v>0</v>
      </c>
      <c r="V92">
        <v>0</v>
      </c>
      <c r="W92">
        <v>0</v>
      </c>
      <c r="X92">
        <f>IF(Y92,TRUE,AND(AB92:AQ92))</f>
        <v>0</v>
      </c>
      <c r="Y92">
        <f>COUNTBLANK(Metadata!B92:Q92)=COLUMNS(Metadata!B92:Q92)</f>
        <v>0</v>
      </c>
      <c r="Z92">
        <v>0</v>
      </c>
      <c r="AB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AC92">
        <f>AND(IF(Metadata!C92="",FALSE,TRUE),exact(Metadata!C92,"urban biome"))</f>
        <v>0</v>
      </c>
      <c r="AD92">
        <f>AND(IF(Metadata!D92="",FALSE,TRUE),exact(Metadata!D92,"human-associated habitat"))</f>
        <v>0</v>
      </c>
      <c r="AE92">
        <f>AND(IF(Metadata!E92="",FALSE,TRUE),OR(exact(Metadata!E92,"human-associated"),exact(Metadata!E92,"human-skin"),exact(Metadata!E92,"human-oral"),exact(Metadata!E92,"human-gut"),exact(Metadata!E92,"human-vaginal")))</f>
        <v>0</v>
      </c>
      <c r="AF92">
        <f>AND(IF(Metadata!F92="",FALSE,ISNUMBER(VALUE(Metadata!F92))),Metadata!F92&gt;0)</f>
        <v>0</v>
      </c>
      <c r="AG92">
        <f>AND(IF(Metadata!G92="",FALSE,TRUE),exact(Metadata!G92,"years"))</f>
        <v>0</v>
      </c>
      <c r="AH92">
        <f>OR(AND(IF(Metadata!H92="",FALSE,TRUE),OR(exact(Metadata!H92,"not applicable"),exact(Metadata!H92,"not collected"),exact(Metadata!H92,"not provided"),exact(Metadata!H92,"restricted access"))),AND(IF(Metadata!H92="",FALSE,ISNUMBER(VALUE(Metadata!H92))),Metadata!H92&gt;0))</f>
        <v>0</v>
      </c>
      <c r="AI92">
        <f>AND(IF(Metadata!I92="",FALSE,TRUE),exact(Metadata!I92,"human"))</f>
        <v>0</v>
      </c>
      <c r="AJ92">
        <f>AND(IF(Metadata!J92="",FALSE,ISNUMBER(VALUE(Metadata!J92))),Metadata!J92&gt;0)</f>
        <v>0</v>
      </c>
      <c r="AK92">
        <f>AND(IF(Metadata!K92="",FALSE,TRUE),exact(Metadata!K92,"cm"))</f>
        <v>0</v>
      </c>
      <c r="AL92">
        <f>AND(IF(Metadata!L92="",FALSE,TRUE),exact(Metadata!L92,"Homo sapiens"))</f>
        <v>0</v>
      </c>
      <c r="AM92">
        <f>AND(IF(Metadata!M92="",FALSE,TRUE),exact(Metadata!M92,"9606"))</f>
        <v>0</v>
      </c>
      <c r="AN92">
        <f>AND(IF(Metadata!N92="",FALSE,ISNUMBER(VALUE(Metadata!N92))),Metadata!N92&gt;0)</f>
        <v>0</v>
      </c>
      <c r="AO92">
        <f>AND(IF(Metadata!O92="",FALSE,TRUE),exact(Metadata!O92,"kg"))</f>
        <v>0</v>
      </c>
      <c r="AP92">
        <f>OR(AND(IF(Metadata!P92="",FALSE,TRUE),exact(Metadata!P92,"not provided")),IF(Metadata!P92="",FALSE,TRUE))</f>
        <v>0</v>
      </c>
      <c r="AQ92">
        <f>OR(AND(IF(Metadata!Q92="",FALSE,TRUE),exact(Metadata!Q92,"not provided")),IF(Metadata!Q92="",FALSE,TRUE))</f>
        <v>0</v>
      </c>
    </row>
    <row r="93" spans="1:43">
      <c r="A93" s="4">
        <f>IF(B93=" "," ",HYPERLINK(CONCATENATE("#metadata!",ADDRESS(INDEX($W$2:$W$1001,MATCH(ROWS($U$2:U93),$U$2:$U$1001,0),0),2)),INDEX($Z$2:$Z$1001,MATCH(ROWS($U$2:U93),$U$2:$U$1001,0),0)))</f>
        <v>0</v>
      </c>
      <c r="B93" s="5">
        <f>IF(OR(INDEX($V$2:$V$1001,MATCH(ROWS($U$2:U93),$U$2:$U$1001,0),1)&gt;=100000,INDEX($AB$1005:$AQ$1005,1,MATCH(COLUMNS($AB$1006:AB1006),$AB$1006:$AQ$1006,0))&gt;=100000), " ",IF(INDEX($AB$2:$AQ$1001,MATCH(ROWS($U$2:U93),$U$2:$U$1001,0),MATCH(COLUMNS($AB$1006:AB1006),$AB$1006:$AQ$1006,0)), HYPERLINK("#",""), HYPERLINK(CONCATENATE("#Metadata!", ADDRESS(INDEX($W$2:$W$1001,MATCH(ROWS($U$2:U93),$U$2:$U$1001,0),0), INDEX($AB$1004:$AQ$1004,1,MATCH(COLUMNS($AB$1006:AB1006),$AB$1006:$AQ$1006,0)))),"Fix")))</f>
        <v>0</v>
      </c>
      <c r="C93" s="5">
        <f>IF(OR(INDEX($V$2:$V$1001,MATCH(ROWS($U$2:U93),$U$2:$U$1001,0),1)&gt;=100000,INDEX($AB$1005:$AQ$1005,1,MATCH(COLUMNS($AB$1006:AC1006),$AB$1006:$AQ$1006,0))&gt;=100000), " ",IF(INDEX($AB$2:$AQ$1001,MATCH(ROWS($U$2:U93),$U$2:$U$1001,0),MATCH(COLUMNS($AB$1006:AC1006),$AB$1006:$AQ$1006,0)), HYPERLINK("#",""), HYPERLINK(CONCATENATE("#Metadata!", ADDRESS(INDEX($W$2:$W$1001,MATCH(ROWS($U$2:U93),$U$2:$U$1001,0),0), INDEX($AB$1004:$AQ$1004,1,MATCH(COLUMNS($AB$1006:AC1006),$AB$1006:$AQ$1006,0)))),"Fix")))</f>
        <v>0</v>
      </c>
      <c r="D93" s="5">
        <f>IF(OR(INDEX($V$2:$V$1001,MATCH(ROWS($U$2:U93),$U$2:$U$1001,0),1)&gt;=100000,INDEX($AB$1005:$AQ$1005,1,MATCH(COLUMNS($AB$1006:AD1006),$AB$1006:$AQ$1006,0))&gt;=100000), " ",IF(INDEX($AB$2:$AQ$1001,MATCH(ROWS($U$2:U93),$U$2:$U$1001,0),MATCH(COLUMNS($AB$1006:AD1006),$AB$1006:$AQ$1006,0)), HYPERLINK("#",""), HYPERLINK(CONCATENATE("#Metadata!", ADDRESS(INDEX($W$2:$W$1001,MATCH(ROWS($U$2:U93),$U$2:$U$1001,0),0), INDEX($AB$1004:$AQ$1004,1,MATCH(COLUMNS($AB$1006:AD1006),$AB$1006:$AQ$1006,0)))),"Fix")))</f>
        <v>0</v>
      </c>
      <c r="E93" s="5">
        <f>IF(OR(INDEX($V$2:$V$1001,MATCH(ROWS($U$2:U93),$U$2:$U$1001,0),1)&gt;=100000,INDEX($AB$1005:$AQ$1005,1,MATCH(COLUMNS($AB$1006:AE1006),$AB$1006:$AQ$1006,0))&gt;=100000), " ",IF(INDEX($AB$2:$AQ$1001,MATCH(ROWS($U$2:U93),$U$2:$U$1001,0),MATCH(COLUMNS($AB$1006:AE1006),$AB$1006:$AQ$1006,0)), HYPERLINK("#",""), HYPERLINK(CONCATENATE("#Metadata!", ADDRESS(INDEX($W$2:$W$1001,MATCH(ROWS($U$2:U93),$U$2:$U$1001,0),0), INDEX($AB$1004:$AQ$1004,1,MATCH(COLUMNS($AB$1006:AE1006),$AB$1006:$AQ$1006,0)))),"Fix")))</f>
        <v>0</v>
      </c>
      <c r="F93" s="5">
        <f>IF(OR(INDEX($V$2:$V$1001,MATCH(ROWS($U$2:U93),$U$2:$U$1001,0),1)&gt;=100000,INDEX($AB$1005:$AQ$1005,1,MATCH(COLUMNS($AB$1006:AF1006),$AB$1006:$AQ$1006,0))&gt;=100000), " ",IF(INDEX($AB$2:$AQ$1001,MATCH(ROWS($U$2:U93),$U$2:$U$1001,0),MATCH(COLUMNS($AB$1006:AF1006),$AB$1006:$AQ$1006,0)), HYPERLINK("#",""), HYPERLINK(CONCATENATE("#Metadata!", ADDRESS(INDEX($W$2:$W$1001,MATCH(ROWS($U$2:U93),$U$2:$U$1001,0),0), INDEX($AB$1004:$AQ$1004,1,MATCH(COLUMNS($AB$1006:AF1006),$AB$1006:$AQ$1006,0)))),"Fix")))</f>
        <v>0</v>
      </c>
      <c r="G93" s="5">
        <f>IF(OR(INDEX($V$2:$V$1001,MATCH(ROWS($U$2:U93),$U$2:$U$1001,0),1)&gt;=100000,INDEX($AB$1005:$AQ$1005,1,MATCH(COLUMNS($AB$1006:AG1006),$AB$1006:$AQ$1006,0))&gt;=100000), " ",IF(INDEX($AB$2:$AQ$1001,MATCH(ROWS($U$2:U93),$U$2:$U$1001,0),MATCH(COLUMNS($AB$1006:AG1006),$AB$1006:$AQ$1006,0)), HYPERLINK("#",""), HYPERLINK(CONCATENATE("#Metadata!", ADDRESS(INDEX($W$2:$W$1001,MATCH(ROWS($U$2:U93),$U$2:$U$1001,0),0), INDEX($AB$1004:$AQ$1004,1,MATCH(COLUMNS($AB$1006:AG1006),$AB$1006:$AQ$1006,0)))),"Fix")))</f>
        <v>0</v>
      </c>
      <c r="H93" s="5">
        <f>IF(OR(INDEX($V$2:$V$1001,MATCH(ROWS($U$2:U93),$U$2:$U$1001,0),1)&gt;=100000,INDEX($AB$1005:$AQ$1005,1,MATCH(COLUMNS($AB$1006:AH1006),$AB$1006:$AQ$1006,0))&gt;=100000), " ",IF(INDEX($AB$2:$AQ$1001,MATCH(ROWS($U$2:U93),$U$2:$U$1001,0),MATCH(COLUMNS($AB$1006:AH1006),$AB$1006:$AQ$1006,0)), HYPERLINK("#",""), HYPERLINK(CONCATENATE("#Metadata!", ADDRESS(INDEX($W$2:$W$1001,MATCH(ROWS($U$2:U93),$U$2:$U$1001,0),0), INDEX($AB$1004:$AQ$1004,1,MATCH(COLUMNS($AB$1006:AH1006),$AB$1006:$AQ$1006,0)))),"Fix")))</f>
        <v>0</v>
      </c>
      <c r="I93" s="5">
        <f>IF(OR(INDEX($V$2:$V$1001,MATCH(ROWS($U$2:U93),$U$2:$U$1001,0),1)&gt;=100000,INDEX($AB$1005:$AQ$1005,1,MATCH(COLUMNS($AB$1006:AI1006),$AB$1006:$AQ$1006,0))&gt;=100000), " ",IF(INDEX($AB$2:$AQ$1001,MATCH(ROWS($U$2:U93),$U$2:$U$1001,0),MATCH(COLUMNS($AB$1006:AI1006),$AB$1006:$AQ$1006,0)), HYPERLINK("#",""), HYPERLINK(CONCATENATE("#Metadata!", ADDRESS(INDEX($W$2:$W$1001,MATCH(ROWS($U$2:U93),$U$2:$U$1001,0),0), INDEX($AB$1004:$AQ$1004,1,MATCH(COLUMNS($AB$1006:AI1006),$AB$1006:$AQ$1006,0)))),"Fix")))</f>
        <v>0</v>
      </c>
      <c r="J93" s="5">
        <f>IF(OR(INDEX($V$2:$V$1001,MATCH(ROWS($U$2:U93),$U$2:$U$1001,0),1)&gt;=100000,INDEX($AB$1005:$AQ$1005,1,MATCH(COLUMNS($AB$1006:AJ1006),$AB$1006:$AQ$1006,0))&gt;=100000), " ",IF(INDEX($AB$2:$AQ$1001,MATCH(ROWS($U$2:U93),$U$2:$U$1001,0),MATCH(COLUMNS($AB$1006:AJ1006),$AB$1006:$AQ$1006,0)), HYPERLINK("#",""), HYPERLINK(CONCATENATE("#Metadata!", ADDRESS(INDEX($W$2:$W$1001,MATCH(ROWS($U$2:U93),$U$2:$U$1001,0),0), INDEX($AB$1004:$AQ$1004,1,MATCH(COLUMNS($AB$1006:AJ1006),$AB$1006:$AQ$1006,0)))),"Fix")))</f>
        <v>0</v>
      </c>
      <c r="K93" s="5">
        <f>IF(OR(INDEX($V$2:$V$1001,MATCH(ROWS($U$2:U93),$U$2:$U$1001,0),1)&gt;=100000,INDEX($AB$1005:$AQ$1005,1,MATCH(COLUMNS($AB$1006:AK1006),$AB$1006:$AQ$1006,0))&gt;=100000), " ",IF(INDEX($AB$2:$AQ$1001,MATCH(ROWS($U$2:U93),$U$2:$U$1001,0),MATCH(COLUMNS($AB$1006:AK1006),$AB$1006:$AQ$1006,0)), HYPERLINK("#",""), HYPERLINK(CONCATENATE("#Metadata!", ADDRESS(INDEX($W$2:$W$1001,MATCH(ROWS($U$2:U93),$U$2:$U$1001,0),0), INDEX($AB$1004:$AQ$1004,1,MATCH(COLUMNS($AB$1006:AK1006),$AB$1006:$AQ$1006,0)))),"Fix")))</f>
        <v>0</v>
      </c>
      <c r="L93" s="5">
        <f>IF(OR(INDEX($V$2:$V$1001,MATCH(ROWS($U$2:U93),$U$2:$U$1001,0),1)&gt;=100000,INDEX($AB$1005:$AQ$1005,1,MATCH(COLUMNS($AB$1006:AL1006),$AB$1006:$AQ$1006,0))&gt;=100000), " ",IF(INDEX($AB$2:$AQ$1001,MATCH(ROWS($U$2:U93),$U$2:$U$1001,0),MATCH(COLUMNS($AB$1006:AL1006),$AB$1006:$AQ$1006,0)), HYPERLINK("#",""), HYPERLINK(CONCATENATE("#Metadata!", ADDRESS(INDEX($W$2:$W$1001,MATCH(ROWS($U$2:U93),$U$2:$U$1001,0),0), INDEX($AB$1004:$AQ$1004,1,MATCH(COLUMNS($AB$1006:AL1006),$AB$1006:$AQ$1006,0)))),"Fix")))</f>
        <v>0</v>
      </c>
      <c r="M93" s="5">
        <f>IF(OR(INDEX($V$2:$V$1001,MATCH(ROWS($U$2:U93),$U$2:$U$1001,0),1)&gt;=100000,INDEX($AB$1005:$AQ$1005,1,MATCH(COLUMNS($AB$1006:AM1006),$AB$1006:$AQ$1006,0))&gt;=100000), " ",IF(INDEX($AB$2:$AQ$1001,MATCH(ROWS($U$2:U93),$U$2:$U$1001,0),MATCH(COLUMNS($AB$1006:AM1006),$AB$1006:$AQ$1006,0)), HYPERLINK("#",""), HYPERLINK(CONCATENATE("#Metadata!", ADDRESS(INDEX($W$2:$W$1001,MATCH(ROWS($U$2:U93),$U$2:$U$1001,0),0), INDEX($AB$1004:$AQ$1004,1,MATCH(COLUMNS($AB$1006:AM1006),$AB$1006:$AQ$1006,0)))),"Fix")))</f>
        <v>0</v>
      </c>
      <c r="N93" s="5">
        <f>IF(OR(INDEX($V$2:$V$1001,MATCH(ROWS($U$2:U93),$U$2:$U$1001,0),1)&gt;=100000,INDEX($AB$1005:$AQ$1005,1,MATCH(COLUMNS($AB$1006:AN1006),$AB$1006:$AQ$1006,0))&gt;=100000), " ",IF(INDEX($AB$2:$AQ$1001,MATCH(ROWS($U$2:U93),$U$2:$U$1001,0),MATCH(COLUMNS($AB$1006:AN1006),$AB$1006:$AQ$1006,0)), HYPERLINK("#",""), HYPERLINK(CONCATENATE("#Metadata!", ADDRESS(INDEX($W$2:$W$1001,MATCH(ROWS($U$2:U93),$U$2:$U$1001,0),0), INDEX($AB$1004:$AQ$1004,1,MATCH(COLUMNS($AB$1006:AN1006),$AB$1006:$AQ$1006,0)))),"Fix")))</f>
        <v>0</v>
      </c>
      <c r="O93" s="5">
        <f>IF(OR(INDEX($V$2:$V$1001,MATCH(ROWS($U$2:U93),$U$2:$U$1001,0),1)&gt;=100000,INDEX($AB$1005:$AQ$1005,1,MATCH(COLUMNS($AB$1006:AO1006),$AB$1006:$AQ$1006,0))&gt;=100000), " ",IF(INDEX($AB$2:$AQ$1001,MATCH(ROWS($U$2:U93),$U$2:$U$1001,0),MATCH(COLUMNS($AB$1006:AO1006),$AB$1006:$AQ$1006,0)), HYPERLINK("#",""), HYPERLINK(CONCATENATE("#Metadata!", ADDRESS(INDEX($W$2:$W$1001,MATCH(ROWS($U$2:U93),$U$2:$U$1001,0),0), INDEX($AB$1004:$AQ$1004,1,MATCH(COLUMNS($AB$1006:AO1006),$AB$1006:$AQ$1006,0)))),"Fix")))</f>
        <v>0</v>
      </c>
      <c r="P93" s="5">
        <f>IF(OR(INDEX($V$2:$V$1001,MATCH(ROWS($U$2:U93),$U$2:$U$1001,0),1)&gt;=100000,INDEX($AB$1005:$AQ$1005,1,MATCH(COLUMNS($AB$1006:AP1006),$AB$1006:$AQ$1006,0))&gt;=100000), " ",IF(INDEX($AB$2:$AQ$1001,MATCH(ROWS($U$2:U93),$U$2:$U$1001,0),MATCH(COLUMNS($AB$1006:AP1006),$AB$1006:$AQ$1006,0)), HYPERLINK("#",""), HYPERLINK(CONCATENATE("#Metadata!", ADDRESS(INDEX($W$2:$W$1001,MATCH(ROWS($U$2:U93),$U$2:$U$1001,0),0), INDEX($AB$1004:$AQ$1004,1,MATCH(COLUMNS($AB$1006:AP1006),$AB$1006:$AQ$1006,0)))),"Fix")))</f>
        <v>0</v>
      </c>
      <c r="Q93" s="5">
        <f>IF(OR(INDEX($V$2:$V$1001,MATCH(ROWS($U$2:U93),$U$2:$U$1001,0),1)&gt;=100000,INDEX($AB$1005:$AQ$1005,1,MATCH(COLUMNS($AB$1006:AQ1006),$AB$1006:$AQ$1006,0))&gt;=100000), " ",IF(INDEX($AB$2:$AQ$1001,MATCH(ROWS($U$2:U93),$U$2:$U$1001,0),MATCH(COLUMNS($AB$1006:AQ1006),$AB$1006:$AQ$1006,0)), HYPERLINK("#",""), HYPERLINK(CONCATENATE("#Metadata!", ADDRESS(INDEX($W$2:$W$1001,MATCH(ROWS($U$2:U93),$U$2:$U$1001,0),0), INDEX($AB$1004:$AQ$1004,1,MATCH(COLUMNS($AB$1006:AQ1006),$AB$1006:$AQ$1006,0)))),"Fix")))</f>
        <v>0</v>
      </c>
      <c r="U93">
        <v>0</v>
      </c>
      <c r="V93">
        <v>0</v>
      </c>
      <c r="W93">
        <v>0</v>
      </c>
      <c r="X93">
        <f>IF(Y93,TRUE,AND(AB93:AQ93))</f>
        <v>0</v>
      </c>
      <c r="Y93">
        <f>COUNTBLANK(Metadata!B93:Q93)=COLUMNS(Metadata!B93:Q93)</f>
        <v>0</v>
      </c>
      <c r="Z93">
        <v>0</v>
      </c>
      <c r="AB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AC93">
        <f>AND(IF(Metadata!C93="",FALSE,TRUE),exact(Metadata!C93,"urban biome"))</f>
        <v>0</v>
      </c>
      <c r="AD93">
        <f>AND(IF(Metadata!D93="",FALSE,TRUE),exact(Metadata!D93,"human-associated habitat"))</f>
        <v>0</v>
      </c>
      <c r="AE93">
        <f>AND(IF(Metadata!E93="",FALSE,TRUE),OR(exact(Metadata!E93,"human-associated"),exact(Metadata!E93,"human-skin"),exact(Metadata!E93,"human-oral"),exact(Metadata!E93,"human-gut"),exact(Metadata!E93,"human-vaginal")))</f>
        <v>0</v>
      </c>
      <c r="AF93">
        <f>AND(IF(Metadata!F93="",FALSE,ISNUMBER(VALUE(Metadata!F93))),Metadata!F93&gt;0)</f>
        <v>0</v>
      </c>
      <c r="AG93">
        <f>AND(IF(Metadata!G93="",FALSE,TRUE),exact(Metadata!G93,"years"))</f>
        <v>0</v>
      </c>
      <c r="AH93">
        <f>OR(AND(IF(Metadata!H93="",FALSE,TRUE),OR(exact(Metadata!H93,"not applicable"),exact(Metadata!H93,"not collected"),exact(Metadata!H93,"not provided"),exact(Metadata!H93,"restricted access"))),AND(IF(Metadata!H93="",FALSE,ISNUMBER(VALUE(Metadata!H93))),Metadata!H93&gt;0))</f>
        <v>0</v>
      </c>
      <c r="AI93">
        <f>AND(IF(Metadata!I93="",FALSE,TRUE),exact(Metadata!I93,"human"))</f>
        <v>0</v>
      </c>
      <c r="AJ93">
        <f>AND(IF(Metadata!J93="",FALSE,ISNUMBER(VALUE(Metadata!J93))),Metadata!J93&gt;0)</f>
        <v>0</v>
      </c>
      <c r="AK93">
        <f>AND(IF(Metadata!K93="",FALSE,TRUE),exact(Metadata!K93,"cm"))</f>
        <v>0</v>
      </c>
      <c r="AL93">
        <f>AND(IF(Metadata!L93="",FALSE,TRUE),exact(Metadata!L93,"Homo sapiens"))</f>
        <v>0</v>
      </c>
      <c r="AM93">
        <f>AND(IF(Metadata!M93="",FALSE,TRUE),exact(Metadata!M93,"9606"))</f>
        <v>0</v>
      </c>
      <c r="AN93">
        <f>AND(IF(Metadata!N93="",FALSE,ISNUMBER(VALUE(Metadata!N93))),Metadata!N93&gt;0)</f>
        <v>0</v>
      </c>
      <c r="AO93">
        <f>AND(IF(Metadata!O93="",FALSE,TRUE),exact(Metadata!O93,"kg"))</f>
        <v>0</v>
      </c>
      <c r="AP93">
        <f>OR(AND(IF(Metadata!P93="",FALSE,TRUE),exact(Metadata!P93,"not provided")),IF(Metadata!P93="",FALSE,TRUE))</f>
        <v>0</v>
      </c>
      <c r="AQ93">
        <f>OR(AND(IF(Metadata!Q93="",FALSE,TRUE),exact(Metadata!Q93,"not provided")),IF(Metadata!Q93="",FALSE,TRUE))</f>
        <v>0</v>
      </c>
    </row>
    <row r="94" spans="1:43">
      <c r="A94" s="4">
        <f>IF(B94=" "," ",HYPERLINK(CONCATENATE("#metadata!",ADDRESS(INDEX($W$2:$W$1001,MATCH(ROWS($U$2:U94),$U$2:$U$1001,0),0),2)),INDEX($Z$2:$Z$1001,MATCH(ROWS($U$2:U94),$U$2:$U$1001,0),0)))</f>
        <v>0</v>
      </c>
      <c r="B94" s="5">
        <f>IF(OR(INDEX($V$2:$V$1001,MATCH(ROWS($U$2:U94),$U$2:$U$1001,0),1)&gt;=100000,INDEX($AB$1005:$AQ$1005,1,MATCH(COLUMNS($AB$1006:AB1006),$AB$1006:$AQ$1006,0))&gt;=100000), " ",IF(INDEX($AB$2:$AQ$1001,MATCH(ROWS($U$2:U94),$U$2:$U$1001,0),MATCH(COLUMNS($AB$1006:AB1006),$AB$1006:$AQ$1006,0)), HYPERLINK("#",""), HYPERLINK(CONCATENATE("#Metadata!", ADDRESS(INDEX($W$2:$W$1001,MATCH(ROWS($U$2:U94),$U$2:$U$1001,0),0), INDEX($AB$1004:$AQ$1004,1,MATCH(COLUMNS($AB$1006:AB1006),$AB$1006:$AQ$1006,0)))),"Fix")))</f>
        <v>0</v>
      </c>
      <c r="C94" s="5">
        <f>IF(OR(INDEX($V$2:$V$1001,MATCH(ROWS($U$2:U94),$U$2:$U$1001,0),1)&gt;=100000,INDEX($AB$1005:$AQ$1005,1,MATCH(COLUMNS($AB$1006:AC1006),$AB$1006:$AQ$1006,0))&gt;=100000), " ",IF(INDEX($AB$2:$AQ$1001,MATCH(ROWS($U$2:U94),$U$2:$U$1001,0),MATCH(COLUMNS($AB$1006:AC1006),$AB$1006:$AQ$1006,0)), HYPERLINK("#",""), HYPERLINK(CONCATENATE("#Metadata!", ADDRESS(INDEX($W$2:$W$1001,MATCH(ROWS($U$2:U94),$U$2:$U$1001,0),0), INDEX($AB$1004:$AQ$1004,1,MATCH(COLUMNS($AB$1006:AC1006),$AB$1006:$AQ$1006,0)))),"Fix")))</f>
        <v>0</v>
      </c>
      <c r="D94" s="5">
        <f>IF(OR(INDEX($V$2:$V$1001,MATCH(ROWS($U$2:U94),$U$2:$U$1001,0),1)&gt;=100000,INDEX($AB$1005:$AQ$1005,1,MATCH(COLUMNS($AB$1006:AD1006),$AB$1006:$AQ$1006,0))&gt;=100000), " ",IF(INDEX($AB$2:$AQ$1001,MATCH(ROWS($U$2:U94),$U$2:$U$1001,0),MATCH(COLUMNS($AB$1006:AD1006),$AB$1006:$AQ$1006,0)), HYPERLINK("#",""), HYPERLINK(CONCATENATE("#Metadata!", ADDRESS(INDEX($W$2:$W$1001,MATCH(ROWS($U$2:U94),$U$2:$U$1001,0),0), INDEX($AB$1004:$AQ$1004,1,MATCH(COLUMNS($AB$1006:AD1006),$AB$1006:$AQ$1006,0)))),"Fix")))</f>
        <v>0</v>
      </c>
      <c r="E94" s="5">
        <f>IF(OR(INDEX($V$2:$V$1001,MATCH(ROWS($U$2:U94),$U$2:$U$1001,0),1)&gt;=100000,INDEX($AB$1005:$AQ$1005,1,MATCH(COLUMNS($AB$1006:AE1006),$AB$1006:$AQ$1006,0))&gt;=100000), " ",IF(INDEX($AB$2:$AQ$1001,MATCH(ROWS($U$2:U94),$U$2:$U$1001,0),MATCH(COLUMNS($AB$1006:AE1006),$AB$1006:$AQ$1006,0)), HYPERLINK("#",""), HYPERLINK(CONCATENATE("#Metadata!", ADDRESS(INDEX($W$2:$W$1001,MATCH(ROWS($U$2:U94),$U$2:$U$1001,0),0), INDEX($AB$1004:$AQ$1004,1,MATCH(COLUMNS($AB$1006:AE1006),$AB$1006:$AQ$1006,0)))),"Fix")))</f>
        <v>0</v>
      </c>
      <c r="F94" s="5">
        <f>IF(OR(INDEX($V$2:$V$1001,MATCH(ROWS($U$2:U94),$U$2:$U$1001,0),1)&gt;=100000,INDEX($AB$1005:$AQ$1005,1,MATCH(COLUMNS($AB$1006:AF1006),$AB$1006:$AQ$1006,0))&gt;=100000), " ",IF(INDEX($AB$2:$AQ$1001,MATCH(ROWS($U$2:U94),$U$2:$U$1001,0),MATCH(COLUMNS($AB$1006:AF1006),$AB$1006:$AQ$1006,0)), HYPERLINK("#",""), HYPERLINK(CONCATENATE("#Metadata!", ADDRESS(INDEX($W$2:$W$1001,MATCH(ROWS($U$2:U94),$U$2:$U$1001,0),0), INDEX($AB$1004:$AQ$1004,1,MATCH(COLUMNS($AB$1006:AF1006),$AB$1006:$AQ$1006,0)))),"Fix")))</f>
        <v>0</v>
      </c>
      <c r="G94" s="5">
        <f>IF(OR(INDEX($V$2:$V$1001,MATCH(ROWS($U$2:U94),$U$2:$U$1001,0),1)&gt;=100000,INDEX($AB$1005:$AQ$1005,1,MATCH(COLUMNS($AB$1006:AG1006),$AB$1006:$AQ$1006,0))&gt;=100000), " ",IF(INDEX($AB$2:$AQ$1001,MATCH(ROWS($U$2:U94),$U$2:$U$1001,0),MATCH(COLUMNS($AB$1006:AG1006),$AB$1006:$AQ$1006,0)), HYPERLINK("#",""), HYPERLINK(CONCATENATE("#Metadata!", ADDRESS(INDEX($W$2:$W$1001,MATCH(ROWS($U$2:U94),$U$2:$U$1001,0),0), INDEX($AB$1004:$AQ$1004,1,MATCH(COLUMNS($AB$1006:AG1006),$AB$1006:$AQ$1006,0)))),"Fix")))</f>
        <v>0</v>
      </c>
      <c r="H94" s="5">
        <f>IF(OR(INDEX($V$2:$V$1001,MATCH(ROWS($U$2:U94),$U$2:$U$1001,0),1)&gt;=100000,INDEX($AB$1005:$AQ$1005,1,MATCH(COLUMNS($AB$1006:AH1006),$AB$1006:$AQ$1006,0))&gt;=100000), " ",IF(INDEX($AB$2:$AQ$1001,MATCH(ROWS($U$2:U94),$U$2:$U$1001,0),MATCH(COLUMNS($AB$1006:AH1006),$AB$1006:$AQ$1006,0)), HYPERLINK("#",""), HYPERLINK(CONCATENATE("#Metadata!", ADDRESS(INDEX($W$2:$W$1001,MATCH(ROWS($U$2:U94),$U$2:$U$1001,0),0), INDEX($AB$1004:$AQ$1004,1,MATCH(COLUMNS($AB$1006:AH1006),$AB$1006:$AQ$1006,0)))),"Fix")))</f>
        <v>0</v>
      </c>
      <c r="I94" s="5">
        <f>IF(OR(INDEX($V$2:$V$1001,MATCH(ROWS($U$2:U94),$U$2:$U$1001,0),1)&gt;=100000,INDEX($AB$1005:$AQ$1005,1,MATCH(COLUMNS($AB$1006:AI1006),$AB$1006:$AQ$1006,0))&gt;=100000), " ",IF(INDEX($AB$2:$AQ$1001,MATCH(ROWS($U$2:U94),$U$2:$U$1001,0),MATCH(COLUMNS($AB$1006:AI1006),$AB$1006:$AQ$1006,0)), HYPERLINK("#",""), HYPERLINK(CONCATENATE("#Metadata!", ADDRESS(INDEX($W$2:$W$1001,MATCH(ROWS($U$2:U94),$U$2:$U$1001,0),0), INDEX($AB$1004:$AQ$1004,1,MATCH(COLUMNS($AB$1006:AI1006),$AB$1006:$AQ$1006,0)))),"Fix")))</f>
        <v>0</v>
      </c>
      <c r="J94" s="5">
        <f>IF(OR(INDEX($V$2:$V$1001,MATCH(ROWS($U$2:U94),$U$2:$U$1001,0),1)&gt;=100000,INDEX($AB$1005:$AQ$1005,1,MATCH(COLUMNS($AB$1006:AJ1006),$AB$1006:$AQ$1006,0))&gt;=100000), " ",IF(INDEX($AB$2:$AQ$1001,MATCH(ROWS($U$2:U94),$U$2:$U$1001,0),MATCH(COLUMNS($AB$1006:AJ1006),$AB$1006:$AQ$1006,0)), HYPERLINK("#",""), HYPERLINK(CONCATENATE("#Metadata!", ADDRESS(INDEX($W$2:$W$1001,MATCH(ROWS($U$2:U94),$U$2:$U$1001,0),0), INDEX($AB$1004:$AQ$1004,1,MATCH(COLUMNS($AB$1006:AJ1006),$AB$1006:$AQ$1006,0)))),"Fix")))</f>
        <v>0</v>
      </c>
      <c r="K94" s="5">
        <f>IF(OR(INDEX($V$2:$V$1001,MATCH(ROWS($U$2:U94),$U$2:$U$1001,0),1)&gt;=100000,INDEX($AB$1005:$AQ$1005,1,MATCH(COLUMNS($AB$1006:AK1006),$AB$1006:$AQ$1006,0))&gt;=100000), " ",IF(INDEX($AB$2:$AQ$1001,MATCH(ROWS($U$2:U94),$U$2:$U$1001,0),MATCH(COLUMNS($AB$1006:AK1006),$AB$1006:$AQ$1006,0)), HYPERLINK("#",""), HYPERLINK(CONCATENATE("#Metadata!", ADDRESS(INDEX($W$2:$W$1001,MATCH(ROWS($U$2:U94),$U$2:$U$1001,0),0), INDEX($AB$1004:$AQ$1004,1,MATCH(COLUMNS($AB$1006:AK1006),$AB$1006:$AQ$1006,0)))),"Fix")))</f>
        <v>0</v>
      </c>
      <c r="L94" s="5">
        <f>IF(OR(INDEX($V$2:$V$1001,MATCH(ROWS($U$2:U94),$U$2:$U$1001,0),1)&gt;=100000,INDEX($AB$1005:$AQ$1005,1,MATCH(COLUMNS($AB$1006:AL1006),$AB$1006:$AQ$1006,0))&gt;=100000), " ",IF(INDEX($AB$2:$AQ$1001,MATCH(ROWS($U$2:U94),$U$2:$U$1001,0),MATCH(COLUMNS($AB$1006:AL1006),$AB$1006:$AQ$1006,0)), HYPERLINK("#",""), HYPERLINK(CONCATENATE("#Metadata!", ADDRESS(INDEX($W$2:$W$1001,MATCH(ROWS($U$2:U94),$U$2:$U$1001,0),0), INDEX($AB$1004:$AQ$1004,1,MATCH(COLUMNS($AB$1006:AL1006),$AB$1006:$AQ$1006,0)))),"Fix")))</f>
        <v>0</v>
      </c>
      <c r="M94" s="5">
        <f>IF(OR(INDEX($V$2:$V$1001,MATCH(ROWS($U$2:U94),$U$2:$U$1001,0),1)&gt;=100000,INDEX($AB$1005:$AQ$1005,1,MATCH(COLUMNS($AB$1006:AM1006),$AB$1006:$AQ$1006,0))&gt;=100000), " ",IF(INDEX($AB$2:$AQ$1001,MATCH(ROWS($U$2:U94),$U$2:$U$1001,0),MATCH(COLUMNS($AB$1006:AM1006),$AB$1006:$AQ$1006,0)), HYPERLINK("#",""), HYPERLINK(CONCATENATE("#Metadata!", ADDRESS(INDEX($W$2:$W$1001,MATCH(ROWS($U$2:U94),$U$2:$U$1001,0),0), INDEX($AB$1004:$AQ$1004,1,MATCH(COLUMNS($AB$1006:AM1006),$AB$1006:$AQ$1006,0)))),"Fix")))</f>
        <v>0</v>
      </c>
      <c r="N94" s="5">
        <f>IF(OR(INDEX($V$2:$V$1001,MATCH(ROWS($U$2:U94),$U$2:$U$1001,0),1)&gt;=100000,INDEX($AB$1005:$AQ$1005,1,MATCH(COLUMNS($AB$1006:AN1006),$AB$1006:$AQ$1006,0))&gt;=100000), " ",IF(INDEX($AB$2:$AQ$1001,MATCH(ROWS($U$2:U94),$U$2:$U$1001,0),MATCH(COLUMNS($AB$1006:AN1006),$AB$1006:$AQ$1006,0)), HYPERLINK("#",""), HYPERLINK(CONCATENATE("#Metadata!", ADDRESS(INDEX($W$2:$W$1001,MATCH(ROWS($U$2:U94),$U$2:$U$1001,0),0), INDEX($AB$1004:$AQ$1004,1,MATCH(COLUMNS($AB$1006:AN1006),$AB$1006:$AQ$1006,0)))),"Fix")))</f>
        <v>0</v>
      </c>
      <c r="O94" s="5">
        <f>IF(OR(INDEX($V$2:$V$1001,MATCH(ROWS($U$2:U94),$U$2:$U$1001,0),1)&gt;=100000,INDEX($AB$1005:$AQ$1005,1,MATCH(COLUMNS($AB$1006:AO1006),$AB$1006:$AQ$1006,0))&gt;=100000), " ",IF(INDEX($AB$2:$AQ$1001,MATCH(ROWS($U$2:U94),$U$2:$U$1001,0),MATCH(COLUMNS($AB$1006:AO1006),$AB$1006:$AQ$1006,0)), HYPERLINK("#",""), HYPERLINK(CONCATENATE("#Metadata!", ADDRESS(INDEX($W$2:$W$1001,MATCH(ROWS($U$2:U94),$U$2:$U$1001,0),0), INDEX($AB$1004:$AQ$1004,1,MATCH(COLUMNS($AB$1006:AO1006),$AB$1006:$AQ$1006,0)))),"Fix")))</f>
        <v>0</v>
      </c>
      <c r="P94" s="5">
        <f>IF(OR(INDEX($V$2:$V$1001,MATCH(ROWS($U$2:U94),$U$2:$U$1001,0),1)&gt;=100000,INDEX($AB$1005:$AQ$1005,1,MATCH(COLUMNS($AB$1006:AP1006),$AB$1006:$AQ$1006,0))&gt;=100000), " ",IF(INDEX($AB$2:$AQ$1001,MATCH(ROWS($U$2:U94),$U$2:$U$1001,0),MATCH(COLUMNS($AB$1006:AP1006),$AB$1006:$AQ$1006,0)), HYPERLINK("#",""), HYPERLINK(CONCATENATE("#Metadata!", ADDRESS(INDEX($W$2:$W$1001,MATCH(ROWS($U$2:U94),$U$2:$U$1001,0),0), INDEX($AB$1004:$AQ$1004,1,MATCH(COLUMNS($AB$1006:AP1006),$AB$1006:$AQ$1006,0)))),"Fix")))</f>
        <v>0</v>
      </c>
      <c r="Q94" s="5">
        <f>IF(OR(INDEX($V$2:$V$1001,MATCH(ROWS($U$2:U94),$U$2:$U$1001,0),1)&gt;=100000,INDEX($AB$1005:$AQ$1005,1,MATCH(COLUMNS($AB$1006:AQ1006),$AB$1006:$AQ$1006,0))&gt;=100000), " ",IF(INDEX($AB$2:$AQ$1001,MATCH(ROWS($U$2:U94),$U$2:$U$1001,0),MATCH(COLUMNS($AB$1006:AQ1006),$AB$1006:$AQ$1006,0)), HYPERLINK("#",""), HYPERLINK(CONCATENATE("#Metadata!", ADDRESS(INDEX($W$2:$W$1001,MATCH(ROWS($U$2:U94),$U$2:$U$1001,0),0), INDEX($AB$1004:$AQ$1004,1,MATCH(COLUMNS($AB$1006:AQ1006),$AB$1006:$AQ$1006,0)))),"Fix")))</f>
        <v>0</v>
      </c>
      <c r="U94">
        <v>0</v>
      </c>
      <c r="V94">
        <v>0</v>
      </c>
      <c r="W94">
        <v>0</v>
      </c>
      <c r="X94">
        <f>IF(Y94,TRUE,AND(AB94:AQ94))</f>
        <v>0</v>
      </c>
      <c r="Y94">
        <f>COUNTBLANK(Metadata!B94:Q94)=COLUMNS(Metadata!B94:Q94)</f>
        <v>0</v>
      </c>
      <c r="Z94">
        <v>0</v>
      </c>
      <c r="AB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AC94">
        <f>AND(IF(Metadata!C94="",FALSE,TRUE),exact(Metadata!C94,"urban biome"))</f>
        <v>0</v>
      </c>
      <c r="AD94">
        <f>AND(IF(Metadata!D94="",FALSE,TRUE),exact(Metadata!D94,"human-associated habitat"))</f>
        <v>0</v>
      </c>
      <c r="AE94">
        <f>AND(IF(Metadata!E94="",FALSE,TRUE),OR(exact(Metadata!E94,"human-associated"),exact(Metadata!E94,"human-skin"),exact(Metadata!E94,"human-oral"),exact(Metadata!E94,"human-gut"),exact(Metadata!E94,"human-vaginal")))</f>
        <v>0</v>
      </c>
      <c r="AF94">
        <f>AND(IF(Metadata!F94="",FALSE,ISNUMBER(VALUE(Metadata!F94))),Metadata!F94&gt;0)</f>
        <v>0</v>
      </c>
      <c r="AG94">
        <f>AND(IF(Metadata!G94="",FALSE,TRUE),exact(Metadata!G94,"years"))</f>
        <v>0</v>
      </c>
      <c r="AH94">
        <f>OR(AND(IF(Metadata!H94="",FALSE,TRUE),OR(exact(Metadata!H94,"not applicable"),exact(Metadata!H94,"not collected"),exact(Metadata!H94,"not provided"),exact(Metadata!H94,"restricted access"))),AND(IF(Metadata!H94="",FALSE,ISNUMBER(VALUE(Metadata!H94))),Metadata!H94&gt;0))</f>
        <v>0</v>
      </c>
      <c r="AI94">
        <f>AND(IF(Metadata!I94="",FALSE,TRUE),exact(Metadata!I94,"human"))</f>
        <v>0</v>
      </c>
      <c r="AJ94">
        <f>AND(IF(Metadata!J94="",FALSE,ISNUMBER(VALUE(Metadata!J94))),Metadata!J94&gt;0)</f>
        <v>0</v>
      </c>
      <c r="AK94">
        <f>AND(IF(Metadata!K94="",FALSE,TRUE),exact(Metadata!K94,"cm"))</f>
        <v>0</v>
      </c>
      <c r="AL94">
        <f>AND(IF(Metadata!L94="",FALSE,TRUE),exact(Metadata!L94,"Homo sapiens"))</f>
        <v>0</v>
      </c>
      <c r="AM94">
        <f>AND(IF(Metadata!M94="",FALSE,TRUE),exact(Metadata!M94,"9606"))</f>
        <v>0</v>
      </c>
      <c r="AN94">
        <f>AND(IF(Metadata!N94="",FALSE,ISNUMBER(VALUE(Metadata!N94))),Metadata!N94&gt;0)</f>
        <v>0</v>
      </c>
      <c r="AO94">
        <f>AND(IF(Metadata!O94="",FALSE,TRUE),exact(Metadata!O94,"kg"))</f>
        <v>0</v>
      </c>
      <c r="AP94">
        <f>OR(AND(IF(Metadata!P94="",FALSE,TRUE),exact(Metadata!P94,"not provided")),IF(Metadata!P94="",FALSE,TRUE))</f>
        <v>0</v>
      </c>
      <c r="AQ94">
        <f>OR(AND(IF(Metadata!Q94="",FALSE,TRUE),exact(Metadata!Q94,"not provided")),IF(Metadata!Q94="",FALSE,TRUE))</f>
        <v>0</v>
      </c>
    </row>
    <row r="95" spans="1:43">
      <c r="A95" s="4">
        <f>IF(B95=" "," ",HYPERLINK(CONCATENATE("#metadata!",ADDRESS(INDEX($W$2:$W$1001,MATCH(ROWS($U$2:U95),$U$2:$U$1001,0),0),2)),INDEX($Z$2:$Z$1001,MATCH(ROWS($U$2:U95),$U$2:$U$1001,0),0)))</f>
        <v>0</v>
      </c>
      <c r="B95" s="5">
        <f>IF(OR(INDEX($V$2:$V$1001,MATCH(ROWS($U$2:U95),$U$2:$U$1001,0),1)&gt;=100000,INDEX($AB$1005:$AQ$1005,1,MATCH(COLUMNS($AB$1006:AB1006),$AB$1006:$AQ$1006,0))&gt;=100000), " ",IF(INDEX($AB$2:$AQ$1001,MATCH(ROWS($U$2:U95),$U$2:$U$1001,0),MATCH(COLUMNS($AB$1006:AB1006),$AB$1006:$AQ$1006,0)), HYPERLINK("#",""), HYPERLINK(CONCATENATE("#Metadata!", ADDRESS(INDEX($W$2:$W$1001,MATCH(ROWS($U$2:U95),$U$2:$U$1001,0),0), INDEX($AB$1004:$AQ$1004,1,MATCH(COLUMNS($AB$1006:AB1006),$AB$1006:$AQ$1006,0)))),"Fix")))</f>
        <v>0</v>
      </c>
      <c r="C95" s="5">
        <f>IF(OR(INDEX($V$2:$V$1001,MATCH(ROWS($U$2:U95),$U$2:$U$1001,0),1)&gt;=100000,INDEX($AB$1005:$AQ$1005,1,MATCH(COLUMNS($AB$1006:AC1006),$AB$1006:$AQ$1006,0))&gt;=100000), " ",IF(INDEX($AB$2:$AQ$1001,MATCH(ROWS($U$2:U95),$U$2:$U$1001,0),MATCH(COLUMNS($AB$1006:AC1006),$AB$1006:$AQ$1006,0)), HYPERLINK("#",""), HYPERLINK(CONCATENATE("#Metadata!", ADDRESS(INDEX($W$2:$W$1001,MATCH(ROWS($U$2:U95),$U$2:$U$1001,0),0), INDEX($AB$1004:$AQ$1004,1,MATCH(COLUMNS($AB$1006:AC1006),$AB$1006:$AQ$1006,0)))),"Fix")))</f>
        <v>0</v>
      </c>
      <c r="D95" s="5">
        <f>IF(OR(INDEX($V$2:$V$1001,MATCH(ROWS($U$2:U95),$U$2:$U$1001,0),1)&gt;=100000,INDEX($AB$1005:$AQ$1005,1,MATCH(COLUMNS($AB$1006:AD1006),$AB$1006:$AQ$1006,0))&gt;=100000), " ",IF(INDEX($AB$2:$AQ$1001,MATCH(ROWS($U$2:U95),$U$2:$U$1001,0),MATCH(COLUMNS($AB$1006:AD1006),$AB$1006:$AQ$1006,0)), HYPERLINK("#",""), HYPERLINK(CONCATENATE("#Metadata!", ADDRESS(INDEX($W$2:$W$1001,MATCH(ROWS($U$2:U95),$U$2:$U$1001,0),0), INDEX($AB$1004:$AQ$1004,1,MATCH(COLUMNS($AB$1006:AD1006),$AB$1006:$AQ$1006,0)))),"Fix")))</f>
        <v>0</v>
      </c>
      <c r="E95" s="5">
        <f>IF(OR(INDEX($V$2:$V$1001,MATCH(ROWS($U$2:U95),$U$2:$U$1001,0),1)&gt;=100000,INDEX($AB$1005:$AQ$1005,1,MATCH(COLUMNS($AB$1006:AE1006),$AB$1006:$AQ$1006,0))&gt;=100000), " ",IF(INDEX($AB$2:$AQ$1001,MATCH(ROWS($U$2:U95),$U$2:$U$1001,0),MATCH(COLUMNS($AB$1006:AE1006),$AB$1006:$AQ$1006,0)), HYPERLINK("#",""), HYPERLINK(CONCATENATE("#Metadata!", ADDRESS(INDEX($W$2:$W$1001,MATCH(ROWS($U$2:U95),$U$2:$U$1001,0),0), INDEX($AB$1004:$AQ$1004,1,MATCH(COLUMNS($AB$1006:AE1006),$AB$1006:$AQ$1006,0)))),"Fix")))</f>
        <v>0</v>
      </c>
      <c r="F95" s="5">
        <f>IF(OR(INDEX($V$2:$V$1001,MATCH(ROWS($U$2:U95),$U$2:$U$1001,0),1)&gt;=100000,INDEX($AB$1005:$AQ$1005,1,MATCH(COLUMNS($AB$1006:AF1006),$AB$1006:$AQ$1006,0))&gt;=100000), " ",IF(INDEX($AB$2:$AQ$1001,MATCH(ROWS($U$2:U95),$U$2:$U$1001,0),MATCH(COLUMNS($AB$1006:AF1006),$AB$1006:$AQ$1006,0)), HYPERLINK("#",""), HYPERLINK(CONCATENATE("#Metadata!", ADDRESS(INDEX($W$2:$W$1001,MATCH(ROWS($U$2:U95),$U$2:$U$1001,0),0), INDEX($AB$1004:$AQ$1004,1,MATCH(COLUMNS($AB$1006:AF1006),$AB$1006:$AQ$1006,0)))),"Fix")))</f>
        <v>0</v>
      </c>
      <c r="G95" s="5">
        <f>IF(OR(INDEX($V$2:$V$1001,MATCH(ROWS($U$2:U95),$U$2:$U$1001,0),1)&gt;=100000,INDEX($AB$1005:$AQ$1005,1,MATCH(COLUMNS($AB$1006:AG1006),$AB$1006:$AQ$1006,0))&gt;=100000), " ",IF(INDEX($AB$2:$AQ$1001,MATCH(ROWS($U$2:U95),$U$2:$U$1001,0),MATCH(COLUMNS($AB$1006:AG1006),$AB$1006:$AQ$1006,0)), HYPERLINK("#",""), HYPERLINK(CONCATENATE("#Metadata!", ADDRESS(INDEX($W$2:$W$1001,MATCH(ROWS($U$2:U95),$U$2:$U$1001,0),0), INDEX($AB$1004:$AQ$1004,1,MATCH(COLUMNS($AB$1006:AG1006),$AB$1006:$AQ$1006,0)))),"Fix")))</f>
        <v>0</v>
      </c>
      <c r="H95" s="5">
        <f>IF(OR(INDEX($V$2:$V$1001,MATCH(ROWS($U$2:U95),$U$2:$U$1001,0),1)&gt;=100000,INDEX($AB$1005:$AQ$1005,1,MATCH(COLUMNS($AB$1006:AH1006),$AB$1006:$AQ$1006,0))&gt;=100000), " ",IF(INDEX($AB$2:$AQ$1001,MATCH(ROWS($U$2:U95),$U$2:$U$1001,0),MATCH(COLUMNS($AB$1006:AH1006),$AB$1006:$AQ$1006,0)), HYPERLINK("#",""), HYPERLINK(CONCATENATE("#Metadata!", ADDRESS(INDEX($W$2:$W$1001,MATCH(ROWS($U$2:U95),$U$2:$U$1001,0),0), INDEX($AB$1004:$AQ$1004,1,MATCH(COLUMNS($AB$1006:AH1006),$AB$1006:$AQ$1006,0)))),"Fix")))</f>
        <v>0</v>
      </c>
      <c r="I95" s="5">
        <f>IF(OR(INDEX($V$2:$V$1001,MATCH(ROWS($U$2:U95),$U$2:$U$1001,0),1)&gt;=100000,INDEX($AB$1005:$AQ$1005,1,MATCH(COLUMNS($AB$1006:AI1006),$AB$1006:$AQ$1006,0))&gt;=100000), " ",IF(INDEX($AB$2:$AQ$1001,MATCH(ROWS($U$2:U95),$U$2:$U$1001,0),MATCH(COLUMNS($AB$1006:AI1006),$AB$1006:$AQ$1006,0)), HYPERLINK("#",""), HYPERLINK(CONCATENATE("#Metadata!", ADDRESS(INDEX($W$2:$W$1001,MATCH(ROWS($U$2:U95),$U$2:$U$1001,0),0), INDEX($AB$1004:$AQ$1004,1,MATCH(COLUMNS($AB$1006:AI1006),$AB$1006:$AQ$1006,0)))),"Fix")))</f>
        <v>0</v>
      </c>
      <c r="J95" s="5">
        <f>IF(OR(INDEX($V$2:$V$1001,MATCH(ROWS($U$2:U95),$U$2:$U$1001,0),1)&gt;=100000,INDEX($AB$1005:$AQ$1005,1,MATCH(COLUMNS($AB$1006:AJ1006),$AB$1006:$AQ$1006,0))&gt;=100000), " ",IF(INDEX($AB$2:$AQ$1001,MATCH(ROWS($U$2:U95),$U$2:$U$1001,0),MATCH(COLUMNS($AB$1006:AJ1006),$AB$1006:$AQ$1006,0)), HYPERLINK("#",""), HYPERLINK(CONCATENATE("#Metadata!", ADDRESS(INDEX($W$2:$W$1001,MATCH(ROWS($U$2:U95),$U$2:$U$1001,0),0), INDEX($AB$1004:$AQ$1004,1,MATCH(COLUMNS($AB$1006:AJ1006),$AB$1006:$AQ$1006,0)))),"Fix")))</f>
        <v>0</v>
      </c>
      <c r="K95" s="5">
        <f>IF(OR(INDEX($V$2:$V$1001,MATCH(ROWS($U$2:U95),$U$2:$U$1001,0),1)&gt;=100000,INDEX($AB$1005:$AQ$1005,1,MATCH(COLUMNS($AB$1006:AK1006),$AB$1006:$AQ$1006,0))&gt;=100000), " ",IF(INDEX($AB$2:$AQ$1001,MATCH(ROWS($U$2:U95),$U$2:$U$1001,0),MATCH(COLUMNS($AB$1006:AK1006),$AB$1006:$AQ$1006,0)), HYPERLINK("#",""), HYPERLINK(CONCATENATE("#Metadata!", ADDRESS(INDEX($W$2:$W$1001,MATCH(ROWS($U$2:U95),$U$2:$U$1001,0),0), INDEX($AB$1004:$AQ$1004,1,MATCH(COLUMNS($AB$1006:AK1006),$AB$1006:$AQ$1006,0)))),"Fix")))</f>
        <v>0</v>
      </c>
      <c r="L95" s="5">
        <f>IF(OR(INDEX($V$2:$V$1001,MATCH(ROWS($U$2:U95),$U$2:$U$1001,0),1)&gt;=100000,INDEX($AB$1005:$AQ$1005,1,MATCH(COLUMNS($AB$1006:AL1006),$AB$1006:$AQ$1006,0))&gt;=100000), " ",IF(INDEX($AB$2:$AQ$1001,MATCH(ROWS($U$2:U95),$U$2:$U$1001,0),MATCH(COLUMNS($AB$1006:AL1006),$AB$1006:$AQ$1006,0)), HYPERLINK("#",""), HYPERLINK(CONCATENATE("#Metadata!", ADDRESS(INDEX($W$2:$W$1001,MATCH(ROWS($U$2:U95),$U$2:$U$1001,0),0), INDEX($AB$1004:$AQ$1004,1,MATCH(COLUMNS($AB$1006:AL1006),$AB$1006:$AQ$1006,0)))),"Fix")))</f>
        <v>0</v>
      </c>
      <c r="M95" s="5">
        <f>IF(OR(INDEX($V$2:$V$1001,MATCH(ROWS($U$2:U95),$U$2:$U$1001,0),1)&gt;=100000,INDEX($AB$1005:$AQ$1005,1,MATCH(COLUMNS($AB$1006:AM1006),$AB$1006:$AQ$1006,0))&gt;=100000), " ",IF(INDEX($AB$2:$AQ$1001,MATCH(ROWS($U$2:U95),$U$2:$U$1001,0),MATCH(COLUMNS($AB$1006:AM1006),$AB$1006:$AQ$1006,0)), HYPERLINK("#",""), HYPERLINK(CONCATENATE("#Metadata!", ADDRESS(INDEX($W$2:$W$1001,MATCH(ROWS($U$2:U95),$U$2:$U$1001,0),0), INDEX($AB$1004:$AQ$1004,1,MATCH(COLUMNS($AB$1006:AM1006),$AB$1006:$AQ$1006,0)))),"Fix")))</f>
        <v>0</v>
      </c>
      <c r="N95" s="5">
        <f>IF(OR(INDEX($V$2:$V$1001,MATCH(ROWS($U$2:U95),$U$2:$U$1001,0),1)&gt;=100000,INDEX($AB$1005:$AQ$1005,1,MATCH(COLUMNS($AB$1006:AN1006),$AB$1006:$AQ$1006,0))&gt;=100000), " ",IF(INDEX($AB$2:$AQ$1001,MATCH(ROWS($U$2:U95),$U$2:$U$1001,0),MATCH(COLUMNS($AB$1006:AN1006),$AB$1006:$AQ$1006,0)), HYPERLINK("#",""), HYPERLINK(CONCATENATE("#Metadata!", ADDRESS(INDEX($W$2:$W$1001,MATCH(ROWS($U$2:U95),$U$2:$U$1001,0),0), INDEX($AB$1004:$AQ$1004,1,MATCH(COLUMNS($AB$1006:AN1006),$AB$1006:$AQ$1006,0)))),"Fix")))</f>
        <v>0</v>
      </c>
      <c r="O95" s="5">
        <f>IF(OR(INDEX($V$2:$V$1001,MATCH(ROWS($U$2:U95),$U$2:$U$1001,0),1)&gt;=100000,INDEX($AB$1005:$AQ$1005,1,MATCH(COLUMNS($AB$1006:AO1006),$AB$1006:$AQ$1006,0))&gt;=100000), " ",IF(INDEX($AB$2:$AQ$1001,MATCH(ROWS($U$2:U95),$U$2:$U$1001,0),MATCH(COLUMNS($AB$1006:AO1006),$AB$1006:$AQ$1006,0)), HYPERLINK("#",""), HYPERLINK(CONCATENATE("#Metadata!", ADDRESS(INDEX($W$2:$W$1001,MATCH(ROWS($U$2:U95),$U$2:$U$1001,0),0), INDEX($AB$1004:$AQ$1004,1,MATCH(COLUMNS($AB$1006:AO1006),$AB$1006:$AQ$1006,0)))),"Fix")))</f>
        <v>0</v>
      </c>
      <c r="P95" s="5">
        <f>IF(OR(INDEX($V$2:$V$1001,MATCH(ROWS($U$2:U95),$U$2:$U$1001,0),1)&gt;=100000,INDEX($AB$1005:$AQ$1005,1,MATCH(COLUMNS($AB$1006:AP1006),$AB$1006:$AQ$1006,0))&gt;=100000), " ",IF(INDEX($AB$2:$AQ$1001,MATCH(ROWS($U$2:U95),$U$2:$U$1001,0),MATCH(COLUMNS($AB$1006:AP1006),$AB$1006:$AQ$1006,0)), HYPERLINK("#",""), HYPERLINK(CONCATENATE("#Metadata!", ADDRESS(INDEX($W$2:$W$1001,MATCH(ROWS($U$2:U95),$U$2:$U$1001,0),0), INDEX($AB$1004:$AQ$1004,1,MATCH(COLUMNS($AB$1006:AP1006),$AB$1006:$AQ$1006,0)))),"Fix")))</f>
        <v>0</v>
      </c>
      <c r="Q95" s="5">
        <f>IF(OR(INDEX($V$2:$V$1001,MATCH(ROWS($U$2:U95),$U$2:$U$1001,0),1)&gt;=100000,INDEX($AB$1005:$AQ$1005,1,MATCH(COLUMNS($AB$1006:AQ1006),$AB$1006:$AQ$1006,0))&gt;=100000), " ",IF(INDEX($AB$2:$AQ$1001,MATCH(ROWS($U$2:U95),$U$2:$U$1001,0),MATCH(COLUMNS($AB$1006:AQ1006),$AB$1006:$AQ$1006,0)), HYPERLINK("#",""), HYPERLINK(CONCATENATE("#Metadata!", ADDRESS(INDEX($W$2:$W$1001,MATCH(ROWS($U$2:U95),$U$2:$U$1001,0),0), INDEX($AB$1004:$AQ$1004,1,MATCH(COLUMNS($AB$1006:AQ1006),$AB$1006:$AQ$1006,0)))),"Fix")))</f>
        <v>0</v>
      </c>
      <c r="U95">
        <v>0</v>
      </c>
      <c r="V95">
        <v>0</v>
      </c>
      <c r="W95">
        <v>0</v>
      </c>
      <c r="X95">
        <f>IF(Y95,TRUE,AND(AB95:AQ95))</f>
        <v>0</v>
      </c>
      <c r="Y95">
        <f>COUNTBLANK(Metadata!B95:Q95)=COLUMNS(Metadata!B95:Q95)</f>
        <v>0</v>
      </c>
      <c r="Z95">
        <v>0</v>
      </c>
      <c r="AB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AC95">
        <f>AND(IF(Metadata!C95="",FALSE,TRUE),exact(Metadata!C95,"urban biome"))</f>
        <v>0</v>
      </c>
      <c r="AD95">
        <f>AND(IF(Metadata!D95="",FALSE,TRUE),exact(Metadata!D95,"human-associated habitat"))</f>
        <v>0</v>
      </c>
      <c r="AE95">
        <f>AND(IF(Metadata!E95="",FALSE,TRUE),OR(exact(Metadata!E95,"human-associated"),exact(Metadata!E95,"human-skin"),exact(Metadata!E95,"human-oral"),exact(Metadata!E95,"human-gut"),exact(Metadata!E95,"human-vaginal")))</f>
        <v>0</v>
      </c>
      <c r="AF95">
        <f>AND(IF(Metadata!F95="",FALSE,ISNUMBER(VALUE(Metadata!F95))),Metadata!F95&gt;0)</f>
        <v>0</v>
      </c>
      <c r="AG95">
        <f>AND(IF(Metadata!G95="",FALSE,TRUE),exact(Metadata!G95,"years"))</f>
        <v>0</v>
      </c>
      <c r="AH95">
        <f>OR(AND(IF(Metadata!H95="",FALSE,TRUE),OR(exact(Metadata!H95,"not applicable"),exact(Metadata!H95,"not collected"),exact(Metadata!H95,"not provided"),exact(Metadata!H95,"restricted access"))),AND(IF(Metadata!H95="",FALSE,ISNUMBER(VALUE(Metadata!H95))),Metadata!H95&gt;0))</f>
        <v>0</v>
      </c>
      <c r="AI95">
        <f>AND(IF(Metadata!I95="",FALSE,TRUE),exact(Metadata!I95,"human"))</f>
        <v>0</v>
      </c>
      <c r="AJ95">
        <f>AND(IF(Metadata!J95="",FALSE,ISNUMBER(VALUE(Metadata!J95))),Metadata!J95&gt;0)</f>
        <v>0</v>
      </c>
      <c r="AK95">
        <f>AND(IF(Metadata!K95="",FALSE,TRUE),exact(Metadata!K95,"cm"))</f>
        <v>0</v>
      </c>
      <c r="AL95">
        <f>AND(IF(Metadata!L95="",FALSE,TRUE),exact(Metadata!L95,"Homo sapiens"))</f>
        <v>0</v>
      </c>
      <c r="AM95">
        <f>AND(IF(Metadata!M95="",FALSE,TRUE),exact(Metadata!M95,"9606"))</f>
        <v>0</v>
      </c>
      <c r="AN95">
        <f>AND(IF(Metadata!N95="",FALSE,ISNUMBER(VALUE(Metadata!N95))),Metadata!N95&gt;0)</f>
        <v>0</v>
      </c>
      <c r="AO95">
        <f>AND(IF(Metadata!O95="",FALSE,TRUE),exact(Metadata!O95,"kg"))</f>
        <v>0</v>
      </c>
      <c r="AP95">
        <f>OR(AND(IF(Metadata!P95="",FALSE,TRUE),exact(Metadata!P95,"not provided")),IF(Metadata!P95="",FALSE,TRUE))</f>
        <v>0</v>
      </c>
      <c r="AQ95">
        <f>OR(AND(IF(Metadata!Q95="",FALSE,TRUE),exact(Metadata!Q95,"not provided")),IF(Metadata!Q95="",FALSE,TRUE))</f>
        <v>0</v>
      </c>
    </row>
    <row r="96" spans="1:43">
      <c r="A96" s="4">
        <f>IF(B96=" "," ",HYPERLINK(CONCATENATE("#metadata!",ADDRESS(INDEX($W$2:$W$1001,MATCH(ROWS($U$2:U96),$U$2:$U$1001,0),0),2)),INDEX($Z$2:$Z$1001,MATCH(ROWS($U$2:U96),$U$2:$U$1001,0),0)))</f>
        <v>0</v>
      </c>
      <c r="B96" s="5">
        <f>IF(OR(INDEX($V$2:$V$1001,MATCH(ROWS($U$2:U96),$U$2:$U$1001,0),1)&gt;=100000,INDEX($AB$1005:$AQ$1005,1,MATCH(COLUMNS($AB$1006:AB1006),$AB$1006:$AQ$1006,0))&gt;=100000), " ",IF(INDEX($AB$2:$AQ$1001,MATCH(ROWS($U$2:U96),$U$2:$U$1001,0),MATCH(COLUMNS($AB$1006:AB1006),$AB$1006:$AQ$1006,0)), HYPERLINK("#",""), HYPERLINK(CONCATENATE("#Metadata!", ADDRESS(INDEX($W$2:$W$1001,MATCH(ROWS($U$2:U96),$U$2:$U$1001,0),0), INDEX($AB$1004:$AQ$1004,1,MATCH(COLUMNS($AB$1006:AB1006),$AB$1006:$AQ$1006,0)))),"Fix")))</f>
        <v>0</v>
      </c>
      <c r="C96" s="5">
        <f>IF(OR(INDEX($V$2:$V$1001,MATCH(ROWS($U$2:U96),$U$2:$U$1001,0),1)&gt;=100000,INDEX($AB$1005:$AQ$1005,1,MATCH(COLUMNS($AB$1006:AC1006),$AB$1006:$AQ$1006,0))&gt;=100000), " ",IF(INDEX($AB$2:$AQ$1001,MATCH(ROWS($U$2:U96),$U$2:$U$1001,0),MATCH(COLUMNS($AB$1006:AC1006),$AB$1006:$AQ$1006,0)), HYPERLINK("#",""), HYPERLINK(CONCATENATE("#Metadata!", ADDRESS(INDEX($W$2:$W$1001,MATCH(ROWS($U$2:U96),$U$2:$U$1001,0),0), INDEX($AB$1004:$AQ$1004,1,MATCH(COLUMNS($AB$1006:AC1006),$AB$1006:$AQ$1006,0)))),"Fix")))</f>
        <v>0</v>
      </c>
      <c r="D96" s="5">
        <f>IF(OR(INDEX($V$2:$V$1001,MATCH(ROWS($U$2:U96),$U$2:$U$1001,0),1)&gt;=100000,INDEX($AB$1005:$AQ$1005,1,MATCH(COLUMNS($AB$1006:AD1006),$AB$1006:$AQ$1006,0))&gt;=100000), " ",IF(INDEX($AB$2:$AQ$1001,MATCH(ROWS($U$2:U96),$U$2:$U$1001,0),MATCH(COLUMNS($AB$1006:AD1006),$AB$1006:$AQ$1006,0)), HYPERLINK("#",""), HYPERLINK(CONCATENATE("#Metadata!", ADDRESS(INDEX($W$2:$W$1001,MATCH(ROWS($U$2:U96),$U$2:$U$1001,0),0), INDEX($AB$1004:$AQ$1004,1,MATCH(COLUMNS($AB$1006:AD1006),$AB$1006:$AQ$1006,0)))),"Fix")))</f>
        <v>0</v>
      </c>
      <c r="E96" s="5">
        <f>IF(OR(INDEX($V$2:$V$1001,MATCH(ROWS($U$2:U96),$U$2:$U$1001,0),1)&gt;=100000,INDEX($AB$1005:$AQ$1005,1,MATCH(COLUMNS($AB$1006:AE1006),$AB$1006:$AQ$1006,0))&gt;=100000), " ",IF(INDEX($AB$2:$AQ$1001,MATCH(ROWS($U$2:U96),$U$2:$U$1001,0),MATCH(COLUMNS($AB$1006:AE1006),$AB$1006:$AQ$1006,0)), HYPERLINK("#",""), HYPERLINK(CONCATENATE("#Metadata!", ADDRESS(INDEX($W$2:$W$1001,MATCH(ROWS($U$2:U96),$U$2:$U$1001,0),0), INDEX($AB$1004:$AQ$1004,1,MATCH(COLUMNS($AB$1006:AE1006),$AB$1006:$AQ$1006,0)))),"Fix")))</f>
        <v>0</v>
      </c>
      <c r="F96" s="5">
        <f>IF(OR(INDEX($V$2:$V$1001,MATCH(ROWS($U$2:U96),$U$2:$U$1001,0),1)&gt;=100000,INDEX($AB$1005:$AQ$1005,1,MATCH(COLUMNS($AB$1006:AF1006),$AB$1006:$AQ$1006,0))&gt;=100000), " ",IF(INDEX($AB$2:$AQ$1001,MATCH(ROWS($U$2:U96),$U$2:$U$1001,0),MATCH(COLUMNS($AB$1006:AF1006),$AB$1006:$AQ$1006,0)), HYPERLINK("#",""), HYPERLINK(CONCATENATE("#Metadata!", ADDRESS(INDEX($W$2:$W$1001,MATCH(ROWS($U$2:U96),$U$2:$U$1001,0),0), INDEX($AB$1004:$AQ$1004,1,MATCH(COLUMNS($AB$1006:AF1006),$AB$1006:$AQ$1006,0)))),"Fix")))</f>
        <v>0</v>
      </c>
      <c r="G96" s="5">
        <f>IF(OR(INDEX($V$2:$V$1001,MATCH(ROWS($U$2:U96),$U$2:$U$1001,0),1)&gt;=100000,INDEX($AB$1005:$AQ$1005,1,MATCH(COLUMNS($AB$1006:AG1006),$AB$1006:$AQ$1006,0))&gt;=100000), " ",IF(INDEX($AB$2:$AQ$1001,MATCH(ROWS($U$2:U96),$U$2:$U$1001,0),MATCH(COLUMNS($AB$1006:AG1006),$AB$1006:$AQ$1006,0)), HYPERLINK("#",""), HYPERLINK(CONCATENATE("#Metadata!", ADDRESS(INDEX($W$2:$W$1001,MATCH(ROWS($U$2:U96),$U$2:$U$1001,0),0), INDEX($AB$1004:$AQ$1004,1,MATCH(COLUMNS($AB$1006:AG1006),$AB$1006:$AQ$1006,0)))),"Fix")))</f>
        <v>0</v>
      </c>
      <c r="H96" s="5">
        <f>IF(OR(INDEX($V$2:$V$1001,MATCH(ROWS($U$2:U96),$U$2:$U$1001,0),1)&gt;=100000,INDEX($AB$1005:$AQ$1005,1,MATCH(COLUMNS($AB$1006:AH1006),$AB$1006:$AQ$1006,0))&gt;=100000), " ",IF(INDEX($AB$2:$AQ$1001,MATCH(ROWS($U$2:U96),$U$2:$U$1001,0),MATCH(COLUMNS($AB$1006:AH1006),$AB$1006:$AQ$1006,0)), HYPERLINK("#",""), HYPERLINK(CONCATENATE("#Metadata!", ADDRESS(INDEX($W$2:$W$1001,MATCH(ROWS($U$2:U96),$U$2:$U$1001,0),0), INDEX($AB$1004:$AQ$1004,1,MATCH(COLUMNS($AB$1006:AH1006),$AB$1006:$AQ$1006,0)))),"Fix")))</f>
        <v>0</v>
      </c>
      <c r="I96" s="5">
        <f>IF(OR(INDEX($V$2:$V$1001,MATCH(ROWS($U$2:U96),$U$2:$U$1001,0),1)&gt;=100000,INDEX($AB$1005:$AQ$1005,1,MATCH(COLUMNS($AB$1006:AI1006),$AB$1006:$AQ$1006,0))&gt;=100000), " ",IF(INDEX($AB$2:$AQ$1001,MATCH(ROWS($U$2:U96),$U$2:$U$1001,0),MATCH(COLUMNS($AB$1006:AI1006),$AB$1006:$AQ$1006,0)), HYPERLINK("#",""), HYPERLINK(CONCATENATE("#Metadata!", ADDRESS(INDEX($W$2:$W$1001,MATCH(ROWS($U$2:U96),$U$2:$U$1001,0),0), INDEX($AB$1004:$AQ$1004,1,MATCH(COLUMNS($AB$1006:AI1006),$AB$1006:$AQ$1006,0)))),"Fix")))</f>
        <v>0</v>
      </c>
      <c r="J96" s="5">
        <f>IF(OR(INDEX($V$2:$V$1001,MATCH(ROWS($U$2:U96),$U$2:$U$1001,0),1)&gt;=100000,INDEX($AB$1005:$AQ$1005,1,MATCH(COLUMNS($AB$1006:AJ1006),$AB$1006:$AQ$1006,0))&gt;=100000), " ",IF(INDEX($AB$2:$AQ$1001,MATCH(ROWS($U$2:U96),$U$2:$U$1001,0),MATCH(COLUMNS($AB$1006:AJ1006),$AB$1006:$AQ$1006,0)), HYPERLINK("#",""), HYPERLINK(CONCATENATE("#Metadata!", ADDRESS(INDEX($W$2:$W$1001,MATCH(ROWS($U$2:U96),$U$2:$U$1001,0),0), INDEX($AB$1004:$AQ$1004,1,MATCH(COLUMNS($AB$1006:AJ1006),$AB$1006:$AQ$1006,0)))),"Fix")))</f>
        <v>0</v>
      </c>
      <c r="K96" s="5">
        <f>IF(OR(INDEX($V$2:$V$1001,MATCH(ROWS($U$2:U96),$U$2:$U$1001,0),1)&gt;=100000,INDEX($AB$1005:$AQ$1005,1,MATCH(COLUMNS($AB$1006:AK1006),$AB$1006:$AQ$1006,0))&gt;=100000), " ",IF(INDEX($AB$2:$AQ$1001,MATCH(ROWS($U$2:U96),$U$2:$U$1001,0),MATCH(COLUMNS($AB$1006:AK1006),$AB$1006:$AQ$1006,0)), HYPERLINK("#",""), HYPERLINK(CONCATENATE("#Metadata!", ADDRESS(INDEX($W$2:$W$1001,MATCH(ROWS($U$2:U96),$U$2:$U$1001,0),0), INDEX($AB$1004:$AQ$1004,1,MATCH(COLUMNS($AB$1006:AK1006),$AB$1006:$AQ$1006,0)))),"Fix")))</f>
        <v>0</v>
      </c>
      <c r="L96" s="5">
        <f>IF(OR(INDEX($V$2:$V$1001,MATCH(ROWS($U$2:U96),$U$2:$U$1001,0),1)&gt;=100000,INDEX($AB$1005:$AQ$1005,1,MATCH(COLUMNS($AB$1006:AL1006),$AB$1006:$AQ$1006,0))&gt;=100000), " ",IF(INDEX($AB$2:$AQ$1001,MATCH(ROWS($U$2:U96),$U$2:$U$1001,0),MATCH(COLUMNS($AB$1006:AL1006),$AB$1006:$AQ$1006,0)), HYPERLINK("#",""), HYPERLINK(CONCATENATE("#Metadata!", ADDRESS(INDEX($W$2:$W$1001,MATCH(ROWS($U$2:U96),$U$2:$U$1001,0),0), INDEX($AB$1004:$AQ$1004,1,MATCH(COLUMNS($AB$1006:AL1006),$AB$1006:$AQ$1006,0)))),"Fix")))</f>
        <v>0</v>
      </c>
      <c r="M96" s="5">
        <f>IF(OR(INDEX($V$2:$V$1001,MATCH(ROWS($U$2:U96),$U$2:$U$1001,0),1)&gt;=100000,INDEX($AB$1005:$AQ$1005,1,MATCH(COLUMNS($AB$1006:AM1006),$AB$1006:$AQ$1006,0))&gt;=100000), " ",IF(INDEX($AB$2:$AQ$1001,MATCH(ROWS($U$2:U96),$U$2:$U$1001,0),MATCH(COLUMNS($AB$1006:AM1006),$AB$1006:$AQ$1006,0)), HYPERLINK("#",""), HYPERLINK(CONCATENATE("#Metadata!", ADDRESS(INDEX($W$2:$W$1001,MATCH(ROWS($U$2:U96),$U$2:$U$1001,0),0), INDEX($AB$1004:$AQ$1004,1,MATCH(COLUMNS($AB$1006:AM1006),$AB$1006:$AQ$1006,0)))),"Fix")))</f>
        <v>0</v>
      </c>
      <c r="N96" s="5">
        <f>IF(OR(INDEX($V$2:$V$1001,MATCH(ROWS($U$2:U96),$U$2:$U$1001,0),1)&gt;=100000,INDEX($AB$1005:$AQ$1005,1,MATCH(COLUMNS($AB$1006:AN1006),$AB$1006:$AQ$1006,0))&gt;=100000), " ",IF(INDEX($AB$2:$AQ$1001,MATCH(ROWS($U$2:U96),$U$2:$U$1001,0),MATCH(COLUMNS($AB$1006:AN1006),$AB$1006:$AQ$1006,0)), HYPERLINK("#",""), HYPERLINK(CONCATENATE("#Metadata!", ADDRESS(INDEX($W$2:$W$1001,MATCH(ROWS($U$2:U96),$U$2:$U$1001,0),0), INDEX($AB$1004:$AQ$1004,1,MATCH(COLUMNS($AB$1006:AN1006),$AB$1006:$AQ$1006,0)))),"Fix")))</f>
        <v>0</v>
      </c>
      <c r="O96" s="5">
        <f>IF(OR(INDEX($V$2:$V$1001,MATCH(ROWS($U$2:U96),$U$2:$U$1001,0),1)&gt;=100000,INDEX($AB$1005:$AQ$1005,1,MATCH(COLUMNS($AB$1006:AO1006),$AB$1006:$AQ$1006,0))&gt;=100000), " ",IF(INDEX($AB$2:$AQ$1001,MATCH(ROWS($U$2:U96),$U$2:$U$1001,0),MATCH(COLUMNS($AB$1006:AO1006),$AB$1006:$AQ$1006,0)), HYPERLINK("#",""), HYPERLINK(CONCATENATE("#Metadata!", ADDRESS(INDEX($W$2:$W$1001,MATCH(ROWS($U$2:U96),$U$2:$U$1001,0),0), INDEX($AB$1004:$AQ$1004,1,MATCH(COLUMNS($AB$1006:AO1006),$AB$1006:$AQ$1006,0)))),"Fix")))</f>
        <v>0</v>
      </c>
      <c r="P96" s="5">
        <f>IF(OR(INDEX($V$2:$V$1001,MATCH(ROWS($U$2:U96),$U$2:$U$1001,0),1)&gt;=100000,INDEX($AB$1005:$AQ$1005,1,MATCH(COLUMNS($AB$1006:AP1006),$AB$1006:$AQ$1006,0))&gt;=100000), " ",IF(INDEX($AB$2:$AQ$1001,MATCH(ROWS($U$2:U96),$U$2:$U$1001,0),MATCH(COLUMNS($AB$1006:AP1006),$AB$1006:$AQ$1006,0)), HYPERLINK("#",""), HYPERLINK(CONCATENATE("#Metadata!", ADDRESS(INDEX($W$2:$W$1001,MATCH(ROWS($U$2:U96),$U$2:$U$1001,0),0), INDEX($AB$1004:$AQ$1004,1,MATCH(COLUMNS($AB$1006:AP1006),$AB$1006:$AQ$1006,0)))),"Fix")))</f>
        <v>0</v>
      </c>
      <c r="Q96" s="5">
        <f>IF(OR(INDEX($V$2:$V$1001,MATCH(ROWS($U$2:U96),$U$2:$U$1001,0),1)&gt;=100000,INDEX($AB$1005:$AQ$1005,1,MATCH(COLUMNS($AB$1006:AQ1006),$AB$1006:$AQ$1006,0))&gt;=100000), " ",IF(INDEX($AB$2:$AQ$1001,MATCH(ROWS($U$2:U96),$U$2:$U$1001,0),MATCH(COLUMNS($AB$1006:AQ1006),$AB$1006:$AQ$1006,0)), HYPERLINK("#",""), HYPERLINK(CONCATENATE("#Metadata!", ADDRESS(INDEX($W$2:$W$1001,MATCH(ROWS($U$2:U96),$U$2:$U$1001,0),0), INDEX($AB$1004:$AQ$1004,1,MATCH(COLUMNS($AB$1006:AQ1006),$AB$1006:$AQ$1006,0)))),"Fix")))</f>
        <v>0</v>
      </c>
      <c r="U96">
        <v>0</v>
      </c>
      <c r="V96">
        <v>0</v>
      </c>
      <c r="W96">
        <v>0</v>
      </c>
      <c r="X96">
        <f>IF(Y96,TRUE,AND(AB96:AQ96))</f>
        <v>0</v>
      </c>
      <c r="Y96">
        <f>COUNTBLANK(Metadata!B96:Q96)=COLUMNS(Metadata!B96:Q96)</f>
        <v>0</v>
      </c>
      <c r="Z96">
        <v>0</v>
      </c>
      <c r="AB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AC96">
        <f>AND(IF(Metadata!C96="",FALSE,TRUE),exact(Metadata!C96,"urban biome"))</f>
        <v>0</v>
      </c>
      <c r="AD96">
        <f>AND(IF(Metadata!D96="",FALSE,TRUE),exact(Metadata!D96,"human-associated habitat"))</f>
        <v>0</v>
      </c>
      <c r="AE96">
        <f>AND(IF(Metadata!E96="",FALSE,TRUE),OR(exact(Metadata!E96,"human-associated"),exact(Metadata!E96,"human-skin"),exact(Metadata!E96,"human-oral"),exact(Metadata!E96,"human-gut"),exact(Metadata!E96,"human-vaginal")))</f>
        <v>0</v>
      </c>
      <c r="AF96">
        <f>AND(IF(Metadata!F96="",FALSE,ISNUMBER(VALUE(Metadata!F96))),Metadata!F96&gt;0)</f>
        <v>0</v>
      </c>
      <c r="AG96">
        <f>AND(IF(Metadata!G96="",FALSE,TRUE),exact(Metadata!G96,"years"))</f>
        <v>0</v>
      </c>
      <c r="AH96">
        <f>OR(AND(IF(Metadata!H96="",FALSE,TRUE),OR(exact(Metadata!H96,"not applicable"),exact(Metadata!H96,"not collected"),exact(Metadata!H96,"not provided"),exact(Metadata!H96,"restricted access"))),AND(IF(Metadata!H96="",FALSE,ISNUMBER(VALUE(Metadata!H96))),Metadata!H96&gt;0))</f>
        <v>0</v>
      </c>
      <c r="AI96">
        <f>AND(IF(Metadata!I96="",FALSE,TRUE),exact(Metadata!I96,"human"))</f>
        <v>0</v>
      </c>
      <c r="AJ96">
        <f>AND(IF(Metadata!J96="",FALSE,ISNUMBER(VALUE(Metadata!J96))),Metadata!J96&gt;0)</f>
        <v>0</v>
      </c>
      <c r="AK96">
        <f>AND(IF(Metadata!K96="",FALSE,TRUE),exact(Metadata!K96,"cm"))</f>
        <v>0</v>
      </c>
      <c r="AL96">
        <f>AND(IF(Metadata!L96="",FALSE,TRUE),exact(Metadata!L96,"Homo sapiens"))</f>
        <v>0</v>
      </c>
      <c r="AM96">
        <f>AND(IF(Metadata!M96="",FALSE,TRUE),exact(Metadata!M96,"9606"))</f>
        <v>0</v>
      </c>
      <c r="AN96">
        <f>AND(IF(Metadata!N96="",FALSE,ISNUMBER(VALUE(Metadata!N96))),Metadata!N96&gt;0)</f>
        <v>0</v>
      </c>
      <c r="AO96">
        <f>AND(IF(Metadata!O96="",FALSE,TRUE),exact(Metadata!O96,"kg"))</f>
        <v>0</v>
      </c>
      <c r="AP96">
        <f>OR(AND(IF(Metadata!P96="",FALSE,TRUE),exact(Metadata!P96,"not provided")),IF(Metadata!P96="",FALSE,TRUE))</f>
        <v>0</v>
      </c>
      <c r="AQ96">
        <f>OR(AND(IF(Metadata!Q96="",FALSE,TRUE),exact(Metadata!Q96,"not provided")),IF(Metadata!Q96="",FALSE,TRUE))</f>
        <v>0</v>
      </c>
    </row>
    <row r="97" spans="1:43">
      <c r="A97" s="4">
        <f>IF(B97=" "," ",HYPERLINK(CONCATENATE("#metadata!",ADDRESS(INDEX($W$2:$W$1001,MATCH(ROWS($U$2:U97),$U$2:$U$1001,0),0),2)),INDEX($Z$2:$Z$1001,MATCH(ROWS($U$2:U97),$U$2:$U$1001,0),0)))</f>
        <v>0</v>
      </c>
      <c r="B97" s="5">
        <f>IF(OR(INDEX($V$2:$V$1001,MATCH(ROWS($U$2:U97),$U$2:$U$1001,0),1)&gt;=100000,INDEX($AB$1005:$AQ$1005,1,MATCH(COLUMNS($AB$1006:AB1006),$AB$1006:$AQ$1006,0))&gt;=100000), " ",IF(INDEX($AB$2:$AQ$1001,MATCH(ROWS($U$2:U97),$U$2:$U$1001,0),MATCH(COLUMNS($AB$1006:AB1006),$AB$1006:$AQ$1006,0)), HYPERLINK("#",""), HYPERLINK(CONCATENATE("#Metadata!", ADDRESS(INDEX($W$2:$W$1001,MATCH(ROWS($U$2:U97),$U$2:$U$1001,0),0), INDEX($AB$1004:$AQ$1004,1,MATCH(COLUMNS($AB$1006:AB1006),$AB$1006:$AQ$1006,0)))),"Fix")))</f>
        <v>0</v>
      </c>
      <c r="C97" s="5">
        <f>IF(OR(INDEX($V$2:$V$1001,MATCH(ROWS($U$2:U97),$U$2:$U$1001,0),1)&gt;=100000,INDEX($AB$1005:$AQ$1005,1,MATCH(COLUMNS($AB$1006:AC1006),$AB$1006:$AQ$1006,0))&gt;=100000), " ",IF(INDEX($AB$2:$AQ$1001,MATCH(ROWS($U$2:U97),$U$2:$U$1001,0),MATCH(COLUMNS($AB$1006:AC1006),$AB$1006:$AQ$1006,0)), HYPERLINK("#",""), HYPERLINK(CONCATENATE("#Metadata!", ADDRESS(INDEX($W$2:$W$1001,MATCH(ROWS($U$2:U97),$U$2:$U$1001,0),0), INDEX($AB$1004:$AQ$1004,1,MATCH(COLUMNS($AB$1006:AC1006),$AB$1006:$AQ$1006,0)))),"Fix")))</f>
        <v>0</v>
      </c>
      <c r="D97" s="5">
        <f>IF(OR(INDEX($V$2:$V$1001,MATCH(ROWS($U$2:U97),$U$2:$U$1001,0),1)&gt;=100000,INDEX($AB$1005:$AQ$1005,1,MATCH(COLUMNS($AB$1006:AD1006),$AB$1006:$AQ$1006,0))&gt;=100000), " ",IF(INDEX($AB$2:$AQ$1001,MATCH(ROWS($U$2:U97),$U$2:$U$1001,0),MATCH(COLUMNS($AB$1006:AD1006),$AB$1006:$AQ$1006,0)), HYPERLINK("#",""), HYPERLINK(CONCATENATE("#Metadata!", ADDRESS(INDEX($W$2:$W$1001,MATCH(ROWS($U$2:U97),$U$2:$U$1001,0),0), INDEX($AB$1004:$AQ$1004,1,MATCH(COLUMNS($AB$1006:AD1006),$AB$1006:$AQ$1006,0)))),"Fix")))</f>
        <v>0</v>
      </c>
      <c r="E97" s="5">
        <f>IF(OR(INDEX($V$2:$V$1001,MATCH(ROWS($U$2:U97),$U$2:$U$1001,0),1)&gt;=100000,INDEX($AB$1005:$AQ$1005,1,MATCH(COLUMNS($AB$1006:AE1006),$AB$1006:$AQ$1006,0))&gt;=100000), " ",IF(INDEX($AB$2:$AQ$1001,MATCH(ROWS($U$2:U97),$U$2:$U$1001,0),MATCH(COLUMNS($AB$1006:AE1006),$AB$1006:$AQ$1006,0)), HYPERLINK("#",""), HYPERLINK(CONCATENATE("#Metadata!", ADDRESS(INDEX($W$2:$W$1001,MATCH(ROWS($U$2:U97),$U$2:$U$1001,0),0), INDEX($AB$1004:$AQ$1004,1,MATCH(COLUMNS($AB$1006:AE1006),$AB$1006:$AQ$1006,0)))),"Fix")))</f>
        <v>0</v>
      </c>
      <c r="F97" s="5">
        <f>IF(OR(INDEX($V$2:$V$1001,MATCH(ROWS($U$2:U97),$U$2:$U$1001,0),1)&gt;=100000,INDEX($AB$1005:$AQ$1005,1,MATCH(COLUMNS($AB$1006:AF1006),$AB$1006:$AQ$1006,0))&gt;=100000), " ",IF(INDEX($AB$2:$AQ$1001,MATCH(ROWS($U$2:U97),$U$2:$U$1001,0),MATCH(COLUMNS($AB$1006:AF1006),$AB$1006:$AQ$1006,0)), HYPERLINK("#",""), HYPERLINK(CONCATENATE("#Metadata!", ADDRESS(INDEX($W$2:$W$1001,MATCH(ROWS($U$2:U97),$U$2:$U$1001,0),0), INDEX($AB$1004:$AQ$1004,1,MATCH(COLUMNS($AB$1006:AF1006),$AB$1006:$AQ$1006,0)))),"Fix")))</f>
        <v>0</v>
      </c>
      <c r="G97" s="5">
        <f>IF(OR(INDEX($V$2:$V$1001,MATCH(ROWS($U$2:U97),$U$2:$U$1001,0),1)&gt;=100000,INDEX($AB$1005:$AQ$1005,1,MATCH(COLUMNS($AB$1006:AG1006),$AB$1006:$AQ$1006,0))&gt;=100000), " ",IF(INDEX($AB$2:$AQ$1001,MATCH(ROWS($U$2:U97),$U$2:$U$1001,0),MATCH(COLUMNS($AB$1006:AG1006),$AB$1006:$AQ$1006,0)), HYPERLINK("#",""), HYPERLINK(CONCATENATE("#Metadata!", ADDRESS(INDEX($W$2:$W$1001,MATCH(ROWS($U$2:U97),$U$2:$U$1001,0),0), INDEX($AB$1004:$AQ$1004,1,MATCH(COLUMNS($AB$1006:AG1006),$AB$1006:$AQ$1006,0)))),"Fix")))</f>
        <v>0</v>
      </c>
      <c r="H97" s="5">
        <f>IF(OR(INDEX($V$2:$V$1001,MATCH(ROWS($U$2:U97),$U$2:$U$1001,0),1)&gt;=100000,INDEX($AB$1005:$AQ$1005,1,MATCH(COLUMNS($AB$1006:AH1006),$AB$1006:$AQ$1006,0))&gt;=100000), " ",IF(INDEX($AB$2:$AQ$1001,MATCH(ROWS($U$2:U97),$U$2:$U$1001,0),MATCH(COLUMNS($AB$1006:AH1006),$AB$1006:$AQ$1006,0)), HYPERLINK("#",""), HYPERLINK(CONCATENATE("#Metadata!", ADDRESS(INDEX($W$2:$W$1001,MATCH(ROWS($U$2:U97),$U$2:$U$1001,0),0), INDEX($AB$1004:$AQ$1004,1,MATCH(COLUMNS($AB$1006:AH1006),$AB$1006:$AQ$1006,0)))),"Fix")))</f>
        <v>0</v>
      </c>
      <c r="I97" s="5">
        <f>IF(OR(INDEX($V$2:$V$1001,MATCH(ROWS($U$2:U97),$U$2:$U$1001,0),1)&gt;=100000,INDEX($AB$1005:$AQ$1005,1,MATCH(COLUMNS($AB$1006:AI1006),$AB$1006:$AQ$1006,0))&gt;=100000), " ",IF(INDEX($AB$2:$AQ$1001,MATCH(ROWS($U$2:U97),$U$2:$U$1001,0),MATCH(COLUMNS($AB$1006:AI1006),$AB$1006:$AQ$1006,0)), HYPERLINK("#",""), HYPERLINK(CONCATENATE("#Metadata!", ADDRESS(INDEX($W$2:$W$1001,MATCH(ROWS($U$2:U97),$U$2:$U$1001,0),0), INDEX($AB$1004:$AQ$1004,1,MATCH(COLUMNS($AB$1006:AI1006),$AB$1006:$AQ$1006,0)))),"Fix")))</f>
        <v>0</v>
      </c>
      <c r="J97" s="5">
        <f>IF(OR(INDEX($V$2:$V$1001,MATCH(ROWS($U$2:U97),$U$2:$U$1001,0),1)&gt;=100000,INDEX($AB$1005:$AQ$1005,1,MATCH(COLUMNS($AB$1006:AJ1006),$AB$1006:$AQ$1006,0))&gt;=100000), " ",IF(INDEX($AB$2:$AQ$1001,MATCH(ROWS($U$2:U97),$U$2:$U$1001,0),MATCH(COLUMNS($AB$1006:AJ1006),$AB$1006:$AQ$1006,0)), HYPERLINK("#",""), HYPERLINK(CONCATENATE("#Metadata!", ADDRESS(INDEX($W$2:$W$1001,MATCH(ROWS($U$2:U97),$U$2:$U$1001,0),0), INDEX($AB$1004:$AQ$1004,1,MATCH(COLUMNS($AB$1006:AJ1006),$AB$1006:$AQ$1006,0)))),"Fix")))</f>
        <v>0</v>
      </c>
      <c r="K97" s="5">
        <f>IF(OR(INDEX($V$2:$V$1001,MATCH(ROWS($U$2:U97),$U$2:$U$1001,0),1)&gt;=100000,INDEX($AB$1005:$AQ$1005,1,MATCH(COLUMNS($AB$1006:AK1006),$AB$1006:$AQ$1006,0))&gt;=100000), " ",IF(INDEX($AB$2:$AQ$1001,MATCH(ROWS($U$2:U97),$U$2:$U$1001,0),MATCH(COLUMNS($AB$1006:AK1006),$AB$1006:$AQ$1006,0)), HYPERLINK("#",""), HYPERLINK(CONCATENATE("#Metadata!", ADDRESS(INDEX($W$2:$W$1001,MATCH(ROWS($U$2:U97),$U$2:$U$1001,0),0), INDEX($AB$1004:$AQ$1004,1,MATCH(COLUMNS($AB$1006:AK1006),$AB$1006:$AQ$1006,0)))),"Fix")))</f>
        <v>0</v>
      </c>
      <c r="L97" s="5">
        <f>IF(OR(INDEX($V$2:$V$1001,MATCH(ROWS($U$2:U97),$U$2:$U$1001,0),1)&gt;=100000,INDEX($AB$1005:$AQ$1005,1,MATCH(COLUMNS($AB$1006:AL1006),$AB$1006:$AQ$1006,0))&gt;=100000), " ",IF(INDEX($AB$2:$AQ$1001,MATCH(ROWS($U$2:U97),$U$2:$U$1001,0),MATCH(COLUMNS($AB$1006:AL1006),$AB$1006:$AQ$1006,0)), HYPERLINK("#",""), HYPERLINK(CONCATENATE("#Metadata!", ADDRESS(INDEX($W$2:$W$1001,MATCH(ROWS($U$2:U97),$U$2:$U$1001,0),0), INDEX($AB$1004:$AQ$1004,1,MATCH(COLUMNS($AB$1006:AL1006),$AB$1006:$AQ$1006,0)))),"Fix")))</f>
        <v>0</v>
      </c>
      <c r="M97" s="5">
        <f>IF(OR(INDEX($V$2:$V$1001,MATCH(ROWS($U$2:U97),$U$2:$U$1001,0),1)&gt;=100000,INDEX($AB$1005:$AQ$1005,1,MATCH(COLUMNS($AB$1006:AM1006),$AB$1006:$AQ$1006,0))&gt;=100000), " ",IF(INDEX($AB$2:$AQ$1001,MATCH(ROWS($U$2:U97),$U$2:$U$1001,0),MATCH(COLUMNS($AB$1006:AM1006),$AB$1006:$AQ$1006,0)), HYPERLINK("#",""), HYPERLINK(CONCATENATE("#Metadata!", ADDRESS(INDEX($W$2:$W$1001,MATCH(ROWS($U$2:U97),$U$2:$U$1001,0),0), INDEX($AB$1004:$AQ$1004,1,MATCH(COLUMNS($AB$1006:AM1006),$AB$1006:$AQ$1006,0)))),"Fix")))</f>
        <v>0</v>
      </c>
      <c r="N97" s="5">
        <f>IF(OR(INDEX($V$2:$V$1001,MATCH(ROWS($U$2:U97),$U$2:$U$1001,0),1)&gt;=100000,INDEX($AB$1005:$AQ$1005,1,MATCH(COLUMNS($AB$1006:AN1006),$AB$1006:$AQ$1006,0))&gt;=100000), " ",IF(INDEX($AB$2:$AQ$1001,MATCH(ROWS($U$2:U97),$U$2:$U$1001,0),MATCH(COLUMNS($AB$1006:AN1006),$AB$1006:$AQ$1006,0)), HYPERLINK("#",""), HYPERLINK(CONCATENATE("#Metadata!", ADDRESS(INDEX($W$2:$W$1001,MATCH(ROWS($U$2:U97),$U$2:$U$1001,0),0), INDEX($AB$1004:$AQ$1004,1,MATCH(COLUMNS($AB$1006:AN1006),$AB$1006:$AQ$1006,0)))),"Fix")))</f>
        <v>0</v>
      </c>
      <c r="O97" s="5">
        <f>IF(OR(INDEX($V$2:$V$1001,MATCH(ROWS($U$2:U97),$U$2:$U$1001,0),1)&gt;=100000,INDEX($AB$1005:$AQ$1005,1,MATCH(COLUMNS($AB$1006:AO1006),$AB$1006:$AQ$1006,0))&gt;=100000), " ",IF(INDEX($AB$2:$AQ$1001,MATCH(ROWS($U$2:U97),$U$2:$U$1001,0),MATCH(COLUMNS($AB$1006:AO1006),$AB$1006:$AQ$1006,0)), HYPERLINK("#",""), HYPERLINK(CONCATENATE("#Metadata!", ADDRESS(INDEX($W$2:$W$1001,MATCH(ROWS($U$2:U97),$U$2:$U$1001,0),0), INDEX($AB$1004:$AQ$1004,1,MATCH(COLUMNS($AB$1006:AO1006),$AB$1006:$AQ$1006,0)))),"Fix")))</f>
        <v>0</v>
      </c>
      <c r="P97" s="5">
        <f>IF(OR(INDEX($V$2:$V$1001,MATCH(ROWS($U$2:U97),$U$2:$U$1001,0),1)&gt;=100000,INDEX($AB$1005:$AQ$1005,1,MATCH(COLUMNS($AB$1006:AP1006),$AB$1006:$AQ$1006,0))&gt;=100000), " ",IF(INDEX($AB$2:$AQ$1001,MATCH(ROWS($U$2:U97),$U$2:$U$1001,0),MATCH(COLUMNS($AB$1006:AP1006),$AB$1006:$AQ$1006,0)), HYPERLINK("#",""), HYPERLINK(CONCATENATE("#Metadata!", ADDRESS(INDEX($W$2:$W$1001,MATCH(ROWS($U$2:U97),$U$2:$U$1001,0),0), INDEX($AB$1004:$AQ$1004,1,MATCH(COLUMNS($AB$1006:AP1006),$AB$1006:$AQ$1006,0)))),"Fix")))</f>
        <v>0</v>
      </c>
      <c r="Q97" s="5">
        <f>IF(OR(INDEX($V$2:$V$1001,MATCH(ROWS($U$2:U97),$U$2:$U$1001,0),1)&gt;=100000,INDEX($AB$1005:$AQ$1005,1,MATCH(COLUMNS($AB$1006:AQ1006),$AB$1006:$AQ$1006,0))&gt;=100000), " ",IF(INDEX($AB$2:$AQ$1001,MATCH(ROWS($U$2:U97),$U$2:$U$1001,0),MATCH(COLUMNS($AB$1006:AQ1006),$AB$1006:$AQ$1006,0)), HYPERLINK("#",""), HYPERLINK(CONCATENATE("#Metadata!", ADDRESS(INDEX($W$2:$W$1001,MATCH(ROWS($U$2:U97),$U$2:$U$1001,0),0), INDEX($AB$1004:$AQ$1004,1,MATCH(COLUMNS($AB$1006:AQ1006),$AB$1006:$AQ$1006,0)))),"Fix")))</f>
        <v>0</v>
      </c>
      <c r="U97">
        <v>0</v>
      </c>
      <c r="V97">
        <v>0</v>
      </c>
      <c r="W97">
        <v>0</v>
      </c>
      <c r="X97">
        <f>IF(Y97,TRUE,AND(AB97:AQ97))</f>
        <v>0</v>
      </c>
      <c r="Y97">
        <f>COUNTBLANK(Metadata!B97:Q97)=COLUMNS(Metadata!B97:Q97)</f>
        <v>0</v>
      </c>
      <c r="Z97">
        <v>0</v>
      </c>
      <c r="AB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AC97">
        <f>AND(IF(Metadata!C97="",FALSE,TRUE),exact(Metadata!C97,"urban biome"))</f>
        <v>0</v>
      </c>
      <c r="AD97">
        <f>AND(IF(Metadata!D97="",FALSE,TRUE),exact(Metadata!D97,"human-associated habitat"))</f>
        <v>0</v>
      </c>
      <c r="AE97">
        <f>AND(IF(Metadata!E97="",FALSE,TRUE),OR(exact(Metadata!E97,"human-associated"),exact(Metadata!E97,"human-skin"),exact(Metadata!E97,"human-oral"),exact(Metadata!E97,"human-gut"),exact(Metadata!E97,"human-vaginal")))</f>
        <v>0</v>
      </c>
      <c r="AF97">
        <f>AND(IF(Metadata!F97="",FALSE,ISNUMBER(VALUE(Metadata!F97))),Metadata!F97&gt;0)</f>
        <v>0</v>
      </c>
      <c r="AG97">
        <f>AND(IF(Metadata!G97="",FALSE,TRUE),exact(Metadata!G97,"years"))</f>
        <v>0</v>
      </c>
      <c r="AH97">
        <f>OR(AND(IF(Metadata!H97="",FALSE,TRUE),OR(exact(Metadata!H97,"not applicable"),exact(Metadata!H97,"not collected"),exact(Metadata!H97,"not provided"),exact(Metadata!H97,"restricted access"))),AND(IF(Metadata!H97="",FALSE,ISNUMBER(VALUE(Metadata!H97))),Metadata!H97&gt;0))</f>
        <v>0</v>
      </c>
      <c r="AI97">
        <f>AND(IF(Metadata!I97="",FALSE,TRUE),exact(Metadata!I97,"human"))</f>
        <v>0</v>
      </c>
      <c r="AJ97">
        <f>AND(IF(Metadata!J97="",FALSE,ISNUMBER(VALUE(Metadata!J97))),Metadata!J97&gt;0)</f>
        <v>0</v>
      </c>
      <c r="AK97">
        <f>AND(IF(Metadata!K97="",FALSE,TRUE),exact(Metadata!K97,"cm"))</f>
        <v>0</v>
      </c>
      <c r="AL97">
        <f>AND(IF(Metadata!L97="",FALSE,TRUE),exact(Metadata!L97,"Homo sapiens"))</f>
        <v>0</v>
      </c>
      <c r="AM97">
        <f>AND(IF(Metadata!M97="",FALSE,TRUE),exact(Metadata!M97,"9606"))</f>
        <v>0</v>
      </c>
      <c r="AN97">
        <f>AND(IF(Metadata!N97="",FALSE,ISNUMBER(VALUE(Metadata!N97))),Metadata!N97&gt;0)</f>
        <v>0</v>
      </c>
      <c r="AO97">
        <f>AND(IF(Metadata!O97="",FALSE,TRUE),exact(Metadata!O97,"kg"))</f>
        <v>0</v>
      </c>
      <c r="AP97">
        <f>OR(AND(IF(Metadata!P97="",FALSE,TRUE),exact(Metadata!P97,"not provided")),IF(Metadata!P97="",FALSE,TRUE))</f>
        <v>0</v>
      </c>
      <c r="AQ97">
        <f>OR(AND(IF(Metadata!Q97="",FALSE,TRUE),exact(Metadata!Q97,"not provided")),IF(Metadata!Q97="",FALSE,TRUE))</f>
        <v>0</v>
      </c>
    </row>
    <row r="98" spans="1:43">
      <c r="A98" s="4">
        <f>IF(B98=" "," ",HYPERLINK(CONCATENATE("#metadata!",ADDRESS(INDEX($W$2:$W$1001,MATCH(ROWS($U$2:U98),$U$2:$U$1001,0),0),2)),INDEX($Z$2:$Z$1001,MATCH(ROWS($U$2:U98),$U$2:$U$1001,0),0)))</f>
        <v>0</v>
      </c>
      <c r="B98" s="5">
        <f>IF(OR(INDEX($V$2:$V$1001,MATCH(ROWS($U$2:U98),$U$2:$U$1001,0),1)&gt;=100000,INDEX($AB$1005:$AQ$1005,1,MATCH(COLUMNS($AB$1006:AB1006),$AB$1006:$AQ$1006,0))&gt;=100000), " ",IF(INDEX($AB$2:$AQ$1001,MATCH(ROWS($U$2:U98),$U$2:$U$1001,0),MATCH(COLUMNS($AB$1006:AB1006),$AB$1006:$AQ$1006,0)), HYPERLINK("#",""), HYPERLINK(CONCATENATE("#Metadata!", ADDRESS(INDEX($W$2:$W$1001,MATCH(ROWS($U$2:U98),$U$2:$U$1001,0),0), INDEX($AB$1004:$AQ$1004,1,MATCH(COLUMNS($AB$1006:AB1006),$AB$1006:$AQ$1006,0)))),"Fix")))</f>
        <v>0</v>
      </c>
      <c r="C98" s="5">
        <f>IF(OR(INDEX($V$2:$V$1001,MATCH(ROWS($U$2:U98),$U$2:$U$1001,0),1)&gt;=100000,INDEX($AB$1005:$AQ$1005,1,MATCH(COLUMNS($AB$1006:AC1006),$AB$1006:$AQ$1006,0))&gt;=100000), " ",IF(INDEX($AB$2:$AQ$1001,MATCH(ROWS($U$2:U98),$U$2:$U$1001,0),MATCH(COLUMNS($AB$1006:AC1006),$AB$1006:$AQ$1006,0)), HYPERLINK("#",""), HYPERLINK(CONCATENATE("#Metadata!", ADDRESS(INDEX($W$2:$W$1001,MATCH(ROWS($U$2:U98),$U$2:$U$1001,0),0), INDEX($AB$1004:$AQ$1004,1,MATCH(COLUMNS($AB$1006:AC1006),$AB$1006:$AQ$1006,0)))),"Fix")))</f>
        <v>0</v>
      </c>
      <c r="D98" s="5">
        <f>IF(OR(INDEX($V$2:$V$1001,MATCH(ROWS($U$2:U98),$U$2:$U$1001,0),1)&gt;=100000,INDEX($AB$1005:$AQ$1005,1,MATCH(COLUMNS($AB$1006:AD1006),$AB$1006:$AQ$1006,0))&gt;=100000), " ",IF(INDEX($AB$2:$AQ$1001,MATCH(ROWS($U$2:U98),$U$2:$U$1001,0),MATCH(COLUMNS($AB$1006:AD1006),$AB$1006:$AQ$1006,0)), HYPERLINK("#",""), HYPERLINK(CONCATENATE("#Metadata!", ADDRESS(INDEX($W$2:$W$1001,MATCH(ROWS($U$2:U98),$U$2:$U$1001,0),0), INDEX($AB$1004:$AQ$1004,1,MATCH(COLUMNS($AB$1006:AD1006),$AB$1006:$AQ$1006,0)))),"Fix")))</f>
        <v>0</v>
      </c>
      <c r="E98" s="5">
        <f>IF(OR(INDEX($V$2:$V$1001,MATCH(ROWS($U$2:U98),$U$2:$U$1001,0),1)&gt;=100000,INDEX($AB$1005:$AQ$1005,1,MATCH(COLUMNS($AB$1006:AE1006),$AB$1006:$AQ$1006,0))&gt;=100000), " ",IF(INDEX($AB$2:$AQ$1001,MATCH(ROWS($U$2:U98),$U$2:$U$1001,0),MATCH(COLUMNS($AB$1006:AE1006),$AB$1006:$AQ$1006,0)), HYPERLINK("#",""), HYPERLINK(CONCATENATE("#Metadata!", ADDRESS(INDEX($W$2:$W$1001,MATCH(ROWS($U$2:U98),$U$2:$U$1001,0),0), INDEX($AB$1004:$AQ$1004,1,MATCH(COLUMNS($AB$1006:AE1006),$AB$1006:$AQ$1006,0)))),"Fix")))</f>
        <v>0</v>
      </c>
      <c r="F98" s="5">
        <f>IF(OR(INDEX($V$2:$V$1001,MATCH(ROWS($U$2:U98),$U$2:$U$1001,0),1)&gt;=100000,INDEX($AB$1005:$AQ$1005,1,MATCH(COLUMNS($AB$1006:AF1006),$AB$1006:$AQ$1006,0))&gt;=100000), " ",IF(INDEX($AB$2:$AQ$1001,MATCH(ROWS($U$2:U98),$U$2:$U$1001,0),MATCH(COLUMNS($AB$1006:AF1006),$AB$1006:$AQ$1006,0)), HYPERLINK("#",""), HYPERLINK(CONCATENATE("#Metadata!", ADDRESS(INDEX($W$2:$W$1001,MATCH(ROWS($U$2:U98),$U$2:$U$1001,0),0), INDEX($AB$1004:$AQ$1004,1,MATCH(COLUMNS($AB$1006:AF1006),$AB$1006:$AQ$1006,0)))),"Fix")))</f>
        <v>0</v>
      </c>
      <c r="G98" s="5">
        <f>IF(OR(INDEX($V$2:$V$1001,MATCH(ROWS($U$2:U98),$U$2:$U$1001,0),1)&gt;=100000,INDEX($AB$1005:$AQ$1005,1,MATCH(COLUMNS($AB$1006:AG1006),$AB$1006:$AQ$1006,0))&gt;=100000), " ",IF(INDEX($AB$2:$AQ$1001,MATCH(ROWS($U$2:U98),$U$2:$U$1001,0),MATCH(COLUMNS($AB$1006:AG1006),$AB$1006:$AQ$1006,0)), HYPERLINK("#",""), HYPERLINK(CONCATENATE("#Metadata!", ADDRESS(INDEX($W$2:$W$1001,MATCH(ROWS($U$2:U98),$U$2:$U$1001,0),0), INDEX($AB$1004:$AQ$1004,1,MATCH(COLUMNS($AB$1006:AG1006),$AB$1006:$AQ$1006,0)))),"Fix")))</f>
        <v>0</v>
      </c>
      <c r="H98" s="5">
        <f>IF(OR(INDEX($V$2:$V$1001,MATCH(ROWS($U$2:U98),$U$2:$U$1001,0),1)&gt;=100000,INDEX($AB$1005:$AQ$1005,1,MATCH(COLUMNS($AB$1006:AH1006),$AB$1006:$AQ$1006,0))&gt;=100000), " ",IF(INDEX($AB$2:$AQ$1001,MATCH(ROWS($U$2:U98),$U$2:$U$1001,0),MATCH(COLUMNS($AB$1006:AH1006),$AB$1006:$AQ$1006,0)), HYPERLINK("#",""), HYPERLINK(CONCATENATE("#Metadata!", ADDRESS(INDEX($W$2:$W$1001,MATCH(ROWS($U$2:U98),$U$2:$U$1001,0),0), INDEX($AB$1004:$AQ$1004,1,MATCH(COLUMNS($AB$1006:AH1006),$AB$1006:$AQ$1006,0)))),"Fix")))</f>
        <v>0</v>
      </c>
      <c r="I98" s="5">
        <f>IF(OR(INDEX($V$2:$V$1001,MATCH(ROWS($U$2:U98),$U$2:$U$1001,0),1)&gt;=100000,INDEX($AB$1005:$AQ$1005,1,MATCH(COLUMNS($AB$1006:AI1006),$AB$1006:$AQ$1006,0))&gt;=100000), " ",IF(INDEX($AB$2:$AQ$1001,MATCH(ROWS($U$2:U98),$U$2:$U$1001,0),MATCH(COLUMNS($AB$1006:AI1006),$AB$1006:$AQ$1006,0)), HYPERLINK("#",""), HYPERLINK(CONCATENATE("#Metadata!", ADDRESS(INDEX($W$2:$W$1001,MATCH(ROWS($U$2:U98),$U$2:$U$1001,0),0), INDEX($AB$1004:$AQ$1004,1,MATCH(COLUMNS($AB$1006:AI1006),$AB$1006:$AQ$1006,0)))),"Fix")))</f>
        <v>0</v>
      </c>
      <c r="J98" s="5">
        <f>IF(OR(INDEX($V$2:$V$1001,MATCH(ROWS($U$2:U98),$U$2:$U$1001,0),1)&gt;=100000,INDEX($AB$1005:$AQ$1005,1,MATCH(COLUMNS($AB$1006:AJ1006),$AB$1006:$AQ$1006,0))&gt;=100000), " ",IF(INDEX($AB$2:$AQ$1001,MATCH(ROWS($U$2:U98),$U$2:$U$1001,0),MATCH(COLUMNS($AB$1006:AJ1006),$AB$1006:$AQ$1006,0)), HYPERLINK("#",""), HYPERLINK(CONCATENATE("#Metadata!", ADDRESS(INDEX($W$2:$W$1001,MATCH(ROWS($U$2:U98),$U$2:$U$1001,0),0), INDEX($AB$1004:$AQ$1004,1,MATCH(COLUMNS($AB$1006:AJ1006),$AB$1006:$AQ$1006,0)))),"Fix")))</f>
        <v>0</v>
      </c>
      <c r="K98" s="5">
        <f>IF(OR(INDEX($V$2:$V$1001,MATCH(ROWS($U$2:U98),$U$2:$U$1001,0),1)&gt;=100000,INDEX($AB$1005:$AQ$1005,1,MATCH(COLUMNS($AB$1006:AK1006),$AB$1006:$AQ$1006,0))&gt;=100000), " ",IF(INDEX($AB$2:$AQ$1001,MATCH(ROWS($U$2:U98),$U$2:$U$1001,0),MATCH(COLUMNS($AB$1006:AK1006),$AB$1006:$AQ$1006,0)), HYPERLINK("#",""), HYPERLINK(CONCATENATE("#Metadata!", ADDRESS(INDEX($W$2:$W$1001,MATCH(ROWS($U$2:U98),$U$2:$U$1001,0),0), INDEX($AB$1004:$AQ$1004,1,MATCH(COLUMNS($AB$1006:AK1006),$AB$1006:$AQ$1006,0)))),"Fix")))</f>
        <v>0</v>
      </c>
      <c r="L98" s="5">
        <f>IF(OR(INDEX($V$2:$V$1001,MATCH(ROWS($U$2:U98),$U$2:$U$1001,0),1)&gt;=100000,INDEX($AB$1005:$AQ$1005,1,MATCH(COLUMNS($AB$1006:AL1006),$AB$1006:$AQ$1006,0))&gt;=100000), " ",IF(INDEX($AB$2:$AQ$1001,MATCH(ROWS($U$2:U98),$U$2:$U$1001,0),MATCH(COLUMNS($AB$1006:AL1006),$AB$1006:$AQ$1006,0)), HYPERLINK("#",""), HYPERLINK(CONCATENATE("#Metadata!", ADDRESS(INDEX($W$2:$W$1001,MATCH(ROWS($U$2:U98),$U$2:$U$1001,0),0), INDEX($AB$1004:$AQ$1004,1,MATCH(COLUMNS($AB$1006:AL1006),$AB$1006:$AQ$1006,0)))),"Fix")))</f>
        <v>0</v>
      </c>
      <c r="M98" s="5">
        <f>IF(OR(INDEX($V$2:$V$1001,MATCH(ROWS($U$2:U98),$U$2:$U$1001,0),1)&gt;=100000,INDEX($AB$1005:$AQ$1005,1,MATCH(COLUMNS($AB$1006:AM1006),$AB$1006:$AQ$1006,0))&gt;=100000), " ",IF(INDEX($AB$2:$AQ$1001,MATCH(ROWS($U$2:U98),$U$2:$U$1001,0),MATCH(COLUMNS($AB$1006:AM1006),$AB$1006:$AQ$1006,0)), HYPERLINK("#",""), HYPERLINK(CONCATENATE("#Metadata!", ADDRESS(INDEX($W$2:$W$1001,MATCH(ROWS($U$2:U98),$U$2:$U$1001,0),0), INDEX($AB$1004:$AQ$1004,1,MATCH(COLUMNS($AB$1006:AM1006),$AB$1006:$AQ$1006,0)))),"Fix")))</f>
        <v>0</v>
      </c>
      <c r="N98" s="5">
        <f>IF(OR(INDEX($V$2:$V$1001,MATCH(ROWS($U$2:U98),$U$2:$U$1001,0),1)&gt;=100000,INDEX($AB$1005:$AQ$1005,1,MATCH(COLUMNS($AB$1006:AN1006),$AB$1006:$AQ$1006,0))&gt;=100000), " ",IF(INDEX($AB$2:$AQ$1001,MATCH(ROWS($U$2:U98),$U$2:$U$1001,0),MATCH(COLUMNS($AB$1006:AN1006),$AB$1006:$AQ$1006,0)), HYPERLINK("#",""), HYPERLINK(CONCATENATE("#Metadata!", ADDRESS(INDEX($W$2:$W$1001,MATCH(ROWS($U$2:U98),$U$2:$U$1001,0),0), INDEX($AB$1004:$AQ$1004,1,MATCH(COLUMNS($AB$1006:AN1006),$AB$1006:$AQ$1006,0)))),"Fix")))</f>
        <v>0</v>
      </c>
      <c r="O98" s="5">
        <f>IF(OR(INDEX($V$2:$V$1001,MATCH(ROWS($U$2:U98),$U$2:$U$1001,0),1)&gt;=100000,INDEX($AB$1005:$AQ$1005,1,MATCH(COLUMNS($AB$1006:AO1006),$AB$1006:$AQ$1006,0))&gt;=100000), " ",IF(INDEX($AB$2:$AQ$1001,MATCH(ROWS($U$2:U98),$U$2:$U$1001,0),MATCH(COLUMNS($AB$1006:AO1006),$AB$1006:$AQ$1006,0)), HYPERLINK("#",""), HYPERLINK(CONCATENATE("#Metadata!", ADDRESS(INDEX($W$2:$W$1001,MATCH(ROWS($U$2:U98),$U$2:$U$1001,0),0), INDEX($AB$1004:$AQ$1004,1,MATCH(COLUMNS($AB$1006:AO1006),$AB$1006:$AQ$1006,0)))),"Fix")))</f>
        <v>0</v>
      </c>
      <c r="P98" s="5">
        <f>IF(OR(INDEX($V$2:$V$1001,MATCH(ROWS($U$2:U98),$U$2:$U$1001,0),1)&gt;=100000,INDEX($AB$1005:$AQ$1005,1,MATCH(COLUMNS($AB$1006:AP1006),$AB$1006:$AQ$1006,0))&gt;=100000), " ",IF(INDEX($AB$2:$AQ$1001,MATCH(ROWS($U$2:U98),$U$2:$U$1001,0),MATCH(COLUMNS($AB$1006:AP1006),$AB$1006:$AQ$1006,0)), HYPERLINK("#",""), HYPERLINK(CONCATENATE("#Metadata!", ADDRESS(INDEX($W$2:$W$1001,MATCH(ROWS($U$2:U98),$U$2:$U$1001,0),0), INDEX($AB$1004:$AQ$1004,1,MATCH(COLUMNS($AB$1006:AP1006),$AB$1006:$AQ$1006,0)))),"Fix")))</f>
        <v>0</v>
      </c>
      <c r="Q98" s="5">
        <f>IF(OR(INDEX($V$2:$V$1001,MATCH(ROWS($U$2:U98),$U$2:$U$1001,0),1)&gt;=100000,INDEX($AB$1005:$AQ$1005,1,MATCH(COLUMNS($AB$1006:AQ1006),$AB$1006:$AQ$1006,0))&gt;=100000), " ",IF(INDEX($AB$2:$AQ$1001,MATCH(ROWS($U$2:U98),$U$2:$U$1001,0),MATCH(COLUMNS($AB$1006:AQ1006),$AB$1006:$AQ$1006,0)), HYPERLINK("#",""), HYPERLINK(CONCATENATE("#Metadata!", ADDRESS(INDEX($W$2:$W$1001,MATCH(ROWS($U$2:U98),$U$2:$U$1001,0),0), INDEX($AB$1004:$AQ$1004,1,MATCH(COLUMNS($AB$1006:AQ1006),$AB$1006:$AQ$1006,0)))),"Fix")))</f>
        <v>0</v>
      </c>
      <c r="U98">
        <v>0</v>
      </c>
      <c r="V98">
        <v>0</v>
      </c>
      <c r="W98">
        <v>0</v>
      </c>
      <c r="X98">
        <f>IF(Y98,TRUE,AND(AB98:AQ98))</f>
        <v>0</v>
      </c>
      <c r="Y98">
        <f>COUNTBLANK(Metadata!B98:Q98)=COLUMNS(Metadata!B98:Q98)</f>
        <v>0</v>
      </c>
      <c r="Z98">
        <v>0</v>
      </c>
      <c r="AB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AC98">
        <f>AND(IF(Metadata!C98="",FALSE,TRUE),exact(Metadata!C98,"urban biome"))</f>
        <v>0</v>
      </c>
      <c r="AD98">
        <f>AND(IF(Metadata!D98="",FALSE,TRUE),exact(Metadata!D98,"human-associated habitat"))</f>
        <v>0</v>
      </c>
      <c r="AE98">
        <f>AND(IF(Metadata!E98="",FALSE,TRUE),OR(exact(Metadata!E98,"human-associated"),exact(Metadata!E98,"human-skin"),exact(Metadata!E98,"human-oral"),exact(Metadata!E98,"human-gut"),exact(Metadata!E98,"human-vaginal")))</f>
        <v>0</v>
      </c>
      <c r="AF98">
        <f>AND(IF(Metadata!F98="",FALSE,ISNUMBER(VALUE(Metadata!F98))),Metadata!F98&gt;0)</f>
        <v>0</v>
      </c>
      <c r="AG98">
        <f>AND(IF(Metadata!G98="",FALSE,TRUE),exact(Metadata!G98,"years"))</f>
        <v>0</v>
      </c>
      <c r="AH98">
        <f>OR(AND(IF(Metadata!H98="",FALSE,TRUE),OR(exact(Metadata!H98,"not applicable"),exact(Metadata!H98,"not collected"),exact(Metadata!H98,"not provided"),exact(Metadata!H98,"restricted access"))),AND(IF(Metadata!H98="",FALSE,ISNUMBER(VALUE(Metadata!H98))),Metadata!H98&gt;0))</f>
        <v>0</v>
      </c>
      <c r="AI98">
        <f>AND(IF(Metadata!I98="",FALSE,TRUE),exact(Metadata!I98,"human"))</f>
        <v>0</v>
      </c>
      <c r="AJ98">
        <f>AND(IF(Metadata!J98="",FALSE,ISNUMBER(VALUE(Metadata!J98))),Metadata!J98&gt;0)</f>
        <v>0</v>
      </c>
      <c r="AK98">
        <f>AND(IF(Metadata!K98="",FALSE,TRUE),exact(Metadata!K98,"cm"))</f>
        <v>0</v>
      </c>
      <c r="AL98">
        <f>AND(IF(Metadata!L98="",FALSE,TRUE),exact(Metadata!L98,"Homo sapiens"))</f>
        <v>0</v>
      </c>
      <c r="AM98">
        <f>AND(IF(Metadata!M98="",FALSE,TRUE),exact(Metadata!M98,"9606"))</f>
        <v>0</v>
      </c>
      <c r="AN98">
        <f>AND(IF(Metadata!N98="",FALSE,ISNUMBER(VALUE(Metadata!N98))),Metadata!N98&gt;0)</f>
        <v>0</v>
      </c>
      <c r="AO98">
        <f>AND(IF(Metadata!O98="",FALSE,TRUE),exact(Metadata!O98,"kg"))</f>
        <v>0</v>
      </c>
      <c r="AP98">
        <f>OR(AND(IF(Metadata!P98="",FALSE,TRUE),exact(Metadata!P98,"not provided")),IF(Metadata!P98="",FALSE,TRUE))</f>
        <v>0</v>
      </c>
      <c r="AQ98">
        <f>OR(AND(IF(Metadata!Q98="",FALSE,TRUE),exact(Metadata!Q98,"not provided")),IF(Metadata!Q98="",FALSE,TRUE))</f>
        <v>0</v>
      </c>
    </row>
    <row r="99" spans="1:43">
      <c r="A99" s="4">
        <f>IF(B99=" "," ",HYPERLINK(CONCATENATE("#metadata!",ADDRESS(INDEX($W$2:$W$1001,MATCH(ROWS($U$2:U99),$U$2:$U$1001,0),0),2)),INDEX($Z$2:$Z$1001,MATCH(ROWS($U$2:U99),$U$2:$U$1001,0),0)))</f>
        <v>0</v>
      </c>
      <c r="B99" s="5">
        <f>IF(OR(INDEX($V$2:$V$1001,MATCH(ROWS($U$2:U99),$U$2:$U$1001,0),1)&gt;=100000,INDEX($AB$1005:$AQ$1005,1,MATCH(COLUMNS($AB$1006:AB1006),$AB$1006:$AQ$1006,0))&gt;=100000), " ",IF(INDEX($AB$2:$AQ$1001,MATCH(ROWS($U$2:U99),$U$2:$U$1001,0),MATCH(COLUMNS($AB$1006:AB1006),$AB$1006:$AQ$1006,0)), HYPERLINK("#",""), HYPERLINK(CONCATENATE("#Metadata!", ADDRESS(INDEX($W$2:$W$1001,MATCH(ROWS($U$2:U99),$U$2:$U$1001,0),0), INDEX($AB$1004:$AQ$1004,1,MATCH(COLUMNS($AB$1006:AB1006),$AB$1006:$AQ$1006,0)))),"Fix")))</f>
        <v>0</v>
      </c>
      <c r="C99" s="5">
        <f>IF(OR(INDEX($V$2:$V$1001,MATCH(ROWS($U$2:U99),$U$2:$U$1001,0),1)&gt;=100000,INDEX($AB$1005:$AQ$1005,1,MATCH(COLUMNS($AB$1006:AC1006),$AB$1006:$AQ$1006,0))&gt;=100000), " ",IF(INDEX($AB$2:$AQ$1001,MATCH(ROWS($U$2:U99),$U$2:$U$1001,0),MATCH(COLUMNS($AB$1006:AC1006),$AB$1006:$AQ$1006,0)), HYPERLINK("#",""), HYPERLINK(CONCATENATE("#Metadata!", ADDRESS(INDEX($W$2:$W$1001,MATCH(ROWS($U$2:U99),$U$2:$U$1001,0),0), INDEX($AB$1004:$AQ$1004,1,MATCH(COLUMNS($AB$1006:AC1006),$AB$1006:$AQ$1006,0)))),"Fix")))</f>
        <v>0</v>
      </c>
      <c r="D99" s="5">
        <f>IF(OR(INDEX($V$2:$V$1001,MATCH(ROWS($U$2:U99),$U$2:$U$1001,0),1)&gt;=100000,INDEX($AB$1005:$AQ$1005,1,MATCH(COLUMNS($AB$1006:AD1006),$AB$1006:$AQ$1006,0))&gt;=100000), " ",IF(INDEX($AB$2:$AQ$1001,MATCH(ROWS($U$2:U99),$U$2:$U$1001,0),MATCH(COLUMNS($AB$1006:AD1006),$AB$1006:$AQ$1006,0)), HYPERLINK("#",""), HYPERLINK(CONCATENATE("#Metadata!", ADDRESS(INDEX($W$2:$W$1001,MATCH(ROWS($U$2:U99),$U$2:$U$1001,0),0), INDEX($AB$1004:$AQ$1004,1,MATCH(COLUMNS($AB$1006:AD1006),$AB$1006:$AQ$1006,0)))),"Fix")))</f>
        <v>0</v>
      </c>
      <c r="E99" s="5">
        <f>IF(OR(INDEX($V$2:$V$1001,MATCH(ROWS($U$2:U99),$U$2:$U$1001,0),1)&gt;=100000,INDEX($AB$1005:$AQ$1005,1,MATCH(COLUMNS($AB$1006:AE1006),$AB$1006:$AQ$1006,0))&gt;=100000), " ",IF(INDEX($AB$2:$AQ$1001,MATCH(ROWS($U$2:U99),$U$2:$U$1001,0),MATCH(COLUMNS($AB$1006:AE1006),$AB$1006:$AQ$1006,0)), HYPERLINK("#",""), HYPERLINK(CONCATENATE("#Metadata!", ADDRESS(INDEX($W$2:$W$1001,MATCH(ROWS($U$2:U99),$U$2:$U$1001,0),0), INDEX($AB$1004:$AQ$1004,1,MATCH(COLUMNS($AB$1006:AE1006),$AB$1006:$AQ$1006,0)))),"Fix")))</f>
        <v>0</v>
      </c>
      <c r="F99" s="5">
        <f>IF(OR(INDEX($V$2:$V$1001,MATCH(ROWS($U$2:U99),$U$2:$U$1001,0),1)&gt;=100000,INDEX($AB$1005:$AQ$1005,1,MATCH(COLUMNS($AB$1006:AF1006),$AB$1006:$AQ$1006,0))&gt;=100000), " ",IF(INDEX($AB$2:$AQ$1001,MATCH(ROWS($U$2:U99),$U$2:$U$1001,0),MATCH(COLUMNS($AB$1006:AF1006),$AB$1006:$AQ$1006,0)), HYPERLINK("#",""), HYPERLINK(CONCATENATE("#Metadata!", ADDRESS(INDEX($W$2:$W$1001,MATCH(ROWS($U$2:U99),$U$2:$U$1001,0),0), INDEX($AB$1004:$AQ$1004,1,MATCH(COLUMNS($AB$1006:AF1006),$AB$1006:$AQ$1006,0)))),"Fix")))</f>
        <v>0</v>
      </c>
      <c r="G99" s="5">
        <f>IF(OR(INDEX($V$2:$V$1001,MATCH(ROWS($U$2:U99),$U$2:$U$1001,0),1)&gt;=100000,INDEX($AB$1005:$AQ$1005,1,MATCH(COLUMNS($AB$1006:AG1006),$AB$1006:$AQ$1006,0))&gt;=100000), " ",IF(INDEX($AB$2:$AQ$1001,MATCH(ROWS($U$2:U99),$U$2:$U$1001,0),MATCH(COLUMNS($AB$1006:AG1006),$AB$1006:$AQ$1006,0)), HYPERLINK("#",""), HYPERLINK(CONCATENATE("#Metadata!", ADDRESS(INDEX($W$2:$W$1001,MATCH(ROWS($U$2:U99),$U$2:$U$1001,0),0), INDEX($AB$1004:$AQ$1004,1,MATCH(COLUMNS($AB$1006:AG1006),$AB$1006:$AQ$1006,0)))),"Fix")))</f>
        <v>0</v>
      </c>
      <c r="H99" s="5">
        <f>IF(OR(INDEX($V$2:$V$1001,MATCH(ROWS($U$2:U99),$U$2:$U$1001,0),1)&gt;=100000,INDEX($AB$1005:$AQ$1005,1,MATCH(COLUMNS($AB$1006:AH1006),$AB$1006:$AQ$1006,0))&gt;=100000), " ",IF(INDEX($AB$2:$AQ$1001,MATCH(ROWS($U$2:U99),$U$2:$U$1001,0),MATCH(COLUMNS($AB$1006:AH1006),$AB$1006:$AQ$1006,0)), HYPERLINK("#",""), HYPERLINK(CONCATENATE("#Metadata!", ADDRESS(INDEX($W$2:$W$1001,MATCH(ROWS($U$2:U99),$U$2:$U$1001,0),0), INDEX($AB$1004:$AQ$1004,1,MATCH(COLUMNS($AB$1006:AH1006),$AB$1006:$AQ$1006,0)))),"Fix")))</f>
        <v>0</v>
      </c>
      <c r="I99" s="5">
        <f>IF(OR(INDEX($V$2:$V$1001,MATCH(ROWS($U$2:U99),$U$2:$U$1001,0),1)&gt;=100000,INDEX($AB$1005:$AQ$1005,1,MATCH(COLUMNS($AB$1006:AI1006),$AB$1006:$AQ$1006,0))&gt;=100000), " ",IF(INDEX($AB$2:$AQ$1001,MATCH(ROWS($U$2:U99),$U$2:$U$1001,0),MATCH(COLUMNS($AB$1006:AI1006),$AB$1006:$AQ$1006,0)), HYPERLINK("#",""), HYPERLINK(CONCATENATE("#Metadata!", ADDRESS(INDEX($W$2:$W$1001,MATCH(ROWS($U$2:U99),$U$2:$U$1001,0),0), INDEX($AB$1004:$AQ$1004,1,MATCH(COLUMNS($AB$1006:AI1006),$AB$1006:$AQ$1006,0)))),"Fix")))</f>
        <v>0</v>
      </c>
      <c r="J99" s="5">
        <f>IF(OR(INDEX($V$2:$V$1001,MATCH(ROWS($U$2:U99),$U$2:$U$1001,0),1)&gt;=100000,INDEX($AB$1005:$AQ$1005,1,MATCH(COLUMNS($AB$1006:AJ1006),$AB$1006:$AQ$1006,0))&gt;=100000), " ",IF(INDEX($AB$2:$AQ$1001,MATCH(ROWS($U$2:U99),$U$2:$U$1001,0),MATCH(COLUMNS($AB$1006:AJ1006),$AB$1006:$AQ$1006,0)), HYPERLINK("#",""), HYPERLINK(CONCATENATE("#Metadata!", ADDRESS(INDEX($W$2:$W$1001,MATCH(ROWS($U$2:U99),$U$2:$U$1001,0),0), INDEX($AB$1004:$AQ$1004,1,MATCH(COLUMNS($AB$1006:AJ1006),$AB$1006:$AQ$1006,0)))),"Fix")))</f>
        <v>0</v>
      </c>
      <c r="K99" s="5">
        <f>IF(OR(INDEX($V$2:$V$1001,MATCH(ROWS($U$2:U99),$U$2:$U$1001,0),1)&gt;=100000,INDEX($AB$1005:$AQ$1005,1,MATCH(COLUMNS($AB$1006:AK1006),$AB$1006:$AQ$1006,0))&gt;=100000), " ",IF(INDEX($AB$2:$AQ$1001,MATCH(ROWS($U$2:U99),$U$2:$U$1001,0),MATCH(COLUMNS($AB$1006:AK1006),$AB$1006:$AQ$1006,0)), HYPERLINK("#",""), HYPERLINK(CONCATENATE("#Metadata!", ADDRESS(INDEX($W$2:$W$1001,MATCH(ROWS($U$2:U99),$U$2:$U$1001,0),0), INDEX($AB$1004:$AQ$1004,1,MATCH(COLUMNS($AB$1006:AK1006),$AB$1006:$AQ$1006,0)))),"Fix")))</f>
        <v>0</v>
      </c>
      <c r="L99" s="5">
        <f>IF(OR(INDEX($V$2:$V$1001,MATCH(ROWS($U$2:U99),$U$2:$U$1001,0),1)&gt;=100000,INDEX($AB$1005:$AQ$1005,1,MATCH(COLUMNS($AB$1006:AL1006),$AB$1006:$AQ$1006,0))&gt;=100000), " ",IF(INDEX($AB$2:$AQ$1001,MATCH(ROWS($U$2:U99),$U$2:$U$1001,0),MATCH(COLUMNS($AB$1006:AL1006),$AB$1006:$AQ$1006,0)), HYPERLINK("#",""), HYPERLINK(CONCATENATE("#Metadata!", ADDRESS(INDEX($W$2:$W$1001,MATCH(ROWS($U$2:U99),$U$2:$U$1001,0),0), INDEX($AB$1004:$AQ$1004,1,MATCH(COLUMNS($AB$1006:AL1006),$AB$1006:$AQ$1006,0)))),"Fix")))</f>
        <v>0</v>
      </c>
      <c r="M99" s="5">
        <f>IF(OR(INDEX($V$2:$V$1001,MATCH(ROWS($U$2:U99),$U$2:$U$1001,0),1)&gt;=100000,INDEX($AB$1005:$AQ$1005,1,MATCH(COLUMNS($AB$1006:AM1006),$AB$1006:$AQ$1006,0))&gt;=100000), " ",IF(INDEX($AB$2:$AQ$1001,MATCH(ROWS($U$2:U99),$U$2:$U$1001,0),MATCH(COLUMNS($AB$1006:AM1006),$AB$1006:$AQ$1006,0)), HYPERLINK("#",""), HYPERLINK(CONCATENATE("#Metadata!", ADDRESS(INDEX($W$2:$W$1001,MATCH(ROWS($U$2:U99),$U$2:$U$1001,0),0), INDEX($AB$1004:$AQ$1004,1,MATCH(COLUMNS($AB$1006:AM1006),$AB$1006:$AQ$1006,0)))),"Fix")))</f>
        <v>0</v>
      </c>
      <c r="N99" s="5">
        <f>IF(OR(INDEX($V$2:$V$1001,MATCH(ROWS($U$2:U99),$U$2:$U$1001,0),1)&gt;=100000,INDEX($AB$1005:$AQ$1005,1,MATCH(COLUMNS($AB$1006:AN1006),$AB$1006:$AQ$1006,0))&gt;=100000), " ",IF(INDEX($AB$2:$AQ$1001,MATCH(ROWS($U$2:U99),$U$2:$U$1001,0),MATCH(COLUMNS($AB$1006:AN1006),$AB$1006:$AQ$1006,0)), HYPERLINK("#",""), HYPERLINK(CONCATENATE("#Metadata!", ADDRESS(INDEX($W$2:$W$1001,MATCH(ROWS($U$2:U99),$U$2:$U$1001,0),0), INDEX($AB$1004:$AQ$1004,1,MATCH(COLUMNS($AB$1006:AN1006),$AB$1006:$AQ$1006,0)))),"Fix")))</f>
        <v>0</v>
      </c>
      <c r="O99" s="5">
        <f>IF(OR(INDEX($V$2:$V$1001,MATCH(ROWS($U$2:U99),$U$2:$U$1001,0),1)&gt;=100000,INDEX($AB$1005:$AQ$1005,1,MATCH(COLUMNS($AB$1006:AO1006),$AB$1006:$AQ$1006,0))&gt;=100000), " ",IF(INDEX($AB$2:$AQ$1001,MATCH(ROWS($U$2:U99),$U$2:$U$1001,0),MATCH(COLUMNS($AB$1006:AO1006),$AB$1006:$AQ$1006,0)), HYPERLINK("#",""), HYPERLINK(CONCATENATE("#Metadata!", ADDRESS(INDEX($W$2:$W$1001,MATCH(ROWS($U$2:U99),$U$2:$U$1001,0),0), INDEX($AB$1004:$AQ$1004,1,MATCH(COLUMNS($AB$1006:AO1006),$AB$1006:$AQ$1006,0)))),"Fix")))</f>
        <v>0</v>
      </c>
      <c r="P99" s="5">
        <f>IF(OR(INDEX($V$2:$V$1001,MATCH(ROWS($U$2:U99),$U$2:$U$1001,0),1)&gt;=100000,INDEX($AB$1005:$AQ$1005,1,MATCH(COLUMNS($AB$1006:AP1006),$AB$1006:$AQ$1006,0))&gt;=100000), " ",IF(INDEX($AB$2:$AQ$1001,MATCH(ROWS($U$2:U99),$U$2:$U$1001,0),MATCH(COLUMNS($AB$1006:AP1006),$AB$1006:$AQ$1006,0)), HYPERLINK("#",""), HYPERLINK(CONCATENATE("#Metadata!", ADDRESS(INDEX($W$2:$W$1001,MATCH(ROWS($U$2:U99),$U$2:$U$1001,0),0), INDEX($AB$1004:$AQ$1004,1,MATCH(COLUMNS($AB$1006:AP1006),$AB$1006:$AQ$1006,0)))),"Fix")))</f>
        <v>0</v>
      </c>
      <c r="Q99" s="5">
        <f>IF(OR(INDEX($V$2:$V$1001,MATCH(ROWS($U$2:U99),$U$2:$U$1001,0),1)&gt;=100000,INDEX($AB$1005:$AQ$1005,1,MATCH(COLUMNS($AB$1006:AQ1006),$AB$1006:$AQ$1006,0))&gt;=100000), " ",IF(INDEX($AB$2:$AQ$1001,MATCH(ROWS($U$2:U99),$U$2:$U$1001,0),MATCH(COLUMNS($AB$1006:AQ1006),$AB$1006:$AQ$1006,0)), HYPERLINK("#",""), HYPERLINK(CONCATENATE("#Metadata!", ADDRESS(INDEX($W$2:$W$1001,MATCH(ROWS($U$2:U99),$U$2:$U$1001,0),0), INDEX($AB$1004:$AQ$1004,1,MATCH(COLUMNS($AB$1006:AQ1006),$AB$1006:$AQ$1006,0)))),"Fix")))</f>
        <v>0</v>
      </c>
      <c r="U99">
        <v>0</v>
      </c>
      <c r="V99">
        <v>0</v>
      </c>
      <c r="W99">
        <v>0</v>
      </c>
      <c r="X99">
        <f>IF(Y99,TRUE,AND(AB99:AQ99))</f>
        <v>0</v>
      </c>
      <c r="Y99">
        <f>COUNTBLANK(Metadata!B99:Q99)=COLUMNS(Metadata!B99:Q99)</f>
        <v>0</v>
      </c>
      <c r="Z99">
        <v>0</v>
      </c>
      <c r="AB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AC99">
        <f>AND(IF(Metadata!C99="",FALSE,TRUE),exact(Metadata!C99,"urban biome"))</f>
        <v>0</v>
      </c>
      <c r="AD99">
        <f>AND(IF(Metadata!D99="",FALSE,TRUE),exact(Metadata!D99,"human-associated habitat"))</f>
        <v>0</v>
      </c>
      <c r="AE99">
        <f>AND(IF(Metadata!E99="",FALSE,TRUE),OR(exact(Metadata!E99,"human-associated"),exact(Metadata!E99,"human-skin"),exact(Metadata!E99,"human-oral"),exact(Metadata!E99,"human-gut"),exact(Metadata!E99,"human-vaginal")))</f>
        <v>0</v>
      </c>
      <c r="AF99">
        <f>AND(IF(Metadata!F99="",FALSE,ISNUMBER(VALUE(Metadata!F99))),Metadata!F99&gt;0)</f>
        <v>0</v>
      </c>
      <c r="AG99">
        <f>AND(IF(Metadata!G99="",FALSE,TRUE),exact(Metadata!G99,"years"))</f>
        <v>0</v>
      </c>
      <c r="AH99">
        <f>OR(AND(IF(Metadata!H99="",FALSE,TRUE),OR(exact(Metadata!H99,"not applicable"),exact(Metadata!H99,"not collected"),exact(Metadata!H99,"not provided"),exact(Metadata!H99,"restricted access"))),AND(IF(Metadata!H99="",FALSE,ISNUMBER(VALUE(Metadata!H99))),Metadata!H99&gt;0))</f>
        <v>0</v>
      </c>
      <c r="AI99">
        <f>AND(IF(Metadata!I99="",FALSE,TRUE),exact(Metadata!I99,"human"))</f>
        <v>0</v>
      </c>
      <c r="AJ99">
        <f>AND(IF(Metadata!J99="",FALSE,ISNUMBER(VALUE(Metadata!J99))),Metadata!J99&gt;0)</f>
        <v>0</v>
      </c>
      <c r="AK99">
        <f>AND(IF(Metadata!K99="",FALSE,TRUE),exact(Metadata!K99,"cm"))</f>
        <v>0</v>
      </c>
      <c r="AL99">
        <f>AND(IF(Metadata!L99="",FALSE,TRUE),exact(Metadata!L99,"Homo sapiens"))</f>
        <v>0</v>
      </c>
      <c r="AM99">
        <f>AND(IF(Metadata!M99="",FALSE,TRUE),exact(Metadata!M99,"9606"))</f>
        <v>0</v>
      </c>
      <c r="AN99">
        <f>AND(IF(Metadata!N99="",FALSE,ISNUMBER(VALUE(Metadata!N99))),Metadata!N99&gt;0)</f>
        <v>0</v>
      </c>
      <c r="AO99">
        <f>AND(IF(Metadata!O99="",FALSE,TRUE),exact(Metadata!O99,"kg"))</f>
        <v>0</v>
      </c>
      <c r="AP99">
        <f>OR(AND(IF(Metadata!P99="",FALSE,TRUE),exact(Metadata!P99,"not provided")),IF(Metadata!P99="",FALSE,TRUE))</f>
        <v>0</v>
      </c>
      <c r="AQ99">
        <f>OR(AND(IF(Metadata!Q99="",FALSE,TRUE),exact(Metadata!Q99,"not provided")),IF(Metadata!Q99="",FALSE,TRUE))</f>
        <v>0</v>
      </c>
    </row>
    <row r="100" spans="1:43">
      <c r="A100" s="4">
        <f>IF(B100=" "," ",HYPERLINK(CONCATENATE("#metadata!",ADDRESS(INDEX($W$2:$W$1001,MATCH(ROWS($U$2:U100),$U$2:$U$1001,0),0),2)),INDEX($Z$2:$Z$1001,MATCH(ROWS($U$2:U100),$U$2:$U$1001,0),0)))</f>
        <v>0</v>
      </c>
      <c r="B100" s="5">
        <f>IF(OR(INDEX($V$2:$V$1001,MATCH(ROWS($U$2:U100),$U$2:$U$1001,0),1)&gt;=100000,INDEX($AB$1005:$AQ$1005,1,MATCH(COLUMNS($AB$1006:AB1006),$AB$1006:$AQ$1006,0))&gt;=100000), " ",IF(INDEX($AB$2:$AQ$1001,MATCH(ROWS($U$2:U100),$U$2:$U$1001,0),MATCH(COLUMNS($AB$1006:AB1006),$AB$1006:$AQ$1006,0)), HYPERLINK("#",""), HYPERLINK(CONCATENATE("#Metadata!", ADDRESS(INDEX($W$2:$W$1001,MATCH(ROWS($U$2:U100),$U$2:$U$1001,0),0), INDEX($AB$1004:$AQ$1004,1,MATCH(COLUMNS($AB$1006:AB1006),$AB$1006:$AQ$1006,0)))),"Fix")))</f>
        <v>0</v>
      </c>
      <c r="C100" s="5">
        <f>IF(OR(INDEX($V$2:$V$1001,MATCH(ROWS($U$2:U100),$U$2:$U$1001,0),1)&gt;=100000,INDEX($AB$1005:$AQ$1005,1,MATCH(COLUMNS($AB$1006:AC1006),$AB$1006:$AQ$1006,0))&gt;=100000), " ",IF(INDEX($AB$2:$AQ$1001,MATCH(ROWS($U$2:U100),$U$2:$U$1001,0),MATCH(COLUMNS($AB$1006:AC1006),$AB$1006:$AQ$1006,0)), HYPERLINK("#",""), HYPERLINK(CONCATENATE("#Metadata!", ADDRESS(INDEX($W$2:$W$1001,MATCH(ROWS($U$2:U100),$U$2:$U$1001,0),0), INDEX($AB$1004:$AQ$1004,1,MATCH(COLUMNS($AB$1006:AC1006),$AB$1006:$AQ$1006,0)))),"Fix")))</f>
        <v>0</v>
      </c>
      <c r="D100" s="5">
        <f>IF(OR(INDEX($V$2:$V$1001,MATCH(ROWS($U$2:U100),$U$2:$U$1001,0),1)&gt;=100000,INDEX($AB$1005:$AQ$1005,1,MATCH(COLUMNS($AB$1006:AD1006),$AB$1006:$AQ$1006,0))&gt;=100000), " ",IF(INDEX($AB$2:$AQ$1001,MATCH(ROWS($U$2:U100),$U$2:$U$1001,0),MATCH(COLUMNS($AB$1006:AD1006),$AB$1006:$AQ$1006,0)), HYPERLINK("#",""), HYPERLINK(CONCATENATE("#Metadata!", ADDRESS(INDEX($W$2:$W$1001,MATCH(ROWS($U$2:U100),$U$2:$U$1001,0),0), INDEX($AB$1004:$AQ$1004,1,MATCH(COLUMNS($AB$1006:AD1006),$AB$1006:$AQ$1006,0)))),"Fix")))</f>
        <v>0</v>
      </c>
      <c r="E100" s="5">
        <f>IF(OR(INDEX($V$2:$V$1001,MATCH(ROWS($U$2:U100),$U$2:$U$1001,0),1)&gt;=100000,INDEX($AB$1005:$AQ$1005,1,MATCH(COLUMNS($AB$1006:AE1006),$AB$1006:$AQ$1006,0))&gt;=100000), " ",IF(INDEX($AB$2:$AQ$1001,MATCH(ROWS($U$2:U100),$U$2:$U$1001,0),MATCH(COLUMNS($AB$1006:AE1006),$AB$1006:$AQ$1006,0)), HYPERLINK("#",""), HYPERLINK(CONCATENATE("#Metadata!", ADDRESS(INDEX($W$2:$W$1001,MATCH(ROWS($U$2:U100),$U$2:$U$1001,0),0), INDEX($AB$1004:$AQ$1004,1,MATCH(COLUMNS($AB$1006:AE1006),$AB$1006:$AQ$1006,0)))),"Fix")))</f>
        <v>0</v>
      </c>
      <c r="F100" s="5">
        <f>IF(OR(INDEX($V$2:$V$1001,MATCH(ROWS($U$2:U100),$U$2:$U$1001,0),1)&gt;=100000,INDEX($AB$1005:$AQ$1005,1,MATCH(COLUMNS($AB$1006:AF1006),$AB$1006:$AQ$1006,0))&gt;=100000), " ",IF(INDEX($AB$2:$AQ$1001,MATCH(ROWS($U$2:U100),$U$2:$U$1001,0),MATCH(COLUMNS($AB$1006:AF1006),$AB$1006:$AQ$1006,0)), HYPERLINK("#",""), HYPERLINK(CONCATENATE("#Metadata!", ADDRESS(INDEX($W$2:$W$1001,MATCH(ROWS($U$2:U100),$U$2:$U$1001,0),0), INDEX($AB$1004:$AQ$1004,1,MATCH(COLUMNS($AB$1006:AF1006),$AB$1006:$AQ$1006,0)))),"Fix")))</f>
        <v>0</v>
      </c>
      <c r="G100" s="5">
        <f>IF(OR(INDEX($V$2:$V$1001,MATCH(ROWS($U$2:U100),$U$2:$U$1001,0),1)&gt;=100000,INDEX($AB$1005:$AQ$1005,1,MATCH(COLUMNS($AB$1006:AG1006),$AB$1006:$AQ$1006,0))&gt;=100000), " ",IF(INDEX($AB$2:$AQ$1001,MATCH(ROWS($U$2:U100),$U$2:$U$1001,0),MATCH(COLUMNS($AB$1006:AG1006),$AB$1006:$AQ$1006,0)), HYPERLINK("#",""), HYPERLINK(CONCATENATE("#Metadata!", ADDRESS(INDEX($W$2:$W$1001,MATCH(ROWS($U$2:U100),$U$2:$U$1001,0),0), INDEX($AB$1004:$AQ$1004,1,MATCH(COLUMNS($AB$1006:AG1006),$AB$1006:$AQ$1006,0)))),"Fix")))</f>
        <v>0</v>
      </c>
      <c r="H100" s="5">
        <f>IF(OR(INDEX($V$2:$V$1001,MATCH(ROWS($U$2:U100),$U$2:$U$1001,0),1)&gt;=100000,INDEX($AB$1005:$AQ$1005,1,MATCH(COLUMNS($AB$1006:AH1006),$AB$1006:$AQ$1006,0))&gt;=100000), " ",IF(INDEX($AB$2:$AQ$1001,MATCH(ROWS($U$2:U100),$U$2:$U$1001,0),MATCH(COLUMNS($AB$1006:AH1006),$AB$1006:$AQ$1006,0)), HYPERLINK("#",""), HYPERLINK(CONCATENATE("#Metadata!", ADDRESS(INDEX($W$2:$W$1001,MATCH(ROWS($U$2:U100),$U$2:$U$1001,0),0), INDEX($AB$1004:$AQ$1004,1,MATCH(COLUMNS($AB$1006:AH1006),$AB$1006:$AQ$1006,0)))),"Fix")))</f>
        <v>0</v>
      </c>
      <c r="I100" s="5">
        <f>IF(OR(INDEX($V$2:$V$1001,MATCH(ROWS($U$2:U100),$U$2:$U$1001,0),1)&gt;=100000,INDEX($AB$1005:$AQ$1005,1,MATCH(COLUMNS($AB$1006:AI1006),$AB$1006:$AQ$1006,0))&gt;=100000), " ",IF(INDEX($AB$2:$AQ$1001,MATCH(ROWS($U$2:U100),$U$2:$U$1001,0),MATCH(COLUMNS($AB$1006:AI1006),$AB$1006:$AQ$1006,0)), HYPERLINK("#",""), HYPERLINK(CONCATENATE("#Metadata!", ADDRESS(INDEX($W$2:$W$1001,MATCH(ROWS($U$2:U100),$U$2:$U$1001,0),0), INDEX($AB$1004:$AQ$1004,1,MATCH(COLUMNS($AB$1006:AI1006),$AB$1006:$AQ$1006,0)))),"Fix")))</f>
        <v>0</v>
      </c>
      <c r="J100" s="5">
        <f>IF(OR(INDEX($V$2:$V$1001,MATCH(ROWS($U$2:U100),$U$2:$U$1001,0),1)&gt;=100000,INDEX($AB$1005:$AQ$1005,1,MATCH(COLUMNS($AB$1006:AJ1006),$AB$1006:$AQ$1006,0))&gt;=100000), " ",IF(INDEX($AB$2:$AQ$1001,MATCH(ROWS($U$2:U100),$U$2:$U$1001,0),MATCH(COLUMNS($AB$1006:AJ1006),$AB$1006:$AQ$1006,0)), HYPERLINK("#",""), HYPERLINK(CONCATENATE("#Metadata!", ADDRESS(INDEX($W$2:$W$1001,MATCH(ROWS($U$2:U100),$U$2:$U$1001,0),0), INDEX($AB$1004:$AQ$1004,1,MATCH(COLUMNS($AB$1006:AJ1006),$AB$1006:$AQ$1006,0)))),"Fix")))</f>
        <v>0</v>
      </c>
      <c r="K100" s="5">
        <f>IF(OR(INDEX($V$2:$V$1001,MATCH(ROWS($U$2:U100),$U$2:$U$1001,0),1)&gt;=100000,INDEX($AB$1005:$AQ$1005,1,MATCH(COLUMNS($AB$1006:AK1006),$AB$1006:$AQ$1006,0))&gt;=100000), " ",IF(INDEX($AB$2:$AQ$1001,MATCH(ROWS($U$2:U100),$U$2:$U$1001,0),MATCH(COLUMNS($AB$1006:AK1006),$AB$1006:$AQ$1006,0)), HYPERLINK("#",""), HYPERLINK(CONCATENATE("#Metadata!", ADDRESS(INDEX($W$2:$W$1001,MATCH(ROWS($U$2:U100),$U$2:$U$1001,0),0), INDEX($AB$1004:$AQ$1004,1,MATCH(COLUMNS($AB$1006:AK1006),$AB$1006:$AQ$1006,0)))),"Fix")))</f>
        <v>0</v>
      </c>
      <c r="L100" s="5">
        <f>IF(OR(INDEX($V$2:$V$1001,MATCH(ROWS($U$2:U100),$U$2:$U$1001,0),1)&gt;=100000,INDEX($AB$1005:$AQ$1005,1,MATCH(COLUMNS($AB$1006:AL1006),$AB$1006:$AQ$1006,0))&gt;=100000), " ",IF(INDEX($AB$2:$AQ$1001,MATCH(ROWS($U$2:U100),$U$2:$U$1001,0),MATCH(COLUMNS($AB$1006:AL1006),$AB$1006:$AQ$1006,0)), HYPERLINK("#",""), HYPERLINK(CONCATENATE("#Metadata!", ADDRESS(INDEX($W$2:$W$1001,MATCH(ROWS($U$2:U100),$U$2:$U$1001,0),0), INDEX($AB$1004:$AQ$1004,1,MATCH(COLUMNS($AB$1006:AL1006),$AB$1006:$AQ$1006,0)))),"Fix")))</f>
        <v>0</v>
      </c>
      <c r="M100" s="5">
        <f>IF(OR(INDEX($V$2:$V$1001,MATCH(ROWS($U$2:U100),$U$2:$U$1001,0),1)&gt;=100000,INDEX($AB$1005:$AQ$1005,1,MATCH(COLUMNS($AB$1006:AM1006),$AB$1006:$AQ$1006,0))&gt;=100000), " ",IF(INDEX($AB$2:$AQ$1001,MATCH(ROWS($U$2:U100),$U$2:$U$1001,0),MATCH(COLUMNS($AB$1006:AM1006),$AB$1006:$AQ$1006,0)), HYPERLINK("#",""), HYPERLINK(CONCATENATE("#Metadata!", ADDRESS(INDEX($W$2:$W$1001,MATCH(ROWS($U$2:U100),$U$2:$U$1001,0),0), INDEX($AB$1004:$AQ$1004,1,MATCH(COLUMNS($AB$1006:AM1006),$AB$1006:$AQ$1006,0)))),"Fix")))</f>
        <v>0</v>
      </c>
      <c r="N100" s="5">
        <f>IF(OR(INDEX($V$2:$V$1001,MATCH(ROWS($U$2:U100),$U$2:$U$1001,0),1)&gt;=100000,INDEX($AB$1005:$AQ$1005,1,MATCH(COLUMNS($AB$1006:AN1006),$AB$1006:$AQ$1006,0))&gt;=100000), " ",IF(INDEX($AB$2:$AQ$1001,MATCH(ROWS($U$2:U100),$U$2:$U$1001,0),MATCH(COLUMNS($AB$1006:AN1006),$AB$1006:$AQ$1006,0)), HYPERLINK("#",""), HYPERLINK(CONCATENATE("#Metadata!", ADDRESS(INDEX($W$2:$W$1001,MATCH(ROWS($U$2:U100),$U$2:$U$1001,0),0), INDEX($AB$1004:$AQ$1004,1,MATCH(COLUMNS($AB$1006:AN1006),$AB$1006:$AQ$1006,0)))),"Fix")))</f>
        <v>0</v>
      </c>
      <c r="O100" s="5">
        <f>IF(OR(INDEX($V$2:$V$1001,MATCH(ROWS($U$2:U100),$U$2:$U$1001,0),1)&gt;=100000,INDEX($AB$1005:$AQ$1005,1,MATCH(COLUMNS($AB$1006:AO1006),$AB$1006:$AQ$1006,0))&gt;=100000), " ",IF(INDEX($AB$2:$AQ$1001,MATCH(ROWS($U$2:U100),$U$2:$U$1001,0),MATCH(COLUMNS($AB$1006:AO1006),$AB$1006:$AQ$1006,0)), HYPERLINK("#",""), HYPERLINK(CONCATENATE("#Metadata!", ADDRESS(INDEX($W$2:$W$1001,MATCH(ROWS($U$2:U100),$U$2:$U$1001,0),0), INDEX($AB$1004:$AQ$1004,1,MATCH(COLUMNS($AB$1006:AO1006),$AB$1006:$AQ$1006,0)))),"Fix")))</f>
        <v>0</v>
      </c>
      <c r="P100" s="5">
        <f>IF(OR(INDEX($V$2:$V$1001,MATCH(ROWS($U$2:U100),$U$2:$U$1001,0),1)&gt;=100000,INDEX($AB$1005:$AQ$1005,1,MATCH(COLUMNS($AB$1006:AP1006),$AB$1006:$AQ$1006,0))&gt;=100000), " ",IF(INDEX($AB$2:$AQ$1001,MATCH(ROWS($U$2:U100),$U$2:$U$1001,0),MATCH(COLUMNS($AB$1006:AP1006),$AB$1006:$AQ$1006,0)), HYPERLINK("#",""), HYPERLINK(CONCATENATE("#Metadata!", ADDRESS(INDEX($W$2:$W$1001,MATCH(ROWS($U$2:U100),$U$2:$U$1001,0),0), INDEX($AB$1004:$AQ$1004,1,MATCH(COLUMNS($AB$1006:AP1006),$AB$1006:$AQ$1006,0)))),"Fix")))</f>
        <v>0</v>
      </c>
      <c r="Q100" s="5">
        <f>IF(OR(INDEX($V$2:$V$1001,MATCH(ROWS($U$2:U100),$U$2:$U$1001,0),1)&gt;=100000,INDEX($AB$1005:$AQ$1005,1,MATCH(COLUMNS($AB$1006:AQ1006),$AB$1006:$AQ$1006,0))&gt;=100000), " ",IF(INDEX($AB$2:$AQ$1001,MATCH(ROWS($U$2:U100),$U$2:$U$1001,0),MATCH(COLUMNS($AB$1006:AQ1006),$AB$1006:$AQ$1006,0)), HYPERLINK("#",""), HYPERLINK(CONCATENATE("#Metadata!", ADDRESS(INDEX($W$2:$W$1001,MATCH(ROWS($U$2:U100),$U$2:$U$1001,0),0), INDEX($AB$1004:$AQ$1004,1,MATCH(COLUMNS($AB$1006:AQ1006),$AB$1006:$AQ$1006,0)))),"Fix")))</f>
        <v>0</v>
      </c>
      <c r="U100">
        <v>0</v>
      </c>
      <c r="V100">
        <v>0</v>
      </c>
      <c r="W100">
        <v>0</v>
      </c>
      <c r="X100">
        <f>IF(Y100,TRUE,AND(AB100:AQ100))</f>
        <v>0</v>
      </c>
      <c r="Y100">
        <f>COUNTBLANK(Metadata!B100:Q100)=COLUMNS(Metadata!B100:Q100)</f>
        <v>0</v>
      </c>
      <c r="Z100">
        <v>0</v>
      </c>
      <c r="AB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AC100">
        <f>AND(IF(Metadata!C100="",FALSE,TRUE),exact(Metadata!C100,"urban biome"))</f>
        <v>0</v>
      </c>
      <c r="AD100">
        <f>AND(IF(Metadata!D100="",FALSE,TRUE),exact(Metadata!D100,"human-associated habitat"))</f>
        <v>0</v>
      </c>
      <c r="AE100">
        <f>AND(IF(Metadata!E100="",FALSE,TRUE),OR(exact(Metadata!E100,"human-associated"),exact(Metadata!E100,"human-skin"),exact(Metadata!E100,"human-oral"),exact(Metadata!E100,"human-gut"),exact(Metadata!E100,"human-vaginal")))</f>
        <v>0</v>
      </c>
      <c r="AF100">
        <f>AND(IF(Metadata!F100="",FALSE,ISNUMBER(VALUE(Metadata!F100))),Metadata!F100&gt;0)</f>
        <v>0</v>
      </c>
      <c r="AG100">
        <f>AND(IF(Metadata!G100="",FALSE,TRUE),exact(Metadata!G100,"years"))</f>
        <v>0</v>
      </c>
      <c r="AH100">
        <f>OR(AND(IF(Metadata!H100="",FALSE,TRUE),OR(exact(Metadata!H100,"not applicable"),exact(Metadata!H100,"not collected"),exact(Metadata!H100,"not provided"),exact(Metadata!H100,"restricted access"))),AND(IF(Metadata!H100="",FALSE,ISNUMBER(VALUE(Metadata!H100))),Metadata!H100&gt;0))</f>
        <v>0</v>
      </c>
      <c r="AI100">
        <f>AND(IF(Metadata!I100="",FALSE,TRUE),exact(Metadata!I100,"human"))</f>
        <v>0</v>
      </c>
      <c r="AJ100">
        <f>AND(IF(Metadata!J100="",FALSE,ISNUMBER(VALUE(Metadata!J100))),Metadata!J100&gt;0)</f>
        <v>0</v>
      </c>
      <c r="AK100">
        <f>AND(IF(Metadata!K100="",FALSE,TRUE),exact(Metadata!K100,"cm"))</f>
        <v>0</v>
      </c>
      <c r="AL100">
        <f>AND(IF(Metadata!L100="",FALSE,TRUE),exact(Metadata!L100,"Homo sapiens"))</f>
        <v>0</v>
      </c>
      <c r="AM100">
        <f>AND(IF(Metadata!M100="",FALSE,TRUE),exact(Metadata!M100,"9606"))</f>
        <v>0</v>
      </c>
      <c r="AN100">
        <f>AND(IF(Metadata!N100="",FALSE,ISNUMBER(VALUE(Metadata!N100))),Metadata!N100&gt;0)</f>
        <v>0</v>
      </c>
      <c r="AO100">
        <f>AND(IF(Metadata!O100="",FALSE,TRUE),exact(Metadata!O100,"kg"))</f>
        <v>0</v>
      </c>
      <c r="AP100">
        <f>OR(AND(IF(Metadata!P100="",FALSE,TRUE),exact(Metadata!P100,"not provided")),IF(Metadata!P100="",FALSE,TRUE))</f>
        <v>0</v>
      </c>
      <c r="AQ100">
        <f>OR(AND(IF(Metadata!Q100="",FALSE,TRUE),exact(Metadata!Q100,"not provided")),IF(Metadata!Q100="",FALSE,TRUE))</f>
        <v>0</v>
      </c>
    </row>
    <row r="101" spans="1:43">
      <c r="A101" s="4">
        <f>IF(B101=" "," ",HYPERLINK(CONCATENATE("#metadata!",ADDRESS(INDEX($W$2:$W$1001,MATCH(ROWS($U$2:U101),$U$2:$U$1001,0),0),2)),INDEX($Z$2:$Z$1001,MATCH(ROWS($U$2:U101),$U$2:$U$1001,0),0)))</f>
        <v>0</v>
      </c>
      <c r="B101" s="5">
        <f>IF(OR(INDEX($V$2:$V$1001,MATCH(ROWS($U$2:U101),$U$2:$U$1001,0),1)&gt;=100000,INDEX($AB$1005:$AQ$1005,1,MATCH(COLUMNS($AB$1006:AB1006),$AB$1006:$AQ$1006,0))&gt;=100000), " ",IF(INDEX($AB$2:$AQ$1001,MATCH(ROWS($U$2:U101),$U$2:$U$1001,0),MATCH(COLUMNS($AB$1006:AB1006),$AB$1006:$AQ$1006,0)), HYPERLINK("#",""), HYPERLINK(CONCATENATE("#Metadata!", ADDRESS(INDEX($W$2:$W$1001,MATCH(ROWS($U$2:U101),$U$2:$U$1001,0),0), INDEX($AB$1004:$AQ$1004,1,MATCH(COLUMNS($AB$1006:AB1006),$AB$1006:$AQ$1006,0)))),"Fix")))</f>
        <v>0</v>
      </c>
      <c r="C101" s="5">
        <f>IF(OR(INDEX($V$2:$V$1001,MATCH(ROWS($U$2:U101),$U$2:$U$1001,0),1)&gt;=100000,INDEX($AB$1005:$AQ$1005,1,MATCH(COLUMNS($AB$1006:AC1006),$AB$1006:$AQ$1006,0))&gt;=100000), " ",IF(INDEX($AB$2:$AQ$1001,MATCH(ROWS($U$2:U101),$U$2:$U$1001,0),MATCH(COLUMNS($AB$1006:AC1006),$AB$1006:$AQ$1006,0)), HYPERLINK("#",""), HYPERLINK(CONCATENATE("#Metadata!", ADDRESS(INDEX($W$2:$W$1001,MATCH(ROWS($U$2:U101),$U$2:$U$1001,0),0), INDEX($AB$1004:$AQ$1004,1,MATCH(COLUMNS($AB$1006:AC1006),$AB$1006:$AQ$1006,0)))),"Fix")))</f>
        <v>0</v>
      </c>
      <c r="D101" s="5">
        <f>IF(OR(INDEX($V$2:$V$1001,MATCH(ROWS($U$2:U101),$U$2:$U$1001,0),1)&gt;=100000,INDEX($AB$1005:$AQ$1005,1,MATCH(COLUMNS($AB$1006:AD1006),$AB$1006:$AQ$1006,0))&gt;=100000), " ",IF(INDEX($AB$2:$AQ$1001,MATCH(ROWS($U$2:U101),$U$2:$U$1001,0),MATCH(COLUMNS($AB$1006:AD1006),$AB$1006:$AQ$1006,0)), HYPERLINK("#",""), HYPERLINK(CONCATENATE("#Metadata!", ADDRESS(INDEX($W$2:$W$1001,MATCH(ROWS($U$2:U101),$U$2:$U$1001,0),0), INDEX($AB$1004:$AQ$1004,1,MATCH(COLUMNS($AB$1006:AD1006),$AB$1006:$AQ$1006,0)))),"Fix")))</f>
        <v>0</v>
      </c>
      <c r="E101" s="5">
        <f>IF(OR(INDEX($V$2:$V$1001,MATCH(ROWS($U$2:U101),$U$2:$U$1001,0),1)&gt;=100000,INDEX($AB$1005:$AQ$1005,1,MATCH(COLUMNS($AB$1006:AE1006),$AB$1006:$AQ$1006,0))&gt;=100000), " ",IF(INDEX($AB$2:$AQ$1001,MATCH(ROWS($U$2:U101),$U$2:$U$1001,0),MATCH(COLUMNS($AB$1006:AE1006),$AB$1006:$AQ$1006,0)), HYPERLINK("#",""), HYPERLINK(CONCATENATE("#Metadata!", ADDRESS(INDEX($W$2:$W$1001,MATCH(ROWS($U$2:U101),$U$2:$U$1001,0),0), INDEX($AB$1004:$AQ$1004,1,MATCH(COLUMNS($AB$1006:AE1006),$AB$1006:$AQ$1006,0)))),"Fix")))</f>
        <v>0</v>
      </c>
      <c r="F101" s="5">
        <f>IF(OR(INDEX($V$2:$V$1001,MATCH(ROWS($U$2:U101),$U$2:$U$1001,0),1)&gt;=100000,INDEX($AB$1005:$AQ$1005,1,MATCH(COLUMNS($AB$1006:AF1006),$AB$1006:$AQ$1006,0))&gt;=100000), " ",IF(INDEX($AB$2:$AQ$1001,MATCH(ROWS($U$2:U101),$U$2:$U$1001,0),MATCH(COLUMNS($AB$1006:AF1006),$AB$1006:$AQ$1006,0)), HYPERLINK("#",""), HYPERLINK(CONCATENATE("#Metadata!", ADDRESS(INDEX($W$2:$W$1001,MATCH(ROWS($U$2:U101),$U$2:$U$1001,0),0), INDEX($AB$1004:$AQ$1004,1,MATCH(COLUMNS($AB$1006:AF1006),$AB$1006:$AQ$1006,0)))),"Fix")))</f>
        <v>0</v>
      </c>
      <c r="G101" s="5">
        <f>IF(OR(INDEX($V$2:$V$1001,MATCH(ROWS($U$2:U101),$U$2:$U$1001,0),1)&gt;=100000,INDEX($AB$1005:$AQ$1005,1,MATCH(COLUMNS($AB$1006:AG1006),$AB$1006:$AQ$1006,0))&gt;=100000), " ",IF(INDEX($AB$2:$AQ$1001,MATCH(ROWS($U$2:U101),$U$2:$U$1001,0),MATCH(COLUMNS($AB$1006:AG1006),$AB$1006:$AQ$1006,0)), HYPERLINK("#",""), HYPERLINK(CONCATENATE("#Metadata!", ADDRESS(INDEX($W$2:$W$1001,MATCH(ROWS($U$2:U101),$U$2:$U$1001,0),0), INDEX($AB$1004:$AQ$1004,1,MATCH(COLUMNS($AB$1006:AG1006),$AB$1006:$AQ$1006,0)))),"Fix")))</f>
        <v>0</v>
      </c>
      <c r="H101" s="5">
        <f>IF(OR(INDEX($V$2:$V$1001,MATCH(ROWS($U$2:U101),$U$2:$U$1001,0),1)&gt;=100000,INDEX($AB$1005:$AQ$1005,1,MATCH(COLUMNS($AB$1006:AH1006),$AB$1006:$AQ$1006,0))&gt;=100000), " ",IF(INDEX($AB$2:$AQ$1001,MATCH(ROWS($U$2:U101),$U$2:$U$1001,0),MATCH(COLUMNS($AB$1006:AH1006),$AB$1006:$AQ$1006,0)), HYPERLINK("#",""), HYPERLINK(CONCATENATE("#Metadata!", ADDRESS(INDEX($W$2:$W$1001,MATCH(ROWS($U$2:U101),$U$2:$U$1001,0),0), INDEX($AB$1004:$AQ$1004,1,MATCH(COLUMNS($AB$1006:AH1006),$AB$1006:$AQ$1006,0)))),"Fix")))</f>
        <v>0</v>
      </c>
      <c r="I101" s="5">
        <f>IF(OR(INDEX($V$2:$V$1001,MATCH(ROWS($U$2:U101),$U$2:$U$1001,0),1)&gt;=100000,INDEX($AB$1005:$AQ$1005,1,MATCH(COLUMNS($AB$1006:AI1006),$AB$1006:$AQ$1006,0))&gt;=100000), " ",IF(INDEX($AB$2:$AQ$1001,MATCH(ROWS($U$2:U101),$U$2:$U$1001,0),MATCH(COLUMNS($AB$1006:AI1006),$AB$1006:$AQ$1006,0)), HYPERLINK("#",""), HYPERLINK(CONCATENATE("#Metadata!", ADDRESS(INDEX($W$2:$W$1001,MATCH(ROWS($U$2:U101),$U$2:$U$1001,0),0), INDEX($AB$1004:$AQ$1004,1,MATCH(COLUMNS($AB$1006:AI1006),$AB$1006:$AQ$1006,0)))),"Fix")))</f>
        <v>0</v>
      </c>
      <c r="J101" s="5">
        <f>IF(OR(INDEX($V$2:$V$1001,MATCH(ROWS($U$2:U101),$U$2:$U$1001,0),1)&gt;=100000,INDEX($AB$1005:$AQ$1005,1,MATCH(COLUMNS($AB$1006:AJ1006),$AB$1006:$AQ$1006,0))&gt;=100000), " ",IF(INDEX($AB$2:$AQ$1001,MATCH(ROWS($U$2:U101),$U$2:$U$1001,0),MATCH(COLUMNS($AB$1006:AJ1006),$AB$1006:$AQ$1006,0)), HYPERLINK("#",""), HYPERLINK(CONCATENATE("#Metadata!", ADDRESS(INDEX($W$2:$W$1001,MATCH(ROWS($U$2:U101),$U$2:$U$1001,0),0), INDEX($AB$1004:$AQ$1004,1,MATCH(COLUMNS($AB$1006:AJ1006),$AB$1006:$AQ$1006,0)))),"Fix")))</f>
        <v>0</v>
      </c>
      <c r="K101" s="5">
        <f>IF(OR(INDEX($V$2:$V$1001,MATCH(ROWS($U$2:U101),$U$2:$U$1001,0),1)&gt;=100000,INDEX($AB$1005:$AQ$1005,1,MATCH(COLUMNS($AB$1006:AK1006),$AB$1006:$AQ$1006,0))&gt;=100000), " ",IF(INDEX($AB$2:$AQ$1001,MATCH(ROWS($U$2:U101),$U$2:$U$1001,0),MATCH(COLUMNS($AB$1006:AK1006),$AB$1006:$AQ$1006,0)), HYPERLINK("#",""), HYPERLINK(CONCATENATE("#Metadata!", ADDRESS(INDEX($W$2:$W$1001,MATCH(ROWS($U$2:U101),$U$2:$U$1001,0),0), INDEX($AB$1004:$AQ$1004,1,MATCH(COLUMNS($AB$1006:AK1006),$AB$1006:$AQ$1006,0)))),"Fix")))</f>
        <v>0</v>
      </c>
      <c r="L101" s="5">
        <f>IF(OR(INDEX($V$2:$V$1001,MATCH(ROWS($U$2:U101),$U$2:$U$1001,0),1)&gt;=100000,INDEX($AB$1005:$AQ$1005,1,MATCH(COLUMNS($AB$1006:AL1006),$AB$1006:$AQ$1006,0))&gt;=100000), " ",IF(INDEX($AB$2:$AQ$1001,MATCH(ROWS($U$2:U101),$U$2:$U$1001,0),MATCH(COLUMNS($AB$1006:AL1006),$AB$1006:$AQ$1006,0)), HYPERLINK("#",""), HYPERLINK(CONCATENATE("#Metadata!", ADDRESS(INDEX($W$2:$W$1001,MATCH(ROWS($U$2:U101),$U$2:$U$1001,0),0), INDEX($AB$1004:$AQ$1004,1,MATCH(COLUMNS($AB$1006:AL1006),$AB$1006:$AQ$1006,0)))),"Fix")))</f>
        <v>0</v>
      </c>
      <c r="M101" s="5">
        <f>IF(OR(INDEX($V$2:$V$1001,MATCH(ROWS($U$2:U101),$U$2:$U$1001,0),1)&gt;=100000,INDEX($AB$1005:$AQ$1005,1,MATCH(COLUMNS($AB$1006:AM1006),$AB$1006:$AQ$1006,0))&gt;=100000), " ",IF(INDEX($AB$2:$AQ$1001,MATCH(ROWS($U$2:U101),$U$2:$U$1001,0),MATCH(COLUMNS($AB$1006:AM1006),$AB$1006:$AQ$1006,0)), HYPERLINK("#",""), HYPERLINK(CONCATENATE("#Metadata!", ADDRESS(INDEX($W$2:$W$1001,MATCH(ROWS($U$2:U101),$U$2:$U$1001,0),0), INDEX($AB$1004:$AQ$1004,1,MATCH(COLUMNS($AB$1006:AM1006),$AB$1006:$AQ$1006,0)))),"Fix")))</f>
        <v>0</v>
      </c>
      <c r="N101" s="5">
        <f>IF(OR(INDEX($V$2:$V$1001,MATCH(ROWS($U$2:U101),$U$2:$U$1001,0),1)&gt;=100000,INDEX($AB$1005:$AQ$1005,1,MATCH(COLUMNS($AB$1006:AN1006),$AB$1006:$AQ$1006,0))&gt;=100000), " ",IF(INDEX($AB$2:$AQ$1001,MATCH(ROWS($U$2:U101),$U$2:$U$1001,0),MATCH(COLUMNS($AB$1006:AN1006),$AB$1006:$AQ$1006,0)), HYPERLINK("#",""), HYPERLINK(CONCATENATE("#Metadata!", ADDRESS(INDEX($W$2:$W$1001,MATCH(ROWS($U$2:U101),$U$2:$U$1001,0),0), INDEX($AB$1004:$AQ$1004,1,MATCH(COLUMNS($AB$1006:AN1006),$AB$1006:$AQ$1006,0)))),"Fix")))</f>
        <v>0</v>
      </c>
      <c r="O101" s="5">
        <f>IF(OR(INDEX($V$2:$V$1001,MATCH(ROWS($U$2:U101),$U$2:$U$1001,0),1)&gt;=100000,INDEX($AB$1005:$AQ$1005,1,MATCH(COLUMNS($AB$1006:AO1006),$AB$1006:$AQ$1006,0))&gt;=100000), " ",IF(INDEX($AB$2:$AQ$1001,MATCH(ROWS($U$2:U101),$U$2:$U$1001,0),MATCH(COLUMNS($AB$1006:AO1006),$AB$1006:$AQ$1006,0)), HYPERLINK("#",""), HYPERLINK(CONCATENATE("#Metadata!", ADDRESS(INDEX($W$2:$W$1001,MATCH(ROWS($U$2:U101),$U$2:$U$1001,0),0), INDEX($AB$1004:$AQ$1004,1,MATCH(COLUMNS($AB$1006:AO1006),$AB$1006:$AQ$1006,0)))),"Fix")))</f>
        <v>0</v>
      </c>
      <c r="P101" s="5">
        <f>IF(OR(INDEX($V$2:$V$1001,MATCH(ROWS($U$2:U101),$U$2:$U$1001,0),1)&gt;=100000,INDEX($AB$1005:$AQ$1005,1,MATCH(COLUMNS($AB$1006:AP1006),$AB$1006:$AQ$1006,0))&gt;=100000), " ",IF(INDEX($AB$2:$AQ$1001,MATCH(ROWS($U$2:U101),$U$2:$U$1001,0),MATCH(COLUMNS($AB$1006:AP1006),$AB$1006:$AQ$1006,0)), HYPERLINK("#",""), HYPERLINK(CONCATENATE("#Metadata!", ADDRESS(INDEX($W$2:$W$1001,MATCH(ROWS($U$2:U101),$U$2:$U$1001,0),0), INDEX($AB$1004:$AQ$1004,1,MATCH(COLUMNS($AB$1006:AP1006),$AB$1006:$AQ$1006,0)))),"Fix")))</f>
        <v>0</v>
      </c>
      <c r="Q101" s="5">
        <f>IF(OR(INDEX($V$2:$V$1001,MATCH(ROWS($U$2:U101),$U$2:$U$1001,0),1)&gt;=100000,INDEX($AB$1005:$AQ$1005,1,MATCH(COLUMNS($AB$1006:AQ1006),$AB$1006:$AQ$1006,0))&gt;=100000), " ",IF(INDEX($AB$2:$AQ$1001,MATCH(ROWS($U$2:U101),$U$2:$U$1001,0),MATCH(COLUMNS($AB$1006:AQ1006),$AB$1006:$AQ$1006,0)), HYPERLINK("#",""), HYPERLINK(CONCATENATE("#Metadata!", ADDRESS(INDEX($W$2:$W$1001,MATCH(ROWS($U$2:U101),$U$2:$U$1001,0),0), INDEX($AB$1004:$AQ$1004,1,MATCH(COLUMNS($AB$1006:AQ1006),$AB$1006:$AQ$1006,0)))),"Fix")))</f>
        <v>0</v>
      </c>
      <c r="U101">
        <v>0</v>
      </c>
      <c r="V101">
        <v>0</v>
      </c>
      <c r="W101">
        <v>0</v>
      </c>
      <c r="X101">
        <f>IF(Y101,TRUE,AND(AB101:AQ101))</f>
        <v>0</v>
      </c>
      <c r="Y101">
        <f>COUNTBLANK(Metadata!B101:Q101)=COLUMNS(Metadata!B101:Q101)</f>
        <v>0</v>
      </c>
      <c r="Z101">
        <v>0</v>
      </c>
      <c r="AB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AC101">
        <f>AND(IF(Metadata!C101="",FALSE,TRUE),exact(Metadata!C101,"urban biome"))</f>
        <v>0</v>
      </c>
      <c r="AD101">
        <f>AND(IF(Metadata!D101="",FALSE,TRUE),exact(Metadata!D101,"human-associated habitat"))</f>
        <v>0</v>
      </c>
      <c r="AE101">
        <f>AND(IF(Metadata!E101="",FALSE,TRUE),OR(exact(Metadata!E101,"human-associated"),exact(Metadata!E101,"human-skin"),exact(Metadata!E101,"human-oral"),exact(Metadata!E101,"human-gut"),exact(Metadata!E101,"human-vaginal")))</f>
        <v>0</v>
      </c>
      <c r="AF101">
        <f>AND(IF(Metadata!F101="",FALSE,ISNUMBER(VALUE(Metadata!F101))),Metadata!F101&gt;0)</f>
        <v>0</v>
      </c>
      <c r="AG101">
        <f>AND(IF(Metadata!G101="",FALSE,TRUE),exact(Metadata!G101,"years"))</f>
        <v>0</v>
      </c>
      <c r="AH101">
        <f>OR(AND(IF(Metadata!H101="",FALSE,TRUE),OR(exact(Metadata!H101,"not applicable"),exact(Metadata!H101,"not collected"),exact(Metadata!H101,"not provided"),exact(Metadata!H101,"restricted access"))),AND(IF(Metadata!H101="",FALSE,ISNUMBER(VALUE(Metadata!H101))),Metadata!H101&gt;0))</f>
        <v>0</v>
      </c>
      <c r="AI101">
        <f>AND(IF(Metadata!I101="",FALSE,TRUE),exact(Metadata!I101,"human"))</f>
        <v>0</v>
      </c>
      <c r="AJ101">
        <f>AND(IF(Metadata!J101="",FALSE,ISNUMBER(VALUE(Metadata!J101))),Metadata!J101&gt;0)</f>
        <v>0</v>
      </c>
      <c r="AK101">
        <f>AND(IF(Metadata!K101="",FALSE,TRUE),exact(Metadata!K101,"cm"))</f>
        <v>0</v>
      </c>
      <c r="AL101">
        <f>AND(IF(Metadata!L101="",FALSE,TRUE),exact(Metadata!L101,"Homo sapiens"))</f>
        <v>0</v>
      </c>
      <c r="AM101">
        <f>AND(IF(Metadata!M101="",FALSE,TRUE),exact(Metadata!M101,"9606"))</f>
        <v>0</v>
      </c>
      <c r="AN101">
        <f>AND(IF(Metadata!N101="",FALSE,ISNUMBER(VALUE(Metadata!N101))),Metadata!N101&gt;0)</f>
        <v>0</v>
      </c>
      <c r="AO101">
        <f>AND(IF(Metadata!O101="",FALSE,TRUE),exact(Metadata!O101,"kg"))</f>
        <v>0</v>
      </c>
      <c r="AP101">
        <f>OR(AND(IF(Metadata!P101="",FALSE,TRUE),exact(Metadata!P101,"not provided")),IF(Metadata!P101="",FALSE,TRUE))</f>
        <v>0</v>
      </c>
      <c r="AQ101">
        <f>OR(AND(IF(Metadata!Q101="",FALSE,TRUE),exact(Metadata!Q101,"not provided")),IF(Metadata!Q101="",FALSE,TRUE))</f>
        <v>0</v>
      </c>
    </row>
    <row r="102" spans="1:43">
      <c r="A102" s="4">
        <f>IF(B102=" "," ",HYPERLINK(CONCATENATE("#metadata!",ADDRESS(INDEX($W$2:$W$1001,MATCH(ROWS($U$2:U102),$U$2:$U$1001,0),0),2)),INDEX($Z$2:$Z$1001,MATCH(ROWS($U$2:U102),$U$2:$U$1001,0),0)))</f>
        <v>0</v>
      </c>
      <c r="B102" s="5">
        <f>IF(OR(INDEX($V$2:$V$1001,MATCH(ROWS($U$2:U102),$U$2:$U$1001,0),1)&gt;=100000,INDEX($AB$1005:$AQ$1005,1,MATCH(COLUMNS($AB$1006:AB1006),$AB$1006:$AQ$1006,0))&gt;=100000), " ",IF(INDEX($AB$2:$AQ$1001,MATCH(ROWS($U$2:U102),$U$2:$U$1001,0),MATCH(COLUMNS($AB$1006:AB1006),$AB$1006:$AQ$1006,0)), HYPERLINK("#",""), HYPERLINK(CONCATENATE("#Metadata!", ADDRESS(INDEX($W$2:$W$1001,MATCH(ROWS($U$2:U102),$U$2:$U$1001,0),0), INDEX($AB$1004:$AQ$1004,1,MATCH(COLUMNS($AB$1006:AB1006),$AB$1006:$AQ$1006,0)))),"Fix")))</f>
        <v>0</v>
      </c>
      <c r="C102" s="5">
        <f>IF(OR(INDEX($V$2:$V$1001,MATCH(ROWS($U$2:U102),$U$2:$U$1001,0),1)&gt;=100000,INDEX($AB$1005:$AQ$1005,1,MATCH(COLUMNS($AB$1006:AC1006),$AB$1006:$AQ$1006,0))&gt;=100000), " ",IF(INDEX($AB$2:$AQ$1001,MATCH(ROWS($U$2:U102),$U$2:$U$1001,0),MATCH(COLUMNS($AB$1006:AC1006),$AB$1006:$AQ$1006,0)), HYPERLINK("#",""), HYPERLINK(CONCATENATE("#Metadata!", ADDRESS(INDEX($W$2:$W$1001,MATCH(ROWS($U$2:U102),$U$2:$U$1001,0),0), INDEX($AB$1004:$AQ$1004,1,MATCH(COLUMNS($AB$1006:AC1006),$AB$1006:$AQ$1006,0)))),"Fix")))</f>
        <v>0</v>
      </c>
      <c r="D102" s="5">
        <f>IF(OR(INDEX($V$2:$V$1001,MATCH(ROWS($U$2:U102),$U$2:$U$1001,0),1)&gt;=100000,INDEX($AB$1005:$AQ$1005,1,MATCH(COLUMNS($AB$1006:AD1006),$AB$1006:$AQ$1006,0))&gt;=100000), " ",IF(INDEX($AB$2:$AQ$1001,MATCH(ROWS($U$2:U102),$U$2:$U$1001,0),MATCH(COLUMNS($AB$1006:AD1006),$AB$1006:$AQ$1006,0)), HYPERLINK("#",""), HYPERLINK(CONCATENATE("#Metadata!", ADDRESS(INDEX($W$2:$W$1001,MATCH(ROWS($U$2:U102),$U$2:$U$1001,0),0), INDEX($AB$1004:$AQ$1004,1,MATCH(COLUMNS($AB$1006:AD1006),$AB$1006:$AQ$1006,0)))),"Fix")))</f>
        <v>0</v>
      </c>
      <c r="E102" s="5">
        <f>IF(OR(INDEX($V$2:$V$1001,MATCH(ROWS($U$2:U102),$U$2:$U$1001,0),1)&gt;=100000,INDEX($AB$1005:$AQ$1005,1,MATCH(COLUMNS($AB$1006:AE1006),$AB$1006:$AQ$1006,0))&gt;=100000), " ",IF(INDEX($AB$2:$AQ$1001,MATCH(ROWS($U$2:U102),$U$2:$U$1001,0),MATCH(COLUMNS($AB$1006:AE1006),$AB$1006:$AQ$1006,0)), HYPERLINK("#",""), HYPERLINK(CONCATENATE("#Metadata!", ADDRESS(INDEX($W$2:$W$1001,MATCH(ROWS($U$2:U102),$U$2:$U$1001,0),0), INDEX($AB$1004:$AQ$1004,1,MATCH(COLUMNS($AB$1006:AE1006),$AB$1006:$AQ$1006,0)))),"Fix")))</f>
        <v>0</v>
      </c>
      <c r="F102" s="5">
        <f>IF(OR(INDEX($V$2:$V$1001,MATCH(ROWS($U$2:U102),$U$2:$U$1001,0),1)&gt;=100000,INDEX($AB$1005:$AQ$1005,1,MATCH(COLUMNS($AB$1006:AF1006),$AB$1006:$AQ$1006,0))&gt;=100000), " ",IF(INDEX($AB$2:$AQ$1001,MATCH(ROWS($U$2:U102),$U$2:$U$1001,0),MATCH(COLUMNS($AB$1006:AF1006),$AB$1006:$AQ$1006,0)), HYPERLINK("#",""), HYPERLINK(CONCATENATE("#Metadata!", ADDRESS(INDEX($W$2:$W$1001,MATCH(ROWS($U$2:U102),$U$2:$U$1001,0),0), INDEX($AB$1004:$AQ$1004,1,MATCH(COLUMNS($AB$1006:AF1006),$AB$1006:$AQ$1006,0)))),"Fix")))</f>
        <v>0</v>
      </c>
      <c r="G102" s="5">
        <f>IF(OR(INDEX($V$2:$V$1001,MATCH(ROWS($U$2:U102),$U$2:$U$1001,0),1)&gt;=100000,INDEX($AB$1005:$AQ$1005,1,MATCH(COLUMNS($AB$1006:AG1006),$AB$1006:$AQ$1006,0))&gt;=100000), " ",IF(INDEX($AB$2:$AQ$1001,MATCH(ROWS($U$2:U102),$U$2:$U$1001,0),MATCH(COLUMNS($AB$1006:AG1006),$AB$1006:$AQ$1006,0)), HYPERLINK("#",""), HYPERLINK(CONCATENATE("#Metadata!", ADDRESS(INDEX($W$2:$W$1001,MATCH(ROWS($U$2:U102),$U$2:$U$1001,0),0), INDEX($AB$1004:$AQ$1004,1,MATCH(COLUMNS($AB$1006:AG1006),$AB$1006:$AQ$1006,0)))),"Fix")))</f>
        <v>0</v>
      </c>
      <c r="H102" s="5">
        <f>IF(OR(INDEX($V$2:$V$1001,MATCH(ROWS($U$2:U102),$U$2:$U$1001,0),1)&gt;=100000,INDEX($AB$1005:$AQ$1005,1,MATCH(COLUMNS($AB$1006:AH1006),$AB$1006:$AQ$1006,0))&gt;=100000), " ",IF(INDEX($AB$2:$AQ$1001,MATCH(ROWS($U$2:U102),$U$2:$U$1001,0),MATCH(COLUMNS($AB$1006:AH1006),$AB$1006:$AQ$1006,0)), HYPERLINK("#",""), HYPERLINK(CONCATENATE("#Metadata!", ADDRESS(INDEX($W$2:$W$1001,MATCH(ROWS($U$2:U102),$U$2:$U$1001,0),0), INDEX($AB$1004:$AQ$1004,1,MATCH(COLUMNS($AB$1006:AH1006),$AB$1006:$AQ$1006,0)))),"Fix")))</f>
        <v>0</v>
      </c>
      <c r="I102" s="5">
        <f>IF(OR(INDEX($V$2:$V$1001,MATCH(ROWS($U$2:U102),$U$2:$U$1001,0),1)&gt;=100000,INDEX($AB$1005:$AQ$1005,1,MATCH(COLUMNS($AB$1006:AI1006),$AB$1006:$AQ$1006,0))&gt;=100000), " ",IF(INDEX($AB$2:$AQ$1001,MATCH(ROWS($U$2:U102),$U$2:$U$1001,0),MATCH(COLUMNS($AB$1006:AI1006),$AB$1006:$AQ$1006,0)), HYPERLINK("#",""), HYPERLINK(CONCATENATE("#Metadata!", ADDRESS(INDEX($W$2:$W$1001,MATCH(ROWS($U$2:U102),$U$2:$U$1001,0),0), INDEX($AB$1004:$AQ$1004,1,MATCH(COLUMNS($AB$1006:AI1006),$AB$1006:$AQ$1006,0)))),"Fix")))</f>
        <v>0</v>
      </c>
      <c r="J102" s="5">
        <f>IF(OR(INDEX($V$2:$V$1001,MATCH(ROWS($U$2:U102),$U$2:$U$1001,0),1)&gt;=100000,INDEX($AB$1005:$AQ$1005,1,MATCH(COLUMNS($AB$1006:AJ1006),$AB$1006:$AQ$1006,0))&gt;=100000), " ",IF(INDEX($AB$2:$AQ$1001,MATCH(ROWS($U$2:U102),$U$2:$U$1001,0),MATCH(COLUMNS($AB$1006:AJ1006),$AB$1006:$AQ$1006,0)), HYPERLINK("#",""), HYPERLINK(CONCATENATE("#Metadata!", ADDRESS(INDEX($W$2:$W$1001,MATCH(ROWS($U$2:U102),$U$2:$U$1001,0),0), INDEX($AB$1004:$AQ$1004,1,MATCH(COLUMNS($AB$1006:AJ1006),$AB$1006:$AQ$1006,0)))),"Fix")))</f>
        <v>0</v>
      </c>
      <c r="K102" s="5">
        <f>IF(OR(INDEX($V$2:$V$1001,MATCH(ROWS($U$2:U102),$U$2:$U$1001,0),1)&gt;=100000,INDEX($AB$1005:$AQ$1005,1,MATCH(COLUMNS($AB$1006:AK1006),$AB$1006:$AQ$1006,0))&gt;=100000), " ",IF(INDEX($AB$2:$AQ$1001,MATCH(ROWS($U$2:U102),$U$2:$U$1001,0),MATCH(COLUMNS($AB$1006:AK1006),$AB$1006:$AQ$1006,0)), HYPERLINK("#",""), HYPERLINK(CONCATENATE("#Metadata!", ADDRESS(INDEX($W$2:$W$1001,MATCH(ROWS($U$2:U102),$U$2:$U$1001,0),0), INDEX($AB$1004:$AQ$1004,1,MATCH(COLUMNS($AB$1006:AK1006),$AB$1006:$AQ$1006,0)))),"Fix")))</f>
        <v>0</v>
      </c>
      <c r="L102" s="5">
        <f>IF(OR(INDEX($V$2:$V$1001,MATCH(ROWS($U$2:U102),$U$2:$U$1001,0),1)&gt;=100000,INDEX($AB$1005:$AQ$1005,1,MATCH(COLUMNS($AB$1006:AL1006),$AB$1006:$AQ$1006,0))&gt;=100000), " ",IF(INDEX($AB$2:$AQ$1001,MATCH(ROWS($U$2:U102),$U$2:$U$1001,0),MATCH(COLUMNS($AB$1006:AL1006),$AB$1006:$AQ$1006,0)), HYPERLINK("#",""), HYPERLINK(CONCATENATE("#Metadata!", ADDRESS(INDEX($W$2:$W$1001,MATCH(ROWS($U$2:U102),$U$2:$U$1001,0),0), INDEX($AB$1004:$AQ$1004,1,MATCH(COLUMNS($AB$1006:AL1006),$AB$1006:$AQ$1006,0)))),"Fix")))</f>
        <v>0</v>
      </c>
      <c r="M102" s="5">
        <f>IF(OR(INDEX($V$2:$V$1001,MATCH(ROWS($U$2:U102),$U$2:$U$1001,0),1)&gt;=100000,INDEX($AB$1005:$AQ$1005,1,MATCH(COLUMNS($AB$1006:AM1006),$AB$1006:$AQ$1006,0))&gt;=100000), " ",IF(INDEX($AB$2:$AQ$1001,MATCH(ROWS($U$2:U102),$U$2:$U$1001,0),MATCH(COLUMNS($AB$1006:AM1006),$AB$1006:$AQ$1006,0)), HYPERLINK("#",""), HYPERLINK(CONCATENATE("#Metadata!", ADDRESS(INDEX($W$2:$W$1001,MATCH(ROWS($U$2:U102),$U$2:$U$1001,0),0), INDEX($AB$1004:$AQ$1004,1,MATCH(COLUMNS($AB$1006:AM1006),$AB$1006:$AQ$1006,0)))),"Fix")))</f>
        <v>0</v>
      </c>
      <c r="N102" s="5">
        <f>IF(OR(INDEX($V$2:$V$1001,MATCH(ROWS($U$2:U102),$U$2:$U$1001,0),1)&gt;=100000,INDEX($AB$1005:$AQ$1005,1,MATCH(COLUMNS($AB$1006:AN1006),$AB$1006:$AQ$1006,0))&gt;=100000), " ",IF(INDEX($AB$2:$AQ$1001,MATCH(ROWS($U$2:U102),$U$2:$U$1001,0),MATCH(COLUMNS($AB$1006:AN1006),$AB$1006:$AQ$1006,0)), HYPERLINK("#",""), HYPERLINK(CONCATENATE("#Metadata!", ADDRESS(INDEX($W$2:$W$1001,MATCH(ROWS($U$2:U102),$U$2:$U$1001,0),0), INDEX($AB$1004:$AQ$1004,1,MATCH(COLUMNS($AB$1006:AN1006),$AB$1006:$AQ$1006,0)))),"Fix")))</f>
        <v>0</v>
      </c>
      <c r="O102" s="5">
        <f>IF(OR(INDEX($V$2:$V$1001,MATCH(ROWS($U$2:U102),$U$2:$U$1001,0),1)&gt;=100000,INDEX($AB$1005:$AQ$1005,1,MATCH(COLUMNS($AB$1006:AO1006),$AB$1006:$AQ$1006,0))&gt;=100000), " ",IF(INDEX($AB$2:$AQ$1001,MATCH(ROWS($U$2:U102),$U$2:$U$1001,0),MATCH(COLUMNS($AB$1006:AO1006),$AB$1006:$AQ$1006,0)), HYPERLINK("#",""), HYPERLINK(CONCATENATE("#Metadata!", ADDRESS(INDEX($W$2:$W$1001,MATCH(ROWS($U$2:U102),$U$2:$U$1001,0),0), INDEX($AB$1004:$AQ$1004,1,MATCH(COLUMNS($AB$1006:AO1006),$AB$1006:$AQ$1006,0)))),"Fix")))</f>
        <v>0</v>
      </c>
      <c r="P102" s="5">
        <f>IF(OR(INDEX($V$2:$V$1001,MATCH(ROWS($U$2:U102),$U$2:$U$1001,0),1)&gt;=100000,INDEX($AB$1005:$AQ$1005,1,MATCH(COLUMNS($AB$1006:AP1006),$AB$1006:$AQ$1006,0))&gt;=100000), " ",IF(INDEX($AB$2:$AQ$1001,MATCH(ROWS($U$2:U102),$U$2:$U$1001,0),MATCH(COLUMNS($AB$1006:AP1006),$AB$1006:$AQ$1006,0)), HYPERLINK("#",""), HYPERLINK(CONCATENATE("#Metadata!", ADDRESS(INDEX($W$2:$W$1001,MATCH(ROWS($U$2:U102),$U$2:$U$1001,0),0), INDEX($AB$1004:$AQ$1004,1,MATCH(COLUMNS($AB$1006:AP1006),$AB$1006:$AQ$1006,0)))),"Fix")))</f>
        <v>0</v>
      </c>
      <c r="Q102" s="5">
        <f>IF(OR(INDEX($V$2:$V$1001,MATCH(ROWS($U$2:U102),$U$2:$U$1001,0),1)&gt;=100000,INDEX($AB$1005:$AQ$1005,1,MATCH(COLUMNS($AB$1006:AQ1006),$AB$1006:$AQ$1006,0))&gt;=100000), " ",IF(INDEX($AB$2:$AQ$1001,MATCH(ROWS($U$2:U102),$U$2:$U$1001,0),MATCH(COLUMNS($AB$1006:AQ1006),$AB$1006:$AQ$1006,0)), HYPERLINK("#",""), HYPERLINK(CONCATENATE("#Metadata!", ADDRESS(INDEX($W$2:$W$1001,MATCH(ROWS($U$2:U102),$U$2:$U$1001,0),0), INDEX($AB$1004:$AQ$1004,1,MATCH(COLUMNS($AB$1006:AQ1006),$AB$1006:$AQ$1006,0)))),"Fix")))</f>
        <v>0</v>
      </c>
      <c r="U102">
        <v>0</v>
      </c>
      <c r="V102">
        <v>0</v>
      </c>
      <c r="W102">
        <v>0</v>
      </c>
      <c r="X102">
        <f>IF(Y102,TRUE,AND(AB102:AQ102))</f>
        <v>0</v>
      </c>
      <c r="Y102">
        <f>COUNTBLANK(Metadata!B102:Q102)=COLUMNS(Metadata!B102:Q102)</f>
        <v>0</v>
      </c>
      <c r="Z102">
        <v>0</v>
      </c>
      <c r="AB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AC102">
        <f>AND(IF(Metadata!C102="",FALSE,TRUE),exact(Metadata!C102,"urban biome"))</f>
        <v>0</v>
      </c>
      <c r="AD102">
        <f>AND(IF(Metadata!D102="",FALSE,TRUE),exact(Metadata!D102,"human-associated habitat"))</f>
        <v>0</v>
      </c>
      <c r="AE102">
        <f>AND(IF(Metadata!E102="",FALSE,TRUE),OR(exact(Metadata!E102,"human-associated"),exact(Metadata!E102,"human-skin"),exact(Metadata!E102,"human-oral"),exact(Metadata!E102,"human-gut"),exact(Metadata!E102,"human-vaginal")))</f>
        <v>0</v>
      </c>
      <c r="AF102">
        <f>AND(IF(Metadata!F102="",FALSE,ISNUMBER(VALUE(Metadata!F102))),Metadata!F102&gt;0)</f>
        <v>0</v>
      </c>
      <c r="AG102">
        <f>AND(IF(Metadata!G102="",FALSE,TRUE),exact(Metadata!G102,"years"))</f>
        <v>0</v>
      </c>
      <c r="AH102">
        <f>OR(AND(IF(Metadata!H102="",FALSE,TRUE),OR(exact(Metadata!H102,"not applicable"),exact(Metadata!H102,"not collected"),exact(Metadata!H102,"not provided"),exact(Metadata!H102,"restricted access"))),AND(IF(Metadata!H102="",FALSE,ISNUMBER(VALUE(Metadata!H102))),Metadata!H102&gt;0))</f>
        <v>0</v>
      </c>
      <c r="AI102">
        <f>AND(IF(Metadata!I102="",FALSE,TRUE),exact(Metadata!I102,"human"))</f>
        <v>0</v>
      </c>
      <c r="AJ102">
        <f>AND(IF(Metadata!J102="",FALSE,ISNUMBER(VALUE(Metadata!J102))),Metadata!J102&gt;0)</f>
        <v>0</v>
      </c>
      <c r="AK102">
        <f>AND(IF(Metadata!K102="",FALSE,TRUE),exact(Metadata!K102,"cm"))</f>
        <v>0</v>
      </c>
      <c r="AL102">
        <f>AND(IF(Metadata!L102="",FALSE,TRUE),exact(Metadata!L102,"Homo sapiens"))</f>
        <v>0</v>
      </c>
      <c r="AM102">
        <f>AND(IF(Metadata!M102="",FALSE,TRUE),exact(Metadata!M102,"9606"))</f>
        <v>0</v>
      </c>
      <c r="AN102">
        <f>AND(IF(Metadata!N102="",FALSE,ISNUMBER(VALUE(Metadata!N102))),Metadata!N102&gt;0)</f>
        <v>0</v>
      </c>
      <c r="AO102">
        <f>AND(IF(Metadata!O102="",FALSE,TRUE),exact(Metadata!O102,"kg"))</f>
        <v>0</v>
      </c>
      <c r="AP102">
        <f>OR(AND(IF(Metadata!P102="",FALSE,TRUE),exact(Metadata!P102,"not provided")),IF(Metadata!P102="",FALSE,TRUE))</f>
        <v>0</v>
      </c>
      <c r="AQ102">
        <f>OR(AND(IF(Metadata!Q102="",FALSE,TRUE),exact(Metadata!Q102,"not provided")),IF(Metadata!Q102="",FALSE,TRUE))</f>
        <v>0</v>
      </c>
    </row>
    <row r="103" spans="1:43">
      <c r="A103" s="4">
        <f>IF(B103=" "," ",HYPERLINK(CONCATENATE("#metadata!",ADDRESS(INDEX($W$2:$W$1001,MATCH(ROWS($U$2:U103),$U$2:$U$1001,0),0),2)),INDEX($Z$2:$Z$1001,MATCH(ROWS($U$2:U103),$U$2:$U$1001,0),0)))</f>
        <v>0</v>
      </c>
      <c r="B103" s="5">
        <f>IF(OR(INDEX($V$2:$V$1001,MATCH(ROWS($U$2:U103),$U$2:$U$1001,0),1)&gt;=100000,INDEX($AB$1005:$AQ$1005,1,MATCH(COLUMNS($AB$1006:AB1006),$AB$1006:$AQ$1006,0))&gt;=100000), " ",IF(INDEX($AB$2:$AQ$1001,MATCH(ROWS($U$2:U103),$U$2:$U$1001,0),MATCH(COLUMNS($AB$1006:AB1006),$AB$1006:$AQ$1006,0)), HYPERLINK("#",""), HYPERLINK(CONCATENATE("#Metadata!", ADDRESS(INDEX($W$2:$W$1001,MATCH(ROWS($U$2:U103),$U$2:$U$1001,0),0), INDEX($AB$1004:$AQ$1004,1,MATCH(COLUMNS($AB$1006:AB1006),$AB$1006:$AQ$1006,0)))),"Fix")))</f>
        <v>0</v>
      </c>
      <c r="C103" s="5">
        <f>IF(OR(INDEX($V$2:$V$1001,MATCH(ROWS($U$2:U103),$U$2:$U$1001,0),1)&gt;=100000,INDEX($AB$1005:$AQ$1005,1,MATCH(COLUMNS($AB$1006:AC1006),$AB$1006:$AQ$1006,0))&gt;=100000), " ",IF(INDEX($AB$2:$AQ$1001,MATCH(ROWS($U$2:U103),$U$2:$U$1001,0),MATCH(COLUMNS($AB$1006:AC1006),$AB$1006:$AQ$1006,0)), HYPERLINK("#",""), HYPERLINK(CONCATENATE("#Metadata!", ADDRESS(INDEX($W$2:$W$1001,MATCH(ROWS($U$2:U103),$U$2:$U$1001,0),0), INDEX($AB$1004:$AQ$1004,1,MATCH(COLUMNS($AB$1006:AC1006),$AB$1006:$AQ$1006,0)))),"Fix")))</f>
        <v>0</v>
      </c>
      <c r="D103" s="5">
        <f>IF(OR(INDEX($V$2:$V$1001,MATCH(ROWS($U$2:U103),$U$2:$U$1001,0),1)&gt;=100000,INDEX($AB$1005:$AQ$1005,1,MATCH(COLUMNS($AB$1006:AD1006),$AB$1006:$AQ$1006,0))&gt;=100000), " ",IF(INDEX($AB$2:$AQ$1001,MATCH(ROWS($U$2:U103),$U$2:$U$1001,0),MATCH(COLUMNS($AB$1006:AD1006),$AB$1006:$AQ$1006,0)), HYPERLINK("#",""), HYPERLINK(CONCATENATE("#Metadata!", ADDRESS(INDEX($W$2:$W$1001,MATCH(ROWS($U$2:U103),$U$2:$U$1001,0),0), INDEX($AB$1004:$AQ$1004,1,MATCH(COLUMNS($AB$1006:AD1006),$AB$1006:$AQ$1006,0)))),"Fix")))</f>
        <v>0</v>
      </c>
      <c r="E103" s="5">
        <f>IF(OR(INDEX($V$2:$V$1001,MATCH(ROWS($U$2:U103),$U$2:$U$1001,0),1)&gt;=100000,INDEX($AB$1005:$AQ$1005,1,MATCH(COLUMNS($AB$1006:AE1006),$AB$1006:$AQ$1006,0))&gt;=100000), " ",IF(INDEX($AB$2:$AQ$1001,MATCH(ROWS($U$2:U103),$U$2:$U$1001,0),MATCH(COLUMNS($AB$1006:AE1006),$AB$1006:$AQ$1006,0)), HYPERLINK("#",""), HYPERLINK(CONCATENATE("#Metadata!", ADDRESS(INDEX($W$2:$W$1001,MATCH(ROWS($U$2:U103),$U$2:$U$1001,0),0), INDEX($AB$1004:$AQ$1004,1,MATCH(COLUMNS($AB$1006:AE1006),$AB$1006:$AQ$1006,0)))),"Fix")))</f>
        <v>0</v>
      </c>
      <c r="F103" s="5">
        <f>IF(OR(INDEX($V$2:$V$1001,MATCH(ROWS($U$2:U103),$U$2:$U$1001,0),1)&gt;=100000,INDEX($AB$1005:$AQ$1005,1,MATCH(COLUMNS($AB$1006:AF1006),$AB$1006:$AQ$1006,0))&gt;=100000), " ",IF(INDEX($AB$2:$AQ$1001,MATCH(ROWS($U$2:U103),$U$2:$U$1001,0),MATCH(COLUMNS($AB$1006:AF1006),$AB$1006:$AQ$1006,0)), HYPERLINK("#",""), HYPERLINK(CONCATENATE("#Metadata!", ADDRESS(INDEX($W$2:$W$1001,MATCH(ROWS($U$2:U103),$U$2:$U$1001,0),0), INDEX($AB$1004:$AQ$1004,1,MATCH(COLUMNS($AB$1006:AF1006),$AB$1006:$AQ$1006,0)))),"Fix")))</f>
        <v>0</v>
      </c>
      <c r="G103" s="5">
        <f>IF(OR(INDEX($V$2:$V$1001,MATCH(ROWS($U$2:U103),$U$2:$U$1001,0),1)&gt;=100000,INDEX($AB$1005:$AQ$1005,1,MATCH(COLUMNS($AB$1006:AG1006),$AB$1006:$AQ$1006,0))&gt;=100000), " ",IF(INDEX($AB$2:$AQ$1001,MATCH(ROWS($U$2:U103),$U$2:$U$1001,0),MATCH(COLUMNS($AB$1006:AG1006),$AB$1006:$AQ$1006,0)), HYPERLINK("#",""), HYPERLINK(CONCATENATE("#Metadata!", ADDRESS(INDEX($W$2:$W$1001,MATCH(ROWS($U$2:U103),$U$2:$U$1001,0),0), INDEX($AB$1004:$AQ$1004,1,MATCH(COLUMNS($AB$1006:AG1006),$AB$1006:$AQ$1006,0)))),"Fix")))</f>
        <v>0</v>
      </c>
      <c r="H103" s="5">
        <f>IF(OR(INDEX($V$2:$V$1001,MATCH(ROWS($U$2:U103),$U$2:$U$1001,0),1)&gt;=100000,INDEX($AB$1005:$AQ$1005,1,MATCH(COLUMNS($AB$1006:AH1006),$AB$1006:$AQ$1006,0))&gt;=100000), " ",IF(INDEX($AB$2:$AQ$1001,MATCH(ROWS($U$2:U103),$U$2:$U$1001,0),MATCH(COLUMNS($AB$1006:AH1006),$AB$1006:$AQ$1006,0)), HYPERLINK("#",""), HYPERLINK(CONCATENATE("#Metadata!", ADDRESS(INDEX($W$2:$W$1001,MATCH(ROWS($U$2:U103),$U$2:$U$1001,0),0), INDEX($AB$1004:$AQ$1004,1,MATCH(COLUMNS($AB$1006:AH1006),$AB$1006:$AQ$1006,0)))),"Fix")))</f>
        <v>0</v>
      </c>
      <c r="I103" s="5">
        <f>IF(OR(INDEX($V$2:$V$1001,MATCH(ROWS($U$2:U103),$U$2:$U$1001,0),1)&gt;=100000,INDEX($AB$1005:$AQ$1005,1,MATCH(COLUMNS($AB$1006:AI1006),$AB$1006:$AQ$1006,0))&gt;=100000), " ",IF(INDEX($AB$2:$AQ$1001,MATCH(ROWS($U$2:U103),$U$2:$U$1001,0),MATCH(COLUMNS($AB$1006:AI1006),$AB$1006:$AQ$1006,0)), HYPERLINK("#",""), HYPERLINK(CONCATENATE("#Metadata!", ADDRESS(INDEX($W$2:$W$1001,MATCH(ROWS($U$2:U103),$U$2:$U$1001,0),0), INDEX($AB$1004:$AQ$1004,1,MATCH(COLUMNS($AB$1006:AI1006),$AB$1006:$AQ$1006,0)))),"Fix")))</f>
        <v>0</v>
      </c>
      <c r="J103" s="5">
        <f>IF(OR(INDEX($V$2:$V$1001,MATCH(ROWS($U$2:U103),$U$2:$U$1001,0),1)&gt;=100000,INDEX($AB$1005:$AQ$1005,1,MATCH(COLUMNS($AB$1006:AJ1006),$AB$1006:$AQ$1006,0))&gt;=100000), " ",IF(INDEX($AB$2:$AQ$1001,MATCH(ROWS($U$2:U103),$U$2:$U$1001,0),MATCH(COLUMNS($AB$1006:AJ1006),$AB$1006:$AQ$1006,0)), HYPERLINK("#",""), HYPERLINK(CONCATENATE("#Metadata!", ADDRESS(INDEX($W$2:$W$1001,MATCH(ROWS($U$2:U103),$U$2:$U$1001,0),0), INDEX($AB$1004:$AQ$1004,1,MATCH(COLUMNS($AB$1006:AJ1006),$AB$1006:$AQ$1006,0)))),"Fix")))</f>
        <v>0</v>
      </c>
      <c r="K103" s="5">
        <f>IF(OR(INDEX($V$2:$V$1001,MATCH(ROWS($U$2:U103),$U$2:$U$1001,0),1)&gt;=100000,INDEX($AB$1005:$AQ$1005,1,MATCH(COLUMNS($AB$1006:AK1006),$AB$1006:$AQ$1006,0))&gt;=100000), " ",IF(INDEX($AB$2:$AQ$1001,MATCH(ROWS($U$2:U103),$U$2:$U$1001,0),MATCH(COLUMNS($AB$1006:AK1006),$AB$1006:$AQ$1006,0)), HYPERLINK("#",""), HYPERLINK(CONCATENATE("#Metadata!", ADDRESS(INDEX($W$2:$W$1001,MATCH(ROWS($U$2:U103),$U$2:$U$1001,0),0), INDEX($AB$1004:$AQ$1004,1,MATCH(COLUMNS($AB$1006:AK1006),$AB$1006:$AQ$1006,0)))),"Fix")))</f>
        <v>0</v>
      </c>
      <c r="L103" s="5">
        <f>IF(OR(INDEX($V$2:$V$1001,MATCH(ROWS($U$2:U103),$U$2:$U$1001,0),1)&gt;=100000,INDEX($AB$1005:$AQ$1005,1,MATCH(COLUMNS($AB$1006:AL1006),$AB$1006:$AQ$1006,0))&gt;=100000), " ",IF(INDEX($AB$2:$AQ$1001,MATCH(ROWS($U$2:U103),$U$2:$U$1001,0),MATCH(COLUMNS($AB$1006:AL1006),$AB$1006:$AQ$1006,0)), HYPERLINK("#",""), HYPERLINK(CONCATENATE("#Metadata!", ADDRESS(INDEX($W$2:$W$1001,MATCH(ROWS($U$2:U103),$U$2:$U$1001,0),0), INDEX($AB$1004:$AQ$1004,1,MATCH(COLUMNS($AB$1006:AL1006),$AB$1006:$AQ$1006,0)))),"Fix")))</f>
        <v>0</v>
      </c>
      <c r="M103" s="5">
        <f>IF(OR(INDEX($V$2:$V$1001,MATCH(ROWS($U$2:U103),$U$2:$U$1001,0),1)&gt;=100000,INDEX($AB$1005:$AQ$1005,1,MATCH(COLUMNS($AB$1006:AM1006),$AB$1006:$AQ$1006,0))&gt;=100000), " ",IF(INDEX($AB$2:$AQ$1001,MATCH(ROWS($U$2:U103),$U$2:$U$1001,0),MATCH(COLUMNS($AB$1006:AM1006),$AB$1006:$AQ$1006,0)), HYPERLINK("#",""), HYPERLINK(CONCATENATE("#Metadata!", ADDRESS(INDEX($W$2:$W$1001,MATCH(ROWS($U$2:U103),$U$2:$U$1001,0),0), INDEX($AB$1004:$AQ$1004,1,MATCH(COLUMNS($AB$1006:AM1006),$AB$1006:$AQ$1006,0)))),"Fix")))</f>
        <v>0</v>
      </c>
      <c r="N103" s="5">
        <f>IF(OR(INDEX($V$2:$V$1001,MATCH(ROWS($U$2:U103),$U$2:$U$1001,0),1)&gt;=100000,INDEX($AB$1005:$AQ$1005,1,MATCH(COLUMNS($AB$1006:AN1006),$AB$1006:$AQ$1006,0))&gt;=100000), " ",IF(INDEX($AB$2:$AQ$1001,MATCH(ROWS($U$2:U103),$U$2:$U$1001,0),MATCH(COLUMNS($AB$1006:AN1006),$AB$1006:$AQ$1006,0)), HYPERLINK("#",""), HYPERLINK(CONCATENATE("#Metadata!", ADDRESS(INDEX($W$2:$W$1001,MATCH(ROWS($U$2:U103),$U$2:$U$1001,0),0), INDEX($AB$1004:$AQ$1004,1,MATCH(COLUMNS($AB$1006:AN1006),$AB$1006:$AQ$1006,0)))),"Fix")))</f>
        <v>0</v>
      </c>
      <c r="O103" s="5">
        <f>IF(OR(INDEX($V$2:$V$1001,MATCH(ROWS($U$2:U103),$U$2:$U$1001,0),1)&gt;=100000,INDEX($AB$1005:$AQ$1005,1,MATCH(COLUMNS($AB$1006:AO1006),$AB$1006:$AQ$1006,0))&gt;=100000), " ",IF(INDEX($AB$2:$AQ$1001,MATCH(ROWS($U$2:U103),$U$2:$U$1001,0),MATCH(COLUMNS($AB$1006:AO1006),$AB$1006:$AQ$1006,0)), HYPERLINK("#",""), HYPERLINK(CONCATENATE("#Metadata!", ADDRESS(INDEX($W$2:$W$1001,MATCH(ROWS($U$2:U103),$U$2:$U$1001,0),0), INDEX($AB$1004:$AQ$1004,1,MATCH(COLUMNS($AB$1006:AO1006),$AB$1006:$AQ$1006,0)))),"Fix")))</f>
        <v>0</v>
      </c>
      <c r="P103" s="5">
        <f>IF(OR(INDEX($V$2:$V$1001,MATCH(ROWS($U$2:U103),$U$2:$U$1001,0),1)&gt;=100000,INDEX($AB$1005:$AQ$1005,1,MATCH(COLUMNS($AB$1006:AP1006),$AB$1006:$AQ$1006,0))&gt;=100000), " ",IF(INDEX($AB$2:$AQ$1001,MATCH(ROWS($U$2:U103),$U$2:$U$1001,0),MATCH(COLUMNS($AB$1006:AP1006),$AB$1006:$AQ$1006,0)), HYPERLINK("#",""), HYPERLINK(CONCATENATE("#Metadata!", ADDRESS(INDEX($W$2:$W$1001,MATCH(ROWS($U$2:U103),$U$2:$U$1001,0),0), INDEX($AB$1004:$AQ$1004,1,MATCH(COLUMNS($AB$1006:AP1006),$AB$1006:$AQ$1006,0)))),"Fix")))</f>
        <v>0</v>
      </c>
      <c r="Q103" s="5">
        <f>IF(OR(INDEX($V$2:$V$1001,MATCH(ROWS($U$2:U103),$U$2:$U$1001,0),1)&gt;=100000,INDEX($AB$1005:$AQ$1005,1,MATCH(COLUMNS($AB$1006:AQ1006),$AB$1006:$AQ$1006,0))&gt;=100000), " ",IF(INDEX($AB$2:$AQ$1001,MATCH(ROWS($U$2:U103),$U$2:$U$1001,0),MATCH(COLUMNS($AB$1006:AQ1006),$AB$1006:$AQ$1006,0)), HYPERLINK("#",""), HYPERLINK(CONCATENATE("#Metadata!", ADDRESS(INDEX($W$2:$W$1001,MATCH(ROWS($U$2:U103),$U$2:$U$1001,0),0), INDEX($AB$1004:$AQ$1004,1,MATCH(COLUMNS($AB$1006:AQ1006),$AB$1006:$AQ$1006,0)))),"Fix")))</f>
        <v>0</v>
      </c>
      <c r="U103">
        <v>0</v>
      </c>
      <c r="V103">
        <v>0</v>
      </c>
      <c r="W103">
        <v>0</v>
      </c>
      <c r="X103">
        <f>IF(Y103,TRUE,AND(AB103:AQ103))</f>
        <v>0</v>
      </c>
      <c r="Y103">
        <f>COUNTBLANK(Metadata!B103:Q103)=COLUMNS(Metadata!B103:Q103)</f>
        <v>0</v>
      </c>
      <c r="Z103">
        <v>0</v>
      </c>
      <c r="AB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AC103">
        <f>AND(IF(Metadata!C103="",FALSE,TRUE),exact(Metadata!C103,"urban biome"))</f>
        <v>0</v>
      </c>
      <c r="AD103">
        <f>AND(IF(Metadata!D103="",FALSE,TRUE),exact(Metadata!D103,"human-associated habitat"))</f>
        <v>0</v>
      </c>
      <c r="AE103">
        <f>AND(IF(Metadata!E103="",FALSE,TRUE),OR(exact(Metadata!E103,"human-associated"),exact(Metadata!E103,"human-skin"),exact(Metadata!E103,"human-oral"),exact(Metadata!E103,"human-gut"),exact(Metadata!E103,"human-vaginal")))</f>
        <v>0</v>
      </c>
      <c r="AF103">
        <f>AND(IF(Metadata!F103="",FALSE,ISNUMBER(VALUE(Metadata!F103))),Metadata!F103&gt;0)</f>
        <v>0</v>
      </c>
      <c r="AG103">
        <f>AND(IF(Metadata!G103="",FALSE,TRUE),exact(Metadata!G103,"years"))</f>
        <v>0</v>
      </c>
      <c r="AH103">
        <f>OR(AND(IF(Metadata!H103="",FALSE,TRUE),OR(exact(Metadata!H103,"not applicable"),exact(Metadata!H103,"not collected"),exact(Metadata!H103,"not provided"),exact(Metadata!H103,"restricted access"))),AND(IF(Metadata!H103="",FALSE,ISNUMBER(VALUE(Metadata!H103))),Metadata!H103&gt;0))</f>
        <v>0</v>
      </c>
      <c r="AI103">
        <f>AND(IF(Metadata!I103="",FALSE,TRUE),exact(Metadata!I103,"human"))</f>
        <v>0</v>
      </c>
      <c r="AJ103">
        <f>AND(IF(Metadata!J103="",FALSE,ISNUMBER(VALUE(Metadata!J103))),Metadata!J103&gt;0)</f>
        <v>0</v>
      </c>
      <c r="AK103">
        <f>AND(IF(Metadata!K103="",FALSE,TRUE),exact(Metadata!K103,"cm"))</f>
        <v>0</v>
      </c>
      <c r="AL103">
        <f>AND(IF(Metadata!L103="",FALSE,TRUE),exact(Metadata!L103,"Homo sapiens"))</f>
        <v>0</v>
      </c>
      <c r="AM103">
        <f>AND(IF(Metadata!M103="",FALSE,TRUE),exact(Metadata!M103,"9606"))</f>
        <v>0</v>
      </c>
      <c r="AN103">
        <f>AND(IF(Metadata!N103="",FALSE,ISNUMBER(VALUE(Metadata!N103))),Metadata!N103&gt;0)</f>
        <v>0</v>
      </c>
      <c r="AO103">
        <f>AND(IF(Metadata!O103="",FALSE,TRUE),exact(Metadata!O103,"kg"))</f>
        <v>0</v>
      </c>
      <c r="AP103">
        <f>OR(AND(IF(Metadata!P103="",FALSE,TRUE),exact(Metadata!P103,"not provided")),IF(Metadata!P103="",FALSE,TRUE))</f>
        <v>0</v>
      </c>
      <c r="AQ103">
        <f>OR(AND(IF(Metadata!Q103="",FALSE,TRUE),exact(Metadata!Q103,"not provided")),IF(Metadata!Q103="",FALSE,TRUE))</f>
        <v>0</v>
      </c>
    </row>
    <row r="104" spans="1:43">
      <c r="A104" s="4">
        <f>IF(B104=" "," ",HYPERLINK(CONCATENATE("#metadata!",ADDRESS(INDEX($W$2:$W$1001,MATCH(ROWS($U$2:U104),$U$2:$U$1001,0),0),2)),INDEX($Z$2:$Z$1001,MATCH(ROWS($U$2:U104),$U$2:$U$1001,0),0)))</f>
        <v>0</v>
      </c>
      <c r="B104" s="5">
        <f>IF(OR(INDEX($V$2:$V$1001,MATCH(ROWS($U$2:U104),$U$2:$U$1001,0),1)&gt;=100000,INDEX($AB$1005:$AQ$1005,1,MATCH(COLUMNS($AB$1006:AB1006),$AB$1006:$AQ$1006,0))&gt;=100000), " ",IF(INDEX($AB$2:$AQ$1001,MATCH(ROWS($U$2:U104),$U$2:$U$1001,0),MATCH(COLUMNS($AB$1006:AB1006),$AB$1006:$AQ$1006,0)), HYPERLINK("#",""), HYPERLINK(CONCATENATE("#Metadata!", ADDRESS(INDEX($W$2:$W$1001,MATCH(ROWS($U$2:U104),$U$2:$U$1001,0),0), INDEX($AB$1004:$AQ$1004,1,MATCH(COLUMNS($AB$1006:AB1006),$AB$1006:$AQ$1006,0)))),"Fix")))</f>
        <v>0</v>
      </c>
      <c r="C104" s="5">
        <f>IF(OR(INDEX($V$2:$V$1001,MATCH(ROWS($U$2:U104),$U$2:$U$1001,0),1)&gt;=100000,INDEX($AB$1005:$AQ$1005,1,MATCH(COLUMNS($AB$1006:AC1006),$AB$1006:$AQ$1006,0))&gt;=100000), " ",IF(INDEX($AB$2:$AQ$1001,MATCH(ROWS($U$2:U104),$U$2:$U$1001,0),MATCH(COLUMNS($AB$1006:AC1006),$AB$1006:$AQ$1006,0)), HYPERLINK("#",""), HYPERLINK(CONCATENATE("#Metadata!", ADDRESS(INDEX($W$2:$W$1001,MATCH(ROWS($U$2:U104),$U$2:$U$1001,0),0), INDEX($AB$1004:$AQ$1004,1,MATCH(COLUMNS($AB$1006:AC1006),$AB$1006:$AQ$1006,0)))),"Fix")))</f>
        <v>0</v>
      </c>
      <c r="D104" s="5">
        <f>IF(OR(INDEX($V$2:$V$1001,MATCH(ROWS($U$2:U104),$U$2:$U$1001,0),1)&gt;=100000,INDEX($AB$1005:$AQ$1005,1,MATCH(COLUMNS($AB$1006:AD1006),$AB$1006:$AQ$1006,0))&gt;=100000), " ",IF(INDEX($AB$2:$AQ$1001,MATCH(ROWS($U$2:U104),$U$2:$U$1001,0),MATCH(COLUMNS($AB$1006:AD1006),$AB$1006:$AQ$1006,0)), HYPERLINK("#",""), HYPERLINK(CONCATENATE("#Metadata!", ADDRESS(INDEX($W$2:$W$1001,MATCH(ROWS($U$2:U104),$U$2:$U$1001,0),0), INDEX($AB$1004:$AQ$1004,1,MATCH(COLUMNS($AB$1006:AD1006),$AB$1006:$AQ$1006,0)))),"Fix")))</f>
        <v>0</v>
      </c>
      <c r="E104" s="5">
        <f>IF(OR(INDEX($V$2:$V$1001,MATCH(ROWS($U$2:U104),$U$2:$U$1001,0),1)&gt;=100000,INDEX($AB$1005:$AQ$1005,1,MATCH(COLUMNS($AB$1006:AE1006),$AB$1006:$AQ$1006,0))&gt;=100000), " ",IF(INDEX($AB$2:$AQ$1001,MATCH(ROWS($U$2:U104),$U$2:$U$1001,0),MATCH(COLUMNS($AB$1006:AE1006),$AB$1006:$AQ$1006,0)), HYPERLINK("#",""), HYPERLINK(CONCATENATE("#Metadata!", ADDRESS(INDEX($W$2:$W$1001,MATCH(ROWS($U$2:U104),$U$2:$U$1001,0),0), INDEX($AB$1004:$AQ$1004,1,MATCH(COLUMNS($AB$1006:AE1006),$AB$1006:$AQ$1006,0)))),"Fix")))</f>
        <v>0</v>
      </c>
      <c r="F104" s="5">
        <f>IF(OR(INDEX($V$2:$V$1001,MATCH(ROWS($U$2:U104),$U$2:$U$1001,0),1)&gt;=100000,INDEX($AB$1005:$AQ$1005,1,MATCH(COLUMNS($AB$1006:AF1006),$AB$1006:$AQ$1006,0))&gt;=100000), " ",IF(INDEX($AB$2:$AQ$1001,MATCH(ROWS($U$2:U104),$U$2:$U$1001,0),MATCH(COLUMNS($AB$1006:AF1006),$AB$1006:$AQ$1006,0)), HYPERLINK("#",""), HYPERLINK(CONCATENATE("#Metadata!", ADDRESS(INDEX($W$2:$W$1001,MATCH(ROWS($U$2:U104),$U$2:$U$1001,0),0), INDEX($AB$1004:$AQ$1004,1,MATCH(COLUMNS($AB$1006:AF1006),$AB$1006:$AQ$1006,0)))),"Fix")))</f>
        <v>0</v>
      </c>
      <c r="G104" s="5">
        <f>IF(OR(INDEX($V$2:$V$1001,MATCH(ROWS($U$2:U104),$U$2:$U$1001,0),1)&gt;=100000,INDEX($AB$1005:$AQ$1005,1,MATCH(COLUMNS($AB$1006:AG1006),$AB$1006:$AQ$1006,0))&gt;=100000), " ",IF(INDEX($AB$2:$AQ$1001,MATCH(ROWS($U$2:U104),$U$2:$U$1001,0),MATCH(COLUMNS($AB$1006:AG1006),$AB$1006:$AQ$1006,0)), HYPERLINK("#",""), HYPERLINK(CONCATENATE("#Metadata!", ADDRESS(INDEX($W$2:$W$1001,MATCH(ROWS($U$2:U104),$U$2:$U$1001,0),0), INDEX($AB$1004:$AQ$1004,1,MATCH(COLUMNS($AB$1006:AG1006),$AB$1006:$AQ$1006,0)))),"Fix")))</f>
        <v>0</v>
      </c>
      <c r="H104" s="5">
        <f>IF(OR(INDEX($V$2:$V$1001,MATCH(ROWS($U$2:U104),$U$2:$U$1001,0),1)&gt;=100000,INDEX($AB$1005:$AQ$1005,1,MATCH(COLUMNS($AB$1006:AH1006),$AB$1006:$AQ$1006,0))&gt;=100000), " ",IF(INDEX($AB$2:$AQ$1001,MATCH(ROWS($U$2:U104),$U$2:$U$1001,0),MATCH(COLUMNS($AB$1006:AH1006),$AB$1006:$AQ$1006,0)), HYPERLINK("#",""), HYPERLINK(CONCATENATE("#Metadata!", ADDRESS(INDEX($W$2:$W$1001,MATCH(ROWS($U$2:U104),$U$2:$U$1001,0),0), INDEX($AB$1004:$AQ$1004,1,MATCH(COLUMNS($AB$1006:AH1006),$AB$1006:$AQ$1006,0)))),"Fix")))</f>
        <v>0</v>
      </c>
      <c r="I104" s="5">
        <f>IF(OR(INDEX($V$2:$V$1001,MATCH(ROWS($U$2:U104),$U$2:$U$1001,0),1)&gt;=100000,INDEX($AB$1005:$AQ$1005,1,MATCH(COLUMNS($AB$1006:AI1006),$AB$1006:$AQ$1006,0))&gt;=100000), " ",IF(INDEX($AB$2:$AQ$1001,MATCH(ROWS($U$2:U104),$U$2:$U$1001,0),MATCH(COLUMNS($AB$1006:AI1006),$AB$1006:$AQ$1006,0)), HYPERLINK("#",""), HYPERLINK(CONCATENATE("#Metadata!", ADDRESS(INDEX($W$2:$W$1001,MATCH(ROWS($U$2:U104),$U$2:$U$1001,0),0), INDEX($AB$1004:$AQ$1004,1,MATCH(COLUMNS($AB$1006:AI1006),$AB$1006:$AQ$1006,0)))),"Fix")))</f>
        <v>0</v>
      </c>
      <c r="J104" s="5">
        <f>IF(OR(INDEX($V$2:$V$1001,MATCH(ROWS($U$2:U104),$U$2:$U$1001,0),1)&gt;=100000,INDEX($AB$1005:$AQ$1005,1,MATCH(COLUMNS($AB$1006:AJ1006),$AB$1006:$AQ$1006,0))&gt;=100000), " ",IF(INDEX($AB$2:$AQ$1001,MATCH(ROWS($U$2:U104),$U$2:$U$1001,0),MATCH(COLUMNS($AB$1006:AJ1006),$AB$1006:$AQ$1006,0)), HYPERLINK("#",""), HYPERLINK(CONCATENATE("#Metadata!", ADDRESS(INDEX($W$2:$W$1001,MATCH(ROWS($U$2:U104),$U$2:$U$1001,0),0), INDEX($AB$1004:$AQ$1004,1,MATCH(COLUMNS($AB$1006:AJ1006),$AB$1006:$AQ$1006,0)))),"Fix")))</f>
        <v>0</v>
      </c>
      <c r="K104" s="5">
        <f>IF(OR(INDEX($V$2:$V$1001,MATCH(ROWS($U$2:U104),$U$2:$U$1001,0),1)&gt;=100000,INDEX($AB$1005:$AQ$1005,1,MATCH(COLUMNS($AB$1006:AK1006),$AB$1006:$AQ$1006,0))&gt;=100000), " ",IF(INDEX($AB$2:$AQ$1001,MATCH(ROWS($U$2:U104),$U$2:$U$1001,0),MATCH(COLUMNS($AB$1006:AK1006),$AB$1006:$AQ$1006,0)), HYPERLINK("#",""), HYPERLINK(CONCATENATE("#Metadata!", ADDRESS(INDEX($W$2:$W$1001,MATCH(ROWS($U$2:U104),$U$2:$U$1001,0),0), INDEX($AB$1004:$AQ$1004,1,MATCH(COLUMNS($AB$1006:AK1006),$AB$1006:$AQ$1006,0)))),"Fix")))</f>
        <v>0</v>
      </c>
      <c r="L104" s="5">
        <f>IF(OR(INDEX($V$2:$V$1001,MATCH(ROWS($U$2:U104),$U$2:$U$1001,0),1)&gt;=100000,INDEX($AB$1005:$AQ$1005,1,MATCH(COLUMNS($AB$1006:AL1006),$AB$1006:$AQ$1006,0))&gt;=100000), " ",IF(INDEX($AB$2:$AQ$1001,MATCH(ROWS($U$2:U104),$U$2:$U$1001,0),MATCH(COLUMNS($AB$1006:AL1006),$AB$1006:$AQ$1006,0)), HYPERLINK("#",""), HYPERLINK(CONCATENATE("#Metadata!", ADDRESS(INDEX($W$2:$W$1001,MATCH(ROWS($U$2:U104),$U$2:$U$1001,0),0), INDEX($AB$1004:$AQ$1004,1,MATCH(COLUMNS($AB$1006:AL1006),$AB$1006:$AQ$1006,0)))),"Fix")))</f>
        <v>0</v>
      </c>
      <c r="M104" s="5">
        <f>IF(OR(INDEX($V$2:$V$1001,MATCH(ROWS($U$2:U104),$U$2:$U$1001,0),1)&gt;=100000,INDEX($AB$1005:$AQ$1005,1,MATCH(COLUMNS($AB$1006:AM1006),$AB$1006:$AQ$1006,0))&gt;=100000), " ",IF(INDEX($AB$2:$AQ$1001,MATCH(ROWS($U$2:U104),$U$2:$U$1001,0),MATCH(COLUMNS($AB$1006:AM1006),$AB$1006:$AQ$1006,0)), HYPERLINK("#",""), HYPERLINK(CONCATENATE("#Metadata!", ADDRESS(INDEX($W$2:$W$1001,MATCH(ROWS($U$2:U104),$U$2:$U$1001,0),0), INDEX($AB$1004:$AQ$1004,1,MATCH(COLUMNS($AB$1006:AM1006),$AB$1006:$AQ$1006,0)))),"Fix")))</f>
        <v>0</v>
      </c>
      <c r="N104" s="5">
        <f>IF(OR(INDEX($V$2:$V$1001,MATCH(ROWS($U$2:U104),$U$2:$U$1001,0),1)&gt;=100000,INDEX($AB$1005:$AQ$1005,1,MATCH(COLUMNS($AB$1006:AN1006),$AB$1006:$AQ$1006,0))&gt;=100000), " ",IF(INDEX($AB$2:$AQ$1001,MATCH(ROWS($U$2:U104),$U$2:$U$1001,0),MATCH(COLUMNS($AB$1006:AN1006),$AB$1006:$AQ$1006,0)), HYPERLINK("#",""), HYPERLINK(CONCATENATE("#Metadata!", ADDRESS(INDEX($W$2:$W$1001,MATCH(ROWS($U$2:U104),$U$2:$U$1001,0),0), INDEX($AB$1004:$AQ$1004,1,MATCH(COLUMNS($AB$1006:AN1006),$AB$1006:$AQ$1006,0)))),"Fix")))</f>
        <v>0</v>
      </c>
      <c r="O104" s="5">
        <f>IF(OR(INDEX($V$2:$V$1001,MATCH(ROWS($U$2:U104),$U$2:$U$1001,0),1)&gt;=100000,INDEX($AB$1005:$AQ$1005,1,MATCH(COLUMNS($AB$1006:AO1006),$AB$1006:$AQ$1006,0))&gt;=100000), " ",IF(INDEX($AB$2:$AQ$1001,MATCH(ROWS($U$2:U104),$U$2:$U$1001,0),MATCH(COLUMNS($AB$1006:AO1006),$AB$1006:$AQ$1006,0)), HYPERLINK("#",""), HYPERLINK(CONCATENATE("#Metadata!", ADDRESS(INDEX($W$2:$W$1001,MATCH(ROWS($U$2:U104),$U$2:$U$1001,0),0), INDEX($AB$1004:$AQ$1004,1,MATCH(COLUMNS($AB$1006:AO1006),$AB$1006:$AQ$1006,0)))),"Fix")))</f>
        <v>0</v>
      </c>
      <c r="P104" s="5">
        <f>IF(OR(INDEX($V$2:$V$1001,MATCH(ROWS($U$2:U104),$U$2:$U$1001,0),1)&gt;=100000,INDEX($AB$1005:$AQ$1005,1,MATCH(COLUMNS($AB$1006:AP1006),$AB$1006:$AQ$1006,0))&gt;=100000), " ",IF(INDEX($AB$2:$AQ$1001,MATCH(ROWS($U$2:U104),$U$2:$U$1001,0),MATCH(COLUMNS($AB$1006:AP1006),$AB$1006:$AQ$1006,0)), HYPERLINK("#",""), HYPERLINK(CONCATENATE("#Metadata!", ADDRESS(INDEX($W$2:$W$1001,MATCH(ROWS($U$2:U104),$U$2:$U$1001,0),0), INDEX($AB$1004:$AQ$1004,1,MATCH(COLUMNS($AB$1006:AP1006),$AB$1006:$AQ$1006,0)))),"Fix")))</f>
        <v>0</v>
      </c>
      <c r="Q104" s="5">
        <f>IF(OR(INDEX($V$2:$V$1001,MATCH(ROWS($U$2:U104),$U$2:$U$1001,0),1)&gt;=100000,INDEX($AB$1005:$AQ$1005,1,MATCH(COLUMNS($AB$1006:AQ1006),$AB$1006:$AQ$1006,0))&gt;=100000), " ",IF(INDEX($AB$2:$AQ$1001,MATCH(ROWS($U$2:U104),$U$2:$U$1001,0),MATCH(COLUMNS($AB$1006:AQ1006),$AB$1006:$AQ$1006,0)), HYPERLINK("#",""), HYPERLINK(CONCATENATE("#Metadata!", ADDRESS(INDEX($W$2:$W$1001,MATCH(ROWS($U$2:U104),$U$2:$U$1001,0),0), INDEX($AB$1004:$AQ$1004,1,MATCH(COLUMNS($AB$1006:AQ1006),$AB$1006:$AQ$1006,0)))),"Fix")))</f>
        <v>0</v>
      </c>
      <c r="U104">
        <v>0</v>
      </c>
      <c r="V104">
        <v>0</v>
      </c>
      <c r="W104">
        <v>0</v>
      </c>
      <c r="X104">
        <f>IF(Y104,TRUE,AND(AB104:AQ104))</f>
        <v>0</v>
      </c>
      <c r="Y104">
        <f>COUNTBLANK(Metadata!B104:Q104)=COLUMNS(Metadata!B104:Q104)</f>
        <v>0</v>
      </c>
      <c r="Z104">
        <v>0</v>
      </c>
      <c r="AB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AC104">
        <f>AND(IF(Metadata!C104="",FALSE,TRUE),exact(Metadata!C104,"urban biome"))</f>
        <v>0</v>
      </c>
      <c r="AD104">
        <f>AND(IF(Metadata!D104="",FALSE,TRUE),exact(Metadata!D104,"human-associated habitat"))</f>
        <v>0</v>
      </c>
      <c r="AE104">
        <f>AND(IF(Metadata!E104="",FALSE,TRUE),OR(exact(Metadata!E104,"human-associated"),exact(Metadata!E104,"human-skin"),exact(Metadata!E104,"human-oral"),exact(Metadata!E104,"human-gut"),exact(Metadata!E104,"human-vaginal")))</f>
        <v>0</v>
      </c>
      <c r="AF104">
        <f>AND(IF(Metadata!F104="",FALSE,ISNUMBER(VALUE(Metadata!F104))),Metadata!F104&gt;0)</f>
        <v>0</v>
      </c>
      <c r="AG104">
        <f>AND(IF(Metadata!G104="",FALSE,TRUE),exact(Metadata!G104,"years"))</f>
        <v>0</v>
      </c>
      <c r="AH104">
        <f>OR(AND(IF(Metadata!H104="",FALSE,TRUE),OR(exact(Metadata!H104,"not applicable"),exact(Metadata!H104,"not collected"),exact(Metadata!H104,"not provided"),exact(Metadata!H104,"restricted access"))),AND(IF(Metadata!H104="",FALSE,ISNUMBER(VALUE(Metadata!H104))),Metadata!H104&gt;0))</f>
        <v>0</v>
      </c>
      <c r="AI104">
        <f>AND(IF(Metadata!I104="",FALSE,TRUE),exact(Metadata!I104,"human"))</f>
        <v>0</v>
      </c>
      <c r="AJ104">
        <f>AND(IF(Metadata!J104="",FALSE,ISNUMBER(VALUE(Metadata!J104))),Metadata!J104&gt;0)</f>
        <v>0</v>
      </c>
      <c r="AK104">
        <f>AND(IF(Metadata!K104="",FALSE,TRUE),exact(Metadata!K104,"cm"))</f>
        <v>0</v>
      </c>
      <c r="AL104">
        <f>AND(IF(Metadata!L104="",FALSE,TRUE),exact(Metadata!L104,"Homo sapiens"))</f>
        <v>0</v>
      </c>
      <c r="AM104">
        <f>AND(IF(Metadata!M104="",FALSE,TRUE),exact(Metadata!M104,"9606"))</f>
        <v>0</v>
      </c>
      <c r="AN104">
        <f>AND(IF(Metadata!N104="",FALSE,ISNUMBER(VALUE(Metadata!N104))),Metadata!N104&gt;0)</f>
        <v>0</v>
      </c>
      <c r="AO104">
        <f>AND(IF(Metadata!O104="",FALSE,TRUE),exact(Metadata!O104,"kg"))</f>
        <v>0</v>
      </c>
      <c r="AP104">
        <f>OR(AND(IF(Metadata!P104="",FALSE,TRUE),exact(Metadata!P104,"not provided")),IF(Metadata!P104="",FALSE,TRUE))</f>
        <v>0</v>
      </c>
      <c r="AQ104">
        <f>OR(AND(IF(Metadata!Q104="",FALSE,TRUE),exact(Metadata!Q104,"not provided")),IF(Metadata!Q104="",FALSE,TRUE))</f>
        <v>0</v>
      </c>
    </row>
    <row r="105" spans="1:43">
      <c r="A105" s="4">
        <f>IF(B105=" "," ",HYPERLINK(CONCATENATE("#metadata!",ADDRESS(INDEX($W$2:$W$1001,MATCH(ROWS($U$2:U105),$U$2:$U$1001,0),0),2)),INDEX($Z$2:$Z$1001,MATCH(ROWS($U$2:U105),$U$2:$U$1001,0),0)))</f>
        <v>0</v>
      </c>
      <c r="B105" s="5">
        <f>IF(OR(INDEX($V$2:$V$1001,MATCH(ROWS($U$2:U105),$U$2:$U$1001,0),1)&gt;=100000,INDEX($AB$1005:$AQ$1005,1,MATCH(COLUMNS($AB$1006:AB1006),$AB$1006:$AQ$1006,0))&gt;=100000), " ",IF(INDEX($AB$2:$AQ$1001,MATCH(ROWS($U$2:U105),$U$2:$U$1001,0),MATCH(COLUMNS($AB$1006:AB1006),$AB$1006:$AQ$1006,0)), HYPERLINK("#",""), HYPERLINK(CONCATENATE("#Metadata!", ADDRESS(INDEX($W$2:$W$1001,MATCH(ROWS($U$2:U105),$U$2:$U$1001,0),0), INDEX($AB$1004:$AQ$1004,1,MATCH(COLUMNS($AB$1006:AB1006),$AB$1006:$AQ$1006,0)))),"Fix")))</f>
        <v>0</v>
      </c>
      <c r="C105" s="5">
        <f>IF(OR(INDEX($V$2:$V$1001,MATCH(ROWS($U$2:U105),$U$2:$U$1001,0),1)&gt;=100000,INDEX($AB$1005:$AQ$1005,1,MATCH(COLUMNS($AB$1006:AC1006),$AB$1006:$AQ$1006,0))&gt;=100000), " ",IF(INDEX($AB$2:$AQ$1001,MATCH(ROWS($U$2:U105),$U$2:$U$1001,0),MATCH(COLUMNS($AB$1006:AC1006),$AB$1006:$AQ$1006,0)), HYPERLINK("#",""), HYPERLINK(CONCATENATE("#Metadata!", ADDRESS(INDEX($W$2:$W$1001,MATCH(ROWS($U$2:U105),$U$2:$U$1001,0),0), INDEX($AB$1004:$AQ$1004,1,MATCH(COLUMNS($AB$1006:AC1006),$AB$1006:$AQ$1006,0)))),"Fix")))</f>
        <v>0</v>
      </c>
      <c r="D105" s="5">
        <f>IF(OR(INDEX($V$2:$V$1001,MATCH(ROWS($U$2:U105),$U$2:$U$1001,0),1)&gt;=100000,INDEX($AB$1005:$AQ$1005,1,MATCH(COLUMNS($AB$1006:AD1006),$AB$1006:$AQ$1006,0))&gt;=100000), " ",IF(INDEX($AB$2:$AQ$1001,MATCH(ROWS($U$2:U105),$U$2:$U$1001,0),MATCH(COLUMNS($AB$1006:AD1006),$AB$1006:$AQ$1006,0)), HYPERLINK("#",""), HYPERLINK(CONCATENATE("#Metadata!", ADDRESS(INDEX($W$2:$W$1001,MATCH(ROWS($U$2:U105),$U$2:$U$1001,0),0), INDEX($AB$1004:$AQ$1004,1,MATCH(COLUMNS($AB$1006:AD1006),$AB$1006:$AQ$1006,0)))),"Fix")))</f>
        <v>0</v>
      </c>
      <c r="E105" s="5">
        <f>IF(OR(INDEX($V$2:$V$1001,MATCH(ROWS($U$2:U105),$U$2:$U$1001,0),1)&gt;=100000,INDEX($AB$1005:$AQ$1005,1,MATCH(COLUMNS($AB$1006:AE1006),$AB$1006:$AQ$1006,0))&gt;=100000), " ",IF(INDEX($AB$2:$AQ$1001,MATCH(ROWS($U$2:U105),$U$2:$U$1001,0),MATCH(COLUMNS($AB$1006:AE1006),$AB$1006:$AQ$1006,0)), HYPERLINK("#",""), HYPERLINK(CONCATENATE("#Metadata!", ADDRESS(INDEX($W$2:$W$1001,MATCH(ROWS($U$2:U105),$U$2:$U$1001,0),0), INDEX($AB$1004:$AQ$1004,1,MATCH(COLUMNS($AB$1006:AE1006),$AB$1006:$AQ$1006,0)))),"Fix")))</f>
        <v>0</v>
      </c>
      <c r="F105" s="5">
        <f>IF(OR(INDEX($V$2:$V$1001,MATCH(ROWS($U$2:U105),$U$2:$U$1001,0),1)&gt;=100000,INDEX($AB$1005:$AQ$1005,1,MATCH(COLUMNS($AB$1006:AF1006),$AB$1006:$AQ$1006,0))&gt;=100000), " ",IF(INDEX($AB$2:$AQ$1001,MATCH(ROWS($U$2:U105),$U$2:$U$1001,0),MATCH(COLUMNS($AB$1006:AF1006),$AB$1006:$AQ$1006,0)), HYPERLINK("#",""), HYPERLINK(CONCATENATE("#Metadata!", ADDRESS(INDEX($W$2:$W$1001,MATCH(ROWS($U$2:U105),$U$2:$U$1001,0),0), INDEX($AB$1004:$AQ$1004,1,MATCH(COLUMNS($AB$1006:AF1006),$AB$1006:$AQ$1006,0)))),"Fix")))</f>
        <v>0</v>
      </c>
      <c r="G105" s="5">
        <f>IF(OR(INDEX($V$2:$V$1001,MATCH(ROWS($U$2:U105),$U$2:$U$1001,0),1)&gt;=100000,INDEX($AB$1005:$AQ$1005,1,MATCH(COLUMNS($AB$1006:AG1006),$AB$1006:$AQ$1006,0))&gt;=100000), " ",IF(INDEX($AB$2:$AQ$1001,MATCH(ROWS($U$2:U105),$U$2:$U$1001,0),MATCH(COLUMNS($AB$1006:AG1006),$AB$1006:$AQ$1006,0)), HYPERLINK("#",""), HYPERLINK(CONCATENATE("#Metadata!", ADDRESS(INDEX($W$2:$W$1001,MATCH(ROWS($U$2:U105),$U$2:$U$1001,0),0), INDEX($AB$1004:$AQ$1004,1,MATCH(COLUMNS($AB$1006:AG1006),$AB$1006:$AQ$1006,0)))),"Fix")))</f>
        <v>0</v>
      </c>
      <c r="H105" s="5">
        <f>IF(OR(INDEX($V$2:$V$1001,MATCH(ROWS($U$2:U105),$U$2:$U$1001,0),1)&gt;=100000,INDEX($AB$1005:$AQ$1005,1,MATCH(COLUMNS($AB$1006:AH1006),$AB$1006:$AQ$1006,0))&gt;=100000), " ",IF(INDEX($AB$2:$AQ$1001,MATCH(ROWS($U$2:U105),$U$2:$U$1001,0),MATCH(COLUMNS($AB$1006:AH1006),$AB$1006:$AQ$1006,0)), HYPERLINK("#",""), HYPERLINK(CONCATENATE("#Metadata!", ADDRESS(INDEX($W$2:$W$1001,MATCH(ROWS($U$2:U105),$U$2:$U$1001,0),0), INDEX($AB$1004:$AQ$1004,1,MATCH(COLUMNS($AB$1006:AH1006),$AB$1006:$AQ$1006,0)))),"Fix")))</f>
        <v>0</v>
      </c>
      <c r="I105" s="5">
        <f>IF(OR(INDEX($V$2:$V$1001,MATCH(ROWS($U$2:U105),$U$2:$U$1001,0),1)&gt;=100000,INDEX($AB$1005:$AQ$1005,1,MATCH(COLUMNS($AB$1006:AI1006),$AB$1006:$AQ$1006,0))&gt;=100000), " ",IF(INDEX($AB$2:$AQ$1001,MATCH(ROWS($U$2:U105),$U$2:$U$1001,0),MATCH(COLUMNS($AB$1006:AI1006),$AB$1006:$AQ$1006,0)), HYPERLINK("#",""), HYPERLINK(CONCATENATE("#Metadata!", ADDRESS(INDEX($W$2:$W$1001,MATCH(ROWS($U$2:U105),$U$2:$U$1001,0),0), INDEX($AB$1004:$AQ$1004,1,MATCH(COLUMNS($AB$1006:AI1006),$AB$1006:$AQ$1006,0)))),"Fix")))</f>
        <v>0</v>
      </c>
      <c r="J105" s="5">
        <f>IF(OR(INDEX($V$2:$V$1001,MATCH(ROWS($U$2:U105),$U$2:$U$1001,0),1)&gt;=100000,INDEX($AB$1005:$AQ$1005,1,MATCH(COLUMNS($AB$1006:AJ1006),$AB$1006:$AQ$1006,0))&gt;=100000), " ",IF(INDEX($AB$2:$AQ$1001,MATCH(ROWS($U$2:U105),$U$2:$U$1001,0),MATCH(COLUMNS($AB$1006:AJ1006),$AB$1006:$AQ$1006,0)), HYPERLINK("#",""), HYPERLINK(CONCATENATE("#Metadata!", ADDRESS(INDEX($W$2:$W$1001,MATCH(ROWS($U$2:U105),$U$2:$U$1001,0),0), INDEX($AB$1004:$AQ$1004,1,MATCH(COLUMNS($AB$1006:AJ1006),$AB$1006:$AQ$1006,0)))),"Fix")))</f>
        <v>0</v>
      </c>
      <c r="K105" s="5">
        <f>IF(OR(INDEX($V$2:$V$1001,MATCH(ROWS($U$2:U105),$U$2:$U$1001,0),1)&gt;=100000,INDEX($AB$1005:$AQ$1005,1,MATCH(COLUMNS($AB$1006:AK1006),$AB$1006:$AQ$1006,0))&gt;=100000), " ",IF(INDEX($AB$2:$AQ$1001,MATCH(ROWS($U$2:U105),$U$2:$U$1001,0),MATCH(COLUMNS($AB$1006:AK1006),$AB$1006:$AQ$1006,0)), HYPERLINK("#",""), HYPERLINK(CONCATENATE("#Metadata!", ADDRESS(INDEX($W$2:$W$1001,MATCH(ROWS($U$2:U105),$U$2:$U$1001,0),0), INDEX($AB$1004:$AQ$1004,1,MATCH(COLUMNS($AB$1006:AK1006),$AB$1006:$AQ$1006,0)))),"Fix")))</f>
        <v>0</v>
      </c>
      <c r="L105" s="5">
        <f>IF(OR(INDEX($V$2:$V$1001,MATCH(ROWS($U$2:U105),$U$2:$U$1001,0),1)&gt;=100000,INDEX($AB$1005:$AQ$1005,1,MATCH(COLUMNS($AB$1006:AL1006),$AB$1006:$AQ$1006,0))&gt;=100000), " ",IF(INDEX($AB$2:$AQ$1001,MATCH(ROWS($U$2:U105),$U$2:$U$1001,0),MATCH(COLUMNS($AB$1006:AL1006),$AB$1006:$AQ$1006,0)), HYPERLINK("#",""), HYPERLINK(CONCATENATE("#Metadata!", ADDRESS(INDEX($W$2:$W$1001,MATCH(ROWS($U$2:U105),$U$2:$U$1001,0),0), INDEX($AB$1004:$AQ$1004,1,MATCH(COLUMNS($AB$1006:AL1006),$AB$1006:$AQ$1006,0)))),"Fix")))</f>
        <v>0</v>
      </c>
      <c r="M105" s="5">
        <f>IF(OR(INDEX($V$2:$V$1001,MATCH(ROWS($U$2:U105),$U$2:$U$1001,0),1)&gt;=100000,INDEX($AB$1005:$AQ$1005,1,MATCH(COLUMNS($AB$1006:AM1006),$AB$1006:$AQ$1006,0))&gt;=100000), " ",IF(INDEX($AB$2:$AQ$1001,MATCH(ROWS($U$2:U105),$U$2:$U$1001,0),MATCH(COLUMNS($AB$1006:AM1006),$AB$1006:$AQ$1006,0)), HYPERLINK("#",""), HYPERLINK(CONCATENATE("#Metadata!", ADDRESS(INDEX($W$2:$W$1001,MATCH(ROWS($U$2:U105),$U$2:$U$1001,0),0), INDEX($AB$1004:$AQ$1004,1,MATCH(COLUMNS($AB$1006:AM1006),$AB$1006:$AQ$1006,0)))),"Fix")))</f>
        <v>0</v>
      </c>
      <c r="N105" s="5">
        <f>IF(OR(INDEX($V$2:$V$1001,MATCH(ROWS($U$2:U105),$U$2:$U$1001,0),1)&gt;=100000,INDEX($AB$1005:$AQ$1005,1,MATCH(COLUMNS($AB$1006:AN1006),$AB$1006:$AQ$1006,0))&gt;=100000), " ",IF(INDEX($AB$2:$AQ$1001,MATCH(ROWS($U$2:U105),$U$2:$U$1001,0),MATCH(COLUMNS($AB$1006:AN1006),$AB$1006:$AQ$1006,0)), HYPERLINK("#",""), HYPERLINK(CONCATENATE("#Metadata!", ADDRESS(INDEX($W$2:$W$1001,MATCH(ROWS($U$2:U105),$U$2:$U$1001,0),0), INDEX($AB$1004:$AQ$1004,1,MATCH(COLUMNS($AB$1006:AN1006),$AB$1006:$AQ$1006,0)))),"Fix")))</f>
        <v>0</v>
      </c>
      <c r="O105" s="5">
        <f>IF(OR(INDEX($V$2:$V$1001,MATCH(ROWS($U$2:U105),$U$2:$U$1001,0),1)&gt;=100000,INDEX($AB$1005:$AQ$1005,1,MATCH(COLUMNS($AB$1006:AO1006),$AB$1006:$AQ$1006,0))&gt;=100000), " ",IF(INDEX($AB$2:$AQ$1001,MATCH(ROWS($U$2:U105),$U$2:$U$1001,0),MATCH(COLUMNS($AB$1006:AO1006),$AB$1006:$AQ$1006,0)), HYPERLINK("#",""), HYPERLINK(CONCATENATE("#Metadata!", ADDRESS(INDEX($W$2:$W$1001,MATCH(ROWS($U$2:U105),$U$2:$U$1001,0),0), INDEX($AB$1004:$AQ$1004,1,MATCH(COLUMNS($AB$1006:AO1006),$AB$1006:$AQ$1006,0)))),"Fix")))</f>
        <v>0</v>
      </c>
      <c r="P105" s="5">
        <f>IF(OR(INDEX($V$2:$V$1001,MATCH(ROWS($U$2:U105),$U$2:$U$1001,0),1)&gt;=100000,INDEX($AB$1005:$AQ$1005,1,MATCH(COLUMNS($AB$1006:AP1006),$AB$1006:$AQ$1006,0))&gt;=100000), " ",IF(INDEX($AB$2:$AQ$1001,MATCH(ROWS($U$2:U105),$U$2:$U$1001,0),MATCH(COLUMNS($AB$1006:AP1006),$AB$1006:$AQ$1006,0)), HYPERLINK("#",""), HYPERLINK(CONCATENATE("#Metadata!", ADDRESS(INDEX($W$2:$W$1001,MATCH(ROWS($U$2:U105),$U$2:$U$1001,0),0), INDEX($AB$1004:$AQ$1004,1,MATCH(COLUMNS($AB$1006:AP1006),$AB$1006:$AQ$1006,0)))),"Fix")))</f>
        <v>0</v>
      </c>
      <c r="Q105" s="5">
        <f>IF(OR(INDEX($V$2:$V$1001,MATCH(ROWS($U$2:U105),$U$2:$U$1001,0),1)&gt;=100000,INDEX($AB$1005:$AQ$1005,1,MATCH(COLUMNS($AB$1006:AQ1006),$AB$1006:$AQ$1006,0))&gt;=100000), " ",IF(INDEX($AB$2:$AQ$1001,MATCH(ROWS($U$2:U105),$U$2:$U$1001,0),MATCH(COLUMNS($AB$1006:AQ1006),$AB$1006:$AQ$1006,0)), HYPERLINK("#",""), HYPERLINK(CONCATENATE("#Metadata!", ADDRESS(INDEX($W$2:$W$1001,MATCH(ROWS($U$2:U105),$U$2:$U$1001,0),0), INDEX($AB$1004:$AQ$1004,1,MATCH(COLUMNS($AB$1006:AQ1006),$AB$1006:$AQ$1006,0)))),"Fix")))</f>
        <v>0</v>
      </c>
      <c r="U105">
        <v>0</v>
      </c>
      <c r="V105">
        <v>0</v>
      </c>
      <c r="W105">
        <v>0</v>
      </c>
      <c r="X105">
        <f>IF(Y105,TRUE,AND(AB105:AQ105))</f>
        <v>0</v>
      </c>
      <c r="Y105">
        <f>COUNTBLANK(Metadata!B105:Q105)=COLUMNS(Metadata!B105:Q105)</f>
        <v>0</v>
      </c>
      <c r="Z105">
        <v>0</v>
      </c>
      <c r="AB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AC105">
        <f>AND(IF(Metadata!C105="",FALSE,TRUE),exact(Metadata!C105,"urban biome"))</f>
        <v>0</v>
      </c>
      <c r="AD105">
        <f>AND(IF(Metadata!D105="",FALSE,TRUE),exact(Metadata!D105,"human-associated habitat"))</f>
        <v>0</v>
      </c>
      <c r="AE105">
        <f>AND(IF(Metadata!E105="",FALSE,TRUE),OR(exact(Metadata!E105,"human-associated"),exact(Metadata!E105,"human-skin"),exact(Metadata!E105,"human-oral"),exact(Metadata!E105,"human-gut"),exact(Metadata!E105,"human-vaginal")))</f>
        <v>0</v>
      </c>
      <c r="AF105">
        <f>AND(IF(Metadata!F105="",FALSE,ISNUMBER(VALUE(Metadata!F105))),Metadata!F105&gt;0)</f>
        <v>0</v>
      </c>
      <c r="AG105">
        <f>AND(IF(Metadata!G105="",FALSE,TRUE),exact(Metadata!G105,"years"))</f>
        <v>0</v>
      </c>
      <c r="AH105">
        <f>OR(AND(IF(Metadata!H105="",FALSE,TRUE),OR(exact(Metadata!H105,"not applicable"),exact(Metadata!H105,"not collected"),exact(Metadata!H105,"not provided"),exact(Metadata!H105,"restricted access"))),AND(IF(Metadata!H105="",FALSE,ISNUMBER(VALUE(Metadata!H105))),Metadata!H105&gt;0))</f>
        <v>0</v>
      </c>
      <c r="AI105">
        <f>AND(IF(Metadata!I105="",FALSE,TRUE),exact(Metadata!I105,"human"))</f>
        <v>0</v>
      </c>
      <c r="AJ105">
        <f>AND(IF(Metadata!J105="",FALSE,ISNUMBER(VALUE(Metadata!J105))),Metadata!J105&gt;0)</f>
        <v>0</v>
      </c>
      <c r="AK105">
        <f>AND(IF(Metadata!K105="",FALSE,TRUE),exact(Metadata!K105,"cm"))</f>
        <v>0</v>
      </c>
      <c r="AL105">
        <f>AND(IF(Metadata!L105="",FALSE,TRUE),exact(Metadata!L105,"Homo sapiens"))</f>
        <v>0</v>
      </c>
      <c r="AM105">
        <f>AND(IF(Metadata!M105="",FALSE,TRUE),exact(Metadata!M105,"9606"))</f>
        <v>0</v>
      </c>
      <c r="AN105">
        <f>AND(IF(Metadata!N105="",FALSE,ISNUMBER(VALUE(Metadata!N105))),Metadata!N105&gt;0)</f>
        <v>0</v>
      </c>
      <c r="AO105">
        <f>AND(IF(Metadata!O105="",FALSE,TRUE),exact(Metadata!O105,"kg"))</f>
        <v>0</v>
      </c>
      <c r="AP105">
        <f>OR(AND(IF(Metadata!P105="",FALSE,TRUE),exact(Metadata!P105,"not provided")),IF(Metadata!P105="",FALSE,TRUE))</f>
        <v>0</v>
      </c>
      <c r="AQ105">
        <f>OR(AND(IF(Metadata!Q105="",FALSE,TRUE),exact(Metadata!Q105,"not provided")),IF(Metadata!Q105="",FALSE,TRUE))</f>
        <v>0</v>
      </c>
    </row>
    <row r="106" spans="1:43">
      <c r="A106" s="4">
        <f>IF(B106=" "," ",HYPERLINK(CONCATENATE("#metadata!",ADDRESS(INDEX($W$2:$W$1001,MATCH(ROWS($U$2:U106),$U$2:$U$1001,0),0),2)),INDEX($Z$2:$Z$1001,MATCH(ROWS($U$2:U106),$U$2:$U$1001,0),0)))</f>
        <v>0</v>
      </c>
      <c r="B106" s="5">
        <f>IF(OR(INDEX($V$2:$V$1001,MATCH(ROWS($U$2:U106),$U$2:$U$1001,0),1)&gt;=100000,INDEX($AB$1005:$AQ$1005,1,MATCH(COLUMNS($AB$1006:AB1006),$AB$1006:$AQ$1006,0))&gt;=100000), " ",IF(INDEX($AB$2:$AQ$1001,MATCH(ROWS($U$2:U106),$U$2:$U$1001,0),MATCH(COLUMNS($AB$1006:AB1006),$AB$1006:$AQ$1006,0)), HYPERLINK("#",""), HYPERLINK(CONCATENATE("#Metadata!", ADDRESS(INDEX($W$2:$W$1001,MATCH(ROWS($U$2:U106),$U$2:$U$1001,0),0), INDEX($AB$1004:$AQ$1004,1,MATCH(COLUMNS($AB$1006:AB1006),$AB$1006:$AQ$1006,0)))),"Fix")))</f>
        <v>0</v>
      </c>
      <c r="C106" s="5">
        <f>IF(OR(INDEX($V$2:$V$1001,MATCH(ROWS($U$2:U106),$U$2:$U$1001,0),1)&gt;=100000,INDEX($AB$1005:$AQ$1005,1,MATCH(COLUMNS($AB$1006:AC1006),$AB$1006:$AQ$1006,0))&gt;=100000), " ",IF(INDEX($AB$2:$AQ$1001,MATCH(ROWS($U$2:U106),$U$2:$U$1001,0),MATCH(COLUMNS($AB$1006:AC1006),$AB$1006:$AQ$1006,0)), HYPERLINK("#",""), HYPERLINK(CONCATENATE("#Metadata!", ADDRESS(INDEX($W$2:$W$1001,MATCH(ROWS($U$2:U106),$U$2:$U$1001,0),0), INDEX($AB$1004:$AQ$1004,1,MATCH(COLUMNS($AB$1006:AC1006),$AB$1006:$AQ$1006,0)))),"Fix")))</f>
        <v>0</v>
      </c>
      <c r="D106" s="5">
        <f>IF(OR(INDEX($V$2:$V$1001,MATCH(ROWS($U$2:U106),$U$2:$U$1001,0),1)&gt;=100000,INDEX($AB$1005:$AQ$1005,1,MATCH(COLUMNS($AB$1006:AD1006),$AB$1006:$AQ$1006,0))&gt;=100000), " ",IF(INDEX($AB$2:$AQ$1001,MATCH(ROWS($U$2:U106),$U$2:$U$1001,0),MATCH(COLUMNS($AB$1006:AD1006),$AB$1006:$AQ$1006,0)), HYPERLINK("#",""), HYPERLINK(CONCATENATE("#Metadata!", ADDRESS(INDEX($W$2:$W$1001,MATCH(ROWS($U$2:U106),$U$2:$U$1001,0),0), INDEX($AB$1004:$AQ$1004,1,MATCH(COLUMNS($AB$1006:AD1006),$AB$1006:$AQ$1006,0)))),"Fix")))</f>
        <v>0</v>
      </c>
      <c r="E106" s="5">
        <f>IF(OR(INDEX($V$2:$V$1001,MATCH(ROWS($U$2:U106),$U$2:$U$1001,0),1)&gt;=100000,INDEX($AB$1005:$AQ$1005,1,MATCH(COLUMNS($AB$1006:AE1006),$AB$1006:$AQ$1006,0))&gt;=100000), " ",IF(INDEX($AB$2:$AQ$1001,MATCH(ROWS($U$2:U106),$U$2:$U$1001,0),MATCH(COLUMNS($AB$1006:AE1006),$AB$1006:$AQ$1006,0)), HYPERLINK("#",""), HYPERLINK(CONCATENATE("#Metadata!", ADDRESS(INDEX($W$2:$W$1001,MATCH(ROWS($U$2:U106),$U$2:$U$1001,0),0), INDEX($AB$1004:$AQ$1004,1,MATCH(COLUMNS($AB$1006:AE1006),$AB$1006:$AQ$1006,0)))),"Fix")))</f>
        <v>0</v>
      </c>
      <c r="F106" s="5">
        <f>IF(OR(INDEX($V$2:$V$1001,MATCH(ROWS($U$2:U106),$U$2:$U$1001,0),1)&gt;=100000,INDEX($AB$1005:$AQ$1005,1,MATCH(COLUMNS($AB$1006:AF1006),$AB$1006:$AQ$1006,0))&gt;=100000), " ",IF(INDEX($AB$2:$AQ$1001,MATCH(ROWS($U$2:U106),$U$2:$U$1001,0),MATCH(COLUMNS($AB$1006:AF1006),$AB$1006:$AQ$1006,0)), HYPERLINK("#",""), HYPERLINK(CONCATENATE("#Metadata!", ADDRESS(INDEX($W$2:$W$1001,MATCH(ROWS($U$2:U106),$U$2:$U$1001,0),0), INDEX($AB$1004:$AQ$1004,1,MATCH(COLUMNS($AB$1006:AF1006),$AB$1006:$AQ$1006,0)))),"Fix")))</f>
        <v>0</v>
      </c>
      <c r="G106" s="5">
        <f>IF(OR(INDEX($V$2:$V$1001,MATCH(ROWS($U$2:U106),$U$2:$U$1001,0),1)&gt;=100000,INDEX($AB$1005:$AQ$1005,1,MATCH(COLUMNS($AB$1006:AG1006),$AB$1006:$AQ$1006,0))&gt;=100000), " ",IF(INDEX($AB$2:$AQ$1001,MATCH(ROWS($U$2:U106),$U$2:$U$1001,0),MATCH(COLUMNS($AB$1006:AG1006),$AB$1006:$AQ$1006,0)), HYPERLINK("#",""), HYPERLINK(CONCATENATE("#Metadata!", ADDRESS(INDEX($W$2:$W$1001,MATCH(ROWS($U$2:U106),$U$2:$U$1001,0),0), INDEX($AB$1004:$AQ$1004,1,MATCH(COLUMNS($AB$1006:AG1006),$AB$1006:$AQ$1006,0)))),"Fix")))</f>
        <v>0</v>
      </c>
      <c r="H106" s="5">
        <f>IF(OR(INDEX($V$2:$V$1001,MATCH(ROWS($U$2:U106),$U$2:$U$1001,0),1)&gt;=100000,INDEX($AB$1005:$AQ$1005,1,MATCH(COLUMNS($AB$1006:AH1006),$AB$1006:$AQ$1006,0))&gt;=100000), " ",IF(INDEX($AB$2:$AQ$1001,MATCH(ROWS($U$2:U106),$U$2:$U$1001,0),MATCH(COLUMNS($AB$1006:AH1006),$AB$1006:$AQ$1006,0)), HYPERLINK("#",""), HYPERLINK(CONCATENATE("#Metadata!", ADDRESS(INDEX($W$2:$W$1001,MATCH(ROWS($U$2:U106),$U$2:$U$1001,0),0), INDEX($AB$1004:$AQ$1004,1,MATCH(COLUMNS($AB$1006:AH1006),$AB$1006:$AQ$1006,0)))),"Fix")))</f>
        <v>0</v>
      </c>
      <c r="I106" s="5">
        <f>IF(OR(INDEX($V$2:$V$1001,MATCH(ROWS($U$2:U106),$U$2:$U$1001,0),1)&gt;=100000,INDEX($AB$1005:$AQ$1005,1,MATCH(COLUMNS($AB$1006:AI1006),$AB$1006:$AQ$1006,0))&gt;=100000), " ",IF(INDEX($AB$2:$AQ$1001,MATCH(ROWS($U$2:U106),$U$2:$U$1001,0),MATCH(COLUMNS($AB$1006:AI1006),$AB$1006:$AQ$1006,0)), HYPERLINK("#",""), HYPERLINK(CONCATENATE("#Metadata!", ADDRESS(INDEX($W$2:$W$1001,MATCH(ROWS($U$2:U106),$U$2:$U$1001,0),0), INDEX($AB$1004:$AQ$1004,1,MATCH(COLUMNS($AB$1006:AI1006),$AB$1006:$AQ$1006,0)))),"Fix")))</f>
        <v>0</v>
      </c>
      <c r="J106" s="5">
        <f>IF(OR(INDEX($V$2:$V$1001,MATCH(ROWS($U$2:U106),$U$2:$U$1001,0),1)&gt;=100000,INDEX($AB$1005:$AQ$1005,1,MATCH(COLUMNS($AB$1006:AJ1006),$AB$1006:$AQ$1006,0))&gt;=100000), " ",IF(INDEX($AB$2:$AQ$1001,MATCH(ROWS($U$2:U106),$U$2:$U$1001,0),MATCH(COLUMNS($AB$1006:AJ1006),$AB$1006:$AQ$1006,0)), HYPERLINK("#",""), HYPERLINK(CONCATENATE("#Metadata!", ADDRESS(INDEX($W$2:$W$1001,MATCH(ROWS($U$2:U106),$U$2:$U$1001,0),0), INDEX($AB$1004:$AQ$1004,1,MATCH(COLUMNS($AB$1006:AJ1006),$AB$1006:$AQ$1006,0)))),"Fix")))</f>
        <v>0</v>
      </c>
      <c r="K106" s="5">
        <f>IF(OR(INDEX($V$2:$V$1001,MATCH(ROWS($U$2:U106),$U$2:$U$1001,0),1)&gt;=100000,INDEX($AB$1005:$AQ$1005,1,MATCH(COLUMNS($AB$1006:AK1006),$AB$1006:$AQ$1006,0))&gt;=100000), " ",IF(INDEX($AB$2:$AQ$1001,MATCH(ROWS($U$2:U106),$U$2:$U$1001,0),MATCH(COLUMNS($AB$1006:AK1006),$AB$1006:$AQ$1006,0)), HYPERLINK("#",""), HYPERLINK(CONCATENATE("#Metadata!", ADDRESS(INDEX($W$2:$W$1001,MATCH(ROWS($U$2:U106),$U$2:$U$1001,0),0), INDEX($AB$1004:$AQ$1004,1,MATCH(COLUMNS($AB$1006:AK1006),$AB$1006:$AQ$1006,0)))),"Fix")))</f>
        <v>0</v>
      </c>
      <c r="L106" s="5">
        <f>IF(OR(INDEX($V$2:$V$1001,MATCH(ROWS($U$2:U106),$U$2:$U$1001,0),1)&gt;=100000,INDEX($AB$1005:$AQ$1005,1,MATCH(COLUMNS($AB$1006:AL1006),$AB$1006:$AQ$1006,0))&gt;=100000), " ",IF(INDEX($AB$2:$AQ$1001,MATCH(ROWS($U$2:U106),$U$2:$U$1001,0),MATCH(COLUMNS($AB$1006:AL1006),$AB$1006:$AQ$1006,0)), HYPERLINK("#",""), HYPERLINK(CONCATENATE("#Metadata!", ADDRESS(INDEX($W$2:$W$1001,MATCH(ROWS($U$2:U106),$U$2:$U$1001,0),0), INDEX($AB$1004:$AQ$1004,1,MATCH(COLUMNS($AB$1006:AL1006),$AB$1006:$AQ$1006,0)))),"Fix")))</f>
        <v>0</v>
      </c>
      <c r="M106" s="5">
        <f>IF(OR(INDEX($V$2:$V$1001,MATCH(ROWS($U$2:U106),$U$2:$U$1001,0),1)&gt;=100000,INDEX($AB$1005:$AQ$1005,1,MATCH(COLUMNS($AB$1006:AM1006),$AB$1006:$AQ$1006,0))&gt;=100000), " ",IF(INDEX($AB$2:$AQ$1001,MATCH(ROWS($U$2:U106),$U$2:$U$1001,0),MATCH(COLUMNS($AB$1006:AM1006),$AB$1006:$AQ$1006,0)), HYPERLINK("#",""), HYPERLINK(CONCATENATE("#Metadata!", ADDRESS(INDEX($W$2:$W$1001,MATCH(ROWS($U$2:U106),$U$2:$U$1001,0),0), INDEX($AB$1004:$AQ$1004,1,MATCH(COLUMNS($AB$1006:AM1006),$AB$1006:$AQ$1006,0)))),"Fix")))</f>
        <v>0</v>
      </c>
      <c r="N106" s="5">
        <f>IF(OR(INDEX($V$2:$V$1001,MATCH(ROWS($U$2:U106),$U$2:$U$1001,0),1)&gt;=100000,INDEX($AB$1005:$AQ$1005,1,MATCH(COLUMNS($AB$1006:AN1006),$AB$1006:$AQ$1006,0))&gt;=100000), " ",IF(INDEX($AB$2:$AQ$1001,MATCH(ROWS($U$2:U106),$U$2:$U$1001,0),MATCH(COLUMNS($AB$1006:AN1006),$AB$1006:$AQ$1006,0)), HYPERLINK("#",""), HYPERLINK(CONCATENATE("#Metadata!", ADDRESS(INDEX($W$2:$W$1001,MATCH(ROWS($U$2:U106),$U$2:$U$1001,0),0), INDEX($AB$1004:$AQ$1004,1,MATCH(COLUMNS($AB$1006:AN1006),$AB$1006:$AQ$1006,0)))),"Fix")))</f>
        <v>0</v>
      </c>
      <c r="O106" s="5">
        <f>IF(OR(INDEX($V$2:$V$1001,MATCH(ROWS($U$2:U106),$U$2:$U$1001,0),1)&gt;=100000,INDEX($AB$1005:$AQ$1005,1,MATCH(COLUMNS($AB$1006:AO1006),$AB$1006:$AQ$1006,0))&gt;=100000), " ",IF(INDEX($AB$2:$AQ$1001,MATCH(ROWS($U$2:U106),$U$2:$U$1001,0),MATCH(COLUMNS($AB$1006:AO1006),$AB$1006:$AQ$1006,0)), HYPERLINK("#",""), HYPERLINK(CONCATENATE("#Metadata!", ADDRESS(INDEX($W$2:$W$1001,MATCH(ROWS($U$2:U106),$U$2:$U$1001,0),0), INDEX($AB$1004:$AQ$1004,1,MATCH(COLUMNS($AB$1006:AO1006),$AB$1006:$AQ$1006,0)))),"Fix")))</f>
        <v>0</v>
      </c>
      <c r="P106" s="5">
        <f>IF(OR(INDEX($V$2:$V$1001,MATCH(ROWS($U$2:U106),$U$2:$U$1001,0),1)&gt;=100000,INDEX($AB$1005:$AQ$1005,1,MATCH(COLUMNS($AB$1006:AP1006),$AB$1006:$AQ$1006,0))&gt;=100000), " ",IF(INDEX($AB$2:$AQ$1001,MATCH(ROWS($U$2:U106),$U$2:$U$1001,0),MATCH(COLUMNS($AB$1006:AP1006),$AB$1006:$AQ$1006,0)), HYPERLINK("#",""), HYPERLINK(CONCATENATE("#Metadata!", ADDRESS(INDEX($W$2:$W$1001,MATCH(ROWS($U$2:U106),$U$2:$U$1001,0),0), INDEX($AB$1004:$AQ$1004,1,MATCH(COLUMNS($AB$1006:AP1006),$AB$1006:$AQ$1006,0)))),"Fix")))</f>
        <v>0</v>
      </c>
      <c r="Q106" s="5">
        <f>IF(OR(INDEX($V$2:$V$1001,MATCH(ROWS($U$2:U106),$U$2:$U$1001,0),1)&gt;=100000,INDEX($AB$1005:$AQ$1005,1,MATCH(COLUMNS($AB$1006:AQ1006),$AB$1006:$AQ$1006,0))&gt;=100000), " ",IF(INDEX($AB$2:$AQ$1001,MATCH(ROWS($U$2:U106),$U$2:$U$1001,0),MATCH(COLUMNS($AB$1006:AQ1006),$AB$1006:$AQ$1006,0)), HYPERLINK("#",""), HYPERLINK(CONCATENATE("#Metadata!", ADDRESS(INDEX($W$2:$W$1001,MATCH(ROWS($U$2:U106),$U$2:$U$1001,0),0), INDEX($AB$1004:$AQ$1004,1,MATCH(COLUMNS($AB$1006:AQ1006),$AB$1006:$AQ$1006,0)))),"Fix")))</f>
        <v>0</v>
      </c>
      <c r="U106">
        <v>0</v>
      </c>
      <c r="V106">
        <v>0</v>
      </c>
      <c r="W106">
        <v>0</v>
      </c>
      <c r="X106">
        <f>IF(Y106,TRUE,AND(AB106:AQ106))</f>
        <v>0</v>
      </c>
      <c r="Y106">
        <f>COUNTBLANK(Metadata!B106:Q106)=COLUMNS(Metadata!B106:Q106)</f>
        <v>0</v>
      </c>
      <c r="Z106">
        <v>0</v>
      </c>
      <c r="AB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AC106">
        <f>AND(IF(Metadata!C106="",FALSE,TRUE),exact(Metadata!C106,"urban biome"))</f>
        <v>0</v>
      </c>
      <c r="AD106">
        <f>AND(IF(Metadata!D106="",FALSE,TRUE),exact(Metadata!D106,"human-associated habitat"))</f>
        <v>0</v>
      </c>
      <c r="AE106">
        <f>AND(IF(Metadata!E106="",FALSE,TRUE),OR(exact(Metadata!E106,"human-associated"),exact(Metadata!E106,"human-skin"),exact(Metadata!E106,"human-oral"),exact(Metadata!E106,"human-gut"),exact(Metadata!E106,"human-vaginal")))</f>
        <v>0</v>
      </c>
      <c r="AF106">
        <f>AND(IF(Metadata!F106="",FALSE,ISNUMBER(VALUE(Metadata!F106))),Metadata!F106&gt;0)</f>
        <v>0</v>
      </c>
      <c r="AG106">
        <f>AND(IF(Metadata!G106="",FALSE,TRUE),exact(Metadata!G106,"years"))</f>
        <v>0</v>
      </c>
      <c r="AH106">
        <f>OR(AND(IF(Metadata!H106="",FALSE,TRUE),OR(exact(Metadata!H106,"not applicable"),exact(Metadata!H106,"not collected"),exact(Metadata!H106,"not provided"),exact(Metadata!H106,"restricted access"))),AND(IF(Metadata!H106="",FALSE,ISNUMBER(VALUE(Metadata!H106))),Metadata!H106&gt;0))</f>
        <v>0</v>
      </c>
      <c r="AI106">
        <f>AND(IF(Metadata!I106="",FALSE,TRUE),exact(Metadata!I106,"human"))</f>
        <v>0</v>
      </c>
      <c r="AJ106">
        <f>AND(IF(Metadata!J106="",FALSE,ISNUMBER(VALUE(Metadata!J106))),Metadata!J106&gt;0)</f>
        <v>0</v>
      </c>
      <c r="AK106">
        <f>AND(IF(Metadata!K106="",FALSE,TRUE),exact(Metadata!K106,"cm"))</f>
        <v>0</v>
      </c>
      <c r="AL106">
        <f>AND(IF(Metadata!L106="",FALSE,TRUE),exact(Metadata!L106,"Homo sapiens"))</f>
        <v>0</v>
      </c>
      <c r="AM106">
        <f>AND(IF(Metadata!M106="",FALSE,TRUE),exact(Metadata!M106,"9606"))</f>
        <v>0</v>
      </c>
      <c r="AN106">
        <f>AND(IF(Metadata!N106="",FALSE,ISNUMBER(VALUE(Metadata!N106))),Metadata!N106&gt;0)</f>
        <v>0</v>
      </c>
      <c r="AO106">
        <f>AND(IF(Metadata!O106="",FALSE,TRUE),exact(Metadata!O106,"kg"))</f>
        <v>0</v>
      </c>
      <c r="AP106">
        <f>OR(AND(IF(Metadata!P106="",FALSE,TRUE),exact(Metadata!P106,"not provided")),IF(Metadata!P106="",FALSE,TRUE))</f>
        <v>0</v>
      </c>
      <c r="AQ106">
        <f>OR(AND(IF(Metadata!Q106="",FALSE,TRUE),exact(Metadata!Q106,"not provided")),IF(Metadata!Q106="",FALSE,TRUE))</f>
        <v>0</v>
      </c>
    </row>
    <row r="107" spans="1:43">
      <c r="A107" s="4">
        <f>IF(B107=" "," ",HYPERLINK(CONCATENATE("#metadata!",ADDRESS(INDEX($W$2:$W$1001,MATCH(ROWS($U$2:U107),$U$2:$U$1001,0),0),2)),INDEX($Z$2:$Z$1001,MATCH(ROWS($U$2:U107),$U$2:$U$1001,0),0)))</f>
        <v>0</v>
      </c>
      <c r="B107" s="5">
        <f>IF(OR(INDEX($V$2:$V$1001,MATCH(ROWS($U$2:U107),$U$2:$U$1001,0),1)&gt;=100000,INDEX($AB$1005:$AQ$1005,1,MATCH(COLUMNS($AB$1006:AB1006),$AB$1006:$AQ$1006,0))&gt;=100000), " ",IF(INDEX($AB$2:$AQ$1001,MATCH(ROWS($U$2:U107),$U$2:$U$1001,0),MATCH(COLUMNS($AB$1006:AB1006),$AB$1006:$AQ$1006,0)), HYPERLINK("#",""), HYPERLINK(CONCATENATE("#Metadata!", ADDRESS(INDEX($W$2:$W$1001,MATCH(ROWS($U$2:U107),$U$2:$U$1001,0),0), INDEX($AB$1004:$AQ$1004,1,MATCH(COLUMNS($AB$1006:AB1006),$AB$1006:$AQ$1006,0)))),"Fix")))</f>
        <v>0</v>
      </c>
      <c r="C107" s="5">
        <f>IF(OR(INDEX($V$2:$V$1001,MATCH(ROWS($U$2:U107),$U$2:$U$1001,0),1)&gt;=100000,INDEX($AB$1005:$AQ$1005,1,MATCH(COLUMNS($AB$1006:AC1006),$AB$1006:$AQ$1006,0))&gt;=100000), " ",IF(INDEX($AB$2:$AQ$1001,MATCH(ROWS($U$2:U107),$U$2:$U$1001,0),MATCH(COLUMNS($AB$1006:AC1006),$AB$1006:$AQ$1006,0)), HYPERLINK("#",""), HYPERLINK(CONCATENATE("#Metadata!", ADDRESS(INDEX($W$2:$W$1001,MATCH(ROWS($U$2:U107),$U$2:$U$1001,0),0), INDEX($AB$1004:$AQ$1004,1,MATCH(COLUMNS($AB$1006:AC1006),$AB$1006:$AQ$1006,0)))),"Fix")))</f>
        <v>0</v>
      </c>
      <c r="D107" s="5">
        <f>IF(OR(INDEX($V$2:$V$1001,MATCH(ROWS($U$2:U107),$U$2:$U$1001,0),1)&gt;=100000,INDEX($AB$1005:$AQ$1005,1,MATCH(COLUMNS($AB$1006:AD1006),$AB$1006:$AQ$1006,0))&gt;=100000), " ",IF(INDEX($AB$2:$AQ$1001,MATCH(ROWS($U$2:U107),$U$2:$U$1001,0),MATCH(COLUMNS($AB$1006:AD1006),$AB$1006:$AQ$1006,0)), HYPERLINK("#",""), HYPERLINK(CONCATENATE("#Metadata!", ADDRESS(INDEX($W$2:$W$1001,MATCH(ROWS($U$2:U107),$U$2:$U$1001,0),0), INDEX($AB$1004:$AQ$1004,1,MATCH(COLUMNS($AB$1006:AD1006),$AB$1006:$AQ$1006,0)))),"Fix")))</f>
        <v>0</v>
      </c>
      <c r="E107" s="5">
        <f>IF(OR(INDEX($V$2:$V$1001,MATCH(ROWS($U$2:U107),$U$2:$U$1001,0),1)&gt;=100000,INDEX($AB$1005:$AQ$1005,1,MATCH(COLUMNS($AB$1006:AE1006),$AB$1006:$AQ$1006,0))&gt;=100000), " ",IF(INDEX($AB$2:$AQ$1001,MATCH(ROWS($U$2:U107),$U$2:$U$1001,0),MATCH(COLUMNS($AB$1006:AE1006),$AB$1006:$AQ$1006,0)), HYPERLINK("#",""), HYPERLINK(CONCATENATE("#Metadata!", ADDRESS(INDEX($W$2:$W$1001,MATCH(ROWS($U$2:U107),$U$2:$U$1001,0),0), INDEX($AB$1004:$AQ$1004,1,MATCH(COLUMNS($AB$1006:AE1006),$AB$1006:$AQ$1006,0)))),"Fix")))</f>
        <v>0</v>
      </c>
      <c r="F107" s="5">
        <f>IF(OR(INDEX($V$2:$V$1001,MATCH(ROWS($U$2:U107),$U$2:$U$1001,0),1)&gt;=100000,INDEX($AB$1005:$AQ$1005,1,MATCH(COLUMNS($AB$1006:AF1006),$AB$1006:$AQ$1006,0))&gt;=100000), " ",IF(INDEX($AB$2:$AQ$1001,MATCH(ROWS($U$2:U107),$U$2:$U$1001,0),MATCH(COLUMNS($AB$1006:AF1006),$AB$1006:$AQ$1006,0)), HYPERLINK("#",""), HYPERLINK(CONCATENATE("#Metadata!", ADDRESS(INDEX($W$2:$W$1001,MATCH(ROWS($U$2:U107),$U$2:$U$1001,0),0), INDEX($AB$1004:$AQ$1004,1,MATCH(COLUMNS($AB$1006:AF1006),$AB$1006:$AQ$1006,0)))),"Fix")))</f>
        <v>0</v>
      </c>
      <c r="G107" s="5">
        <f>IF(OR(INDEX($V$2:$V$1001,MATCH(ROWS($U$2:U107),$U$2:$U$1001,0),1)&gt;=100000,INDEX($AB$1005:$AQ$1005,1,MATCH(COLUMNS($AB$1006:AG1006),$AB$1006:$AQ$1006,0))&gt;=100000), " ",IF(INDEX($AB$2:$AQ$1001,MATCH(ROWS($U$2:U107),$U$2:$U$1001,0),MATCH(COLUMNS($AB$1006:AG1006),$AB$1006:$AQ$1006,0)), HYPERLINK("#",""), HYPERLINK(CONCATENATE("#Metadata!", ADDRESS(INDEX($W$2:$W$1001,MATCH(ROWS($U$2:U107),$U$2:$U$1001,0),0), INDEX($AB$1004:$AQ$1004,1,MATCH(COLUMNS($AB$1006:AG1006),$AB$1006:$AQ$1006,0)))),"Fix")))</f>
        <v>0</v>
      </c>
      <c r="H107" s="5">
        <f>IF(OR(INDEX($V$2:$V$1001,MATCH(ROWS($U$2:U107),$U$2:$U$1001,0),1)&gt;=100000,INDEX($AB$1005:$AQ$1005,1,MATCH(COLUMNS($AB$1006:AH1006),$AB$1006:$AQ$1006,0))&gt;=100000), " ",IF(INDEX($AB$2:$AQ$1001,MATCH(ROWS($U$2:U107),$U$2:$U$1001,0),MATCH(COLUMNS($AB$1006:AH1006),$AB$1006:$AQ$1006,0)), HYPERLINK("#",""), HYPERLINK(CONCATENATE("#Metadata!", ADDRESS(INDEX($W$2:$W$1001,MATCH(ROWS($U$2:U107),$U$2:$U$1001,0),0), INDEX($AB$1004:$AQ$1004,1,MATCH(COLUMNS($AB$1006:AH1006),$AB$1006:$AQ$1006,0)))),"Fix")))</f>
        <v>0</v>
      </c>
      <c r="I107" s="5">
        <f>IF(OR(INDEX($V$2:$V$1001,MATCH(ROWS($U$2:U107),$U$2:$U$1001,0),1)&gt;=100000,INDEX($AB$1005:$AQ$1005,1,MATCH(COLUMNS($AB$1006:AI1006),$AB$1006:$AQ$1006,0))&gt;=100000), " ",IF(INDEX($AB$2:$AQ$1001,MATCH(ROWS($U$2:U107),$U$2:$U$1001,0),MATCH(COLUMNS($AB$1006:AI1006),$AB$1006:$AQ$1006,0)), HYPERLINK("#",""), HYPERLINK(CONCATENATE("#Metadata!", ADDRESS(INDEX($W$2:$W$1001,MATCH(ROWS($U$2:U107),$U$2:$U$1001,0),0), INDEX($AB$1004:$AQ$1004,1,MATCH(COLUMNS($AB$1006:AI1006),$AB$1006:$AQ$1006,0)))),"Fix")))</f>
        <v>0</v>
      </c>
      <c r="J107" s="5">
        <f>IF(OR(INDEX($V$2:$V$1001,MATCH(ROWS($U$2:U107),$U$2:$U$1001,0),1)&gt;=100000,INDEX($AB$1005:$AQ$1005,1,MATCH(COLUMNS($AB$1006:AJ1006),$AB$1006:$AQ$1006,0))&gt;=100000), " ",IF(INDEX($AB$2:$AQ$1001,MATCH(ROWS($U$2:U107),$U$2:$U$1001,0),MATCH(COLUMNS($AB$1006:AJ1006),$AB$1006:$AQ$1006,0)), HYPERLINK("#",""), HYPERLINK(CONCATENATE("#Metadata!", ADDRESS(INDEX($W$2:$W$1001,MATCH(ROWS($U$2:U107),$U$2:$U$1001,0),0), INDEX($AB$1004:$AQ$1004,1,MATCH(COLUMNS($AB$1006:AJ1006),$AB$1006:$AQ$1006,0)))),"Fix")))</f>
        <v>0</v>
      </c>
      <c r="K107" s="5">
        <f>IF(OR(INDEX($V$2:$V$1001,MATCH(ROWS($U$2:U107),$U$2:$U$1001,0),1)&gt;=100000,INDEX($AB$1005:$AQ$1005,1,MATCH(COLUMNS($AB$1006:AK1006),$AB$1006:$AQ$1006,0))&gt;=100000), " ",IF(INDEX($AB$2:$AQ$1001,MATCH(ROWS($U$2:U107),$U$2:$U$1001,0),MATCH(COLUMNS($AB$1006:AK1006),$AB$1006:$AQ$1006,0)), HYPERLINK("#",""), HYPERLINK(CONCATENATE("#Metadata!", ADDRESS(INDEX($W$2:$W$1001,MATCH(ROWS($U$2:U107),$U$2:$U$1001,0),0), INDEX($AB$1004:$AQ$1004,1,MATCH(COLUMNS($AB$1006:AK1006),$AB$1006:$AQ$1006,0)))),"Fix")))</f>
        <v>0</v>
      </c>
      <c r="L107" s="5">
        <f>IF(OR(INDEX($V$2:$V$1001,MATCH(ROWS($U$2:U107),$U$2:$U$1001,0),1)&gt;=100000,INDEX($AB$1005:$AQ$1005,1,MATCH(COLUMNS($AB$1006:AL1006),$AB$1006:$AQ$1006,0))&gt;=100000), " ",IF(INDEX($AB$2:$AQ$1001,MATCH(ROWS($U$2:U107),$U$2:$U$1001,0),MATCH(COLUMNS($AB$1006:AL1006),$AB$1006:$AQ$1006,0)), HYPERLINK("#",""), HYPERLINK(CONCATENATE("#Metadata!", ADDRESS(INDEX($W$2:$W$1001,MATCH(ROWS($U$2:U107),$U$2:$U$1001,0),0), INDEX($AB$1004:$AQ$1004,1,MATCH(COLUMNS($AB$1006:AL1006),$AB$1006:$AQ$1006,0)))),"Fix")))</f>
        <v>0</v>
      </c>
      <c r="M107" s="5">
        <f>IF(OR(INDEX($V$2:$V$1001,MATCH(ROWS($U$2:U107),$U$2:$U$1001,0),1)&gt;=100000,INDEX($AB$1005:$AQ$1005,1,MATCH(COLUMNS($AB$1006:AM1006),$AB$1006:$AQ$1006,0))&gt;=100000), " ",IF(INDEX($AB$2:$AQ$1001,MATCH(ROWS($U$2:U107),$U$2:$U$1001,0),MATCH(COLUMNS($AB$1006:AM1006),$AB$1006:$AQ$1006,0)), HYPERLINK("#",""), HYPERLINK(CONCATENATE("#Metadata!", ADDRESS(INDEX($W$2:$W$1001,MATCH(ROWS($U$2:U107),$U$2:$U$1001,0),0), INDEX($AB$1004:$AQ$1004,1,MATCH(COLUMNS($AB$1006:AM1006),$AB$1006:$AQ$1006,0)))),"Fix")))</f>
        <v>0</v>
      </c>
      <c r="N107" s="5">
        <f>IF(OR(INDEX($V$2:$V$1001,MATCH(ROWS($U$2:U107),$U$2:$U$1001,0),1)&gt;=100000,INDEX($AB$1005:$AQ$1005,1,MATCH(COLUMNS($AB$1006:AN1006),$AB$1006:$AQ$1006,0))&gt;=100000), " ",IF(INDEX($AB$2:$AQ$1001,MATCH(ROWS($U$2:U107),$U$2:$U$1001,0),MATCH(COLUMNS($AB$1006:AN1006),$AB$1006:$AQ$1006,0)), HYPERLINK("#",""), HYPERLINK(CONCATENATE("#Metadata!", ADDRESS(INDEX($W$2:$W$1001,MATCH(ROWS($U$2:U107),$U$2:$U$1001,0),0), INDEX($AB$1004:$AQ$1004,1,MATCH(COLUMNS($AB$1006:AN1006),$AB$1006:$AQ$1006,0)))),"Fix")))</f>
        <v>0</v>
      </c>
      <c r="O107" s="5">
        <f>IF(OR(INDEX($V$2:$V$1001,MATCH(ROWS($U$2:U107),$U$2:$U$1001,0),1)&gt;=100000,INDEX($AB$1005:$AQ$1005,1,MATCH(COLUMNS($AB$1006:AO1006),$AB$1006:$AQ$1006,0))&gt;=100000), " ",IF(INDEX($AB$2:$AQ$1001,MATCH(ROWS($U$2:U107),$U$2:$U$1001,0),MATCH(COLUMNS($AB$1006:AO1006),$AB$1006:$AQ$1006,0)), HYPERLINK("#",""), HYPERLINK(CONCATENATE("#Metadata!", ADDRESS(INDEX($W$2:$W$1001,MATCH(ROWS($U$2:U107),$U$2:$U$1001,0),0), INDEX($AB$1004:$AQ$1004,1,MATCH(COLUMNS($AB$1006:AO1006),$AB$1006:$AQ$1006,0)))),"Fix")))</f>
        <v>0</v>
      </c>
      <c r="P107" s="5">
        <f>IF(OR(INDEX($V$2:$V$1001,MATCH(ROWS($U$2:U107),$U$2:$U$1001,0),1)&gt;=100000,INDEX($AB$1005:$AQ$1005,1,MATCH(COLUMNS($AB$1006:AP1006),$AB$1006:$AQ$1006,0))&gt;=100000), " ",IF(INDEX($AB$2:$AQ$1001,MATCH(ROWS($U$2:U107),$U$2:$U$1001,0),MATCH(COLUMNS($AB$1006:AP1006),$AB$1006:$AQ$1006,0)), HYPERLINK("#",""), HYPERLINK(CONCATENATE("#Metadata!", ADDRESS(INDEX($W$2:$W$1001,MATCH(ROWS($U$2:U107),$U$2:$U$1001,0),0), INDEX($AB$1004:$AQ$1004,1,MATCH(COLUMNS($AB$1006:AP1006),$AB$1006:$AQ$1006,0)))),"Fix")))</f>
        <v>0</v>
      </c>
      <c r="Q107" s="5">
        <f>IF(OR(INDEX($V$2:$V$1001,MATCH(ROWS($U$2:U107),$U$2:$U$1001,0),1)&gt;=100000,INDEX($AB$1005:$AQ$1005,1,MATCH(COLUMNS($AB$1006:AQ1006),$AB$1006:$AQ$1006,0))&gt;=100000), " ",IF(INDEX($AB$2:$AQ$1001,MATCH(ROWS($U$2:U107),$U$2:$U$1001,0),MATCH(COLUMNS($AB$1006:AQ1006),$AB$1006:$AQ$1006,0)), HYPERLINK("#",""), HYPERLINK(CONCATENATE("#Metadata!", ADDRESS(INDEX($W$2:$W$1001,MATCH(ROWS($U$2:U107),$U$2:$U$1001,0),0), INDEX($AB$1004:$AQ$1004,1,MATCH(COLUMNS($AB$1006:AQ1006),$AB$1006:$AQ$1006,0)))),"Fix")))</f>
        <v>0</v>
      </c>
      <c r="U107">
        <v>0</v>
      </c>
      <c r="V107">
        <v>0</v>
      </c>
      <c r="W107">
        <v>0</v>
      </c>
      <c r="X107">
        <f>IF(Y107,TRUE,AND(AB107:AQ107))</f>
        <v>0</v>
      </c>
      <c r="Y107">
        <f>COUNTBLANK(Metadata!B107:Q107)=COLUMNS(Metadata!B107:Q107)</f>
        <v>0</v>
      </c>
      <c r="Z107">
        <v>0</v>
      </c>
      <c r="AB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AC107">
        <f>AND(IF(Metadata!C107="",FALSE,TRUE),exact(Metadata!C107,"urban biome"))</f>
        <v>0</v>
      </c>
      <c r="AD107">
        <f>AND(IF(Metadata!D107="",FALSE,TRUE),exact(Metadata!D107,"human-associated habitat"))</f>
        <v>0</v>
      </c>
      <c r="AE107">
        <f>AND(IF(Metadata!E107="",FALSE,TRUE),OR(exact(Metadata!E107,"human-associated"),exact(Metadata!E107,"human-skin"),exact(Metadata!E107,"human-oral"),exact(Metadata!E107,"human-gut"),exact(Metadata!E107,"human-vaginal")))</f>
        <v>0</v>
      </c>
      <c r="AF107">
        <f>AND(IF(Metadata!F107="",FALSE,ISNUMBER(VALUE(Metadata!F107))),Metadata!F107&gt;0)</f>
        <v>0</v>
      </c>
      <c r="AG107">
        <f>AND(IF(Metadata!G107="",FALSE,TRUE),exact(Metadata!G107,"years"))</f>
        <v>0</v>
      </c>
      <c r="AH107">
        <f>OR(AND(IF(Metadata!H107="",FALSE,TRUE),OR(exact(Metadata!H107,"not applicable"),exact(Metadata!H107,"not collected"),exact(Metadata!H107,"not provided"),exact(Metadata!H107,"restricted access"))),AND(IF(Metadata!H107="",FALSE,ISNUMBER(VALUE(Metadata!H107))),Metadata!H107&gt;0))</f>
        <v>0</v>
      </c>
      <c r="AI107">
        <f>AND(IF(Metadata!I107="",FALSE,TRUE),exact(Metadata!I107,"human"))</f>
        <v>0</v>
      </c>
      <c r="AJ107">
        <f>AND(IF(Metadata!J107="",FALSE,ISNUMBER(VALUE(Metadata!J107))),Metadata!J107&gt;0)</f>
        <v>0</v>
      </c>
      <c r="AK107">
        <f>AND(IF(Metadata!K107="",FALSE,TRUE),exact(Metadata!K107,"cm"))</f>
        <v>0</v>
      </c>
      <c r="AL107">
        <f>AND(IF(Metadata!L107="",FALSE,TRUE),exact(Metadata!L107,"Homo sapiens"))</f>
        <v>0</v>
      </c>
      <c r="AM107">
        <f>AND(IF(Metadata!M107="",FALSE,TRUE),exact(Metadata!M107,"9606"))</f>
        <v>0</v>
      </c>
      <c r="AN107">
        <f>AND(IF(Metadata!N107="",FALSE,ISNUMBER(VALUE(Metadata!N107))),Metadata!N107&gt;0)</f>
        <v>0</v>
      </c>
      <c r="AO107">
        <f>AND(IF(Metadata!O107="",FALSE,TRUE),exact(Metadata!O107,"kg"))</f>
        <v>0</v>
      </c>
      <c r="AP107">
        <f>OR(AND(IF(Metadata!P107="",FALSE,TRUE),exact(Metadata!P107,"not provided")),IF(Metadata!P107="",FALSE,TRUE))</f>
        <v>0</v>
      </c>
      <c r="AQ107">
        <f>OR(AND(IF(Metadata!Q107="",FALSE,TRUE),exact(Metadata!Q107,"not provided")),IF(Metadata!Q107="",FALSE,TRUE))</f>
        <v>0</v>
      </c>
    </row>
    <row r="108" spans="1:43">
      <c r="A108" s="4">
        <f>IF(B108=" "," ",HYPERLINK(CONCATENATE("#metadata!",ADDRESS(INDEX($W$2:$W$1001,MATCH(ROWS($U$2:U108),$U$2:$U$1001,0),0),2)),INDEX($Z$2:$Z$1001,MATCH(ROWS($U$2:U108),$U$2:$U$1001,0),0)))</f>
        <v>0</v>
      </c>
      <c r="B108" s="5">
        <f>IF(OR(INDEX($V$2:$V$1001,MATCH(ROWS($U$2:U108),$U$2:$U$1001,0),1)&gt;=100000,INDEX($AB$1005:$AQ$1005,1,MATCH(COLUMNS($AB$1006:AB1006),$AB$1006:$AQ$1006,0))&gt;=100000), " ",IF(INDEX($AB$2:$AQ$1001,MATCH(ROWS($U$2:U108),$U$2:$U$1001,0),MATCH(COLUMNS($AB$1006:AB1006),$AB$1006:$AQ$1006,0)), HYPERLINK("#",""), HYPERLINK(CONCATENATE("#Metadata!", ADDRESS(INDEX($W$2:$W$1001,MATCH(ROWS($U$2:U108),$U$2:$U$1001,0),0), INDEX($AB$1004:$AQ$1004,1,MATCH(COLUMNS($AB$1006:AB1006),$AB$1006:$AQ$1006,0)))),"Fix")))</f>
        <v>0</v>
      </c>
      <c r="C108" s="5">
        <f>IF(OR(INDEX($V$2:$V$1001,MATCH(ROWS($U$2:U108),$U$2:$U$1001,0),1)&gt;=100000,INDEX($AB$1005:$AQ$1005,1,MATCH(COLUMNS($AB$1006:AC1006),$AB$1006:$AQ$1006,0))&gt;=100000), " ",IF(INDEX($AB$2:$AQ$1001,MATCH(ROWS($U$2:U108),$U$2:$U$1001,0),MATCH(COLUMNS($AB$1006:AC1006),$AB$1006:$AQ$1006,0)), HYPERLINK("#",""), HYPERLINK(CONCATENATE("#Metadata!", ADDRESS(INDEX($W$2:$W$1001,MATCH(ROWS($U$2:U108),$U$2:$U$1001,0),0), INDEX($AB$1004:$AQ$1004,1,MATCH(COLUMNS($AB$1006:AC1006),$AB$1006:$AQ$1006,0)))),"Fix")))</f>
        <v>0</v>
      </c>
      <c r="D108" s="5">
        <f>IF(OR(INDEX($V$2:$V$1001,MATCH(ROWS($U$2:U108),$U$2:$U$1001,0),1)&gt;=100000,INDEX($AB$1005:$AQ$1005,1,MATCH(COLUMNS($AB$1006:AD1006),$AB$1006:$AQ$1006,0))&gt;=100000), " ",IF(INDEX($AB$2:$AQ$1001,MATCH(ROWS($U$2:U108),$U$2:$U$1001,0),MATCH(COLUMNS($AB$1006:AD1006),$AB$1006:$AQ$1006,0)), HYPERLINK("#",""), HYPERLINK(CONCATENATE("#Metadata!", ADDRESS(INDEX($W$2:$W$1001,MATCH(ROWS($U$2:U108),$U$2:$U$1001,0),0), INDEX($AB$1004:$AQ$1004,1,MATCH(COLUMNS($AB$1006:AD1006),$AB$1006:$AQ$1006,0)))),"Fix")))</f>
        <v>0</v>
      </c>
      <c r="E108" s="5">
        <f>IF(OR(INDEX($V$2:$V$1001,MATCH(ROWS($U$2:U108),$U$2:$U$1001,0),1)&gt;=100000,INDEX($AB$1005:$AQ$1005,1,MATCH(COLUMNS($AB$1006:AE1006),$AB$1006:$AQ$1006,0))&gt;=100000), " ",IF(INDEX($AB$2:$AQ$1001,MATCH(ROWS($U$2:U108),$U$2:$U$1001,0),MATCH(COLUMNS($AB$1006:AE1006),$AB$1006:$AQ$1006,0)), HYPERLINK("#",""), HYPERLINK(CONCATENATE("#Metadata!", ADDRESS(INDEX($W$2:$W$1001,MATCH(ROWS($U$2:U108),$U$2:$U$1001,0),0), INDEX($AB$1004:$AQ$1004,1,MATCH(COLUMNS($AB$1006:AE1006),$AB$1006:$AQ$1006,0)))),"Fix")))</f>
        <v>0</v>
      </c>
      <c r="F108" s="5">
        <f>IF(OR(INDEX($V$2:$V$1001,MATCH(ROWS($U$2:U108),$U$2:$U$1001,0),1)&gt;=100000,INDEX($AB$1005:$AQ$1005,1,MATCH(COLUMNS($AB$1006:AF1006),$AB$1006:$AQ$1006,0))&gt;=100000), " ",IF(INDEX($AB$2:$AQ$1001,MATCH(ROWS($U$2:U108),$U$2:$U$1001,0),MATCH(COLUMNS($AB$1006:AF1006),$AB$1006:$AQ$1006,0)), HYPERLINK("#",""), HYPERLINK(CONCATENATE("#Metadata!", ADDRESS(INDEX($W$2:$W$1001,MATCH(ROWS($U$2:U108),$U$2:$U$1001,0),0), INDEX($AB$1004:$AQ$1004,1,MATCH(COLUMNS($AB$1006:AF1006),$AB$1006:$AQ$1006,0)))),"Fix")))</f>
        <v>0</v>
      </c>
      <c r="G108" s="5">
        <f>IF(OR(INDEX($V$2:$V$1001,MATCH(ROWS($U$2:U108),$U$2:$U$1001,0),1)&gt;=100000,INDEX($AB$1005:$AQ$1005,1,MATCH(COLUMNS($AB$1006:AG1006),$AB$1006:$AQ$1006,0))&gt;=100000), " ",IF(INDEX($AB$2:$AQ$1001,MATCH(ROWS($U$2:U108),$U$2:$U$1001,0),MATCH(COLUMNS($AB$1006:AG1006),$AB$1006:$AQ$1006,0)), HYPERLINK("#",""), HYPERLINK(CONCATENATE("#Metadata!", ADDRESS(INDEX($W$2:$W$1001,MATCH(ROWS($U$2:U108),$U$2:$U$1001,0),0), INDEX($AB$1004:$AQ$1004,1,MATCH(COLUMNS($AB$1006:AG1006),$AB$1006:$AQ$1006,0)))),"Fix")))</f>
        <v>0</v>
      </c>
      <c r="H108" s="5">
        <f>IF(OR(INDEX($V$2:$V$1001,MATCH(ROWS($U$2:U108),$U$2:$U$1001,0),1)&gt;=100000,INDEX($AB$1005:$AQ$1005,1,MATCH(COLUMNS($AB$1006:AH1006),$AB$1006:$AQ$1006,0))&gt;=100000), " ",IF(INDEX($AB$2:$AQ$1001,MATCH(ROWS($U$2:U108),$U$2:$U$1001,0),MATCH(COLUMNS($AB$1006:AH1006),$AB$1006:$AQ$1006,0)), HYPERLINK("#",""), HYPERLINK(CONCATENATE("#Metadata!", ADDRESS(INDEX($W$2:$W$1001,MATCH(ROWS($U$2:U108),$U$2:$U$1001,0),0), INDEX($AB$1004:$AQ$1004,1,MATCH(COLUMNS($AB$1006:AH1006),$AB$1006:$AQ$1006,0)))),"Fix")))</f>
        <v>0</v>
      </c>
      <c r="I108" s="5">
        <f>IF(OR(INDEX($V$2:$V$1001,MATCH(ROWS($U$2:U108),$U$2:$U$1001,0),1)&gt;=100000,INDEX($AB$1005:$AQ$1005,1,MATCH(COLUMNS($AB$1006:AI1006),$AB$1006:$AQ$1006,0))&gt;=100000), " ",IF(INDEX($AB$2:$AQ$1001,MATCH(ROWS($U$2:U108),$U$2:$U$1001,0),MATCH(COLUMNS($AB$1006:AI1006),$AB$1006:$AQ$1006,0)), HYPERLINK("#",""), HYPERLINK(CONCATENATE("#Metadata!", ADDRESS(INDEX($W$2:$W$1001,MATCH(ROWS($U$2:U108),$U$2:$U$1001,0),0), INDEX($AB$1004:$AQ$1004,1,MATCH(COLUMNS($AB$1006:AI1006),$AB$1006:$AQ$1006,0)))),"Fix")))</f>
        <v>0</v>
      </c>
      <c r="J108" s="5">
        <f>IF(OR(INDEX($V$2:$V$1001,MATCH(ROWS($U$2:U108),$U$2:$U$1001,0),1)&gt;=100000,INDEX($AB$1005:$AQ$1005,1,MATCH(COLUMNS($AB$1006:AJ1006),$AB$1006:$AQ$1006,0))&gt;=100000), " ",IF(INDEX($AB$2:$AQ$1001,MATCH(ROWS($U$2:U108),$U$2:$U$1001,0),MATCH(COLUMNS($AB$1006:AJ1006),$AB$1006:$AQ$1006,0)), HYPERLINK("#",""), HYPERLINK(CONCATENATE("#Metadata!", ADDRESS(INDEX($W$2:$W$1001,MATCH(ROWS($U$2:U108),$U$2:$U$1001,0),0), INDEX($AB$1004:$AQ$1004,1,MATCH(COLUMNS($AB$1006:AJ1006),$AB$1006:$AQ$1006,0)))),"Fix")))</f>
        <v>0</v>
      </c>
      <c r="K108" s="5">
        <f>IF(OR(INDEX($V$2:$V$1001,MATCH(ROWS($U$2:U108),$U$2:$U$1001,0),1)&gt;=100000,INDEX($AB$1005:$AQ$1005,1,MATCH(COLUMNS($AB$1006:AK1006),$AB$1006:$AQ$1006,0))&gt;=100000), " ",IF(INDEX($AB$2:$AQ$1001,MATCH(ROWS($U$2:U108),$U$2:$U$1001,0),MATCH(COLUMNS($AB$1006:AK1006),$AB$1006:$AQ$1006,0)), HYPERLINK("#",""), HYPERLINK(CONCATENATE("#Metadata!", ADDRESS(INDEX($W$2:$W$1001,MATCH(ROWS($U$2:U108),$U$2:$U$1001,0),0), INDEX($AB$1004:$AQ$1004,1,MATCH(COLUMNS($AB$1006:AK1006),$AB$1006:$AQ$1006,0)))),"Fix")))</f>
        <v>0</v>
      </c>
      <c r="L108" s="5">
        <f>IF(OR(INDEX($V$2:$V$1001,MATCH(ROWS($U$2:U108),$U$2:$U$1001,0),1)&gt;=100000,INDEX($AB$1005:$AQ$1005,1,MATCH(COLUMNS($AB$1006:AL1006),$AB$1006:$AQ$1006,0))&gt;=100000), " ",IF(INDEX($AB$2:$AQ$1001,MATCH(ROWS($U$2:U108),$U$2:$U$1001,0),MATCH(COLUMNS($AB$1006:AL1006),$AB$1006:$AQ$1006,0)), HYPERLINK("#",""), HYPERLINK(CONCATENATE("#Metadata!", ADDRESS(INDEX($W$2:$W$1001,MATCH(ROWS($U$2:U108),$U$2:$U$1001,0),0), INDEX($AB$1004:$AQ$1004,1,MATCH(COLUMNS($AB$1006:AL1006),$AB$1006:$AQ$1006,0)))),"Fix")))</f>
        <v>0</v>
      </c>
      <c r="M108" s="5">
        <f>IF(OR(INDEX($V$2:$V$1001,MATCH(ROWS($U$2:U108),$U$2:$U$1001,0),1)&gt;=100000,INDEX($AB$1005:$AQ$1005,1,MATCH(COLUMNS($AB$1006:AM1006),$AB$1006:$AQ$1006,0))&gt;=100000), " ",IF(INDEX($AB$2:$AQ$1001,MATCH(ROWS($U$2:U108),$U$2:$U$1001,0),MATCH(COLUMNS($AB$1006:AM1006),$AB$1006:$AQ$1006,0)), HYPERLINK("#",""), HYPERLINK(CONCATENATE("#Metadata!", ADDRESS(INDEX($W$2:$W$1001,MATCH(ROWS($U$2:U108),$U$2:$U$1001,0),0), INDEX($AB$1004:$AQ$1004,1,MATCH(COLUMNS($AB$1006:AM1006),$AB$1006:$AQ$1006,0)))),"Fix")))</f>
        <v>0</v>
      </c>
      <c r="N108" s="5">
        <f>IF(OR(INDEX($V$2:$V$1001,MATCH(ROWS($U$2:U108),$U$2:$U$1001,0),1)&gt;=100000,INDEX($AB$1005:$AQ$1005,1,MATCH(COLUMNS($AB$1006:AN1006),$AB$1006:$AQ$1006,0))&gt;=100000), " ",IF(INDEX($AB$2:$AQ$1001,MATCH(ROWS($U$2:U108),$U$2:$U$1001,0),MATCH(COLUMNS($AB$1006:AN1006),$AB$1006:$AQ$1006,0)), HYPERLINK("#",""), HYPERLINK(CONCATENATE("#Metadata!", ADDRESS(INDEX($W$2:$W$1001,MATCH(ROWS($U$2:U108),$U$2:$U$1001,0),0), INDEX($AB$1004:$AQ$1004,1,MATCH(COLUMNS($AB$1006:AN1006),$AB$1006:$AQ$1006,0)))),"Fix")))</f>
        <v>0</v>
      </c>
      <c r="O108" s="5">
        <f>IF(OR(INDEX($V$2:$V$1001,MATCH(ROWS($U$2:U108),$U$2:$U$1001,0),1)&gt;=100000,INDEX($AB$1005:$AQ$1005,1,MATCH(COLUMNS($AB$1006:AO1006),$AB$1006:$AQ$1006,0))&gt;=100000), " ",IF(INDEX($AB$2:$AQ$1001,MATCH(ROWS($U$2:U108),$U$2:$U$1001,0),MATCH(COLUMNS($AB$1006:AO1006),$AB$1006:$AQ$1006,0)), HYPERLINK("#",""), HYPERLINK(CONCATENATE("#Metadata!", ADDRESS(INDEX($W$2:$W$1001,MATCH(ROWS($U$2:U108),$U$2:$U$1001,0),0), INDEX($AB$1004:$AQ$1004,1,MATCH(COLUMNS($AB$1006:AO1006),$AB$1006:$AQ$1006,0)))),"Fix")))</f>
        <v>0</v>
      </c>
      <c r="P108" s="5">
        <f>IF(OR(INDEX($V$2:$V$1001,MATCH(ROWS($U$2:U108),$U$2:$U$1001,0),1)&gt;=100000,INDEX($AB$1005:$AQ$1005,1,MATCH(COLUMNS($AB$1006:AP1006),$AB$1006:$AQ$1006,0))&gt;=100000), " ",IF(INDEX($AB$2:$AQ$1001,MATCH(ROWS($U$2:U108),$U$2:$U$1001,0),MATCH(COLUMNS($AB$1006:AP1006),$AB$1006:$AQ$1006,0)), HYPERLINK("#",""), HYPERLINK(CONCATENATE("#Metadata!", ADDRESS(INDEX($W$2:$W$1001,MATCH(ROWS($U$2:U108),$U$2:$U$1001,0),0), INDEX($AB$1004:$AQ$1004,1,MATCH(COLUMNS($AB$1006:AP1006),$AB$1006:$AQ$1006,0)))),"Fix")))</f>
        <v>0</v>
      </c>
      <c r="Q108" s="5">
        <f>IF(OR(INDEX($V$2:$V$1001,MATCH(ROWS($U$2:U108),$U$2:$U$1001,0),1)&gt;=100000,INDEX($AB$1005:$AQ$1005,1,MATCH(COLUMNS($AB$1006:AQ1006),$AB$1006:$AQ$1006,0))&gt;=100000), " ",IF(INDEX($AB$2:$AQ$1001,MATCH(ROWS($U$2:U108),$U$2:$U$1001,0),MATCH(COLUMNS($AB$1006:AQ1006),$AB$1006:$AQ$1006,0)), HYPERLINK("#",""), HYPERLINK(CONCATENATE("#Metadata!", ADDRESS(INDEX($W$2:$W$1001,MATCH(ROWS($U$2:U108),$U$2:$U$1001,0),0), INDEX($AB$1004:$AQ$1004,1,MATCH(COLUMNS($AB$1006:AQ1006),$AB$1006:$AQ$1006,0)))),"Fix")))</f>
        <v>0</v>
      </c>
      <c r="U108">
        <v>0</v>
      </c>
      <c r="V108">
        <v>0</v>
      </c>
      <c r="W108">
        <v>0</v>
      </c>
      <c r="X108">
        <f>IF(Y108,TRUE,AND(AB108:AQ108))</f>
        <v>0</v>
      </c>
      <c r="Y108">
        <f>COUNTBLANK(Metadata!B108:Q108)=COLUMNS(Metadata!B108:Q108)</f>
        <v>0</v>
      </c>
      <c r="Z108">
        <v>0</v>
      </c>
      <c r="AB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AC108">
        <f>AND(IF(Metadata!C108="",FALSE,TRUE),exact(Metadata!C108,"urban biome"))</f>
        <v>0</v>
      </c>
      <c r="AD108">
        <f>AND(IF(Metadata!D108="",FALSE,TRUE),exact(Metadata!D108,"human-associated habitat"))</f>
        <v>0</v>
      </c>
      <c r="AE108">
        <f>AND(IF(Metadata!E108="",FALSE,TRUE),OR(exact(Metadata!E108,"human-associated"),exact(Metadata!E108,"human-skin"),exact(Metadata!E108,"human-oral"),exact(Metadata!E108,"human-gut"),exact(Metadata!E108,"human-vaginal")))</f>
        <v>0</v>
      </c>
      <c r="AF108">
        <f>AND(IF(Metadata!F108="",FALSE,ISNUMBER(VALUE(Metadata!F108))),Metadata!F108&gt;0)</f>
        <v>0</v>
      </c>
      <c r="AG108">
        <f>AND(IF(Metadata!G108="",FALSE,TRUE),exact(Metadata!G108,"years"))</f>
        <v>0</v>
      </c>
      <c r="AH108">
        <f>OR(AND(IF(Metadata!H108="",FALSE,TRUE),OR(exact(Metadata!H108,"not applicable"),exact(Metadata!H108,"not collected"),exact(Metadata!H108,"not provided"),exact(Metadata!H108,"restricted access"))),AND(IF(Metadata!H108="",FALSE,ISNUMBER(VALUE(Metadata!H108))),Metadata!H108&gt;0))</f>
        <v>0</v>
      </c>
      <c r="AI108">
        <f>AND(IF(Metadata!I108="",FALSE,TRUE),exact(Metadata!I108,"human"))</f>
        <v>0</v>
      </c>
      <c r="AJ108">
        <f>AND(IF(Metadata!J108="",FALSE,ISNUMBER(VALUE(Metadata!J108))),Metadata!J108&gt;0)</f>
        <v>0</v>
      </c>
      <c r="AK108">
        <f>AND(IF(Metadata!K108="",FALSE,TRUE),exact(Metadata!K108,"cm"))</f>
        <v>0</v>
      </c>
      <c r="AL108">
        <f>AND(IF(Metadata!L108="",FALSE,TRUE),exact(Metadata!L108,"Homo sapiens"))</f>
        <v>0</v>
      </c>
      <c r="AM108">
        <f>AND(IF(Metadata!M108="",FALSE,TRUE),exact(Metadata!M108,"9606"))</f>
        <v>0</v>
      </c>
      <c r="AN108">
        <f>AND(IF(Metadata!N108="",FALSE,ISNUMBER(VALUE(Metadata!N108))),Metadata!N108&gt;0)</f>
        <v>0</v>
      </c>
      <c r="AO108">
        <f>AND(IF(Metadata!O108="",FALSE,TRUE),exact(Metadata!O108,"kg"))</f>
        <v>0</v>
      </c>
      <c r="AP108">
        <f>OR(AND(IF(Metadata!P108="",FALSE,TRUE),exact(Metadata!P108,"not provided")),IF(Metadata!P108="",FALSE,TRUE))</f>
        <v>0</v>
      </c>
      <c r="AQ108">
        <f>OR(AND(IF(Metadata!Q108="",FALSE,TRUE),exact(Metadata!Q108,"not provided")),IF(Metadata!Q108="",FALSE,TRUE))</f>
        <v>0</v>
      </c>
    </row>
    <row r="109" spans="1:43">
      <c r="A109" s="4">
        <f>IF(B109=" "," ",HYPERLINK(CONCATENATE("#metadata!",ADDRESS(INDEX($W$2:$W$1001,MATCH(ROWS($U$2:U109),$U$2:$U$1001,0),0),2)),INDEX($Z$2:$Z$1001,MATCH(ROWS($U$2:U109),$U$2:$U$1001,0),0)))</f>
        <v>0</v>
      </c>
      <c r="B109" s="5">
        <f>IF(OR(INDEX($V$2:$V$1001,MATCH(ROWS($U$2:U109),$U$2:$U$1001,0),1)&gt;=100000,INDEX($AB$1005:$AQ$1005,1,MATCH(COLUMNS($AB$1006:AB1006),$AB$1006:$AQ$1006,0))&gt;=100000), " ",IF(INDEX($AB$2:$AQ$1001,MATCH(ROWS($U$2:U109),$U$2:$U$1001,0),MATCH(COLUMNS($AB$1006:AB1006),$AB$1006:$AQ$1006,0)), HYPERLINK("#",""), HYPERLINK(CONCATENATE("#Metadata!", ADDRESS(INDEX($W$2:$W$1001,MATCH(ROWS($U$2:U109),$U$2:$U$1001,0),0), INDEX($AB$1004:$AQ$1004,1,MATCH(COLUMNS($AB$1006:AB1006),$AB$1006:$AQ$1006,0)))),"Fix")))</f>
        <v>0</v>
      </c>
      <c r="C109" s="5">
        <f>IF(OR(INDEX($V$2:$V$1001,MATCH(ROWS($U$2:U109),$U$2:$U$1001,0),1)&gt;=100000,INDEX($AB$1005:$AQ$1005,1,MATCH(COLUMNS($AB$1006:AC1006),$AB$1006:$AQ$1006,0))&gt;=100000), " ",IF(INDEX($AB$2:$AQ$1001,MATCH(ROWS($U$2:U109),$U$2:$U$1001,0),MATCH(COLUMNS($AB$1006:AC1006),$AB$1006:$AQ$1006,0)), HYPERLINK("#",""), HYPERLINK(CONCATENATE("#Metadata!", ADDRESS(INDEX($W$2:$W$1001,MATCH(ROWS($U$2:U109),$U$2:$U$1001,0),0), INDEX($AB$1004:$AQ$1004,1,MATCH(COLUMNS($AB$1006:AC1006),$AB$1006:$AQ$1006,0)))),"Fix")))</f>
        <v>0</v>
      </c>
      <c r="D109" s="5">
        <f>IF(OR(INDEX($V$2:$V$1001,MATCH(ROWS($U$2:U109),$U$2:$U$1001,0),1)&gt;=100000,INDEX($AB$1005:$AQ$1005,1,MATCH(COLUMNS($AB$1006:AD1006),$AB$1006:$AQ$1006,0))&gt;=100000), " ",IF(INDEX($AB$2:$AQ$1001,MATCH(ROWS($U$2:U109),$U$2:$U$1001,0),MATCH(COLUMNS($AB$1006:AD1006),$AB$1006:$AQ$1006,0)), HYPERLINK("#",""), HYPERLINK(CONCATENATE("#Metadata!", ADDRESS(INDEX($W$2:$W$1001,MATCH(ROWS($U$2:U109),$U$2:$U$1001,0),0), INDEX($AB$1004:$AQ$1004,1,MATCH(COLUMNS($AB$1006:AD1006),$AB$1006:$AQ$1006,0)))),"Fix")))</f>
        <v>0</v>
      </c>
      <c r="E109" s="5">
        <f>IF(OR(INDEX($V$2:$V$1001,MATCH(ROWS($U$2:U109),$U$2:$U$1001,0),1)&gt;=100000,INDEX($AB$1005:$AQ$1005,1,MATCH(COLUMNS($AB$1006:AE1006),$AB$1006:$AQ$1006,0))&gt;=100000), " ",IF(INDEX($AB$2:$AQ$1001,MATCH(ROWS($U$2:U109),$U$2:$U$1001,0),MATCH(COLUMNS($AB$1006:AE1006),$AB$1006:$AQ$1006,0)), HYPERLINK("#",""), HYPERLINK(CONCATENATE("#Metadata!", ADDRESS(INDEX($W$2:$W$1001,MATCH(ROWS($U$2:U109),$U$2:$U$1001,0),0), INDEX($AB$1004:$AQ$1004,1,MATCH(COLUMNS($AB$1006:AE1006),$AB$1006:$AQ$1006,0)))),"Fix")))</f>
        <v>0</v>
      </c>
      <c r="F109" s="5">
        <f>IF(OR(INDEX($V$2:$V$1001,MATCH(ROWS($U$2:U109),$U$2:$U$1001,0),1)&gt;=100000,INDEX($AB$1005:$AQ$1005,1,MATCH(COLUMNS($AB$1006:AF1006),$AB$1006:$AQ$1006,0))&gt;=100000), " ",IF(INDEX($AB$2:$AQ$1001,MATCH(ROWS($U$2:U109),$U$2:$U$1001,0),MATCH(COLUMNS($AB$1006:AF1006),$AB$1006:$AQ$1006,0)), HYPERLINK("#",""), HYPERLINK(CONCATENATE("#Metadata!", ADDRESS(INDEX($W$2:$W$1001,MATCH(ROWS($U$2:U109),$U$2:$U$1001,0),0), INDEX($AB$1004:$AQ$1004,1,MATCH(COLUMNS($AB$1006:AF1006),$AB$1006:$AQ$1006,0)))),"Fix")))</f>
        <v>0</v>
      </c>
      <c r="G109" s="5">
        <f>IF(OR(INDEX($V$2:$V$1001,MATCH(ROWS($U$2:U109),$U$2:$U$1001,0),1)&gt;=100000,INDEX($AB$1005:$AQ$1005,1,MATCH(COLUMNS($AB$1006:AG1006),$AB$1006:$AQ$1006,0))&gt;=100000), " ",IF(INDEX($AB$2:$AQ$1001,MATCH(ROWS($U$2:U109),$U$2:$U$1001,0),MATCH(COLUMNS($AB$1006:AG1006),$AB$1006:$AQ$1006,0)), HYPERLINK("#",""), HYPERLINK(CONCATENATE("#Metadata!", ADDRESS(INDEX($W$2:$W$1001,MATCH(ROWS($U$2:U109),$U$2:$U$1001,0),0), INDEX($AB$1004:$AQ$1004,1,MATCH(COLUMNS($AB$1006:AG1006),$AB$1006:$AQ$1006,0)))),"Fix")))</f>
        <v>0</v>
      </c>
      <c r="H109" s="5">
        <f>IF(OR(INDEX($V$2:$V$1001,MATCH(ROWS($U$2:U109),$U$2:$U$1001,0),1)&gt;=100000,INDEX($AB$1005:$AQ$1005,1,MATCH(COLUMNS($AB$1006:AH1006),$AB$1006:$AQ$1006,0))&gt;=100000), " ",IF(INDEX($AB$2:$AQ$1001,MATCH(ROWS($U$2:U109),$U$2:$U$1001,0),MATCH(COLUMNS($AB$1006:AH1006),$AB$1006:$AQ$1006,0)), HYPERLINK("#",""), HYPERLINK(CONCATENATE("#Metadata!", ADDRESS(INDEX($W$2:$W$1001,MATCH(ROWS($U$2:U109),$U$2:$U$1001,0),0), INDEX($AB$1004:$AQ$1004,1,MATCH(COLUMNS($AB$1006:AH1006),$AB$1006:$AQ$1006,0)))),"Fix")))</f>
        <v>0</v>
      </c>
      <c r="I109" s="5">
        <f>IF(OR(INDEX($V$2:$V$1001,MATCH(ROWS($U$2:U109),$U$2:$U$1001,0),1)&gt;=100000,INDEX($AB$1005:$AQ$1005,1,MATCH(COLUMNS($AB$1006:AI1006),$AB$1006:$AQ$1006,0))&gt;=100000), " ",IF(INDEX($AB$2:$AQ$1001,MATCH(ROWS($U$2:U109),$U$2:$U$1001,0),MATCH(COLUMNS($AB$1006:AI1006),$AB$1006:$AQ$1006,0)), HYPERLINK("#",""), HYPERLINK(CONCATENATE("#Metadata!", ADDRESS(INDEX($W$2:$W$1001,MATCH(ROWS($U$2:U109),$U$2:$U$1001,0),0), INDEX($AB$1004:$AQ$1004,1,MATCH(COLUMNS($AB$1006:AI1006),$AB$1006:$AQ$1006,0)))),"Fix")))</f>
        <v>0</v>
      </c>
      <c r="J109" s="5">
        <f>IF(OR(INDEX($V$2:$V$1001,MATCH(ROWS($U$2:U109),$U$2:$U$1001,0),1)&gt;=100000,INDEX($AB$1005:$AQ$1005,1,MATCH(COLUMNS($AB$1006:AJ1006),$AB$1006:$AQ$1006,0))&gt;=100000), " ",IF(INDEX($AB$2:$AQ$1001,MATCH(ROWS($U$2:U109),$U$2:$U$1001,0),MATCH(COLUMNS($AB$1006:AJ1006),$AB$1006:$AQ$1006,0)), HYPERLINK("#",""), HYPERLINK(CONCATENATE("#Metadata!", ADDRESS(INDEX($W$2:$W$1001,MATCH(ROWS($U$2:U109),$U$2:$U$1001,0),0), INDEX($AB$1004:$AQ$1004,1,MATCH(COLUMNS($AB$1006:AJ1006),$AB$1006:$AQ$1006,0)))),"Fix")))</f>
        <v>0</v>
      </c>
      <c r="K109" s="5">
        <f>IF(OR(INDEX($V$2:$V$1001,MATCH(ROWS($U$2:U109),$U$2:$U$1001,0),1)&gt;=100000,INDEX($AB$1005:$AQ$1005,1,MATCH(COLUMNS($AB$1006:AK1006),$AB$1006:$AQ$1006,0))&gt;=100000), " ",IF(INDEX($AB$2:$AQ$1001,MATCH(ROWS($U$2:U109),$U$2:$U$1001,0),MATCH(COLUMNS($AB$1006:AK1006),$AB$1006:$AQ$1006,0)), HYPERLINK("#",""), HYPERLINK(CONCATENATE("#Metadata!", ADDRESS(INDEX($W$2:$W$1001,MATCH(ROWS($U$2:U109),$U$2:$U$1001,0),0), INDEX($AB$1004:$AQ$1004,1,MATCH(COLUMNS($AB$1006:AK1006),$AB$1006:$AQ$1006,0)))),"Fix")))</f>
        <v>0</v>
      </c>
      <c r="L109" s="5">
        <f>IF(OR(INDEX($V$2:$V$1001,MATCH(ROWS($U$2:U109),$U$2:$U$1001,0),1)&gt;=100000,INDEX($AB$1005:$AQ$1005,1,MATCH(COLUMNS($AB$1006:AL1006),$AB$1006:$AQ$1006,0))&gt;=100000), " ",IF(INDEX($AB$2:$AQ$1001,MATCH(ROWS($U$2:U109),$U$2:$U$1001,0),MATCH(COLUMNS($AB$1006:AL1006),$AB$1006:$AQ$1006,0)), HYPERLINK("#",""), HYPERLINK(CONCATENATE("#Metadata!", ADDRESS(INDEX($W$2:$W$1001,MATCH(ROWS($U$2:U109),$U$2:$U$1001,0),0), INDEX($AB$1004:$AQ$1004,1,MATCH(COLUMNS($AB$1006:AL1006),$AB$1006:$AQ$1006,0)))),"Fix")))</f>
        <v>0</v>
      </c>
      <c r="M109" s="5">
        <f>IF(OR(INDEX($V$2:$V$1001,MATCH(ROWS($U$2:U109),$U$2:$U$1001,0),1)&gt;=100000,INDEX($AB$1005:$AQ$1005,1,MATCH(COLUMNS($AB$1006:AM1006),$AB$1006:$AQ$1006,0))&gt;=100000), " ",IF(INDEX($AB$2:$AQ$1001,MATCH(ROWS($U$2:U109),$U$2:$U$1001,0),MATCH(COLUMNS($AB$1006:AM1006),$AB$1006:$AQ$1006,0)), HYPERLINK("#",""), HYPERLINK(CONCATENATE("#Metadata!", ADDRESS(INDEX($W$2:$W$1001,MATCH(ROWS($U$2:U109),$U$2:$U$1001,0),0), INDEX($AB$1004:$AQ$1004,1,MATCH(COLUMNS($AB$1006:AM1006),$AB$1006:$AQ$1006,0)))),"Fix")))</f>
        <v>0</v>
      </c>
      <c r="N109" s="5">
        <f>IF(OR(INDEX($V$2:$V$1001,MATCH(ROWS($U$2:U109),$U$2:$U$1001,0),1)&gt;=100000,INDEX($AB$1005:$AQ$1005,1,MATCH(COLUMNS($AB$1006:AN1006),$AB$1006:$AQ$1006,0))&gt;=100000), " ",IF(INDEX($AB$2:$AQ$1001,MATCH(ROWS($U$2:U109),$U$2:$U$1001,0),MATCH(COLUMNS($AB$1006:AN1006),$AB$1006:$AQ$1006,0)), HYPERLINK("#",""), HYPERLINK(CONCATENATE("#Metadata!", ADDRESS(INDEX($W$2:$W$1001,MATCH(ROWS($U$2:U109),$U$2:$U$1001,0),0), INDEX($AB$1004:$AQ$1004,1,MATCH(COLUMNS($AB$1006:AN1006),$AB$1006:$AQ$1006,0)))),"Fix")))</f>
        <v>0</v>
      </c>
      <c r="O109" s="5">
        <f>IF(OR(INDEX($V$2:$V$1001,MATCH(ROWS($U$2:U109),$U$2:$U$1001,0),1)&gt;=100000,INDEX($AB$1005:$AQ$1005,1,MATCH(COLUMNS($AB$1006:AO1006),$AB$1006:$AQ$1006,0))&gt;=100000), " ",IF(INDEX($AB$2:$AQ$1001,MATCH(ROWS($U$2:U109),$U$2:$U$1001,0),MATCH(COLUMNS($AB$1006:AO1006),$AB$1006:$AQ$1006,0)), HYPERLINK("#",""), HYPERLINK(CONCATENATE("#Metadata!", ADDRESS(INDEX($W$2:$W$1001,MATCH(ROWS($U$2:U109),$U$2:$U$1001,0),0), INDEX($AB$1004:$AQ$1004,1,MATCH(COLUMNS($AB$1006:AO1006),$AB$1006:$AQ$1006,0)))),"Fix")))</f>
        <v>0</v>
      </c>
      <c r="P109" s="5">
        <f>IF(OR(INDEX($V$2:$V$1001,MATCH(ROWS($U$2:U109),$U$2:$U$1001,0),1)&gt;=100000,INDEX($AB$1005:$AQ$1005,1,MATCH(COLUMNS($AB$1006:AP1006),$AB$1006:$AQ$1006,0))&gt;=100000), " ",IF(INDEX($AB$2:$AQ$1001,MATCH(ROWS($U$2:U109),$U$2:$U$1001,0),MATCH(COLUMNS($AB$1006:AP1006),$AB$1006:$AQ$1006,0)), HYPERLINK("#",""), HYPERLINK(CONCATENATE("#Metadata!", ADDRESS(INDEX($W$2:$W$1001,MATCH(ROWS($U$2:U109),$U$2:$U$1001,0),0), INDEX($AB$1004:$AQ$1004,1,MATCH(COLUMNS($AB$1006:AP1006),$AB$1006:$AQ$1006,0)))),"Fix")))</f>
        <v>0</v>
      </c>
      <c r="Q109" s="5">
        <f>IF(OR(INDEX($V$2:$V$1001,MATCH(ROWS($U$2:U109),$U$2:$U$1001,0),1)&gt;=100000,INDEX($AB$1005:$AQ$1005,1,MATCH(COLUMNS($AB$1006:AQ1006),$AB$1006:$AQ$1006,0))&gt;=100000), " ",IF(INDEX($AB$2:$AQ$1001,MATCH(ROWS($U$2:U109),$U$2:$U$1001,0),MATCH(COLUMNS($AB$1006:AQ1006),$AB$1006:$AQ$1006,0)), HYPERLINK("#",""), HYPERLINK(CONCATENATE("#Metadata!", ADDRESS(INDEX($W$2:$W$1001,MATCH(ROWS($U$2:U109),$U$2:$U$1001,0),0), INDEX($AB$1004:$AQ$1004,1,MATCH(COLUMNS($AB$1006:AQ1006),$AB$1006:$AQ$1006,0)))),"Fix")))</f>
        <v>0</v>
      </c>
      <c r="U109">
        <v>0</v>
      </c>
      <c r="V109">
        <v>0</v>
      </c>
      <c r="W109">
        <v>0</v>
      </c>
      <c r="X109">
        <f>IF(Y109,TRUE,AND(AB109:AQ109))</f>
        <v>0</v>
      </c>
      <c r="Y109">
        <f>COUNTBLANK(Metadata!B109:Q109)=COLUMNS(Metadata!B109:Q109)</f>
        <v>0</v>
      </c>
      <c r="Z109">
        <v>0</v>
      </c>
      <c r="AB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AC109">
        <f>AND(IF(Metadata!C109="",FALSE,TRUE),exact(Metadata!C109,"urban biome"))</f>
        <v>0</v>
      </c>
      <c r="AD109">
        <f>AND(IF(Metadata!D109="",FALSE,TRUE),exact(Metadata!D109,"human-associated habitat"))</f>
        <v>0</v>
      </c>
      <c r="AE109">
        <f>AND(IF(Metadata!E109="",FALSE,TRUE),OR(exact(Metadata!E109,"human-associated"),exact(Metadata!E109,"human-skin"),exact(Metadata!E109,"human-oral"),exact(Metadata!E109,"human-gut"),exact(Metadata!E109,"human-vaginal")))</f>
        <v>0</v>
      </c>
      <c r="AF109">
        <f>AND(IF(Metadata!F109="",FALSE,ISNUMBER(VALUE(Metadata!F109))),Metadata!F109&gt;0)</f>
        <v>0</v>
      </c>
      <c r="AG109">
        <f>AND(IF(Metadata!G109="",FALSE,TRUE),exact(Metadata!G109,"years"))</f>
        <v>0</v>
      </c>
      <c r="AH109">
        <f>OR(AND(IF(Metadata!H109="",FALSE,TRUE),OR(exact(Metadata!H109,"not applicable"),exact(Metadata!H109,"not collected"),exact(Metadata!H109,"not provided"),exact(Metadata!H109,"restricted access"))),AND(IF(Metadata!H109="",FALSE,ISNUMBER(VALUE(Metadata!H109))),Metadata!H109&gt;0))</f>
        <v>0</v>
      </c>
      <c r="AI109">
        <f>AND(IF(Metadata!I109="",FALSE,TRUE),exact(Metadata!I109,"human"))</f>
        <v>0</v>
      </c>
      <c r="AJ109">
        <f>AND(IF(Metadata!J109="",FALSE,ISNUMBER(VALUE(Metadata!J109))),Metadata!J109&gt;0)</f>
        <v>0</v>
      </c>
      <c r="AK109">
        <f>AND(IF(Metadata!K109="",FALSE,TRUE),exact(Metadata!K109,"cm"))</f>
        <v>0</v>
      </c>
      <c r="AL109">
        <f>AND(IF(Metadata!L109="",FALSE,TRUE),exact(Metadata!L109,"Homo sapiens"))</f>
        <v>0</v>
      </c>
      <c r="AM109">
        <f>AND(IF(Metadata!M109="",FALSE,TRUE),exact(Metadata!M109,"9606"))</f>
        <v>0</v>
      </c>
      <c r="AN109">
        <f>AND(IF(Metadata!N109="",FALSE,ISNUMBER(VALUE(Metadata!N109))),Metadata!N109&gt;0)</f>
        <v>0</v>
      </c>
      <c r="AO109">
        <f>AND(IF(Metadata!O109="",FALSE,TRUE),exact(Metadata!O109,"kg"))</f>
        <v>0</v>
      </c>
      <c r="AP109">
        <f>OR(AND(IF(Metadata!P109="",FALSE,TRUE),exact(Metadata!P109,"not provided")),IF(Metadata!P109="",FALSE,TRUE))</f>
        <v>0</v>
      </c>
      <c r="AQ109">
        <f>OR(AND(IF(Metadata!Q109="",FALSE,TRUE),exact(Metadata!Q109,"not provided")),IF(Metadata!Q109="",FALSE,TRUE))</f>
        <v>0</v>
      </c>
    </row>
    <row r="110" spans="1:43">
      <c r="A110" s="4">
        <f>IF(B110=" "," ",HYPERLINK(CONCATENATE("#metadata!",ADDRESS(INDEX($W$2:$W$1001,MATCH(ROWS($U$2:U110),$U$2:$U$1001,0),0),2)),INDEX($Z$2:$Z$1001,MATCH(ROWS($U$2:U110),$U$2:$U$1001,0),0)))</f>
        <v>0</v>
      </c>
      <c r="B110" s="5">
        <f>IF(OR(INDEX($V$2:$V$1001,MATCH(ROWS($U$2:U110),$U$2:$U$1001,0),1)&gt;=100000,INDEX($AB$1005:$AQ$1005,1,MATCH(COLUMNS($AB$1006:AB1006),$AB$1006:$AQ$1006,0))&gt;=100000), " ",IF(INDEX($AB$2:$AQ$1001,MATCH(ROWS($U$2:U110),$U$2:$U$1001,0),MATCH(COLUMNS($AB$1006:AB1006),$AB$1006:$AQ$1006,0)), HYPERLINK("#",""), HYPERLINK(CONCATENATE("#Metadata!", ADDRESS(INDEX($W$2:$W$1001,MATCH(ROWS($U$2:U110),$U$2:$U$1001,0),0), INDEX($AB$1004:$AQ$1004,1,MATCH(COLUMNS($AB$1006:AB1006),$AB$1006:$AQ$1006,0)))),"Fix")))</f>
        <v>0</v>
      </c>
      <c r="C110" s="5">
        <f>IF(OR(INDEX($V$2:$V$1001,MATCH(ROWS($U$2:U110),$U$2:$U$1001,0),1)&gt;=100000,INDEX($AB$1005:$AQ$1005,1,MATCH(COLUMNS($AB$1006:AC1006),$AB$1006:$AQ$1006,0))&gt;=100000), " ",IF(INDEX($AB$2:$AQ$1001,MATCH(ROWS($U$2:U110),$U$2:$U$1001,0),MATCH(COLUMNS($AB$1006:AC1006),$AB$1006:$AQ$1006,0)), HYPERLINK("#",""), HYPERLINK(CONCATENATE("#Metadata!", ADDRESS(INDEX($W$2:$W$1001,MATCH(ROWS($U$2:U110),$U$2:$U$1001,0),0), INDEX($AB$1004:$AQ$1004,1,MATCH(COLUMNS($AB$1006:AC1006),$AB$1006:$AQ$1006,0)))),"Fix")))</f>
        <v>0</v>
      </c>
      <c r="D110" s="5">
        <f>IF(OR(INDEX($V$2:$V$1001,MATCH(ROWS($U$2:U110),$U$2:$U$1001,0),1)&gt;=100000,INDEX($AB$1005:$AQ$1005,1,MATCH(COLUMNS($AB$1006:AD1006),$AB$1006:$AQ$1006,0))&gt;=100000), " ",IF(INDEX($AB$2:$AQ$1001,MATCH(ROWS($U$2:U110),$U$2:$U$1001,0),MATCH(COLUMNS($AB$1006:AD1006),$AB$1006:$AQ$1006,0)), HYPERLINK("#",""), HYPERLINK(CONCATENATE("#Metadata!", ADDRESS(INDEX($W$2:$W$1001,MATCH(ROWS($U$2:U110),$U$2:$U$1001,0),0), INDEX($AB$1004:$AQ$1004,1,MATCH(COLUMNS($AB$1006:AD1006),$AB$1006:$AQ$1006,0)))),"Fix")))</f>
        <v>0</v>
      </c>
      <c r="E110" s="5">
        <f>IF(OR(INDEX($V$2:$V$1001,MATCH(ROWS($U$2:U110),$U$2:$U$1001,0),1)&gt;=100000,INDEX($AB$1005:$AQ$1005,1,MATCH(COLUMNS($AB$1006:AE1006),$AB$1006:$AQ$1006,0))&gt;=100000), " ",IF(INDEX($AB$2:$AQ$1001,MATCH(ROWS($U$2:U110),$U$2:$U$1001,0),MATCH(COLUMNS($AB$1006:AE1006),$AB$1006:$AQ$1006,0)), HYPERLINK("#",""), HYPERLINK(CONCATENATE("#Metadata!", ADDRESS(INDEX($W$2:$W$1001,MATCH(ROWS($U$2:U110),$U$2:$U$1001,0),0), INDEX($AB$1004:$AQ$1004,1,MATCH(COLUMNS($AB$1006:AE1006),$AB$1006:$AQ$1006,0)))),"Fix")))</f>
        <v>0</v>
      </c>
      <c r="F110" s="5">
        <f>IF(OR(INDEX($V$2:$V$1001,MATCH(ROWS($U$2:U110),$U$2:$U$1001,0),1)&gt;=100000,INDEX($AB$1005:$AQ$1005,1,MATCH(COLUMNS($AB$1006:AF1006),$AB$1006:$AQ$1006,0))&gt;=100000), " ",IF(INDEX($AB$2:$AQ$1001,MATCH(ROWS($U$2:U110),$U$2:$U$1001,0),MATCH(COLUMNS($AB$1006:AF1006),$AB$1006:$AQ$1006,0)), HYPERLINK("#",""), HYPERLINK(CONCATENATE("#Metadata!", ADDRESS(INDEX($W$2:$W$1001,MATCH(ROWS($U$2:U110),$U$2:$U$1001,0),0), INDEX($AB$1004:$AQ$1004,1,MATCH(COLUMNS($AB$1006:AF1006),$AB$1006:$AQ$1006,0)))),"Fix")))</f>
        <v>0</v>
      </c>
      <c r="G110" s="5">
        <f>IF(OR(INDEX($V$2:$V$1001,MATCH(ROWS($U$2:U110),$U$2:$U$1001,0),1)&gt;=100000,INDEX($AB$1005:$AQ$1005,1,MATCH(COLUMNS($AB$1006:AG1006),$AB$1006:$AQ$1006,0))&gt;=100000), " ",IF(INDEX($AB$2:$AQ$1001,MATCH(ROWS($U$2:U110),$U$2:$U$1001,0),MATCH(COLUMNS($AB$1006:AG1006),$AB$1006:$AQ$1006,0)), HYPERLINK("#",""), HYPERLINK(CONCATENATE("#Metadata!", ADDRESS(INDEX($W$2:$W$1001,MATCH(ROWS($U$2:U110),$U$2:$U$1001,0),0), INDEX($AB$1004:$AQ$1004,1,MATCH(COLUMNS($AB$1006:AG1006),$AB$1006:$AQ$1006,0)))),"Fix")))</f>
        <v>0</v>
      </c>
      <c r="H110" s="5">
        <f>IF(OR(INDEX($V$2:$V$1001,MATCH(ROWS($U$2:U110),$U$2:$U$1001,0),1)&gt;=100000,INDEX($AB$1005:$AQ$1005,1,MATCH(COLUMNS($AB$1006:AH1006),$AB$1006:$AQ$1006,0))&gt;=100000), " ",IF(INDEX($AB$2:$AQ$1001,MATCH(ROWS($U$2:U110),$U$2:$U$1001,0),MATCH(COLUMNS($AB$1006:AH1006),$AB$1006:$AQ$1006,0)), HYPERLINK("#",""), HYPERLINK(CONCATENATE("#Metadata!", ADDRESS(INDEX($W$2:$W$1001,MATCH(ROWS($U$2:U110),$U$2:$U$1001,0),0), INDEX($AB$1004:$AQ$1004,1,MATCH(COLUMNS($AB$1006:AH1006),$AB$1006:$AQ$1006,0)))),"Fix")))</f>
        <v>0</v>
      </c>
      <c r="I110" s="5">
        <f>IF(OR(INDEX($V$2:$V$1001,MATCH(ROWS($U$2:U110),$U$2:$U$1001,0),1)&gt;=100000,INDEX($AB$1005:$AQ$1005,1,MATCH(COLUMNS($AB$1006:AI1006),$AB$1006:$AQ$1006,0))&gt;=100000), " ",IF(INDEX($AB$2:$AQ$1001,MATCH(ROWS($U$2:U110),$U$2:$U$1001,0),MATCH(COLUMNS($AB$1006:AI1006),$AB$1006:$AQ$1006,0)), HYPERLINK("#",""), HYPERLINK(CONCATENATE("#Metadata!", ADDRESS(INDEX($W$2:$W$1001,MATCH(ROWS($U$2:U110),$U$2:$U$1001,0),0), INDEX($AB$1004:$AQ$1004,1,MATCH(COLUMNS($AB$1006:AI1006),$AB$1006:$AQ$1006,0)))),"Fix")))</f>
        <v>0</v>
      </c>
      <c r="J110" s="5">
        <f>IF(OR(INDEX($V$2:$V$1001,MATCH(ROWS($U$2:U110),$U$2:$U$1001,0),1)&gt;=100000,INDEX($AB$1005:$AQ$1005,1,MATCH(COLUMNS($AB$1006:AJ1006),$AB$1006:$AQ$1006,0))&gt;=100000), " ",IF(INDEX($AB$2:$AQ$1001,MATCH(ROWS($U$2:U110),$U$2:$U$1001,0),MATCH(COLUMNS($AB$1006:AJ1006),$AB$1006:$AQ$1006,0)), HYPERLINK("#",""), HYPERLINK(CONCATENATE("#Metadata!", ADDRESS(INDEX($W$2:$W$1001,MATCH(ROWS($U$2:U110),$U$2:$U$1001,0),0), INDEX($AB$1004:$AQ$1004,1,MATCH(COLUMNS($AB$1006:AJ1006),$AB$1006:$AQ$1006,0)))),"Fix")))</f>
        <v>0</v>
      </c>
      <c r="K110" s="5">
        <f>IF(OR(INDEX($V$2:$V$1001,MATCH(ROWS($U$2:U110),$U$2:$U$1001,0),1)&gt;=100000,INDEX($AB$1005:$AQ$1005,1,MATCH(COLUMNS($AB$1006:AK1006),$AB$1006:$AQ$1006,0))&gt;=100000), " ",IF(INDEX($AB$2:$AQ$1001,MATCH(ROWS($U$2:U110),$U$2:$U$1001,0),MATCH(COLUMNS($AB$1006:AK1006),$AB$1006:$AQ$1006,0)), HYPERLINK("#",""), HYPERLINK(CONCATENATE("#Metadata!", ADDRESS(INDEX($W$2:$W$1001,MATCH(ROWS($U$2:U110),$U$2:$U$1001,0),0), INDEX($AB$1004:$AQ$1004,1,MATCH(COLUMNS($AB$1006:AK1006),$AB$1006:$AQ$1006,0)))),"Fix")))</f>
        <v>0</v>
      </c>
      <c r="L110" s="5">
        <f>IF(OR(INDEX($V$2:$V$1001,MATCH(ROWS($U$2:U110),$U$2:$U$1001,0),1)&gt;=100000,INDEX($AB$1005:$AQ$1005,1,MATCH(COLUMNS($AB$1006:AL1006),$AB$1006:$AQ$1006,0))&gt;=100000), " ",IF(INDEX($AB$2:$AQ$1001,MATCH(ROWS($U$2:U110),$U$2:$U$1001,0),MATCH(COLUMNS($AB$1006:AL1006),$AB$1006:$AQ$1006,0)), HYPERLINK("#",""), HYPERLINK(CONCATENATE("#Metadata!", ADDRESS(INDEX($W$2:$W$1001,MATCH(ROWS($U$2:U110),$U$2:$U$1001,0),0), INDEX($AB$1004:$AQ$1004,1,MATCH(COLUMNS($AB$1006:AL1006),$AB$1006:$AQ$1006,0)))),"Fix")))</f>
        <v>0</v>
      </c>
      <c r="M110" s="5">
        <f>IF(OR(INDEX($V$2:$V$1001,MATCH(ROWS($U$2:U110),$U$2:$U$1001,0),1)&gt;=100000,INDEX($AB$1005:$AQ$1005,1,MATCH(COLUMNS($AB$1006:AM1006),$AB$1006:$AQ$1006,0))&gt;=100000), " ",IF(INDEX($AB$2:$AQ$1001,MATCH(ROWS($U$2:U110),$U$2:$U$1001,0),MATCH(COLUMNS($AB$1006:AM1006),$AB$1006:$AQ$1006,0)), HYPERLINK("#",""), HYPERLINK(CONCATENATE("#Metadata!", ADDRESS(INDEX($W$2:$W$1001,MATCH(ROWS($U$2:U110),$U$2:$U$1001,0),0), INDEX($AB$1004:$AQ$1004,1,MATCH(COLUMNS($AB$1006:AM1006),$AB$1006:$AQ$1006,0)))),"Fix")))</f>
        <v>0</v>
      </c>
      <c r="N110" s="5">
        <f>IF(OR(INDEX($V$2:$V$1001,MATCH(ROWS($U$2:U110),$U$2:$U$1001,0),1)&gt;=100000,INDEX($AB$1005:$AQ$1005,1,MATCH(COLUMNS($AB$1006:AN1006),$AB$1006:$AQ$1006,0))&gt;=100000), " ",IF(INDEX($AB$2:$AQ$1001,MATCH(ROWS($U$2:U110),$U$2:$U$1001,0),MATCH(COLUMNS($AB$1006:AN1006),$AB$1006:$AQ$1006,0)), HYPERLINK("#",""), HYPERLINK(CONCATENATE("#Metadata!", ADDRESS(INDEX($W$2:$W$1001,MATCH(ROWS($U$2:U110),$U$2:$U$1001,0),0), INDEX($AB$1004:$AQ$1004,1,MATCH(COLUMNS($AB$1006:AN1006),$AB$1006:$AQ$1006,0)))),"Fix")))</f>
        <v>0</v>
      </c>
      <c r="O110" s="5">
        <f>IF(OR(INDEX($V$2:$V$1001,MATCH(ROWS($U$2:U110),$U$2:$U$1001,0),1)&gt;=100000,INDEX($AB$1005:$AQ$1005,1,MATCH(COLUMNS($AB$1006:AO1006),$AB$1006:$AQ$1006,0))&gt;=100000), " ",IF(INDEX($AB$2:$AQ$1001,MATCH(ROWS($U$2:U110),$U$2:$U$1001,0),MATCH(COLUMNS($AB$1006:AO1006),$AB$1006:$AQ$1006,0)), HYPERLINK("#",""), HYPERLINK(CONCATENATE("#Metadata!", ADDRESS(INDEX($W$2:$W$1001,MATCH(ROWS($U$2:U110),$U$2:$U$1001,0),0), INDEX($AB$1004:$AQ$1004,1,MATCH(COLUMNS($AB$1006:AO1006),$AB$1006:$AQ$1006,0)))),"Fix")))</f>
        <v>0</v>
      </c>
      <c r="P110" s="5">
        <f>IF(OR(INDEX($V$2:$V$1001,MATCH(ROWS($U$2:U110),$U$2:$U$1001,0),1)&gt;=100000,INDEX($AB$1005:$AQ$1005,1,MATCH(COLUMNS($AB$1006:AP1006),$AB$1006:$AQ$1006,0))&gt;=100000), " ",IF(INDEX($AB$2:$AQ$1001,MATCH(ROWS($U$2:U110),$U$2:$U$1001,0),MATCH(COLUMNS($AB$1006:AP1006),$AB$1006:$AQ$1006,0)), HYPERLINK("#",""), HYPERLINK(CONCATENATE("#Metadata!", ADDRESS(INDEX($W$2:$W$1001,MATCH(ROWS($U$2:U110),$U$2:$U$1001,0),0), INDEX($AB$1004:$AQ$1004,1,MATCH(COLUMNS($AB$1006:AP1006),$AB$1006:$AQ$1006,0)))),"Fix")))</f>
        <v>0</v>
      </c>
      <c r="Q110" s="5">
        <f>IF(OR(INDEX($V$2:$V$1001,MATCH(ROWS($U$2:U110),$U$2:$U$1001,0),1)&gt;=100000,INDEX($AB$1005:$AQ$1005,1,MATCH(COLUMNS($AB$1006:AQ1006),$AB$1006:$AQ$1006,0))&gt;=100000), " ",IF(INDEX($AB$2:$AQ$1001,MATCH(ROWS($U$2:U110),$U$2:$U$1001,0),MATCH(COLUMNS($AB$1006:AQ1006),$AB$1006:$AQ$1006,0)), HYPERLINK("#",""), HYPERLINK(CONCATENATE("#Metadata!", ADDRESS(INDEX($W$2:$W$1001,MATCH(ROWS($U$2:U110),$U$2:$U$1001,0),0), INDEX($AB$1004:$AQ$1004,1,MATCH(COLUMNS($AB$1006:AQ1006),$AB$1006:$AQ$1006,0)))),"Fix")))</f>
        <v>0</v>
      </c>
      <c r="U110">
        <v>0</v>
      </c>
      <c r="V110">
        <v>0</v>
      </c>
      <c r="W110">
        <v>0</v>
      </c>
      <c r="X110">
        <f>IF(Y110,TRUE,AND(AB110:AQ110))</f>
        <v>0</v>
      </c>
      <c r="Y110">
        <f>COUNTBLANK(Metadata!B110:Q110)=COLUMNS(Metadata!B110:Q110)</f>
        <v>0</v>
      </c>
      <c r="Z110">
        <v>0</v>
      </c>
      <c r="AB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AC110">
        <f>AND(IF(Metadata!C110="",FALSE,TRUE),exact(Metadata!C110,"urban biome"))</f>
        <v>0</v>
      </c>
      <c r="AD110">
        <f>AND(IF(Metadata!D110="",FALSE,TRUE),exact(Metadata!D110,"human-associated habitat"))</f>
        <v>0</v>
      </c>
      <c r="AE110">
        <f>AND(IF(Metadata!E110="",FALSE,TRUE),OR(exact(Metadata!E110,"human-associated"),exact(Metadata!E110,"human-skin"),exact(Metadata!E110,"human-oral"),exact(Metadata!E110,"human-gut"),exact(Metadata!E110,"human-vaginal")))</f>
        <v>0</v>
      </c>
      <c r="AF110">
        <f>AND(IF(Metadata!F110="",FALSE,ISNUMBER(VALUE(Metadata!F110))),Metadata!F110&gt;0)</f>
        <v>0</v>
      </c>
      <c r="AG110">
        <f>AND(IF(Metadata!G110="",FALSE,TRUE),exact(Metadata!G110,"years"))</f>
        <v>0</v>
      </c>
      <c r="AH110">
        <f>OR(AND(IF(Metadata!H110="",FALSE,TRUE),OR(exact(Metadata!H110,"not applicable"),exact(Metadata!H110,"not collected"),exact(Metadata!H110,"not provided"),exact(Metadata!H110,"restricted access"))),AND(IF(Metadata!H110="",FALSE,ISNUMBER(VALUE(Metadata!H110))),Metadata!H110&gt;0))</f>
        <v>0</v>
      </c>
      <c r="AI110">
        <f>AND(IF(Metadata!I110="",FALSE,TRUE),exact(Metadata!I110,"human"))</f>
        <v>0</v>
      </c>
      <c r="AJ110">
        <f>AND(IF(Metadata!J110="",FALSE,ISNUMBER(VALUE(Metadata!J110))),Metadata!J110&gt;0)</f>
        <v>0</v>
      </c>
      <c r="AK110">
        <f>AND(IF(Metadata!K110="",FALSE,TRUE),exact(Metadata!K110,"cm"))</f>
        <v>0</v>
      </c>
      <c r="AL110">
        <f>AND(IF(Metadata!L110="",FALSE,TRUE),exact(Metadata!L110,"Homo sapiens"))</f>
        <v>0</v>
      </c>
      <c r="AM110">
        <f>AND(IF(Metadata!M110="",FALSE,TRUE),exact(Metadata!M110,"9606"))</f>
        <v>0</v>
      </c>
      <c r="AN110">
        <f>AND(IF(Metadata!N110="",FALSE,ISNUMBER(VALUE(Metadata!N110))),Metadata!N110&gt;0)</f>
        <v>0</v>
      </c>
      <c r="AO110">
        <f>AND(IF(Metadata!O110="",FALSE,TRUE),exact(Metadata!O110,"kg"))</f>
        <v>0</v>
      </c>
      <c r="AP110">
        <f>OR(AND(IF(Metadata!P110="",FALSE,TRUE),exact(Metadata!P110,"not provided")),IF(Metadata!P110="",FALSE,TRUE))</f>
        <v>0</v>
      </c>
      <c r="AQ110">
        <f>OR(AND(IF(Metadata!Q110="",FALSE,TRUE),exact(Metadata!Q110,"not provided")),IF(Metadata!Q110="",FALSE,TRUE))</f>
        <v>0</v>
      </c>
    </row>
    <row r="111" spans="1:43">
      <c r="A111" s="4">
        <f>IF(B111=" "," ",HYPERLINK(CONCATENATE("#metadata!",ADDRESS(INDEX($W$2:$W$1001,MATCH(ROWS($U$2:U111),$U$2:$U$1001,0),0),2)),INDEX($Z$2:$Z$1001,MATCH(ROWS($U$2:U111),$U$2:$U$1001,0),0)))</f>
        <v>0</v>
      </c>
      <c r="B111" s="5">
        <f>IF(OR(INDEX($V$2:$V$1001,MATCH(ROWS($U$2:U111),$U$2:$U$1001,0),1)&gt;=100000,INDEX($AB$1005:$AQ$1005,1,MATCH(COLUMNS($AB$1006:AB1006),$AB$1006:$AQ$1006,0))&gt;=100000), " ",IF(INDEX($AB$2:$AQ$1001,MATCH(ROWS($U$2:U111),$U$2:$U$1001,0),MATCH(COLUMNS($AB$1006:AB1006),$AB$1006:$AQ$1006,0)), HYPERLINK("#",""), HYPERLINK(CONCATENATE("#Metadata!", ADDRESS(INDEX($W$2:$W$1001,MATCH(ROWS($U$2:U111),$U$2:$U$1001,0),0), INDEX($AB$1004:$AQ$1004,1,MATCH(COLUMNS($AB$1006:AB1006),$AB$1006:$AQ$1006,0)))),"Fix")))</f>
        <v>0</v>
      </c>
      <c r="C111" s="5">
        <f>IF(OR(INDEX($V$2:$V$1001,MATCH(ROWS($U$2:U111),$U$2:$U$1001,0),1)&gt;=100000,INDEX($AB$1005:$AQ$1005,1,MATCH(COLUMNS($AB$1006:AC1006),$AB$1006:$AQ$1006,0))&gt;=100000), " ",IF(INDEX($AB$2:$AQ$1001,MATCH(ROWS($U$2:U111),$U$2:$U$1001,0),MATCH(COLUMNS($AB$1006:AC1006),$AB$1006:$AQ$1006,0)), HYPERLINK("#",""), HYPERLINK(CONCATENATE("#Metadata!", ADDRESS(INDEX($W$2:$W$1001,MATCH(ROWS($U$2:U111),$U$2:$U$1001,0),0), INDEX($AB$1004:$AQ$1004,1,MATCH(COLUMNS($AB$1006:AC1006),$AB$1006:$AQ$1006,0)))),"Fix")))</f>
        <v>0</v>
      </c>
      <c r="D111" s="5">
        <f>IF(OR(INDEX($V$2:$V$1001,MATCH(ROWS($U$2:U111),$U$2:$U$1001,0),1)&gt;=100000,INDEX($AB$1005:$AQ$1005,1,MATCH(COLUMNS($AB$1006:AD1006),$AB$1006:$AQ$1006,0))&gt;=100000), " ",IF(INDEX($AB$2:$AQ$1001,MATCH(ROWS($U$2:U111),$U$2:$U$1001,0),MATCH(COLUMNS($AB$1006:AD1006),$AB$1006:$AQ$1006,0)), HYPERLINK("#",""), HYPERLINK(CONCATENATE("#Metadata!", ADDRESS(INDEX($W$2:$W$1001,MATCH(ROWS($U$2:U111),$U$2:$U$1001,0),0), INDEX($AB$1004:$AQ$1004,1,MATCH(COLUMNS($AB$1006:AD1006),$AB$1006:$AQ$1006,0)))),"Fix")))</f>
        <v>0</v>
      </c>
      <c r="E111" s="5">
        <f>IF(OR(INDEX($V$2:$V$1001,MATCH(ROWS($U$2:U111),$U$2:$U$1001,0),1)&gt;=100000,INDEX($AB$1005:$AQ$1005,1,MATCH(COLUMNS($AB$1006:AE1006),$AB$1006:$AQ$1006,0))&gt;=100000), " ",IF(INDEX($AB$2:$AQ$1001,MATCH(ROWS($U$2:U111),$U$2:$U$1001,0),MATCH(COLUMNS($AB$1006:AE1006),$AB$1006:$AQ$1006,0)), HYPERLINK("#",""), HYPERLINK(CONCATENATE("#Metadata!", ADDRESS(INDEX($W$2:$W$1001,MATCH(ROWS($U$2:U111),$U$2:$U$1001,0),0), INDEX($AB$1004:$AQ$1004,1,MATCH(COLUMNS($AB$1006:AE1006),$AB$1006:$AQ$1006,0)))),"Fix")))</f>
        <v>0</v>
      </c>
      <c r="F111" s="5">
        <f>IF(OR(INDEX($V$2:$V$1001,MATCH(ROWS($U$2:U111),$U$2:$U$1001,0),1)&gt;=100000,INDEX($AB$1005:$AQ$1005,1,MATCH(COLUMNS($AB$1006:AF1006),$AB$1006:$AQ$1006,0))&gt;=100000), " ",IF(INDEX($AB$2:$AQ$1001,MATCH(ROWS($U$2:U111),$U$2:$U$1001,0),MATCH(COLUMNS($AB$1006:AF1006),$AB$1006:$AQ$1006,0)), HYPERLINK("#",""), HYPERLINK(CONCATENATE("#Metadata!", ADDRESS(INDEX($W$2:$W$1001,MATCH(ROWS($U$2:U111),$U$2:$U$1001,0),0), INDEX($AB$1004:$AQ$1004,1,MATCH(COLUMNS($AB$1006:AF1006),$AB$1006:$AQ$1006,0)))),"Fix")))</f>
        <v>0</v>
      </c>
      <c r="G111" s="5">
        <f>IF(OR(INDEX($V$2:$V$1001,MATCH(ROWS($U$2:U111),$U$2:$U$1001,0),1)&gt;=100000,INDEX($AB$1005:$AQ$1005,1,MATCH(COLUMNS($AB$1006:AG1006),$AB$1006:$AQ$1006,0))&gt;=100000), " ",IF(INDEX($AB$2:$AQ$1001,MATCH(ROWS($U$2:U111),$U$2:$U$1001,0),MATCH(COLUMNS($AB$1006:AG1006),$AB$1006:$AQ$1006,0)), HYPERLINK("#",""), HYPERLINK(CONCATENATE("#Metadata!", ADDRESS(INDEX($W$2:$W$1001,MATCH(ROWS($U$2:U111),$U$2:$U$1001,0),0), INDEX($AB$1004:$AQ$1004,1,MATCH(COLUMNS($AB$1006:AG1006),$AB$1006:$AQ$1006,0)))),"Fix")))</f>
        <v>0</v>
      </c>
      <c r="H111" s="5">
        <f>IF(OR(INDEX($V$2:$V$1001,MATCH(ROWS($U$2:U111),$U$2:$U$1001,0),1)&gt;=100000,INDEX($AB$1005:$AQ$1005,1,MATCH(COLUMNS($AB$1006:AH1006),$AB$1006:$AQ$1006,0))&gt;=100000), " ",IF(INDEX($AB$2:$AQ$1001,MATCH(ROWS($U$2:U111),$U$2:$U$1001,0),MATCH(COLUMNS($AB$1006:AH1006),$AB$1006:$AQ$1006,0)), HYPERLINK("#",""), HYPERLINK(CONCATENATE("#Metadata!", ADDRESS(INDEX($W$2:$W$1001,MATCH(ROWS($U$2:U111),$U$2:$U$1001,0),0), INDEX($AB$1004:$AQ$1004,1,MATCH(COLUMNS($AB$1006:AH1006),$AB$1006:$AQ$1006,0)))),"Fix")))</f>
        <v>0</v>
      </c>
      <c r="I111" s="5">
        <f>IF(OR(INDEX($V$2:$V$1001,MATCH(ROWS($U$2:U111),$U$2:$U$1001,0),1)&gt;=100000,INDEX($AB$1005:$AQ$1005,1,MATCH(COLUMNS($AB$1006:AI1006),$AB$1006:$AQ$1006,0))&gt;=100000), " ",IF(INDEX($AB$2:$AQ$1001,MATCH(ROWS($U$2:U111),$U$2:$U$1001,0),MATCH(COLUMNS($AB$1006:AI1006),$AB$1006:$AQ$1006,0)), HYPERLINK("#",""), HYPERLINK(CONCATENATE("#Metadata!", ADDRESS(INDEX($W$2:$W$1001,MATCH(ROWS($U$2:U111),$U$2:$U$1001,0),0), INDEX($AB$1004:$AQ$1004,1,MATCH(COLUMNS($AB$1006:AI1006),$AB$1006:$AQ$1006,0)))),"Fix")))</f>
        <v>0</v>
      </c>
      <c r="J111" s="5">
        <f>IF(OR(INDEX($V$2:$V$1001,MATCH(ROWS($U$2:U111),$U$2:$U$1001,0),1)&gt;=100000,INDEX($AB$1005:$AQ$1005,1,MATCH(COLUMNS($AB$1006:AJ1006),$AB$1006:$AQ$1006,0))&gt;=100000), " ",IF(INDEX($AB$2:$AQ$1001,MATCH(ROWS($U$2:U111),$U$2:$U$1001,0),MATCH(COLUMNS($AB$1006:AJ1006),$AB$1006:$AQ$1006,0)), HYPERLINK("#",""), HYPERLINK(CONCATENATE("#Metadata!", ADDRESS(INDEX($W$2:$W$1001,MATCH(ROWS($U$2:U111),$U$2:$U$1001,0),0), INDEX($AB$1004:$AQ$1004,1,MATCH(COLUMNS($AB$1006:AJ1006),$AB$1006:$AQ$1006,0)))),"Fix")))</f>
        <v>0</v>
      </c>
      <c r="K111" s="5">
        <f>IF(OR(INDEX($V$2:$V$1001,MATCH(ROWS($U$2:U111),$U$2:$U$1001,0),1)&gt;=100000,INDEX($AB$1005:$AQ$1005,1,MATCH(COLUMNS($AB$1006:AK1006),$AB$1006:$AQ$1006,0))&gt;=100000), " ",IF(INDEX($AB$2:$AQ$1001,MATCH(ROWS($U$2:U111),$U$2:$U$1001,0),MATCH(COLUMNS($AB$1006:AK1006),$AB$1006:$AQ$1006,0)), HYPERLINK("#",""), HYPERLINK(CONCATENATE("#Metadata!", ADDRESS(INDEX($W$2:$W$1001,MATCH(ROWS($U$2:U111),$U$2:$U$1001,0),0), INDEX($AB$1004:$AQ$1004,1,MATCH(COLUMNS($AB$1006:AK1006),$AB$1006:$AQ$1006,0)))),"Fix")))</f>
        <v>0</v>
      </c>
      <c r="L111" s="5">
        <f>IF(OR(INDEX($V$2:$V$1001,MATCH(ROWS($U$2:U111),$U$2:$U$1001,0),1)&gt;=100000,INDEX($AB$1005:$AQ$1005,1,MATCH(COLUMNS($AB$1006:AL1006),$AB$1006:$AQ$1006,0))&gt;=100000), " ",IF(INDEX($AB$2:$AQ$1001,MATCH(ROWS($U$2:U111),$U$2:$U$1001,0),MATCH(COLUMNS($AB$1006:AL1006),$AB$1006:$AQ$1006,0)), HYPERLINK("#",""), HYPERLINK(CONCATENATE("#Metadata!", ADDRESS(INDEX($W$2:$W$1001,MATCH(ROWS($U$2:U111),$U$2:$U$1001,0),0), INDEX($AB$1004:$AQ$1004,1,MATCH(COLUMNS($AB$1006:AL1006),$AB$1006:$AQ$1006,0)))),"Fix")))</f>
        <v>0</v>
      </c>
      <c r="M111" s="5">
        <f>IF(OR(INDEX($V$2:$V$1001,MATCH(ROWS($U$2:U111),$U$2:$U$1001,0),1)&gt;=100000,INDEX($AB$1005:$AQ$1005,1,MATCH(COLUMNS($AB$1006:AM1006),$AB$1006:$AQ$1006,0))&gt;=100000), " ",IF(INDEX($AB$2:$AQ$1001,MATCH(ROWS($U$2:U111),$U$2:$U$1001,0),MATCH(COLUMNS($AB$1006:AM1006),$AB$1006:$AQ$1006,0)), HYPERLINK("#",""), HYPERLINK(CONCATENATE("#Metadata!", ADDRESS(INDEX($W$2:$W$1001,MATCH(ROWS($U$2:U111),$U$2:$U$1001,0),0), INDEX($AB$1004:$AQ$1004,1,MATCH(COLUMNS($AB$1006:AM1006),$AB$1006:$AQ$1006,0)))),"Fix")))</f>
        <v>0</v>
      </c>
      <c r="N111" s="5">
        <f>IF(OR(INDEX($V$2:$V$1001,MATCH(ROWS($U$2:U111),$U$2:$U$1001,0),1)&gt;=100000,INDEX($AB$1005:$AQ$1005,1,MATCH(COLUMNS($AB$1006:AN1006),$AB$1006:$AQ$1006,0))&gt;=100000), " ",IF(INDEX($AB$2:$AQ$1001,MATCH(ROWS($U$2:U111),$U$2:$U$1001,0),MATCH(COLUMNS($AB$1006:AN1006),$AB$1006:$AQ$1006,0)), HYPERLINK("#",""), HYPERLINK(CONCATENATE("#Metadata!", ADDRESS(INDEX($W$2:$W$1001,MATCH(ROWS($U$2:U111),$U$2:$U$1001,0),0), INDEX($AB$1004:$AQ$1004,1,MATCH(COLUMNS($AB$1006:AN1006),$AB$1006:$AQ$1006,0)))),"Fix")))</f>
        <v>0</v>
      </c>
      <c r="O111" s="5">
        <f>IF(OR(INDEX($V$2:$V$1001,MATCH(ROWS($U$2:U111),$U$2:$U$1001,0),1)&gt;=100000,INDEX($AB$1005:$AQ$1005,1,MATCH(COLUMNS($AB$1006:AO1006),$AB$1006:$AQ$1006,0))&gt;=100000), " ",IF(INDEX($AB$2:$AQ$1001,MATCH(ROWS($U$2:U111),$U$2:$U$1001,0),MATCH(COLUMNS($AB$1006:AO1006),$AB$1006:$AQ$1006,0)), HYPERLINK("#",""), HYPERLINK(CONCATENATE("#Metadata!", ADDRESS(INDEX($W$2:$W$1001,MATCH(ROWS($U$2:U111),$U$2:$U$1001,0),0), INDEX($AB$1004:$AQ$1004,1,MATCH(COLUMNS($AB$1006:AO1006),$AB$1006:$AQ$1006,0)))),"Fix")))</f>
        <v>0</v>
      </c>
      <c r="P111" s="5">
        <f>IF(OR(INDEX($V$2:$V$1001,MATCH(ROWS($U$2:U111),$U$2:$U$1001,0),1)&gt;=100000,INDEX($AB$1005:$AQ$1005,1,MATCH(COLUMNS($AB$1006:AP1006),$AB$1006:$AQ$1006,0))&gt;=100000), " ",IF(INDEX($AB$2:$AQ$1001,MATCH(ROWS($U$2:U111),$U$2:$U$1001,0),MATCH(COLUMNS($AB$1006:AP1006),$AB$1006:$AQ$1006,0)), HYPERLINK("#",""), HYPERLINK(CONCATENATE("#Metadata!", ADDRESS(INDEX($W$2:$W$1001,MATCH(ROWS($U$2:U111),$U$2:$U$1001,0),0), INDEX($AB$1004:$AQ$1004,1,MATCH(COLUMNS($AB$1006:AP1006),$AB$1006:$AQ$1006,0)))),"Fix")))</f>
        <v>0</v>
      </c>
      <c r="Q111" s="5">
        <f>IF(OR(INDEX($V$2:$V$1001,MATCH(ROWS($U$2:U111),$U$2:$U$1001,0),1)&gt;=100000,INDEX($AB$1005:$AQ$1005,1,MATCH(COLUMNS($AB$1006:AQ1006),$AB$1006:$AQ$1006,0))&gt;=100000), " ",IF(INDEX($AB$2:$AQ$1001,MATCH(ROWS($U$2:U111),$U$2:$U$1001,0),MATCH(COLUMNS($AB$1006:AQ1006),$AB$1006:$AQ$1006,0)), HYPERLINK("#",""), HYPERLINK(CONCATENATE("#Metadata!", ADDRESS(INDEX($W$2:$W$1001,MATCH(ROWS($U$2:U111),$U$2:$U$1001,0),0), INDEX($AB$1004:$AQ$1004,1,MATCH(COLUMNS($AB$1006:AQ1006),$AB$1006:$AQ$1006,0)))),"Fix")))</f>
        <v>0</v>
      </c>
      <c r="U111">
        <v>0</v>
      </c>
      <c r="V111">
        <v>0</v>
      </c>
      <c r="W111">
        <v>0</v>
      </c>
      <c r="X111">
        <f>IF(Y111,TRUE,AND(AB111:AQ111))</f>
        <v>0</v>
      </c>
      <c r="Y111">
        <f>COUNTBLANK(Metadata!B111:Q111)=COLUMNS(Metadata!B111:Q111)</f>
        <v>0</v>
      </c>
      <c r="Z111">
        <v>0</v>
      </c>
      <c r="AB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AC111">
        <f>AND(IF(Metadata!C111="",FALSE,TRUE),exact(Metadata!C111,"urban biome"))</f>
        <v>0</v>
      </c>
      <c r="AD111">
        <f>AND(IF(Metadata!D111="",FALSE,TRUE),exact(Metadata!D111,"human-associated habitat"))</f>
        <v>0</v>
      </c>
      <c r="AE111">
        <f>AND(IF(Metadata!E111="",FALSE,TRUE),OR(exact(Metadata!E111,"human-associated"),exact(Metadata!E111,"human-skin"),exact(Metadata!E111,"human-oral"),exact(Metadata!E111,"human-gut"),exact(Metadata!E111,"human-vaginal")))</f>
        <v>0</v>
      </c>
      <c r="AF111">
        <f>AND(IF(Metadata!F111="",FALSE,ISNUMBER(VALUE(Metadata!F111))),Metadata!F111&gt;0)</f>
        <v>0</v>
      </c>
      <c r="AG111">
        <f>AND(IF(Metadata!G111="",FALSE,TRUE),exact(Metadata!G111,"years"))</f>
        <v>0</v>
      </c>
      <c r="AH111">
        <f>OR(AND(IF(Metadata!H111="",FALSE,TRUE),OR(exact(Metadata!H111,"not applicable"),exact(Metadata!H111,"not collected"),exact(Metadata!H111,"not provided"),exact(Metadata!H111,"restricted access"))),AND(IF(Metadata!H111="",FALSE,ISNUMBER(VALUE(Metadata!H111))),Metadata!H111&gt;0))</f>
        <v>0</v>
      </c>
      <c r="AI111">
        <f>AND(IF(Metadata!I111="",FALSE,TRUE),exact(Metadata!I111,"human"))</f>
        <v>0</v>
      </c>
      <c r="AJ111">
        <f>AND(IF(Metadata!J111="",FALSE,ISNUMBER(VALUE(Metadata!J111))),Metadata!J111&gt;0)</f>
        <v>0</v>
      </c>
      <c r="AK111">
        <f>AND(IF(Metadata!K111="",FALSE,TRUE),exact(Metadata!K111,"cm"))</f>
        <v>0</v>
      </c>
      <c r="AL111">
        <f>AND(IF(Metadata!L111="",FALSE,TRUE),exact(Metadata!L111,"Homo sapiens"))</f>
        <v>0</v>
      </c>
      <c r="AM111">
        <f>AND(IF(Metadata!M111="",FALSE,TRUE),exact(Metadata!M111,"9606"))</f>
        <v>0</v>
      </c>
      <c r="AN111">
        <f>AND(IF(Metadata!N111="",FALSE,ISNUMBER(VALUE(Metadata!N111))),Metadata!N111&gt;0)</f>
        <v>0</v>
      </c>
      <c r="AO111">
        <f>AND(IF(Metadata!O111="",FALSE,TRUE),exact(Metadata!O111,"kg"))</f>
        <v>0</v>
      </c>
      <c r="AP111">
        <f>OR(AND(IF(Metadata!P111="",FALSE,TRUE),exact(Metadata!P111,"not provided")),IF(Metadata!P111="",FALSE,TRUE))</f>
        <v>0</v>
      </c>
      <c r="AQ111">
        <f>OR(AND(IF(Metadata!Q111="",FALSE,TRUE),exact(Metadata!Q111,"not provided")),IF(Metadata!Q111="",FALSE,TRUE))</f>
        <v>0</v>
      </c>
    </row>
    <row r="112" spans="1:43">
      <c r="A112" s="4">
        <f>IF(B112=" "," ",HYPERLINK(CONCATENATE("#metadata!",ADDRESS(INDEX($W$2:$W$1001,MATCH(ROWS($U$2:U112),$U$2:$U$1001,0),0),2)),INDEX($Z$2:$Z$1001,MATCH(ROWS($U$2:U112),$U$2:$U$1001,0),0)))</f>
        <v>0</v>
      </c>
      <c r="B112" s="5">
        <f>IF(OR(INDEX($V$2:$V$1001,MATCH(ROWS($U$2:U112),$U$2:$U$1001,0),1)&gt;=100000,INDEX($AB$1005:$AQ$1005,1,MATCH(COLUMNS($AB$1006:AB1006),$AB$1006:$AQ$1006,0))&gt;=100000), " ",IF(INDEX($AB$2:$AQ$1001,MATCH(ROWS($U$2:U112),$U$2:$U$1001,0),MATCH(COLUMNS($AB$1006:AB1006),$AB$1006:$AQ$1006,0)), HYPERLINK("#",""), HYPERLINK(CONCATENATE("#Metadata!", ADDRESS(INDEX($W$2:$W$1001,MATCH(ROWS($U$2:U112),$U$2:$U$1001,0),0), INDEX($AB$1004:$AQ$1004,1,MATCH(COLUMNS($AB$1006:AB1006),$AB$1006:$AQ$1006,0)))),"Fix")))</f>
        <v>0</v>
      </c>
      <c r="C112" s="5">
        <f>IF(OR(INDEX($V$2:$V$1001,MATCH(ROWS($U$2:U112),$U$2:$U$1001,0),1)&gt;=100000,INDEX($AB$1005:$AQ$1005,1,MATCH(COLUMNS($AB$1006:AC1006),$AB$1006:$AQ$1006,0))&gt;=100000), " ",IF(INDEX($AB$2:$AQ$1001,MATCH(ROWS($U$2:U112),$U$2:$U$1001,0),MATCH(COLUMNS($AB$1006:AC1006),$AB$1006:$AQ$1006,0)), HYPERLINK("#",""), HYPERLINK(CONCATENATE("#Metadata!", ADDRESS(INDEX($W$2:$W$1001,MATCH(ROWS($U$2:U112),$U$2:$U$1001,0),0), INDEX($AB$1004:$AQ$1004,1,MATCH(COLUMNS($AB$1006:AC1006),$AB$1006:$AQ$1006,0)))),"Fix")))</f>
        <v>0</v>
      </c>
      <c r="D112" s="5">
        <f>IF(OR(INDEX($V$2:$V$1001,MATCH(ROWS($U$2:U112),$U$2:$U$1001,0),1)&gt;=100000,INDEX($AB$1005:$AQ$1005,1,MATCH(COLUMNS($AB$1006:AD1006),$AB$1006:$AQ$1006,0))&gt;=100000), " ",IF(INDEX($AB$2:$AQ$1001,MATCH(ROWS($U$2:U112),$U$2:$U$1001,0),MATCH(COLUMNS($AB$1006:AD1006),$AB$1006:$AQ$1006,0)), HYPERLINK("#",""), HYPERLINK(CONCATENATE("#Metadata!", ADDRESS(INDEX($W$2:$W$1001,MATCH(ROWS($U$2:U112),$U$2:$U$1001,0),0), INDEX($AB$1004:$AQ$1004,1,MATCH(COLUMNS($AB$1006:AD1006),$AB$1006:$AQ$1006,0)))),"Fix")))</f>
        <v>0</v>
      </c>
      <c r="E112" s="5">
        <f>IF(OR(INDEX($V$2:$V$1001,MATCH(ROWS($U$2:U112),$U$2:$U$1001,0),1)&gt;=100000,INDEX($AB$1005:$AQ$1005,1,MATCH(COLUMNS($AB$1006:AE1006),$AB$1006:$AQ$1006,0))&gt;=100000), " ",IF(INDEX($AB$2:$AQ$1001,MATCH(ROWS($U$2:U112),$U$2:$U$1001,0),MATCH(COLUMNS($AB$1006:AE1006),$AB$1006:$AQ$1006,0)), HYPERLINK("#",""), HYPERLINK(CONCATENATE("#Metadata!", ADDRESS(INDEX($W$2:$W$1001,MATCH(ROWS($U$2:U112),$U$2:$U$1001,0),0), INDEX($AB$1004:$AQ$1004,1,MATCH(COLUMNS($AB$1006:AE1006),$AB$1006:$AQ$1006,0)))),"Fix")))</f>
        <v>0</v>
      </c>
      <c r="F112" s="5">
        <f>IF(OR(INDEX($V$2:$V$1001,MATCH(ROWS($U$2:U112),$U$2:$U$1001,0),1)&gt;=100000,INDEX($AB$1005:$AQ$1005,1,MATCH(COLUMNS($AB$1006:AF1006),$AB$1006:$AQ$1006,0))&gt;=100000), " ",IF(INDEX($AB$2:$AQ$1001,MATCH(ROWS($U$2:U112),$U$2:$U$1001,0),MATCH(COLUMNS($AB$1006:AF1006),$AB$1006:$AQ$1006,0)), HYPERLINK("#",""), HYPERLINK(CONCATENATE("#Metadata!", ADDRESS(INDEX($W$2:$W$1001,MATCH(ROWS($U$2:U112),$U$2:$U$1001,0),0), INDEX($AB$1004:$AQ$1004,1,MATCH(COLUMNS($AB$1006:AF1006),$AB$1006:$AQ$1006,0)))),"Fix")))</f>
        <v>0</v>
      </c>
      <c r="G112" s="5">
        <f>IF(OR(INDEX($V$2:$V$1001,MATCH(ROWS($U$2:U112),$U$2:$U$1001,0),1)&gt;=100000,INDEX($AB$1005:$AQ$1005,1,MATCH(COLUMNS($AB$1006:AG1006),$AB$1006:$AQ$1006,0))&gt;=100000), " ",IF(INDEX($AB$2:$AQ$1001,MATCH(ROWS($U$2:U112),$U$2:$U$1001,0),MATCH(COLUMNS($AB$1006:AG1006),$AB$1006:$AQ$1006,0)), HYPERLINK("#",""), HYPERLINK(CONCATENATE("#Metadata!", ADDRESS(INDEX($W$2:$W$1001,MATCH(ROWS($U$2:U112),$U$2:$U$1001,0),0), INDEX($AB$1004:$AQ$1004,1,MATCH(COLUMNS($AB$1006:AG1006),$AB$1006:$AQ$1006,0)))),"Fix")))</f>
        <v>0</v>
      </c>
      <c r="H112" s="5">
        <f>IF(OR(INDEX($V$2:$V$1001,MATCH(ROWS($U$2:U112),$U$2:$U$1001,0),1)&gt;=100000,INDEX($AB$1005:$AQ$1005,1,MATCH(COLUMNS($AB$1006:AH1006),$AB$1006:$AQ$1006,0))&gt;=100000), " ",IF(INDEX($AB$2:$AQ$1001,MATCH(ROWS($U$2:U112),$U$2:$U$1001,0),MATCH(COLUMNS($AB$1006:AH1006),$AB$1006:$AQ$1006,0)), HYPERLINK("#",""), HYPERLINK(CONCATENATE("#Metadata!", ADDRESS(INDEX($W$2:$W$1001,MATCH(ROWS($U$2:U112),$U$2:$U$1001,0),0), INDEX($AB$1004:$AQ$1004,1,MATCH(COLUMNS($AB$1006:AH1006),$AB$1006:$AQ$1006,0)))),"Fix")))</f>
        <v>0</v>
      </c>
      <c r="I112" s="5">
        <f>IF(OR(INDEX($V$2:$V$1001,MATCH(ROWS($U$2:U112),$U$2:$U$1001,0),1)&gt;=100000,INDEX($AB$1005:$AQ$1005,1,MATCH(COLUMNS($AB$1006:AI1006),$AB$1006:$AQ$1006,0))&gt;=100000), " ",IF(INDEX($AB$2:$AQ$1001,MATCH(ROWS($U$2:U112),$U$2:$U$1001,0),MATCH(COLUMNS($AB$1006:AI1006),$AB$1006:$AQ$1006,0)), HYPERLINK("#",""), HYPERLINK(CONCATENATE("#Metadata!", ADDRESS(INDEX($W$2:$W$1001,MATCH(ROWS($U$2:U112),$U$2:$U$1001,0),0), INDEX($AB$1004:$AQ$1004,1,MATCH(COLUMNS($AB$1006:AI1006),$AB$1006:$AQ$1006,0)))),"Fix")))</f>
        <v>0</v>
      </c>
      <c r="J112" s="5">
        <f>IF(OR(INDEX($V$2:$V$1001,MATCH(ROWS($U$2:U112),$U$2:$U$1001,0),1)&gt;=100000,INDEX($AB$1005:$AQ$1005,1,MATCH(COLUMNS($AB$1006:AJ1006),$AB$1006:$AQ$1006,0))&gt;=100000), " ",IF(INDEX($AB$2:$AQ$1001,MATCH(ROWS($U$2:U112),$U$2:$U$1001,0),MATCH(COLUMNS($AB$1006:AJ1006),$AB$1006:$AQ$1006,0)), HYPERLINK("#",""), HYPERLINK(CONCATENATE("#Metadata!", ADDRESS(INDEX($W$2:$W$1001,MATCH(ROWS($U$2:U112),$U$2:$U$1001,0),0), INDEX($AB$1004:$AQ$1004,1,MATCH(COLUMNS($AB$1006:AJ1006),$AB$1006:$AQ$1006,0)))),"Fix")))</f>
        <v>0</v>
      </c>
      <c r="K112" s="5">
        <f>IF(OR(INDEX($V$2:$V$1001,MATCH(ROWS($U$2:U112),$U$2:$U$1001,0),1)&gt;=100000,INDEX($AB$1005:$AQ$1005,1,MATCH(COLUMNS($AB$1006:AK1006),$AB$1006:$AQ$1006,0))&gt;=100000), " ",IF(INDEX($AB$2:$AQ$1001,MATCH(ROWS($U$2:U112),$U$2:$U$1001,0),MATCH(COLUMNS($AB$1006:AK1006),$AB$1006:$AQ$1006,0)), HYPERLINK("#",""), HYPERLINK(CONCATENATE("#Metadata!", ADDRESS(INDEX($W$2:$W$1001,MATCH(ROWS($U$2:U112),$U$2:$U$1001,0),0), INDEX($AB$1004:$AQ$1004,1,MATCH(COLUMNS($AB$1006:AK1006),$AB$1006:$AQ$1006,0)))),"Fix")))</f>
        <v>0</v>
      </c>
      <c r="L112" s="5">
        <f>IF(OR(INDEX($V$2:$V$1001,MATCH(ROWS($U$2:U112),$U$2:$U$1001,0),1)&gt;=100000,INDEX($AB$1005:$AQ$1005,1,MATCH(COLUMNS($AB$1006:AL1006),$AB$1006:$AQ$1006,0))&gt;=100000), " ",IF(INDEX($AB$2:$AQ$1001,MATCH(ROWS($U$2:U112),$U$2:$U$1001,0),MATCH(COLUMNS($AB$1006:AL1006),$AB$1006:$AQ$1006,0)), HYPERLINK("#",""), HYPERLINK(CONCATENATE("#Metadata!", ADDRESS(INDEX($W$2:$W$1001,MATCH(ROWS($U$2:U112),$U$2:$U$1001,0),0), INDEX($AB$1004:$AQ$1004,1,MATCH(COLUMNS($AB$1006:AL1006),$AB$1006:$AQ$1006,0)))),"Fix")))</f>
        <v>0</v>
      </c>
      <c r="M112" s="5">
        <f>IF(OR(INDEX($V$2:$V$1001,MATCH(ROWS($U$2:U112),$U$2:$U$1001,0),1)&gt;=100000,INDEX($AB$1005:$AQ$1005,1,MATCH(COLUMNS($AB$1006:AM1006),$AB$1006:$AQ$1006,0))&gt;=100000), " ",IF(INDEX($AB$2:$AQ$1001,MATCH(ROWS($U$2:U112),$U$2:$U$1001,0),MATCH(COLUMNS($AB$1006:AM1006),$AB$1006:$AQ$1006,0)), HYPERLINK("#",""), HYPERLINK(CONCATENATE("#Metadata!", ADDRESS(INDEX($W$2:$W$1001,MATCH(ROWS($U$2:U112),$U$2:$U$1001,0),0), INDEX($AB$1004:$AQ$1004,1,MATCH(COLUMNS($AB$1006:AM1006),$AB$1006:$AQ$1006,0)))),"Fix")))</f>
        <v>0</v>
      </c>
      <c r="N112" s="5">
        <f>IF(OR(INDEX($V$2:$V$1001,MATCH(ROWS($U$2:U112),$U$2:$U$1001,0),1)&gt;=100000,INDEX($AB$1005:$AQ$1005,1,MATCH(COLUMNS($AB$1006:AN1006),$AB$1006:$AQ$1006,0))&gt;=100000), " ",IF(INDEX($AB$2:$AQ$1001,MATCH(ROWS($U$2:U112),$U$2:$U$1001,0),MATCH(COLUMNS($AB$1006:AN1006),$AB$1006:$AQ$1006,0)), HYPERLINK("#",""), HYPERLINK(CONCATENATE("#Metadata!", ADDRESS(INDEX($W$2:$W$1001,MATCH(ROWS($U$2:U112),$U$2:$U$1001,0),0), INDEX($AB$1004:$AQ$1004,1,MATCH(COLUMNS($AB$1006:AN1006),$AB$1006:$AQ$1006,0)))),"Fix")))</f>
        <v>0</v>
      </c>
      <c r="O112" s="5">
        <f>IF(OR(INDEX($V$2:$V$1001,MATCH(ROWS($U$2:U112),$U$2:$U$1001,0),1)&gt;=100000,INDEX($AB$1005:$AQ$1005,1,MATCH(COLUMNS($AB$1006:AO1006),$AB$1006:$AQ$1006,0))&gt;=100000), " ",IF(INDEX($AB$2:$AQ$1001,MATCH(ROWS($U$2:U112),$U$2:$U$1001,0),MATCH(COLUMNS($AB$1006:AO1006),$AB$1006:$AQ$1006,0)), HYPERLINK("#",""), HYPERLINK(CONCATENATE("#Metadata!", ADDRESS(INDEX($W$2:$W$1001,MATCH(ROWS($U$2:U112),$U$2:$U$1001,0),0), INDEX($AB$1004:$AQ$1004,1,MATCH(COLUMNS($AB$1006:AO1006),$AB$1006:$AQ$1006,0)))),"Fix")))</f>
        <v>0</v>
      </c>
      <c r="P112" s="5">
        <f>IF(OR(INDEX($V$2:$V$1001,MATCH(ROWS($U$2:U112),$U$2:$U$1001,0),1)&gt;=100000,INDEX($AB$1005:$AQ$1005,1,MATCH(COLUMNS($AB$1006:AP1006),$AB$1006:$AQ$1006,0))&gt;=100000), " ",IF(INDEX($AB$2:$AQ$1001,MATCH(ROWS($U$2:U112),$U$2:$U$1001,0),MATCH(COLUMNS($AB$1006:AP1006),$AB$1006:$AQ$1006,0)), HYPERLINK("#",""), HYPERLINK(CONCATENATE("#Metadata!", ADDRESS(INDEX($W$2:$W$1001,MATCH(ROWS($U$2:U112),$U$2:$U$1001,0),0), INDEX($AB$1004:$AQ$1004,1,MATCH(COLUMNS($AB$1006:AP1006),$AB$1006:$AQ$1006,0)))),"Fix")))</f>
        <v>0</v>
      </c>
      <c r="Q112" s="5">
        <f>IF(OR(INDEX($V$2:$V$1001,MATCH(ROWS($U$2:U112),$U$2:$U$1001,0),1)&gt;=100000,INDEX($AB$1005:$AQ$1005,1,MATCH(COLUMNS($AB$1006:AQ1006),$AB$1006:$AQ$1006,0))&gt;=100000), " ",IF(INDEX($AB$2:$AQ$1001,MATCH(ROWS($U$2:U112),$U$2:$U$1001,0),MATCH(COLUMNS($AB$1006:AQ1006),$AB$1006:$AQ$1006,0)), HYPERLINK("#",""), HYPERLINK(CONCATENATE("#Metadata!", ADDRESS(INDEX($W$2:$W$1001,MATCH(ROWS($U$2:U112),$U$2:$U$1001,0),0), INDEX($AB$1004:$AQ$1004,1,MATCH(COLUMNS($AB$1006:AQ1006),$AB$1006:$AQ$1006,0)))),"Fix")))</f>
        <v>0</v>
      </c>
      <c r="U112">
        <v>0</v>
      </c>
      <c r="V112">
        <v>0</v>
      </c>
      <c r="W112">
        <v>0</v>
      </c>
      <c r="X112">
        <f>IF(Y112,TRUE,AND(AB112:AQ112))</f>
        <v>0</v>
      </c>
      <c r="Y112">
        <f>COUNTBLANK(Metadata!B112:Q112)=COLUMNS(Metadata!B112:Q112)</f>
        <v>0</v>
      </c>
      <c r="Z112">
        <v>0</v>
      </c>
      <c r="AB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AC112">
        <f>AND(IF(Metadata!C112="",FALSE,TRUE),exact(Metadata!C112,"urban biome"))</f>
        <v>0</v>
      </c>
      <c r="AD112">
        <f>AND(IF(Metadata!D112="",FALSE,TRUE),exact(Metadata!D112,"human-associated habitat"))</f>
        <v>0</v>
      </c>
      <c r="AE112">
        <f>AND(IF(Metadata!E112="",FALSE,TRUE),OR(exact(Metadata!E112,"human-associated"),exact(Metadata!E112,"human-skin"),exact(Metadata!E112,"human-oral"),exact(Metadata!E112,"human-gut"),exact(Metadata!E112,"human-vaginal")))</f>
        <v>0</v>
      </c>
      <c r="AF112">
        <f>AND(IF(Metadata!F112="",FALSE,ISNUMBER(VALUE(Metadata!F112))),Metadata!F112&gt;0)</f>
        <v>0</v>
      </c>
      <c r="AG112">
        <f>AND(IF(Metadata!G112="",FALSE,TRUE),exact(Metadata!G112,"years"))</f>
        <v>0</v>
      </c>
      <c r="AH112">
        <f>OR(AND(IF(Metadata!H112="",FALSE,TRUE),OR(exact(Metadata!H112,"not applicable"),exact(Metadata!H112,"not collected"),exact(Metadata!H112,"not provided"),exact(Metadata!H112,"restricted access"))),AND(IF(Metadata!H112="",FALSE,ISNUMBER(VALUE(Metadata!H112))),Metadata!H112&gt;0))</f>
        <v>0</v>
      </c>
      <c r="AI112">
        <f>AND(IF(Metadata!I112="",FALSE,TRUE),exact(Metadata!I112,"human"))</f>
        <v>0</v>
      </c>
      <c r="AJ112">
        <f>AND(IF(Metadata!J112="",FALSE,ISNUMBER(VALUE(Metadata!J112))),Metadata!J112&gt;0)</f>
        <v>0</v>
      </c>
      <c r="AK112">
        <f>AND(IF(Metadata!K112="",FALSE,TRUE),exact(Metadata!K112,"cm"))</f>
        <v>0</v>
      </c>
      <c r="AL112">
        <f>AND(IF(Metadata!L112="",FALSE,TRUE),exact(Metadata!L112,"Homo sapiens"))</f>
        <v>0</v>
      </c>
      <c r="AM112">
        <f>AND(IF(Metadata!M112="",FALSE,TRUE),exact(Metadata!M112,"9606"))</f>
        <v>0</v>
      </c>
      <c r="AN112">
        <f>AND(IF(Metadata!N112="",FALSE,ISNUMBER(VALUE(Metadata!N112))),Metadata!N112&gt;0)</f>
        <v>0</v>
      </c>
      <c r="AO112">
        <f>AND(IF(Metadata!O112="",FALSE,TRUE),exact(Metadata!O112,"kg"))</f>
        <v>0</v>
      </c>
      <c r="AP112">
        <f>OR(AND(IF(Metadata!P112="",FALSE,TRUE),exact(Metadata!P112,"not provided")),IF(Metadata!P112="",FALSE,TRUE))</f>
        <v>0</v>
      </c>
      <c r="AQ112">
        <f>OR(AND(IF(Metadata!Q112="",FALSE,TRUE),exact(Metadata!Q112,"not provided")),IF(Metadata!Q112="",FALSE,TRUE))</f>
        <v>0</v>
      </c>
    </row>
    <row r="113" spans="1:43">
      <c r="A113" s="4">
        <f>IF(B113=" "," ",HYPERLINK(CONCATENATE("#metadata!",ADDRESS(INDEX($W$2:$W$1001,MATCH(ROWS($U$2:U113),$U$2:$U$1001,0),0),2)),INDEX($Z$2:$Z$1001,MATCH(ROWS($U$2:U113),$U$2:$U$1001,0),0)))</f>
        <v>0</v>
      </c>
      <c r="B113" s="5">
        <f>IF(OR(INDEX($V$2:$V$1001,MATCH(ROWS($U$2:U113),$U$2:$U$1001,0),1)&gt;=100000,INDEX($AB$1005:$AQ$1005,1,MATCH(COLUMNS($AB$1006:AB1006),$AB$1006:$AQ$1006,0))&gt;=100000), " ",IF(INDEX($AB$2:$AQ$1001,MATCH(ROWS($U$2:U113),$U$2:$U$1001,0),MATCH(COLUMNS($AB$1006:AB1006),$AB$1006:$AQ$1006,0)), HYPERLINK("#",""), HYPERLINK(CONCATENATE("#Metadata!", ADDRESS(INDEX($W$2:$W$1001,MATCH(ROWS($U$2:U113),$U$2:$U$1001,0),0), INDEX($AB$1004:$AQ$1004,1,MATCH(COLUMNS($AB$1006:AB1006),$AB$1006:$AQ$1006,0)))),"Fix")))</f>
        <v>0</v>
      </c>
      <c r="C113" s="5">
        <f>IF(OR(INDEX($V$2:$V$1001,MATCH(ROWS($U$2:U113),$U$2:$U$1001,0),1)&gt;=100000,INDEX($AB$1005:$AQ$1005,1,MATCH(COLUMNS($AB$1006:AC1006),$AB$1006:$AQ$1006,0))&gt;=100000), " ",IF(INDEX($AB$2:$AQ$1001,MATCH(ROWS($U$2:U113),$U$2:$U$1001,0),MATCH(COLUMNS($AB$1006:AC1006),$AB$1006:$AQ$1006,0)), HYPERLINK("#",""), HYPERLINK(CONCATENATE("#Metadata!", ADDRESS(INDEX($W$2:$W$1001,MATCH(ROWS($U$2:U113),$U$2:$U$1001,0),0), INDEX($AB$1004:$AQ$1004,1,MATCH(COLUMNS($AB$1006:AC1006),$AB$1006:$AQ$1006,0)))),"Fix")))</f>
        <v>0</v>
      </c>
      <c r="D113" s="5">
        <f>IF(OR(INDEX($V$2:$V$1001,MATCH(ROWS($U$2:U113),$U$2:$U$1001,0),1)&gt;=100000,INDEX($AB$1005:$AQ$1005,1,MATCH(COLUMNS($AB$1006:AD1006),$AB$1006:$AQ$1006,0))&gt;=100000), " ",IF(INDEX($AB$2:$AQ$1001,MATCH(ROWS($U$2:U113),$U$2:$U$1001,0),MATCH(COLUMNS($AB$1006:AD1006),$AB$1006:$AQ$1006,0)), HYPERLINK("#",""), HYPERLINK(CONCATENATE("#Metadata!", ADDRESS(INDEX($W$2:$W$1001,MATCH(ROWS($U$2:U113),$U$2:$U$1001,0),0), INDEX($AB$1004:$AQ$1004,1,MATCH(COLUMNS($AB$1006:AD1006),$AB$1006:$AQ$1006,0)))),"Fix")))</f>
        <v>0</v>
      </c>
      <c r="E113" s="5">
        <f>IF(OR(INDEX($V$2:$V$1001,MATCH(ROWS($U$2:U113),$U$2:$U$1001,0),1)&gt;=100000,INDEX($AB$1005:$AQ$1005,1,MATCH(COLUMNS($AB$1006:AE1006),$AB$1006:$AQ$1006,0))&gt;=100000), " ",IF(INDEX($AB$2:$AQ$1001,MATCH(ROWS($U$2:U113),$U$2:$U$1001,0),MATCH(COLUMNS($AB$1006:AE1006),$AB$1006:$AQ$1006,0)), HYPERLINK("#",""), HYPERLINK(CONCATENATE("#Metadata!", ADDRESS(INDEX($W$2:$W$1001,MATCH(ROWS($U$2:U113),$U$2:$U$1001,0),0), INDEX($AB$1004:$AQ$1004,1,MATCH(COLUMNS($AB$1006:AE1006),$AB$1006:$AQ$1006,0)))),"Fix")))</f>
        <v>0</v>
      </c>
      <c r="F113" s="5">
        <f>IF(OR(INDEX($V$2:$V$1001,MATCH(ROWS($U$2:U113),$U$2:$U$1001,0),1)&gt;=100000,INDEX($AB$1005:$AQ$1005,1,MATCH(COLUMNS($AB$1006:AF1006),$AB$1006:$AQ$1006,0))&gt;=100000), " ",IF(INDEX($AB$2:$AQ$1001,MATCH(ROWS($U$2:U113),$U$2:$U$1001,0),MATCH(COLUMNS($AB$1006:AF1006),$AB$1006:$AQ$1006,0)), HYPERLINK("#",""), HYPERLINK(CONCATENATE("#Metadata!", ADDRESS(INDEX($W$2:$W$1001,MATCH(ROWS($U$2:U113),$U$2:$U$1001,0),0), INDEX($AB$1004:$AQ$1004,1,MATCH(COLUMNS($AB$1006:AF1006),$AB$1006:$AQ$1006,0)))),"Fix")))</f>
        <v>0</v>
      </c>
      <c r="G113" s="5">
        <f>IF(OR(INDEX($V$2:$V$1001,MATCH(ROWS($U$2:U113),$U$2:$U$1001,0),1)&gt;=100000,INDEX($AB$1005:$AQ$1005,1,MATCH(COLUMNS($AB$1006:AG1006),$AB$1006:$AQ$1006,0))&gt;=100000), " ",IF(INDEX($AB$2:$AQ$1001,MATCH(ROWS($U$2:U113),$U$2:$U$1001,0),MATCH(COLUMNS($AB$1006:AG1006),$AB$1006:$AQ$1006,0)), HYPERLINK("#",""), HYPERLINK(CONCATENATE("#Metadata!", ADDRESS(INDEX($W$2:$W$1001,MATCH(ROWS($U$2:U113),$U$2:$U$1001,0),0), INDEX($AB$1004:$AQ$1004,1,MATCH(COLUMNS($AB$1006:AG1006),$AB$1006:$AQ$1006,0)))),"Fix")))</f>
        <v>0</v>
      </c>
      <c r="H113" s="5">
        <f>IF(OR(INDEX($V$2:$V$1001,MATCH(ROWS($U$2:U113),$U$2:$U$1001,0),1)&gt;=100000,INDEX($AB$1005:$AQ$1005,1,MATCH(COLUMNS($AB$1006:AH1006),$AB$1006:$AQ$1006,0))&gt;=100000), " ",IF(INDEX($AB$2:$AQ$1001,MATCH(ROWS($U$2:U113),$U$2:$U$1001,0),MATCH(COLUMNS($AB$1006:AH1006),$AB$1006:$AQ$1006,0)), HYPERLINK("#",""), HYPERLINK(CONCATENATE("#Metadata!", ADDRESS(INDEX($W$2:$W$1001,MATCH(ROWS($U$2:U113),$U$2:$U$1001,0),0), INDEX($AB$1004:$AQ$1004,1,MATCH(COLUMNS($AB$1006:AH1006),$AB$1006:$AQ$1006,0)))),"Fix")))</f>
        <v>0</v>
      </c>
      <c r="I113" s="5">
        <f>IF(OR(INDEX($V$2:$V$1001,MATCH(ROWS($U$2:U113),$U$2:$U$1001,0),1)&gt;=100000,INDEX($AB$1005:$AQ$1005,1,MATCH(COLUMNS($AB$1006:AI1006),$AB$1006:$AQ$1006,0))&gt;=100000), " ",IF(INDEX($AB$2:$AQ$1001,MATCH(ROWS($U$2:U113),$U$2:$U$1001,0),MATCH(COLUMNS($AB$1006:AI1006),$AB$1006:$AQ$1006,0)), HYPERLINK("#",""), HYPERLINK(CONCATENATE("#Metadata!", ADDRESS(INDEX($W$2:$W$1001,MATCH(ROWS($U$2:U113),$U$2:$U$1001,0),0), INDEX($AB$1004:$AQ$1004,1,MATCH(COLUMNS($AB$1006:AI1006),$AB$1006:$AQ$1006,0)))),"Fix")))</f>
        <v>0</v>
      </c>
      <c r="J113" s="5">
        <f>IF(OR(INDEX($V$2:$V$1001,MATCH(ROWS($U$2:U113),$U$2:$U$1001,0),1)&gt;=100000,INDEX($AB$1005:$AQ$1005,1,MATCH(COLUMNS($AB$1006:AJ1006),$AB$1006:$AQ$1006,0))&gt;=100000), " ",IF(INDEX($AB$2:$AQ$1001,MATCH(ROWS($U$2:U113),$U$2:$U$1001,0),MATCH(COLUMNS($AB$1006:AJ1006),$AB$1006:$AQ$1006,0)), HYPERLINK("#",""), HYPERLINK(CONCATENATE("#Metadata!", ADDRESS(INDEX($W$2:$W$1001,MATCH(ROWS($U$2:U113),$U$2:$U$1001,0),0), INDEX($AB$1004:$AQ$1004,1,MATCH(COLUMNS($AB$1006:AJ1006),$AB$1006:$AQ$1006,0)))),"Fix")))</f>
        <v>0</v>
      </c>
      <c r="K113" s="5">
        <f>IF(OR(INDEX($V$2:$V$1001,MATCH(ROWS($U$2:U113),$U$2:$U$1001,0),1)&gt;=100000,INDEX($AB$1005:$AQ$1005,1,MATCH(COLUMNS($AB$1006:AK1006),$AB$1006:$AQ$1006,0))&gt;=100000), " ",IF(INDEX($AB$2:$AQ$1001,MATCH(ROWS($U$2:U113),$U$2:$U$1001,0),MATCH(COLUMNS($AB$1006:AK1006),$AB$1006:$AQ$1006,0)), HYPERLINK("#",""), HYPERLINK(CONCATENATE("#Metadata!", ADDRESS(INDEX($W$2:$W$1001,MATCH(ROWS($U$2:U113),$U$2:$U$1001,0),0), INDEX($AB$1004:$AQ$1004,1,MATCH(COLUMNS($AB$1006:AK1006),$AB$1006:$AQ$1006,0)))),"Fix")))</f>
        <v>0</v>
      </c>
      <c r="L113" s="5">
        <f>IF(OR(INDEX($V$2:$V$1001,MATCH(ROWS($U$2:U113),$U$2:$U$1001,0),1)&gt;=100000,INDEX($AB$1005:$AQ$1005,1,MATCH(COLUMNS($AB$1006:AL1006),$AB$1006:$AQ$1006,0))&gt;=100000), " ",IF(INDEX($AB$2:$AQ$1001,MATCH(ROWS($U$2:U113),$U$2:$U$1001,0),MATCH(COLUMNS($AB$1006:AL1006),$AB$1006:$AQ$1006,0)), HYPERLINK("#",""), HYPERLINK(CONCATENATE("#Metadata!", ADDRESS(INDEX($W$2:$W$1001,MATCH(ROWS($U$2:U113),$U$2:$U$1001,0),0), INDEX($AB$1004:$AQ$1004,1,MATCH(COLUMNS($AB$1006:AL1006),$AB$1006:$AQ$1006,0)))),"Fix")))</f>
        <v>0</v>
      </c>
      <c r="M113" s="5">
        <f>IF(OR(INDEX($V$2:$V$1001,MATCH(ROWS($U$2:U113),$U$2:$U$1001,0),1)&gt;=100000,INDEX($AB$1005:$AQ$1005,1,MATCH(COLUMNS($AB$1006:AM1006),$AB$1006:$AQ$1006,0))&gt;=100000), " ",IF(INDEX($AB$2:$AQ$1001,MATCH(ROWS($U$2:U113),$U$2:$U$1001,0),MATCH(COLUMNS($AB$1006:AM1006),$AB$1006:$AQ$1006,0)), HYPERLINK("#",""), HYPERLINK(CONCATENATE("#Metadata!", ADDRESS(INDEX($W$2:$W$1001,MATCH(ROWS($U$2:U113),$U$2:$U$1001,0),0), INDEX($AB$1004:$AQ$1004,1,MATCH(COLUMNS($AB$1006:AM1006),$AB$1006:$AQ$1006,0)))),"Fix")))</f>
        <v>0</v>
      </c>
      <c r="N113" s="5">
        <f>IF(OR(INDEX($V$2:$V$1001,MATCH(ROWS($U$2:U113),$U$2:$U$1001,0),1)&gt;=100000,INDEX($AB$1005:$AQ$1005,1,MATCH(COLUMNS($AB$1006:AN1006),$AB$1006:$AQ$1006,0))&gt;=100000), " ",IF(INDEX($AB$2:$AQ$1001,MATCH(ROWS($U$2:U113),$U$2:$U$1001,0),MATCH(COLUMNS($AB$1006:AN1006),$AB$1006:$AQ$1006,0)), HYPERLINK("#",""), HYPERLINK(CONCATENATE("#Metadata!", ADDRESS(INDEX($W$2:$W$1001,MATCH(ROWS($U$2:U113),$U$2:$U$1001,0),0), INDEX($AB$1004:$AQ$1004,1,MATCH(COLUMNS($AB$1006:AN1006),$AB$1006:$AQ$1006,0)))),"Fix")))</f>
        <v>0</v>
      </c>
      <c r="O113" s="5">
        <f>IF(OR(INDEX($V$2:$V$1001,MATCH(ROWS($U$2:U113),$U$2:$U$1001,0),1)&gt;=100000,INDEX($AB$1005:$AQ$1005,1,MATCH(COLUMNS($AB$1006:AO1006),$AB$1006:$AQ$1006,0))&gt;=100000), " ",IF(INDEX($AB$2:$AQ$1001,MATCH(ROWS($U$2:U113),$U$2:$U$1001,0),MATCH(COLUMNS($AB$1006:AO1006),$AB$1006:$AQ$1006,0)), HYPERLINK("#",""), HYPERLINK(CONCATENATE("#Metadata!", ADDRESS(INDEX($W$2:$W$1001,MATCH(ROWS($U$2:U113),$U$2:$U$1001,0),0), INDEX($AB$1004:$AQ$1004,1,MATCH(COLUMNS($AB$1006:AO1006),$AB$1006:$AQ$1006,0)))),"Fix")))</f>
        <v>0</v>
      </c>
      <c r="P113" s="5">
        <f>IF(OR(INDEX($V$2:$V$1001,MATCH(ROWS($U$2:U113),$U$2:$U$1001,0),1)&gt;=100000,INDEX($AB$1005:$AQ$1005,1,MATCH(COLUMNS($AB$1006:AP1006),$AB$1006:$AQ$1006,0))&gt;=100000), " ",IF(INDEX($AB$2:$AQ$1001,MATCH(ROWS($U$2:U113),$U$2:$U$1001,0),MATCH(COLUMNS($AB$1006:AP1006),$AB$1006:$AQ$1006,0)), HYPERLINK("#",""), HYPERLINK(CONCATENATE("#Metadata!", ADDRESS(INDEX($W$2:$W$1001,MATCH(ROWS($U$2:U113),$U$2:$U$1001,0),0), INDEX($AB$1004:$AQ$1004,1,MATCH(COLUMNS($AB$1006:AP1006),$AB$1006:$AQ$1006,0)))),"Fix")))</f>
        <v>0</v>
      </c>
      <c r="Q113" s="5">
        <f>IF(OR(INDEX($V$2:$V$1001,MATCH(ROWS($U$2:U113),$U$2:$U$1001,0),1)&gt;=100000,INDEX($AB$1005:$AQ$1005,1,MATCH(COLUMNS($AB$1006:AQ1006),$AB$1006:$AQ$1006,0))&gt;=100000), " ",IF(INDEX($AB$2:$AQ$1001,MATCH(ROWS($U$2:U113),$U$2:$U$1001,0),MATCH(COLUMNS($AB$1006:AQ1006),$AB$1006:$AQ$1006,0)), HYPERLINK("#",""), HYPERLINK(CONCATENATE("#Metadata!", ADDRESS(INDEX($W$2:$W$1001,MATCH(ROWS($U$2:U113),$U$2:$U$1001,0),0), INDEX($AB$1004:$AQ$1004,1,MATCH(COLUMNS($AB$1006:AQ1006),$AB$1006:$AQ$1006,0)))),"Fix")))</f>
        <v>0</v>
      </c>
      <c r="U113">
        <v>0</v>
      </c>
      <c r="V113">
        <v>0</v>
      </c>
      <c r="W113">
        <v>0</v>
      </c>
      <c r="X113">
        <f>IF(Y113,TRUE,AND(AB113:AQ113))</f>
        <v>0</v>
      </c>
      <c r="Y113">
        <f>COUNTBLANK(Metadata!B113:Q113)=COLUMNS(Metadata!B113:Q113)</f>
        <v>0</v>
      </c>
      <c r="Z113">
        <v>0</v>
      </c>
      <c r="AB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AC113">
        <f>AND(IF(Metadata!C113="",FALSE,TRUE),exact(Metadata!C113,"urban biome"))</f>
        <v>0</v>
      </c>
      <c r="AD113">
        <f>AND(IF(Metadata!D113="",FALSE,TRUE),exact(Metadata!D113,"human-associated habitat"))</f>
        <v>0</v>
      </c>
      <c r="AE113">
        <f>AND(IF(Metadata!E113="",FALSE,TRUE),OR(exact(Metadata!E113,"human-associated"),exact(Metadata!E113,"human-skin"),exact(Metadata!E113,"human-oral"),exact(Metadata!E113,"human-gut"),exact(Metadata!E113,"human-vaginal")))</f>
        <v>0</v>
      </c>
      <c r="AF113">
        <f>AND(IF(Metadata!F113="",FALSE,ISNUMBER(VALUE(Metadata!F113))),Metadata!F113&gt;0)</f>
        <v>0</v>
      </c>
      <c r="AG113">
        <f>AND(IF(Metadata!G113="",FALSE,TRUE),exact(Metadata!G113,"years"))</f>
        <v>0</v>
      </c>
      <c r="AH113">
        <f>OR(AND(IF(Metadata!H113="",FALSE,TRUE),OR(exact(Metadata!H113,"not applicable"),exact(Metadata!H113,"not collected"),exact(Metadata!H113,"not provided"),exact(Metadata!H113,"restricted access"))),AND(IF(Metadata!H113="",FALSE,ISNUMBER(VALUE(Metadata!H113))),Metadata!H113&gt;0))</f>
        <v>0</v>
      </c>
      <c r="AI113">
        <f>AND(IF(Metadata!I113="",FALSE,TRUE),exact(Metadata!I113,"human"))</f>
        <v>0</v>
      </c>
      <c r="AJ113">
        <f>AND(IF(Metadata!J113="",FALSE,ISNUMBER(VALUE(Metadata!J113))),Metadata!J113&gt;0)</f>
        <v>0</v>
      </c>
      <c r="AK113">
        <f>AND(IF(Metadata!K113="",FALSE,TRUE),exact(Metadata!K113,"cm"))</f>
        <v>0</v>
      </c>
      <c r="AL113">
        <f>AND(IF(Metadata!L113="",FALSE,TRUE),exact(Metadata!L113,"Homo sapiens"))</f>
        <v>0</v>
      </c>
      <c r="AM113">
        <f>AND(IF(Metadata!M113="",FALSE,TRUE),exact(Metadata!M113,"9606"))</f>
        <v>0</v>
      </c>
      <c r="AN113">
        <f>AND(IF(Metadata!N113="",FALSE,ISNUMBER(VALUE(Metadata!N113))),Metadata!N113&gt;0)</f>
        <v>0</v>
      </c>
      <c r="AO113">
        <f>AND(IF(Metadata!O113="",FALSE,TRUE),exact(Metadata!O113,"kg"))</f>
        <v>0</v>
      </c>
      <c r="AP113">
        <f>OR(AND(IF(Metadata!P113="",FALSE,TRUE),exact(Metadata!P113,"not provided")),IF(Metadata!P113="",FALSE,TRUE))</f>
        <v>0</v>
      </c>
      <c r="AQ113">
        <f>OR(AND(IF(Metadata!Q113="",FALSE,TRUE),exact(Metadata!Q113,"not provided")),IF(Metadata!Q113="",FALSE,TRUE))</f>
        <v>0</v>
      </c>
    </row>
    <row r="114" spans="1:43">
      <c r="A114" s="4">
        <f>IF(B114=" "," ",HYPERLINK(CONCATENATE("#metadata!",ADDRESS(INDEX($W$2:$W$1001,MATCH(ROWS($U$2:U114),$U$2:$U$1001,0),0),2)),INDEX($Z$2:$Z$1001,MATCH(ROWS($U$2:U114),$U$2:$U$1001,0),0)))</f>
        <v>0</v>
      </c>
      <c r="B114" s="5">
        <f>IF(OR(INDEX($V$2:$V$1001,MATCH(ROWS($U$2:U114),$U$2:$U$1001,0),1)&gt;=100000,INDEX($AB$1005:$AQ$1005,1,MATCH(COLUMNS($AB$1006:AB1006),$AB$1006:$AQ$1006,0))&gt;=100000), " ",IF(INDEX($AB$2:$AQ$1001,MATCH(ROWS($U$2:U114),$U$2:$U$1001,0),MATCH(COLUMNS($AB$1006:AB1006),$AB$1006:$AQ$1006,0)), HYPERLINK("#",""), HYPERLINK(CONCATENATE("#Metadata!", ADDRESS(INDEX($W$2:$W$1001,MATCH(ROWS($U$2:U114),$U$2:$U$1001,0),0), INDEX($AB$1004:$AQ$1004,1,MATCH(COLUMNS($AB$1006:AB1006),$AB$1006:$AQ$1006,0)))),"Fix")))</f>
        <v>0</v>
      </c>
      <c r="C114" s="5">
        <f>IF(OR(INDEX($V$2:$V$1001,MATCH(ROWS($U$2:U114),$U$2:$U$1001,0),1)&gt;=100000,INDEX($AB$1005:$AQ$1005,1,MATCH(COLUMNS($AB$1006:AC1006),$AB$1006:$AQ$1006,0))&gt;=100000), " ",IF(INDEX($AB$2:$AQ$1001,MATCH(ROWS($U$2:U114),$U$2:$U$1001,0),MATCH(COLUMNS($AB$1006:AC1006),$AB$1006:$AQ$1006,0)), HYPERLINK("#",""), HYPERLINK(CONCATENATE("#Metadata!", ADDRESS(INDEX($W$2:$W$1001,MATCH(ROWS($U$2:U114),$U$2:$U$1001,0),0), INDEX($AB$1004:$AQ$1004,1,MATCH(COLUMNS($AB$1006:AC1006),$AB$1006:$AQ$1006,0)))),"Fix")))</f>
        <v>0</v>
      </c>
      <c r="D114" s="5">
        <f>IF(OR(INDEX($V$2:$V$1001,MATCH(ROWS($U$2:U114),$U$2:$U$1001,0),1)&gt;=100000,INDEX($AB$1005:$AQ$1005,1,MATCH(COLUMNS($AB$1006:AD1006),$AB$1006:$AQ$1006,0))&gt;=100000), " ",IF(INDEX($AB$2:$AQ$1001,MATCH(ROWS($U$2:U114),$U$2:$U$1001,0),MATCH(COLUMNS($AB$1006:AD1006),$AB$1006:$AQ$1006,0)), HYPERLINK("#",""), HYPERLINK(CONCATENATE("#Metadata!", ADDRESS(INDEX($W$2:$W$1001,MATCH(ROWS($U$2:U114),$U$2:$U$1001,0),0), INDEX($AB$1004:$AQ$1004,1,MATCH(COLUMNS($AB$1006:AD1006),$AB$1006:$AQ$1006,0)))),"Fix")))</f>
        <v>0</v>
      </c>
      <c r="E114" s="5">
        <f>IF(OR(INDEX($V$2:$V$1001,MATCH(ROWS($U$2:U114),$U$2:$U$1001,0),1)&gt;=100000,INDEX($AB$1005:$AQ$1005,1,MATCH(COLUMNS($AB$1006:AE1006),$AB$1006:$AQ$1006,0))&gt;=100000), " ",IF(INDEX($AB$2:$AQ$1001,MATCH(ROWS($U$2:U114),$U$2:$U$1001,0),MATCH(COLUMNS($AB$1006:AE1006),$AB$1006:$AQ$1006,0)), HYPERLINK("#",""), HYPERLINK(CONCATENATE("#Metadata!", ADDRESS(INDEX($W$2:$W$1001,MATCH(ROWS($U$2:U114),$U$2:$U$1001,0),0), INDEX($AB$1004:$AQ$1004,1,MATCH(COLUMNS($AB$1006:AE1006),$AB$1006:$AQ$1006,0)))),"Fix")))</f>
        <v>0</v>
      </c>
      <c r="F114" s="5">
        <f>IF(OR(INDEX($V$2:$V$1001,MATCH(ROWS($U$2:U114),$U$2:$U$1001,0),1)&gt;=100000,INDEX($AB$1005:$AQ$1005,1,MATCH(COLUMNS($AB$1006:AF1006),$AB$1006:$AQ$1006,0))&gt;=100000), " ",IF(INDEX($AB$2:$AQ$1001,MATCH(ROWS($U$2:U114),$U$2:$U$1001,0),MATCH(COLUMNS($AB$1006:AF1006),$AB$1006:$AQ$1006,0)), HYPERLINK("#",""), HYPERLINK(CONCATENATE("#Metadata!", ADDRESS(INDEX($W$2:$W$1001,MATCH(ROWS($U$2:U114),$U$2:$U$1001,0),0), INDEX($AB$1004:$AQ$1004,1,MATCH(COLUMNS($AB$1006:AF1006),$AB$1006:$AQ$1006,0)))),"Fix")))</f>
        <v>0</v>
      </c>
      <c r="G114" s="5">
        <f>IF(OR(INDEX($V$2:$V$1001,MATCH(ROWS($U$2:U114),$U$2:$U$1001,0),1)&gt;=100000,INDEX($AB$1005:$AQ$1005,1,MATCH(COLUMNS($AB$1006:AG1006),$AB$1006:$AQ$1006,0))&gt;=100000), " ",IF(INDEX($AB$2:$AQ$1001,MATCH(ROWS($U$2:U114),$U$2:$U$1001,0),MATCH(COLUMNS($AB$1006:AG1006),$AB$1006:$AQ$1006,0)), HYPERLINK("#",""), HYPERLINK(CONCATENATE("#Metadata!", ADDRESS(INDEX($W$2:$W$1001,MATCH(ROWS($U$2:U114),$U$2:$U$1001,0),0), INDEX($AB$1004:$AQ$1004,1,MATCH(COLUMNS($AB$1006:AG1006),$AB$1006:$AQ$1006,0)))),"Fix")))</f>
        <v>0</v>
      </c>
      <c r="H114" s="5">
        <f>IF(OR(INDEX($V$2:$V$1001,MATCH(ROWS($U$2:U114),$U$2:$U$1001,0),1)&gt;=100000,INDEX($AB$1005:$AQ$1005,1,MATCH(COLUMNS($AB$1006:AH1006),$AB$1006:$AQ$1006,0))&gt;=100000), " ",IF(INDEX($AB$2:$AQ$1001,MATCH(ROWS($U$2:U114),$U$2:$U$1001,0),MATCH(COLUMNS($AB$1006:AH1006),$AB$1006:$AQ$1006,0)), HYPERLINK("#",""), HYPERLINK(CONCATENATE("#Metadata!", ADDRESS(INDEX($W$2:$W$1001,MATCH(ROWS($U$2:U114),$U$2:$U$1001,0),0), INDEX($AB$1004:$AQ$1004,1,MATCH(COLUMNS($AB$1006:AH1006),$AB$1006:$AQ$1006,0)))),"Fix")))</f>
        <v>0</v>
      </c>
      <c r="I114" s="5">
        <f>IF(OR(INDEX($V$2:$V$1001,MATCH(ROWS($U$2:U114),$U$2:$U$1001,0),1)&gt;=100000,INDEX($AB$1005:$AQ$1005,1,MATCH(COLUMNS($AB$1006:AI1006),$AB$1006:$AQ$1006,0))&gt;=100000), " ",IF(INDEX($AB$2:$AQ$1001,MATCH(ROWS($U$2:U114),$U$2:$U$1001,0),MATCH(COLUMNS($AB$1006:AI1006),$AB$1006:$AQ$1006,0)), HYPERLINK("#",""), HYPERLINK(CONCATENATE("#Metadata!", ADDRESS(INDEX($W$2:$W$1001,MATCH(ROWS($U$2:U114),$U$2:$U$1001,0),0), INDEX($AB$1004:$AQ$1004,1,MATCH(COLUMNS($AB$1006:AI1006),$AB$1006:$AQ$1006,0)))),"Fix")))</f>
        <v>0</v>
      </c>
      <c r="J114" s="5">
        <f>IF(OR(INDEX($V$2:$V$1001,MATCH(ROWS($U$2:U114),$U$2:$U$1001,0),1)&gt;=100000,INDEX($AB$1005:$AQ$1005,1,MATCH(COLUMNS($AB$1006:AJ1006),$AB$1006:$AQ$1006,0))&gt;=100000), " ",IF(INDEX($AB$2:$AQ$1001,MATCH(ROWS($U$2:U114),$U$2:$U$1001,0),MATCH(COLUMNS($AB$1006:AJ1006),$AB$1006:$AQ$1006,0)), HYPERLINK("#",""), HYPERLINK(CONCATENATE("#Metadata!", ADDRESS(INDEX($W$2:$W$1001,MATCH(ROWS($U$2:U114),$U$2:$U$1001,0),0), INDEX($AB$1004:$AQ$1004,1,MATCH(COLUMNS($AB$1006:AJ1006),$AB$1006:$AQ$1006,0)))),"Fix")))</f>
        <v>0</v>
      </c>
      <c r="K114" s="5">
        <f>IF(OR(INDEX($V$2:$V$1001,MATCH(ROWS($U$2:U114),$U$2:$U$1001,0),1)&gt;=100000,INDEX($AB$1005:$AQ$1005,1,MATCH(COLUMNS($AB$1006:AK1006),$AB$1006:$AQ$1006,0))&gt;=100000), " ",IF(INDEX($AB$2:$AQ$1001,MATCH(ROWS($U$2:U114),$U$2:$U$1001,0),MATCH(COLUMNS($AB$1006:AK1006),$AB$1006:$AQ$1006,0)), HYPERLINK("#",""), HYPERLINK(CONCATENATE("#Metadata!", ADDRESS(INDEX($W$2:$W$1001,MATCH(ROWS($U$2:U114),$U$2:$U$1001,0),0), INDEX($AB$1004:$AQ$1004,1,MATCH(COLUMNS($AB$1006:AK1006),$AB$1006:$AQ$1006,0)))),"Fix")))</f>
        <v>0</v>
      </c>
      <c r="L114" s="5">
        <f>IF(OR(INDEX($V$2:$V$1001,MATCH(ROWS($U$2:U114),$U$2:$U$1001,0),1)&gt;=100000,INDEX($AB$1005:$AQ$1005,1,MATCH(COLUMNS($AB$1006:AL1006),$AB$1006:$AQ$1006,0))&gt;=100000), " ",IF(INDEX($AB$2:$AQ$1001,MATCH(ROWS($U$2:U114),$U$2:$U$1001,0),MATCH(COLUMNS($AB$1006:AL1006),$AB$1006:$AQ$1006,0)), HYPERLINK("#",""), HYPERLINK(CONCATENATE("#Metadata!", ADDRESS(INDEX($W$2:$W$1001,MATCH(ROWS($U$2:U114),$U$2:$U$1001,0),0), INDEX($AB$1004:$AQ$1004,1,MATCH(COLUMNS($AB$1006:AL1006),$AB$1006:$AQ$1006,0)))),"Fix")))</f>
        <v>0</v>
      </c>
      <c r="M114" s="5">
        <f>IF(OR(INDEX($V$2:$V$1001,MATCH(ROWS($U$2:U114),$U$2:$U$1001,0),1)&gt;=100000,INDEX($AB$1005:$AQ$1005,1,MATCH(COLUMNS($AB$1006:AM1006),$AB$1006:$AQ$1006,0))&gt;=100000), " ",IF(INDEX($AB$2:$AQ$1001,MATCH(ROWS($U$2:U114),$U$2:$U$1001,0),MATCH(COLUMNS($AB$1006:AM1006),$AB$1006:$AQ$1006,0)), HYPERLINK("#",""), HYPERLINK(CONCATENATE("#Metadata!", ADDRESS(INDEX($W$2:$W$1001,MATCH(ROWS($U$2:U114),$U$2:$U$1001,0),0), INDEX($AB$1004:$AQ$1004,1,MATCH(COLUMNS($AB$1006:AM1006),$AB$1006:$AQ$1006,0)))),"Fix")))</f>
        <v>0</v>
      </c>
      <c r="N114" s="5">
        <f>IF(OR(INDEX($V$2:$V$1001,MATCH(ROWS($U$2:U114),$U$2:$U$1001,0),1)&gt;=100000,INDEX($AB$1005:$AQ$1005,1,MATCH(COLUMNS($AB$1006:AN1006),$AB$1006:$AQ$1006,0))&gt;=100000), " ",IF(INDEX($AB$2:$AQ$1001,MATCH(ROWS($U$2:U114),$U$2:$U$1001,0),MATCH(COLUMNS($AB$1006:AN1006),$AB$1006:$AQ$1006,0)), HYPERLINK("#",""), HYPERLINK(CONCATENATE("#Metadata!", ADDRESS(INDEX($W$2:$W$1001,MATCH(ROWS($U$2:U114),$U$2:$U$1001,0),0), INDEX($AB$1004:$AQ$1004,1,MATCH(COLUMNS($AB$1006:AN1006),$AB$1006:$AQ$1006,0)))),"Fix")))</f>
        <v>0</v>
      </c>
      <c r="O114" s="5">
        <f>IF(OR(INDEX($V$2:$V$1001,MATCH(ROWS($U$2:U114),$U$2:$U$1001,0),1)&gt;=100000,INDEX($AB$1005:$AQ$1005,1,MATCH(COLUMNS($AB$1006:AO1006),$AB$1006:$AQ$1006,0))&gt;=100000), " ",IF(INDEX($AB$2:$AQ$1001,MATCH(ROWS($U$2:U114),$U$2:$U$1001,0),MATCH(COLUMNS($AB$1006:AO1006),$AB$1006:$AQ$1006,0)), HYPERLINK("#",""), HYPERLINK(CONCATENATE("#Metadata!", ADDRESS(INDEX($W$2:$W$1001,MATCH(ROWS($U$2:U114),$U$2:$U$1001,0),0), INDEX($AB$1004:$AQ$1004,1,MATCH(COLUMNS($AB$1006:AO1006),$AB$1006:$AQ$1006,0)))),"Fix")))</f>
        <v>0</v>
      </c>
      <c r="P114" s="5">
        <f>IF(OR(INDEX($V$2:$V$1001,MATCH(ROWS($U$2:U114),$U$2:$U$1001,0),1)&gt;=100000,INDEX($AB$1005:$AQ$1005,1,MATCH(COLUMNS($AB$1006:AP1006),$AB$1006:$AQ$1006,0))&gt;=100000), " ",IF(INDEX($AB$2:$AQ$1001,MATCH(ROWS($U$2:U114),$U$2:$U$1001,0),MATCH(COLUMNS($AB$1006:AP1006),$AB$1006:$AQ$1006,0)), HYPERLINK("#",""), HYPERLINK(CONCATENATE("#Metadata!", ADDRESS(INDEX($W$2:$W$1001,MATCH(ROWS($U$2:U114),$U$2:$U$1001,0),0), INDEX($AB$1004:$AQ$1004,1,MATCH(COLUMNS($AB$1006:AP1006),$AB$1006:$AQ$1006,0)))),"Fix")))</f>
        <v>0</v>
      </c>
      <c r="Q114" s="5">
        <f>IF(OR(INDEX($V$2:$V$1001,MATCH(ROWS($U$2:U114),$U$2:$U$1001,0),1)&gt;=100000,INDEX($AB$1005:$AQ$1005,1,MATCH(COLUMNS($AB$1006:AQ1006),$AB$1006:$AQ$1006,0))&gt;=100000), " ",IF(INDEX($AB$2:$AQ$1001,MATCH(ROWS($U$2:U114),$U$2:$U$1001,0),MATCH(COLUMNS($AB$1006:AQ1006),$AB$1006:$AQ$1006,0)), HYPERLINK("#",""), HYPERLINK(CONCATENATE("#Metadata!", ADDRESS(INDEX($W$2:$W$1001,MATCH(ROWS($U$2:U114),$U$2:$U$1001,0),0), INDEX($AB$1004:$AQ$1004,1,MATCH(COLUMNS($AB$1006:AQ1006),$AB$1006:$AQ$1006,0)))),"Fix")))</f>
        <v>0</v>
      </c>
      <c r="U114">
        <v>0</v>
      </c>
      <c r="V114">
        <v>0</v>
      </c>
      <c r="W114">
        <v>0</v>
      </c>
      <c r="X114">
        <f>IF(Y114,TRUE,AND(AB114:AQ114))</f>
        <v>0</v>
      </c>
      <c r="Y114">
        <f>COUNTBLANK(Metadata!B114:Q114)=COLUMNS(Metadata!B114:Q114)</f>
        <v>0</v>
      </c>
      <c r="Z114">
        <v>0</v>
      </c>
      <c r="AB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AC114">
        <f>AND(IF(Metadata!C114="",FALSE,TRUE),exact(Metadata!C114,"urban biome"))</f>
        <v>0</v>
      </c>
      <c r="AD114">
        <f>AND(IF(Metadata!D114="",FALSE,TRUE),exact(Metadata!D114,"human-associated habitat"))</f>
        <v>0</v>
      </c>
      <c r="AE114">
        <f>AND(IF(Metadata!E114="",FALSE,TRUE),OR(exact(Metadata!E114,"human-associated"),exact(Metadata!E114,"human-skin"),exact(Metadata!E114,"human-oral"),exact(Metadata!E114,"human-gut"),exact(Metadata!E114,"human-vaginal")))</f>
        <v>0</v>
      </c>
      <c r="AF114">
        <f>AND(IF(Metadata!F114="",FALSE,ISNUMBER(VALUE(Metadata!F114))),Metadata!F114&gt;0)</f>
        <v>0</v>
      </c>
      <c r="AG114">
        <f>AND(IF(Metadata!G114="",FALSE,TRUE),exact(Metadata!G114,"years"))</f>
        <v>0</v>
      </c>
      <c r="AH114">
        <f>OR(AND(IF(Metadata!H114="",FALSE,TRUE),OR(exact(Metadata!H114,"not applicable"),exact(Metadata!H114,"not collected"),exact(Metadata!H114,"not provided"),exact(Metadata!H114,"restricted access"))),AND(IF(Metadata!H114="",FALSE,ISNUMBER(VALUE(Metadata!H114))),Metadata!H114&gt;0))</f>
        <v>0</v>
      </c>
      <c r="AI114">
        <f>AND(IF(Metadata!I114="",FALSE,TRUE),exact(Metadata!I114,"human"))</f>
        <v>0</v>
      </c>
      <c r="AJ114">
        <f>AND(IF(Metadata!J114="",FALSE,ISNUMBER(VALUE(Metadata!J114))),Metadata!J114&gt;0)</f>
        <v>0</v>
      </c>
      <c r="AK114">
        <f>AND(IF(Metadata!K114="",FALSE,TRUE),exact(Metadata!K114,"cm"))</f>
        <v>0</v>
      </c>
      <c r="AL114">
        <f>AND(IF(Metadata!L114="",FALSE,TRUE),exact(Metadata!L114,"Homo sapiens"))</f>
        <v>0</v>
      </c>
      <c r="AM114">
        <f>AND(IF(Metadata!M114="",FALSE,TRUE),exact(Metadata!M114,"9606"))</f>
        <v>0</v>
      </c>
      <c r="AN114">
        <f>AND(IF(Metadata!N114="",FALSE,ISNUMBER(VALUE(Metadata!N114))),Metadata!N114&gt;0)</f>
        <v>0</v>
      </c>
      <c r="AO114">
        <f>AND(IF(Metadata!O114="",FALSE,TRUE),exact(Metadata!O114,"kg"))</f>
        <v>0</v>
      </c>
      <c r="AP114">
        <f>OR(AND(IF(Metadata!P114="",FALSE,TRUE),exact(Metadata!P114,"not provided")),IF(Metadata!P114="",FALSE,TRUE))</f>
        <v>0</v>
      </c>
      <c r="AQ114">
        <f>OR(AND(IF(Metadata!Q114="",FALSE,TRUE),exact(Metadata!Q114,"not provided")),IF(Metadata!Q114="",FALSE,TRUE))</f>
        <v>0</v>
      </c>
    </row>
    <row r="115" spans="1:43">
      <c r="A115" s="4">
        <f>IF(B115=" "," ",HYPERLINK(CONCATENATE("#metadata!",ADDRESS(INDEX($W$2:$W$1001,MATCH(ROWS($U$2:U115),$U$2:$U$1001,0),0),2)),INDEX($Z$2:$Z$1001,MATCH(ROWS($U$2:U115),$U$2:$U$1001,0),0)))</f>
        <v>0</v>
      </c>
      <c r="B115" s="5">
        <f>IF(OR(INDEX($V$2:$V$1001,MATCH(ROWS($U$2:U115),$U$2:$U$1001,0),1)&gt;=100000,INDEX($AB$1005:$AQ$1005,1,MATCH(COLUMNS($AB$1006:AB1006),$AB$1006:$AQ$1006,0))&gt;=100000), " ",IF(INDEX($AB$2:$AQ$1001,MATCH(ROWS($U$2:U115),$U$2:$U$1001,0),MATCH(COLUMNS($AB$1006:AB1006),$AB$1006:$AQ$1006,0)), HYPERLINK("#",""), HYPERLINK(CONCATENATE("#Metadata!", ADDRESS(INDEX($W$2:$W$1001,MATCH(ROWS($U$2:U115),$U$2:$U$1001,0),0), INDEX($AB$1004:$AQ$1004,1,MATCH(COLUMNS($AB$1006:AB1006),$AB$1006:$AQ$1006,0)))),"Fix")))</f>
        <v>0</v>
      </c>
      <c r="C115" s="5">
        <f>IF(OR(INDEX($V$2:$V$1001,MATCH(ROWS($U$2:U115),$U$2:$U$1001,0),1)&gt;=100000,INDEX($AB$1005:$AQ$1005,1,MATCH(COLUMNS($AB$1006:AC1006),$AB$1006:$AQ$1006,0))&gt;=100000), " ",IF(INDEX($AB$2:$AQ$1001,MATCH(ROWS($U$2:U115),$U$2:$U$1001,0),MATCH(COLUMNS($AB$1006:AC1006),$AB$1006:$AQ$1006,0)), HYPERLINK("#",""), HYPERLINK(CONCATENATE("#Metadata!", ADDRESS(INDEX($W$2:$W$1001,MATCH(ROWS($U$2:U115),$U$2:$U$1001,0),0), INDEX($AB$1004:$AQ$1004,1,MATCH(COLUMNS($AB$1006:AC1006),$AB$1006:$AQ$1006,0)))),"Fix")))</f>
        <v>0</v>
      </c>
      <c r="D115" s="5">
        <f>IF(OR(INDEX($V$2:$V$1001,MATCH(ROWS($U$2:U115),$U$2:$U$1001,0),1)&gt;=100000,INDEX($AB$1005:$AQ$1005,1,MATCH(COLUMNS($AB$1006:AD1006),$AB$1006:$AQ$1006,0))&gt;=100000), " ",IF(INDEX($AB$2:$AQ$1001,MATCH(ROWS($U$2:U115),$U$2:$U$1001,0),MATCH(COLUMNS($AB$1006:AD1006),$AB$1006:$AQ$1006,0)), HYPERLINK("#",""), HYPERLINK(CONCATENATE("#Metadata!", ADDRESS(INDEX($W$2:$W$1001,MATCH(ROWS($U$2:U115),$U$2:$U$1001,0),0), INDEX($AB$1004:$AQ$1004,1,MATCH(COLUMNS($AB$1006:AD1006),$AB$1006:$AQ$1006,0)))),"Fix")))</f>
        <v>0</v>
      </c>
      <c r="E115" s="5">
        <f>IF(OR(INDEX($V$2:$V$1001,MATCH(ROWS($U$2:U115),$U$2:$U$1001,0),1)&gt;=100000,INDEX($AB$1005:$AQ$1005,1,MATCH(COLUMNS($AB$1006:AE1006),$AB$1006:$AQ$1006,0))&gt;=100000), " ",IF(INDEX($AB$2:$AQ$1001,MATCH(ROWS($U$2:U115),$U$2:$U$1001,0),MATCH(COLUMNS($AB$1006:AE1006),$AB$1006:$AQ$1006,0)), HYPERLINK("#",""), HYPERLINK(CONCATENATE("#Metadata!", ADDRESS(INDEX($W$2:$W$1001,MATCH(ROWS($U$2:U115),$U$2:$U$1001,0),0), INDEX($AB$1004:$AQ$1004,1,MATCH(COLUMNS($AB$1006:AE1006),$AB$1006:$AQ$1006,0)))),"Fix")))</f>
        <v>0</v>
      </c>
      <c r="F115" s="5">
        <f>IF(OR(INDEX($V$2:$V$1001,MATCH(ROWS($U$2:U115),$U$2:$U$1001,0),1)&gt;=100000,INDEX($AB$1005:$AQ$1005,1,MATCH(COLUMNS($AB$1006:AF1006),$AB$1006:$AQ$1006,0))&gt;=100000), " ",IF(INDEX($AB$2:$AQ$1001,MATCH(ROWS($U$2:U115),$U$2:$U$1001,0),MATCH(COLUMNS($AB$1006:AF1006),$AB$1006:$AQ$1006,0)), HYPERLINK("#",""), HYPERLINK(CONCATENATE("#Metadata!", ADDRESS(INDEX($W$2:$W$1001,MATCH(ROWS($U$2:U115),$U$2:$U$1001,0),0), INDEX($AB$1004:$AQ$1004,1,MATCH(COLUMNS($AB$1006:AF1006),$AB$1006:$AQ$1006,0)))),"Fix")))</f>
        <v>0</v>
      </c>
      <c r="G115" s="5">
        <f>IF(OR(INDEX($V$2:$V$1001,MATCH(ROWS($U$2:U115),$U$2:$U$1001,0),1)&gt;=100000,INDEX($AB$1005:$AQ$1005,1,MATCH(COLUMNS($AB$1006:AG1006),$AB$1006:$AQ$1006,0))&gt;=100000), " ",IF(INDEX($AB$2:$AQ$1001,MATCH(ROWS($U$2:U115),$U$2:$U$1001,0),MATCH(COLUMNS($AB$1006:AG1006),$AB$1006:$AQ$1006,0)), HYPERLINK("#",""), HYPERLINK(CONCATENATE("#Metadata!", ADDRESS(INDEX($W$2:$W$1001,MATCH(ROWS($U$2:U115),$U$2:$U$1001,0),0), INDEX($AB$1004:$AQ$1004,1,MATCH(COLUMNS($AB$1006:AG1006),$AB$1006:$AQ$1006,0)))),"Fix")))</f>
        <v>0</v>
      </c>
      <c r="H115" s="5">
        <f>IF(OR(INDEX($V$2:$V$1001,MATCH(ROWS($U$2:U115),$U$2:$U$1001,0),1)&gt;=100000,INDEX($AB$1005:$AQ$1005,1,MATCH(COLUMNS($AB$1006:AH1006),$AB$1006:$AQ$1006,0))&gt;=100000), " ",IF(INDEX($AB$2:$AQ$1001,MATCH(ROWS($U$2:U115),$U$2:$U$1001,0),MATCH(COLUMNS($AB$1006:AH1006),$AB$1006:$AQ$1006,0)), HYPERLINK("#",""), HYPERLINK(CONCATENATE("#Metadata!", ADDRESS(INDEX($W$2:$W$1001,MATCH(ROWS($U$2:U115),$U$2:$U$1001,0),0), INDEX($AB$1004:$AQ$1004,1,MATCH(COLUMNS($AB$1006:AH1006),$AB$1006:$AQ$1006,0)))),"Fix")))</f>
        <v>0</v>
      </c>
      <c r="I115" s="5">
        <f>IF(OR(INDEX($V$2:$V$1001,MATCH(ROWS($U$2:U115),$U$2:$U$1001,0),1)&gt;=100000,INDEX($AB$1005:$AQ$1005,1,MATCH(COLUMNS($AB$1006:AI1006),$AB$1006:$AQ$1006,0))&gt;=100000), " ",IF(INDEX($AB$2:$AQ$1001,MATCH(ROWS($U$2:U115),$U$2:$U$1001,0),MATCH(COLUMNS($AB$1006:AI1006),$AB$1006:$AQ$1006,0)), HYPERLINK("#",""), HYPERLINK(CONCATENATE("#Metadata!", ADDRESS(INDEX($W$2:$W$1001,MATCH(ROWS($U$2:U115),$U$2:$U$1001,0),0), INDEX($AB$1004:$AQ$1004,1,MATCH(COLUMNS($AB$1006:AI1006),$AB$1006:$AQ$1006,0)))),"Fix")))</f>
        <v>0</v>
      </c>
      <c r="J115" s="5">
        <f>IF(OR(INDEX($V$2:$V$1001,MATCH(ROWS($U$2:U115),$U$2:$U$1001,0),1)&gt;=100000,INDEX($AB$1005:$AQ$1005,1,MATCH(COLUMNS($AB$1006:AJ1006),$AB$1006:$AQ$1006,0))&gt;=100000), " ",IF(INDEX($AB$2:$AQ$1001,MATCH(ROWS($U$2:U115),$U$2:$U$1001,0),MATCH(COLUMNS($AB$1006:AJ1006),$AB$1006:$AQ$1006,0)), HYPERLINK("#",""), HYPERLINK(CONCATENATE("#Metadata!", ADDRESS(INDEX($W$2:$W$1001,MATCH(ROWS($U$2:U115),$U$2:$U$1001,0),0), INDEX($AB$1004:$AQ$1004,1,MATCH(COLUMNS($AB$1006:AJ1006),$AB$1006:$AQ$1006,0)))),"Fix")))</f>
        <v>0</v>
      </c>
      <c r="K115" s="5">
        <f>IF(OR(INDEX($V$2:$V$1001,MATCH(ROWS($U$2:U115),$U$2:$U$1001,0),1)&gt;=100000,INDEX($AB$1005:$AQ$1005,1,MATCH(COLUMNS($AB$1006:AK1006),$AB$1006:$AQ$1006,0))&gt;=100000), " ",IF(INDEX($AB$2:$AQ$1001,MATCH(ROWS($U$2:U115),$U$2:$U$1001,0),MATCH(COLUMNS($AB$1006:AK1006),$AB$1006:$AQ$1006,0)), HYPERLINK("#",""), HYPERLINK(CONCATENATE("#Metadata!", ADDRESS(INDEX($W$2:$W$1001,MATCH(ROWS($U$2:U115),$U$2:$U$1001,0),0), INDEX($AB$1004:$AQ$1004,1,MATCH(COLUMNS($AB$1006:AK1006),$AB$1006:$AQ$1006,0)))),"Fix")))</f>
        <v>0</v>
      </c>
      <c r="L115" s="5">
        <f>IF(OR(INDEX($V$2:$V$1001,MATCH(ROWS($U$2:U115),$U$2:$U$1001,0),1)&gt;=100000,INDEX($AB$1005:$AQ$1005,1,MATCH(COLUMNS($AB$1006:AL1006),$AB$1006:$AQ$1006,0))&gt;=100000), " ",IF(INDEX($AB$2:$AQ$1001,MATCH(ROWS($U$2:U115),$U$2:$U$1001,0),MATCH(COLUMNS($AB$1006:AL1006),$AB$1006:$AQ$1006,0)), HYPERLINK("#",""), HYPERLINK(CONCATENATE("#Metadata!", ADDRESS(INDEX($W$2:$W$1001,MATCH(ROWS($U$2:U115),$U$2:$U$1001,0),0), INDEX($AB$1004:$AQ$1004,1,MATCH(COLUMNS($AB$1006:AL1006),$AB$1006:$AQ$1006,0)))),"Fix")))</f>
        <v>0</v>
      </c>
      <c r="M115" s="5">
        <f>IF(OR(INDEX($V$2:$V$1001,MATCH(ROWS($U$2:U115),$U$2:$U$1001,0),1)&gt;=100000,INDEX($AB$1005:$AQ$1005,1,MATCH(COLUMNS($AB$1006:AM1006),$AB$1006:$AQ$1006,0))&gt;=100000), " ",IF(INDEX($AB$2:$AQ$1001,MATCH(ROWS($U$2:U115),$U$2:$U$1001,0),MATCH(COLUMNS($AB$1006:AM1006),$AB$1006:$AQ$1006,0)), HYPERLINK("#",""), HYPERLINK(CONCATENATE("#Metadata!", ADDRESS(INDEX($W$2:$W$1001,MATCH(ROWS($U$2:U115),$U$2:$U$1001,0),0), INDEX($AB$1004:$AQ$1004,1,MATCH(COLUMNS($AB$1006:AM1006),$AB$1006:$AQ$1006,0)))),"Fix")))</f>
        <v>0</v>
      </c>
      <c r="N115" s="5">
        <f>IF(OR(INDEX($V$2:$V$1001,MATCH(ROWS($U$2:U115),$U$2:$U$1001,0),1)&gt;=100000,INDEX($AB$1005:$AQ$1005,1,MATCH(COLUMNS($AB$1006:AN1006),$AB$1006:$AQ$1006,0))&gt;=100000), " ",IF(INDEX($AB$2:$AQ$1001,MATCH(ROWS($U$2:U115),$U$2:$U$1001,0),MATCH(COLUMNS($AB$1006:AN1006),$AB$1006:$AQ$1006,0)), HYPERLINK("#",""), HYPERLINK(CONCATENATE("#Metadata!", ADDRESS(INDEX($W$2:$W$1001,MATCH(ROWS($U$2:U115),$U$2:$U$1001,0),0), INDEX($AB$1004:$AQ$1004,1,MATCH(COLUMNS($AB$1006:AN1006),$AB$1006:$AQ$1006,0)))),"Fix")))</f>
        <v>0</v>
      </c>
      <c r="O115" s="5">
        <f>IF(OR(INDEX($V$2:$V$1001,MATCH(ROWS($U$2:U115),$U$2:$U$1001,0),1)&gt;=100000,INDEX($AB$1005:$AQ$1005,1,MATCH(COLUMNS($AB$1006:AO1006),$AB$1006:$AQ$1006,0))&gt;=100000), " ",IF(INDEX($AB$2:$AQ$1001,MATCH(ROWS($U$2:U115),$U$2:$U$1001,0),MATCH(COLUMNS($AB$1006:AO1006),$AB$1006:$AQ$1006,0)), HYPERLINK("#",""), HYPERLINK(CONCATENATE("#Metadata!", ADDRESS(INDEX($W$2:$W$1001,MATCH(ROWS($U$2:U115),$U$2:$U$1001,0),0), INDEX($AB$1004:$AQ$1004,1,MATCH(COLUMNS($AB$1006:AO1006),$AB$1006:$AQ$1006,0)))),"Fix")))</f>
        <v>0</v>
      </c>
      <c r="P115" s="5">
        <f>IF(OR(INDEX($V$2:$V$1001,MATCH(ROWS($U$2:U115),$U$2:$U$1001,0),1)&gt;=100000,INDEX($AB$1005:$AQ$1005,1,MATCH(COLUMNS($AB$1006:AP1006),$AB$1006:$AQ$1006,0))&gt;=100000), " ",IF(INDEX($AB$2:$AQ$1001,MATCH(ROWS($U$2:U115),$U$2:$U$1001,0),MATCH(COLUMNS($AB$1006:AP1006),$AB$1006:$AQ$1006,0)), HYPERLINK("#",""), HYPERLINK(CONCATENATE("#Metadata!", ADDRESS(INDEX($W$2:$W$1001,MATCH(ROWS($U$2:U115),$U$2:$U$1001,0),0), INDEX($AB$1004:$AQ$1004,1,MATCH(COLUMNS($AB$1006:AP1006),$AB$1006:$AQ$1006,0)))),"Fix")))</f>
        <v>0</v>
      </c>
      <c r="Q115" s="5">
        <f>IF(OR(INDEX($V$2:$V$1001,MATCH(ROWS($U$2:U115),$U$2:$U$1001,0),1)&gt;=100000,INDEX($AB$1005:$AQ$1005,1,MATCH(COLUMNS($AB$1006:AQ1006),$AB$1006:$AQ$1006,0))&gt;=100000), " ",IF(INDEX($AB$2:$AQ$1001,MATCH(ROWS($U$2:U115),$U$2:$U$1001,0),MATCH(COLUMNS($AB$1006:AQ1006),$AB$1006:$AQ$1006,0)), HYPERLINK("#",""), HYPERLINK(CONCATENATE("#Metadata!", ADDRESS(INDEX($W$2:$W$1001,MATCH(ROWS($U$2:U115),$U$2:$U$1001,0),0), INDEX($AB$1004:$AQ$1004,1,MATCH(COLUMNS($AB$1006:AQ1006),$AB$1006:$AQ$1006,0)))),"Fix")))</f>
        <v>0</v>
      </c>
      <c r="U115">
        <v>0</v>
      </c>
      <c r="V115">
        <v>0</v>
      </c>
      <c r="W115">
        <v>0</v>
      </c>
      <c r="X115">
        <f>IF(Y115,TRUE,AND(AB115:AQ115))</f>
        <v>0</v>
      </c>
      <c r="Y115">
        <f>COUNTBLANK(Metadata!B115:Q115)=COLUMNS(Metadata!B115:Q115)</f>
        <v>0</v>
      </c>
      <c r="Z115">
        <v>0</v>
      </c>
      <c r="AB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AC115">
        <f>AND(IF(Metadata!C115="",FALSE,TRUE),exact(Metadata!C115,"urban biome"))</f>
        <v>0</v>
      </c>
      <c r="AD115">
        <f>AND(IF(Metadata!D115="",FALSE,TRUE),exact(Metadata!D115,"human-associated habitat"))</f>
        <v>0</v>
      </c>
      <c r="AE115">
        <f>AND(IF(Metadata!E115="",FALSE,TRUE),OR(exact(Metadata!E115,"human-associated"),exact(Metadata!E115,"human-skin"),exact(Metadata!E115,"human-oral"),exact(Metadata!E115,"human-gut"),exact(Metadata!E115,"human-vaginal")))</f>
        <v>0</v>
      </c>
      <c r="AF115">
        <f>AND(IF(Metadata!F115="",FALSE,ISNUMBER(VALUE(Metadata!F115))),Metadata!F115&gt;0)</f>
        <v>0</v>
      </c>
      <c r="AG115">
        <f>AND(IF(Metadata!G115="",FALSE,TRUE),exact(Metadata!G115,"years"))</f>
        <v>0</v>
      </c>
      <c r="AH115">
        <f>OR(AND(IF(Metadata!H115="",FALSE,TRUE),OR(exact(Metadata!H115,"not applicable"),exact(Metadata!H115,"not collected"),exact(Metadata!H115,"not provided"),exact(Metadata!H115,"restricted access"))),AND(IF(Metadata!H115="",FALSE,ISNUMBER(VALUE(Metadata!H115))),Metadata!H115&gt;0))</f>
        <v>0</v>
      </c>
      <c r="AI115">
        <f>AND(IF(Metadata!I115="",FALSE,TRUE),exact(Metadata!I115,"human"))</f>
        <v>0</v>
      </c>
      <c r="AJ115">
        <f>AND(IF(Metadata!J115="",FALSE,ISNUMBER(VALUE(Metadata!J115))),Metadata!J115&gt;0)</f>
        <v>0</v>
      </c>
      <c r="AK115">
        <f>AND(IF(Metadata!K115="",FALSE,TRUE),exact(Metadata!K115,"cm"))</f>
        <v>0</v>
      </c>
      <c r="AL115">
        <f>AND(IF(Metadata!L115="",FALSE,TRUE),exact(Metadata!L115,"Homo sapiens"))</f>
        <v>0</v>
      </c>
      <c r="AM115">
        <f>AND(IF(Metadata!M115="",FALSE,TRUE),exact(Metadata!M115,"9606"))</f>
        <v>0</v>
      </c>
      <c r="AN115">
        <f>AND(IF(Metadata!N115="",FALSE,ISNUMBER(VALUE(Metadata!N115))),Metadata!N115&gt;0)</f>
        <v>0</v>
      </c>
      <c r="AO115">
        <f>AND(IF(Metadata!O115="",FALSE,TRUE),exact(Metadata!O115,"kg"))</f>
        <v>0</v>
      </c>
      <c r="AP115">
        <f>OR(AND(IF(Metadata!P115="",FALSE,TRUE),exact(Metadata!P115,"not provided")),IF(Metadata!P115="",FALSE,TRUE))</f>
        <v>0</v>
      </c>
      <c r="AQ115">
        <f>OR(AND(IF(Metadata!Q115="",FALSE,TRUE),exact(Metadata!Q115,"not provided")),IF(Metadata!Q115="",FALSE,TRUE))</f>
        <v>0</v>
      </c>
    </row>
    <row r="116" spans="1:43">
      <c r="A116" s="4">
        <f>IF(B116=" "," ",HYPERLINK(CONCATENATE("#metadata!",ADDRESS(INDEX($W$2:$W$1001,MATCH(ROWS($U$2:U116),$U$2:$U$1001,0),0),2)),INDEX($Z$2:$Z$1001,MATCH(ROWS($U$2:U116),$U$2:$U$1001,0),0)))</f>
        <v>0</v>
      </c>
      <c r="B116" s="5">
        <f>IF(OR(INDEX($V$2:$V$1001,MATCH(ROWS($U$2:U116),$U$2:$U$1001,0),1)&gt;=100000,INDEX($AB$1005:$AQ$1005,1,MATCH(COLUMNS($AB$1006:AB1006),$AB$1006:$AQ$1006,0))&gt;=100000), " ",IF(INDEX($AB$2:$AQ$1001,MATCH(ROWS($U$2:U116),$U$2:$U$1001,0),MATCH(COLUMNS($AB$1006:AB1006),$AB$1006:$AQ$1006,0)), HYPERLINK("#",""), HYPERLINK(CONCATENATE("#Metadata!", ADDRESS(INDEX($W$2:$W$1001,MATCH(ROWS($U$2:U116),$U$2:$U$1001,0),0), INDEX($AB$1004:$AQ$1004,1,MATCH(COLUMNS($AB$1006:AB1006),$AB$1006:$AQ$1006,0)))),"Fix")))</f>
        <v>0</v>
      </c>
      <c r="C116" s="5">
        <f>IF(OR(INDEX($V$2:$V$1001,MATCH(ROWS($U$2:U116),$U$2:$U$1001,0),1)&gt;=100000,INDEX($AB$1005:$AQ$1005,1,MATCH(COLUMNS($AB$1006:AC1006),$AB$1006:$AQ$1006,0))&gt;=100000), " ",IF(INDEX($AB$2:$AQ$1001,MATCH(ROWS($U$2:U116),$U$2:$U$1001,0),MATCH(COLUMNS($AB$1006:AC1006),$AB$1006:$AQ$1006,0)), HYPERLINK("#",""), HYPERLINK(CONCATENATE("#Metadata!", ADDRESS(INDEX($W$2:$W$1001,MATCH(ROWS($U$2:U116),$U$2:$U$1001,0),0), INDEX($AB$1004:$AQ$1004,1,MATCH(COLUMNS($AB$1006:AC1006),$AB$1006:$AQ$1006,0)))),"Fix")))</f>
        <v>0</v>
      </c>
      <c r="D116" s="5">
        <f>IF(OR(INDEX($V$2:$V$1001,MATCH(ROWS($U$2:U116),$U$2:$U$1001,0),1)&gt;=100000,INDEX($AB$1005:$AQ$1005,1,MATCH(COLUMNS($AB$1006:AD1006),$AB$1006:$AQ$1006,0))&gt;=100000), " ",IF(INDEX($AB$2:$AQ$1001,MATCH(ROWS($U$2:U116),$U$2:$U$1001,0),MATCH(COLUMNS($AB$1006:AD1006),$AB$1006:$AQ$1006,0)), HYPERLINK("#",""), HYPERLINK(CONCATENATE("#Metadata!", ADDRESS(INDEX($W$2:$W$1001,MATCH(ROWS($U$2:U116),$U$2:$U$1001,0),0), INDEX($AB$1004:$AQ$1004,1,MATCH(COLUMNS($AB$1006:AD1006),$AB$1006:$AQ$1006,0)))),"Fix")))</f>
        <v>0</v>
      </c>
      <c r="E116" s="5">
        <f>IF(OR(INDEX($V$2:$V$1001,MATCH(ROWS($U$2:U116),$U$2:$U$1001,0),1)&gt;=100000,INDEX($AB$1005:$AQ$1005,1,MATCH(COLUMNS($AB$1006:AE1006),$AB$1006:$AQ$1006,0))&gt;=100000), " ",IF(INDEX($AB$2:$AQ$1001,MATCH(ROWS($U$2:U116),$U$2:$U$1001,0),MATCH(COLUMNS($AB$1006:AE1006),$AB$1006:$AQ$1006,0)), HYPERLINK("#",""), HYPERLINK(CONCATENATE("#Metadata!", ADDRESS(INDEX($W$2:$W$1001,MATCH(ROWS($U$2:U116),$U$2:$U$1001,0),0), INDEX($AB$1004:$AQ$1004,1,MATCH(COLUMNS($AB$1006:AE1006),$AB$1006:$AQ$1006,0)))),"Fix")))</f>
        <v>0</v>
      </c>
      <c r="F116" s="5">
        <f>IF(OR(INDEX($V$2:$V$1001,MATCH(ROWS($U$2:U116),$U$2:$U$1001,0),1)&gt;=100000,INDEX($AB$1005:$AQ$1005,1,MATCH(COLUMNS($AB$1006:AF1006),$AB$1006:$AQ$1006,0))&gt;=100000), " ",IF(INDEX($AB$2:$AQ$1001,MATCH(ROWS($U$2:U116),$U$2:$U$1001,0),MATCH(COLUMNS($AB$1006:AF1006),$AB$1006:$AQ$1006,0)), HYPERLINK("#",""), HYPERLINK(CONCATENATE("#Metadata!", ADDRESS(INDEX($W$2:$W$1001,MATCH(ROWS($U$2:U116),$U$2:$U$1001,0),0), INDEX($AB$1004:$AQ$1004,1,MATCH(COLUMNS($AB$1006:AF1006),$AB$1006:$AQ$1006,0)))),"Fix")))</f>
        <v>0</v>
      </c>
      <c r="G116" s="5">
        <f>IF(OR(INDEX($V$2:$V$1001,MATCH(ROWS($U$2:U116),$U$2:$U$1001,0),1)&gt;=100000,INDEX($AB$1005:$AQ$1005,1,MATCH(COLUMNS($AB$1006:AG1006),$AB$1006:$AQ$1006,0))&gt;=100000), " ",IF(INDEX($AB$2:$AQ$1001,MATCH(ROWS($U$2:U116),$U$2:$U$1001,0),MATCH(COLUMNS($AB$1006:AG1006),$AB$1006:$AQ$1006,0)), HYPERLINK("#",""), HYPERLINK(CONCATENATE("#Metadata!", ADDRESS(INDEX($W$2:$W$1001,MATCH(ROWS($U$2:U116),$U$2:$U$1001,0),0), INDEX($AB$1004:$AQ$1004,1,MATCH(COLUMNS($AB$1006:AG1006),$AB$1006:$AQ$1006,0)))),"Fix")))</f>
        <v>0</v>
      </c>
      <c r="H116" s="5">
        <f>IF(OR(INDEX($V$2:$V$1001,MATCH(ROWS($U$2:U116),$U$2:$U$1001,0),1)&gt;=100000,INDEX($AB$1005:$AQ$1005,1,MATCH(COLUMNS($AB$1006:AH1006),$AB$1006:$AQ$1006,0))&gt;=100000), " ",IF(INDEX($AB$2:$AQ$1001,MATCH(ROWS($U$2:U116),$U$2:$U$1001,0),MATCH(COLUMNS($AB$1006:AH1006),$AB$1006:$AQ$1006,0)), HYPERLINK("#",""), HYPERLINK(CONCATENATE("#Metadata!", ADDRESS(INDEX($W$2:$W$1001,MATCH(ROWS($U$2:U116),$U$2:$U$1001,0),0), INDEX($AB$1004:$AQ$1004,1,MATCH(COLUMNS($AB$1006:AH1006),$AB$1006:$AQ$1006,0)))),"Fix")))</f>
        <v>0</v>
      </c>
      <c r="I116" s="5">
        <f>IF(OR(INDEX($V$2:$V$1001,MATCH(ROWS($U$2:U116),$U$2:$U$1001,0),1)&gt;=100000,INDEX($AB$1005:$AQ$1005,1,MATCH(COLUMNS($AB$1006:AI1006),$AB$1006:$AQ$1006,0))&gt;=100000), " ",IF(INDEX($AB$2:$AQ$1001,MATCH(ROWS($U$2:U116),$U$2:$U$1001,0),MATCH(COLUMNS($AB$1006:AI1006),$AB$1006:$AQ$1006,0)), HYPERLINK("#",""), HYPERLINK(CONCATENATE("#Metadata!", ADDRESS(INDEX($W$2:$W$1001,MATCH(ROWS($U$2:U116),$U$2:$U$1001,0),0), INDEX($AB$1004:$AQ$1004,1,MATCH(COLUMNS($AB$1006:AI1006),$AB$1006:$AQ$1006,0)))),"Fix")))</f>
        <v>0</v>
      </c>
      <c r="J116" s="5">
        <f>IF(OR(INDEX($V$2:$V$1001,MATCH(ROWS($U$2:U116),$U$2:$U$1001,0),1)&gt;=100000,INDEX($AB$1005:$AQ$1005,1,MATCH(COLUMNS($AB$1006:AJ1006),$AB$1006:$AQ$1006,0))&gt;=100000), " ",IF(INDEX($AB$2:$AQ$1001,MATCH(ROWS($U$2:U116),$U$2:$U$1001,0),MATCH(COLUMNS($AB$1006:AJ1006),$AB$1006:$AQ$1006,0)), HYPERLINK("#",""), HYPERLINK(CONCATENATE("#Metadata!", ADDRESS(INDEX($W$2:$W$1001,MATCH(ROWS($U$2:U116),$U$2:$U$1001,0),0), INDEX($AB$1004:$AQ$1004,1,MATCH(COLUMNS($AB$1006:AJ1006),$AB$1006:$AQ$1006,0)))),"Fix")))</f>
        <v>0</v>
      </c>
      <c r="K116" s="5">
        <f>IF(OR(INDEX($V$2:$V$1001,MATCH(ROWS($U$2:U116),$U$2:$U$1001,0),1)&gt;=100000,INDEX($AB$1005:$AQ$1005,1,MATCH(COLUMNS($AB$1006:AK1006),$AB$1006:$AQ$1006,0))&gt;=100000), " ",IF(INDEX($AB$2:$AQ$1001,MATCH(ROWS($U$2:U116),$U$2:$U$1001,0),MATCH(COLUMNS($AB$1006:AK1006),$AB$1006:$AQ$1006,0)), HYPERLINK("#",""), HYPERLINK(CONCATENATE("#Metadata!", ADDRESS(INDEX($W$2:$W$1001,MATCH(ROWS($U$2:U116),$U$2:$U$1001,0),0), INDEX($AB$1004:$AQ$1004,1,MATCH(COLUMNS($AB$1006:AK1006),$AB$1006:$AQ$1006,0)))),"Fix")))</f>
        <v>0</v>
      </c>
      <c r="L116" s="5">
        <f>IF(OR(INDEX($V$2:$V$1001,MATCH(ROWS($U$2:U116),$U$2:$U$1001,0),1)&gt;=100000,INDEX($AB$1005:$AQ$1005,1,MATCH(COLUMNS($AB$1006:AL1006),$AB$1006:$AQ$1006,0))&gt;=100000), " ",IF(INDEX($AB$2:$AQ$1001,MATCH(ROWS($U$2:U116),$U$2:$U$1001,0),MATCH(COLUMNS($AB$1006:AL1006),$AB$1006:$AQ$1006,0)), HYPERLINK("#",""), HYPERLINK(CONCATENATE("#Metadata!", ADDRESS(INDEX($W$2:$W$1001,MATCH(ROWS($U$2:U116),$U$2:$U$1001,0),0), INDEX($AB$1004:$AQ$1004,1,MATCH(COLUMNS($AB$1006:AL1006),$AB$1006:$AQ$1006,0)))),"Fix")))</f>
        <v>0</v>
      </c>
      <c r="M116" s="5">
        <f>IF(OR(INDEX($V$2:$V$1001,MATCH(ROWS($U$2:U116),$U$2:$U$1001,0),1)&gt;=100000,INDEX($AB$1005:$AQ$1005,1,MATCH(COLUMNS($AB$1006:AM1006),$AB$1006:$AQ$1006,0))&gt;=100000), " ",IF(INDEX($AB$2:$AQ$1001,MATCH(ROWS($U$2:U116),$U$2:$U$1001,0),MATCH(COLUMNS($AB$1006:AM1006),$AB$1006:$AQ$1006,0)), HYPERLINK("#",""), HYPERLINK(CONCATENATE("#Metadata!", ADDRESS(INDEX($W$2:$W$1001,MATCH(ROWS($U$2:U116),$U$2:$U$1001,0),0), INDEX($AB$1004:$AQ$1004,1,MATCH(COLUMNS($AB$1006:AM1006),$AB$1006:$AQ$1006,0)))),"Fix")))</f>
        <v>0</v>
      </c>
      <c r="N116" s="5">
        <f>IF(OR(INDEX($V$2:$V$1001,MATCH(ROWS($U$2:U116),$U$2:$U$1001,0),1)&gt;=100000,INDEX($AB$1005:$AQ$1005,1,MATCH(COLUMNS($AB$1006:AN1006),$AB$1006:$AQ$1006,0))&gt;=100000), " ",IF(INDEX($AB$2:$AQ$1001,MATCH(ROWS($U$2:U116),$U$2:$U$1001,0),MATCH(COLUMNS($AB$1006:AN1006),$AB$1006:$AQ$1006,0)), HYPERLINK("#",""), HYPERLINK(CONCATENATE("#Metadata!", ADDRESS(INDEX($W$2:$W$1001,MATCH(ROWS($U$2:U116),$U$2:$U$1001,0),0), INDEX($AB$1004:$AQ$1004,1,MATCH(COLUMNS($AB$1006:AN1006),$AB$1006:$AQ$1006,0)))),"Fix")))</f>
        <v>0</v>
      </c>
      <c r="O116" s="5">
        <f>IF(OR(INDEX($V$2:$V$1001,MATCH(ROWS($U$2:U116),$U$2:$U$1001,0),1)&gt;=100000,INDEX($AB$1005:$AQ$1005,1,MATCH(COLUMNS($AB$1006:AO1006),$AB$1006:$AQ$1006,0))&gt;=100000), " ",IF(INDEX($AB$2:$AQ$1001,MATCH(ROWS($U$2:U116),$U$2:$U$1001,0),MATCH(COLUMNS($AB$1006:AO1006),$AB$1006:$AQ$1006,0)), HYPERLINK("#",""), HYPERLINK(CONCATENATE("#Metadata!", ADDRESS(INDEX($W$2:$W$1001,MATCH(ROWS($U$2:U116),$U$2:$U$1001,0),0), INDEX($AB$1004:$AQ$1004,1,MATCH(COLUMNS($AB$1006:AO1006),$AB$1006:$AQ$1006,0)))),"Fix")))</f>
        <v>0</v>
      </c>
      <c r="P116" s="5">
        <f>IF(OR(INDEX($V$2:$V$1001,MATCH(ROWS($U$2:U116),$U$2:$U$1001,0),1)&gt;=100000,INDEX($AB$1005:$AQ$1005,1,MATCH(COLUMNS($AB$1006:AP1006),$AB$1006:$AQ$1006,0))&gt;=100000), " ",IF(INDEX($AB$2:$AQ$1001,MATCH(ROWS($U$2:U116),$U$2:$U$1001,0),MATCH(COLUMNS($AB$1006:AP1006),$AB$1006:$AQ$1006,0)), HYPERLINK("#",""), HYPERLINK(CONCATENATE("#Metadata!", ADDRESS(INDEX($W$2:$W$1001,MATCH(ROWS($U$2:U116),$U$2:$U$1001,0),0), INDEX($AB$1004:$AQ$1004,1,MATCH(COLUMNS($AB$1006:AP1006),$AB$1006:$AQ$1006,0)))),"Fix")))</f>
        <v>0</v>
      </c>
      <c r="Q116" s="5">
        <f>IF(OR(INDEX($V$2:$V$1001,MATCH(ROWS($U$2:U116),$U$2:$U$1001,0),1)&gt;=100000,INDEX($AB$1005:$AQ$1005,1,MATCH(COLUMNS($AB$1006:AQ1006),$AB$1006:$AQ$1006,0))&gt;=100000), " ",IF(INDEX($AB$2:$AQ$1001,MATCH(ROWS($U$2:U116),$U$2:$U$1001,0),MATCH(COLUMNS($AB$1006:AQ1006),$AB$1006:$AQ$1006,0)), HYPERLINK("#",""), HYPERLINK(CONCATENATE("#Metadata!", ADDRESS(INDEX($W$2:$W$1001,MATCH(ROWS($U$2:U116),$U$2:$U$1001,0),0), INDEX($AB$1004:$AQ$1004,1,MATCH(COLUMNS($AB$1006:AQ1006),$AB$1006:$AQ$1006,0)))),"Fix")))</f>
        <v>0</v>
      </c>
      <c r="U116">
        <v>0</v>
      </c>
      <c r="V116">
        <v>0</v>
      </c>
      <c r="W116">
        <v>0</v>
      </c>
      <c r="X116">
        <f>IF(Y116,TRUE,AND(AB116:AQ116))</f>
        <v>0</v>
      </c>
      <c r="Y116">
        <f>COUNTBLANK(Metadata!B116:Q116)=COLUMNS(Metadata!B116:Q116)</f>
        <v>0</v>
      </c>
      <c r="Z116">
        <v>0</v>
      </c>
      <c r="AB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AC116">
        <f>AND(IF(Metadata!C116="",FALSE,TRUE),exact(Metadata!C116,"urban biome"))</f>
        <v>0</v>
      </c>
      <c r="AD116">
        <f>AND(IF(Metadata!D116="",FALSE,TRUE),exact(Metadata!D116,"human-associated habitat"))</f>
        <v>0</v>
      </c>
      <c r="AE116">
        <f>AND(IF(Metadata!E116="",FALSE,TRUE),OR(exact(Metadata!E116,"human-associated"),exact(Metadata!E116,"human-skin"),exact(Metadata!E116,"human-oral"),exact(Metadata!E116,"human-gut"),exact(Metadata!E116,"human-vaginal")))</f>
        <v>0</v>
      </c>
      <c r="AF116">
        <f>AND(IF(Metadata!F116="",FALSE,ISNUMBER(VALUE(Metadata!F116))),Metadata!F116&gt;0)</f>
        <v>0</v>
      </c>
      <c r="AG116">
        <f>AND(IF(Metadata!G116="",FALSE,TRUE),exact(Metadata!G116,"years"))</f>
        <v>0</v>
      </c>
      <c r="AH116">
        <f>OR(AND(IF(Metadata!H116="",FALSE,TRUE),OR(exact(Metadata!H116,"not applicable"),exact(Metadata!H116,"not collected"),exact(Metadata!H116,"not provided"),exact(Metadata!H116,"restricted access"))),AND(IF(Metadata!H116="",FALSE,ISNUMBER(VALUE(Metadata!H116))),Metadata!H116&gt;0))</f>
        <v>0</v>
      </c>
      <c r="AI116">
        <f>AND(IF(Metadata!I116="",FALSE,TRUE),exact(Metadata!I116,"human"))</f>
        <v>0</v>
      </c>
      <c r="AJ116">
        <f>AND(IF(Metadata!J116="",FALSE,ISNUMBER(VALUE(Metadata!J116))),Metadata!J116&gt;0)</f>
        <v>0</v>
      </c>
      <c r="AK116">
        <f>AND(IF(Metadata!K116="",FALSE,TRUE),exact(Metadata!K116,"cm"))</f>
        <v>0</v>
      </c>
      <c r="AL116">
        <f>AND(IF(Metadata!L116="",FALSE,TRUE),exact(Metadata!L116,"Homo sapiens"))</f>
        <v>0</v>
      </c>
      <c r="AM116">
        <f>AND(IF(Metadata!M116="",FALSE,TRUE),exact(Metadata!M116,"9606"))</f>
        <v>0</v>
      </c>
      <c r="AN116">
        <f>AND(IF(Metadata!N116="",FALSE,ISNUMBER(VALUE(Metadata!N116))),Metadata!N116&gt;0)</f>
        <v>0</v>
      </c>
      <c r="AO116">
        <f>AND(IF(Metadata!O116="",FALSE,TRUE),exact(Metadata!O116,"kg"))</f>
        <v>0</v>
      </c>
      <c r="AP116">
        <f>OR(AND(IF(Metadata!P116="",FALSE,TRUE),exact(Metadata!P116,"not provided")),IF(Metadata!P116="",FALSE,TRUE))</f>
        <v>0</v>
      </c>
      <c r="AQ116">
        <f>OR(AND(IF(Metadata!Q116="",FALSE,TRUE),exact(Metadata!Q116,"not provided")),IF(Metadata!Q116="",FALSE,TRUE))</f>
        <v>0</v>
      </c>
    </row>
    <row r="117" spans="1:43">
      <c r="A117" s="4">
        <f>IF(B117=" "," ",HYPERLINK(CONCATENATE("#metadata!",ADDRESS(INDEX($W$2:$W$1001,MATCH(ROWS($U$2:U117),$U$2:$U$1001,0),0),2)),INDEX($Z$2:$Z$1001,MATCH(ROWS($U$2:U117),$U$2:$U$1001,0),0)))</f>
        <v>0</v>
      </c>
      <c r="B117" s="5">
        <f>IF(OR(INDEX($V$2:$V$1001,MATCH(ROWS($U$2:U117),$U$2:$U$1001,0),1)&gt;=100000,INDEX($AB$1005:$AQ$1005,1,MATCH(COLUMNS($AB$1006:AB1006),$AB$1006:$AQ$1006,0))&gt;=100000), " ",IF(INDEX($AB$2:$AQ$1001,MATCH(ROWS($U$2:U117),$U$2:$U$1001,0),MATCH(COLUMNS($AB$1006:AB1006),$AB$1006:$AQ$1006,0)), HYPERLINK("#",""), HYPERLINK(CONCATENATE("#Metadata!", ADDRESS(INDEX($W$2:$W$1001,MATCH(ROWS($U$2:U117),$U$2:$U$1001,0),0), INDEX($AB$1004:$AQ$1004,1,MATCH(COLUMNS($AB$1006:AB1006),$AB$1006:$AQ$1006,0)))),"Fix")))</f>
        <v>0</v>
      </c>
      <c r="C117" s="5">
        <f>IF(OR(INDEX($V$2:$V$1001,MATCH(ROWS($U$2:U117),$U$2:$U$1001,0),1)&gt;=100000,INDEX($AB$1005:$AQ$1005,1,MATCH(COLUMNS($AB$1006:AC1006),$AB$1006:$AQ$1006,0))&gt;=100000), " ",IF(INDEX($AB$2:$AQ$1001,MATCH(ROWS($U$2:U117),$U$2:$U$1001,0),MATCH(COLUMNS($AB$1006:AC1006),$AB$1006:$AQ$1006,0)), HYPERLINK("#",""), HYPERLINK(CONCATENATE("#Metadata!", ADDRESS(INDEX($W$2:$W$1001,MATCH(ROWS($U$2:U117),$U$2:$U$1001,0),0), INDEX($AB$1004:$AQ$1004,1,MATCH(COLUMNS($AB$1006:AC1006),$AB$1006:$AQ$1006,0)))),"Fix")))</f>
        <v>0</v>
      </c>
      <c r="D117" s="5">
        <f>IF(OR(INDEX($V$2:$V$1001,MATCH(ROWS($U$2:U117),$U$2:$U$1001,0),1)&gt;=100000,INDEX($AB$1005:$AQ$1005,1,MATCH(COLUMNS($AB$1006:AD1006),$AB$1006:$AQ$1006,0))&gt;=100000), " ",IF(INDEX($AB$2:$AQ$1001,MATCH(ROWS($U$2:U117),$U$2:$U$1001,0),MATCH(COLUMNS($AB$1006:AD1006),$AB$1006:$AQ$1006,0)), HYPERLINK("#",""), HYPERLINK(CONCATENATE("#Metadata!", ADDRESS(INDEX($W$2:$W$1001,MATCH(ROWS($U$2:U117),$U$2:$U$1001,0),0), INDEX($AB$1004:$AQ$1004,1,MATCH(COLUMNS($AB$1006:AD1006),$AB$1006:$AQ$1006,0)))),"Fix")))</f>
        <v>0</v>
      </c>
      <c r="E117" s="5">
        <f>IF(OR(INDEX($V$2:$V$1001,MATCH(ROWS($U$2:U117),$U$2:$U$1001,0),1)&gt;=100000,INDEX($AB$1005:$AQ$1005,1,MATCH(COLUMNS($AB$1006:AE1006),$AB$1006:$AQ$1006,0))&gt;=100000), " ",IF(INDEX($AB$2:$AQ$1001,MATCH(ROWS($U$2:U117),$U$2:$U$1001,0),MATCH(COLUMNS($AB$1006:AE1006),$AB$1006:$AQ$1006,0)), HYPERLINK("#",""), HYPERLINK(CONCATENATE("#Metadata!", ADDRESS(INDEX($W$2:$W$1001,MATCH(ROWS($U$2:U117),$U$2:$U$1001,0),0), INDEX($AB$1004:$AQ$1004,1,MATCH(COLUMNS($AB$1006:AE1006),$AB$1006:$AQ$1006,0)))),"Fix")))</f>
        <v>0</v>
      </c>
      <c r="F117" s="5">
        <f>IF(OR(INDEX($V$2:$V$1001,MATCH(ROWS($U$2:U117),$U$2:$U$1001,0),1)&gt;=100000,INDEX($AB$1005:$AQ$1005,1,MATCH(COLUMNS($AB$1006:AF1006),$AB$1006:$AQ$1006,0))&gt;=100000), " ",IF(INDEX($AB$2:$AQ$1001,MATCH(ROWS($U$2:U117),$U$2:$U$1001,0),MATCH(COLUMNS($AB$1006:AF1006),$AB$1006:$AQ$1006,0)), HYPERLINK("#",""), HYPERLINK(CONCATENATE("#Metadata!", ADDRESS(INDEX($W$2:$W$1001,MATCH(ROWS($U$2:U117),$U$2:$U$1001,0),0), INDEX($AB$1004:$AQ$1004,1,MATCH(COLUMNS($AB$1006:AF1006),$AB$1006:$AQ$1006,0)))),"Fix")))</f>
        <v>0</v>
      </c>
      <c r="G117" s="5">
        <f>IF(OR(INDEX($V$2:$V$1001,MATCH(ROWS($U$2:U117),$U$2:$U$1001,0),1)&gt;=100000,INDEX($AB$1005:$AQ$1005,1,MATCH(COLUMNS($AB$1006:AG1006),$AB$1006:$AQ$1006,0))&gt;=100000), " ",IF(INDEX($AB$2:$AQ$1001,MATCH(ROWS($U$2:U117),$U$2:$U$1001,0),MATCH(COLUMNS($AB$1006:AG1006),$AB$1006:$AQ$1006,0)), HYPERLINK("#",""), HYPERLINK(CONCATENATE("#Metadata!", ADDRESS(INDEX($W$2:$W$1001,MATCH(ROWS($U$2:U117),$U$2:$U$1001,0),0), INDEX($AB$1004:$AQ$1004,1,MATCH(COLUMNS($AB$1006:AG1006),$AB$1006:$AQ$1006,0)))),"Fix")))</f>
        <v>0</v>
      </c>
      <c r="H117" s="5">
        <f>IF(OR(INDEX($V$2:$V$1001,MATCH(ROWS($U$2:U117),$U$2:$U$1001,0),1)&gt;=100000,INDEX($AB$1005:$AQ$1005,1,MATCH(COLUMNS($AB$1006:AH1006),$AB$1006:$AQ$1006,0))&gt;=100000), " ",IF(INDEX($AB$2:$AQ$1001,MATCH(ROWS($U$2:U117),$U$2:$U$1001,0),MATCH(COLUMNS($AB$1006:AH1006),$AB$1006:$AQ$1006,0)), HYPERLINK("#",""), HYPERLINK(CONCATENATE("#Metadata!", ADDRESS(INDEX($W$2:$W$1001,MATCH(ROWS($U$2:U117),$U$2:$U$1001,0),0), INDEX($AB$1004:$AQ$1004,1,MATCH(COLUMNS($AB$1006:AH1006),$AB$1006:$AQ$1006,0)))),"Fix")))</f>
        <v>0</v>
      </c>
      <c r="I117" s="5">
        <f>IF(OR(INDEX($V$2:$V$1001,MATCH(ROWS($U$2:U117),$U$2:$U$1001,0),1)&gt;=100000,INDEX($AB$1005:$AQ$1005,1,MATCH(COLUMNS($AB$1006:AI1006),$AB$1006:$AQ$1006,0))&gt;=100000), " ",IF(INDEX($AB$2:$AQ$1001,MATCH(ROWS($U$2:U117),$U$2:$U$1001,0),MATCH(COLUMNS($AB$1006:AI1006),$AB$1006:$AQ$1006,0)), HYPERLINK("#",""), HYPERLINK(CONCATENATE("#Metadata!", ADDRESS(INDEX($W$2:$W$1001,MATCH(ROWS($U$2:U117),$U$2:$U$1001,0),0), INDEX($AB$1004:$AQ$1004,1,MATCH(COLUMNS($AB$1006:AI1006),$AB$1006:$AQ$1006,0)))),"Fix")))</f>
        <v>0</v>
      </c>
      <c r="J117" s="5">
        <f>IF(OR(INDEX($V$2:$V$1001,MATCH(ROWS($U$2:U117),$U$2:$U$1001,0),1)&gt;=100000,INDEX($AB$1005:$AQ$1005,1,MATCH(COLUMNS($AB$1006:AJ1006),$AB$1006:$AQ$1006,0))&gt;=100000), " ",IF(INDEX($AB$2:$AQ$1001,MATCH(ROWS($U$2:U117),$U$2:$U$1001,0),MATCH(COLUMNS($AB$1006:AJ1006),$AB$1006:$AQ$1006,0)), HYPERLINK("#",""), HYPERLINK(CONCATENATE("#Metadata!", ADDRESS(INDEX($W$2:$W$1001,MATCH(ROWS($U$2:U117),$U$2:$U$1001,0),0), INDEX($AB$1004:$AQ$1004,1,MATCH(COLUMNS($AB$1006:AJ1006),$AB$1006:$AQ$1006,0)))),"Fix")))</f>
        <v>0</v>
      </c>
      <c r="K117" s="5">
        <f>IF(OR(INDEX($V$2:$V$1001,MATCH(ROWS($U$2:U117),$U$2:$U$1001,0),1)&gt;=100000,INDEX($AB$1005:$AQ$1005,1,MATCH(COLUMNS($AB$1006:AK1006),$AB$1006:$AQ$1006,0))&gt;=100000), " ",IF(INDEX($AB$2:$AQ$1001,MATCH(ROWS($U$2:U117),$U$2:$U$1001,0),MATCH(COLUMNS($AB$1006:AK1006),$AB$1006:$AQ$1006,0)), HYPERLINK("#",""), HYPERLINK(CONCATENATE("#Metadata!", ADDRESS(INDEX($W$2:$W$1001,MATCH(ROWS($U$2:U117),$U$2:$U$1001,0),0), INDEX($AB$1004:$AQ$1004,1,MATCH(COLUMNS($AB$1006:AK1006),$AB$1006:$AQ$1006,0)))),"Fix")))</f>
        <v>0</v>
      </c>
      <c r="L117" s="5">
        <f>IF(OR(INDEX($V$2:$V$1001,MATCH(ROWS($U$2:U117),$U$2:$U$1001,0),1)&gt;=100000,INDEX($AB$1005:$AQ$1005,1,MATCH(COLUMNS($AB$1006:AL1006),$AB$1006:$AQ$1006,0))&gt;=100000), " ",IF(INDEX($AB$2:$AQ$1001,MATCH(ROWS($U$2:U117),$U$2:$U$1001,0),MATCH(COLUMNS($AB$1006:AL1006),$AB$1006:$AQ$1006,0)), HYPERLINK("#",""), HYPERLINK(CONCATENATE("#Metadata!", ADDRESS(INDEX($W$2:$W$1001,MATCH(ROWS($U$2:U117),$U$2:$U$1001,0),0), INDEX($AB$1004:$AQ$1004,1,MATCH(COLUMNS($AB$1006:AL1006),$AB$1006:$AQ$1006,0)))),"Fix")))</f>
        <v>0</v>
      </c>
      <c r="M117" s="5">
        <f>IF(OR(INDEX($V$2:$V$1001,MATCH(ROWS($U$2:U117),$U$2:$U$1001,0),1)&gt;=100000,INDEX($AB$1005:$AQ$1005,1,MATCH(COLUMNS($AB$1006:AM1006),$AB$1006:$AQ$1006,0))&gt;=100000), " ",IF(INDEX($AB$2:$AQ$1001,MATCH(ROWS($U$2:U117),$U$2:$U$1001,0),MATCH(COLUMNS($AB$1006:AM1006),$AB$1006:$AQ$1006,0)), HYPERLINK("#",""), HYPERLINK(CONCATENATE("#Metadata!", ADDRESS(INDEX($W$2:$W$1001,MATCH(ROWS($U$2:U117),$U$2:$U$1001,0),0), INDEX($AB$1004:$AQ$1004,1,MATCH(COLUMNS($AB$1006:AM1006),$AB$1006:$AQ$1006,0)))),"Fix")))</f>
        <v>0</v>
      </c>
      <c r="N117" s="5">
        <f>IF(OR(INDEX($V$2:$V$1001,MATCH(ROWS($U$2:U117),$U$2:$U$1001,0),1)&gt;=100000,INDEX($AB$1005:$AQ$1005,1,MATCH(COLUMNS($AB$1006:AN1006),$AB$1006:$AQ$1006,0))&gt;=100000), " ",IF(INDEX($AB$2:$AQ$1001,MATCH(ROWS($U$2:U117),$U$2:$U$1001,0),MATCH(COLUMNS($AB$1006:AN1006),$AB$1006:$AQ$1006,0)), HYPERLINK("#",""), HYPERLINK(CONCATENATE("#Metadata!", ADDRESS(INDEX($W$2:$W$1001,MATCH(ROWS($U$2:U117),$U$2:$U$1001,0),0), INDEX($AB$1004:$AQ$1004,1,MATCH(COLUMNS($AB$1006:AN1006),$AB$1006:$AQ$1006,0)))),"Fix")))</f>
        <v>0</v>
      </c>
      <c r="O117" s="5">
        <f>IF(OR(INDEX($V$2:$V$1001,MATCH(ROWS($U$2:U117),$U$2:$U$1001,0),1)&gt;=100000,INDEX($AB$1005:$AQ$1005,1,MATCH(COLUMNS($AB$1006:AO1006),$AB$1006:$AQ$1006,0))&gt;=100000), " ",IF(INDEX($AB$2:$AQ$1001,MATCH(ROWS($U$2:U117),$U$2:$U$1001,0),MATCH(COLUMNS($AB$1006:AO1006),$AB$1006:$AQ$1006,0)), HYPERLINK("#",""), HYPERLINK(CONCATENATE("#Metadata!", ADDRESS(INDEX($W$2:$W$1001,MATCH(ROWS($U$2:U117),$U$2:$U$1001,0),0), INDEX($AB$1004:$AQ$1004,1,MATCH(COLUMNS($AB$1006:AO1006),$AB$1006:$AQ$1006,0)))),"Fix")))</f>
        <v>0</v>
      </c>
      <c r="P117" s="5">
        <f>IF(OR(INDEX($V$2:$V$1001,MATCH(ROWS($U$2:U117),$U$2:$U$1001,0),1)&gt;=100000,INDEX($AB$1005:$AQ$1005,1,MATCH(COLUMNS($AB$1006:AP1006),$AB$1006:$AQ$1006,0))&gt;=100000), " ",IF(INDEX($AB$2:$AQ$1001,MATCH(ROWS($U$2:U117),$U$2:$U$1001,0),MATCH(COLUMNS($AB$1006:AP1006),$AB$1006:$AQ$1006,0)), HYPERLINK("#",""), HYPERLINK(CONCATENATE("#Metadata!", ADDRESS(INDEX($W$2:$W$1001,MATCH(ROWS($U$2:U117),$U$2:$U$1001,0),0), INDEX($AB$1004:$AQ$1004,1,MATCH(COLUMNS($AB$1006:AP1006),$AB$1006:$AQ$1006,0)))),"Fix")))</f>
        <v>0</v>
      </c>
      <c r="Q117" s="5">
        <f>IF(OR(INDEX($V$2:$V$1001,MATCH(ROWS($U$2:U117),$U$2:$U$1001,0),1)&gt;=100000,INDEX($AB$1005:$AQ$1005,1,MATCH(COLUMNS($AB$1006:AQ1006),$AB$1006:$AQ$1006,0))&gt;=100000), " ",IF(INDEX($AB$2:$AQ$1001,MATCH(ROWS($U$2:U117),$U$2:$U$1001,0),MATCH(COLUMNS($AB$1006:AQ1006),$AB$1006:$AQ$1006,0)), HYPERLINK("#",""), HYPERLINK(CONCATENATE("#Metadata!", ADDRESS(INDEX($W$2:$W$1001,MATCH(ROWS($U$2:U117),$U$2:$U$1001,0),0), INDEX($AB$1004:$AQ$1004,1,MATCH(COLUMNS($AB$1006:AQ1006),$AB$1006:$AQ$1006,0)))),"Fix")))</f>
        <v>0</v>
      </c>
      <c r="U117">
        <v>0</v>
      </c>
      <c r="V117">
        <v>0</v>
      </c>
      <c r="W117">
        <v>0</v>
      </c>
      <c r="X117">
        <f>IF(Y117,TRUE,AND(AB117:AQ117))</f>
        <v>0</v>
      </c>
      <c r="Y117">
        <f>COUNTBLANK(Metadata!B117:Q117)=COLUMNS(Metadata!B117:Q117)</f>
        <v>0</v>
      </c>
      <c r="Z117">
        <v>0</v>
      </c>
      <c r="AB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AC117">
        <f>AND(IF(Metadata!C117="",FALSE,TRUE),exact(Metadata!C117,"urban biome"))</f>
        <v>0</v>
      </c>
      <c r="AD117">
        <f>AND(IF(Metadata!D117="",FALSE,TRUE),exact(Metadata!D117,"human-associated habitat"))</f>
        <v>0</v>
      </c>
      <c r="AE117">
        <f>AND(IF(Metadata!E117="",FALSE,TRUE),OR(exact(Metadata!E117,"human-associated"),exact(Metadata!E117,"human-skin"),exact(Metadata!E117,"human-oral"),exact(Metadata!E117,"human-gut"),exact(Metadata!E117,"human-vaginal")))</f>
        <v>0</v>
      </c>
      <c r="AF117">
        <f>AND(IF(Metadata!F117="",FALSE,ISNUMBER(VALUE(Metadata!F117))),Metadata!F117&gt;0)</f>
        <v>0</v>
      </c>
      <c r="AG117">
        <f>AND(IF(Metadata!G117="",FALSE,TRUE),exact(Metadata!G117,"years"))</f>
        <v>0</v>
      </c>
      <c r="AH117">
        <f>OR(AND(IF(Metadata!H117="",FALSE,TRUE),OR(exact(Metadata!H117,"not applicable"),exact(Metadata!H117,"not collected"),exact(Metadata!H117,"not provided"),exact(Metadata!H117,"restricted access"))),AND(IF(Metadata!H117="",FALSE,ISNUMBER(VALUE(Metadata!H117))),Metadata!H117&gt;0))</f>
        <v>0</v>
      </c>
      <c r="AI117">
        <f>AND(IF(Metadata!I117="",FALSE,TRUE),exact(Metadata!I117,"human"))</f>
        <v>0</v>
      </c>
      <c r="AJ117">
        <f>AND(IF(Metadata!J117="",FALSE,ISNUMBER(VALUE(Metadata!J117))),Metadata!J117&gt;0)</f>
        <v>0</v>
      </c>
      <c r="AK117">
        <f>AND(IF(Metadata!K117="",FALSE,TRUE),exact(Metadata!K117,"cm"))</f>
        <v>0</v>
      </c>
      <c r="AL117">
        <f>AND(IF(Metadata!L117="",FALSE,TRUE),exact(Metadata!L117,"Homo sapiens"))</f>
        <v>0</v>
      </c>
      <c r="AM117">
        <f>AND(IF(Metadata!M117="",FALSE,TRUE),exact(Metadata!M117,"9606"))</f>
        <v>0</v>
      </c>
      <c r="AN117">
        <f>AND(IF(Metadata!N117="",FALSE,ISNUMBER(VALUE(Metadata!N117))),Metadata!N117&gt;0)</f>
        <v>0</v>
      </c>
      <c r="AO117">
        <f>AND(IF(Metadata!O117="",FALSE,TRUE),exact(Metadata!O117,"kg"))</f>
        <v>0</v>
      </c>
      <c r="AP117">
        <f>OR(AND(IF(Metadata!P117="",FALSE,TRUE),exact(Metadata!P117,"not provided")),IF(Metadata!P117="",FALSE,TRUE))</f>
        <v>0</v>
      </c>
      <c r="AQ117">
        <f>OR(AND(IF(Metadata!Q117="",FALSE,TRUE),exact(Metadata!Q117,"not provided")),IF(Metadata!Q117="",FALSE,TRUE))</f>
        <v>0</v>
      </c>
    </row>
    <row r="118" spans="1:43">
      <c r="A118" s="4">
        <f>IF(B118=" "," ",HYPERLINK(CONCATENATE("#metadata!",ADDRESS(INDEX($W$2:$W$1001,MATCH(ROWS($U$2:U118),$U$2:$U$1001,0),0),2)),INDEX($Z$2:$Z$1001,MATCH(ROWS($U$2:U118),$U$2:$U$1001,0),0)))</f>
        <v>0</v>
      </c>
      <c r="B118" s="5">
        <f>IF(OR(INDEX($V$2:$V$1001,MATCH(ROWS($U$2:U118),$U$2:$U$1001,0),1)&gt;=100000,INDEX($AB$1005:$AQ$1005,1,MATCH(COLUMNS($AB$1006:AB1006),$AB$1006:$AQ$1006,0))&gt;=100000), " ",IF(INDEX($AB$2:$AQ$1001,MATCH(ROWS($U$2:U118),$U$2:$U$1001,0),MATCH(COLUMNS($AB$1006:AB1006),$AB$1006:$AQ$1006,0)), HYPERLINK("#",""), HYPERLINK(CONCATENATE("#Metadata!", ADDRESS(INDEX($W$2:$W$1001,MATCH(ROWS($U$2:U118),$U$2:$U$1001,0),0), INDEX($AB$1004:$AQ$1004,1,MATCH(COLUMNS($AB$1006:AB1006),$AB$1006:$AQ$1006,0)))),"Fix")))</f>
        <v>0</v>
      </c>
      <c r="C118" s="5">
        <f>IF(OR(INDEX($V$2:$V$1001,MATCH(ROWS($U$2:U118),$U$2:$U$1001,0),1)&gt;=100000,INDEX($AB$1005:$AQ$1005,1,MATCH(COLUMNS($AB$1006:AC1006),$AB$1006:$AQ$1006,0))&gt;=100000), " ",IF(INDEX($AB$2:$AQ$1001,MATCH(ROWS($U$2:U118),$U$2:$U$1001,0),MATCH(COLUMNS($AB$1006:AC1006),$AB$1006:$AQ$1006,0)), HYPERLINK("#",""), HYPERLINK(CONCATENATE("#Metadata!", ADDRESS(INDEX($W$2:$W$1001,MATCH(ROWS($U$2:U118),$U$2:$U$1001,0),0), INDEX($AB$1004:$AQ$1004,1,MATCH(COLUMNS($AB$1006:AC1006),$AB$1006:$AQ$1006,0)))),"Fix")))</f>
        <v>0</v>
      </c>
      <c r="D118" s="5">
        <f>IF(OR(INDEX($V$2:$V$1001,MATCH(ROWS($U$2:U118),$U$2:$U$1001,0),1)&gt;=100000,INDEX($AB$1005:$AQ$1005,1,MATCH(COLUMNS($AB$1006:AD1006),$AB$1006:$AQ$1006,0))&gt;=100000), " ",IF(INDEX($AB$2:$AQ$1001,MATCH(ROWS($U$2:U118),$U$2:$U$1001,0),MATCH(COLUMNS($AB$1006:AD1006),$AB$1006:$AQ$1006,0)), HYPERLINK("#",""), HYPERLINK(CONCATENATE("#Metadata!", ADDRESS(INDEX($W$2:$W$1001,MATCH(ROWS($U$2:U118),$U$2:$U$1001,0),0), INDEX($AB$1004:$AQ$1004,1,MATCH(COLUMNS($AB$1006:AD1006),$AB$1006:$AQ$1006,0)))),"Fix")))</f>
        <v>0</v>
      </c>
      <c r="E118" s="5">
        <f>IF(OR(INDEX($V$2:$V$1001,MATCH(ROWS($U$2:U118),$U$2:$U$1001,0),1)&gt;=100000,INDEX($AB$1005:$AQ$1005,1,MATCH(COLUMNS($AB$1006:AE1006),$AB$1006:$AQ$1006,0))&gt;=100000), " ",IF(INDEX($AB$2:$AQ$1001,MATCH(ROWS($U$2:U118),$U$2:$U$1001,0),MATCH(COLUMNS($AB$1006:AE1006),$AB$1006:$AQ$1006,0)), HYPERLINK("#",""), HYPERLINK(CONCATENATE("#Metadata!", ADDRESS(INDEX($W$2:$W$1001,MATCH(ROWS($U$2:U118),$U$2:$U$1001,0),0), INDEX($AB$1004:$AQ$1004,1,MATCH(COLUMNS($AB$1006:AE1006),$AB$1006:$AQ$1006,0)))),"Fix")))</f>
        <v>0</v>
      </c>
      <c r="F118" s="5">
        <f>IF(OR(INDEX($V$2:$V$1001,MATCH(ROWS($U$2:U118),$U$2:$U$1001,0),1)&gt;=100000,INDEX($AB$1005:$AQ$1005,1,MATCH(COLUMNS($AB$1006:AF1006),$AB$1006:$AQ$1006,0))&gt;=100000), " ",IF(INDEX($AB$2:$AQ$1001,MATCH(ROWS($U$2:U118),$U$2:$U$1001,0),MATCH(COLUMNS($AB$1006:AF1006),$AB$1006:$AQ$1006,0)), HYPERLINK("#",""), HYPERLINK(CONCATENATE("#Metadata!", ADDRESS(INDEX($W$2:$W$1001,MATCH(ROWS($U$2:U118),$U$2:$U$1001,0),0), INDEX($AB$1004:$AQ$1004,1,MATCH(COLUMNS($AB$1006:AF1006),$AB$1006:$AQ$1006,0)))),"Fix")))</f>
        <v>0</v>
      </c>
      <c r="G118" s="5">
        <f>IF(OR(INDEX($V$2:$V$1001,MATCH(ROWS($U$2:U118),$U$2:$U$1001,0),1)&gt;=100000,INDEX($AB$1005:$AQ$1005,1,MATCH(COLUMNS($AB$1006:AG1006),$AB$1006:$AQ$1006,0))&gt;=100000), " ",IF(INDEX($AB$2:$AQ$1001,MATCH(ROWS($U$2:U118),$U$2:$U$1001,0),MATCH(COLUMNS($AB$1006:AG1006),$AB$1006:$AQ$1006,0)), HYPERLINK("#",""), HYPERLINK(CONCATENATE("#Metadata!", ADDRESS(INDEX($W$2:$W$1001,MATCH(ROWS($U$2:U118),$U$2:$U$1001,0),0), INDEX($AB$1004:$AQ$1004,1,MATCH(COLUMNS($AB$1006:AG1006),$AB$1006:$AQ$1006,0)))),"Fix")))</f>
        <v>0</v>
      </c>
      <c r="H118" s="5">
        <f>IF(OR(INDEX($V$2:$V$1001,MATCH(ROWS($U$2:U118),$U$2:$U$1001,0),1)&gt;=100000,INDEX($AB$1005:$AQ$1005,1,MATCH(COLUMNS($AB$1006:AH1006),$AB$1006:$AQ$1006,0))&gt;=100000), " ",IF(INDEX($AB$2:$AQ$1001,MATCH(ROWS($U$2:U118),$U$2:$U$1001,0),MATCH(COLUMNS($AB$1006:AH1006),$AB$1006:$AQ$1006,0)), HYPERLINK("#",""), HYPERLINK(CONCATENATE("#Metadata!", ADDRESS(INDEX($W$2:$W$1001,MATCH(ROWS($U$2:U118),$U$2:$U$1001,0),0), INDEX($AB$1004:$AQ$1004,1,MATCH(COLUMNS($AB$1006:AH1006),$AB$1006:$AQ$1006,0)))),"Fix")))</f>
        <v>0</v>
      </c>
      <c r="I118" s="5">
        <f>IF(OR(INDEX($V$2:$V$1001,MATCH(ROWS($U$2:U118),$U$2:$U$1001,0),1)&gt;=100000,INDEX($AB$1005:$AQ$1005,1,MATCH(COLUMNS($AB$1006:AI1006),$AB$1006:$AQ$1006,0))&gt;=100000), " ",IF(INDEX($AB$2:$AQ$1001,MATCH(ROWS($U$2:U118),$U$2:$U$1001,0),MATCH(COLUMNS($AB$1006:AI1006),$AB$1006:$AQ$1006,0)), HYPERLINK("#",""), HYPERLINK(CONCATENATE("#Metadata!", ADDRESS(INDEX($W$2:$W$1001,MATCH(ROWS($U$2:U118),$U$2:$U$1001,0),0), INDEX($AB$1004:$AQ$1004,1,MATCH(COLUMNS($AB$1006:AI1006),$AB$1006:$AQ$1006,0)))),"Fix")))</f>
        <v>0</v>
      </c>
      <c r="J118" s="5">
        <f>IF(OR(INDEX($V$2:$V$1001,MATCH(ROWS($U$2:U118),$U$2:$U$1001,0),1)&gt;=100000,INDEX($AB$1005:$AQ$1005,1,MATCH(COLUMNS($AB$1006:AJ1006),$AB$1006:$AQ$1006,0))&gt;=100000), " ",IF(INDEX($AB$2:$AQ$1001,MATCH(ROWS($U$2:U118),$U$2:$U$1001,0),MATCH(COLUMNS($AB$1006:AJ1006),$AB$1006:$AQ$1006,0)), HYPERLINK("#",""), HYPERLINK(CONCATENATE("#Metadata!", ADDRESS(INDEX($W$2:$W$1001,MATCH(ROWS($U$2:U118),$U$2:$U$1001,0),0), INDEX($AB$1004:$AQ$1004,1,MATCH(COLUMNS($AB$1006:AJ1006),$AB$1006:$AQ$1006,0)))),"Fix")))</f>
        <v>0</v>
      </c>
      <c r="K118" s="5">
        <f>IF(OR(INDEX($V$2:$V$1001,MATCH(ROWS($U$2:U118),$U$2:$U$1001,0),1)&gt;=100000,INDEX($AB$1005:$AQ$1005,1,MATCH(COLUMNS($AB$1006:AK1006),$AB$1006:$AQ$1006,0))&gt;=100000), " ",IF(INDEX($AB$2:$AQ$1001,MATCH(ROWS($U$2:U118),$U$2:$U$1001,0),MATCH(COLUMNS($AB$1006:AK1006),$AB$1006:$AQ$1006,0)), HYPERLINK("#",""), HYPERLINK(CONCATENATE("#Metadata!", ADDRESS(INDEX($W$2:$W$1001,MATCH(ROWS($U$2:U118),$U$2:$U$1001,0),0), INDEX($AB$1004:$AQ$1004,1,MATCH(COLUMNS($AB$1006:AK1006),$AB$1006:$AQ$1006,0)))),"Fix")))</f>
        <v>0</v>
      </c>
      <c r="L118" s="5">
        <f>IF(OR(INDEX($V$2:$V$1001,MATCH(ROWS($U$2:U118),$U$2:$U$1001,0),1)&gt;=100000,INDEX($AB$1005:$AQ$1005,1,MATCH(COLUMNS($AB$1006:AL1006),$AB$1006:$AQ$1006,0))&gt;=100000), " ",IF(INDEX($AB$2:$AQ$1001,MATCH(ROWS($U$2:U118),$U$2:$U$1001,0),MATCH(COLUMNS($AB$1006:AL1006),$AB$1006:$AQ$1006,0)), HYPERLINK("#",""), HYPERLINK(CONCATENATE("#Metadata!", ADDRESS(INDEX($W$2:$W$1001,MATCH(ROWS($U$2:U118),$U$2:$U$1001,0),0), INDEX($AB$1004:$AQ$1004,1,MATCH(COLUMNS($AB$1006:AL1006),$AB$1006:$AQ$1006,0)))),"Fix")))</f>
        <v>0</v>
      </c>
      <c r="M118" s="5">
        <f>IF(OR(INDEX($V$2:$V$1001,MATCH(ROWS($U$2:U118),$U$2:$U$1001,0),1)&gt;=100000,INDEX($AB$1005:$AQ$1005,1,MATCH(COLUMNS($AB$1006:AM1006),$AB$1006:$AQ$1006,0))&gt;=100000), " ",IF(INDEX($AB$2:$AQ$1001,MATCH(ROWS($U$2:U118),$U$2:$U$1001,0),MATCH(COLUMNS($AB$1006:AM1006),$AB$1006:$AQ$1006,0)), HYPERLINK("#",""), HYPERLINK(CONCATENATE("#Metadata!", ADDRESS(INDEX($W$2:$W$1001,MATCH(ROWS($U$2:U118),$U$2:$U$1001,0),0), INDEX($AB$1004:$AQ$1004,1,MATCH(COLUMNS($AB$1006:AM1006),$AB$1006:$AQ$1006,0)))),"Fix")))</f>
        <v>0</v>
      </c>
      <c r="N118" s="5">
        <f>IF(OR(INDEX($V$2:$V$1001,MATCH(ROWS($U$2:U118),$U$2:$U$1001,0),1)&gt;=100000,INDEX($AB$1005:$AQ$1005,1,MATCH(COLUMNS($AB$1006:AN1006),$AB$1006:$AQ$1006,0))&gt;=100000), " ",IF(INDEX($AB$2:$AQ$1001,MATCH(ROWS($U$2:U118),$U$2:$U$1001,0),MATCH(COLUMNS($AB$1006:AN1006),$AB$1006:$AQ$1006,0)), HYPERLINK("#",""), HYPERLINK(CONCATENATE("#Metadata!", ADDRESS(INDEX($W$2:$W$1001,MATCH(ROWS($U$2:U118),$U$2:$U$1001,0),0), INDEX($AB$1004:$AQ$1004,1,MATCH(COLUMNS($AB$1006:AN1006),$AB$1006:$AQ$1006,0)))),"Fix")))</f>
        <v>0</v>
      </c>
      <c r="O118" s="5">
        <f>IF(OR(INDEX($V$2:$V$1001,MATCH(ROWS($U$2:U118),$U$2:$U$1001,0),1)&gt;=100000,INDEX($AB$1005:$AQ$1005,1,MATCH(COLUMNS($AB$1006:AO1006),$AB$1006:$AQ$1006,0))&gt;=100000), " ",IF(INDEX($AB$2:$AQ$1001,MATCH(ROWS($U$2:U118),$U$2:$U$1001,0),MATCH(COLUMNS($AB$1006:AO1006),$AB$1006:$AQ$1006,0)), HYPERLINK("#",""), HYPERLINK(CONCATENATE("#Metadata!", ADDRESS(INDEX($W$2:$W$1001,MATCH(ROWS($U$2:U118),$U$2:$U$1001,0),0), INDEX($AB$1004:$AQ$1004,1,MATCH(COLUMNS($AB$1006:AO1006),$AB$1006:$AQ$1006,0)))),"Fix")))</f>
        <v>0</v>
      </c>
      <c r="P118" s="5">
        <f>IF(OR(INDEX($V$2:$V$1001,MATCH(ROWS($U$2:U118),$U$2:$U$1001,0),1)&gt;=100000,INDEX($AB$1005:$AQ$1005,1,MATCH(COLUMNS($AB$1006:AP1006),$AB$1006:$AQ$1006,0))&gt;=100000), " ",IF(INDEX($AB$2:$AQ$1001,MATCH(ROWS($U$2:U118),$U$2:$U$1001,0),MATCH(COLUMNS($AB$1006:AP1006),$AB$1006:$AQ$1006,0)), HYPERLINK("#",""), HYPERLINK(CONCATENATE("#Metadata!", ADDRESS(INDEX($W$2:$W$1001,MATCH(ROWS($U$2:U118),$U$2:$U$1001,0),0), INDEX($AB$1004:$AQ$1004,1,MATCH(COLUMNS($AB$1006:AP1006),$AB$1006:$AQ$1006,0)))),"Fix")))</f>
        <v>0</v>
      </c>
      <c r="Q118" s="5">
        <f>IF(OR(INDEX($V$2:$V$1001,MATCH(ROWS($U$2:U118),$U$2:$U$1001,0),1)&gt;=100000,INDEX($AB$1005:$AQ$1005,1,MATCH(COLUMNS($AB$1006:AQ1006),$AB$1006:$AQ$1006,0))&gt;=100000), " ",IF(INDEX($AB$2:$AQ$1001,MATCH(ROWS($U$2:U118),$U$2:$U$1001,0),MATCH(COLUMNS($AB$1006:AQ1006),$AB$1006:$AQ$1006,0)), HYPERLINK("#",""), HYPERLINK(CONCATENATE("#Metadata!", ADDRESS(INDEX($W$2:$W$1001,MATCH(ROWS($U$2:U118),$U$2:$U$1001,0),0), INDEX($AB$1004:$AQ$1004,1,MATCH(COLUMNS($AB$1006:AQ1006),$AB$1006:$AQ$1006,0)))),"Fix")))</f>
        <v>0</v>
      </c>
      <c r="U118">
        <v>0</v>
      </c>
      <c r="V118">
        <v>0</v>
      </c>
      <c r="W118">
        <v>0</v>
      </c>
      <c r="X118">
        <f>IF(Y118,TRUE,AND(AB118:AQ118))</f>
        <v>0</v>
      </c>
      <c r="Y118">
        <f>COUNTBLANK(Metadata!B118:Q118)=COLUMNS(Metadata!B118:Q118)</f>
        <v>0</v>
      </c>
      <c r="Z118">
        <v>0</v>
      </c>
      <c r="AB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AC118">
        <f>AND(IF(Metadata!C118="",FALSE,TRUE),exact(Metadata!C118,"urban biome"))</f>
        <v>0</v>
      </c>
      <c r="AD118">
        <f>AND(IF(Metadata!D118="",FALSE,TRUE),exact(Metadata!D118,"human-associated habitat"))</f>
        <v>0</v>
      </c>
      <c r="AE118">
        <f>AND(IF(Metadata!E118="",FALSE,TRUE),OR(exact(Metadata!E118,"human-associated"),exact(Metadata!E118,"human-skin"),exact(Metadata!E118,"human-oral"),exact(Metadata!E118,"human-gut"),exact(Metadata!E118,"human-vaginal")))</f>
        <v>0</v>
      </c>
      <c r="AF118">
        <f>AND(IF(Metadata!F118="",FALSE,ISNUMBER(VALUE(Metadata!F118))),Metadata!F118&gt;0)</f>
        <v>0</v>
      </c>
      <c r="AG118">
        <f>AND(IF(Metadata!G118="",FALSE,TRUE),exact(Metadata!G118,"years"))</f>
        <v>0</v>
      </c>
      <c r="AH118">
        <f>OR(AND(IF(Metadata!H118="",FALSE,TRUE),OR(exact(Metadata!H118,"not applicable"),exact(Metadata!H118,"not collected"),exact(Metadata!H118,"not provided"),exact(Metadata!H118,"restricted access"))),AND(IF(Metadata!H118="",FALSE,ISNUMBER(VALUE(Metadata!H118))),Metadata!H118&gt;0))</f>
        <v>0</v>
      </c>
      <c r="AI118">
        <f>AND(IF(Metadata!I118="",FALSE,TRUE),exact(Metadata!I118,"human"))</f>
        <v>0</v>
      </c>
      <c r="AJ118">
        <f>AND(IF(Metadata!J118="",FALSE,ISNUMBER(VALUE(Metadata!J118))),Metadata!J118&gt;0)</f>
        <v>0</v>
      </c>
      <c r="AK118">
        <f>AND(IF(Metadata!K118="",FALSE,TRUE),exact(Metadata!K118,"cm"))</f>
        <v>0</v>
      </c>
      <c r="AL118">
        <f>AND(IF(Metadata!L118="",FALSE,TRUE),exact(Metadata!L118,"Homo sapiens"))</f>
        <v>0</v>
      </c>
      <c r="AM118">
        <f>AND(IF(Metadata!M118="",FALSE,TRUE),exact(Metadata!M118,"9606"))</f>
        <v>0</v>
      </c>
      <c r="AN118">
        <f>AND(IF(Metadata!N118="",FALSE,ISNUMBER(VALUE(Metadata!N118))),Metadata!N118&gt;0)</f>
        <v>0</v>
      </c>
      <c r="AO118">
        <f>AND(IF(Metadata!O118="",FALSE,TRUE),exact(Metadata!O118,"kg"))</f>
        <v>0</v>
      </c>
      <c r="AP118">
        <f>OR(AND(IF(Metadata!P118="",FALSE,TRUE),exact(Metadata!P118,"not provided")),IF(Metadata!P118="",FALSE,TRUE))</f>
        <v>0</v>
      </c>
      <c r="AQ118">
        <f>OR(AND(IF(Metadata!Q118="",FALSE,TRUE),exact(Metadata!Q118,"not provided")),IF(Metadata!Q118="",FALSE,TRUE))</f>
        <v>0</v>
      </c>
    </row>
    <row r="119" spans="1:43">
      <c r="A119" s="4">
        <f>IF(B119=" "," ",HYPERLINK(CONCATENATE("#metadata!",ADDRESS(INDEX($W$2:$W$1001,MATCH(ROWS($U$2:U119),$U$2:$U$1001,0),0),2)),INDEX($Z$2:$Z$1001,MATCH(ROWS($U$2:U119),$U$2:$U$1001,0),0)))</f>
        <v>0</v>
      </c>
      <c r="B119" s="5">
        <f>IF(OR(INDEX($V$2:$V$1001,MATCH(ROWS($U$2:U119),$U$2:$U$1001,0),1)&gt;=100000,INDEX($AB$1005:$AQ$1005,1,MATCH(COLUMNS($AB$1006:AB1006),$AB$1006:$AQ$1006,0))&gt;=100000), " ",IF(INDEX($AB$2:$AQ$1001,MATCH(ROWS($U$2:U119),$U$2:$U$1001,0),MATCH(COLUMNS($AB$1006:AB1006),$AB$1006:$AQ$1006,0)), HYPERLINK("#",""), HYPERLINK(CONCATENATE("#Metadata!", ADDRESS(INDEX($W$2:$W$1001,MATCH(ROWS($U$2:U119),$U$2:$U$1001,0),0), INDEX($AB$1004:$AQ$1004,1,MATCH(COLUMNS($AB$1006:AB1006),$AB$1006:$AQ$1006,0)))),"Fix")))</f>
        <v>0</v>
      </c>
      <c r="C119" s="5">
        <f>IF(OR(INDEX($V$2:$V$1001,MATCH(ROWS($U$2:U119),$U$2:$U$1001,0),1)&gt;=100000,INDEX($AB$1005:$AQ$1005,1,MATCH(COLUMNS($AB$1006:AC1006),$AB$1006:$AQ$1006,0))&gt;=100000), " ",IF(INDEX($AB$2:$AQ$1001,MATCH(ROWS($U$2:U119),$U$2:$U$1001,0),MATCH(COLUMNS($AB$1006:AC1006),$AB$1006:$AQ$1006,0)), HYPERLINK("#",""), HYPERLINK(CONCATENATE("#Metadata!", ADDRESS(INDEX($W$2:$W$1001,MATCH(ROWS($U$2:U119),$U$2:$U$1001,0),0), INDEX($AB$1004:$AQ$1004,1,MATCH(COLUMNS($AB$1006:AC1006),$AB$1006:$AQ$1006,0)))),"Fix")))</f>
        <v>0</v>
      </c>
      <c r="D119" s="5">
        <f>IF(OR(INDEX($V$2:$V$1001,MATCH(ROWS($U$2:U119),$U$2:$U$1001,0),1)&gt;=100000,INDEX($AB$1005:$AQ$1005,1,MATCH(COLUMNS($AB$1006:AD1006),$AB$1006:$AQ$1006,0))&gt;=100000), " ",IF(INDEX($AB$2:$AQ$1001,MATCH(ROWS($U$2:U119),$U$2:$U$1001,0),MATCH(COLUMNS($AB$1006:AD1006),$AB$1006:$AQ$1006,0)), HYPERLINK("#",""), HYPERLINK(CONCATENATE("#Metadata!", ADDRESS(INDEX($W$2:$W$1001,MATCH(ROWS($U$2:U119),$U$2:$U$1001,0),0), INDEX($AB$1004:$AQ$1004,1,MATCH(COLUMNS($AB$1006:AD1006),$AB$1006:$AQ$1006,0)))),"Fix")))</f>
        <v>0</v>
      </c>
      <c r="E119" s="5">
        <f>IF(OR(INDEX($V$2:$V$1001,MATCH(ROWS($U$2:U119),$U$2:$U$1001,0),1)&gt;=100000,INDEX($AB$1005:$AQ$1005,1,MATCH(COLUMNS($AB$1006:AE1006),$AB$1006:$AQ$1006,0))&gt;=100000), " ",IF(INDEX($AB$2:$AQ$1001,MATCH(ROWS($U$2:U119),$U$2:$U$1001,0),MATCH(COLUMNS($AB$1006:AE1006),$AB$1006:$AQ$1006,0)), HYPERLINK("#",""), HYPERLINK(CONCATENATE("#Metadata!", ADDRESS(INDEX($W$2:$W$1001,MATCH(ROWS($U$2:U119),$U$2:$U$1001,0),0), INDEX($AB$1004:$AQ$1004,1,MATCH(COLUMNS($AB$1006:AE1006),$AB$1006:$AQ$1006,0)))),"Fix")))</f>
        <v>0</v>
      </c>
      <c r="F119" s="5">
        <f>IF(OR(INDEX($V$2:$V$1001,MATCH(ROWS($U$2:U119),$U$2:$U$1001,0),1)&gt;=100000,INDEX($AB$1005:$AQ$1005,1,MATCH(COLUMNS($AB$1006:AF1006),$AB$1006:$AQ$1006,0))&gt;=100000), " ",IF(INDEX($AB$2:$AQ$1001,MATCH(ROWS($U$2:U119),$U$2:$U$1001,0),MATCH(COLUMNS($AB$1006:AF1006),$AB$1006:$AQ$1006,0)), HYPERLINK("#",""), HYPERLINK(CONCATENATE("#Metadata!", ADDRESS(INDEX($W$2:$W$1001,MATCH(ROWS($U$2:U119),$U$2:$U$1001,0),0), INDEX($AB$1004:$AQ$1004,1,MATCH(COLUMNS($AB$1006:AF1006),$AB$1006:$AQ$1006,0)))),"Fix")))</f>
        <v>0</v>
      </c>
      <c r="G119" s="5">
        <f>IF(OR(INDEX($V$2:$V$1001,MATCH(ROWS($U$2:U119),$U$2:$U$1001,0),1)&gt;=100000,INDEX($AB$1005:$AQ$1005,1,MATCH(COLUMNS($AB$1006:AG1006),$AB$1006:$AQ$1006,0))&gt;=100000), " ",IF(INDEX($AB$2:$AQ$1001,MATCH(ROWS($U$2:U119),$U$2:$U$1001,0),MATCH(COLUMNS($AB$1006:AG1006),$AB$1006:$AQ$1006,0)), HYPERLINK("#",""), HYPERLINK(CONCATENATE("#Metadata!", ADDRESS(INDEX($W$2:$W$1001,MATCH(ROWS($U$2:U119),$U$2:$U$1001,0),0), INDEX($AB$1004:$AQ$1004,1,MATCH(COLUMNS($AB$1006:AG1006),$AB$1006:$AQ$1006,0)))),"Fix")))</f>
        <v>0</v>
      </c>
      <c r="H119" s="5">
        <f>IF(OR(INDEX($V$2:$V$1001,MATCH(ROWS($U$2:U119),$U$2:$U$1001,0),1)&gt;=100000,INDEX($AB$1005:$AQ$1005,1,MATCH(COLUMNS($AB$1006:AH1006),$AB$1006:$AQ$1006,0))&gt;=100000), " ",IF(INDEX($AB$2:$AQ$1001,MATCH(ROWS($U$2:U119),$U$2:$U$1001,0),MATCH(COLUMNS($AB$1006:AH1006),$AB$1006:$AQ$1006,0)), HYPERLINK("#",""), HYPERLINK(CONCATENATE("#Metadata!", ADDRESS(INDEX($W$2:$W$1001,MATCH(ROWS($U$2:U119),$U$2:$U$1001,0),0), INDEX($AB$1004:$AQ$1004,1,MATCH(COLUMNS($AB$1006:AH1006),$AB$1006:$AQ$1006,0)))),"Fix")))</f>
        <v>0</v>
      </c>
      <c r="I119" s="5">
        <f>IF(OR(INDEX($V$2:$V$1001,MATCH(ROWS($U$2:U119),$U$2:$U$1001,0),1)&gt;=100000,INDEX($AB$1005:$AQ$1005,1,MATCH(COLUMNS($AB$1006:AI1006),$AB$1006:$AQ$1006,0))&gt;=100000), " ",IF(INDEX($AB$2:$AQ$1001,MATCH(ROWS($U$2:U119),$U$2:$U$1001,0),MATCH(COLUMNS($AB$1006:AI1006),$AB$1006:$AQ$1006,0)), HYPERLINK("#",""), HYPERLINK(CONCATENATE("#Metadata!", ADDRESS(INDEX($W$2:$W$1001,MATCH(ROWS($U$2:U119),$U$2:$U$1001,0),0), INDEX($AB$1004:$AQ$1004,1,MATCH(COLUMNS($AB$1006:AI1006),$AB$1006:$AQ$1006,0)))),"Fix")))</f>
        <v>0</v>
      </c>
      <c r="J119" s="5">
        <f>IF(OR(INDEX($V$2:$V$1001,MATCH(ROWS($U$2:U119),$U$2:$U$1001,0),1)&gt;=100000,INDEX($AB$1005:$AQ$1005,1,MATCH(COLUMNS($AB$1006:AJ1006),$AB$1006:$AQ$1006,0))&gt;=100000), " ",IF(INDEX($AB$2:$AQ$1001,MATCH(ROWS($U$2:U119),$U$2:$U$1001,0),MATCH(COLUMNS($AB$1006:AJ1006),$AB$1006:$AQ$1006,0)), HYPERLINK("#",""), HYPERLINK(CONCATENATE("#Metadata!", ADDRESS(INDEX($W$2:$W$1001,MATCH(ROWS($U$2:U119),$U$2:$U$1001,0),0), INDEX($AB$1004:$AQ$1004,1,MATCH(COLUMNS($AB$1006:AJ1006),$AB$1006:$AQ$1006,0)))),"Fix")))</f>
        <v>0</v>
      </c>
      <c r="K119" s="5">
        <f>IF(OR(INDEX($V$2:$V$1001,MATCH(ROWS($U$2:U119),$U$2:$U$1001,0),1)&gt;=100000,INDEX($AB$1005:$AQ$1005,1,MATCH(COLUMNS($AB$1006:AK1006),$AB$1006:$AQ$1006,0))&gt;=100000), " ",IF(INDEX($AB$2:$AQ$1001,MATCH(ROWS($U$2:U119),$U$2:$U$1001,0),MATCH(COLUMNS($AB$1006:AK1006),$AB$1006:$AQ$1006,0)), HYPERLINK("#",""), HYPERLINK(CONCATENATE("#Metadata!", ADDRESS(INDEX($W$2:$W$1001,MATCH(ROWS($U$2:U119),$U$2:$U$1001,0),0), INDEX($AB$1004:$AQ$1004,1,MATCH(COLUMNS($AB$1006:AK1006),$AB$1006:$AQ$1006,0)))),"Fix")))</f>
        <v>0</v>
      </c>
      <c r="L119" s="5">
        <f>IF(OR(INDEX($V$2:$V$1001,MATCH(ROWS($U$2:U119),$U$2:$U$1001,0),1)&gt;=100000,INDEX($AB$1005:$AQ$1005,1,MATCH(COLUMNS($AB$1006:AL1006),$AB$1006:$AQ$1006,0))&gt;=100000), " ",IF(INDEX($AB$2:$AQ$1001,MATCH(ROWS($U$2:U119),$U$2:$U$1001,0),MATCH(COLUMNS($AB$1006:AL1006),$AB$1006:$AQ$1006,0)), HYPERLINK("#",""), HYPERLINK(CONCATENATE("#Metadata!", ADDRESS(INDEX($W$2:$W$1001,MATCH(ROWS($U$2:U119),$U$2:$U$1001,0),0), INDEX($AB$1004:$AQ$1004,1,MATCH(COLUMNS($AB$1006:AL1006),$AB$1006:$AQ$1006,0)))),"Fix")))</f>
        <v>0</v>
      </c>
      <c r="M119" s="5">
        <f>IF(OR(INDEX($V$2:$V$1001,MATCH(ROWS($U$2:U119),$U$2:$U$1001,0),1)&gt;=100000,INDEX($AB$1005:$AQ$1005,1,MATCH(COLUMNS($AB$1006:AM1006),$AB$1006:$AQ$1006,0))&gt;=100000), " ",IF(INDEX($AB$2:$AQ$1001,MATCH(ROWS($U$2:U119),$U$2:$U$1001,0),MATCH(COLUMNS($AB$1006:AM1006),$AB$1006:$AQ$1006,0)), HYPERLINK("#",""), HYPERLINK(CONCATENATE("#Metadata!", ADDRESS(INDEX($W$2:$W$1001,MATCH(ROWS($U$2:U119),$U$2:$U$1001,0),0), INDEX($AB$1004:$AQ$1004,1,MATCH(COLUMNS($AB$1006:AM1006),$AB$1006:$AQ$1006,0)))),"Fix")))</f>
        <v>0</v>
      </c>
      <c r="N119" s="5">
        <f>IF(OR(INDEX($V$2:$V$1001,MATCH(ROWS($U$2:U119),$U$2:$U$1001,0),1)&gt;=100000,INDEX($AB$1005:$AQ$1005,1,MATCH(COLUMNS($AB$1006:AN1006),$AB$1006:$AQ$1006,0))&gt;=100000), " ",IF(INDEX($AB$2:$AQ$1001,MATCH(ROWS($U$2:U119),$U$2:$U$1001,0),MATCH(COLUMNS($AB$1006:AN1006),$AB$1006:$AQ$1006,0)), HYPERLINK("#",""), HYPERLINK(CONCATENATE("#Metadata!", ADDRESS(INDEX($W$2:$W$1001,MATCH(ROWS($U$2:U119),$U$2:$U$1001,0),0), INDEX($AB$1004:$AQ$1004,1,MATCH(COLUMNS($AB$1006:AN1006),$AB$1006:$AQ$1006,0)))),"Fix")))</f>
        <v>0</v>
      </c>
      <c r="O119" s="5">
        <f>IF(OR(INDEX($V$2:$V$1001,MATCH(ROWS($U$2:U119),$U$2:$U$1001,0),1)&gt;=100000,INDEX($AB$1005:$AQ$1005,1,MATCH(COLUMNS($AB$1006:AO1006),$AB$1006:$AQ$1006,0))&gt;=100000), " ",IF(INDEX($AB$2:$AQ$1001,MATCH(ROWS($U$2:U119),$U$2:$U$1001,0),MATCH(COLUMNS($AB$1006:AO1006),$AB$1006:$AQ$1006,0)), HYPERLINK("#",""), HYPERLINK(CONCATENATE("#Metadata!", ADDRESS(INDEX($W$2:$W$1001,MATCH(ROWS($U$2:U119),$U$2:$U$1001,0),0), INDEX($AB$1004:$AQ$1004,1,MATCH(COLUMNS($AB$1006:AO1006),$AB$1006:$AQ$1006,0)))),"Fix")))</f>
        <v>0</v>
      </c>
      <c r="P119" s="5">
        <f>IF(OR(INDEX($V$2:$V$1001,MATCH(ROWS($U$2:U119),$U$2:$U$1001,0),1)&gt;=100000,INDEX($AB$1005:$AQ$1005,1,MATCH(COLUMNS($AB$1006:AP1006),$AB$1006:$AQ$1006,0))&gt;=100000), " ",IF(INDEX($AB$2:$AQ$1001,MATCH(ROWS($U$2:U119),$U$2:$U$1001,0),MATCH(COLUMNS($AB$1006:AP1006),$AB$1006:$AQ$1006,0)), HYPERLINK("#",""), HYPERLINK(CONCATENATE("#Metadata!", ADDRESS(INDEX($W$2:$W$1001,MATCH(ROWS($U$2:U119),$U$2:$U$1001,0),0), INDEX($AB$1004:$AQ$1004,1,MATCH(COLUMNS($AB$1006:AP1006),$AB$1006:$AQ$1006,0)))),"Fix")))</f>
        <v>0</v>
      </c>
      <c r="Q119" s="5">
        <f>IF(OR(INDEX($V$2:$V$1001,MATCH(ROWS($U$2:U119),$U$2:$U$1001,0),1)&gt;=100000,INDEX($AB$1005:$AQ$1005,1,MATCH(COLUMNS($AB$1006:AQ1006),$AB$1006:$AQ$1006,0))&gt;=100000), " ",IF(INDEX($AB$2:$AQ$1001,MATCH(ROWS($U$2:U119),$U$2:$U$1001,0),MATCH(COLUMNS($AB$1006:AQ1006),$AB$1006:$AQ$1006,0)), HYPERLINK("#",""), HYPERLINK(CONCATENATE("#Metadata!", ADDRESS(INDEX($W$2:$W$1001,MATCH(ROWS($U$2:U119),$U$2:$U$1001,0),0), INDEX($AB$1004:$AQ$1004,1,MATCH(COLUMNS($AB$1006:AQ1006),$AB$1006:$AQ$1006,0)))),"Fix")))</f>
        <v>0</v>
      </c>
      <c r="U119">
        <v>0</v>
      </c>
      <c r="V119">
        <v>0</v>
      </c>
      <c r="W119">
        <v>0</v>
      </c>
      <c r="X119">
        <f>IF(Y119,TRUE,AND(AB119:AQ119))</f>
        <v>0</v>
      </c>
      <c r="Y119">
        <f>COUNTBLANK(Metadata!B119:Q119)=COLUMNS(Metadata!B119:Q119)</f>
        <v>0</v>
      </c>
      <c r="Z119">
        <v>0</v>
      </c>
      <c r="AB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AC119">
        <f>AND(IF(Metadata!C119="",FALSE,TRUE),exact(Metadata!C119,"urban biome"))</f>
        <v>0</v>
      </c>
      <c r="AD119">
        <f>AND(IF(Metadata!D119="",FALSE,TRUE),exact(Metadata!D119,"human-associated habitat"))</f>
        <v>0</v>
      </c>
      <c r="AE119">
        <f>AND(IF(Metadata!E119="",FALSE,TRUE),OR(exact(Metadata!E119,"human-associated"),exact(Metadata!E119,"human-skin"),exact(Metadata!E119,"human-oral"),exact(Metadata!E119,"human-gut"),exact(Metadata!E119,"human-vaginal")))</f>
        <v>0</v>
      </c>
      <c r="AF119">
        <f>AND(IF(Metadata!F119="",FALSE,ISNUMBER(VALUE(Metadata!F119))),Metadata!F119&gt;0)</f>
        <v>0</v>
      </c>
      <c r="AG119">
        <f>AND(IF(Metadata!G119="",FALSE,TRUE),exact(Metadata!G119,"years"))</f>
        <v>0</v>
      </c>
      <c r="AH119">
        <f>OR(AND(IF(Metadata!H119="",FALSE,TRUE),OR(exact(Metadata!H119,"not applicable"),exact(Metadata!H119,"not collected"),exact(Metadata!H119,"not provided"),exact(Metadata!H119,"restricted access"))),AND(IF(Metadata!H119="",FALSE,ISNUMBER(VALUE(Metadata!H119))),Metadata!H119&gt;0))</f>
        <v>0</v>
      </c>
      <c r="AI119">
        <f>AND(IF(Metadata!I119="",FALSE,TRUE),exact(Metadata!I119,"human"))</f>
        <v>0</v>
      </c>
      <c r="AJ119">
        <f>AND(IF(Metadata!J119="",FALSE,ISNUMBER(VALUE(Metadata!J119))),Metadata!J119&gt;0)</f>
        <v>0</v>
      </c>
      <c r="AK119">
        <f>AND(IF(Metadata!K119="",FALSE,TRUE),exact(Metadata!K119,"cm"))</f>
        <v>0</v>
      </c>
      <c r="AL119">
        <f>AND(IF(Metadata!L119="",FALSE,TRUE),exact(Metadata!L119,"Homo sapiens"))</f>
        <v>0</v>
      </c>
      <c r="AM119">
        <f>AND(IF(Metadata!M119="",FALSE,TRUE),exact(Metadata!M119,"9606"))</f>
        <v>0</v>
      </c>
      <c r="AN119">
        <f>AND(IF(Metadata!N119="",FALSE,ISNUMBER(VALUE(Metadata!N119))),Metadata!N119&gt;0)</f>
        <v>0</v>
      </c>
      <c r="AO119">
        <f>AND(IF(Metadata!O119="",FALSE,TRUE),exact(Metadata!O119,"kg"))</f>
        <v>0</v>
      </c>
      <c r="AP119">
        <f>OR(AND(IF(Metadata!P119="",FALSE,TRUE),exact(Metadata!P119,"not provided")),IF(Metadata!P119="",FALSE,TRUE))</f>
        <v>0</v>
      </c>
      <c r="AQ119">
        <f>OR(AND(IF(Metadata!Q119="",FALSE,TRUE),exact(Metadata!Q119,"not provided")),IF(Metadata!Q119="",FALSE,TRUE))</f>
        <v>0</v>
      </c>
    </row>
    <row r="120" spans="1:43">
      <c r="A120" s="4">
        <f>IF(B120=" "," ",HYPERLINK(CONCATENATE("#metadata!",ADDRESS(INDEX($W$2:$W$1001,MATCH(ROWS($U$2:U120),$U$2:$U$1001,0),0),2)),INDEX($Z$2:$Z$1001,MATCH(ROWS($U$2:U120),$U$2:$U$1001,0),0)))</f>
        <v>0</v>
      </c>
      <c r="B120" s="5">
        <f>IF(OR(INDEX($V$2:$V$1001,MATCH(ROWS($U$2:U120),$U$2:$U$1001,0),1)&gt;=100000,INDEX($AB$1005:$AQ$1005,1,MATCH(COLUMNS($AB$1006:AB1006),$AB$1006:$AQ$1006,0))&gt;=100000), " ",IF(INDEX($AB$2:$AQ$1001,MATCH(ROWS($U$2:U120),$U$2:$U$1001,0),MATCH(COLUMNS($AB$1006:AB1006),$AB$1006:$AQ$1006,0)), HYPERLINK("#",""), HYPERLINK(CONCATENATE("#Metadata!", ADDRESS(INDEX($W$2:$W$1001,MATCH(ROWS($U$2:U120),$U$2:$U$1001,0),0), INDEX($AB$1004:$AQ$1004,1,MATCH(COLUMNS($AB$1006:AB1006),$AB$1006:$AQ$1006,0)))),"Fix")))</f>
        <v>0</v>
      </c>
      <c r="C120" s="5">
        <f>IF(OR(INDEX($V$2:$V$1001,MATCH(ROWS($U$2:U120),$U$2:$U$1001,0),1)&gt;=100000,INDEX($AB$1005:$AQ$1005,1,MATCH(COLUMNS($AB$1006:AC1006),$AB$1006:$AQ$1006,0))&gt;=100000), " ",IF(INDEX($AB$2:$AQ$1001,MATCH(ROWS($U$2:U120),$U$2:$U$1001,0),MATCH(COLUMNS($AB$1006:AC1006),$AB$1006:$AQ$1006,0)), HYPERLINK("#",""), HYPERLINK(CONCATENATE("#Metadata!", ADDRESS(INDEX($W$2:$W$1001,MATCH(ROWS($U$2:U120),$U$2:$U$1001,0),0), INDEX($AB$1004:$AQ$1004,1,MATCH(COLUMNS($AB$1006:AC1006),$AB$1006:$AQ$1006,0)))),"Fix")))</f>
        <v>0</v>
      </c>
      <c r="D120" s="5">
        <f>IF(OR(INDEX($V$2:$V$1001,MATCH(ROWS($U$2:U120),$U$2:$U$1001,0),1)&gt;=100000,INDEX($AB$1005:$AQ$1005,1,MATCH(COLUMNS($AB$1006:AD1006),$AB$1006:$AQ$1006,0))&gt;=100000), " ",IF(INDEX($AB$2:$AQ$1001,MATCH(ROWS($U$2:U120),$U$2:$U$1001,0),MATCH(COLUMNS($AB$1006:AD1006),$AB$1006:$AQ$1006,0)), HYPERLINK("#",""), HYPERLINK(CONCATENATE("#Metadata!", ADDRESS(INDEX($W$2:$W$1001,MATCH(ROWS($U$2:U120),$U$2:$U$1001,0),0), INDEX($AB$1004:$AQ$1004,1,MATCH(COLUMNS($AB$1006:AD1006),$AB$1006:$AQ$1006,0)))),"Fix")))</f>
        <v>0</v>
      </c>
      <c r="E120" s="5">
        <f>IF(OR(INDEX($V$2:$V$1001,MATCH(ROWS($U$2:U120),$U$2:$U$1001,0),1)&gt;=100000,INDEX($AB$1005:$AQ$1005,1,MATCH(COLUMNS($AB$1006:AE1006),$AB$1006:$AQ$1006,0))&gt;=100000), " ",IF(INDEX($AB$2:$AQ$1001,MATCH(ROWS($U$2:U120),$U$2:$U$1001,0),MATCH(COLUMNS($AB$1006:AE1006),$AB$1006:$AQ$1006,0)), HYPERLINK("#",""), HYPERLINK(CONCATENATE("#Metadata!", ADDRESS(INDEX($W$2:$W$1001,MATCH(ROWS($U$2:U120),$U$2:$U$1001,0),0), INDEX($AB$1004:$AQ$1004,1,MATCH(COLUMNS($AB$1006:AE1006),$AB$1006:$AQ$1006,0)))),"Fix")))</f>
        <v>0</v>
      </c>
      <c r="F120" s="5">
        <f>IF(OR(INDEX($V$2:$V$1001,MATCH(ROWS($U$2:U120),$U$2:$U$1001,0),1)&gt;=100000,INDEX($AB$1005:$AQ$1005,1,MATCH(COLUMNS($AB$1006:AF1006),$AB$1006:$AQ$1006,0))&gt;=100000), " ",IF(INDEX($AB$2:$AQ$1001,MATCH(ROWS($U$2:U120),$U$2:$U$1001,0),MATCH(COLUMNS($AB$1006:AF1006),$AB$1006:$AQ$1006,0)), HYPERLINK("#",""), HYPERLINK(CONCATENATE("#Metadata!", ADDRESS(INDEX($W$2:$W$1001,MATCH(ROWS($U$2:U120),$U$2:$U$1001,0),0), INDEX($AB$1004:$AQ$1004,1,MATCH(COLUMNS($AB$1006:AF1006),$AB$1006:$AQ$1006,0)))),"Fix")))</f>
        <v>0</v>
      </c>
      <c r="G120" s="5">
        <f>IF(OR(INDEX($V$2:$V$1001,MATCH(ROWS($U$2:U120),$U$2:$U$1001,0),1)&gt;=100000,INDEX($AB$1005:$AQ$1005,1,MATCH(COLUMNS($AB$1006:AG1006),$AB$1006:$AQ$1006,0))&gt;=100000), " ",IF(INDEX($AB$2:$AQ$1001,MATCH(ROWS($U$2:U120),$U$2:$U$1001,0),MATCH(COLUMNS($AB$1006:AG1006),$AB$1006:$AQ$1006,0)), HYPERLINK("#",""), HYPERLINK(CONCATENATE("#Metadata!", ADDRESS(INDEX($W$2:$W$1001,MATCH(ROWS($U$2:U120),$U$2:$U$1001,0),0), INDEX($AB$1004:$AQ$1004,1,MATCH(COLUMNS($AB$1006:AG1006),$AB$1006:$AQ$1006,0)))),"Fix")))</f>
        <v>0</v>
      </c>
      <c r="H120" s="5">
        <f>IF(OR(INDEX($V$2:$V$1001,MATCH(ROWS($U$2:U120),$U$2:$U$1001,0),1)&gt;=100000,INDEX($AB$1005:$AQ$1005,1,MATCH(COLUMNS($AB$1006:AH1006),$AB$1006:$AQ$1006,0))&gt;=100000), " ",IF(INDEX($AB$2:$AQ$1001,MATCH(ROWS($U$2:U120),$U$2:$U$1001,0),MATCH(COLUMNS($AB$1006:AH1006),$AB$1006:$AQ$1006,0)), HYPERLINK("#",""), HYPERLINK(CONCATENATE("#Metadata!", ADDRESS(INDEX($W$2:$W$1001,MATCH(ROWS($U$2:U120),$U$2:$U$1001,0),0), INDEX($AB$1004:$AQ$1004,1,MATCH(COLUMNS($AB$1006:AH1006),$AB$1006:$AQ$1006,0)))),"Fix")))</f>
        <v>0</v>
      </c>
      <c r="I120" s="5">
        <f>IF(OR(INDEX($V$2:$V$1001,MATCH(ROWS($U$2:U120),$U$2:$U$1001,0),1)&gt;=100000,INDEX($AB$1005:$AQ$1005,1,MATCH(COLUMNS($AB$1006:AI1006),$AB$1006:$AQ$1006,0))&gt;=100000), " ",IF(INDEX($AB$2:$AQ$1001,MATCH(ROWS($U$2:U120),$U$2:$U$1001,0),MATCH(COLUMNS($AB$1006:AI1006),$AB$1006:$AQ$1006,0)), HYPERLINK("#",""), HYPERLINK(CONCATENATE("#Metadata!", ADDRESS(INDEX($W$2:$W$1001,MATCH(ROWS($U$2:U120),$U$2:$U$1001,0),0), INDEX($AB$1004:$AQ$1004,1,MATCH(COLUMNS($AB$1006:AI1006),$AB$1006:$AQ$1006,0)))),"Fix")))</f>
        <v>0</v>
      </c>
      <c r="J120" s="5">
        <f>IF(OR(INDEX($V$2:$V$1001,MATCH(ROWS($U$2:U120),$U$2:$U$1001,0),1)&gt;=100000,INDEX($AB$1005:$AQ$1005,1,MATCH(COLUMNS($AB$1006:AJ1006),$AB$1006:$AQ$1006,0))&gt;=100000), " ",IF(INDEX($AB$2:$AQ$1001,MATCH(ROWS($U$2:U120),$U$2:$U$1001,0),MATCH(COLUMNS($AB$1006:AJ1006),$AB$1006:$AQ$1006,0)), HYPERLINK("#",""), HYPERLINK(CONCATENATE("#Metadata!", ADDRESS(INDEX($W$2:$W$1001,MATCH(ROWS($U$2:U120),$U$2:$U$1001,0),0), INDEX($AB$1004:$AQ$1004,1,MATCH(COLUMNS($AB$1006:AJ1006),$AB$1006:$AQ$1006,0)))),"Fix")))</f>
        <v>0</v>
      </c>
      <c r="K120" s="5">
        <f>IF(OR(INDEX($V$2:$V$1001,MATCH(ROWS($U$2:U120),$U$2:$U$1001,0),1)&gt;=100000,INDEX($AB$1005:$AQ$1005,1,MATCH(COLUMNS($AB$1006:AK1006),$AB$1006:$AQ$1006,0))&gt;=100000), " ",IF(INDEX($AB$2:$AQ$1001,MATCH(ROWS($U$2:U120),$U$2:$U$1001,0),MATCH(COLUMNS($AB$1006:AK1006),$AB$1006:$AQ$1006,0)), HYPERLINK("#",""), HYPERLINK(CONCATENATE("#Metadata!", ADDRESS(INDEX($W$2:$W$1001,MATCH(ROWS($U$2:U120),$U$2:$U$1001,0),0), INDEX($AB$1004:$AQ$1004,1,MATCH(COLUMNS($AB$1006:AK1006),$AB$1006:$AQ$1006,0)))),"Fix")))</f>
        <v>0</v>
      </c>
      <c r="L120" s="5">
        <f>IF(OR(INDEX($V$2:$V$1001,MATCH(ROWS($U$2:U120),$U$2:$U$1001,0),1)&gt;=100000,INDEX($AB$1005:$AQ$1005,1,MATCH(COLUMNS($AB$1006:AL1006),$AB$1006:$AQ$1006,0))&gt;=100000), " ",IF(INDEX($AB$2:$AQ$1001,MATCH(ROWS($U$2:U120),$U$2:$U$1001,0),MATCH(COLUMNS($AB$1006:AL1006),$AB$1006:$AQ$1006,0)), HYPERLINK("#",""), HYPERLINK(CONCATENATE("#Metadata!", ADDRESS(INDEX($W$2:$W$1001,MATCH(ROWS($U$2:U120),$U$2:$U$1001,0),0), INDEX($AB$1004:$AQ$1004,1,MATCH(COLUMNS($AB$1006:AL1006),$AB$1006:$AQ$1006,0)))),"Fix")))</f>
        <v>0</v>
      </c>
      <c r="M120" s="5">
        <f>IF(OR(INDEX($V$2:$V$1001,MATCH(ROWS($U$2:U120),$U$2:$U$1001,0),1)&gt;=100000,INDEX($AB$1005:$AQ$1005,1,MATCH(COLUMNS($AB$1006:AM1006),$AB$1006:$AQ$1006,0))&gt;=100000), " ",IF(INDEX($AB$2:$AQ$1001,MATCH(ROWS($U$2:U120),$U$2:$U$1001,0),MATCH(COLUMNS($AB$1006:AM1006),$AB$1006:$AQ$1006,0)), HYPERLINK("#",""), HYPERLINK(CONCATENATE("#Metadata!", ADDRESS(INDEX($W$2:$W$1001,MATCH(ROWS($U$2:U120),$U$2:$U$1001,0),0), INDEX($AB$1004:$AQ$1004,1,MATCH(COLUMNS($AB$1006:AM1006),$AB$1006:$AQ$1006,0)))),"Fix")))</f>
        <v>0</v>
      </c>
      <c r="N120" s="5">
        <f>IF(OR(INDEX($V$2:$V$1001,MATCH(ROWS($U$2:U120),$U$2:$U$1001,0),1)&gt;=100000,INDEX($AB$1005:$AQ$1005,1,MATCH(COLUMNS($AB$1006:AN1006),$AB$1006:$AQ$1006,0))&gt;=100000), " ",IF(INDEX($AB$2:$AQ$1001,MATCH(ROWS($U$2:U120),$U$2:$U$1001,0),MATCH(COLUMNS($AB$1006:AN1006),$AB$1006:$AQ$1006,0)), HYPERLINK("#",""), HYPERLINK(CONCATENATE("#Metadata!", ADDRESS(INDEX($W$2:$W$1001,MATCH(ROWS($U$2:U120),$U$2:$U$1001,0),0), INDEX($AB$1004:$AQ$1004,1,MATCH(COLUMNS($AB$1006:AN1006),$AB$1006:$AQ$1006,0)))),"Fix")))</f>
        <v>0</v>
      </c>
      <c r="O120" s="5">
        <f>IF(OR(INDEX($V$2:$V$1001,MATCH(ROWS($U$2:U120),$U$2:$U$1001,0),1)&gt;=100000,INDEX($AB$1005:$AQ$1005,1,MATCH(COLUMNS($AB$1006:AO1006),$AB$1006:$AQ$1006,0))&gt;=100000), " ",IF(INDEX($AB$2:$AQ$1001,MATCH(ROWS($U$2:U120),$U$2:$U$1001,0),MATCH(COLUMNS($AB$1006:AO1006),$AB$1006:$AQ$1006,0)), HYPERLINK("#",""), HYPERLINK(CONCATENATE("#Metadata!", ADDRESS(INDEX($W$2:$W$1001,MATCH(ROWS($U$2:U120),$U$2:$U$1001,0),0), INDEX($AB$1004:$AQ$1004,1,MATCH(COLUMNS($AB$1006:AO1006),$AB$1006:$AQ$1006,0)))),"Fix")))</f>
        <v>0</v>
      </c>
      <c r="P120" s="5">
        <f>IF(OR(INDEX($V$2:$V$1001,MATCH(ROWS($U$2:U120),$U$2:$U$1001,0),1)&gt;=100000,INDEX($AB$1005:$AQ$1005,1,MATCH(COLUMNS($AB$1006:AP1006),$AB$1006:$AQ$1006,0))&gt;=100000), " ",IF(INDEX($AB$2:$AQ$1001,MATCH(ROWS($U$2:U120),$U$2:$U$1001,0),MATCH(COLUMNS($AB$1006:AP1006),$AB$1006:$AQ$1006,0)), HYPERLINK("#",""), HYPERLINK(CONCATENATE("#Metadata!", ADDRESS(INDEX($W$2:$W$1001,MATCH(ROWS($U$2:U120),$U$2:$U$1001,0),0), INDEX($AB$1004:$AQ$1004,1,MATCH(COLUMNS($AB$1006:AP1006),$AB$1006:$AQ$1006,0)))),"Fix")))</f>
        <v>0</v>
      </c>
      <c r="Q120" s="5">
        <f>IF(OR(INDEX($V$2:$V$1001,MATCH(ROWS($U$2:U120),$U$2:$U$1001,0),1)&gt;=100000,INDEX($AB$1005:$AQ$1005,1,MATCH(COLUMNS($AB$1006:AQ1006),$AB$1006:$AQ$1006,0))&gt;=100000), " ",IF(INDEX($AB$2:$AQ$1001,MATCH(ROWS($U$2:U120),$U$2:$U$1001,0),MATCH(COLUMNS($AB$1006:AQ1006),$AB$1006:$AQ$1006,0)), HYPERLINK("#",""), HYPERLINK(CONCATENATE("#Metadata!", ADDRESS(INDEX($W$2:$W$1001,MATCH(ROWS($U$2:U120),$U$2:$U$1001,0),0), INDEX($AB$1004:$AQ$1004,1,MATCH(COLUMNS($AB$1006:AQ1006),$AB$1006:$AQ$1006,0)))),"Fix")))</f>
        <v>0</v>
      </c>
      <c r="U120">
        <v>0</v>
      </c>
      <c r="V120">
        <v>0</v>
      </c>
      <c r="W120">
        <v>0</v>
      </c>
      <c r="X120">
        <f>IF(Y120,TRUE,AND(AB120:AQ120))</f>
        <v>0</v>
      </c>
      <c r="Y120">
        <f>COUNTBLANK(Metadata!B120:Q120)=COLUMNS(Metadata!B120:Q120)</f>
        <v>0</v>
      </c>
      <c r="Z120">
        <v>0</v>
      </c>
      <c r="AB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AC120">
        <f>AND(IF(Metadata!C120="",FALSE,TRUE),exact(Metadata!C120,"urban biome"))</f>
        <v>0</v>
      </c>
      <c r="AD120">
        <f>AND(IF(Metadata!D120="",FALSE,TRUE),exact(Metadata!D120,"human-associated habitat"))</f>
        <v>0</v>
      </c>
      <c r="AE120">
        <f>AND(IF(Metadata!E120="",FALSE,TRUE),OR(exact(Metadata!E120,"human-associated"),exact(Metadata!E120,"human-skin"),exact(Metadata!E120,"human-oral"),exact(Metadata!E120,"human-gut"),exact(Metadata!E120,"human-vaginal")))</f>
        <v>0</v>
      </c>
      <c r="AF120">
        <f>AND(IF(Metadata!F120="",FALSE,ISNUMBER(VALUE(Metadata!F120))),Metadata!F120&gt;0)</f>
        <v>0</v>
      </c>
      <c r="AG120">
        <f>AND(IF(Metadata!G120="",FALSE,TRUE),exact(Metadata!G120,"years"))</f>
        <v>0</v>
      </c>
      <c r="AH120">
        <f>OR(AND(IF(Metadata!H120="",FALSE,TRUE),OR(exact(Metadata!H120,"not applicable"),exact(Metadata!H120,"not collected"),exact(Metadata!H120,"not provided"),exact(Metadata!H120,"restricted access"))),AND(IF(Metadata!H120="",FALSE,ISNUMBER(VALUE(Metadata!H120))),Metadata!H120&gt;0))</f>
        <v>0</v>
      </c>
      <c r="AI120">
        <f>AND(IF(Metadata!I120="",FALSE,TRUE),exact(Metadata!I120,"human"))</f>
        <v>0</v>
      </c>
      <c r="AJ120">
        <f>AND(IF(Metadata!J120="",FALSE,ISNUMBER(VALUE(Metadata!J120))),Metadata!J120&gt;0)</f>
        <v>0</v>
      </c>
      <c r="AK120">
        <f>AND(IF(Metadata!K120="",FALSE,TRUE),exact(Metadata!K120,"cm"))</f>
        <v>0</v>
      </c>
      <c r="AL120">
        <f>AND(IF(Metadata!L120="",FALSE,TRUE),exact(Metadata!L120,"Homo sapiens"))</f>
        <v>0</v>
      </c>
      <c r="AM120">
        <f>AND(IF(Metadata!M120="",FALSE,TRUE),exact(Metadata!M120,"9606"))</f>
        <v>0</v>
      </c>
      <c r="AN120">
        <f>AND(IF(Metadata!N120="",FALSE,ISNUMBER(VALUE(Metadata!N120))),Metadata!N120&gt;0)</f>
        <v>0</v>
      </c>
      <c r="AO120">
        <f>AND(IF(Metadata!O120="",FALSE,TRUE),exact(Metadata!O120,"kg"))</f>
        <v>0</v>
      </c>
      <c r="AP120">
        <f>OR(AND(IF(Metadata!P120="",FALSE,TRUE),exact(Metadata!P120,"not provided")),IF(Metadata!P120="",FALSE,TRUE))</f>
        <v>0</v>
      </c>
      <c r="AQ120">
        <f>OR(AND(IF(Metadata!Q120="",FALSE,TRUE),exact(Metadata!Q120,"not provided")),IF(Metadata!Q120="",FALSE,TRUE))</f>
        <v>0</v>
      </c>
    </row>
    <row r="121" spans="1:43">
      <c r="A121" s="4">
        <f>IF(B121=" "," ",HYPERLINK(CONCATENATE("#metadata!",ADDRESS(INDEX($W$2:$W$1001,MATCH(ROWS($U$2:U121),$U$2:$U$1001,0),0),2)),INDEX($Z$2:$Z$1001,MATCH(ROWS($U$2:U121),$U$2:$U$1001,0),0)))</f>
        <v>0</v>
      </c>
      <c r="B121" s="5">
        <f>IF(OR(INDEX($V$2:$V$1001,MATCH(ROWS($U$2:U121),$U$2:$U$1001,0),1)&gt;=100000,INDEX($AB$1005:$AQ$1005,1,MATCH(COLUMNS($AB$1006:AB1006),$AB$1006:$AQ$1006,0))&gt;=100000), " ",IF(INDEX($AB$2:$AQ$1001,MATCH(ROWS($U$2:U121),$U$2:$U$1001,0),MATCH(COLUMNS($AB$1006:AB1006),$AB$1006:$AQ$1006,0)), HYPERLINK("#",""), HYPERLINK(CONCATENATE("#Metadata!", ADDRESS(INDEX($W$2:$W$1001,MATCH(ROWS($U$2:U121),$U$2:$U$1001,0),0), INDEX($AB$1004:$AQ$1004,1,MATCH(COLUMNS($AB$1006:AB1006),$AB$1006:$AQ$1006,0)))),"Fix")))</f>
        <v>0</v>
      </c>
      <c r="C121" s="5">
        <f>IF(OR(INDEX($V$2:$V$1001,MATCH(ROWS($U$2:U121),$U$2:$U$1001,0),1)&gt;=100000,INDEX($AB$1005:$AQ$1005,1,MATCH(COLUMNS($AB$1006:AC1006),$AB$1006:$AQ$1006,0))&gt;=100000), " ",IF(INDEX($AB$2:$AQ$1001,MATCH(ROWS($U$2:U121),$U$2:$U$1001,0),MATCH(COLUMNS($AB$1006:AC1006),$AB$1006:$AQ$1006,0)), HYPERLINK("#",""), HYPERLINK(CONCATENATE("#Metadata!", ADDRESS(INDEX($W$2:$W$1001,MATCH(ROWS($U$2:U121),$U$2:$U$1001,0),0), INDEX($AB$1004:$AQ$1004,1,MATCH(COLUMNS($AB$1006:AC1006),$AB$1006:$AQ$1006,0)))),"Fix")))</f>
        <v>0</v>
      </c>
      <c r="D121" s="5">
        <f>IF(OR(INDEX($V$2:$V$1001,MATCH(ROWS($U$2:U121),$U$2:$U$1001,0),1)&gt;=100000,INDEX($AB$1005:$AQ$1005,1,MATCH(COLUMNS($AB$1006:AD1006),$AB$1006:$AQ$1006,0))&gt;=100000), " ",IF(INDEX($AB$2:$AQ$1001,MATCH(ROWS($U$2:U121),$U$2:$U$1001,0),MATCH(COLUMNS($AB$1006:AD1006),$AB$1006:$AQ$1006,0)), HYPERLINK("#",""), HYPERLINK(CONCATENATE("#Metadata!", ADDRESS(INDEX($W$2:$W$1001,MATCH(ROWS($U$2:U121),$U$2:$U$1001,0),0), INDEX($AB$1004:$AQ$1004,1,MATCH(COLUMNS($AB$1006:AD1006),$AB$1006:$AQ$1006,0)))),"Fix")))</f>
        <v>0</v>
      </c>
      <c r="E121" s="5">
        <f>IF(OR(INDEX($V$2:$V$1001,MATCH(ROWS($U$2:U121),$U$2:$U$1001,0),1)&gt;=100000,INDEX($AB$1005:$AQ$1005,1,MATCH(COLUMNS($AB$1006:AE1006),$AB$1006:$AQ$1006,0))&gt;=100000), " ",IF(INDEX($AB$2:$AQ$1001,MATCH(ROWS($U$2:U121),$U$2:$U$1001,0),MATCH(COLUMNS($AB$1006:AE1006),$AB$1006:$AQ$1006,0)), HYPERLINK("#",""), HYPERLINK(CONCATENATE("#Metadata!", ADDRESS(INDEX($W$2:$W$1001,MATCH(ROWS($U$2:U121),$U$2:$U$1001,0),0), INDEX($AB$1004:$AQ$1004,1,MATCH(COLUMNS($AB$1006:AE1006),$AB$1006:$AQ$1006,0)))),"Fix")))</f>
        <v>0</v>
      </c>
      <c r="F121" s="5">
        <f>IF(OR(INDEX($V$2:$V$1001,MATCH(ROWS($U$2:U121),$U$2:$U$1001,0),1)&gt;=100000,INDEX($AB$1005:$AQ$1005,1,MATCH(COLUMNS($AB$1006:AF1006),$AB$1006:$AQ$1006,0))&gt;=100000), " ",IF(INDEX($AB$2:$AQ$1001,MATCH(ROWS($U$2:U121),$U$2:$U$1001,0),MATCH(COLUMNS($AB$1006:AF1006),$AB$1006:$AQ$1006,0)), HYPERLINK("#",""), HYPERLINK(CONCATENATE("#Metadata!", ADDRESS(INDEX($W$2:$W$1001,MATCH(ROWS($U$2:U121),$U$2:$U$1001,0),0), INDEX($AB$1004:$AQ$1004,1,MATCH(COLUMNS($AB$1006:AF1006),$AB$1006:$AQ$1006,0)))),"Fix")))</f>
        <v>0</v>
      </c>
      <c r="G121" s="5">
        <f>IF(OR(INDEX($V$2:$V$1001,MATCH(ROWS($U$2:U121),$U$2:$U$1001,0),1)&gt;=100000,INDEX($AB$1005:$AQ$1005,1,MATCH(COLUMNS($AB$1006:AG1006),$AB$1006:$AQ$1006,0))&gt;=100000), " ",IF(INDEX($AB$2:$AQ$1001,MATCH(ROWS($U$2:U121),$U$2:$U$1001,0),MATCH(COLUMNS($AB$1006:AG1006),$AB$1006:$AQ$1006,0)), HYPERLINK("#",""), HYPERLINK(CONCATENATE("#Metadata!", ADDRESS(INDEX($W$2:$W$1001,MATCH(ROWS($U$2:U121),$U$2:$U$1001,0),0), INDEX($AB$1004:$AQ$1004,1,MATCH(COLUMNS($AB$1006:AG1006),$AB$1006:$AQ$1006,0)))),"Fix")))</f>
        <v>0</v>
      </c>
      <c r="H121" s="5">
        <f>IF(OR(INDEX($V$2:$V$1001,MATCH(ROWS($U$2:U121),$U$2:$U$1001,0),1)&gt;=100000,INDEX($AB$1005:$AQ$1005,1,MATCH(COLUMNS($AB$1006:AH1006),$AB$1006:$AQ$1006,0))&gt;=100000), " ",IF(INDEX($AB$2:$AQ$1001,MATCH(ROWS($U$2:U121),$U$2:$U$1001,0),MATCH(COLUMNS($AB$1006:AH1006),$AB$1006:$AQ$1006,0)), HYPERLINK("#",""), HYPERLINK(CONCATENATE("#Metadata!", ADDRESS(INDEX($W$2:$W$1001,MATCH(ROWS($U$2:U121),$U$2:$U$1001,0),0), INDEX($AB$1004:$AQ$1004,1,MATCH(COLUMNS($AB$1006:AH1006),$AB$1006:$AQ$1006,0)))),"Fix")))</f>
        <v>0</v>
      </c>
      <c r="I121" s="5">
        <f>IF(OR(INDEX($V$2:$V$1001,MATCH(ROWS($U$2:U121),$U$2:$U$1001,0),1)&gt;=100000,INDEX($AB$1005:$AQ$1005,1,MATCH(COLUMNS($AB$1006:AI1006),$AB$1006:$AQ$1006,0))&gt;=100000), " ",IF(INDEX($AB$2:$AQ$1001,MATCH(ROWS($U$2:U121),$U$2:$U$1001,0),MATCH(COLUMNS($AB$1006:AI1006),$AB$1006:$AQ$1006,0)), HYPERLINK("#",""), HYPERLINK(CONCATENATE("#Metadata!", ADDRESS(INDEX($W$2:$W$1001,MATCH(ROWS($U$2:U121),$U$2:$U$1001,0),0), INDEX($AB$1004:$AQ$1004,1,MATCH(COLUMNS($AB$1006:AI1006),$AB$1006:$AQ$1006,0)))),"Fix")))</f>
        <v>0</v>
      </c>
      <c r="J121" s="5">
        <f>IF(OR(INDEX($V$2:$V$1001,MATCH(ROWS($U$2:U121),$U$2:$U$1001,0),1)&gt;=100000,INDEX($AB$1005:$AQ$1005,1,MATCH(COLUMNS($AB$1006:AJ1006),$AB$1006:$AQ$1006,0))&gt;=100000), " ",IF(INDEX($AB$2:$AQ$1001,MATCH(ROWS($U$2:U121),$U$2:$U$1001,0),MATCH(COLUMNS($AB$1006:AJ1006),$AB$1006:$AQ$1006,0)), HYPERLINK("#",""), HYPERLINK(CONCATENATE("#Metadata!", ADDRESS(INDEX($W$2:$W$1001,MATCH(ROWS($U$2:U121),$U$2:$U$1001,0),0), INDEX($AB$1004:$AQ$1004,1,MATCH(COLUMNS($AB$1006:AJ1006),$AB$1006:$AQ$1006,0)))),"Fix")))</f>
        <v>0</v>
      </c>
      <c r="K121" s="5">
        <f>IF(OR(INDEX($V$2:$V$1001,MATCH(ROWS($U$2:U121),$U$2:$U$1001,0),1)&gt;=100000,INDEX($AB$1005:$AQ$1005,1,MATCH(COLUMNS($AB$1006:AK1006),$AB$1006:$AQ$1006,0))&gt;=100000), " ",IF(INDEX($AB$2:$AQ$1001,MATCH(ROWS($U$2:U121),$U$2:$U$1001,0),MATCH(COLUMNS($AB$1006:AK1006),$AB$1006:$AQ$1006,0)), HYPERLINK("#",""), HYPERLINK(CONCATENATE("#Metadata!", ADDRESS(INDEX($W$2:$W$1001,MATCH(ROWS($U$2:U121),$U$2:$U$1001,0),0), INDEX($AB$1004:$AQ$1004,1,MATCH(COLUMNS($AB$1006:AK1006),$AB$1006:$AQ$1006,0)))),"Fix")))</f>
        <v>0</v>
      </c>
      <c r="L121" s="5">
        <f>IF(OR(INDEX($V$2:$V$1001,MATCH(ROWS($U$2:U121),$U$2:$U$1001,0),1)&gt;=100000,INDEX($AB$1005:$AQ$1005,1,MATCH(COLUMNS($AB$1006:AL1006),$AB$1006:$AQ$1006,0))&gt;=100000), " ",IF(INDEX($AB$2:$AQ$1001,MATCH(ROWS($U$2:U121),$U$2:$U$1001,0),MATCH(COLUMNS($AB$1006:AL1006),$AB$1006:$AQ$1006,0)), HYPERLINK("#",""), HYPERLINK(CONCATENATE("#Metadata!", ADDRESS(INDEX($W$2:$W$1001,MATCH(ROWS($U$2:U121),$U$2:$U$1001,0),0), INDEX($AB$1004:$AQ$1004,1,MATCH(COLUMNS($AB$1006:AL1006),$AB$1006:$AQ$1006,0)))),"Fix")))</f>
        <v>0</v>
      </c>
      <c r="M121" s="5">
        <f>IF(OR(INDEX($V$2:$V$1001,MATCH(ROWS($U$2:U121),$U$2:$U$1001,0),1)&gt;=100000,INDEX($AB$1005:$AQ$1005,1,MATCH(COLUMNS($AB$1006:AM1006),$AB$1006:$AQ$1006,0))&gt;=100000), " ",IF(INDEX($AB$2:$AQ$1001,MATCH(ROWS($U$2:U121),$U$2:$U$1001,0),MATCH(COLUMNS($AB$1006:AM1006),$AB$1006:$AQ$1006,0)), HYPERLINK("#",""), HYPERLINK(CONCATENATE("#Metadata!", ADDRESS(INDEX($W$2:$W$1001,MATCH(ROWS($U$2:U121),$U$2:$U$1001,0),0), INDEX($AB$1004:$AQ$1004,1,MATCH(COLUMNS($AB$1006:AM1006),$AB$1006:$AQ$1006,0)))),"Fix")))</f>
        <v>0</v>
      </c>
      <c r="N121" s="5">
        <f>IF(OR(INDEX($V$2:$V$1001,MATCH(ROWS($U$2:U121),$U$2:$U$1001,0),1)&gt;=100000,INDEX($AB$1005:$AQ$1005,1,MATCH(COLUMNS($AB$1006:AN1006),$AB$1006:$AQ$1006,0))&gt;=100000), " ",IF(INDEX($AB$2:$AQ$1001,MATCH(ROWS($U$2:U121),$U$2:$U$1001,0),MATCH(COLUMNS($AB$1006:AN1006),$AB$1006:$AQ$1006,0)), HYPERLINK("#",""), HYPERLINK(CONCATENATE("#Metadata!", ADDRESS(INDEX($W$2:$W$1001,MATCH(ROWS($U$2:U121),$U$2:$U$1001,0),0), INDEX($AB$1004:$AQ$1004,1,MATCH(COLUMNS($AB$1006:AN1006),$AB$1006:$AQ$1006,0)))),"Fix")))</f>
        <v>0</v>
      </c>
      <c r="O121" s="5">
        <f>IF(OR(INDEX($V$2:$V$1001,MATCH(ROWS($U$2:U121),$U$2:$U$1001,0),1)&gt;=100000,INDEX($AB$1005:$AQ$1005,1,MATCH(COLUMNS($AB$1006:AO1006),$AB$1006:$AQ$1006,0))&gt;=100000), " ",IF(INDEX($AB$2:$AQ$1001,MATCH(ROWS($U$2:U121),$U$2:$U$1001,0),MATCH(COLUMNS($AB$1006:AO1006),$AB$1006:$AQ$1006,0)), HYPERLINK("#",""), HYPERLINK(CONCATENATE("#Metadata!", ADDRESS(INDEX($W$2:$W$1001,MATCH(ROWS($U$2:U121),$U$2:$U$1001,0),0), INDEX($AB$1004:$AQ$1004,1,MATCH(COLUMNS($AB$1006:AO1006),$AB$1006:$AQ$1006,0)))),"Fix")))</f>
        <v>0</v>
      </c>
      <c r="P121" s="5">
        <f>IF(OR(INDEX($V$2:$V$1001,MATCH(ROWS($U$2:U121),$U$2:$U$1001,0),1)&gt;=100000,INDEX($AB$1005:$AQ$1005,1,MATCH(COLUMNS($AB$1006:AP1006),$AB$1006:$AQ$1006,0))&gt;=100000), " ",IF(INDEX($AB$2:$AQ$1001,MATCH(ROWS($U$2:U121),$U$2:$U$1001,0),MATCH(COLUMNS($AB$1006:AP1006),$AB$1006:$AQ$1006,0)), HYPERLINK("#",""), HYPERLINK(CONCATENATE("#Metadata!", ADDRESS(INDEX($W$2:$W$1001,MATCH(ROWS($U$2:U121),$U$2:$U$1001,0),0), INDEX($AB$1004:$AQ$1004,1,MATCH(COLUMNS($AB$1006:AP1006),$AB$1006:$AQ$1006,0)))),"Fix")))</f>
        <v>0</v>
      </c>
      <c r="Q121" s="5">
        <f>IF(OR(INDEX($V$2:$V$1001,MATCH(ROWS($U$2:U121),$U$2:$U$1001,0),1)&gt;=100000,INDEX($AB$1005:$AQ$1005,1,MATCH(COLUMNS($AB$1006:AQ1006),$AB$1006:$AQ$1006,0))&gt;=100000), " ",IF(INDEX($AB$2:$AQ$1001,MATCH(ROWS($U$2:U121),$U$2:$U$1001,0),MATCH(COLUMNS($AB$1006:AQ1006),$AB$1006:$AQ$1006,0)), HYPERLINK("#",""), HYPERLINK(CONCATENATE("#Metadata!", ADDRESS(INDEX($W$2:$W$1001,MATCH(ROWS($U$2:U121),$U$2:$U$1001,0),0), INDEX($AB$1004:$AQ$1004,1,MATCH(COLUMNS($AB$1006:AQ1006),$AB$1006:$AQ$1006,0)))),"Fix")))</f>
        <v>0</v>
      </c>
      <c r="U121">
        <v>0</v>
      </c>
      <c r="V121">
        <v>0</v>
      </c>
      <c r="W121">
        <v>0</v>
      </c>
      <c r="X121">
        <f>IF(Y121,TRUE,AND(AB121:AQ121))</f>
        <v>0</v>
      </c>
      <c r="Y121">
        <f>COUNTBLANK(Metadata!B121:Q121)=COLUMNS(Metadata!B121:Q121)</f>
        <v>0</v>
      </c>
      <c r="Z121">
        <v>0</v>
      </c>
      <c r="AB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AC121">
        <f>AND(IF(Metadata!C121="",FALSE,TRUE),exact(Metadata!C121,"urban biome"))</f>
        <v>0</v>
      </c>
      <c r="AD121">
        <f>AND(IF(Metadata!D121="",FALSE,TRUE),exact(Metadata!D121,"human-associated habitat"))</f>
        <v>0</v>
      </c>
      <c r="AE121">
        <f>AND(IF(Metadata!E121="",FALSE,TRUE),OR(exact(Metadata!E121,"human-associated"),exact(Metadata!E121,"human-skin"),exact(Metadata!E121,"human-oral"),exact(Metadata!E121,"human-gut"),exact(Metadata!E121,"human-vaginal")))</f>
        <v>0</v>
      </c>
      <c r="AF121">
        <f>AND(IF(Metadata!F121="",FALSE,ISNUMBER(VALUE(Metadata!F121))),Metadata!F121&gt;0)</f>
        <v>0</v>
      </c>
      <c r="AG121">
        <f>AND(IF(Metadata!G121="",FALSE,TRUE),exact(Metadata!G121,"years"))</f>
        <v>0</v>
      </c>
      <c r="AH121">
        <f>OR(AND(IF(Metadata!H121="",FALSE,TRUE),OR(exact(Metadata!H121,"not applicable"),exact(Metadata!H121,"not collected"),exact(Metadata!H121,"not provided"),exact(Metadata!H121,"restricted access"))),AND(IF(Metadata!H121="",FALSE,ISNUMBER(VALUE(Metadata!H121))),Metadata!H121&gt;0))</f>
        <v>0</v>
      </c>
      <c r="AI121">
        <f>AND(IF(Metadata!I121="",FALSE,TRUE),exact(Metadata!I121,"human"))</f>
        <v>0</v>
      </c>
      <c r="AJ121">
        <f>AND(IF(Metadata!J121="",FALSE,ISNUMBER(VALUE(Metadata!J121))),Metadata!J121&gt;0)</f>
        <v>0</v>
      </c>
      <c r="AK121">
        <f>AND(IF(Metadata!K121="",FALSE,TRUE),exact(Metadata!K121,"cm"))</f>
        <v>0</v>
      </c>
      <c r="AL121">
        <f>AND(IF(Metadata!L121="",FALSE,TRUE),exact(Metadata!L121,"Homo sapiens"))</f>
        <v>0</v>
      </c>
      <c r="AM121">
        <f>AND(IF(Metadata!M121="",FALSE,TRUE),exact(Metadata!M121,"9606"))</f>
        <v>0</v>
      </c>
      <c r="AN121">
        <f>AND(IF(Metadata!N121="",FALSE,ISNUMBER(VALUE(Metadata!N121))),Metadata!N121&gt;0)</f>
        <v>0</v>
      </c>
      <c r="AO121">
        <f>AND(IF(Metadata!O121="",FALSE,TRUE),exact(Metadata!O121,"kg"))</f>
        <v>0</v>
      </c>
      <c r="AP121">
        <f>OR(AND(IF(Metadata!P121="",FALSE,TRUE),exact(Metadata!P121,"not provided")),IF(Metadata!P121="",FALSE,TRUE))</f>
        <v>0</v>
      </c>
      <c r="AQ121">
        <f>OR(AND(IF(Metadata!Q121="",FALSE,TRUE),exact(Metadata!Q121,"not provided")),IF(Metadata!Q121="",FALSE,TRUE))</f>
        <v>0</v>
      </c>
    </row>
    <row r="122" spans="1:43">
      <c r="A122" s="4">
        <f>IF(B122=" "," ",HYPERLINK(CONCATENATE("#metadata!",ADDRESS(INDEX($W$2:$W$1001,MATCH(ROWS($U$2:U122),$U$2:$U$1001,0),0),2)),INDEX($Z$2:$Z$1001,MATCH(ROWS($U$2:U122),$U$2:$U$1001,0),0)))</f>
        <v>0</v>
      </c>
      <c r="B122" s="5">
        <f>IF(OR(INDEX($V$2:$V$1001,MATCH(ROWS($U$2:U122),$U$2:$U$1001,0),1)&gt;=100000,INDEX($AB$1005:$AQ$1005,1,MATCH(COLUMNS($AB$1006:AB1006),$AB$1006:$AQ$1006,0))&gt;=100000), " ",IF(INDEX($AB$2:$AQ$1001,MATCH(ROWS($U$2:U122),$U$2:$U$1001,0),MATCH(COLUMNS($AB$1006:AB1006),$AB$1006:$AQ$1006,0)), HYPERLINK("#",""), HYPERLINK(CONCATENATE("#Metadata!", ADDRESS(INDEX($W$2:$W$1001,MATCH(ROWS($U$2:U122),$U$2:$U$1001,0),0), INDEX($AB$1004:$AQ$1004,1,MATCH(COLUMNS($AB$1006:AB1006),$AB$1006:$AQ$1006,0)))),"Fix")))</f>
        <v>0</v>
      </c>
      <c r="C122" s="5">
        <f>IF(OR(INDEX($V$2:$V$1001,MATCH(ROWS($U$2:U122),$U$2:$U$1001,0),1)&gt;=100000,INDEX($AB$1005:$AQ$1005,1,MATCH(COLUMNS($AB$1006:AC1006),$AB$1006:$AQ$1006,0))&gt;=100000), " ",IF(INDEX($AB$2:$AQ$1001,MATCH(ROWS($U$2:U122),$U$2:$U$1001,0),MATCH(COLUMNS($AB$1006:AC1006),$AB$1006:$AQ$1006,0)), HYPERLINK("#",""), HYPERLINK(CONCATENATE("#Metadata!", ADDRESS(INDEX($W$2:$W$1001,MATCH(ROWS($U$2:U122),$U$2:$U$1001,0),0), INDEX($AB$1004:$AQ$1004,1,MATCH(COLUMNS($AB$1006:AC1006),$AB$1006:$AQ$1006,0)))),"Fix")))</f>
        <v>0</v>
      </c>
      <c r="D122" s="5">
        <f>IF(OR(INDEX($V$2:$V$1001,MATCH(ROWS($U$2:U122),$U$2:$U$1001,0),1)&gt;=100000,INDEX($AB$1005:$AQ$1005,1,MATCH(COLUMNS($AB$1006:AD1006),$AB$1006:$AQ$1006,0))&gt;=100000), " ",IF(INDEX($AB$2:$AQ$1001,MATCH(ROWS($U$2:U122),$U$2:$U$1001,0),MATCH(COLUMNS($AB$1006:AD1006),$AB$1006:$AQ$1006,0)), HYPERLINK("#",""), HYPERLINK(CONCATENATE("#Metadata!", ADDRESS(INDEX($W$2:$W$1001,MATCH(ROWS($U$2:U122),$U$2:$U$1001,0),0), INDEX($AB$1004:$AQ$1004,1,MATCH(COLUMNS($AB$1006:AD1006),$AB$1006:$AQ$1006,0)))),"Fix")))</f>
        <v>0</v>
      </c>
      <c r="E122" s="5">
        <f>IF(OR(INDEX($V$2:$V$1001,MATCH(ROWS($U$2:U122),$U$2:$U$1001,0),1)&gt;=100000,INDEX($AB$1005:$AQ$1005,1,MATCH(COLUMNS($AB$1006:AE1006),$AB$1006:$AQ$1006,0))&gt;=100000), " ",IF(INDEX($AB$2:$AQ$1001,MATCH(ROWS($U$2:U122),$U$2:$U$1001,0),MATCH(COLUMNS($AB$1006:AE1006),$AB$1006:$AQ$1006,0)), HYPERLINK("#",""), HYPERLINK(CONCATENATE("#Metadata!", ADDRESS(INDEX($W$2:$W$1001,MATCH(ROWS($U$2:U122),$U$2:$U$1001,0),0), INDEX($AB$1004:$AQ$1004,1,MATCH(COLUMNS($AB$1006:AE1006),$AB$1006:$AQ$1006,0)))),"Fix")))</f>
        <v>0</v>
      </c>
      <c r="F122" s="5">
        <f>IF(OR(INDEX($V$2:$V$1001,MATCH(ROWS($U$2:U122),$U$2:$U$1001,0),1)&gt;=100000,INDEX($AB$1005:$AQ$1005,1,MATCH(COLUMNS($AB$1006:AF1006),$AB$1006:$AQ$1006,0))&gt;=100000), " ",IF(INDEX($AB$2:$AQ$1001,MATCH(ROWS($U$2:U122),$U$2:$U$1001,0),MATCH(COLUMNS($AB$1006:AF1006),$AB$1006:$AQ$1006,0)), HYPERLINK("#",""), HYPERLINK(CONCATENATE("#Metadata!", ADDRESS(INDEX($W$2:$W$1001,MATCH(ROWS($U$2:U122),$U$2:$U$1001,0),0), INDEX($AB$1004:$AQ$1004,1,MATCH(COLUMNS($AB$1006:AF1006),$AB$1006:$AQ$1006,0)))),"Fix")))</f>
        <v>0</v>
      </c>
      <c r="G122" s="5">
        <f>IF(OR(INDEX($V$2:$V$1001,MATCH(ROWS($U$2:U122),$U$2:$U$1001,0),1)&gt;=100000,INDEX($AB$1005:$AQ$1005,1,MATCH(COLUMNS($AB$1006:AG1006),$AB$1006:$AQ$1006,0))&gt;=100000), " ",IF(INDEX($AB$2:$AQ$1001,MATCH(ROWS($U$2:U122),$U$2:$U$1001,0),MATCH(COLUMNS($AB$1006:AG1006),$AB$1006:$AQ$1006,0)), HYPERLINK("#",""), HYPERLINK(CONCATENATE("#Metadata!", ADDRESS(INDEX($W$2:$W$1001,MATCH(ROWS($U$2:U122),$U$2:$U$1001,0),0), INDEX($AB$1004:$AQ$1004,1,MATCH(COLUMNS($AB$1006:AG1006),$AB$1006:$AQ$1006,0)))),"Fix")))</f>
        <v>0</v>
      </c>
      <c r="H122" s="5">
        <f>IF(OR(INDEX($V$2:$V$1001,MATCH(ROWS($U$2:U122),$U$2:$U$1001,0),1)&gt;=100000,INDEX($AB$1005:$AQ$1005,1,MATCH(COLUMNS($AB$1006:AH1006),$AB$1006:$AQ$1006,0))&gt;=100000), " ",IF(INDEX($AB$2:$AQ$1001,MATCH(ROWS($U$2:U122),$U$2:$U$1001,0),MATCH(COLUMNS($AB$1006:AH1006),$AB$1006:$AQ$1006,0)), HYPERLINK("#",""), HYPERLINK(CONCATENATE("#Metadata!", ADDRESS(INDEX($W$2:$W$1001,MATCH(ROWS($U$2:U122),$U$2:$U$1001,0),0), INDEX($AB$1004:$AQ$1004,1,MATCH(COLUMNS($AB$1006:AH1006),$AB$1006:$AQ$1006,0)))),"Fix")))</f>
        <v>0</v>
      </c>
      <c r="I122" s="5">
        <f>IF(OR(INDEX($V$2:$V$1001,MATCH(ROWS($U$2:U122),$U$2:$U$1001,0),1)&gt;=100000,INDEX($AB$1005:$AQ$1005,1,MATCH(COLUMNS($AB$1006:AI1006),$AB$1006:$AQ$1006,0))&gt;=100000), " ",IF(INDEX($AB$2:$AQ$1001,MATCH(ROWS($U$2:U122),$U$2:$U$1001,0),MATCH(COLUMNS($AB$1006:AI1006),$AB$1006:$AQ$1006,0)), HYPERLINK("#",""), HYPERLINK(CONCATENATE("#Metadata!", ADDRESS(INDEX($W$2:$W$1001,MATCH(ROWS($U$2:U122),$U$2:$U$1001,0),0), INDEX($AB$1004:$AQ$1004,1,MATCH(COLUMNS($AB$1006:AI1006),$AB$1006:$AQ$1006,0)))),"Fix")))</f>
        <v>0</v>
      </c>
      <c r="J122" s="5">
        <f>IF(OR(INDEX($V$2:$V$1001,MATCH(ROWS($U$2:U122),$U$2:$U$1001,0),1)&gt;=100000,INDEX($AB$1005:$AQ$1005,1,MATCH(COLUMNS($AB$1006:AJ1006),$AB$1006:$AQ$1006,0))&gt;=100000), " ",IF(INDEX($AB$2:$AQ$1001,MATCH(ROWS($U$2:U122),$U$2:$U$1001,0),MATCH(COLUMNS($AB$1006:AJ1006),$AB$1006:$AQ$1006,0)), HYPERLINK("#",""), HYPERLINK(CONCATENATE("#Metadata!", ADDRESS(INDEX($W$2:$W$1001,MATCH(ROWS($U$2:U122),$U$2:$U$1001,0),0), INDEX($AB$1004:$AQ$1004,1,MATCH(COLUMNS($AB$1006:AJ1006),$AB$1006:$AQ$1006,0)))),"Fix")))</f>
        <v>0</v>
      </c>
      <c r="K122" s="5">
        <f>IF(OR(INDEX($V$2:$V$1001,MATCH(ROWS($U$2:U122),$U$2:$U$1001,0),1)&gt;=100000,INDEX($AB$1005:$AQ$1005,1,MATCH(COLUMNS($AB$1006:AK1006),$AB$1006:$AQ$1006,0))&gt;=100000), " ",IF(INDEX($AB$2:$AQ$1001,MATCH(ROWS($U$2:U122),$U$2:$U$1001,0),MATCH(COLUMNS($AB$1006:AK1006),$AB$1006:$AQ$1006,0)), HYPERLINK("#",""), HYPERLINK(CONCATENATE("#Metadata!", ADDRESS(INDEX($W$2:$W$1001,MATCH(ROWS($U$2:U122),$U$2:$U$1001,0),0), INDEX($AB$1004:$AQ$1004,1,MATCH(COLUMNS($AB$1006:AK1006),$AB$1006:$AQ$1006,0)))),"Fix")))</f>
        <v>0</v>
      </c>
      <c r="L122" s="5">
        <f>IF(OR(INDEX($V$2:$V$1001,MATCH(ROWS($U$2:U122),$U$2:$U$1001,0),1)&gt;=100000,INDEX($AB$1005:$AQ$1005,1,MATCH(COLUMNS($AB$1006:AL1006),$AB$1006:$AQ$1006,0))&gt;=100000), " ",IF(INDEX($AB$2:$AQ$1001,MATCH(ROWS($U$2:U122),$U$2:$U$1001,0),MATCH(COLUMNS($AB$1006:AL1006),$AB$1006:$AQ$1006,0)), HYPERLINK("#",""), HYPERLINK(CONCATENATE("#Metadata!", ADDRESS(INDEX($W$2:$W$1001,MATCH(ROWS($U$2:U122),$U$2:$U$1001,0),0), INDEX($AB$1004:$AQ$1004,1,MATCH(COLUMNS($AB$1006:AL1006),$AB$1006:$AQ$1006,0)))),"Fix")))</f>
        <v>0</v>
      </c>
      <c r="M122" s="5">
        <f>IF(OR(INDEX($V$2:$V$1001,MATCH(ROWS($U$2:U122),$U$2:$U$1001,0),1)&gt;=100000,INDEX($AB$1005:$AQ$1005,1,MATCH(COLUMNS($AB$1006:AM1006),$AB$1006:$AQ$1006,0))&gt;=100000), " ",IF(INDEX($AB$2:$AQ$1001,MATCH(ROWS($U$2:U122),$U$2:$U$1001,0),MATCH(COLUMNS($AB$1006:AM1006),$AB$1006:$AQ$1006,0)), HYPERLINK("#",""), HYPERLINK(CONCATENATE("#Metadata!", ADDRESS(INDEX($W$2:$W$1001,MATCH(ROWS($U$2:U122),$U$2:$U$1001,0),0), INDEX($AB$1004:$AQ$1004,1,MATCH(COLUMNS($AB$1006:AM1006),$AB$1006:$AQ$1006,0)))),"Fix")))</f>
        <v>0</v>
      </c>
      <c r="N122" s="5">
        <f>IF(OR(INDEX($V$2:$V$1001,MATCH(ROWS($U$2:U122),$U$2:$U$1001,0),1)&gt;=100000,INDEX($AB$1005:$AQ$1005,1,MATCH(COLUMNS($AB$1006:AN1006),$AB$1006:$AQ$1006,0))&gt;=100000), " ",IF(INDEX($AB$2:$AQ$1001,MATCH(ROWS($U$2:U122),$U$2:$U$1001,0),MATCH(COLUMNS($AB$1006:AN1006),$AB$1006:$AQ$1006,0)), HYPERLINK("#",""), HYPERLINK(CONCATENATE("#Metadata!", ADDRESS(INDEX($W$2:$W$1001,MATCH(ROWS($U$2:U122),$U$2:$U$1001,0),0), INDEX($AB$1004:$AQ$1004,1,MATCH(COLUMNS($AB$1006:AN1006),$AB$1006:$AQ$1006,0)))),"Fix")))</f>
        <v>0</v>
      </c>
      <c r="O122" s="5">
        <f>IF(OR(INDEX($V$2:$V$1001,MATCH(ROWS($U$2:U122),$U$2:$U$1001,0),1)&gt;=100000,INDEX($AB$1005:$AQ$1005,1,MATCH(COLUMNS($AB$1006:AO1006),$AB$1006:$AQ$1006,0))&gt;=100000), " ",IF(INDEX($AB$2:$AQ$1001,MATCH(ROWS($U$2:U122),$U$2:$U$1001,0),MATCH(COLUMNS($AB$1006:AO1006),$AB$1006:$AQ$1006,0)), HYPERLINK("#",""), HYPERLINK(CONCATENATE("#Metadata!", ADDRESS(INDEX($W$2:$W$1001,MATCH(ROWS($U$2:U122),$U$2:$U$1001,0),0), INDEX($AB$1004:$AQ$1004,1,MATCH(COLUMNS($AB$1006:AO1006),$AB$1006:$AQ$1006,0)))),"Fix")))</f>
        <v>0</v>
      </c>
      <c r="P122" s="5">
        <f>IF(OR(INDEX($V$2:$V$1001,MATCH(ROWS($U$2:U122),$U$2:$U$1001,0),1)&gt;=100000,INDEX($AB$1005:$AQ$1005,1,MATCH(COLUMNS($AB$1006:AP1006),$AB$1006:$AQ$1006,0))&gt;=100000), " ",IF(INDEX($AB$2:$AQ$1001,MATCH(ROWS($U$2:U122),$U$2:$U$1001,0),MATCH(COLUMNS($AB$1006:AP1006),$AB$1006:$AQ$1006,0)), HYPERLINK("#",""), HYPERLINK(CONCATENATE("#Metadata!", ADDRESS(INDEX($W$2:$W$1001,MATCH(ROWS($U$2:U122),$U$2:$U$1001,0),0), INDEX($AB$1004:$AQ$1004,1,MATCH(COLUMNS($AB$1006:AP1006),$AB$1006:$AQ$1006,0)))),"Fix")))</f>
        <v>0</v>
      </c>
      <c r="Q122" s="5">
        <f>IF(OR(INDEX($V$2:$V$1001,MATCH(ROWS($U$2:U122),$U$2:$U$1001,0),1)&gt;=100000,INDEX($AB$1005:$AQ$1005,1,MATCH(COLUMNS($AB$1006:AQ1006),$AB$1006:$AQ$1006,0))&gt;=100000), " ",IF(INDEX($AB$2:$AQ$1001,MATCH(ROWS($U$2:U122),$U$2:$U$1001,0),MATCH(COLUMNS($AB$1006:AQ1006),$AB$1006:$AQ$1006,0)), HYPERLINK("#",""), HYPERLINK(CONCATENATE("#Metadata!", ADDRESS(INDEX($W$2:$W$1001,MATCH(ROWS($U$2:U122),$U$2:$U$1001,0),0), INDEX($AB$1004:$AQ$1004,1,MATCH(COLUMNS($AB$1006:AQ1006),$AB$1006:$AQ$1006,0)))),"Fix")))</f>
        <v>0</v>
      </c>
      <c r="U122">
        <v>0</v>
      </c>
      <c r="V122">
        <v>0</v>
      </c>
      <c r="W122">
        <v>0</v>
      </c>
      <c r="X122">
        <f>IF(Y122,TRUE,AND(AB122:AQ122))</f>
        <v>0</v>
      </c>
      <c r="Y122">
        <f>COUNTBLANK(Metadata!B122:Q122)=COLUMNS(Metadata!B122:Q122)</f>
        <v>0</v>
      </c>
      <c r="Z122">
        <v>0</v>
      </c>
      <c r="AB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AC122">
        <f>AND(IF(Metadata!C122="",FALSE,TRUE),exact(Metadata!C122,"urban biome"))</f>
        <v>0</v>
      </c>
      <c r="AD122">
        <f>AND(IF(Metadata!D122="",FALSE,TRUE),exact(Metadata!D122,"human-associated habitat"))</f>
        <v>0</v>
      </c>
      <c r="AE122">
        <f>AND(IF(Metadata!E122="",FALSE,TRUE),OR(exact(Metadata!E122,"human-associated"),exact(Metadata!E122,"human-skin"),exact(Metadata!E122,"human-oral"),exact(Metadata!E122,"human-gut"),exact(Metadata!E122,"human-vaginal")))</f>
        <v>0</v>
      </c>
      <c r="AF122">
        <f>AND(IF(Metadata!F122="",FALSE,ISNUMBER(VALUE(Metadata!F122))),Metadata!F122&gt;0)</f>
        <v>0</v>
      </c>
      <c r="AG122">
        <f>AND(IF(Metadata!G122="",FALSE,TRUE),exact(Metadata!G122,"years"))</f>
        <v>0</v>
      </c>
      <c r="AH122">
        <f>OR(AND(IF(Metadata!H122="",FALSE,TRUE),OR(exact(Metadata!H122,"not applicable"),exact(Metadata!H122,"not collected"),exact(Metadata!H122,"not provided"),exact(Metadata!H122,"restricted access"))),AND(IF(Metadata!H122="",FALSE,ISNUMBER(VALUE(Metadata!H122))),Metadata!H122&gt;0))</f>
        <v>0</v>
      </c>
      <c r="AI122">
        <f>AND(IF(Metadata!I122="",FALSE,TRUE),exact(Metadata!I122,"human"))</f>
        <v>0</v>
      </c>
      <c r="AJ122">
        <f>AND(IF(Metadata!J122="",FALSE,ISNUMBER(VALUE(Metadata!J122))),Metadata!J122&gt;0)</f>
        <v>0</v>
      </c>
      <c r="AK122">
        <f>AND(IF(Metadata!K122="",FALSE,TRUE),exact(Metadata!K122,"cm"))</f>
        <v>0</v>
      </c>
      <c r="AL122">
        <f>AND(IF(Metadata!L122="",FALSE,TRUE),exact(Metadata!L122,"Homo sapiens"))</f>
        <v>0</v>
      </c>
      <c r="AM122">
        <f>AND(IF(Metadata!M122="",FALSE,TRUE),exact(Metadata!M122,"9606"))</f>
        <v>0</v>
      </c>
      <c r="AN122">
        <f>AND(IF(Metadata!N122="",FALSE,ISNUMBER(VALUE(Metadata!N122))),Metadata!N122&gt;0)</f>
        <v>0</v>
      </c>
      <c r="AO122">
        <f>AND(IF(Metadata!O122="",FALSE,TRUE),exact(Metadata!O122,"kg"))</f>
        <v>0</v>
      </c>
      <c r="AP122">
        <f>OR(AND(IF(Metadata!P122="",FALSE,TRUE),exact(Metadata!P122,"not provided")),IF(Metadata!P122="",FALSE,TRUE))</f>
        <v>0</v>
      </c>
      <c r="AQ122">
        <f>OR(AND(IF(Metadata!Q122="",FALSE,TRUE),exact(Metadata!Q122,"not provided")),IF(Metadata!Q122="",FALSE,TRUE))</f>
        <v>0</v>
      </c>
    </row>
    <row r="123" spans="1:43">
      <c r="A123" s="4">
        <f>IF(B123=" "," ",HYPERLINK(CONCATENATE("#metadata!",ADDRESS(INDEX($W$2:$W$1001,MATCH(ROWS($U$2:U123),$U$2:$U$1001,0),0),2)),INDEX($Z$2:$Z$1001,MATCH(ROWS($U$2:U123),$U$2:$U$1001,0),0)))</f>
        <v>0</v>
      </c>
      <c r="B123" s="5">
        <f>IF(OR(INDEX($V$2:$V$1001,MATCH(ROWS($U$2:U123),$U$2:$U$1001,0),1)&gt;=100000,INDEX($AB$1005:$AQ$1005,1,MATCH(COLUMNS($AB$1006:AB1006),$AB$1006:$AQ$1006,0))&gt;=100000), " ",IF(INDEX($AB$2:$AQ$1001,MATCH(ROWS($U$2:U123),$U$2:$U$1001,0),MATCH(COLUMNS($AB$1006:AB1006),$AB$1006:$AQ$1006,0)), HYPERLINK("#",""), HYPERLINK(CONCATENATE("#Metadata!", ADDRESS(INDEX($W$2:$W$1001,MATCH(ROWS($U$2:U123),$U$2:$U$1001,0),0), INDEX($AB$1004:$AQ$1004,1,MATCH(COLUMNS($AB$1006:AB1006),$AB$1006:$AQ$1006,0)))),"Fix")))</f>
        <v>0</v>
      </c>
      <c r="C123" s="5">
        <f>IF(OR(INDEX($V$2:$V$1001,MATCH(ROWS($U$2:U123),$U$2:$U$1001,0),1)&gt;=100000,INDEX($AB$1005:$AQ$1005,1,MATCH(COLUMNS($AB$1006:AC1006),$AB$1006:$AQ$1006,0))&gt;=100000), " ",IF(INDEX($AB$2:$AQ$1001,MATCH(ROWS($U$2:U123),$U$2:$U$1001,0),MATCH(COLUMNS($AB$1006:AC1006),$AB$1006:$AQ$1006,0)), HYPERLINK("#",""), HYPERLINK(CONCATENATE("#Metadata!", ADDRESS(INDEX($W$2:$W$1001,MATCH(ROWS($U$2:U123),$U$2:$U$1001,0),0), INDEX($AB$1004:$AQ$1004,1,MATCH(COLUMNS($AB$1006:AC1006),$AB$1006:$AQ$1006,0)))),"Fix")))</f>
        <v>0</v>
      </c>
      <c r="D123" s="5">
        <f>IF(OR(INDEX($V$2:$V$1001,MATCH(ROWS($U$2:U123),$U$2:$U$1001,0),1)&gt;=100000,INDEX($AB$1005:$AQ$1005,1,MATCH(COLUMNS($AB$1006:AD1006),$AB$1006:$AQ$1006,0))&gt;=100000), " ",IF(INDEX($AB$2:$AQ$1001,MATCH(ROWS($U$2:U123),$U$2:$U$1001,0),MATCH(COLUMNS($AB$1006:AD1006),$AB$1006:$AQ$1006,0)), HYPERLINK("#",""), HYPERLINK(CONCATENATE("#Metadata!", ADDRESS(INDEX($W$2:$W$1001,MATCH(ROWS($U$2:U123),$U$2:$U$1001,0),0), INDEX($AB$1004:$AQ$1004,1,MATCH(COLUMNS($AB$1006:AD1006),$AB$1006:$AQ$1006,0)))),"Fix")))</f>
        <v>0</v>
      </c>
      <c r="E123" s="5">
        <f>IF(OR(INDEX($V$2:$V$1001,MATCH(ROWS($U$2:U123),$U$2:$U$1001,0),1)&gt;=100000,INDEX($AB$1005:$AQ$1005,1,MATCH(COLUMNS($AB$1006:AE1006),$AB$1006:$AQ$1006,0))&gt;=100000), " ",IF(INDEX($AB$2:$AQ$1001,MATCH(ROWS($U$2:U123),$U$2:$U$1001,0),MATCH(COLUMNS($AB$1006:AE1006),$AB$1006:$AQ$1006,0)), HYPERLINK("#",""), HYPERLINK(CONCATENATE("#Metadata!", ADDRESS(INDEX($W$2:$W$1001,MATCH(ROWS($U$2:U123),$U$2:$U$1001,0),0), INDEX($AB$1004:$AQ$1004,1,MATCH(COLUMNS($AB$1006:AE1006),$AB$1006:$AQ$1006,0)))),"Fix")))</f>
        <v>0</v>
      </c>
      <c r="F123" s="5">
        <f>IF(OR(INDEX($V$2:$V$1001,MATCH(ROWS($U$2:U123),$U$2:$U$1001,0),1)&gt;=100000,INDEX($AB$1005:$AQ$1005,1,MATCH(COLUMNS($AB$1006:AF1006),$AB$1006:$AQ$1006,0))&gt;=100000), " ",IF(INDEX($AB$2:$AQ$1001,MATCH(ROWS($U$2:U123),$U$2:$U$1001,0),MATCH(COLUMNS($AB$1006:AF1006),$AB$1006:$AQ$1006,0)), HYPERLINK("#",""), HYPERLINK(CONCATENATE("#Metadata!", ADDRESS(INDEX($W$2:$W$1001,MATCH(ROWS($U$2:U123),$U$2:$U$1001,0),0), INDEX($AB$1004:$AQ$1004,1,MATCH(COLUMNS($AB$1006:AF1006),$AB$1006:$AQ$1006,0)))),"Fix")))</f>
        <v>0</v>
      </c>
      <c r="G123" s="5">
        <f>IF(OR(INDEX($V$2:$V$1001,MATCH(ROWS($U$2:U123),$U$2:$U$1001,0),1)&gt;=100000,INDEX($AB$1005:$AQ$1005,1,MATCH(COLUMNS($AB$1006:AG1006),$AB$1006:$AQ$1006,0))&gt;=100000), " ",IF(INDEX($AB$2:$AQ$1001,MATCH(ROWS($U$2:U123),$U$2:$U$1001,0),MATCH(COLUMNS($AB$1006:AG1006),$AB$1006:$AQ$1006,0)), HYPERLINK("#",""), HYPERLINK(CONCATENATE("#Metadata!", ADDRESS(INDEX($W$2:$W$1001,MATCH(ROWS($U$2:U123),$U$2:$U$1001,0),0), INDEX($AB$1004:$AQ$1004,1,MATCH(COLUMNS($AB$1006:AG1006),$AB$1006:$AQ$1006,0)))),"Fix")))</f>
        <v>0</v>
      </c>
      <c r="H123" s="5">
        <f>IF(OR(INDEX($V$2:$V$1001,MATCH(ROWS($U$2:U123),$U$2:$U$1001,0),1)&gt;=100000,INDEX($AB$1005:$AQ$1005,1,MATCH(COLUMNS($AB$1006:AH1006),$AB$1006:$AQ$1006,0))&gt;=100000), " ",IF(INDEX($AB$2:$AQ$1001,MATCH(ROWS($U$2:U123),$U$2:$U$1001,0),MATCH(COLUMNS($AB$1006:AH1006),$AB$1006:$AQ$1006,0)), HYPERLINK("#",""), HYPERLINK(CONCATENATE("#Metadata!", ADDRESS(INDEX($W$2:$W$1001,MATCH(ROWS($U$2:U123),$U$2:$U$1001,0),0), INDEX($AB$1004:$AQ$1004,1,MATCH(COLUMNS($AB$1006:AH1006),$AB$1006:$AQ$1006,0)))),"Fix")))</f>
        <v>0</v>
      </c>
      <c r="I123" s="5">
        <f>IF(OR(INDEX($V$2:$V$1001,MATCH(ROWS($U$2:U123),$U$2:$U$1001,0),1)&gt;=100000,INDEX($AB$1005:$AQ$1005,1,MATCH(COLUMNS($AB$1006:AI1006),$AB$1006:$AQ$1006,0))&gt;=100000), " ",IF(INDEX($AB$2:$AQ$1001,MATCH(ROWS($U$2:U123),$U$2:$U$1001,0),MATCH(COLUMNS($AB$1006:AI1006),$AB$1006:$AQ$1006,0)), HYPERLINK("#",""), HYPERLINK(CONCATENATE("#Metadata!", ADDRESS(INDEX($W$2:$W$1001,MATCH(ROWS($U$2:U123),$U$2:$U$1001,0),0), INDEX($AB$1004:$AQ$1004,1,MATCH(COLUMNS($AB$1006:AI1006),$AB$1006:$AQ$1006,0)))),"Fix")))</f>
        <v>0</v>
      </c>
      <c r="J123" s="5">
        <f>IF(OR(INDEX($V$2:$V$1001,MATCH(ROWS($U$2:U123),$U$2:$U$1001,0),1)&gt;=100000,INDEX($AB$1005:$AQ$1005,1,MATCH(COLUMNS($AB$1006:AJ1006),$AB$1006:$AQ$1006,0))&gt;=100000), " ",IF(INDEX($AB$2:$AQ$1001,MATCH(ROWS($U$2:U123),$U$2:$U$1001,0),MATCH(COLUMNS($AB$1006:AJ1006),$AB$1006:$AQ$1006,0)), HYPERLINK("#",""), HYPERLINK(CONCATENATE("#Metadata!", ADDRESS(INDEX($W$2:$W$1001,MATCH(ROWS($U$2:U123),$U$2:$U$1001,0),0), INDEX($AB$1004:$AQ$1004,1,MATCH(COLUMNS($AB$1006:AJ1006),$AB$1006:$AQ$1006,0)))),"Fix")))</f>
        <v>0</v>
      </c>
      <c r="K123" s="5">
        <f>IF(OR(INDEX($V$2:$V$1001,MATCH(ROWS($U$2:U123),$U$2:$U$1001,0),1)&gt;=100000,INDEX($AB$1005:$AQ$1005,1,MATCH(COLUMNS($AB$1006:AK1006),$AB$1006:$AQ$1006,0))&gt;=100000), " ",IF(INDEX($AB$2:$AQ$1001,MATCH(ROWS($U$2:U123),$U$2:$U$1001,0),MATCH(COLUMNS($AB$1006:AK1006),$AB$1006:$AQ$1006,0)), HYPERLINK("#",""), HYPERLINK(CONCATENATE("#Metadata!", ADDRESS(INDEX($W$2:$W$1001,MATCH(ROWS($U$2:U123),$U$2:$U$1001,0),0), INDEX($AB$1004:$AQ$1004,1,MATCH(COLUMNS($AB$1006:AK1006),$AB$1006:$AQ$1006,0)))),"Fix")))</f>
        <v>0</v>
      </c>
      <c r="L123" s="5">
        <f>IF(OR(INDEX($V$2:$V$1001,MATCH(ROWS($U$2:U123),$U$2:$U$1001,0),1)&gt;=100000,INDEX($AB$1005:$AQ$1005,1,MATCH(COLUMNS($AB$1006:AL1006),$AB$1006:$AQ$1006,0))&gt;=100000), " ",IF(INDEX($AB$2:$AQ$1001,MATCH(ROWS($U$2:U123),$U$2:$U$1001,0),MATCH(COLUMNS($AB$1006:AL1006),$AB$1006:$AQ$1006,0)), HYPERLINK("#",""), HYPERLINK(CONCATENATE("#Metadata!", ADDRESS(INDEX($W$2:$W$1001,MATCH(ROWS($U$2:U123),$U$2:$U$1001,0),0), INDEX($AB$1004:$AQ$1004,1,MATCH(COLUMNS($AB$1006:AL1006),$AB$1006:$AQ$1006,0)))),"Fix")))</f>
        <v>0</v>
      </c>
      <c r="M123" s="5">
        <f>IF(OR(INDEX($V$2:$V$1001,MATCH(ROWS($U$2:U123),$U$2:$U$1001,0),1)&gt;=100000,INDEX($AB$1005:$AQ$1005,1,MATCH(COLUMNS($AB$1006:AM1006),$AB$1006:$AQ$1006,0))&gt;=100000), " ",IF(INDEX($AB$2:$AQ$1001,MATCH(ROWS($U$2:U123),$U$2:$U$1001,0),MATCH(COLUMNS($AB$1006:AM1006),$AB$1006:$AQ$1006,0)), HYPERLINK("#",""), HYPERLINK(CONCATENATE("#Metadata!", ADDRESS(INDEX($W$2:$W$1001,MATCH(ROWS($U$2:U123),$U$2:$U$1001,0),0), INDEX($AB$1004:$AQ$1004,1,MATCH(COLUMNS($AB$1006:AM1006),$AB$1006:$AQ$1006,0)))),"Fix")))</f>
        <v>0</v>
      </c>
      <c r="N123" s="5">
        <f>IF(OR(INDEX($V$2:$V$1001,MATCH(ROWS($U$2:U123),$U$2:$U$1001,0),1)&gt;=100000,INDEX($AB$1005:$AQ$1005,1,MATCH(COLUMNS($AB$1006:AN1006),$AB$1006:$AQ$1006,0))&gt;=100000), " ",IF(INDEX($AB$2:$AQ$1001,MATCH(ROWS($U$2:U123),$U$2:$U$1001,0),MATCH(COLUMNS($AB$1006:AN1006),$AB$1006:$AQ$1006,0)), HYPERLINK("#",""), HYPERLINK(CONCATENATE("#Metadata!", ADDRESS(INDEX($W$2:$W$1001,MATCH(ROWS($U$2:U123),$U$2:$U$1001,0),0), INDEX($AB$1004:$AQ$1004,1,MATCH(COLUMNS($AB$1006:AN1006),$AB$1006:$AQ$1006,0)))),"Fix")))</f>
        <v>0</v>
      </c>
      <c r="O123" s="5">
        <f>IF(OR(INDEX($V$2:$V$1001,MATCH(ROWS($U$2:U123),$U$2:$U$1001,0),1)&gt;=100000,INDEX($AB$1005:$AQ$1005,1,MATCH(COLUMNS($AB$1006:AO1006),$AB$1006:$AQ$1006,0))&gt;=100000), " ",IF(INDEX($AB$2:$AQ$1001,MATCH(ROWS($U$2:U123),$U$2:$U$1001,0),MATCH(COLUMNS($AB$1006:AO1006),$AB$1006:$AQ$1006,0)), HYPERLINK("#",""), HYPERLINK(CONCATENATE("#Metadata!", ADDRESS(INDEX($W$2:$W$1001,MATCH(ROWS($U$2:U123),$U$2:$U$1001,0),0), INDEX($AB$1004:$AQ$1004,1,MATCH(COLUMNS($AB$1006:AO1006),$AB$1006:$AQ$1006,0)))),"Fix")))</f>
        <v>0</v>
      </c>
      <c r="P123" s="5">
        <f>IF(OR(INDEX($V$2:$V$1001,MATCH(ROWS($U$2:U123),$U$2:$U$1001,0),1)&gt;=100000,INDEX($AB$1005:$AQ$1005,1,MATCH(COLUMNS($AB$1006:AP1006),$AB$1006:$AQ$1006,0))&gt;=100000), " ",IF(INDEX($AB$2:$AQ$1001,MATCH(ROWS($U$2:U123),$U$2:$U$1001,0),MATCH(COLUMNS($AB$1006:AP1006),$AB$1006:$AQ$1006,0)), HYPERLINK("#",""), HYPERLINK(CONCATENATE("#Metadata!", ADDRESS(INDEX($W$2:$W$1001,MATCH(ROWS($U$2:U123),$U$2:$U$1001,0),0), INDEX($AB$1004:$AQ$1004,1,MATCH(COLUMNS($AB$1006:AP1006),$AB$1006:$AQ$1006,0)))),"Fix")))</f>
        <v>0</v>
      </c>
      <c r="Q123" s="5">
        <f>IF(OR(INDEX($V$2:$V$1001,MATCH(ROWS($U$2:U123),$U$2:$U$1001,0),1)&gt;=100000,INDEX($AB$1005:$AQ$1005,1,MATCH(COLUMNS($AB$1006:AQ1006),$AB$1006:$AQ$1006,0))&gt;=100000), " ",IF(INDEX($AB$2:$AQ$1001,MATCH(ROWS($U$2:U123),$U$2:$U$1001,0),MATCH(COLUMNS($AB$1006:AQ1006),$AB$1006:$AQ$1006,0)), HYPERLINK("#",""), HYPERLINK(CONCATENATE("#Metadata!", ADDRESS(INDEX($W$2:$W$1001,MATCH(ROWS($U$2:U123),$U$2:$U$1001,0),0), INDEX($AB$1004:$AQ$1004,1,MATCH(COLUMNS($AB$1006:AQ1006),$AB$1006:$AQ$1006,0)))),"Fix")))</f>
        <v>0</v>
      </c>
      <c r="U123">
        <v>0</v>
      </c>
      <c r="V123">
        <v>0</v>
      </c>
      <c r="W123">
        <v>0</v>
      </c>
      <c r="X123">
        <f>IF(Y123,TRUE,AND(AB123:AQ123))</f>
        <v>0</v>
      </c>
      <c r="Y123">
        <f>COUNTBLANK(Metadata!B123:Q123)=COLUMNS(Metadata!B123:Q123)</f>
        <v>0</v>
      </c>
      <c r="Z123">
        <v>0</v>
      </c>
      <c r="AB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AC123">
        <f>AND(IF(Metadata!C123="",FALSE,TRUE),exact(Metadata!C123,"urban biome"))</f>
        <v>0</v>
      </c>
      <c r="AD123">
        <f>AND(IF(Metadata!D123="",FALSE,TRUE),exact(Metadata!D123,"human-associated habitat"))</f>
        <v>0</v>
      </c>
      <c r="AE123">
        <f>AND(IF(Metadata!E123="",FALSE,TRUE),OR(exact(Metadata!E123,"human-associated"),exact(Metadata!E123,"human-skin"),exact(Metadata!E123,"human-oral"),exact(Metadata!E123,"human-gut"),exact(Metadata!E123,"human-vaginal")))</f>
        <v>0</v>
      </c>
      <c r="AF123">
        <f>AND(IF(Metadata!F123="",FALSE,ISNUMBER(VALUE(Metadata!F123))),Metadata!F123&gt;0)</f>
        <v>0</v>
      </c>
      <c r="AG123">
        <f>AND(IF(Metadata!G123="",FALSE,TRUE),exact(Metadata!G123,"years"))</f>
        <v>0</v>
      </c>
      <c r="AH123">
        <f>OR(AND(IF(Metadata!H123="",FALSE,TRUE),OR(exact(Metadata!H123,"not applicable"),exact(Metadata!H123,"not collected"),exact(Metadata!H123,"not provided"),exact(Metadata!H123,"restricted access"))),AND(IF(Metadata!H123="",FALSE,ISNUMBER(VALUE(Metadata!H123))),Metadata!H123&gt;0))</f>
        <v>0</v>
      </c>
      <c r="AI123">
        <f>AND(IF(Metadata!I123="",FALSE,TRUE),exact(Metadata!I123,"human"))</f>
        <v>0</v>
      </c>
      <c r="AJ123">
        <f>AND(IF(Metadata!J123="",FALSE,ISNUMBER(VALUE(Metadata!J123))),Metadata!J123&gt;0)</f>
        <v>0</v>
      </c>
      <c r="AK123">
        <f>AND(IF(Metadata!K123="",FALSE,TRUE),exact(Metadata!K123,"cm"))</f>
        <v>0</v>
      </c>
      <c r="AL123">
        <f>AND(IF(Metadata!L123="",FALSE,TRUE),exact(Metadata!L123,"Homo sapiens"))</f>
        <v>0</v>
      </c>
      <c r="AM123">
        <f>AND(IF(Metadata!M123="",FALSE,TRUE),exact(Metadata!M123,"9606"))</f>
        <v>0</v>
      </c>
      <c r="AN123">
        <f>AND(IF(Metadata!N123="",FALSE,ISNUMBER(VALUE(Metadata!N123))),Metadata!N123&gt;0)</f>
        <v>0</v>
      </c>
      <c r="AO123">
        <f>AND(IF(Metadata!O123="",FALSE,TRUE),exact(Metadata!O123,"kg"))</f>
        <v>0</v>
      </c>
      <c r="AP123">
        <f>OR(AND(IF(Metadata!P123="",FALSE,TRUE),exact(Metadata!P123,"not provided")),IF(Metadata!P123="",FALSE,TRUE))</f>
        <v>0</v>
      </c>
      <c r="AQ123">
        <f>OR(AND(IF(Metadata!Q123="",FALSE,TRUE),exact(Metadata!Q123,"not provided")),IF(Metadata!Q123="",FALSE,TRUE))</f>
        <v>0</v>
      </c>
    </row>
    <row r="124" spans="1:43">
      <c r="A124" s="4">
        <f>IF(B124=" "," ",HYPERLINK(CONCATENATE("#metadata!",ADDRESS(INDEX($W$2:$W$1001,MATCH(ROWS($U$2:U124),$U$2:$U$1001,0),0),2)),INDEX($Z$2:$Z$1001,MATCH(ROWS($U$2:U124),$U$2:$U$1001,0),0)))</f>
        <v>0</v>
      </c>
      <c r="B124" s="5">
        <f>IF(OR(INDEX($V$2:$V$1001,MATCH(ROWS($U$2:U124),$U$2:$U$1001,0),1)&gt;=100000,INDEX($AB$1005:$AQ$1005,1,MATCH(COLUMNS($AB$1006:AB1006),$AB$1006:$AQ$1006,0))&gt;=100000), " ",IF(INDEX($AB$2:$AQ$1001,MATCH(ROWS($U$2:U124),$U$2:$U$1001,0),MATCH(COLUMNS($AB$1006:AB1006),$AB$1006:$AQ$1006,0)), HYPERLINK("#",""), HYPERLINK(CONCATENATE("#Metadata!", ADDRESS(INDEX($W$2:$W$1001,MATCH(ROWS($U$2:U124),$U$2:$U$1001,0),0), INDEX($AB$1004:$AQ$1004,1,MATCH(COLUMNS($AB$1006:AB1006),$AB$1006:$AQ$1006,0)))),"Fix")))</f>
        <v>0</v>
      </c>
      <c r="C124" s="5">
        <f>IF(OR(INDEX($V$2:$V$1001,MATCH(ROWS($U$2:U124),$U$2:$U$1001,0),1)&gt;=100000,INDEX($AB$1005:$AQ$1005,1,MATCH(COLUMNS($AB$1006:AC1006),$AB$1006:$AQ$1006,0))&gt;=100000), " ",IF(INDEX($AB$2:$AQ$1001,MATCH(ROWS($U$2:U124),$U$2:$U$1001,0),MATCH(COLUMNS($AB$1006:AC1006),$AB$1006:$AQ$1006,0)), HYPERLINK("#",""), HYPERLINK(CONCATENATE("#Metadata!", ADDRESS(INDEX($W$2:$W$1001,MATCH(ROWS($U$2:U124),$U$2:$U$1001,0),0), INDEX($AB$1004:$AQ$1004,1,MATCH(COLUMNS($AB$1006:AC1006),$AB$1006:$AQ$1006,0)))),"Fix")))</f>
        <v>0</v>
      </c>
      <c r="D124" s="5">
        <f>IF(OR(INDEX($V$2:$V$1001,MATCH(ROWS($U$2:U124),$U$2:$U$1001,0),1)&gt;=100000,INDEX($AB$1005:$AQ$1005,1,MATCH(COLUMNS($AB$1006:AD1006),$AB$1006:$AQ$1006,0))&gt;=100000), " ",IF(INDEX($AB$2:$AQ$1001,MATCH(ROWS($U$2:U124),$U$2:$U$1001,0),MATCH(COLUMNS($AB$1006:AD1006),$AB$1006:$AQ$1006,0)), HYPERLINK("#",""), HYPERLINK(CONCATENATE("#Metadata!", ADDRESS(INDEX($W$2:$W$1001,MATCH(ROWS($U$2:U124),$U$2:$U$1001,0),0), INDEX($AB$1004:$AQ$1004,1,MATCH(COLUMNS($AB$1006:AD1006),$AB$1006:$AQ$1006,0)))),"Fix")))</f>
        <v>0</v>
      </c>
      <c r="E124" s="5">
        <f>IF(OR(INDEX($V$2:$V$1001,MATCH(ROWS($U$2:U124),$U$2:$U$1001,0),1)&gt;=100000,INDEX($AB$1005:$AQ$1005,1,MATCH(COLUMNS($AB$1006:AE1006),$AB$1006:$AQ$1006,0))&gt;=100000), " ",IF(INDEX($AB$2:$AQ$1001,MATCH(ROWS($U$2:U124),$U$2:$U$1001,0),MATCH(COLUMNS($AB$1006:AE1006),$AB$1006:$AQ$1006,0)), HYPERLINK("#",""), HYPERLINK(CONCATENATE("#Metadata!", ADDRESS(INDEX($W$2:$W$1001,MATCH(ROWS($U$2:U124),$U$2:$U$1001,0),0), INDEX($AB$1004:$AQ$1004,1,MATCH(COLUMNS($AB$1006:AE1006),$AB$1006:$AQ$1006,0)))),"Fix")))</f>
        <v>0</v>
      </c>
      <c r="F124" s="5">
        <f>IF(OR(INDEX($V$2:$V$1001,MATCH(ROWS($U$2:U124),$U$2:$U$1001,0),1)&gt;=100000,INDEX($AB$1005:$AQ$1005,1,MATCH(COLUMNS($AB$1006:AF1006),$AB$1006:$AQ$1006,0))&gt;=100000), " ",IF(INDEX($AB$2:$AQ$1001,MATCH(ROWS($U$2:U124),$U$2:$U$1001,0),MATCH(COLUMNS($AB$1006:AF1006),$AB$1006:$AQ$1006,0)), HYPERLINK("#",""), HYPERLINK(CONCATENATE("#Metadata!", ADDRESS(INDEX($W$2:$W$1001,MATCH(ROWS($U$2:U124),$U$2:$U$1001,0),0), INDEX($AB$1004:$AQ$1004,1,MATCH(COLUMNS($AB$1006:AF1006),$AB$1006:$AQ$1006,0)))),"Fix")))</f>
        <v>0</v>
      </c>
      <c r="G124" s="5">
        <f>IF(OR(INDEX($V$2:$V$1001,MATCH(ROWS($U$2:U124),$U$2:$U$1001,0),1)&gt;=100000,INDEX($AB$1005:$AQ$1005,1,MATCH(COLUMNS($AB$1006:AG1006),$AB$1006:$AQ$1006,0))&gt;=100000), " ",IF(INDEX($AB$2:$AQ$1001,MATCH(ROWS($U$2:U124),$U$2:$U$1001,0),MATCH(COLUMNS($AB$1006:AG1006),$AB$1006:$AQ$1006,0)), HYPERLINK("#",""), HYPERLINK(CONCATENATE("#Metadata!", ADDRESS(INDEX($W$2:$W$1001,MATCH(ROWS($U$2:U124),$U$2:$U$1001,0),0), INDEX($AB$1004:$AQ$1004,1,MATCH(COLUMNS($AB$1006:AG1006),$AB$1006:$AQ$1006,0)))),"Fix")))</f>
        <v>0</v>
      </c>
      <c r="H124" s="5">
        <f>IF(OR(INDEX($V$2:$V$1001,MATCH(ROWS($U$2:U124),$U$2:$U$1001,0),1)&gt;=100000,INDEX($AB$1005:$AQ$1005,1,MATCH(COLUMNS($AB$1006:AH1006),$AB$1006:$AQ$1006,0))&gt;=100000), " ",IF(INDEX($AB$2:$AQ$1001,MATCH(ROWS($U$2:U124),$U$2:$U$1001,0),MATCH(COLUMNS($AB$1006:AH1006),$AB$1006:$AQ$1006,0)), HYPERLINK("#",""), HYPERLINK(CONCATENATE("#Metadata!", ADDRESS(INDEX($W$2:$W$1001,MATCH(ROWS($U$2:U124),$U$2:$U$1001,0),0), INDEX($AB$1004:$AQ$1004,1,MATCH(COLUMNS($AB$1006:AH1006),$AB$1006:$AQ$1006,0)))),"Fix")))</f>
        <v>0</v>
      </c>
      <c r="I124" s="5">
        <f>IF(OR(INDEX($V$2:$V$1001,MATCH(ROWS($U$2:U124),$U$2:$U$1001,0),1)&gt;=100000,INDEX($AB$1005:$AQ$1005,1,MATCH(COLUMNS($AB$1006:AI1006),$AB$1006:$AQ$1006,0))&gt;=100000), " ",IF(INDEX($AB$2:$AQ$1001,MATCH(ROWS($U$2:U124),$U$2:$U$1001,0),MATCH(COLUMNS($AB$1006:AI1006),$AB$1006:$AQ$1006,0)), HYPERLINK("#",""), HYPERLINK(CONCATENATE("#Metadata!", ADDRESS(INDEX($W$2:$W$1001,MATCH(ROWS($U$2:U124),$U$2:$U$1001,0),0), INDEX($AB$1004:$AQ$1004,1,MATCH(COLUMNS($AB$1006:AI1006),$AB$1006:$AQ$1006,0)))),"Fix")))</f>
        <v>0</v>
      </c>
      <c r="J124" s="5">
        <f>IF(OR(INDEX($V$2:$V$1001,MATCH(ROWS($U$2:U124),$U$2:$U$1001,0),1)&gt;=100000,INDEX($AB$1005:$AQ$1005,1,MATCH(COLUMNS($AB$1006:AJ1006),$AB$1006:$AQ$1006,0))&gt;=100000), " ",IF(INDEX($AB$2:$AQ$1001,MATCH(ROWS($U$2:U124),$U$2:$U$1001,0),MATCH(COLUMNS($AB$1006:AJ1006),$AB$1006:$AQ$1006,0)), HYPERLINK("#",""), HYPERLINK(CONCATENATE("#Metadata!", ADDRESS(INDEX($W$2:$W$1001,MATCH(ROWS($U$2:U124),$U$2:$U$1001,0),0), INDEX($AB$1004:$AQ$1004,1,MATCH(COLUMNS($AB$1006:AJ1006),$AB$1006:$AQ$1006,0)))),"Fix")))</f>
        <v>0</v>
      </c>
      <c r="K124" s="5">
        <f>IF(OR(INDEX($V$2:$V$1001,MATCH(ROWS($U$2:U124),$U$2:$U$1001,0),1)&gt;=100000,INDEX($AB$1005:$AQ$1005,1,MATCH(COLUMNS($AB$1006:AK1006),$AB$1006:$AQ$1006,0))&gt;=100000), " ",IF(INDEX($AB$2:$AQ$1001,MATCH(ROWS($U$2:U124),$U$2:$U$1001,0),MATCH(COLUMNS($AB$1006:AK1006),$AB$1006:$AQ$1006,0)), HYPERLINK("#",""), HYPERLINK(CONCATENATE("#Metadata!", ADDRESS(INDEX($W$2:$W$1001,MATCH(ROWS($U$2:U124),$U$2:$U$1001,0),0), INDEX($AB$1004:$AQ$1004,1,MATCH(COLUMNS($AB$1006:AK1006),$AB$1006:$AQ$1006,0)))),"Fix")))</f>
        <v>0</v>
      </c>
      <c r="L124" s="5">
        <f>IF(OR(INDEX($V$2:$V$1001,MATCH(ROWS($U$2:U124),$U$2:$U$1001,0),1)&gt;=100000,INDEX($AB$1005:$AQ$1005,1,MATCH(COLUMNS($AB$1006:AL1006),$AB$1006:$AQ$1006,0))&gt;=100000), " ",IF(INDEX($AB$2:$AQ$1001,MATCH(ROWS($U$2:U124),$U$2:$U$1001,0),MATCH(COLUMNS($AB$1006:AL1006),$AB$1006:$AQ$1006,0)), HYPERLINK("#",""), HYPERLINK(CONCATENATE("#Metadata!", ADDRESS(INDEX($W$2:$W$1001,MATCH(ROWS($U$2:U124),$U$2:$U$1001,0),0), INDEX($AB$1004:$AQ$1004,1,MATCH(COLUMNS($AB$1006:AL1006),$AB$1006:$AQ$1006,0)))),"Fix")))</f>
        <v>0</v>
      </c>
      <c r="M124" s="5">
        <f>IF(OR(INDEX($V$2:$V$1001,MATCH(ROWS($U$2:U124),$U$2:$U$1001,0),1)&gt;=100000,INDEX($AB$1005:$AQ$1005,1,MATCH(COLUMNS($AB$1006:AM1006),$AB$1006:$AQ$1006,0))&gt;=100000), " ",IF(INDEX($AB$2:$AQ$1001,MATCH(ROWS($U$2:U124),$U$2:$U$1001,0),MATCH(COLUMNS($AB$1006:AM1006),$AB$1006:$AQ$1006,0)), HYPERLINK("#",""), HYPERLINK(CONCATENATE("#Metadata!", ADDRESS(INDEX($W$2:$W$1001,MATCH(ROWS($U$2:U124),$U$2:$U$1001,0),0), INDEX($AB$1004:$AQ$1004,1,MATCH(COLUMNS($AB$1006:AM1006),$AB$1006:$AQ$1006,0)))),"Fix")))</f>
        <v>0</v>
      </c>
      <c r="N124" s="5">
        <f>IF(OR(INDEX($V$2:$V$1001,MATCH(ROWS($U$2:U124),$U$2:$U$1001,0),1)&gt;=100000,INDEX($AB$1005:$AQ$1005,1,MATCH(COLUMNS($AB$1006:AN1006),$AB$1006:$AQ$1006,0))&gt;=100000), " ",IF(INDEX($AB$2:$AQ$1001,MATCH(ROWS($U$2:U124),$U$2:$U$1001,0),MATCH(COLUMNS($AB$1006:AN1006),$AB$1006:$AQ$1006,0)), HYPERLINK("#",""), HYPERLINK(CONCATENATE("#Metadata!", ADDRESS(INDEX($W$2:$W$1001,MATCH(ROWS($U$2:U124),$U$2:$U$1001,0),0), INDEX($AB$1004:$AQ$1004,1,MATCH(COLUMNS($AB$1006:AN1006),$AB$1006:$AQ$1006,0)))),"Fix")))</f>
        <v>0</v>
      </c>
      <c r="O124" s="5">
        <f>IF(OR(INDEX($V$2:$V$1001,MATCH(ROWS($U$2:U124),$U$2:$U$1001,0),1)&gt;=100000,INDEX($AB$1005:$AQ$1005,1,MATCH(COLUMNS($AB$1006:AO1006),$AB$1006:$AQ$1006,0))&gt;=100000), " ",IF(INDEX($AB$2:$AQ$1001,MATCH(ROWS($U$2:U124),$U$2:$U$1001,0),MATCH(COLUMNS($AB$1006:AO1006),$AB$1006:$AQ$1006,0)), HYPERLINK("#",""), HYPERLINK(CONCATENATE("#Metadata!", ADDRESS(INDEX($W$2:$W$1001,MATCH(ROWS($U$2:U124),$U$2:$U$1001,0),0), INDEX($AB$1004:$AQ$1004,1,MATCH(COLUMNS($AB$1006:AO1006),$AB$1006:$AQ$1006,0)))),"Fix")))</f>
        <v>0</v>
      </c>
      <c r="P124" s="5">
        <f>IF(OR(INDEX($V$2:$V$1001,MATCH(ROWS($U$2:U124),$U$2:$U$1001,0),1)&gt;=100000,INDEX($AB$1005:$AQ$1005,1,MATCH(COLUMNS($AB$1006:AP1006),$AB$1006:$AQ$1006,0))&gt;=100000), " ",IF(INDEX($AB$2:$AQ$1001,MATCH(ROWS($U$2:U124),$U$2:$U$1001,0),MATCH(COLUMNS($AB$1006:AP1006),$AB$1006:$AQ$1006,0)), HYPERLINK("#",""), HYPERLINK(CONCATENATE("#Metadata!", ADDRESS(INDEX($W$2:$W$1001,MATCH(ROWS($U$2:U124),$U$2:$U$1001,0),0), INDEX($AB$1004:$AQ$1004,1,MATCH(COLUMNS($AB$1006:AP1006),$AB$1006:$AQ$1006,0)))),"Fix")))</f>
        <v>0</v>
      </c>
      <c r="Q124" s="5">
        <f>IF(OR(INDEX($V$2:$V$1001,MATCH(ROWS($U$2:U124),$U$2:$U$1001,0),1)&gt;=100000,INDEX($AB$1005:$AQ$1005,1,MATCH(COLUMNS($AB$1006:AQ1006),$AB$1006:$AQ$1006,0))&gt;=100000), " ",IF(INDEX($AB$2:$AQ$1001,MATCH(ROWS($U$2:U124),$U$2:$U$1001,0),MATCH(COLUMNS($AB$1006:AQ1006),$AB$1006:$AQ$1006,0)), HYPERLINK("#",""), HYPERLINK(CONCATENATE("#Metadata!", ADDRESS(INDEX($W$2:$W$1001,MATCH(ROWS($U$2:U124),$U$2:$U$1001,0),0), INDEX($AB$1004:$AQ$1004,1,MATCH(COLUMNS($AB$1006:AQ1006),$AB$1006:$AQ$1006,0)))),"Fix")))</f>
        <v>0</v>
      </c>
      <c r="U124">
        <v>0</v>
      </c>
      <c r="V124">
        <v>0</v>
      </c>
      <c r="W124">
        <v>0</v>
      </c>
      <c r="X124">
        <f>IF(Y124,TRUE,AND(AB124:AQ124))</f>
        <v>0</v>
      </c>
      <c r="Y124">
        <f>COUNTBLANK(Metadata!B124:Q124)=COLUMNS(Metadata!B124:Q124)</f>
        <v>0</v>
      </c>
      <c r="Z124">
        <v>0</v>
      </c>
      <c r="AB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AC124">
        <f>AND(IF(Metadata!C124="",FALSE,TRUE),exact(Metadata!C124,"urban biome"))</f>
        <v>0</v>
      </c>
      <c r="AD124">
        <f>AND(IF(Metadata!D124="",FALSE,TRUE),exact(Metadata!D124,"human-associated habitat"))</f>
        <v>0</v>
      </c>
      <c r="AE124">
        <f>AND(IF(Metadata!E124="",FALSE,TRUE),OR(exact(Metadata!E124,"human-associated"),exact(Metadata!E124,"human-skin"),exact(Metadata!E124,"human-oral"),exact(Metadata!E124,"human-gut"),exact(Metadata!E124,"human-vaginal")))</f>
        <v>0</v>
      </c>
      <c r="AF124">
        <f>AND(IF(Metadata!F124="",FALSE,ISNUMBER(VALUE(Metadata!F124))),Metadata!F124&gt;0)</f>
        <v>0</v>
      </c>
      <c r="AG124">
        <f>AND(IF(Metadata!G124="",FALSE,TRUE),exact(Metadata!G124,"years"))</f>
        <v>0</v>
      </c>
      <c r="AH124">
        <f>OR(AND(IF(Metadata!H124="",FALSE,TRUE),OR(exact(Metadata!H124,"not applicable"),exact(Metadata!H124,"not collected"),exact(Metadata!H124,"not provided"),exact(Metadata!H124,"restricted access"))),AND(IF(Metadata!H124="",FALSE,ISNUMBER(VALUE(Metadata!H124))),Metadata!H124&gt;0))</f>
        <v>0</v>
      </c>
      <c r="AI124">
        <f>AND(IF(Metadata!I124="",FALSE,TRUE),exact(Metadata!I124,"human"))</f>
        <v>0</v>
      </c>
      <c r="AJ124">
        <f>AND(IF(Metadata!J124="",FALSE,ISNUMBER(VALUE(Metadata!J124))),Metadata!J124&gt;0)</f>
        <v>0</v>
      </c>
      <c r="AK124">
        <f>AND(IF(Metadata!K124="",FALSE,TRUE),exact(Metadata!K124,"cm"))</f>
        <v>0</v>
      </c>
      <c r="AL124">
        <f>AND(IF(Metadata!L124="",FALSE,TRUE),exact(Metadata!L124,"Homo sapiens"))</f>
        <v>0</v>
      </c>
      <c r="AM124">
        <f>AND(IF(Metadata!M124="",FALSE,TRUE),exact(Metadata!M124,"9606"))</f>
        <v>0</v>
      </c>
      <c r="AN124">
        <f>AND(IF(Metadata!N124="",FALSE,ISNUMBER(VALUE(Metadata!N124))),Metadata!N124&gt;0)</f>
        <v>0</v>
      </c>
      <c r="AO124">
        <f>AND(IF(Metadata!O124="",FALSE,TRUE),exact(Metadata!O124,"kg"))</f>
        <v>0</v>
      </c>
      <c r="AP124">
        <f>OR(AND(IF(Metadata!P124="",FALSE,TRUE),exact(Metadata!P124,"not provided")),IF(Metadata!P124="",FALSE,TRUE))</f>
        <v>0</v>
      </c>
      <c r="AQ124">
        <f>OR(AND(IF(Metadata!Q124="",FALSE,TRUE),exact(Metadata!Q124,"not provided")),IF(Metadata!Q124="",FALSE,TRUE))</f>
        <v>0</v>
      </c>
    </row>
    <row r="125" spans="1:43">
      <c r="A125" s="4">
        <f>IF(B125=" "," ",HYPERLINK(CONCATENATE("#metadata!",ADDRESS(INDEX($W$2:$W$1001,MATCH(ROWS($U$2:U125),$U$2:$U$1001,0),0),2)),INDEX($Z$2:$Z$1001,MATCH(ROWS($U$2:U125),$U$2:$U$1001,0),0)))</f>
        <v>0</v>
      </c>
      <c r="B125" s="5">
        <f>IF(OR(INDEX($V$2:$V$1001,MATCH(ROWS($U$2:U125),$U$2:$U$1001,0),1)&gt;=100000,INDEX($AB$1005:$AQ$1005,1,MATCH(COLUMNS($AB$1006:AB1006),$AB$1006:$AQ$1006,0))&gt;=100000), " ",IF(INDEX($AB$2:$AQ$1001,MATCH(ROWS($U$2:U125),$U$2:$U$1001,0),MATCH(COLUMNS($AB$1006:AB1006),$AB$1006:$AQ$1006,0)), HYPERLINK("#",""), HYPERLINK(CONCATENATE("#Metadata!", ADDRESS(INDEX($W$2:$W$1001,MATCH(ROWS($U$2:U125),$U$2:$U$1001,0),0), INDEX($AB$1004:$AQ$1004,1,MATCH(COLUMNS($AB$1006:AB1006),$AB$1006:$AQ$1006,0)))),"Fix")))</f>
        <v>0</v>
      </c>
      <c r="C125" s="5">
        <f>IF(OR(INDEX($V$2:$V$1001,MATCH(ROWS($U$2:U125),$U$2:$U$1001,0),1)&gt;=100000,INDEX($AB$1005:$AQ$1005,1,MATCH(COLUMNS($AB$1006:AC1006),$AB$1006:$AQ$1006,0))&gt;=100000), " ",IF(INDEX($AB$2:$AQ$1001,MATCH(ROWS($U$2:U125),$U$2:$U$1001,0),MATCH(COLUMNS($AB$1006:AC1006),$AB$1006:$AQ$1006,0)), HYPERLINK("#",""), HYPERLINK(CONCATENATE("#Metadata!", ADDRESS(INDEX($W$2:$W$1001,MATCH(ROWS($U$2:U125),$U$2:$U$1001,0),0), INDEX($AB$1004:$AQ$1004,1,MATCH(COLUMNS($AB$1006:AC1006),$AB$1006:$AQ$1006,0)))),"Fix")))</f>
        <v>0</v>
      </c>
      <c r="D125" s="5">
        <f>IF(OR(INDEX($V$2:$V$1001,MATCH(ROWS($U$2:U125),$U$2:$U$1001,0),1)&gt;=100000,INDEX($AB$1005:$AQ$1005,1,MATCH(COLUMNS($AB$1006:AD1006),$AB$1006:$AQ$1006,0))&gt;=100000), " ",IF(INDEX($AB$2:$AQ$1001,MATCH(ROWS($U$2:U125),$U$2:$U$1001,0),MATCH(COLUMNS($AB$1006:AD1006),$AB$1006:$AQ$1006,0)), HYPERLINK("#",""), HYPERLINK(CONCATENATE("#Metadata!", ADDRESS(INDEX($W$2:$W$1001,MATCH(ROWS($U$2:U125),$U$2:$U$1001,0),0), INDEX($AB$1004:$AQ$1004,1,MATCH(COLUMNS($AB$1006:AD1006),$AB$1006:$AQ$1006,0)))),"Fix")))</f>
        <v>0</v>
      </c>
      <c r="E125" s="5">
        <f>IF(OR(INDEX($V$2:$V$1001,MATCH(ROWS($U$2:U125),$U$2:$U$1001,0),1)&gt;=100000,INDEX($AB$1005:$AQ$1005,1,MATCH(COLUMNS($AB$1006:AE1006),$AB$1006:$AQ$1006,0))&gt;=100000), " ",IF(INDEX($AB$2:$AQ$1001,MATCH(ROWS($U$2:U125),$U$2:$U$1001,0),MATCH(COLUMNS($AB$1006:AE1006),$AB$1006:$AQ$1006,0)), HYPERLINK("#",""), HYPERLINK(CONCATENATE("#Metadata!", ADDRESS(INDEX($W$2:$W$1001,MATCH(ROWS($U$2:U125),$U$2:$U$1001,0),0), INDEX($AB$1004:$AQ$1004,1,MATCH(COLUMNS($AB$1006:AE1006),$AB$1006:$AQ$1006,0)))),"Fix")))</f>
        <v>0</v>
      </c>
      <c r="F125" s="5">
        <f>IF(OR(INDEX($V$2:$V$1001,MATCH(ROWS($U$2:U125),$U$2:$U$1001,0),1)&gt;=100000,INDEX($AB$1005:$AQ$1005,1,MATCH(COLUMNS($AB$1006:AF1006),$AB$1006:$AQ$1006,0))&gt;=100000), " ",IF(INDEX($AB$2:$AQ$1001,MATCH(ROWS($U$2:U125),$U$2:$U$1001,0),MATCH(COLUMNS($AB$1006:AF1006),$AB$1006:$AQ$1006,0)), HYPERLINK("#",""), HYPERLINK(CONCATENATE("#Metadata!", ADDRESS(INDEX($W$2:$W$1001,MATCH(ROWS($U$2:U125),$U$2:$U$1001,0),0), INDEX($AB$1004:$AQ$1004,1,MATCH(COLUMNS($AB$1006:AF1006),$AB$1006:$AQ$1006,0)))),"Fix")))</f>
        <v>0</v>
      </c>
      <c r="G125" s="5">
        <f>IF(OR(INDEX($V$2:$V$1001,MATCH(ROWS($U$2:U125),$U$2:$U$1001,0),1)&gt;=100000,INDEX($AB$1005:$AQ$1005,1,MATCH(COLUMNS($AB$1006:AG1006),$AB$1006:$AQ$1006,0))&gt;=100000), " ",IF(INDEX($AB$2:$AQ$1001,MATCH(ROWS($U$2:U125),$U$2:$U$1001,0),MATCH(COLUMNS($AB$1006:AG1006),$AB$1006:$AQ$1006,0)), HYPERLINK("#",""), HYPERLINK(CONCATENATE("#Metadata!", ADDRESS(INDEX($W$2:$W$1001,MATCH(ROWS($U$2:U125),$U$2:$U$1001,0),0), INDEX($AB$1004:$AQ$1004,1,MATCH(COLUMNS($AB$1006:AG1006),$AB$1006:$AQ$1006,0)))),"Fix")))</f>
        <v>0</v>
      </c>
      <c r="H125" s="5">
        <f>IF(OR(INDEX($V$2:$V$1001,MATCH(ROWS($U$2:U125),$U$2:$U$1001,0),1)&gt;=100000,INDEX($AB$1005:$AQ$1005,1,MATCH(COLUMNS($AB$1006:AH1006),$AB$1006:$AQ$1006,0))&gt;=100000), " ",IF(INDEX($AB$2:$AQ$1001,MATCH(ROWS($U$2:U125),$U$2:$U$1001,0),MATCH(COLUMNS($AB$1006:AH1006),$AB$1006:$AQ$1006,0)), HYPERLINK("#",""), HYPERLINK(CONCATENATE("#Metadata!", ADDRESS(INDEX($W$2:$W$1001,MATCH(ROWS($U$2:U125),$U$2:$U$1001,0),0), INDEX($AB$1004:$AQ$1004,1,MATCH(COLUMNS($AB$1006:AH1006),$AB$1006:$AQ$1006,0)))),"Fix")))</f>
        <v>0</v>
      </c>
      <c r="I125" s="5">
        <f>IF(OR(INDEX($V$2:$V$1001,MATCH(ROWS($U$2:U125),$U$2:$U$1001,0),1)&gt;=100000,INDEX($AB$1005:$AQ$1005,1,MATCH(COLUMNS($AB$1006:AI1006),$AB$1006:$AQ$1006,0))&gt;=100000), " ",IF(INDEX($AB$2:$AQ$1001,MATCH(ROWS($U$2:U125),$U$2:$U$1001,0),MATCH(COLUMNS($AB$1006:AI1006),$AB$1006:$AQ$1006,0)), HYPERLINK("#",""), HYPERLINK(CONCATENATE("#Metadata!", ADDRESS(INDEX($W$2:$W$1001,MATCH(ROWS($U$2:U125),$U$2:$U$1001,0),0), INDEX($AB$1004:$AQ$1004,1,MATCH(COLUMNS($AB$1006:AI1006),$AB$1006:$AQ$1006,0)))),"Fix")))</f>
        <v>0</v>
      </c>
      <c r="J125" s="5">
        <f>IF(OR(INDEX($V$2:$V$1001,MATCH(ROWS($U$2:U125),$U$2:$U$1001,0),1)&gt;=100000,INDEX($AB$1005:$AQ$1005,1,MATCH(COLUMNS($AB$1006:AJ1006),$AB$1006:$AQ$1006,0))&gt;=100000), " ",IF(INDEX($AB$2:$AQ$1001,MATCH(ROWS($U$2:U125),$U$2:$U$1001,0),MATCH(COLUMNS($AB$1006:AJ1006),$AB$1006:$AQ$1006,0)), HYPERLINK("#",""), HYPERLINK(CONCATENATE("#Metadata!", ADDRESS(INDEX($W$2:$W$1001,MATCH(ROWS($U$2:U125),$U$2:$U$1001,0),0), INDEX($AB$1004:$AQ$1004,1,MATCH(COLUMNS($AB$1006:AJ1006),$AB$1006:$AQ$1006,0)))),"Fix")))</f>
        <v>0</v>
      </c>
      <c r="K125" s="5">
        <f>IF(OR(INDEX($V$2:$V$1001,MATCH(ROWS($U$2:U125),$U$2:$U$1001,0),1)&gt;=100000,INDEX($AB$1005:$AQ$1005,1,MATCH(COLUMNS($AB$1006:AK1006),$AB$1006:$AQ$1006,0))&gt;=100000), " ",IF(INDEX($AB$2:$AQ$1001,MATCH(ROWS($U$2:U125),$U$2:$U$1001,0),MATCH(COLUMNS($AB$1006:AK1006),$AB$1006:$AQ$1006,0)), HYPERLINK("#",""), HYPERLINK(CONCATENATE("#Metadata!", ADDRESS(INDEX($W$2:$W$1001,MATCH(ROWS($U$2:U125),$U$2:$U$1001,0),0), INDEX($AB$1004:$AQ$1004,1,MATCH(COLUMNS($AB$1006:AK1006),$AB$1006:$AQ$1006,0)))),"Fix")))</f>
        <v>0</v>
      </c>
      <c r="L125" s="5">
        <f>IF(OR(INDEX($V$2:$V$1001,MATCH(ROWS($U$2:U125),$U$2:$U$1001,0),1)&gt;=100000,INDEX($AB$1005:$AQ$1005,1,MATCH(COLUMNS($AB$1006:AL1006),$AB$1006:$AQ$1006,0))&gt;=100000), " ",IF(INDEX($AB$2:$AQ$1001,MATCH(ROWS($U$2:U125),$U$2:$U$1001,0),MATCH(COLUMNS($AB$1006:AL1006),$AB$1006:$AQ$1006,0)), HYPERLINK("#",""), HYPERLINK(CONCATENATE("#Metadata!", ADDRESS(INDEX($W$2:$W$1001,MATCH(ROWS($U$2:U125),$U$2:$U$1001,0),0), INDEX($AB$1004:$AQ$1004,1,MATCH(COLUMNS($AB$1006:AL1006),$AB$1006:$AQ$1006,0)))),"Fix")))</f>
        <v>0</v>
      </c>
      <c r="M125" s="5">
        <f>IF(OR(INDEX($V$2:$V$1001,MATCH(ROWS($U$2:U125),$U$2:$U$1001,0),1)&gt;=100000,INDEX($AB$1005:$AQ$1005,1,MATCH(COLUMNS($AB$1006:AM1006),$AB$1006:$AQ$1006,0))&gt;=100000), " ",IF(INDEX($AB$2:$AQ$1001,MATCH(ROWS($U$2:U125),$U$2:$U$1001,0),MATCH(COLUMNS($AB$1006:AM1006),$AB$1006:$AQ$1006,0)), HYPERLINK("#",""), HYPERLINK(CONCATENATE("#Metadata!", ADDRESS(INDEX($W$2:$W$1001,MATCH(ROWS($U$2:U125),$U$2:$U$1001,0),0), INDEX($AB$1004:$AQ$1004,1,MATCH(COLUMNS($AB$1006:AM1006),$AB$1006:$AQ$1006,0)))),"Fix")))</f>
        <v>0</v>
      </c>
      <c r="N125" s="5">
        <f>IF(OR(INDEX($V$2:$V$1001,MATCH(ROWS($U$2:U125),$U$2:$U$1001,0),1)&gt;=100000,INDEX($AB$1005:$AQ$1005,1,MATCH(COLUMNS($AB$1006:AN1006),$AB$1006:$AQ$1006,0))&gt;=100000), " ",IF(INDEX($AB$2:$AQ$1001,MATCH(ROWS($U$2:U125),$U$2:$U$1001,0),MATCH(COLUMNS($AB$1006:AN1006),$AB$1006:$AQ$1006,0)), HYPERLINK("#",""), HYPERLINK(CONCATENATE("#Metadata!", ADDRESS(INDEX($W$2:$W$1001,MATCH(ROWS($U$2:U125),$U$2:$U$1001,0),0), INDEX($AB$1004:$AQ$1004,1,MATCH(COLUMNS($AB$1006:AN1006),$AB$1006:$AQ$1006,0)))),"Fix")))</f>
        <v>0</v>
      </c>
      <c r="O125" s="5">
        <f>IF(OR(INDEX($V$2:$V$1001,MATCH(ROWS($U$2:U125),$U$2:$U$1001,0),1)&gt;=100000,INDEX($AB$1005:$AQ$1005,1,MATCH(COLUMNS($AB$1006:AO1006),$AB$1006:$AQ$1006,0))&gt;=100000), " ",IF(INDEX($AB$2:$AQ$1001,MATCH(ROWS($U$2:U125),$U$2:$U$1001,0),MATCH(COLUMNS($AB$1006:AO1006),$AB$1006:$AQ$1006,0)), HYPERLINK("#",""), HYPERLINK(CONCATENATE("#Metadata!", ADDRESS(INDEX($W$2:$W$1001,MATCH(ROWS($U$2:U125),$U$2:$U$1001,0),0), INDEX($AB$1004:$AQ$1004,1,MATCH(COLUMNS($AB$1006:AO1006),$AB$1006:$AQ$1006,0)))),"Fix")))</f>
        <v>0</v>
      </c>
      <c r="P125" s="5">
        <f>IF(OR(INDEX($V$2:$V$1001,MATCH(ROWS($U$2:U125),$U$2:$U$1001,0),1)&gt;=100000,INDEX($AB$1005:$AQ$1005,1,MATCH(COLUMNS($AB$1006:AP1006),$AB$1006:$AQ$1006,0))&gt;=100000), " ",IF(INDEX($AB$2:$AQ$1001,MATCH(ROWS($U$2:U125),$U$2:$U$1001,0),MATCH(COLUMNS($AB$1006:AP1006),$AB$1006:$AQ$1006,0)), HYPERLINK("#",""), HYPERLINK(CONCATENATE("#Metadata!", ADDRESS(INDEX($W$2:$W$1001,MATCH(ROWS($U$2:U125),$U$2:$U$1001,0),0), INDEX($AB$1004:$AQ$1004,1,MATCH(COLUMNS($AB$1006:AP1006),$AB$1006:$AQ$1006,0)))),"Fix")))</f>
        <v>0</v>
      </c>
      <c r="Q125" s="5">
        <f>IF(OR(INDEX($V$2:$V$1001,MATCH(ROWS($U$2:U125),$U$2:$U$1001,0),1)&gt;=100000,INDEX($AB$1005:$AQ$1005,1,MATCH(COLUMNS($AB$1006:AQ1006),$AB$1006:$AQ$1006,0))&gt;=100000), " ",IF(INDEX($AB$2:$AQ$1001,MATCH(ROWS($U$2:U125),$U$2:$U$1001,0),MATCH(COLUMNS($AB$1006:AQ1006),$AB$1006:$AQ$1006,0)), HYPERLINK("#",""), HYPERLINK(CONCATENATE("#Metadata!", ADDRESS(INDEX($W$2:$W$1001,MATCH(ROWS($U$2:U125),$U$2:$U$1001,0),0), INDEX($AB$1004:$AQ$1004,1,MATCH(COLUMNS($AB$1006:AQ1006),$AB$1006:$AQ$1006,0)))),"Fix")))</f>
        <v>0</v>
      </c>
      <c r="U125">
        <v>0</v>
      </c>
      <c r="V125">
        <v>0</v>
      </c>
      <c r="W125">
        <v>0</v>
      </c>
      <c r="X125">
        <f>IF(Y125,TRUE,AND(AB125:AQ125))</f>
        <v>0</v>
      </c>
      <c r="Y125">
        <f>COUNTBLANK(Metadata!B125:Q125)=COLUMNS(Metadata!B125:Q125)</f>
        <v>0</v>
      </c>
      <c r="Z125">
        <v>0</v>
      </c>
      <c r="AB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AC125">
        <f>AND(IF(Metadata!C125="",FALSE,TRUE),exact(Metadata!C125,"urban biome"))</f>
        <v>0</v>
      </c>
      <c r="AD125">
        <f>AND(IF(Metadata!D125="",FALSE,TRUE),exact(Metadata!D125,"human-associated habitat"))</f>
        <v>0</v>
      </c>
      <c r="AE125">
        <f>AND(IF(Metadata!E125="",FALSE,TRUE),OR(exact(Metadata!E125,"human-associated"),exact(Metadata!E125,"human-skin"),exact(Metadata!E125,"human-oral"),exact(Metadata!E125,"human-gut"),exact(Metadata!E125,"human-vaginal")))</f>
        <v>0</v>
      </c>
      <c r="AF125">
        <f>AND(IF(Metadata!F125="",FALSE,ISNUMBER(VALUE(Metadata!F125))),Metadata!F125&gt;0)</f>
        <v>0</v>
      </c>
      <c r="AG125">
        <f>AND(IF(Metadata!G125="",FALSE,TRUE),exact(Metadata!G125,"years"))</f>
        <v>0</v>
      </c>
      <c r="AH125">
        <f>OR(AND(IF(Metadata!H125="",FALSE,TRUE),OR(exact(Metadata!H125,"not applicable"),exact(Metadata!H125,"not collected"),exact(Metadata!H125,"not provided"),exact(Metadata!H125,"restricted access"))),AND(IF(Metadata!H125="",FALSE,ISNUMBER(VALUE(Metadata!H125))),Metadata!H125&gt;0))</f>
        <v>0</v>
      </c>
      <c r="AI125">
        <f>AND(IF(Metadata!I125="",FALSE,TRUE),exact(Metadata!I125,"human"))</f>
        <v>0</v>
      </c>
      <c r="AJ125">
        <f>AND(IF(Metadata!J125="",FALSE,ISNUMBER(VALUE(Metadata!J125))),Metadata!J125&gt;0)</f>
        <v>0</v>
      </c>
      <c r="AK125">
        <f>AND(IF(Metadata!K125="",FALSE,TRUE),exact(Metadata!K125,"cm"))</f>
        <v>0</v>
      </c>
      <c r="AL125">
        <f>AND(IF(Metadata!L125="",FALSE,TRUE),exact(Metadata!L125,"Homo sapiens"))</f>
        <v>0</v>
      </c>
      <c r="AM125">
        <f>AND(IF(Metadata!M125="",FALSE,TRUE),exact(Metadata!M125,"9606"))</f>
        <v>0</v>
      </c>
      <c r="AN125">
        <f>AND(IF(Metadata!N125="",FALSE,ISNUMBER(VALUE(Metadata!N125))),Metadata!N125&gt;0)</f>
        <v>0</v>
      </c>
      <c r="AO125">
        <f>AND(IF(Metadata!O125="",FALSE,TRUE),exact(Metadata!O125,"kg"))</f>
        <v>0</v>
      </c>
      <c r="AP125">
        <f>OR(AND(IF(Metadata!P125="",FALSE,TRUE),exact(Metadata!P125,"not provided")),IF(Metadata!P125="",FALSE,TRUE))</f>
        <v>0</v>
      </c>
      <c r="AQ125">
        <f>OR(AND(IF(Metadata!Q125="",FALSE,TRUE),exact(Metadata!Q125,"not provided")),IF(Metadata!Q125="",FALSE,TRUE))</f>
        <v>0</v>
      </c>
    </row>
    <row r="126" spans="1:43">
      <c r="A126" s="4">
        <f>IF(B126=" "," ",HYPERLINK(CONCATENATE("#metadata!",ADDRESS(INDEX($W$2:$W$1001,MATCH(ROWS($U$2:U126),$U$2:$U$1001,0),0),2)),INDEX($Z$2:$Z$1001,MATCH(ROWS($U$2:U126),$U$2:$U$1001,0),0)))</f>
        <v>0</v>
      </c>
      <c r="B126" s="5">
        <f>IF(OR(INDEX($V$2:$V$1001,MATCH(ROWS($U$2:U126),$U$2:$U$1001,0),1)&gt;=100000,INDEX($AB$1005:$AQ$1005,1,MATCH(COLUMNS($AB$1006:AB1006),$AB$1006:$AQ$1006,0))&gt;=100000), " ",IF(INDEX($AB$2:$AQ$1001,MATCH(ROWS($U$2:U126),$U$2:$U$1001,0),MATCH(COLUMNS($AB$1006:AB1006),$AB$1006:$AQ$1006,0)), HYPERLINK("#",""), HYPERLINK(CONCATENATE("#Metadata!", ADDRESS(INDEX($W$2:$W$1001,MATCH(ROWS($U$2:U126),$U$2:$U$1001,0),0), INDEX($AB$1004:$AQ$1004,1,MATCH(COLUMNS($AB$1006:AB1006),$AB$1006:$AQ$1006,0)))),"Fix")))</f>
        <v>0</v>
      </c>
      <c r="C126" s="5">
        <f>IF(OR(INDEX($V$2:$V$1001,MATCH(ROWS($U$2:U126),$U$2:$U$1001,0),1)&gt;=100000,INDEX($AB$1005:$AQ$1005,1,MATCH(COLUMNS($AB$1006:AC1006),$AB$1006:$AQ$1006,0))&gt;=100000), " ",IF(INDEX($AB$2:$AQ$1001,MATCH(ROWS($U$2:U126),$U$2:$U$1001,0),MATCH(COLUMNS($AB$1006:AC1006),$AB$1006:$AQ$1006,0)), HYPERLINK("#",""), HYPERLINK(CONCATENATE("#Metadata!", ADDRESS(INDEX($W$2:$W$1001,MATCH(ROWS($U$2:U126),$U$2:$U$1001,0),0), INDEX($AB$1004:$AQ$1004,1,MATCH(COLUMNS($AB$1006:AC1006),$AB$1006:$AQ$1006,0)))),"Fix")))</f>
        <v>0</v>
      </c>
      <c r="D126" s="5">
        <f>IF(OR(INDEX($V$2:$V$1001,MATCH(ROWS($U$2:U126),$U$2:$U$1001,0),1)&gt;=100000,INDEX($AB$1005:$AQ$1005,1,MATCH(COLUMNS($AB$1006:AD1006),$AB$1006:$AQ$1006,0))&gt;=100000), " ",IF(INDEX($AB$2:$AQ$1001,MATCH(ROWS($U$2:U126),$U$2:$U$1001,0),MATCH(COLUMNS($AB$1006:AD1006),$AB$1006:$AQ$1006,0)), HYPERLINK("#",""), HYPERLINK(CONCATENATE("#Metadata!", ADDRESS(INDEX($W$2:$W$1001,MATCH(ROWS($U$2:U126),$U$2:$U$1001,0),0), INDEX($AB$1004:$AQ$1004,1,MATCH(COLUMNS($AB$1006:AD1006),$AB$1006:$AQ$1006,0)))),"Fix")))</f>
        <v>0</v>
      </c>
      <c r="E126" s="5">
        <f>IF(OR(INDEX($V$2:$V$1001,MATCH(ROWS($U$2:U126),$U$2:$U$1001,0),1)&gt;=100000,INDEX($AB$1005:$AQ$1005,1,MATCH(COLUMNS($AB$1006:AE1006),$AB$1006:$AQ$1006,0))&gt;=100000), " ",IF(INDEX($AB$2:$AQ$1001,MATCH(ROWS($U$2:U126),$U$2:$U$1001,0),MATCH(COLUMNS($AB$1006:AE1006),$AB$1006:$AQ$1006,0)), HYPERLINK("#",""), HYPERLINK(CONCATENATE("#Metadata!", ADDRESS(INDEX($W$2:$W$1001,MATCH(ROWS($U$2:U126),$U$2:$U$1001,0),0), INDEX($AB$1004:$AQ$1004,1,MATCH(COLUMNS($AB$1006:AE1006),$AB$1006:$AQ$1006,0)))),"Fix")))</f>
        <v>0</v>
      </c>
      <c r="F126" s="5">
        <f>IF(OR(INDEX($V$2:$V$1001,MATCH(ROWS($U$2:U126),$U$2:$U$1001,0),1)&gt;=100000,INDEX($AB$1005:$AQ$1005,1,MATCH(COLUMNS($AB$1006:AF1006),$AB$1006:$AQ$1006,0))&gt;=100000), " ",IF(INDEX($AB$2:$AQ$1001,MATCH(ROWS($U$2:U126),$U$2:$U$1001,0),MATCH(COLUMNS($AB$1006:AF1006),$AB$1006:$AQ$1006,0)), HYPERLINK("#",""), HYPERLINK(CONCATENATE("#Metadata!", ADDRESS(INDEX($W$2:$W$1001,MATCH(ROWS($U$2:U126),$U$2:$U$1001,0),0), INDEX($AB$1004:$AQ$1004,1,MATCH(COLUMNS($AB$1006:AF1006),$AB$1006:$AQ$1006,0)))),"Fix")))</f>
        <v>0</v>
      </c>
      <c r="G126" s="5">
        <f>IF(OR(INDEX($V$2:$V$1001,MATCH(ROWS($U$2:U126),$U$2:$U$1001,0),1)&gt;=100000,INDEX($AB$1005:$AQ$1005,1,MATCH(COLUMNS($AB$1006:AG1006),$AB$1006:$AQ$1006,0))&gt;=100000), " ",IF(INDEX($AB$2:$AQ$1001,MATCH(ROWS($U$2:U126),$U$2:$U$1001,0),MATCH(COLUMNS($AB$1006:AG1006),$AB$1006:$AQ$1006,0)), HYPERLINK("#",""), HYPERLINK(CONCATENATE("#Metadata!", ADDRESS(INDEX($W$2:$W$1001,MATCH(ROWS($U$2:U126),$U$2:$U$1001,0),0), INDEX($AB$1004:$AQ$1004,1,MATCH(COLUMNS($AB$1006:AG1006),$AB$1006:$AQ$1006,0)))),"Fix")))</f>
        <v>0</v>
      </c>
      <c r="H126" s="5">
        <f>IF(OR(INDEX($V$2:$V$1001,MATCH(ROWS($U$2:U126),$U$2:$U$1001,0),1)&gt;=100000,INDEX($AB$1005:$AQ$1005,1,MATCH(COLUMNS($AB$1006:AH1006),$AB$1006:$AQ$1006,0))&gt;=100000), " ",IF(INDEX($AB$2:$AQ$1001,MATCH(ROWS($U$2:U126),$U$2:$U$1001,0),MATCH(COLUMNS($AB$1006:AH1006),$AB$1006:$AQ$1006,0)), HYPERLINK("#",""), HYPERLINK(CONCATENATE("#Metadata!", ADDRESS(INDEX($W$2:$W$1001,MATCH(ROWS($U$2:U126),$U$2:$U$1001,0),0), INDEX($AB$1004:$AQ$1004,1,MATCH(COLUMNS($AB$1006:AH1006),$AB$1006:$AQ$1006,0)))),"Fix")))</f>
        <v>0</v>
      </c>
      <c r="I126" s="5">
        <f>IF(OR(INDEX($V$2:$V$1001,MATCH(ROWS($U$2:U126),$U$2:$U$1001,0),1)&gt;=100000,INDEX($AB$1005:$AQ$1005,1,MATCH(COLUMNS($AB$1006:AI1006),$AB$1006:$AQ$1006,0))&gt;=100000), " ",IF(INDEX($AB$2:$AQ$1001,MATCH(ROWS($U$2:U126),$U$2:$U$1001,0),MATCH(COLUMNS($AB$1006:AI1006),$AB$1006:$AQ$1006,0)), HYPERLINK("#",""), HYPERLINK(CONCATENATE("#Metadata!", ADDRESS(INDEX($W$2:$W$1001,MATCH(ROWS($U$2:U126),$U$2:$U$1001,0),0), INDEX($AB$1004:$AQ$1004,1,MATCH(COLUMNS($AB$1006:AI1006),$AB$1006:$AQ$1006,0)))),"Fix")))</f>
        <v>0</v>
      </c>
      <c r="J126" s="5">
        <f>IF(OR(INDEX($V$2:$V$1001,MATCH(ROWS($U$2:U126),$U$2:$U$1001,0),1)&gt;=100000,INDEX($AB$1005:$AQ$1005,1,MATCH(COLUMNS($AB$1006:AJ1006),$AB$1006:$AQ$1006,0))&gt;=100000), " ",IF(INDEX($AB$2:$AQ$1001,MATCH(ROWS($U$2:U126),$U$2:$U$1001,0),MATCH(COLUMNS($AB$1006:AJ1006),$AB$1006:$AQ$1006,0)), HYPERLINK("#",""), HYPERLINK(CONCATENATE("#Metadata!", ADDRESS(INDEX($W$2:$W$1001,MATCH(ROWS($U$2:U126),$U$2:$U$1001,0),0), INDEX($AB$1004:$AQ$1004,1,MATCH(COLUMNS($AB$1006:AJ1006),$AB$1006:$AQ$1006,0)))),"Fix")))</f>
        <v>0</v>
      </c>
      <c r="K126" s="5">
        <f>IF(OR(INDEX($V$2:$V$1001,MATCH(ROWS($U$2:U126),$U$2:$U$1001,0),1)&gt;=100000,INDEX($AB$1005:$AQ$1005,1,MATCH(COLUMNS($AB$1006:AK1006),$AB$1006:$AQ$1006,0))&gt;=100000), " ",IF(INDEX($AB$2:$AQ$1001,MATCH(ROWS($U$2:U126),$U$2:$U$1001,0),MATCH(COLUMNS($AB$1006:AK1006),$AB$1006:$AQ$1006,0)), HYPERLINK("#",""), HYPERLINK(CONCATENATE("#Metadata!", ADDRESS(INDEX($W$2:$W$1001,MATCH(ROWS($U$2:U126),$U$2:$U$1001,0),0), INDEX($AB$1004:$AQ$1004,1,MATCH(COLUMNS($AB$1006:AK1006),$AB$1006:$AQ$1006,0)))),"Fix")))</f>
        <v>0</v>
      </c>
      <c r="L126" s="5">
        <f>IF(OR(INDEX($V$2:$V$1001,MATCH(ROWS($U$2:U126),$U$2:$U$1001,0),1)&gt;=100000,INDEX($AB$1005:$AQ$1005,1,MATCH(COLUMNS($AB$1006:AL1006),$AB$1006:$AQ$1006,0))&gt;=100000), " ",IF(INDEX($AB$2:$AQ$1001,MATCH(ROWS($U$2:U126),$U$2:$U$1001,0),MATCH(COLUMNS($AB$1006:AL1006),$AB$1006:$AQ$1006,0)), HYPERLINK("#",""), HYPERLINK(CONCATENATE("#Metadata!", ADDRESS(INDEX($W$2:$W$1001,MATCH(ROWS($U$2:U126),$U$2:$U$1001,0),0), INDEX($AB$1004:$AQ$1004,1,MATCH(COLUMNS($AB$1006:AL1006),$AB$1006:$AQ$1006,0)))),"Fix")))</f>
        <v>0</v>
      </c>
      <c r="M126" s="5">
        <f>IF(OR(INDEX($V$2:$V$1001,MATCH(ROWS($U$2:U126),$U$2:$U$1001,0),1)&gt;=100000,INDEX($AB$1005:$AQ$1005,1,MATCH(COLUMNS($AB$1006:AM1006),$AB$1006:$AQ$1006,0))&gt;=100000), " ",IF(INDEX($AB$2:$AQ$1001,MATCH(ROWS($U$2:U126),$U$2:$U$1001,0),MATCH(COLUMNS($AB$1006:AM1006),$AB$1006:$AQ$1006,0)), HYPERLINK("#",""), HYPERLINK(CONCATENATE("#Metadata!", ADDRESS(INDEX($W$2:$W$1001,MATCH(ROWS($U$2:U126),$U$2:$U$1001,0),0), INDEX($AB$1004:$AQ$1004,1,MATCH(COLUMNS($AB$1006:AM1006),$AB$1006:$AQ$1006,0)))),"Fix")))</f>
        <v>0</v>
      </c>
      <c r="N126" s="5">
        <f>IF(OR(INDEX($V$2:$V$1001,MATCH(ROWS($U$2:U126),$U$2:$U$1001,0),1)&gt;=100000,INDEX($AB$1005:$AQ$1005,1,MATCH(COLUMNS($AB$1006:AN1006),$AB$1006:$AQ$1006,0))&gt;=100000), " ",IF(INDEX($AB$2:$AQ$1001,MATCH(ROWS($U$2:U126),$U$2:$U$1001,0),MATCH(COLUMNS($AB$1006:AN1006),$AB$1006:$AQ$1006,0)), HYPERLINK("#",""), HYPERLINK(CONCATENATE("#Metadata!", ADDRESS(INDEX($W$2:$W$1001,MATCH(ROWS($U$2:U126),$U$2:$U$1001,0),0), INDEX($AB$1004:$AQ$1004,1,MATCH(COLUMNS($AB$1006:AN1006),$AB$1006:$AQ$1006,0)))),"Fix")))</f>
        <v>0</v>
      </c>
      <c r="O126" s="5">
        <f>IF(OR(INDEX($V$2:$V$1001,MATCH(ROWS($U$2:U126),$U$2:$U$1001,0),1)&gt;=100000,INDEX($AB$1005:$AQ$1005,1,MATCH(COLUMNS($AB$1006:AO1006),$AB$1006:$AQ$1006,0))&gt;=100000), " ",IF(INDEX($AB$2:$AQ$1001,MATCH(ROWS($U$2:U126),$U$2:$U$1001,0),MATCH(COLUMNS($AB$1006:AO1006),$AB$1006:$AQ$1006,0)), HYPERLINK("#",""), HYPERLINK(CONCATENATE("#Metadata!", ADDRESS(INDEX($W$2:$W$1001,MATCH(ROWS($U$2:U126),$U$2:$U$1001,0),0), INDEX($AB$1004:$AQ$1004,1,MATCH(COLUMNS($AB$1006:AO1006),$AB$1006:$AQ$1006,0)))),"Fix")))</f>
        <v>0</v>
      </c>
      <c r="P126" s="5">
        <f>IF(OR(INDEX($V$2:$V$1001,MATCH(ROWS($U$2:U126),$U$2:$U$1001,0),1)&gt;=100000,INDEX($AB$1005:$AQ$1005,1,MATCH(COLUMNS($AB$1006:AP1006),$AB$1006:$AQ$1006,0))&gt;=100000), " ",IF(INDEX($AB$2:$AQ$1001,MATCH(ROWS($U$2:U126),$U$2:$U$1001,0),MATCH(COLUMNS($AB$1006:AP1006),$AB$1006:$AQ$1006,0)), HYPERLINK("#",""), HYPERLINK(CONCATENATE("#Metadata!", ADDRESS(INDEX($W$2:$W$1001,MATCH(ROWS($U$2:U126),$U$2:$U$1001,0),0), INDEX($AB$1004:$AQ$1004,1,MATCH(COLUMNS($AB$1006:AP1006),$AB$1006:$AQ$1006,0)))),"Fix")))</f>
        <v>0</v>
      </c>
      <c r="Q126" s="5">
        <f>IF(OR(INDEX($V$2:$V$1001,MATCH(ROWS($U$2:U126),$U$2:$U$1001,0),1)&gt;=100000,INDEX($AB$1005:$AQ$1005,1,MATCH(COLUMNS($AB$1006:AQ1006),$AB$1006:$AQ$1006,0))&gt;=100000), " ",IF(INDEX($AB$2:$AQ$1001,MATCH(ROWS($U$2:U126),$U$2:$U$1001,0),MATCH(COLUMNS($AB$1006:AQ1006),$AB$1006:$AQ$1006,0)), HYPERLINK("#",""), HYPERLINK(CONCATENATE("#Metadata!", ADDRESS(INDEX($W$2:$W$1001,MATCH(ROWS($U$2:U126),$U$2:$U$1001,0),0), INDEX($AB$1004:$AQ$1004,1,MATCH(COLUMNS($AB$1006:AQ1006),$AB$1006:$AQ$1006,0)))),"Fix")))</f>
        <v>0</v>
      </c>
      <c r="U126">
        <v>0</v>
      </c>
      <c r="V126">
        <v>0</v>
      </c>
      <c r="W126">
        <v>0</v>
      </c>
      <c r="X126">
        <f>IF(Y126,TRUE,AND(AB126:AQ126))</f>
        <v>0</v>
      </c>
      <c r="Y126">
        <f>COUNTBLANK(Metadata!B126:Q126)=COLUMNS(Metadata!B126:Q126)</f>
        <v>0</v>
      </c>
      <c r="Z126">
        <v>0</v>
      </c>
      <c r="AB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AC126">
        <f>AND(IF(Metadata!C126="",FALSE,TRUE),exact(Metadata!C126,"urban biome"))</f>
        <v>0</v>
      </c>
      <c r="AD126">
        <f>AND(IF(Metadata!D126="",FALSE,TRUE),exact(Metadata!D126,"human-associated habitat"))</f>
        <v>0</v>
      </c>
      <c r="AE126">
        <f>AND(IF(Metadata!E126="",FALSE,TRUE),OR(exact(Metadata!E126,"human-associated"),exact(Metadata!E126,"human-skin"),exact(Metadata!E126,"human-oral"),exact(Metadata!E126,"human-gut"),exact(Metadata!E126,"human-vaginal")))</f>
        <v>0</v>
      </c>
      <c r="AF126">
        <f>AND(IF(Metadata!F126="",FALSE,ISNUMBER(VALUE(Metadata!F126))),Metadata!F126&gt;0)</f>
        <v>0</v>
      </c>
      <c r="AG126">
        <f>AND(IF(Metadata!G126="",FALSE,TRUE),exact(Metadata!G126,"years"))</f>
        <v>0</v>
      </c>
      <c r="AH126">
        <f>OR(AND(IF(Metadata!H126="",FALSE,TRUE),OR(exact(Metadata!H126,"not applicable"),exact(Metadata!H126,"not collected"),exact(Metadata!H126,"not provided"),exact(Metadata!H126,"restricted access"))),AND(IF(Metadata!H126="",FALSE,ISNUMBER(VALUE(Metadata!H126))),Metadata!H126&gt;0))</f>
        <v>0</v>
      </c>
      <c r="AI126">
        <f>AND(IF(Metadata!I126="",FALSE,TRUE),exact(Metadata!I126,"human"))</f>
        <v>0</v>
      </c>
      <c r="AJ126">
        <f>AND(IF(Metadata!J126="",FALSE,ISNUMBER(VALUE(Metadata!J126))),Metadata!J126&gt;0)</f>
        <v>0</v>
      </c>
      <c r="AK126">
        <f>AND(IF(Metadata!K126="",FALSE,TRUE),exact(Metadata!K126,"cm"))</f>
        <v>0</v>
      </c>
      <c r="AL126">
        <f>AND(IF(Metadata!L126="",FALSE,TRUE),exact(Metadata!L126,"Homo sapiens"))</f>
        <v>0</v>
      </c>
      <c r="AM126">
        <f>AND(IF(Metadata!M126="",FALSE,TRUE),exact(Metadata!M126,"9606"))</f>
        <v>0</v>
      </c>
      <c r="AN126">
        <f>AND(IF(Metadata!N126="",FALSE,ISNUMBER(VALUE(Metadata!N126))),Metadata!N126&gt;0)</f>
        <v>0</v>
      </c>
      <c r="AO126">
        <f>AND(IF(Metadata!O126="",FALSE,TRUE),exact(Metadata!O126,"kg"))</f>
        <v>0</v>
      </c>
      <c r="AP126">
        <f>OR(AND(IF(Metadata!P126="",FALSE,TRUE),exact(Metadata!P126,"not provided")),IF(Metadata!P126="",FALSE,TRUE))</f>
        <v>0</v>
      </c>
      <c r="AQ126">
        <f>OR(AND(IF(Metadata!Q126="",FALSE,TRUE),exact(Metadata!Q126,"not provided")),IF(Metadata!Q126="",FALSE,TRUE))</f>
        <v>0</v>
      </c>
    </row>
    <row r="127" spans="1:43">
      <c r="A127" s="4">
        <f>IF(B127=" "," ",HYPERLINK(CONCATENATE("#metadata!",ADDRESS(INDEX($W$2:$W$1001,MATCH(ROWS($U$2:U127),$U$2:$U$1001,0),0),2)),INDEX($Z$2:$Z$1001,MATCH(ROWS($U$2:U127),$U$2:$U$1001,0),0)))</f>
        <v>0</v>
      </c>
      <c r="B127" s="5">
        <f>IF(OR(INDEX($V$2:$V$1001,MATCH(ROWS($U$2:U127),$U$2:$U$1001,0),1)&gt;=100000,INDEX($AB$1005:$AQ$1005,1,MATCH(COLUMNS($AB$1006:AB1006),$AB$1006:$AQ$1006,0))&gt;=100000), " ",IF(INDEX($AB$2:$AQ$1001,MATCH(ROWS($U$2:U127),$U$2:$U$1001,0),MATCH(COLUMNS($AB$1006:AB1006),$AB$1006:$AQ$1006,0)), HYPERLINK("#",""), HYPERLINK(CONCATENATE("#Metadata!", ADDRESS(INDEX($W$2:$W$1001,MATCH(ROWS($U$2:U127),$U$2:$U$1001,0),0), INDEX($AB$1004:$AQ$1004,1,MATCH(COLUMNS($AB$1006:AB1006),$AB$1006:$AQ$1006,0)))),"Fix")))</f>
        <v>0</v>
      </c>
      <c r="C127" s="5">
        <f>IF(OR(INDEX($V$2:$V$1001,MATCH(ROWS($U$2:U127),$U$2:$U$1001,0),1)&gt;=100000,INDEX($AB$1005:$AQ$1005,1,MATCH(COLUMNS($AB$1006:AC1006),$AB$1006:$AQ$1006,0))&gt;=100000), " ",IF(INDEX($AB$2:$AQ$1001,MATCH(ROWS($U$2:U127),$U$2:$U$1001,0),MATCH(COLUMNS($AB$1006:AC1006),$AB$1006:$AQ$1006,0)), HYPERLINK("#",""), HYPERLINK(CONCATENATE("#Metadata!", ADDRESS(INDEX($W$2:$W$1001,MATCH(ROWS($U$2:U127),$U$2:$U$1001,0),0), INDEX($AB$1004:$AQ$1004,1,MATCH(COLUMNS($AB$1006:AC1006),$AB$1006:$AQ$1006,0)))),"Fix")))</f>
        <v>0</v>
      </c>
      <c r="D127" s="5">
        <f>IF(OR(INDEX($V$2:$V$1001,MATCH(ROWS($U$2:U127),$U$2:$U$1001,0),1)&gt;=100000,INDEX($AB$1005:$AQ$1005,1,MATCH(COLUMNS($AB$1006:AD1006),$AB$1006:$AQ$1006,0))&gt;=100000), " ",IF(INDEX($AB$2:$AQ$1001,MATCH(ROWS($U$2:U127),$U$2:$U$1001,0),MATCH(COLUMNS($AB$1006:AD1006),$AB$1006:$AQ$1006,0)), HYPERLINK("#",""), HYPERLINK(CONCATENATE("#Metadata!", ADDRESS(INDEX($W$2:$W$1001,MATCH(ROWS($U$2:U127),$U$2:$U$1001,0),0), INDEX($AB$1004:$AQ$1004,1,MATCH(COLUMNS($AB$1006:AD1006),$AB$1006:$AQ$1006,0)))),"Fix")))</f>
        <v>0</v>
      </c>
      <c r="E127" s="5">
        <f>IF(OR(INDEX($V$2:$V$1001,MATCH(ROWS($U$2:U127),$U$2:$U$1001,0),1)&gt;=100000,INDEX($AB$1005:$AQ$1005,1,MATCH(COLUMNS($AB$1006:AE1006),$AB$1006:$AQ$1006,0))&gt;=100000), " ",IF(INDEX($AB$2:$AQ$1001,MATCH(ROWS($U$2:U127),$U$2:$U$1001,0),MATCH(COLUMNS($AB$1006:AE1006),$AB$1006:$AQ$1006,0)), HYPERLINK("#",""), HYPERLINK(CONCATENATE("#Metadata!", ADDRESS(INDEX($W$2:$W$1001,MATCH(ROWS($U$2:U127),$U$2:$U$1001,0),0), INDEX($AB$1004:$AQ$1004,1,MATCH(COLUMNS($AB$1006:AE1006),$AB$1006:$AQ$1006,0)))),"Fix")))</f>
        <v>0</v>
      </c>
      <c r="F127" s="5">
        <f>IF(OR(INDEX($V$2:$V$1001,MATCH(ROWS($U$2:U127),$U$2:$U$1001,0),1)&gt;=100000,INDEX($AB$1005:$AQ$1005,1,MATCH(COLUMNS($AB$1006:AF1006),$AB$1006:$AQ$1006,0))&gt;=100000), " ",IF(INDEX($AB$2:$AQ$1001,MATCH(ROWS($U$2:U127),$U$2:$U$1001,0),MATCH(COLUMNS($AB$1006:AF1006),$AB$1006:$AQ$1006,0)), HYPERLINK("#",""), HYPERLINK(CONCATENATE("#Metadata!", ADDRESS(INDEX($W$2:$W$1001,MATCH(ROWS($U$2:U127),$U$2:$U$1001,0),0), INDEX($AB$1004:$AQ$1004,1,MATCH(COLUMNS($AB$1006:AF1006),$AB$1006:$AQ$1006,0)))),"Fix")))</f>
        <v>0</v>
      </c>
      <c r="G127" s="5">
        <f>IF(OR(INDEX($V$2:$V$1001,MATCH(ROWS($U$2:U127),$U$2:$U$1001,0),1)&gt;=100000,INDEX($AB$1005:$AQ$1005,1,MATCH(COLUMNS($AB$1006:AG1006),$AB$1006:$AQ$1006,0))&gt;=100000), " ",IF(INDEX($AB$2:$AQ$1001,MATCH(ROWS($U$2:U127),$U$2:$U$1001,0),MATCH(COLUMNS($AB$1006:AG1006),$AB$1006:$AQ$1006,0)), HYPERLINK("#",""), HYPERLINK(CONCATENATE("#Metadata!", ADDRESS(INDEX($W$2:$W$1001,MATCH(ROWS($U$2:U127),$U$2:$U$1001,0),0), INDEX($AB$1004:$AQ$1004,1,MATCH(COLUMNS($AB$1006:AG1006),$AB$1006:$AQ$1006,0)))),"Fix")))</f>
        <v>0</v>
      </c>
      <c r="H127" s="5">
        <f>IF(OR(INDEX($V$2:$V$1001,MATCH(ROWS($U$2:U127),$U$2:$U$1001,0),1)&gt;=100000,INDEX($AB$1005:$AQ$1005,1,MATCH(COLUMNS($AB$1006:AH1006),$AB$1006:$AQ$1006,0))&gt;=100000), " ",IF(INDEX($AB$2:$AQ$1001,MATCH(ROWS($U$2:U127),$U$2:$U$1001,0),MATCH(COLUMNS($AB$1006:AH1006),$AB$1006:$AQ$1006,0)), HYPERLINK("#",""), HYPERLINK(CONCATENATE("#Metadata!", ADDRESS(INDEX($W$2:$W$1001,MATCH(ROWS($U$2:U127),$U$2:$U$1001,0),0), INDEX($AB$1004:$AQ$1004,1,MATCH(COLUMNS($AB$1006:AH1006),$AB$1006:$AQ$1006,0)))),"Fix")))</f>
        <v>0</v>
      </c>
      <c r="I127" s="5">
        <f>IF(OR(INDEX($V$2:$V$1001,MATCH(ROWS($U$2:U127),$U$2:$U$1001,0),1)&gt;=100000,INDEX($AB$1005:$AQ$1005,1,MATCH(COLUMNS($AB$1006:AI1006),$AB$1006:$AQ$1006,0))&gt;=100000), " ",IF(INDEX($AB$2:$AQ$1001,MATCH(ROWS($U$2:U127),$U$2:$U$1001,0),MATCH(COLUMNS($AB$1006:AI1006),$AB$1006:$AQ$1006,0)), HYPERLINK("#",""), HYPERLINK(CONCATENATE("#Metadata!", ADDRESS(INDEX($W$2:$W$1001,MATCH(ROWS($U$2:U127),$U$2:$U$1001,0),0), INDEX($AB$1004:$AQ$1004,1,MATCH(COLUMNS($AB$1006:AI1006),$AB$1006:$AQ$1006,0)))),"Fix")))</f>
        <v>0</v>
      </c>
      <c r="J127" s="5">
        <f>IF(OR(INDEX($V$2:$V$1001,MATCH(ROWS($U$2:U127),$U$2:$U$1001,0),1)&gt;=100000,INDEX($AB$1005:$AQ$1005,1,MATCH(COLUMNS($AB$1006:AJ1006),$AB$1006:$AQ$1006,0))&gt;=100000), " ",IF(INDEX($AB$2:$AQ$1001,MATCH(ROWS($U$2:U127),$U$2:$U$1001,0),MATCH(COLUMNS($AB$1006:AJ1006),$AB$1006:$AQ$1006,0)), HYPERLINK("#",""), HYPERLINK(CONCATENATE("#Metadata!", ADDRESS(INDEX($W$2:$W$1001,MATCH(ROWS($U$2:U127),$U$2:$U$1001,0),0), INDEX($AB$1004:$AQ$1004,1,MATCH(COLUMNS($AB$1006:AJ1006),$AB$1006:$AQ$1006,0)))),"Fix")))</f>
        <v>0</v>
      </c>
      <c r="K127" s="5">
        <f>IF(OR(INDEX($V$2:$V$1001,MATCH(ROWS($U$2:U127),$U$2:$U$1001,0),1)&gt;=100000,INDEX($AB$1005:$AQ$1005,1,MATCH(COLUMNS($AB$1006:AK1006),$AB$1006:$AQ$1006,0))&gt;=100000), " ",IF(INDEX($AB$2:$AQ$1001,MATCH(ROWS($U$2:U127),$U$2:$U$1001,0),MATCH(COLUMNS($AB$1006:AK1006),$AB$1006:$AQ$1006,0)), HYPERLINK("#",""), HYPERLINK(CONCATENATE("#Metadata!", ADDRESS(INDEX($W$2:$W$1001,MATCH(ROWS($U$2:U127),$U$2:$U$1001,0),0), INDEX($AB$1004:$AQ$1004,1,MATCH(COLUMNS($AB$1006:AK1006),$AB$1006:$AQ$1006,0)))),"Fix")))</f>
        <v>0</v>
      </c>
      <c r="L127" s="5">
        <f>IF(OR(INDEX($V$2:$V$1001,MATCH(ROWS($U$2:U127),$U$2:$U$1001,0),1)&gt;=100000,INDEX($AB$1005:$AQ$1005,1,MATCH(COLUMNS($AB$1006:AL1006),$AB$1006:$AQ$1006,0))&gt;=100000), " ",IF(INDEX($AB$2:$AQ$1001,MATCH(ROWS($U$2:U127),$U$2:$U$1001,0),MATCH(COLUMNS($AB$1006:AL1006),$AB$1006:$AQ$1006,0)), HYPERLINK("#",""), HYPERLINK(CONCATENATE("#Metadata!", ADDRESS(INDEX($W$2:$W$1001,MATCH(ROWS($U$2:U127),$U$2:$U$1001,0),0), INDEX($AB$1004:$AQ$1004,1,MATCH(COLUMNS($AB$1006:AL1006),$AB$1006:$AQ$1006,0)))),"Fix")))</f>
        <v>0</v>
      </c>
      <c r="M127" s="5">
        <f>IF(OR(INDEX($V$2:$V$1001,MATCH(ROWS($U$2:U127),$U$2:$U$1001,0),1)&gt;=100000,INDEX($AB$1005:$AQ$1005,1,MATCH(COLUMNS($AB$1006:AM1006),$AB$1006:$AQ$1006,0))&gt;=100000), " ",IF(INDEX($AB$2:$AQ$1001,MATCH(ROWS($U$2:U127),$U$2:$U$1001,0),MATCH(COLUMNS($AB$1006:AM1006),$AB$1006:$AQ$1006,0)), HYPERLINK("#",""), HYPERLINK(CONCATENATE("#Metadata!", ADDRESS(INDEX($W$2:$W$1001,MATCH(ROWS($U$2:U127),$U$2:$U$1001,0),0), INDEX($AB$1004:$AQ$1004,1,MATCH(COLUMNS($AB$1006:AM1006),$AB$1006:$AQ$1006,0)))),"Fix")))</f>
        <v>0</v>
      </c>
      <c r="N127" s="5">
        <f>IF(OR(INDEX($V$2:$V$1001,MATCH(ROWS($U$2:U127),$U$2:$U$1001,0),1)&gt;=100000,INDEX($AB$1005:$AQ$1005,1,MATCH(COLUMNS($AB$1006:AN1006),$AB$1006:$AQ$1006,0))&gt;=100000), " ",IF(INDEX($AB$2:$AQ$1001,MATCH(ROWS($U$2:U127),$U$2:$U$1001,0),MATCH(COLUMNS($AB$1006:AN1006),$AB$1006:$AQ$1006,0)), HYPERLINK("#",""), HYPERLINK(CONCATENATE("#Metadata!", ADDRESS(INDEX($W$2:$W$1001,MATCH(ROWS($U$2:U127),$U$2:$U$1001,0),0), INDEX($AB$1004:$AQ$1004,1,MATCH(COLUMNS($AB$1006:AN1006),$AB$1006:$AQ$1006,0)))),"Fix")))</f>
        <v>0</v>
      </c>
      <c r="O127" s="5">
        <f>IF(OR(INDEX($V$2:$V$1001,MATCH(ROWS($U$2:U127),$U$2:$U$1001,0),1)&gt;=100000,INDEX($AB$1005:$AQ$1005,1,MATCH(COLUMNS($AB$1006:AO1006),$AB$1006:$AQ$1006,0))&gt;=100000), " ",IF(INDEX($AB$2:$AQ$1001,MATCH(ROWS($U$2:U127),$U$2:$U$1001,0),MATCH(COLUMNS($AB$1006:AO1006),$AB$1006:$AQ$1006,0)), HYPERLINK("#",""), HYPERLINK(CONCATENATE("#Metadata!", ADDRESS(INDEX($W$2:$W$1001,MATCH(ROWS($U$2:U127),$U$2:$U$1001,0),0), INDEX($AB$1004:$AQ$1004,1,MATCH(COLUMNS($AB$1006:AO1006),$AB$1006:$AQ$1006,0)))),"Fix")))</f>
        <v>0</v>
      </c>
      <c r="P127" s="5">
        <f>IF(OR(INDEX($V$2:$V$1001,MATCH(ROWS($U$2:U127),$U$2:$U$1001,0),1)&gt;=100000,INDEX($AB$1005:$AQ$1005,1,MATCH(COLUMNS($AB$1006:AP1006),$AB$1006:$AQ$1006,0))&gt;=100000), " ",IF(INDEX($AB$2:$AQ$1001,MATCH(ROWS($U$2:U127),$U$2:$U$1001,0),MATCH(COLUMNS($AB$1006:AP1006),$AB$1006:$AQ$1006,0)), HYPERLINK("#",""), HYPERLINK(CONCATENATE("#Metadata!", ADDRESS(INDEX($W$2:$W$1001,MATCH(ROWS($U$2:U127),$U$2:$U$1001,0),0), INDEX($AB$1004:$AQ$1004,1,MATCH(COLUMNS($AB$1006:AP1006),$AB$1006:$AQ$1006,0)))),"Fix")))</f>
        <v>0</v>
      </c>
      <c r="Q127" s="5">
        <f>IF(OR(INDEX($V$2:$V$1001,MATCH(ROWS($U$2:U127),$U$2:$U$1001,0),1)&gt;=100000,INDEX($AB$1005:$AQ$1005,1,MATCH(COLUMNS($AB$1006:AQ1006),$AB$1006:$AQ$1006,0))&gt;=100000), " ",IF(INDEX($AB$2:$AQ$1001,MATCH(ROWS($U$2:U127),$U$2:$U$1001,0),MATCH(COLUMNS($AB$1006:AQ1006),$AB$1006:$AQ$1006,0)), HYPERLINK("#",""), HYPERLINK(CONCATENATE("#Metadata!", ADDRESS(INDEX($W$2:$W$1001,MATCH(ROWS($U$2:U127),$U$2:$U$1001,0),0), INDEX($AB$1004:$AQ$1004,1,MATCH(COLUMNS($AB$1006:AQ1006),$AB$1006:$AQ$1006,0)))),"Fix")))</f>
        <v>0</v>
      </c>
      <c r="U127">
        <v>0</v>
      </c>
      <c r="V127">
        <v>0</v>
      </c>
      <c r="W127">
        <v>0</v>
      </c>
      <c r="X127">
        <f>IF(Y127,TRUE,AND(AB127:AQ127))</f>
        <v>0</v>
      </c>
      <c r="Y127">
        <f>COUNTBLANK(Metadata!B127:Q127)=COLUMNS(Metadata!B127:Q127)</f>
        <v>0</v>
      </c>
      <c r="Z127">
        <v>0</v>
      </c>
      <c r="AB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AC127">
        <f>AND(IF(Metadata!C127="",FALSE,TRUE),exact(Metadata!C127,"urban biome"))</f>
        <v>0</v>
      </c>
      <c r="AD127">
        <f>AND(IF(Metadata!D127="",FALSE,TRUE),exact(Metadata!D127,"human-associated habitat"))</f>
        <v>0</v>
      </c>
      <c r="AE127">
        <f>AND(IF(Metadata!E127="",FALSE,TRUE),OR(exact(Metadata!E127,"human-associated"),exact(Metadata!E127,"human-skin"),exact(Metadata!E127,"human-oral"),exact(Metadata!E127,"human-gut"),exact(Metadata!E127,"human-vaginal")))</f>
        <v>0</v>
      </c>
      <c r="AF127">
        <f>AND(IF(Metadata!F127="",FALSE,ISNUMBER(VALUE(Metadata!F127))),Metadata!F127&gt;0)</f>
        <v>0</v>
      </c>
      <c r="AG127">
        <f>AND(IF(Metadata!G127="",FALSE,TRUE),exact(Metadata!G127,"years"))</f>
        <v>0</v>
      </c>
      <c r="AH127">
        <f>OR(AND(IF(Metadata!H127="",FALSE,TRUE),OR(exact(Metadata!H127,"not applicable"),exact(Metadata!H127,"not collected"),exact(Metadata!H127,"not provided"),exact(Metadata!H127,"restricted access"))),AND(IF(Metadata!H127="",FALSE,ISNUMBER(VALUE(Metadata!H127))),Metadata!H127&gt;0))</f>
        <v>0</v>
      </c>
      <c r="AI127">
        <f>AND(IF(Metadata!I127="",FALSE,TRUE),exact(Metadata!I127,"human"))</f>
        <v>0</v>
      </c>
      <c r="AJ127">
        <f>AND(IF(Metadata!J127="",FALSE,ISNUMBER(VALUE(Metadata!J127))),Metadata!J127&gt;0)</f>
        <v>0</v>
      </c>
      <c r="AK127">
        <f>AND(IF(Metadata!K127="",FALSE,TRUE),exact(Metadata!K127,"cm"))</f>
        <v>0</v>
      </c>
      <c r="AL127">
        <f>AND(IF(Metadata!L127="",FALSE,TRUE),exact(Metadata!L127,"Homo sapiens"))</f>
        <v>0</v>
      </c>
      <c r="AM127">
        <f>AND(IF(Metadata!M127="",FALSE,TRUE),exact(Metadata!M127,"9606"))</f>
        <v>0</v>
      </c>
      <c r="AN127">
        <f>AND(IF(Metadata!N127="",FALSE,ISNUMBER(VALUE(Metadata!N127))),Metadata!N127&gt;0)</f>
        <v>0</v>
      </c>
      <c r="AO127">
        <f>AND(IF(Metadata!O127="",FALSE,TRUE),exact(Metadata!O127,"kg"))</f>
        <v>0</v>
      </c>
      <c r="AP127">
        <f>OR(AND(IF(Metadata!P127="",FALSE,TRUE),exact(Metadata!P127,"not provided")),IF(Metadata!P127="",FALSE,TRUE))</f>
        <v>0</v>
      </c>
      <c r="AQ127">
        <f>OR(AND(IF(Metadata!Q127="",FALSE,TRUE),exact(Metadata!Q127,"not provided")),IF(Metadata!Q127="",FALSE,TRUE))</f>
        <v>0</v>
      </c>
    </row>
    <row r="128" spans="1:43">
      <c r="A128" s="4">
        <f>IF(B128=" "," ",HYPERLINK(CONCATENATE("#metadata!",ADDRESS(INDEX($W$2:$W$1001,MATCH(ROWS($U$2:U128),$U$2:$U$1001,0),0),2)),INDEX($Z$2:$Z$1001,MATCH(ROWS($U$2:U128),$U$2:$U$1001,0),0)))</f>
        <v>0</v>
      </c>
      <c r="B128" s="5">
        <f>IF(OR(INDEX($V$2:$V$1001,MATCH(ROWS($U$2:U128),$U$2:$U$1001,0),1)&gt;=100000,INDEX($AB$1005:$AQ$1005,1,MATCH(COLUMNS($AB$1006:AB1006),$AB$1006:$AQ$1006,0))&gt;=100000), " ",IF(INDEX($AB$2:$AQ$1001,MATCH(ROWS($U$2:U128),$U$2:$U$1001,0),MATCH(COLUMNS($AB$1006:AB1006),$AB$1006:$AQ$1006,0)), HYPERLINK("#",""), HYPERLINK(CONCATENATE("#Metadata!", ADDRESS(INDEX($W$2:$W$1001,MATCH(ROWS($U$2:U128),$U$2:$U$1001,0),0), INDEX($AB$1004:$AQ$1004,1,MATCH(COLUMNS($AB$1006:AB1006),$AB$1006:$AQ$1006,0)))),"Fix")))</f>
        <v>0</v>
      </c>
      <c r="C128" s="5">
        <f>IF(OR(INDEX($V$2:$V$1001,MATCH(ROWS($U$2:U128),$U$2:$U$1001,0),1)&gt;=100000,INDEX($AB$1005:$AQ$1005,1,MATCH(COLUMNS($AB$1006:AC1006),$AB$1006:$AQ$1006,0))&gt;=100000), " ",IF(INDEX($AB$2:$AQ$1001,MATCH(ROWS($U$2:U128),$U$2:$U$1001,0),MATCH(COLUMNS($AB$1006:AC1006),$AB$1006:$AQ$1006,0)), HYPERLINK("#",""), HYPERLINK(CONCATENATE("#Metadata!", ADDRESS(INDEX($W$2:$W$1001,MATCH(ROWS($U$2:U128),$U$2:$U$1001,0),0), INDEX($AB$1004:$AQ$1004,1,MATCH(COLUMNS($AB$1006:AC1006),$AB$1006:$AQ$1006,0)))),"Fix")))</f>
        <v>0</v>
      </c>
      <c r="D128" s="5">
        <f>IF(OR(INDEX($V$2:$V$1001,MATCH(ROWS($U$2:U128),$U$2:$U$1001,0),1)&gt;=100000,INDEX($AB$1005:$AQ$1005,1,MATCH(COLUMNS($AB$1006:AD1006),$AB$1006:$AQ$1006,0))&gt;=100000), " ",IF(INDEX($AB$2:$AQ$1001,MATCH(ROWS($U$2:U128),$U$2:$U$1001,0),MATCH(COLUMNS($AB$1006:AD1006),$AB$1006:$AQ$1006,0)), HYPERLINK("#",""), HYPERLINK(CONCATENATE("#Metadata!", ADDRESS(INDEX($W$2:$W$1001,MATCH(ROWS($U$2:U128),$U$2:$U$1001,0),0), INDEX($AB$1004:$AQ$1004,1,MATCH(COLUMNS($AB$1006:AD1006),$AB$1006:$AQ$1006,0)))),"Fix")))</f>
        <v>0</v>
      </c>
      <c r="E128" s="5">
        <f>IF(OR(INDEX($V$2:$V$1001,MATCH(ROWS($U$2:U128),$U$2:$U$1001,0),1)&gt;=100000,INDEX($AB$1005:$AQ$1005,1,MATCH(COLUMNS($AB$1006:AE1006),$AB$1006:$AQ$1006,0))&gt;=100000), " ",IF(INDEX($AB$2:$AQ$1001,MATCH(ROWS($U$2:U128),$U$2:$U$1001,0),MATCH(COLUMNS($AB$1006:AE1006),$AB$1006:$AQ$1006,0)), HYPERLINK("#",""), HYPERLINK(CONCATENATE("#Metadata!", ADDRESS(INDEX($W$2:$W$1001,MATCH(ROWS($U$2:U128),$U$2:$U$1001,0),0), INDEX($AB$1004:$AQ$1004,1,MATCH(COLUMNS($AB$1006:AE1006),$AB$1006:$AQ$1006,0)))),"Fix")))</f>
        <v>0</v>
      </c>
      <c r="F128" s="5">
        <f>IF(OR(INDEX($V$2:$V$1001,MATCH(ROWS($U$2:U128),$U$2:$U$1001,0),1)&gt;=100000,INDEX($AB$1005:$AQ$1005,1,MATCH(COLUMNS($AB$1006:AF1006),$AB$1006:$AQ$1006,0))&gt;=100000), " ",IF(INDEX($AB$2:$AQ$1001,MATCH(ROWS($U$2:U128),$U$2:$U$1001,0),MATCH(COLUMNS($AB$1006:AF1006),$AB$1006:$AQ$1006,0)), HYPERLINK("#",""), HYPERLINK(CONCATENATE("#Metadata!", ADDRESS(INDEX($W$2:$W$1001,MATCH(ROWS($U$2:U128),$U$2:$U$1001,0),0), INDEX($AB$1004:$AQ$1004,1,MATCH(COLUMNS($AB$1006:AF1006),$AB$1006:$AQ$1006,0)))),"Fix")))</f>
        <v>0</v>
      </c>
      <c r="G128" s="5">
        <f>IF(OR(INDEX($V$2:$V$1001,MATCH(ROWS($U$2:U128),$U$2:$U$1001,0),1)&gt;=100000,INDEX($AB$1005:$AQ$1005,1,MATCH(COLUMNS($AB$1006:AG1006),$AB$1006:$AQ$1006,0))&gt;=100000), " ",IF(INDEX($AB$2:$AQ$1001,MATCH(ROWS($U$2:U128),$U$2:$U$1001,0),MATCH(COLUMNS($AB$1006:AG1006),$AB$1006:$AQ$1006,0)), HYPERLINK("#",""), HYPERLINK(CONCATENATE("#Metadata!", ADDRESS(INDEX($W$2:$W$1001,MATCH(ROWS($U$2:U128),$U$2:$U$1001,0),0), INDEX($AB$1004:$AQ$1004,1,MATCH(COLUMNS($AB$1006:AG1006),$AB$1006:$AQ$1006,0)))),"Fix")))</f>
        <v>0</v>
      </c>
      <c r="H128" s="5">
        <f>IF(OR(INDEX($V$2:$V$1001,MATCH(ROWS($U$2:U128),$U$2:$U$1001,0),1)&gt;=100000,INDEX($AB$1005:$AQ$1005,1,MATCH(COLUMNS($AB$1006:AH1006),$AB$1006:$AQ$1006,0))&gt;=100000), " ",IF(INDEX($AB$2:$AQ$1001,MATCH(ROWS($U$2:U128),$U$2:$U$1001,0),MATCH(COLUMNS($AB$1006:AH1006),$AB$1006:$AQ$1006,0)), HYPERLINK("#",""), HYPERLINK(CONCATENATE("#Metadata!", ADDRESS(INDEX($W$2:$W$1001,MATCH(ROWS($U$2:U128),$U$2:$U$1001,0),0), INDEX($AB$1004:$AQ$1004,1,MATCH(COLUMNS($AB$1006:AH1006),$AB$1006:$AQ$1006,0)))),"Fix")))</f>
        <v>0</v>
      </c>
      <c r="I128" s="5">
        <f>IF(OR(INDEX($V$2:$V$1001,MATCH(ROWS($U$2:U128),$U$2:$U$1001,0),1)&gt;=100000,INDEX($AB$1005:$AQ$1005,1,MATCH(COLUMNS($AB$1006:AI1006),$AB$1006:$AQ$1006,0))&gt;=100000), " ",IF(INDEX($AB$2:$AQ$1001,MATCH(ROWS($U$2:U128),$U$2:$U$1001,0),MATCH(COLUMNS($AB$1006:AI1006),$AB$1006:$AQ$1006,0)), HYPERLINK("#",""), HYPERLINK(CONCATENATE("#Metadata!", ADDRESS(INDEX($W$2:$W$1001,MATCH(ROWS($U$2:U128),$U$2:$U$1001,0),0), INDEX($AB$1004:$AQ$1004,1,MATCH(COLUMNS($AB$1006:AI1006),$AB$1006:$AQ$1006,0)))),"Fix")))</f>
        <v>0</v>
      </c>
      <c r="J128" s="5">
        <f>IF(OR(INDEX($V$2:$V$1001,MATCH(ROWS($U$2:U128),$U$2:$U$1001,0),1)&gt;=100000,INDEX($AB$1005:$AQ$1005,1,MATCH(COLUMNS($AB$1006:AJ1006),$AB$1006:$AQ$1006,0))&gt;=100000), " ",IF(INDEX($AB$2:$AQ$1001,MATCH(ROWS($U$2:U128),$U$2:$U$1001,0),MATCH(COLUMNS($AB$1006:AJ1006),$AB$1006:$AQ$1006,0)), HYPERLINK("#",""), HYPERLINK(CONCATENATE("#Metadata!", ADDRESS(INDEX($W$2:$W$1001,MATCH(ROWS($U$2:U128),$U$2:$U$1001,0),0), INDEX($AB$1004:$AQ$1004,1,MATCH(COLUMNS($AB$1006:AJ1006),$AB$1006:$AQ$1006,0)))),"Fix")))</f>
        <v>0</v>
      </c>
      <c r="K128" s="5">
        <f>IF(OR(INDEX($V$2:$V$1001,MATCH(ROWS($U$2:U128),$U$2:$U$1001,0),1)&gt;=100000,INDEX($AB$1005:$AQ$1005,1,MATCH(COLUMNS($AB$1006:AK1006),$AB$1006:$AQ$1006,0))&gt;=100000), " ",IF(INDEX($AB$2:$AQ$1001,MATCH(ROWS($U$2:U128),$U$2:$U$1001,0),MATCH(COLUMNS($AB$1006:AK1006),$AB$1006:$AQ$1006,0)), HYPERLINK("#",""), HYPERLINK(CONCATENATE("#Metadata!", ADDRESS(INDEX($W$2:$W$1001,MATCH(ROWS($U$2:U128),$U$2:$U$1001,0),0), INDEX($AB$1004:$AQ$1004,1,MATCH(COLUMNS($AB$1006:AK1006),$AB$1006:$AQ$1006,0)))),"Fix")))</f>
        <v>0</v>
      </c>
      <c r="L128" s="5">
        <f>IF(OR(INDEX($V$2:$V$1001,MATCH(ROWS($U$2:U128),$U$2:$U$1001,0),1)&gt;=100000,INDEX($AB$1005:$AQ$1005,1,MATCH(COLUMNS($AB$1006:AL1006),$AB$1006:$AQ$1006,0))&gt;=100000), " ",IF(INDEX($AB$2:$AQ$1001,MATCH(ROWS($U$2:U128),$U$2:$U$1001,0),MATCH(COLUMNS($AB$1006:AL1006),$AB$1006:$AQ$1006,0)), HYPERLINK("#",""), HYPERLINK(CONCATENATE("#Metadata!", ADDRESS(INDEX($W$2:$W$1001,MATCH(ROWS($U$2:U128),$U$2:$U$1001,0),0), INDEX($AB$1004:$AQ$1004,1,MATCH(COLUMNS($AB$1006:AL1006),$AB$1006:$AQ$1006,0)))),"Fix")))</f>
        <v>0</v>
      </c>
      <c r="M128" s="5">
        <f>IF(OR(INDEX($V$2:$V$1001,MATCH(ROWS($U$2:U128),$U$2:$U$1001,0),1)&gt;=100000,INDEX($AB$1005:$AQ$1005,1,MATCH(COLUMNS($AB$1006:AM1006),$AB$1006:$AQ$1006,0))&gt;=100000), " ",IF(INDEX($AB$2:$AQ$1001,MATCH(ROWS($U$2:U128),$U$2:$U$1001,0),MATCH(COLUMNS($AB$1006:AM1006),$AB$1006:$AQ$1006,0)), HYPERLINK("#",""), HYPERLINK(CONCATENATE("#Metadata!", ADDRESS(INDEX($W$2:$W$1001,MATCH(ROWS($U$2:U128),$U$2:$U$1001,0),0), INDEX($AB$1004:$AQ$1004,1,MATCH(COLUMNS($AB$1006:AM1006),$AB$1006:$AQ$1006,0)))),"Fix")))</f>
        <v>0</v>
      </c>
      <c r="N128" s="5">
        <f>IF(OR(INDEX($V$2:$V$1001,MATCH(ROWS($U$2:U128),$U$2:$U$1001,0),1)&gt;=100000,INDEX($AB$1005:$AQ$1005,1,MATCH(COLUMNS($AB$1006:AN1006),$AB$1006:$AQ$1006,0))&gt;=100000), " ",IF(INDEX($AB$2:$AQ$1001,MATCH(ROWS($U$2:U128),$U$2:$U$1001,0),MATCH(COLUMNS($AB$1006:AN1006),$AB$1006:$AQ$1006,0)), HYPERLINK("#",""), HYPERLINK(CONCATENATE("#Metadata!", ADDRESS(INDEX($W$2:$W$1001,MATCH(ROWS($U$2:U128),$U$2:$U$1001,0),0), INDEX($AB$1004:$AQ$1004,1,MATCH(COLUMNS($AB$1006:AN1006),$AB$1006:$AQ$1006,0)))),"Fix")))</f>
        <v>0</v>
      </c>
      <c r="O128" s="5">
        <f>IF(OR(INDEX($V$2:$V$1001,MATCH(ROWS($U$2:U128),$U$2:$U$1001,0),1)&gt;=100000,INDEX($AB$1005:$AQ$1005,1,MATCH(COLUMNS($AB$1006:AO1006),$AB$1006:$AQ$1006,0))&gt;=100000), " ",IF(INDEX($AB$2:$AQ$1001,MATCH(ROWS($U$2:U128),$U$2:$U$1001,0),MATCH(COLUMNS($AB$1006:AO1006),$AB$1006:$AQ$1006,0)), HYPERLINK("#",""), HYPERLINK(CONCATENATE("#Metadata!", ADDRESS(INDEX($W$2:$W$1001,MATCH(ROWS($U$2:U128),$U$2:$U$1001,0),0), INDEX($AB$1004:$AQ$1004,1,MATCH(COLUMNS($AB$1006:AO1006),$AB$1006:$AQ$1006,0)))),"Fix")))</f>
        <v>0</v>
      </c>
      <c r="P128" s="5">
        <f>IF(OR(INDEX($V$2:$V$1001,MATCH(ROWS($U$2:U128),$U$2:$U$1001,0),1)&gt;=100000,INDEX($AB$1005:$AQ$1005,1,MATCH(COLUMNS($AB$1006:AP1006),$AB$1006:$AQ$1006,0))&gt;=100000), " ",IF(INDEX($AB$2:$AQ$1001,MATCH(ROWS($U$2:U128),$U$2:$U$1001,0),MATCH(COLUMNS($AB$1006:AP1006),$AB$1006:$AQ$1006,0)), HYPERLINK("#",""), HYPERLINK(CONCATENATE("#Metadata!", ADDRESS(INDEX($W$2:$W$1001,MATCH(ROWS($U$2:U128),$U$2:$U$1001,0),0), INDEX($AB$1004:$AQ$1004,1,MATCH(COLUMNS($AB$1006:AP1006),$AB$1006:$AQ$1006,0)))),"Fix")))</f>
        <v>0</v>
      </c>
      <c r="Q128" s="5">
        <f>IF(OR(INDEX($V$2:$V$1001,MATCH(ROWS($U$2:U128),$U$2:$U$1001,0),1)&gt;=100000,INDEX($AB$1005:$AQ$1005,1,MATCH(COLUMNS($AB$1006:AQ1006),$AB$1006:$AQ$1006,0))&gt;=100000), " ",IF(INDEX($AB$2:$AQ$1001,MATCH(ROWS($U$2:U128),$U$2:$U$1001,0),MATCH(COLUMNS($AB$1006:AQ1006),$AB$1006:$AQ$1006,0)), HYPERLINK("#",""), HYPERLINK(CONCATENATE("#Metadata!", ADDRESS(INDEX($W$2:$W$1001,MATCH(ROWS($U$2:U128),$U$2:$U$1001,0),0), INDEX($AB$1004:$AQ$1004,1,MATCH(COLUMNS($AB$1006:AQ1006),$AB$1006:$AQ$1006,0)))),"Fix")))</f>
        <v>0</v>
      </c>
      <c r="U128">
        <v>0</v>
      </c>
      <c r="V128">
        <v>0</v>
      </c>
      <c r="W128">
        <v>0</v>
      </c>
      <c r="X128">
        <f>IF(Y128,TRUE,AND(AB128:AQ128))</f>
        <v>0</v>
      </c>
      <c r="Y128">
        <f>COUNTBLANK(Metadata!B128:Q128)=COLUMNS(Metadata!B128:Q128)</f>
        <v>0</v>
      </c>
      <c r="Z128">
        <v>0</v>
      </c>
      <c r="AB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AC128">
        <f>AND(IF(Metadata!C128="",FALSE,TRUE),exact(Metadata!C128,"urban biome"))</f>
        <v>0</v>
      </c>
      <c r="AD128">
        <f>AND(IF(Metadata!D128="",FALSE,TRUE),exact(Metadata!D128,"human-associated habitat"))</f>
        <v>0</v>
      </c>
      <c r="AE128">
        <f>AND(IF(Metadata!E128="",FALSE,TRUE),OR(exact(Metadata!E128,"human-associated"),exact(Metadata!E128,"human-skin"),exact(Metadata!E128,"human-oral"),exact(Metadata!E128,"human-gut"),exact(Metadata!E128,"human-vaginal")))</f>
        <v>0</v>
      </c>
      <c r="AF128">
        <f>AND(IF(Metadata!F128="",FALSE,ISNUMBER(VALUE(Metadata!F128))),Metadata!F128&gt;0)</f>
        <v>0</v>
      </c>
      <c r="AG128">
        <f>AND(IF(Metadata!G128="",FALSE,TRUE),exact(Metadata!G128,"years"))</f>
        <v>0</v>
      </c>
      <c r="AH128">
        <f>OR(AND(IF(Metadata!H128="",FALSE,TRUE),OR(exact(Metadata!H128,"not applicable"),exact(Metadata!H128,"not collected"),exact(Metadata!H128,"not provided"),exact(Metadata!H128,"restricted access"))),AND(IF(Metadata!H128="",FALSE,ISNUMBER(VALUE(Metadata!H128))),Metadata!H128&gt;0))</f>
        <v>0</v>
      </c>
      <c r="AI128">
        <f>AND(IF(Metadata!I128="",FALSE,TRUE),exact(Metadata!I128,"human"))</f>
        <v>0</v>
      </c>
      <c r="AJ128">
        <f>AND(IF(Metadata!J128="",FALSE,ISNUMBER(VALUE(Metadata!J128))),Metadata!J128&gt;0)</f>
        <v>0</v>
      </c>
      <c r="AK128">
        <f>AND(IF(Metadata!K128="",FALSE,TRUE),exact(Metadata!K128,"cm"))</f>
        <v>0</v>
      </c>
      <c r="AL128">
        <f>AND(IF(Metadata!L128="",FALSE,TRUE),exact(Metadata!L128,"Homo sapiens"))</f>
        <v>0</v>
      </c>
      <c r="AM128">
        <f>AND(IF(Metadata!M128="",FALSE,TRUE),exact(Metadata!M128,"9606"))</f>
        <v>0</v>
      </c>
      <c r="AN128">
        <f>AND(IF(Metadata!N128="",FALSE,ISNUMBER(VALUE(Metadata!N128))),Metadata!N128&gt;0)</f>
        <v>0</v>
      </c>
      <c r="AO128">
        <f>AND(IF(Metadata!O128="",FALSE,TRUE),exact(Metadata!O128,"kg"))</f>
        <v>0</v>
      </c>
      <c r="AP128">
        <f>OR(AND(IF(Metadata!P128="",FALSE,TRUE),exact(Metadata!P128,"not provided")),IF(Metadata!P128="",FALSE,TRUE))</f>
        <v>0</v>
      </c>
      <c r="AQ128">
        <f>OR(AND(IF(Metadata!Q128="",FALSE,TRUE),exact(Metadata!Q128,"not provided")),IF(Metadata!Q128="",FALSE,TRUE))</f>
        <v>0</v>
      </c>
    </row>
    <row r="129" spans="1:43">
      <c r="A129" s="4">
        <f>IF(B129=" "," ",HYPERLINK(CONCATENATE("#metadata!",ADDRESS(INDEX($W$2:$W$1001,MATCH(ROWS($U$2:U129),$U$2:$U$1001,0),0),2)),INDEX($Z$2:$Z$1001,MATCH(ROWS($U$2:U129),$U$2:$U$1001,0),0)))</f>
        <v>0</v>
      </c>
      <c r="B129" s="5">
        <f>IF(OR(INDEX($V$2:$V$1001,MATCH(ROWS($U$2:U129),$U$2:$U$1001,0),1)&gt;=100000,INDEX($AB$1005:$AQ$1005,1,MATCH(COLUMNS($AB$1006:AB1006),$AB$1006:$AQ$1006,0))&gt;=100000), " ",IF(INDEX($AB$2:$AQ$1001,MATCH(ROWS($U$2:U129),$U$2:$U$1001,0),MATCH(COLUMNS($AB$1006:AB1006),$AB$1006:$AQ$1006,0)), HYPERLINK("#",""), HYPERLINK(CONCATENATE("#Metadata!", ADDRESS(INDEX($W$2:$W$1001,MATCH(ROWS($U$2:U129),$U$2:$U$1001,0),0), INDEX($AB$1004:$AQ$1004,1,MATCH(COLUMNS($AB$1006:AB1006),$AB$1006:$AQ$1006,0)))),"Fix")))</f>
        <v>0</v>
      </c>
      <c r="C129" s="5">
        <f>IF(OR(INDEX($V$2:$V$1001,MATCH(ROWS($U$2:U129),$U$2:$U$1001,0),1)&gt;=100000,INDEX($AB$1005:$AQ$1005,1,MATCH(COLUMNS($AB$1006:AC1006),$AB$1006:$AQ$1006,0))&gt;=100000), " ",IF(INDEX($AB$2:$AQ$1001,MATCH(ROWS($U$2:U129),$U$2:$U$1001,0),MATCH(COLUMNS($AB$1006:AC1006),$AB$1006:$AQ$1006,0)), HYPERLINK("#",""), HYPERLINK(CONCATENATE("#Metadata!", ADDRESS(INDEX($W$2:$W$1001,MATCH(ROWS($U$2:U129),$U$2:$U$1001,0),0), INDEX($AB$1004:$AQ$1004,1,MATCH(COLUMNS($AB$1006:AC1006),$AB$1006:$AQ$1006,0)))),"Fix")))</f>
        <v>0</v>
      </c>
      <c r="D129" s="5">
        <f>IF(OR(INDEX($V$2:$V$1001,MATCH(ROWS($U$2:U129),$U$2:$U$1001,0),1)&gt;=100000,INDEX($AB$1005:$AQ$1005,1,MATCH(COLUMNS($AB$1006:AD1006),$AB$1006:$AQ$1006,0))&gt;=100000), " ",IF(INDEX($AB$2:$AQ$1001,MATCH(ROWS($U$2:U129),$U$2:$U$1001,0),MATCH(COLUMNS($AB$1006:AD1006),$AB$1006:$AQ$1006,0)), HYPERLINK("#",""), HYPERLINK(CONCATENATE("#Metadata!", ADDRESS(INDEX($W$2:$W$1001,MATCH(ROWS($U$2:U129),$U$2:$U$1001,0),0), INDEX($AB$1004:$AQ$1004,1,MATCH(COLUMNS($AB$1006:AD1006),$AB$1006:$AQ$1006,0)))),"Fix")))</f>
        <v>0</v>
      </c>
      <c r="E129" s="5">
        <f>IF(OR(INDEX($V$2:$V$1001,MATCH(ROWS($U$2:U129),$U$2:$U$1001,0),1)&gt;=100000,INDEX($AB$1005:$AQ$1005,1,MATCH(COLUMNS($AB$1006:AE1006),$AB$1006:$AQ$1006,0))&gt;=100000), " ",IF(INDEX($AB$2:$AQ$1001,MATCH(ROWS($U$2:U129),$U$2:$U$1001,0),MATCH(COLUMNS($AB$1006:AE1006),$AB$1006:$AQ$1006,0)), HYPERLINK("#",""), HYPERLINK(CONCATENATE("#Metadata!", ADDRESS(INDEX($W$2:$W$1001,MATCH(ROWS($U$2:U129),$U$2:$U$1001,0),0), INDEX($AB$1004:$AQ$1004,1,MATCH(COLUMNS($AB$1006:AE1006),$AB$1006:$AQ$1006,0)))),"Fix")))</f>
        <v>0</v>
      </c>
      <c r="F129" s="5">
        <f>IF(OR(INDEX($V$2:$V$1001,MATCH(ROWS($U$2:U129),$U$2:$U$1001,0),1)&gt;=100000,INDEX($AB$1005:$AQ$1005,1,MATCH(COLUMNS($AB$1006:AF1006),$AB$1006:$AQ$1006,0))&gt;=100000), " ",IF(INDEX($AB$2:$AQ$1001,MATCH(ROWS($U$2:U129),$U$2:$U$1001,0),MATCH(COLUMNS($AB$1006:AF1006),$AB$1006:$AQ$1006,0)), HYPERLINK("#",""), HYPERLINK(CONCATENATE("#Metadata!", ADDRESS(INDEX($W$2:$W$1001,MATCH(ROWS($U$2:U129),$U$2:$U$1001,0),0), INDEX($AB$1004:$AQ$1004,1,MATCH(COLUMNS($AB$1006:AF1006),$AB$1006:$AQ$1006,0)))),"Fix")))</f>
        <v>0</v>
      </c>
      <c r="G129" s="5">
        <f>IF(OR(INDEX($V$2:$V$1001,MATCH(ROWS($U$2:U129),$U$2:$U$1001,0),1)&gt;=100000,INDEX($AB$1005:$AQ$1005,1,MATCH(COLUMNS($AB$1006:AG1006),$AB$1006:$AQ$1006,0))&gt;=100000), " ",IF(INDEX($AB$2:$AQ$1001,MATCH(ROWS($U$2:U129),$U$2:$U$1001,0),MATCH(COLUMNS($AB$1006:AG1006),$AB$1006:$AQ$1006,0)), HYPERLINK("#",""), HYPERLINK(CONCATENATE("#Metadata!", ADDRESS(INDEX($W$2:$W$1001,MATCH(ROWS($U$2:U129),$U$2:$U$1001,0),0), INDEX($AB$1004:$AQ$1004,1,MATCH(COLUMNS($AB$1006:AG1006),$AB$1006:$AQ$1006,0)))),"Fix")))</f>
        <v>0</v>
      </c>
      <c r="H129" s="5">
        <f>IF(OR(INDEX($V$2:$V$1001,MATCH(ROWS($U$2:U129),$U$2:$U$1001,0),1)&gt;=100000,INDEX($AB$1005:$AQ$1005,1,MATCH(COLUMNS($AB$1006:AH1006),$AB$1006:$AQ$1006,0))&gt;=100000), " ",IF(INDEX($AB$2:$AQ$1001,MATCH(ROWS($U$2:U129),$U$2:$U$1001,0),MATCH(COLUMNS($AB$1006:AH1006),$AB$1006:$AQ$1006,0)), HYPERLINK("#",""), HYPERLINK(CONCATENATE("#Metadata!", ADDRESS(INDEX($W$2:$W$1001,MATCH(ROWS($U$2:U129),$U$2:$U$1001,0),0), INDEX($AB$1004:$AQ$1004,1,MATCH(COLUMNS($AB$1006:AH1006),$AB$1006:$AQ$1006,0)))),"Fix")))</f>
        <v>0</v>
      </c>
      <c r="I129" s="5">
        <f>IF(OR(INDEX($V$2:$V$1001,MATCH(ROWS($U$2:U129),$U$2:$U$1001,0),1)&gt;=100000,INDEX($AB$1005:$AQ$1005,1,MATCH(COLUMNS($AB$1006:AI1006),$AB$1006:$AQ$1006,0))&gt;=100000), " ",IF(INDEX($AB$2:$AQ$1001,MATCH(ROWS($U$2:U129),$U$2:$U$1001,0),MATCH(COLUMNS($AB$1006:AI1006),$AB$1006:$AQ$1006,0)), HYPERLINK("#",""), HYPERLINK(CONCATENATE("#Metadata!", ADDRESS(INDEX($W$2:$W$1001,MATCH(ROWS($U$2:U129),$U$2:$U$1001,0),0), INDEX($AB$1004:$AQ$1004,1,MATCH(COLUMNS($AB$1006:AI1006),$AB$1006:$AQ$1006,0)))),"Fix")))</f>
        <v>0</v>
      </c>
      <c r="J129" s="5">
        <f>IF(OR(INDEX($V$2:$V$1001,MATCH(ROWS($U$2:U129),$U$2:$U$1001,0),1)&gt;=100000,INDEX($AB$1005:$AQ$1005,1,MATCH(COLUMNS($AB$1006:AJ1006),$AB$1006:$AQ$1006,0))&gt;=100000), " ",IF(INDEX($AB$2:$AQ$1001,MATCH(ROWS($U$2:U129),$U$2:$U$1001,0),MATCH(COLUMNS($AB$1006:AJ1006),$AB$1006:$AQ$1006,0)), HYPERLINK("#",""), HYPERLINK(CONCATENATE("#Metadata!", ADDRESS(INDEX($W$2:$W$1001,MATCH(ROWS($U$2:U129),$U$2:$U$1001,0),0), INDEX($AB$1004:$AQ$1004,1,MATCH(COLUMNS($AB$1006:AJ1006),$AB$1006:$AQ$1006,0)))),"Fix")))</f>
        <v>0</v>
      </c>
      <c r="K129" s="5">
        <f>IF(OR(INDEX($V$2:$V$1001,MATCH(ROWS($U$2:U129),$U$2:$U$1001,0),1)&gt;=100000,INDEX($AB$1005:$AQ$1005,1,MATCH(COLUMNS($AB$1006:AK1006),$AB$1006:$AQ$1006,0))&gt;=100000), " ",IF(INDEX($AB$2:$AQ$1001,MATCH(ROWS($U$2:U129),$U$2:$U$1001,0),MATCH(COLUMNS($AB$1006:AK1006),$AB$1006:$AQ$1006,0)), HYPERLINK("#",""), HYPERLINK(CONCATENATE("#Metadata!", ADDRESS(INDEX($W$2:$W$1001,MATCH(ROWS($U$2:U129),$U$2:$U$1001,0),0), INDEX($AB$1004:$AQ$1004,1,MATCH(COLUMNS($AB$1006:AK1006),$AB$1006:$AQ$1006,0)))),"Fix")))</f>
        <v>0</v>
      </c>
      <c r="L129" s="5">
        <f>IF(OR(INDEX($V$2:$V$1001,MATCH(ROWS($U$2:U129),$U$2:$U$1001,0),1)&gt;=100000,INDEX($AB$1005:$AQ$1005,1,MATCH(COLUMNS($AB$1006:AL1006),$AB$1006:$AQ$1006,0))&gt;=100000), " ",IF(INDEX($AB$2:$AQ$1001,MATCH(ROWS($U$2:U129),$U$2:$U$1001,0),MATCH(COLUMNS($AB$1006:AL1006),$AB$1006:$AQ$1006,0)), HYPERLINK("#",""), HYPERLINK(CONCATENATE("#Metadata!", ADDRESS(INDEX($W$2:$W$1001,MATCH(ROWS($U$2:U129),$U$2:$U$1001,0),0), INDEX($AB$1004:$AQ$1004,1,MATCH(COLUMNS($AB$1006:AL1006),$AB$1006:$AQ$1006,0)))),"Fix")))</f>
        <v>0</v>
      </c>
      <c r="M129" s="5">
        <f>IF(OR(INDEX($V$2:$V$1001,MATCH(ROWS($U$2:U129),$U$2:$U$1001,0),1)&gt;=100000,INDEX($AB$1005:$AQ$1005,1,MATCH(COLUMNS($AB$1006:AM1006),$AB$1006:$AQ$1006,0))&gt;=100000), " ",IF(INDEX($AB$2:$AQ$1001,MATCH(ROWS($U$2:U129),$U$2:$U$1001,0),MATCH(COLUMNS($AB$1006:AM1006),$AB$1006:$AQ$1006,0)), HYPERLINK("#",""), HYPERLINK(CONCATENATE("#Metadata!", ADDRESS(INDEX($W$2:$W$1001,MATCH(ROWS($U$2:U129),$U$2:$U$1001,0),0), INDEX($AB$1004:$AQ$1004,1,MATCH(COLUMNS($AB$1006:AM1006),$AB$1006:$AQ$1006,0)))),"Fix")))</f>
        <v>0</v>
      </c>
      <c r="N129" s="5">
        <f>IF(OR(INDEX($V$2:$V$1001,MATCH(ROWS($U$2:U129),$U$2:$U$1001,0),1)&gt;=100000,INDEX($AB$1005:$AQ$1005,1,MATCH(COLUMNS($AB$1006:AN1006),$AB$1006:$AQ$1006,0))&gt;=100000), " ",IF(INDEX($AB$2:$AQ$1001,MATCH(ROWS($U$2:U129),$U$2:$U$1001,0),MATCH(COLUMNS($AB$1006:AN1006),$AB$1006:$AQ$1006,0)), HYPERLINK("#",""), HYPERLINK(CONCATENATE("#Metadata!", ADDRESS(INDEX($W$2:$W$1001,MATCH(ROWS($U$2:U129),$U$2:$U$1001,0),0), INDEX($AB$1004:$AQ$1004,1,MATCH(COLUMNS($AB$1006:AN1006),$AB$1006:$AQ$1006,0)))),"Fix")))</f>
        <v>0</v>
      </c>
      <c r="O129" s="5">
        <f>IF(OR(INDEX($V$2:$V$1001,MATCH(ROWS($U$2:U129),$U$2:$U$1001,0),1)&gt;=100000,INDEX($AB$1005:$AQ$1005,1,MATCH(COLUMNS($AB$1006:AO1006),$AB$1006:$AQ$1006,0))&gt;=100000), " ",IF(INDEX($AB$2:$AQ$1001,MATCH(ROWS($U$2:U129),$U$2:$U$1001,0),MATCH(COLUMNS($AB$1006:AO1006),$AB$1006:$AQ$1006,0)), HYPERLINK("#",""), HYPERLINK(CONCATENATE("#Metadata!", ADDRESS(INDEX($W$2:$W$1001,MATCH(ROWS($U$2:U129),$U$2:$U$1001,0),0), INDEX($AB$1004:$AQ$1004,1,MATCH(COLUMNS($AB$1006:AO1006),$AB$1006:$AQ$1006,0)))),"Fix")))</f>
        <v>0</v>
      </c>
      <c r="P129" s="5">
        <f>IF(OR(INDEX($V$2:$V$1001,MATCH(ROWS($U$2:U129),$U$2:$U$1001,0),1)&gt;=100000,INDEX($AB$1005:$AQ$1005,1,MATCH(COLUMNS($AB$1006:AP1006),$AB$1006:$AQ$1006,0))&gt;=100000), " ",IF(INDEX($AB$2:$AQ$1001,MATCH(ROWS($U$2:U129),$U$2:$U$1001,0),MATCH(COLUMNS($AB$1006:AP1006),$AB$1006:$AQ$1006,0)), HYPERLINK("#",""), HYPERLINK(CONCATENATE("#Metadata!", ADDRESS(INDEX($W$2:$W$1001,MATCH(ROWS($U$2:U129),$U$2:$U$1001,0),0), INDEX($AB$1004:$AQ$1004,1,MATCH(COLUMNS($AB$1006:AP1006),$AB$1006:$AQ$1006,0)))),"Fix")))</f>
        <v>0</v>
      </c>
      <c r="Q129" s="5">
        <f>IF(OR(INDEX($V$2:$V$1001,MATCH(ROWS($U$2:U129),$U$2:$U$1001,0),1)&gt;=100000,INDEX($AB$1005:$AQ$1005,1,MATCH(COLUMNS($AB$1006:AQ1006),$AB$1006:$AQ$1006,0))&gt;=100000), " ",IF(INDEX($AB$2:$AQ$1001,MATCH(ROWS($U$2:U129),$U$2:$U$1001,0),MATCH(COLUMNS($AB$1006:AQ1006),$AB$1006:$AQ$1006,0)), HYPERLINK("#",""), HYPERLINK(CONCATENATE("#Metadata!", ADDRESS(INDEX($W$2:$W$1001,MATCH(ROWS($U$2:U129),$U$2:$U$1001,0),0), INDEX($AB$1004:$AQ$1004,1,MATCH(COLUMNS($AB$1006:AQ1006),$AB$1006:$AQ$1006,0)))),"Fix")))</f>
        <v>0</v>
      </c>
      <c r="U129">
        <v>0</v>
      </c>
      <c r="V129">
        <v>0</v>
      </c>
      <c r="W129">
        <v>0</v>
      </c>
      <c r="X129">
        <f>IF(Y129,TRUE,AND(AB129:AQ129))</f>
        <v>0</v>
      </c>
      <c r="Y129">
        <f>COUNTBLANK(Metadata!B129:Q129)=COLUMNS(Metadata!B129:Q129)</f>
        <v>0</v>
      </c>
      <c r="Z129">
        <v>0</v>
      </c>
      <c r="AB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AC129">
        <f>AND(IF(Metadata!C129="",FALSE,TRUE),exact(Metadata!C129,"urban biome"))</f>
        <v>0</v>
      </c>
      <c r="AD129">
        <f>AND(IF(Metadata!D129="",FALSE,TRUE),exact(Metadata!D129,"human-associated habitat"))</f>
        <v>0</v>
      </c>
      <c r="AE129">
        <f>AND(IF(Metadata!E129="",FALSE,TRUE),OR(exact(Metadata!E129,"human-associated"),exact(Metadata!E129,"human-skin"),exact(Metadata!E129,"human-oral"),exact(Metadata!E129,"human-gut"),exact(Metadata!E129,"human-vaginal")))</f>
        <v>0</v>
      </c>
      <c r="AF129">
        <f>AND(IF(Metadata!F129="",FALSE,ISNUMBER(VALUE(Metadata!F129))),Metadata!F129&gt;0)</f>
        <v>0</v>
      </c>
      <c r="AG129">
        <f>AND(IF(Metadata!G129="",FALSE,TRUE),exact(Metadata!G129,"years"))</f>
        <v>0</v>
      </c>
      <c r="AH129">
        <f>OR(AND(IF(Metadata!H129="",FALSE,TRUE),OR(exact(Metadata!H129,"not applicable"),exact(Metadata!H129,"not collected"),exact(Metadata!H129,"not provided"),exact(Metadata!H129,"restricted access"))),AND(IF(Metadata!H129="",FALSE,ISNUMBER(VALUE(Metadata!H129))),Metadata!H129&gt;0))</f>
        <v>0</v>
      </c>
      <c r="AI129">
        <f>AND(IF(Metadata!I129="",FALSE,TRUE),exact(Metadata!I129,"human"))</f>
        <v>0</v>
      </c>
      <c r="AJ129">
        <f>AND(IF(Metadata!J129="",FALSE,ISNUMBER(VALUE(Metadata!J129))),Metadata!J129&gt;0)</f>
        <v>0</v>
      </c>
      <c r="AK129">
        <f>AND(IF(Metadata!K129="",FALSE,TRUE),exact(Metadata!K129,"cm"))</f>
        <v>0</v>
      </c>
      <c r="AL129">
        <f>AND(IF(Metadata!L129="",FALSE,TRUE),exact(Metadata!L129,"Homo sapiens"))</f>
        <v>0</v>
      </c>
      <c r="AM129">
        <f>AND(IF(Metadata!M129="",FALSE,TRUE),exact(Metadata!M129,"9606"))</f>
        <v>0</v>
      </c>
      <c r="AN129">
        <f>AND(IF(Metadata!N129="",FALSE,ISNUMBER(VALUE(Metadata!N129))),Metadata!N129&gt;0)</f>
        <v>0</v>
      </c>
      <c r="AO129">
        <f>AND(IF(Metadata!O129="",FALSE,TRUE),exact(Metadata!O129,"kg"))</f>
        <v>0</v>
      </c>
      <c r="AP129">
        <f>OR(AND(IF(Metadata!P129="",FALSE,TRUE),exact(Metadata!P129,"not provided")),IF(Metadata!P129="",FALSE,TRUE))</f>
        <v>0</v>
      </c>
      <c r="AQ129">
        <f>OR(AND(IF(Metadata!Q129="",FALSE,TRUE),exact(Metadata!Q129,"not provided")),IF(Metadata!Q129="",FALSE,TRUE))</f>
        <v>0</v>
      </c>
    </row>
    <row r="130" spans="1:43">
      <c r="A130" s="4">
        <f>IF(B130=" "," ",HYPERLINK(CONCATENATE("#metadata!",ADDRESS(INDEX($W$2:$W$1001,MATCH(ROWS($U$2:U130),$U$2:$U$1001,0),0),2)),INDEX($Z$2:$Z$1001,MATCH(ROWS($U$2:U130),$U$2:$U$1001,0),0)))</f>
        <v>0</v>
      </c>
      <c r="B130" s="5">
        <f>IF(OR(INDEX($V$2:$V$1001,MATCH(ROWS($U$2:U130),$U$2:$U$1001,0),1)&gt;=100000,INDEX($AB$1005:$AQ$1005,1,MATCH(COLUMNS($AB$1006:AB1006),$AB$1006:$AQ$1006,0))&gt;=100000), " ",IF(INDEX($AB$2:$AQ$1001,MATCH(ROWS($U$2:U130),$U$2:$U$1001,0),MATCH(COLUMNS($AB$1006:AB1006),$AB$1006:$AQ$1006,0)), HYPERLINK("#",""), HYPERLINK(CONCATENATE("#Metadata!", ADDRESS(INDEX($W$2:$W$1001,MATCH(ROWS($U$2:U130),$U$2:$U$1001,0),0), INDEX($AB$1004:$AQ$1004,1,MATCH(COLUMNS($AB$1006:AB1006),$AB$1006:$AQ$1006,0)))),"Fix")))</f>
        <v>0</v>
      </c>
      <c r="C130" s="5">
        <f>IF(OR(INDEX($V$2:$V$1001,MATCH(ROWS($U$2:U130),$U$2:$U$1001,0),1)&gt;=100000,INDEX($AB$1005:$AQ$1005,1,MATCH(COLUMNS($AB$1006:AC1006),$AB$1006:$AQ$1006,0))&gt;=100000), " ",IF(INDEX($AB$2:$AQ$1001,MATCH(ROWS($U$2:U130),$U$2:$U$1001,0),MATCH(COLUMNS($AB$1006:AC1006),$AB$1006:$AQ$1006,0)), HYPERLINK("#",""), HYPERLINK(CONCATENATE("#Metadata!", ADDRESS(INDEX($W$2:$W$1001,MATCH(ROWS($U$2:U130),$U$2:$U$1001,0),0), INDEX($AB$1004:$AQ$1004,1,MATCH(COLUMNS($AB$1006:AC1006),$AB$1006:$AQ$1006,0)))),"Fix")))</f>
        <v>0</v>
      </c>
      <c r="D130" s="5">
        <f>IF(OR(INDEX($V$2:$V$1001,MATCH(ROWS($U$2:U130),$U$2:$U$1001,0),1)&gt;=100000,INDEX($AB$1005:$AQ$1005,1,MATCH(COLUMNS($AB$1006:AD1006),$AB$1006:$AQ$1006,0))&gt;=100000), " ",IF(INDEX($AB$2:$AQ$1001,MATCH(ROWS($U$2:U130),$U$2:$U$1001,0),MATCH(COLUMNS($AB$1006:AD1006),$AB$1006:$AQ$1006,0)), HYPERLINK("#",""), HYPERLINK(CONCATENATE("#Metadata!", ADDRESS(INDEX($W$2:$W$1001,MATCH(ROWS($U$2:U130),$U$2:$U$1001,0),0), INDEX($AB$1004:$AQ$1004,1,MATCH(COLUMNS($AB$1006:AD1006),$AB$1006:$AQ$1006,0)))),"Fix")))</f>
        <v>0</v>
      </c>
      <c r="E130" s="5">
        <f>IF(OR(INDEX($V$2:$V$1001,MATCH(ROWS($U$2:U130),$U$2:$U$1001,0),1)&gt;=100000,INDEX($AB$1005:$AQ$1005,1,MATCH(COLUMNS($AB$1006:AE1006),$AB$1006:$AQ$1006,0))&gt;=100000), " ",IF(INDEX($AB$2:$AQ$1001,MATCH(ROWS($U$2:U130),$U$2:$U$1001,0),MATCH(COLUMNS($AB$1006:AE1006),$AB$1006:$AQ$1006,0)), HYPERLINK("#",""), HYPERLINK(CONCATENATE("#Metadata!", ADDRESS(INDEX($W$2:$W$1001,MATCH(ROWS($U$2:U130),$U$2:$U$1001,0),0), INDEX($AB$1004:$AQ$1004,1,MATCH(COLUMNS($AB$1006:AE1006),$AB$1006:$AQ$1006,0)))),"Fix")))</f>
        <v>0</v>
      </c>
      <c r="F130" s="5">
        <f>IF(OR(INDEX($V$2:$V$1001,MATCH(ROWS($U$2:U130),$U$2:$U$1001,0),1)&gt;=100000,INDEX($AB$1005:$AQ$1005,1,MATCH(COLUMNS($AB$1006:AF1006),$AB$1006:$AQ$1006,0))&gt;=100000), " ",IF(INDEX($AB$2:$AQ$1001,MATCH(ROWS($U$2:U130),$U$2:$U$1001,0),MATCH(COLUMNS($AB$1006:AF1006),$AB$1006:$AQ$1006,0)), HYPERLINK("#",""), HYPERLINK(CONCATENATE("#Metadata!", ADDRESS(INDEX($W$2:$W$1001,MATCH(ROWS($U$2:U130),$U$2:$U$1001,0),0), INDEX($AB$1004:$AQ$1004,1,MATCH(COLUMNS($AB$1006:AF1006),$AB$1006:$AQ$1006,0)))),"Fix")))</f>
        <v>0</v>
      </c>
      <c r="G130" s="5">
        <f>IF(OR(INDEX($V$2:$V$1001,MATCH(ROWS($U$2:U130),$U$2:$U$1001,0),1)&gt;=100000,INDEX($AB$1005:$AQ$1005,1,MATCH(COLUMNS($AB$1006:AG1006),$AB$1006:$AQ$1006,0))&gt;=100000), " ",IF(INDEX($AB$2:$AQ$1001,MATCH(ROWS($U$2:U130),$U$2:$U$1001,0),MATCH(COLUMNS($AB$1006:AG1006),$AB$1006:$AQ$1006,0)), HYPERLINK("#",""), HYPERLINK(CONCATENATE("#Metadata!", ADDRESS(INDEX($W$2:$W$1001,MATCH(ROWS($U$2:U130),$U$2:$U$1001,0),0), INDEX($AB$1004:$AQ$1004,1,MATCH(COLUMNS($AB$1006:AG1006),$AB$1006:$AQ$1006,0)))),"Fix")))</f>
        <v>0</v>
      </c>
      <c r="H130" s="5">
        <f>IF(OR(INDEX($V$2:$V$1001,MATCH(ROWS($U$2:U130),$U$2:$U$1001,0),1)&gt;=100000,INDEX($AB$1005:$AQ$1005,1,MATCH(COLUMNS($AB$1006:AH1006),$AB$1006:$AQ$1006,0))&gt;=100000), " ",IF(INDEX($AB$2:$AQ$1001,MATCH(ROWS($U$2:U130),$U$2:$U$1001,0),MATCH(COLUMNS($AB$1006:AH1006),$AB$1006:$AQ$1006,0)), HYPERLINK("#",""), HYPERLINK(CONCATENATE("#Metadata!", ADDRESS(INDEX($W$2:$W$1001,MATCH(ROWS($U$2:U130),$U$2:$U$1001,0),0), INDEX($AB$1004:$AQ$1004,1,MATCH(COLUMNS($AB$1006:AH1006),$AB$1006:$AQ$1006,0)))),"Fix")))</f>
        <v>0</v>
      </c>
      <c r="I130" s="5">
        <f>IF(OR(INDEX($V$2:$V$1001,MATCH(ROWS($U$2:U130),$U$2:$U$1001,0),1)&gt;=100000,INDEX($AB$1005:$AQ$1005,1,MATCH(COLUMNS($AB$1006:AI1006),$AB$1006:$AQ$1006,0))&gt;=100000), " ",IF(INDEX($AB$2:$AQ$1001,MATCH(ROWS($U$2:U130),$U$2:$U$1001,0),MATCH(COLUMNS($AB$1006:AI1006),$AB$1006:$AQ$1006,0)), HYPERLINK("#",""), HYPERLINK(CONCATENATE("#Metadata!", ADDRESS(INDEX($W$2:$W$1001,MATCH(ROWS($U$2:U130),$U$2:$U$1001,0),0), INDEX($AB$1004:$AQ$1004,1,MATCH(COLUMNS($AB$1006:AI1006),$AB$1006:$AQ$1006,0)))),"Fix")))</f>
        <v>0</v>
      </c>
      <c r="J130" s="5">
        <f>IF(OR(INDEX($V$2:$V$1001,MATCH(ROWS($U$2:U130),$U$2:$U$1001,0),1)&gt;=100000,INDEX($AB$1005:$AQ$1005,1,MATCH(COLUMNS($AB$1006:AJ1006),$AB$1006:$AQ$1006,0))&gt;=100000), " ",IF(INDEX($AB$2:$AQ$1001,MATCH(ROWS($U$2:U130),$U$2:$U$1001,0),MATCH(COLUMNS($AB$1006:AJ1006),$AB$1006:$AQ$1006,0)), HYPERLINK("#",""), HYPERLINK(CONCATENATE("#Metadata!", ADDRESS(INDEX($W$2:$W$1001,MATCH(ROWS($U$2:U130),$U$2:$U$1001,0),0), INDEX($AB$1004:$AQ$1004,1,MATCH(COLUMNS($AB$1006:AJ1006),$AB$1006:$AQ$1006,0)))),"Fix")))</f>
        <v>0</v>
      </c>
      <c r="K130" s="5">
        <f>IF(OR(INDEX($V$2:$V$1001,MATCH(ROWS($U$2:U130),$U$2:$U$1001,0),1)&gt;=100000,INDEX($AB$1005:$AQ$1005,1,MATCH(COLUMNS($AB$1006:AK1006),$AB$1006:$AQ$1006,0))&gt;=100000), " ",IF(INDEX($AB$2:$AQ$1001,MATCH(ROWS($U$2:U130),$U$2:$U$1001,0),MATCH(COLUMNS($AB$1006:AK1006),$AB$1006:$AQ$1006,0)), HYPERLINK("#",""), HYPERLINK(CONCATENATE("#Metadata!", ADDRESS(INDEX($W$2:$W$1001,MATCH(ROWS($U$2:U130),$U$2:$U$1001,0),0), INDEX($AB$1004:$AQ$1004,1,MATCH(COLUMNS($AB$1006:AK1006),$AB$1006:$AQ$1006,0)))),"Fix")))</f>
        <v>0</v>
      </c>
      <c r="L130" s="5">
        <f>IF(OR(INDEX($V$2:$V$1001,MATCH(ROWS($U$2:U130),$U$2:$U$1001,0),1)&gt;=100000,INDEX($AB$1005:$AQ$1005,1,MATCH(COLUMNS($AB$1006:AL1006),$AB$1006:$AQ$1006,0))&gt;=100000), " ",IF(INDEX($AB$2:$AQ$1001,MATCH(ROWS($U$2:U130),$U$2:$U$1001,0),MATCH(COLUMNS($AB$1006:AL1006),$AB$1006:$AQ$1006,0)), HYPERLINK("#",""), HYPERLINK(CONCATENATE("#Metadata!", ADDRESS(INDEX($W$2:$W$1001,MATCH(ROWS($U$2:U130),$U$2:$U$1001,0),0), INDEX($AB$1004:$AQ$1004,1,MATCH(COLUMNS($AB$1006:AL1006),$AB$1006:$AQ$1006,0)))),"Fix")))</f>
        <v>0</v>
      </c>
      <c r="M130" s="5">
        <f>IF(OR(INDEX($V$2:$V$1001,MATCH(ROWS($U$2:U130),$U$2:$U$1001,0),1)&gt;=100000,INDEX($AB$1005:$AQ$1005,1,MATCH(COLUMNS($AB$1006:AM1006),$AB$1006:$AQ$1006,0))&gt;=100000), " ",IF(INDEX($AB$2:$AQ$1001,MATCH(ROWS($U$2:U130),$U$2:$U$1001,0),MATCH(COLUMNS($AB$1006:AM1006),$AB$1006:$AQ$1006,0)), HYPERLINK("#",""), HYPERLINK(CONCATENATE("#Metadata!", ADDRESS(INDEX($W$2:$W$1001,MATCH(ROWS($U$2:U130),$U$2:$U$1001,0),0), INDEX($AB$1004:$AQ$1004,1,MATCH(COLUMNS($AB$1006:AM1006),$AB$1006:$AQ$1006,0)))),"Fix")))</f>
        <v>0</v>
      </c>
      <c r="N130" s="5">
        <f>IF(OR(INDEX($V$2:$V$1001,MATCH(ROWS($U$2:U130),$U$2:$U$1001,0),1)&gt;=100000,INDEX($AB$1005:$AQ$1005,1,MATCH(COLUMNS($AB$1006:AN1006),$AB$1006:$AQ$1006,0))&gt;=100000), " ",IF(INDEX($AB$2:$AQ$1001,MATCH(ROWS($U$2:U130),$U$2:$U$1001,0),MATCH(COLUMNS($AB$1006:AN1006),$AB$1006:$AQ$1006,0)), HYPERLINK("#",""), HYPERLINK(CONCATENATE("#Metadata!", ADDRESS(INDEX($W$2:$W$1001,MATCH(ROWS($U$2:U130),$U$2:$U$1001,0),0), INDEX($AB$1004:$AQ$1004,1,MATCH(COLUMNS($AB$1006:AN1006),$AB$1006:$AQ$1006,0)))),"Fix")))</f>
        <v>0</v>
      </c>
      <c r="O130" s="5">
        <f>IF(OR(INDEX($V$2:$V$1001,MATCH(ROWS($U$2:U130),$U$2:$U$1001,0),1)&gt;=100000,INDEX($AB$1005:$AQ$1005,1,MATCH(COLUMNS($AB$1006:AO1006),$AB$1006:$AQ$1006,0))&gt;=100000), " ",IF(INDEX($AB$2:$AQ$1001,MATCH(ROWS($U$2:U130),$U$2:$U$1001,0),MATCH(COLUMNS($AB$1006:AO1006),$AB$1006:$AQ$1006,0)), HYPERLINK("#",""), HYPERLINK(CONCATENATE("#Metadata!", ADDRESS(INDEX($W$2:$W$1001,MATCH(ROWS($U$2:U130),$U$2:$U$1001,0),0), INDEX($AB$1004:$AQ$1004,1,MATCH(COLUMNS($AB$1006:AO1006),$AB$1006:$AQ$1006,0)))),"Fix")))</f>
        <v>0</v>
      </c>
      <c r="P130" s="5">
        <f>IF(OR(INDEX($V$2:$V$1001,MATCH(ROWS($U$2:U130),$U$2:$U$1001,0),1)&gt;=100000,INDEX($AB$1005:$AQ$1005,1,MATCH(COLUMNS($AB$1006:AP1006),$AB$1006:$AQ$1006,0))&gt;=100000), " ",IF(INDEX($AB$2:$AQ$1001,MATCH(ROWS($U$2:U130),$U$2:$U$1001,0),MATCH(COLUMNS($AB$1006:AP1006),$AB$1006:$AQ$1006,0)), HYPERLINK("#",""), HYPERLINK(CONCATENATE("#Metadata!", ADDRESS(INDEX($W$2:$W$1001,MATCH(ROWS($U$2:U130),$U$2:$U$1001,0),0), INDEX($AB$1004:$AQ$1004,1,MATCH(COLUMNS($AB$1006:AP1006),$AB$1006:$AQ$1006,0)))),"Fix")))</f>
        <v>0</v>
      </c>
      <c r="Q130" s="5">
        <f>IF(OR(INDEX($V$2:$V$1001,MATCH(ROWS($U$2:U130),$U$2:$U$1001,0),1)&gt;=100000,INDEX($AB$1005:$AQ$1005,1,MATCH(COLUMNS($AB$1006:AQ1006),$AB$1006:$AQ$1006,0))&gt;=100000), " ",IF(INDEX($AB$2:$AQ$1001,MATCH(ROWS($U$2:U130),$U$2:$U$1001,0),MATCH(COLUMNS($AB$1006:AQ1006),$AB$1006:$AQ$1006,0)), HYPERLINK("#",""), HYPERLINK(CONCATENATE("#Metadata!", ADDRESS(INDEX($W$2:$W$1001,MATCH(ROWS($U$2:U130),$U$2:$U$1001,0),0), INDEX($AB$1004:$AQ$1004,1,MATCH(COLUMNS($AB$1006:AQ1006),$AB$1006:$AQ$1006,0)))),"Fix")))</f>
        <v>0</v>
      </c>
      <c r="U130">
        <v>0</v>
      </c>
      <c r="V130">
        <v>0</v>
      </c>
      <c r="W130">
        <v>0</v>
      </c>
      <c r="X130">
        <f>IF(Y130,TRUE,AND(AB130:AQ130))</f>
        <v>0</v>
      </c>
      <c r="Y130">
        <f>COUNTBLANK(Metadata!B130:Q130)=COLUMNS(Metadata!B130:Q130)</f>
        <v>0</v>
      </c>
      <c r="Z130">
        <v>0</v>
      </c>
      <c r="AB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AC130">
        <f>AND(IF(Metadata!C130="",FALSE,TRUE),exact(Metadata!C130,"urban biome"))</f>
        <v>0</v>
      </c>
      <c r="AD130">
        <f>AND(IF(Metadata!D130="",FALSE,TRUE),exact(Metadata!D130,"human-associated habitat"))</f>
        <v>0</v>
      </c>
      <c r="AE130">
        <f>AND(IF(Metadata!E130="",FALSE,TRUE),OR(exact(Metadata!E130,"human-associated"),exact(Metadata!E130,"human-skin"),exact(Metadata!E130,"human-oral"),exact(Metadata!E130,"human-gut"),exact(Metadata!E130,"human-vaginal")))</f>
        <v>0</v>
      </c>
      <c r="AF130">
        <f>AND(IF(Metadata!F130="",FALSE,ISNUMBER(VALUE(Metadata!F130))),Metadata!F130&gt;0)</f>
        <v>0</v>
      </c>
      <c r="AG130">
        <f>AND(IF(Metadata!G130="",FALSE,TRUE),exact(Metadata!G130,"years"))</f>
        <v>0</v>
      </c>
      <c r="AH130">
        <f>OR(AND(IF(Metadata!H130="",FALSE,TRUE),OR(exact(Metadata!H130,"not applicable"),exact(Metadata!H130,"not collected"),exact(Metadata!H130,"not provided"),exact(Metadata!H130,"restricted access"))),AND(IF(Metadata!H130="",FALSE,ISNUMBER(VALUE(Metadata!H130))),Metadata!H130&gt;0))</f>
        <v>0</v>
      </c>
      <c r="AI130">
        <f>AND(IF(Metadata!I130="",FALSE,TRUE),exact(Metadata!I130,"human"))</f>
        <v>0</v>
      </c>
      <c r="AJ130">
        <f>AND(IF(Metadata!J130="",FALSE,ISNUMBER(VALUE(Metadata!J130))),Metadata!J130&gt;0)</f>
        <v>0</v>
      </c>
      <c r="AK130">
        <f>AND(IF(Metadata!K130="",FALSE,TRUE),exact(Metadata!K130,"cm"))</f>
        <v>0</v>
      </c>
      <c r="AL130">
        <f>AND(IF(Metadata!L130="",FALSE,TRUE),exact(Metadata!L130,"Homo sapiens"))</f>
        <v>0</v>
      </c>
      <c r="AM130">
        <f>AND(IF(Metadata!M130="",FALSE,TRUE),exact(Metadata!M130,"9606"))</f>
        <v>0</v>
      </c>
      <c r="AN130">
        <f>AND(IF(Metadata!N130="",FALSE,ISNUMBER(VALUE(Metadata!N130))),Metadata!N130&gt;0)</f>
        <v>0</v>
      </c>
      <c r="AO130">
        <f>AND(IF(Metadata!O130="",FALSE,TRUE),exact(Metadata!O130,"kg"))</f>
        <v>0</v>
      </c>
      <c r="AP130">
        <f>OR(AND(IF(Metadata!P130="",FALSE,TRUE),exact(Metadata!P130,"not provided")),IF(Metadata!P130="",FALSE,TRUE))</f>
        <v>0</v>
      </c>
      <c r="AQ130">
        <f>OR(AND(IF(Metadata!Q130="",FALSE,TRUE),exact(Metadata!Q130,"not provided")),IF(Metadata!Q130="",FALSE,TRUE))</f>
        <v>0</v>
      </c>
    </row>
    <row r="131" spans="1:43">
      <c r="A131" s="4">
        <f>IF(B131=" "," ",HYPERLINK(CONCATENATE("#metadata!",ADDRESS(INDEX($W$2:$W$1001,MATCH(ROWS($U$2:U131),$U$2:$U$1001,0),0),2)),INDEX($Z$2:$Z$1001,MATCH(ROWS($U$2:U131),$U$2:$U$1001,0),0)))</f>
        <v>0</v>
      </c>
      <c r="B131" s="5">
        <f>IF(OR(INDEX($V$2:$V$1001,MATCH(ROWS($U$2:U131),$U$2:$U$1001,0),1)&gt;=100000,INDEX($AB$1005:$AQ$1005,1,MATCH(COLUMNS($AB$1006:AB1006),$AB$1006:$AQ$1006,0))&gt;=100000), " ",IF(INDEX($AB$2:$AQ$1001,MATCH(ROWS($U$2:U131),$U$2:$U$1001,0),MATCH(COLUMNS($AB$1006:AB1006),$AB$1006:$AQ$1006,0)), HYPERLINK("#",""), HYPERLINK(CONCATENATE("#Metadata!", ADDRESS(INDEX($W$2:$W$1001,MATCH(ROWS($U$2:U131),$U$2:$U$1001,0),0), INDEX($AB$1004:$AQ$1004,1,MATCH(COLUMNS($AB$1006:AB1006),$AB$1006:$AQ$1006,0)))),"Fix")))</f>
        <v>0</v>
      </c>
      <c r="C131" s="5">
        <f>IF(OR(INDEX($V$2:$V$1001,MATCH(ROWS($U$2:U131),$U$2:$U$1001,0),1)&gt;=100000,INDEX($AB$1005:$AQ$1005,1,MATCH(COLUMNS($AB$1006:AC1006),$AB$1006:$AQ$1006,0))&gt;=100000), " ",IF(INDEX($AB$2:$AQ$1001,MATCH(ROWS($U$2:U131),$U$2:$U$1001,0),MATCH(COLUMNS($AB$1006:AC1006),$AB$1006:$AQ$1006,0)), HYPERLINK("#",""), HYPERLINK(CONCATENATE("#Metadata!", ADDRESS(INDEX($W$2:$W$1001,MATCH(ROWS($U$2:U131),$U$2:$U$1001,0),0), INDEX($AB$1004:$AQ$1004,1,MATCH(COLUMNS($AB$1006:AC1006),$AB$1006:$AQ$1006,0)))),"Fix")))</f>
        <v>0</v>
      </c>
      <c r="D131" s="5">
        <f>IF(OR(INDEX($V$2:$V$1001,MATCH(ROWS($U$2:U131),$U$2:$U$1001,0),1)&gt;=100000,INDEX($AB$1005:$AQ$1005,1,MATCH(COLUMNS($AB$1006:AD1006),$AB$1006:$AQ$1006,0))&gt;=100000), " ",IF(INDEX($AB$2:$AQ$1001,MATCH(ROWS($U$2:U131),$U$2:$U$1001,0),MATCH(COLUMNS($AB$1006:AD1006),$AB$1006:$AQ$1006,0)), HYPERLINK("#",""), HYPERLINK(CONCATENATE("#Metadata!", ADDRESS(INDEX($W$2:$W$1001,MATCH(ROWS($U$2:U131),$U$2:$U$1001,0),0), INDEX($AB$1004:$AQ$1004,1,MATCH(COLUMNS($AB$1006:AD1006),$AB$1006:$AQ$1006,0)))),"Fix")))</f>
        <v>0</v>
      </c>
      <c r="E131" s="5">
        <f>IF(OR(INDEX($V$2:$V$1001,MATCH(ROWS($U$2:U131),$U$2:$U$1001,0),1)&gt;=100000,INDEX($AB$1005:$AQ$1005,1,MATCH(COLUMNS($AB$1006:AE1006),$AB$1006:$AQ$1006,0))&gt;=100000), " ",IF(INDEX($AB$2:$AQ$1001,MATCH(ROWS($U$2:U131),$U$2:$U$1001,0),MATCH(COLUMNS($AB$1006:AE1006),$AB$1006:$AQ$1006,0)), HYPERLINK("#",""), HYPERLINK(CONCATENATE("#Metadata!", ADDRESS(INDEX($W$2:$W$1001,MATCH(ROWS($U$2:U131),$U$2:$U$1001,0),0), INDEX($AB$1004:$AQ$1004,1,MATCH(COLUMNS($AB$1006:AE1006),$AB$1006:$AQ$1006,0)))),"Fix")))</f>
        <v>0</v>
      </c>
      <c r="F131" s="5">
        <f>IF(OR(INDEX($V$2:$V$1001,MATCH(ROWS($U$2:U131),$U$2:$U$1001,0),1)&gt;=100000,INDEX($AB$1005:$AQ$1005,1,MATCH(COLUMNS($AB$1006:AF1006),$AB$1006:$AQ$1006,0))&gt;=100000), " ",IF(INDEX($AB$2:$AQ$1001,MATCH(ROWS($U$2:U131),$U$2:$U$1001,0),MATCH(COLUMNS($AB$1006:AF1006),$AB$1006:$AQ$1006,0)), HYPERLINK("#",""), HYPERLINK(CONCATENATE("#Metadata!", ADDRESS(INDEX($W$2:$W$1001,MATCH(ROWS($U$2:U131),$U$2:$U$1001,0),0), INDEX($AB$1004:$AQ$1004,1,MATCH(COLUMNS($AB$1006:AF1006),$AB$1006:$AQ$1006,0)))),"Fix")))</f>
        <v>0</v>
      </c>
      <c r="G131" s="5">
        <f>IF(OR(INDEX($V$2:$V$1001,MATCH(ROWS($U$2:U131),$U$2:$U$1001,0),1)&gt;=100000,INDEX($AB$1005:$AQ$1005,1,MATCH(COLUMNS($AB$1006:AG1006),$AB$1006:$AQ$1006,0))&gt;=100000), " ",IF(INDEX($AB$2:$AQ$1001,MATCH(ROWS($U$2:U131),$U$2:$U$1001,0),MATCH(COLUMNS($AB$1006:AG1006),$AB$1006:$AQ$1006,0)), HYPERLINK("#",""), HYPERLINK(CONCATENATE("#Metadata!", ADDRESS(INDEX($W$2:$W$1001,MATCH(ROWS($U$2:U131),$U$2:$U$1001,0),0), INDEX($AB$1004:$AQ$1004,1,MATCH(COLUMNS($AB$1006:AG1006),$AB$1006:$AQ$1006,0)))),"Fix")))</f>
        <v>0</v>
      </c>
      <c r="H131" s="5">
        <f>IF(OR(INDEX($V$2:$V$1001,MATCH(ROWS($U$2:U131),$U$2:$U$1001,0),1)&gt;=100000,INDEX($AB$1005:$AQ$1005,1,MATCH(COLUMNS($AB$1006:AH1006),$AB$1006:$AQ$1006,0))&gt;=100000), " ",IF(INDEX($AB$2:$AQ$1001,MATCH(ROWS($U$2:U131),$U$2:$U$1001,0),MATCH(COLUMNS($AB$1006:AH1006),$AB$1006:$AQ$1006,0)), HYPERLINK("#",""), HYPERLINK(CONCATENATE("#Metadata!", ADDRESS(INDEX($W$2:$W$1001,MATCH(ROWS($U$2:U131),$U$2:$U$1001,0),0), INDEX($AB$1004:$AQ$1004,1,MATCH(COLUMNS($AB$1006:AH1006),$AB$1006:$AQ$1006,0)))),"Fix")))</f>
        <v>0</v>
      </c>
      <c r="I131" s="5">
        <f>IF(OR(INDEX($V$2:$V$1001,MATCH(ROWS($U$2:U131),$U$2:$U$1001,0),1)&gt;=100000,INDEX($AB$1005:$AQ$1005,1,MATCH(COLUMNS($AB$1006:AI1006),$AB$1006:$AQ$1006,0))&gt;=100000), " ",IF(INDEX($AB$2:$AQ$1001,MATCH(ROWS($U$2:U131),$U$2:$U$1001,0),MATCH(COLUMNS($AB$1006:AI1006),$AB$1006:$AQ$1006,0)), HYPERLINK("#",""), HYPERLINK(CONCATENATE("#Metadata!", ADDRESS(INDEX($W$2:$W$1001,MATCH(ROWS($U$2:U131),$U$2:$U$1001,0),0), INDEX($AB$1004:$AQ$1004,1,MATCH(COLUMNS($AB$1006:AI1006),$AB$1006:$AQ$1006,0)))),"Fix")))</f>
        <v>0</v>
      </c>
      <c r="J131" s="5">
        <f>IF(OR(INDEX($V$2:$V$1001,MATCH(ROWS($U$2:U131),$U$2:$U$1001,0),1)&gt;=100000,INDEX($AB$1005:$AQ$1005,1,MATCH(COLUMNS($AB$1006:AJ1006),$AB$1006:$AQ$1006,0))&gt;=100000), " ",IF(INDEX($AB$2:$AQ$1001,MATCH(ROWS($U$2:U131),$U$2:$U$1001,0),MATCH(COLUMNS($AB$1006:AJ1006),$AB$1006:$AQ$1006,0)), HYPERLINK("#",""), HYPERLINK(CONCATENATE("#Metadata!", ADDRESS(INDEX($W$2:$W$1001,MATCH(ROWS($U$2:U131),$U$2:$U$1001,0),0), INDEX($AB$1004:$AQ$1004,1,MATCH(COLUMNS($AB$1006:AJ1006),$AB$1006:$AQ$1006,0)))),"Fix")))</f>
        <v>0</v>
      </c>
      <c r="K131" s="5">
        <f>IF(OR(INDEX($V$2:$V$1001,MATCH(ROWS($U$2:U131),$U$2:$U$1001,0),1)&gt;=100000,INDEX($AB$1005:$AQ$1005,1,MATCH(COLUMNS($AB$1006:AK1006),$AB$1006:$AQ$1006,0))&gt;=100000), " ",IF(INDEX($AB$2:$AQ$1001,MATCH(ROWS($U$2:U131),$U$2:$U$1001,0),MATCH(COLUMNS($AB$1006:AK1006),$AB$1006:$AQ$1006,0)), HYPERLINK("#",""), HYPERLINK(CONCATENATE("#Metadata!", ADDRESS(INDEX($W$2:$W$1001,MATCH(ROWS($U$2:U131),$U$2:$U$1001,0),0), INDEX($AB$1004:$AQ$1004,1,MATCH(COLUMNS($AB$1006:AK1006),$AB$1006:$AQ$1006,0)))),"Fix")))</f>
        <v>0</v>
      </c>
      <c r="L131" s="5">
        <f>IF(OR(INDEX($V$2:$V$1001,MATCH(ROWS($U$2:U131),$U$2:$U$1001,0),1)&gt;=100000,INDEX($AB$1005:$AQ$1005,1,MATCH(COLUMNS($AB$1006:AL1006),$AB$1006:$AQ$1006,0))&gt;=100000), " ",IF(INDEX($AB$2:$AQ$1001,MATCH(ROWS($U$2:U131),$U$2:$U$1001,0),MATCH(COLUMNS($AB$1006:AL1006),$AB$1006:$AQ$1006,0)), HYPERLINK("#",""), HYPERLINK(CONCATENATE("#Metadata!", ADDRESS(INDEX($W$2:$W$1001,MATCH(ROWS($U$2:U131),$U$2:$U$1001,0),0), INDEX($AB$1004:$AQ$1004,1,MATCH(COLUMNS($AB$1006:AL1006),$AB$1006:$AQ$1006,0)))),"Fix")))</f>
        <v>0</v>
      </c>
      <c r="M131" s="5">
        <f>IF(OR(INDEX($V$2:$V$1001,MATCH(ROWS($U$2:U131),$U$2:$U$1001,0),1)&gt;=100000,INDEX($AB$1005:$AQ$1005,1,MATCH(COLUMNS($AB$1006:AM1006),$AB$1006:$AQ$1006,0))&gt;=100000), " ",IF(INDEX($AB$2:$AQ$1001,MATCH(ROWS($U$2:U131),$U$2:$U$1001,0),MATCH(COLUMNS($AB$1006:AM1006),$AB$1006:$AQ$1006,0)), HYPERLINK("#",""), HYPERLINK(CONCATENATE("#Metadata!", ADDRESS(INDEX($W$2:$W$1001,MATCH(ROWS($U$2:U131),$U$2:$U$1001,0),0), INDEX($AB$1004:$AQ$1004,1,MATCH(COLUMNS($AB$1006:AM1006),$AB$1006:$AQ$1006,0)))),"Fix")))</f>
        <v>0</v>
      </c>
      <c r="N131" s="5">
        <f>IF(OR(INDEX($V$2:$V$1001,MATCH(ROWS($U$2:U131),$U$2:$U$1001,0),1)&gt;=100000,INDEX($AB$1005:$AQ$1005,1,MATCH(COLUMNS($AB$1006:AN1006),$AB$1006:$AQ$1006,0))&gt;=100000), " ",IF(INDEX($AB$2:$AQ$1001,MATCH(ROWS($U$2:U131),$U$2:$U$1001,0),MATCH(COLUMNS($AB$1006:AN1006),$AB$1006:$AQ$1006,0)), HYPERLINK("#",""), HYPERLINK(CONCATENATE("#Metadata!", ADDRESS(INDEX($W$2:$W$1001,MATCH(ROWS($U$2:U131),$U$2:$U$1001,0),0), INDEX($AB$1004:$AQ$1004,1,MATCH(COLUMNS($AB$1006:AN1006),$AB$1006:$AQ$1006,0)))),"Fix")))</f>
        <v>0</v>
      </c>
      <c r="O131" s="5">
        <f>IF(OR(INDEX($V$2:$V$1001,MATCH(ROWS($U$2:U131),$U$2:$U$1001,0),1)&gt;=100000,INDEX($AB$1005:$AQ$1005,1,MATCH(COLUMNS($AB$1006:AO1006),$AB$1006:$AQ$1006,0))&gt;=100000), " ",IF(INDEX($AB$2:$AQ$1001,MATCH(ROWS($U$2:U131),$U$2:$U$1001,0),MATCH(COLUMNS($AB$1006:AO1006),$AB$1006:$AQ$1006,0)), HYPERLINK("#",""), HYPERLINK(CONCATENATE("#Metadata!", ADDRESS(INDEX($W$2:$W$1001,MATCH(ROWS($U$2:U131),$U$2:$U$1001,0),0), INDEX($AB$1004:$AQ$1004,1,MATCH(COLUMNS($AB$1006:AO1006),$AB$1006:$AQ$1006,0)))),"Fix")))</f>
        <v>0</v>
      </c>
      <c r="P131" s="5">
        <f>IF(OR(INDEX($V$2:$V$1001,MATCH(ROWS($U$2:U131),$U$2:$U$1001,0),1)&gt;=100000,INDEX($AB$1005:$AQ$1005,1,MATCH(COLUMNS($AB$1006:AP1006),$AB$1006:$AQ$1006,0))&gt;=100000), " ",IF(INDEX($AB$2:$AQ$1001,MATCH(ROWS($U$2:U131),$U$2:$U$1001,0),MATCH(COLUMNS($AB$1006:AP1006),$AB$1006:$AQ$1006,0)), HYPERLINK("#",""), HYPERLINK(CONCATENATE("#Metadata!", ADDRESS(INDEX($W$2:$W$1001,MATCH(ROWS($U$2:U131),$U$2:$U$1001,0),0), INDEX($AB$1004:$AQ$1004,1,MATCH(COLUMNS($AB$1006:AP1006),$AB$1006:$AQ$1006,0)))),"Fix")))</f>
        <v>0</v>
      </c>
      <c r="Q131" s="5">
        <f>IF(OR(INDEX($V$2:$V$1001,MATCH(ROWS($U$2:U131),$U$2:$U$1001,0),1)&gt;=100000,INDEX($AB$1005:$AQ$1005,1,MATCH(COLUMNS($AB$1006:AQ1006),$AB$1006:$AQ$1006,0))&gt;=100000), " ",IF(INDEX($AB$2:$AQ$1001,MATCH(ROWS($U$2:U131),$U$2:$U$1001,0),MATCH(COLUMNS($AB$1006:AQ1006),$AB$1006:$AQ$1006,0)), HYPERLINK("#",""), HYPERLINK(CONCATENATE("#Metadata!", ADDRESS(INDEX($W$2:$W$1001,MATCH(ROWS($U$2:U131),$U$2:$U$1001,0),0), INDEX($AB$1004:$AQ$1004,1,MATCH(COLUMNS($AB$1006:AQ1006),$AB$1006:$AQ$1006,0)))),"Fix")))</f>
        <v>0</v>
      </c>
      <c r="U131">
        <v>0</v>
      </c>
      <c r="V131">
        <v>0</v>
      </c>
      <c r="W131">
        <v>0</v>
      </c>
      <c r="X131">
        <f>IF(Y131,TRUE,AND(AB131:AQ131))</f>
        <v>0</v>
      </c>
      <c r="Y131">
        <f>COUNTBLANK(Metadata!B131:Q131)=COLUMNS(Metadata!B131:Q131)</f>
        <v>0</v>
      </c>
      <c r="Z131">
        <v>0</v>
      </c>
      <c r="AB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AC131">
        <f>AND(IF(Metadata!C131="",FALSE,TRUE),exact(Metadata!C131,"urban biome"))</f>
        <v>0</v>
      </c>
      <c r="AD131">
        <f>AND(IF(Metadata!D131="",FALSE,TRUE),exact(Metadata!D131,"human-associated habitat"))</f>
        <v>0</v>
      </c>
      <c r="AE131">
        <f>AND(IF(Metadata!E131="",FALSE,TRUE),OR(exact(Metadata!E131,"human-associated"),exact(Metadata!E131,"human-skin"),exact(Metadata!E131,"human-oral"),exact(Metadata!E131,"human-gut"),exact(Metadata!E131,"human-vaginal")))</f>
        <v>0</v>
      </c>
      <c r="AF131">
        <f>AND(IF(Metadata!F131="",FALSE,ISNUMBER(VALUE(Metadata!F131))),Metadata!F131&gt;0)</f>
        <v>0</v>
      </c>
      <c r="AG131">
        <f>AND(IF(Metadata!G131="",FALSE,TRUE),exact(Metadata!G131,"years"))</f>
        <v>0</v>
      </c>
      <c r="AH131">
        <f>OR(AND(IF(Metadata!H131="",FALSE,TRUE),OR(exact(Metadata!H131,"not applicable"),exact(Metadata!H131,"not collected"),exact(Metadata!H131,"not provided"),exact(Metadata!H131,"restricted access"))),AND(IF(Metadata!H131="",FALSE,ISNUMBER(VALUE(Metadata!H131))),Metadata!H131&gt;0))</f>
        <v>0</v>
      </c>
      <c r="AI131">
        <f>AND(IF(Metadata!I131="",FALSE,TRUE),exact(Metadata!I131,"human"))</f>
        <v>0</v>
      </c>
      <c r="AJ131">
        <f>AND(IF(Metadata!J131="",FALSE,ISNUMBER(VALUE(Metadata!J131))),Metadata!J131&gt;0)</f>
        <v>0</v>
      </c>
      <c r="AK131">
        <f>AND(IF(Metadata!K131="",FALSE,TRUE),exact(Metadata!K131,"cm"))</f>
        <v>0</v>
      </c>
      <c r="AL131">
        <f>AND(IF(Metadata!L131="",FALSE,TRUE),exact(Metadata!L131,"Homo sapiens"))</f>
        <v>0</v>
      </c>
      <c r="AM131">
        <f>AND(IF(Metadata!M131="",FALSE,TRUE),exact(Metadata!M131,"9606"))</f>
        <v>0</v>
      </c>
      <c r="AN131">
        <f>AND(IF(Metadata!N131="",FALSE,ISNUMBER(VALUE(Metadata!N131))),Metadata!N131&gt;0)</f>
        <v>0</v>
      </c>
      <c r="AO131">
        <f>AND(IF(Metadata!O131="",FALSE,TRUE),exact(Metadata!O131,"kg"))</f>
        <v>0</v>
      </c>
      <c r="AP131">
        <f>OR(AND(IF(Metadata!P131="",FALSE,TRUE),exact(Metadata!P131,"not provided")),IF(Metadata!P131="",FALSE,TRUE))</f>
        <v>0</v>
      </c>
      <c r="AQ131">
        <f>OR(AND(IF(Metadata!Q131="",FALSE,TRUE),exact(Metadata!Q131,"not provided")),IF(Metadata!Q131="",FALSE,TRUE))</f>
        <v>0</v>
      </c>
    </row>
    <row r="132" spans="1:43">
      <c r="A132" s="4">
        <f>IF(B132=" "," ",HYPERLINK(CONCATENATE("#metadata!",ADDRESS(INDEX($W$2:$W$1001,MATCH(ROWS($U$2:U132),$U$2:$U$1001,0),0),2)),INDEX($Z$2:$Z$1001,MATCH(ROWS($U$2:U132),$U$2:$U$1001,0),0)))</f>
        <v>0</v>
      </c>
      <c r="B132" s="5">
        <f>IF(OR(INDEX($V$2:$V$1001,MATCH(ROWS($U$2:U132),$U$2:$U$1001,0),1)&gt;=100000,INDEX($AB$1005:$AQ$1005,1,MATCH(COLUMNS($AB$1006:AB1006),$AB$1006:$AQ$1006,0))&gt;=100000), " ",IF(INDEX($AB$2:$AQ$1001,MATCH(ROWS($U$2:U132),$U$2:$U$1001,0),MATCH(COLUMNS($AB$1006:AB1006),$AB$1006:$AQ$1006,0)), HYPERLINK("#",""), HYPERLINK(CONCATENATE("#Metadata!", ADDRESS(INDEX($W$2:$W$1001,MATCH(ROWS($U$2:U132),$U$2:$U$1001,0),0), INDEX($AB$1004:$AQ$1004,1,MATCH(COLUMNS($AB$1006:AB1006),$AB$1006:$AQ$1006,0)))),"Fix")))</f>
        <v>0</v>
      </c>
      <c r="C132" s="5">
        <f>IF(OR(INDEX($V$2:$V$1001,MATCH(ROWS($U$2:U132),$U$2:$U$1001,0),1)&gt;=100000,INDEX($AB$1005:$AQ$1005,1,MATCH(COLUMNS($AB$1006:AC1006),$AB$1006:$AQ$1006,0))&gt;=100000), " ",IF(INDEX($AB$2:$AQ$1001,MATCH(ROWS($U$2:U132),$U$2:$U$1001,0),MATCH(COLUMNS($AB$1006:AC1006),$AB$1006:$AQ$1006,0)), HYPERLINK("#",""), HYPERLINK(CONCATENATE("#Metadata!", ADDRESS(INDEX($W$2:$W$1001,MATCH(ROWS($U$2:U132),$U$2:$U$1001,0),0), INDEX($AB$1004:$AQ$1004,1,MATCH(COLUMNS($AB$1006:AC1006),$AB$1006:$AQ$1006,0)))),"Fix")))</f>
        <v>0</v>
      </c>
      <c r="D132" s="5">
        <f>IF(OR(INDEX($V$2:$V$1001,MATCH(ROWS($U$2:U132),$U$2:$U$1001,0),1)&gt;=100000,INDEX($AB$1005:$AQ$1005,1,MATCH(COLUMNS($AB$1006:AD1006),$AB$1006:$AQ$1006,0))&gt;=100000), " ",IF(INDEX($AB$2:$AQ$1001,MATCH(ROWS($U$2:U132),$U$2:$U$1001,0),MATCH(COLUMNS($AB$1006:AD1006),$AB$1006:$AQ$1006,0)), HYPERLINK("#",""), HYPERLINK(CONCATENATE("#Metadata!", ADDRESS(INDEX($W$2:$W$1001,MATCH(ROWS($U$2:U132),$U$2:$U$1001,0),0), INDEX($AB$1004:$AQ$1004,1,MATCH(COLUMNS($AB$1006:AD1006),$AB$1006:$AQ$1006,0)))),"Fix")))</f>
        <v>0</v>
      </c>
      <c r="E132" s="5">
        <f>IF(OR(INDEX($V$2:$V$1001,MATCH(ROWS($U$2:U132),$U$2:$U$1001,0),1)&gt;=100000,INDEX($AB$1005:$AQ$1005,1,MATCH(COLUMNS($AB$1006:AE1006),$AB$1006:$AQ$1006,0))&gt;=100000), " ",IF(INDEX($AB$2:$AQ$1001,MATCH(ROWS($U$2:U132),$U$2:$U$1001,0),MATCH(COLUMNS($AB$1006:AE1006),$AB$1006:$AQ$1006,0)), HYPERLINK("#",""), HYPERLINK(CONCATENATE("#Metadata!", ADDRESS(INDEX($W$2:$W$1001,MATCH(ROWS($U$2:U132),$U$2:$U$1001,0),0), INDEX($AB$1004:$AQ$1004,1,MATCH(COLUMNS($AB$1006:AE1006),$AB$1006:$AQ$1006,0)))),"Fix")))</f>
        <v>0</v>
      </c>
      <c r="F132" s="5">
        <f>IF(OR(INDEX($V$2:$V$1001,MATCH(ROWS($U$2:U132),$U$2:$U$1001,0),1)&gt;=100000,INDEX($AB$1005:$AQ$1005,1,MATCH(COLUMNS($AB$1006:AF1006),$AB$1006:$AQ$1006,0))&gt;=100000), " ",IF(INDEX($AB$2:$AQ$1001,MATCH(ROWS($U$2:U132),$U$2:$U$1001,0),MATCH(COLUMNS($AB$1006:AF1006),$AB$1006:$AQ$1006,0)), HYPERLINK("#",""), HYPERLINK(CONCATENATE("#Metadata!", ADDRESS(INDEX($W$2:$W$1001,MATCH(ROWS($U$2:U132),$U$2:$U$1001,0),0), INDEX($AB$1004:$AQ$1004,1,MATCH(COLUMNS($AB$1006:AF1006),$AB$1006:$AQ$1006,0)))),"Fix")))</f>
        <v>0</v>
      </c>
      <c r="G132" s="5">
        <f>IF(OR(INDEX($V$2:$V$1001,MATCH(ROWS($U$2:U132),$U$2:$U$1001,0),1)&gt;=100000,INDEX($AB$1005:$AQ$1005,1,MATCH(COLUMNS($AB$1006:AG1006),$AB$1006:$AQ$1006,0))&gt;=100000), " ",IF(INDEX($AB$2:$AQ$1001,MATCH(ROWS($U$2:U132),$U$2:$U$1001,0),MATCH(COLUMNS($AB$1006:AG1006),$AB$1006:$AQ$1006,0)), HYPERLINK("#",""), HYPERLINK(CONCATENATE("#Metadata!", ADDRESS(INDEX($W$2:$W$1001,MATCH(ROWS($U$2:U132),$U$2:$U$1001,0),0), INDEX($AB$1004:$AQ$1004,1,MATCH(COLUMNS($AB$1006:AG1006),$AB$1006:$AQ$1006,0)))),"Fix")))</f>
        <v>0</v>
      </c>
      <c r="H132" s="5">
        <f>IF(OR(INDEX($V$2:$V$1001,MATCH(ROWS($U$2:U132),$U$2:$U$1001,0),1)&gt;=100000,INDEX($AB$1005:$AQ$1005,1,MATCH(COLUMNS($AB$1006:AH1006),$AB$1006:$AQ$1006,0))&gt;=100000), " ",IF(INDEX($AB$2:$AQ$1001,MATCH(ROWS($U$2:U132),$U$2:$U$1001,0),MATCH(COLUMNS($AB$1006:AH1006),$AB$1006:$AQ$1006,0)), HYPERLINK("#",""), HYPERLINK(CONCATENATE("#Metadata!", ADDRESS(INDEX($W$2:$W$1001,MATCH(ROWS($U$2:U132),$U$2:$U$1001,0),0), INDEX($AB$1004:$AQ$1004,1,MATCH(COLUMNS($AB$1006:AH1006),$AB$1006:$AQ$1006,0)))),"Fix")))</f>
        <v>0</v>
      </c>
      <c r="I132" s="5">
        <f>IF(OR(INDEX($V$2:$V$1001,MATCH(ROWS($U$2:U132),$U$2:$U$1001,0),1)&gt;=100000,INDEX($AB$1005:$AQ$1005,1,MATCH(COLUMNS($AB$1006:AI1006),$AB$1006:$AQ$1006,0))&gt;=100000), " ",IF(INDEX($AB$2:$AQ$1001,MATCH(ROWS($U$2:U132),$U$2:$U$1001,0),MATCH(COLUMNS($AB$1006:AI1006),$AB$1006:$AQ$1006,0)), HYPERLINK("#",""), HYPERLINK(CONCATENATE("#Metadata!", ADDRESS(INDEX($W$2:$W$1001,MATCH(ROWS($U$2:U132),$U$2:$U$1001,0),0), INDEX($AB$1004:$AQ$1004,1,MATCH(COLUMNS($AB$1006:AI1006),$AB$1006:$AQ$1006,0)))),"Fix")))</f>
        <v>0</v>
      </c>
      <c r="J132" s="5">
        <f>IF(OR(INDEX($V$2:$V$1001,MATCH(ROWS($U$2:U132),$U$2:$U$1001,0),1)&gt;=100000,INDEX($AB$1005:$AQ$1005,1,MATCH(COLUMNS($AB$1006:AJ1006),$AB$1006:$AQ$1006,0))&gt;=100000), " ",IF(INDEX($AB$2:$AQ$1001,MATCH(ROWS($U$2:U132),$U$2:$U$1001,0),MATCH(COLUMNS($AB$1006:AJ1006),$AB$1006:$AQ$1006,0)), HYPERLINK("#",""), HYPERLINK(CONCATENATE("#Metadata!", ADDRESS(INDEX($W$2:$W$1001,MATCH(ROWS($U$2:U132),$U$2:$U$1001,0),0), INDEX($AB$1004:$AQ$1004,1,MATCH(COLUMNS($AB$1006:AJ1006),$AB$1006:$AQ$1006,0)))),"Fix")))</f>
        <v>0</v>
      </c>
      <c r="K132" s="5">
        <f>IF(OR(INDEX($V$2:$V$1001,MATCH(ROWS($U$2:U132),$U$2:$U$1001,0),1)&gt;=100000,INDEX($AB$1005:$AQ$1005,1,MATCH(COLUMNS($AB$1006:AK1006),$AB$1006:$AQ$1006,0))&gt;=100000), " ",IF(INDEX($AB$2:$AQ$1001,MATCH(ROWS($U$2:U132),$U$2:$U$1001,0),MATCH(COLUMNS($AB$1006:AK1006),$AB$1006:$AQ$1006,0)), HYPERLINK("#",""), HYPERLINK(CONCATENATE("#Metadata!", ADDRESS(INDEX($W$2:$W$1001,MATCH(ROWS($U$2:U132),$U$2:$U$1001,0),0), INDEX($AB$1004:$AQ$1004,1,MATCH(COLUMNS($AB$1006:AK1006),$AB$1006:$AQ$1006,0)))),"Fix")))</f>
        <v>0</v>
      </c>
      <c r="L132" s="5">
        <f>IF(OR(INDEX($V$2:$V$1001,MATCH(ROWS($U$2:U132),$U$2:$U$1001,0),1)&gt;=100000,INDEX($AB$1005:$AQ$1005,1,MATCH(COLUMNS($AB$1006:AL1006),$AB$1006:$AQ$1006,0))&gt;=100000), " ",IF(INDEX($AB$2:$AQ$1001,MATCH(ROWS($U$2:U132),$U$2:$U$1001,0),MATCH(COLUMNS($AB$1006:AL1006),$AB$1006:$AQ$1006,0)), HYPERLINK("#",""), HYPERLINK(CONCATENATE("#Metadata!", ADDRESS(INDEX($W$2:$W$1001,MATCH(ROWS($U$2:U132),$U$2:$U$1001,0),0), INDEX($AB$1004:$AQ$1004,1,MATCH(COLUMNS($AB$1006:AL1006),$AB$1006:$AQ$1006,0)))),"Fix")))</f>
        <v>0</v>
      </c>
      <c r="M132" s="5">
        <f>IF(OR(INDEX($V$2:$V$1001,MATCH(ROWS($U$2:U132),$U$2:$U$1001,0),1)&gt;=100000,INDEX($AB$1005:$AQ$1005,1,MATCH(COLUMNS($AB$1006:AM1006),$AB$1006:$AQ$1006,0))&gt;=100000), " ",IF(INDEX($AB$2:$AQ$1001,MATCH(ROWS($U$2:U132),$U$2:$U$1001,0),MATCH(COLUMNS($AB$1006:AM1006),$AB$1006:$AQ$1006,0)), HYPERLINK("#",""), HYPERLINK(CONCATENATE("#Metadata!", ADDRESS(INDEX($W$2:$W$1001,MATCH(ROWS($U$2:U132),$U$2:$U$1001,0),0), INDEX($AB$1004:$AQ$1004,1,MATCH(COLUMNS($AB$1006:AM1006),$AB$1006:$AQ$1006,0)))),"Fix")))</f>
        <v>0</v>
      </c>
      <c r="N132" s="5">
        <f>IF(OR(INDEX($V$2:$V$1001,MATCH(ROWS($U$2:U132),$U$2:$U$1001,0),1)&gt;=100000,INDEX($AB$1005:$AQ$1005,1,MATCH(COLUMNS($AB$1006:AN1006),$AB$1006:$AQ$1006,0))&gt;=100000), " ",IF(INDEX($AB$2:$AQ$1001,MATCH(ROWS($U$2:U132),$U$2:$U$1001,0),MATCH(COLUMNS($AB$1006:AN1006),$AB$1006:$AQ$1006,0)), HYPERLINK("#",""), HYPERLINK(CONCATENATE("#Metadata!", ADDRESS(INDEX($W$2:$W$1001,MATCH(ROWS($U$2:U132),$U$2:$U$1001,0),0), INDEX($AB$1004:$AQ$1004,1,MATCH(COLUMNS($AB$1006:AN1006),$AB$1006:$AQ$1006,0)))),"Fix")))</f>
        <v>0</v>
      </c>
      <c r="O132" s="5">
        <f>IF(OR(INDEX($V$2:$V$1001,MATCH(ROWS($U$2:U132),$U$2:$U$1001,0),1)&gt;=100000,INDEX($AB$1005:$AQ$1005,1,MATCH(COLUMNS($AB$1006:AO1006),$AB$1006:$AQ$1006,0))&gt;=100000), " ",IF(INDEX($AB$2:$AQ$1001,MATCH(ROWS($U$2:U132),$U$2:$U$1001,0),MATCH(COLUMNS($AB$1006:AO1006),$AB$1006:$AQ$1006,0)), HYPERLINK("#",""), HYPERLINK(CONCATENATE("#Metadata!", ADDRESS(INDEX($W$2:$W$1001,MATCH(ROWS($U$2:U132),$U$2:$U$1001,0),0), INDEX($AB$1004:$AQ$1004,1,MATCH(COLUMNS($AB$1006:AO1006),$AB$1006:$AQ$1006,0)))),"Fix")))</f>
        <v>0</v>
      </c>
      <c r="P132" s="5">
        <f>IF(OR(INDEX($V$2:$V$1001,MATCH(ROWS($U$2:U132),$U$2:$U$1001,0),1)&gt;=100000,INDEX($AB$1005:$AQ$1005,1,MATCH(COLUMNS($AB$1006:AP1006),$AB$1006:$AQ$1006,0))&gt;=100000), " ",IF(INDEX($AB$2:$AQ$1001,MATCH(ROWS($U$2:U132),$U$2:$U$1001,0),MATCH(COLUMNS($AB$1006:AP1006),$AB$1006:$AQ$1006,0)), HYPERLINK("#",""), HYPERLINK(CONCATENATE("#Metadata!", ADDRESS(INDEX($W$2:$W$1001,MATCH(ROWS($U$2:U132),$U$2:$U$1001,0),0), INDEX($AB$1004:$AQ$1004,1,MATCH(COLUMNS($AB$1006:AP1006),$AB$1006:$AQ$1006,0)))),"Fix")))</f>
        <v>0</v>
      </c>
      <c r="Q132" s="5">
        <f>IF(OR(INDEX($V$2:$V$1001,MATCH(ROWS($U$2:U132),$U$2:$U$1001,0),1)&gt;=100000,INDEX($AB$1005:$AQ$1005,1,MATCH(COLUMNS($AB$1006:AQ1006),$AB$1006:$AQ$1006,0))&gt;=100000), " ",IF(INDEX($AB$2:$AQ$1001,MATCH(ROWS($U$2:U132),$U$2:$U$1001,0),MATCH(COLUMNS($AB$1006:AQ1006),$AB$1006:$AQ$1006,0)), HYPERLINK("#",""), HYPERLINK(CONCATENATE("#Metadata!", ADDRESS(INDEX($W$2:$W$1001,MATCH(ROWS($U$2:U132),$U$2:$U$1001,0),0), INDEX($AB$1004:$AQ$1004,1,MATCH(COLUMNS($AB$1006:AQ1006),$AB$1006:$AQ$1006,0)))),"Fix")))</f>
        <v>0</v>
      </c>
      <c r="U132">
        <v>0</v>
      </c>
      <c r="V132">
        <v>0</v>
      </c>
      <c r="W132">
        <v>0</v>
      </c>
      <c r="X132">
        <f>IF(Y132,TRUE,AND(AB132:AQ132))</f>
        <v>0</v>
      </c>
      <c r="Y132">
        <f>COUNTBLANK(Metadata!B132:Q132)=COLUMNS(Metadata!B132:Q132)</f>
        <v>0</v>
      </c>
      <c r="Z132">
        <v>0</v>
      </c>
      <c r="AB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AC132">
        <f>AND(IF(Metadata!C132="",FALSE,TRUE),exact(Metadata!C132,"urban biome"))</f>
        <v>0</v>
      </c>
      <c r="AD132">
        <f>AND(IF(Metadata!D132="",FALSE,TRUE),exact(Metadata!D132,"human-associated habitat"))</f>
        <v>0</v>
      </c>
      <c r="AE132">
        <f>AND(IF(Metadata!E132="",FALSE,TRUE),OR(exact(Metadata!E132,"human-associated"),exact(Metadata!E132,"human-skin"),exact(Metadata!E132,"human-oral"),exact(Metadata!E132,"human-gut"),exact(Metadata!E132,"human-vaginal")))</f>
        <v>0</v>
      </c>
      <c r="AF132">
        <f>AND(IF(Metadata!F132="",FALSE,ISNUMBER(VALUE(Metadata!F132))),Metadata!F132&gt;0)</f>
        <v>0</v>
      </c>
      <c r="AG132">
        <f>AND(IF(Metadata!G132="",FALSE,TRUE),exact(Metadata!G132,"years"))</f>
        <v>0</v>
      </c>
      <c r="AH132">
        <f>OR(AND(IF(Metadata!H132="",FALSE,TRUE),OR(exact(Metadata!H132,"not applicable"),exact(Metadata!H132,"not collected"),exact(Metadata!H132,"not provided"),exact(Metadata!H132,"restricted access"))),AND(IF(Metadata!H132="",FALSE,ISNUMBER(VALUE(Metadata!H132))),Metadata!H132&gt;0))</f>
        <v>0</v>
      </c>
      <c r="AI132">
        <f>AND(IF(Metadata!I132="",FALSE,TRUE),exact(Metadata!I132,"human"))</f>
        <v>0</v>
      </c>
      <c r="AJ132">
        <f>AND(IF(Metadata!J132="",FALSE,ISNUMBER(VALUE(Metadata!J132))),Metadata!J132&gt;0)</f>
        <v>0</v>
      </c>
      <c r="AK132">
        <f>AND(IF(Metadata!K132="",FALSE,TRUE),exact(Metadata!K132,"cm"))</f>
        <v>0</v>
      </c>
      <c r="AL132">
        <f>AND(IF(Metadata!L132="",FALSE,TRUE),exact(Metadata!L132,"Homo sapiens"))</f>
        <v>0</v>
      </c>
      <c r="AM132">
        <f>AND(IF(Metadata!M132="",FALSE,TRUE),exact(Metadata!M132,"9606"))</f>
        <v>0</v>
      </c>
      <c r="AN132">
        <f>AND(IF(Metadata!N132="",FALSE,ISNUMBER(VALUE(Metadata!N132))),Metadata!N132&gt;0)</f>
        <v>0</v>
      </c>
      <c r="AO132">
        <f>AND(IF(Metadata!O132="",FALSE,TRUE),exact(Metadata!O132,"kg"))</f>
        <v>0</v>
      </c>
      <c r="AP132">
        <f>OR(AND(IF(Metadata!P132="",FALSE,TRUE),exact(Metadata!P132,"not provided")),IF(Metadata!P132="",FALSE,TRUE))</f>
        <v>0</v>
      </c>
      <c r="AQ132">
        <f>OR(AND(IF(Metadata!Q132="",FALSE,TRUE),exact(Metadata!Q132,"not provided")),IF(Metadata!Q132="",FALSE,TRUE))</f>
        <v>0</v>
      </c>
    </row>
    <row r="133" spans="1:43">
      <c r="A133" s="4">
        <f>IF(B133=" "," ",HYPERLINK(CONCATENATE("#metadata!",ADDRESS(INDEX($W$2:$W$1001,MATCH(ROWS($U$2:U133),$U$2:$U$1001,0),0),2)),INDEX($Z$2:$Z$1001,MATCH(ROWS($U$2:U133),$U$2:$U$1001,0),0)))</f>
        <v>0</v>
      </c>
      <c r="B133" s="5">
        <f>IF(OR(INDEX($V$2:$V$1001,MATCH(ROWS($U$2:U133),$U$2:$U$1001,0),1)&gt;=100000,INDEX($AB$1005:$AQ$1005,1,MATCH(COLUMNS($AB$1006:AB1006),$AB$1006:$AQ$1006,0))&gt;=100000), " ",IF(INDEX($AB$2:$AQ$1001,MATCH(ROWS($U$2:U133),$U$2:$U$1001,0),MATCH(COLUMNS($AB$1006:AB1006),$AB$1006:$AQ$1006,0)), HYPERLINK("#",""), HYPERLINK(CONCATENATE("#Metadata!", ADDRESS(INDEX($W$2:$W$1001,MATCH(ROWS($U$2:U133),$U$2:$U$1001,0),0), INDEX($AB$1004:$AQ$1004,1,MATCH(COLUMNS($AB$1006:AB1006),$AB$1006:$AQ$1006,0)))),"Fix")))</f>
        <v>0</v>
      </c>
      <c r="C133" s="5">
        <f>IF(OR(INDEX($V$2:$V$1001,MATCH(ROWS($U$2:U133),$U$2:$U$1001,0),1)&gt;=100000,INDEX($AB$1005:$AQ$1005,1,MATCH(COLUMNS($AB$1006:AC1006),$AB$1006:$AQ$1006,0))&gt;=100000), " ",IF(INDEX($AB$2:$AQ$1001,MATCH(ROWS($U$2:U133),$U$2:$U$1001,0),MATCH(COLUMNS($AB$1006:AC1006),$AB$1006:$AQ$1006,0)), HYPERLINK("#",""), HYPERLINK(CONCATENATE("#Metadata!", ADDRESS(INDEX($W$2:$W$1001,MATCH(ROWS($U$2:U133),$U$2:$U$1001,0),0), INDEX($AB$1004:$AQ$1004,1,MATCH(COLUMNS($AB$1006:AC1006),$AB$1006:$AQ$1006,0)))),"Fix")))</f>
        <v>0</v>
      </c>
      <c r="D133" s="5">
        <f>IF(OR(INDEX($V$2:$V$1001,MATCH(ROWS($U$2:U133),$U$2:$U$1001,0),1)&gt;=100000,INDEX($AB$1005:$AQ$1005,1,MATCH(COLUMNS($AB$1006:AD1006),$AB$1006:$AQ$1006,0))&gt;=100000), " ",IF(INDEX($AB$2:$AQ$1001,MATCH(ROWS($U$2:U133),$U$2:$U$1001,0),MATCH(COLUMNS($AB$1006:AD1006),$AB$1006:$AQ$1006,0)), HYPERLINK("#",""), HYPERLINK(CONCATENATE("#Metadata!", ADDRESS(INDEX($W$2:$W$1001,MATCH(ROWS($U$2:U133),$U$2:$U$1001,0),0), INDEX($AB$1004:$AQ$1004,1,MATCH(COLUMNS($AB$1006:AD1006),$AB$1006:$AQ$1006,0)))),"Fix")))</f>
        <v>0</v>
      </c>
      <c r="E133" s="5">
        <f>IF(OR(INDEX($V$2:$V$1001,MATCH(ROWS($U$2:U133),$U$2:$U$1001,0),1)&gt;=100000,INDEX($AB$1005:$AQ$1005,1,MATCH(COLUMNS($AB$1006:AE1006),$AB$1006:$AQ$1006,0))&gt;=100000), " ",IF(INDEX($AB$2:$AQ$1001,MATCH(ROWS($U$2:U133),$U$2:$U$1001,0),MATCH(COLUMNS($AB$1006:AE1006),$AB$1006:$AQ$1006,0)), HYPERLINK("#",""), HYPERLINK(CONCATENATE("#Metadata!", ADDRESS(INDEX($W$2:$W$1001,MATCH(ROWS($U$2:U133),$U$2:$U$1001,0),0), INDEX($AB$1004:$AQ$1004,1,MATCH(COLUMNS($AB$1006:AE1006),$AB$1006:$AQ$1006,0)))),"Fix")))</f>
        <v>0</v>
      </c>
      <c r="F133" s="5">
        <f>IF(OR(INDEX($V$2:$V$1001,MATCH(ROWS($U$2:U133),$U$2:$U$1001,0),1)&gt;=100000,INDEX($AB$1005:$AQ$1005,1,MATCH(COLUMNS($AB$1006:AF1006),$AB$1006:$AQ$1006,0))&gt;=100000), " ",IF(INDEX($AB$2:$AQ$1001,MATCH(ROWS($U$2:U133),$U$2:$U$1001,0),MATCH(COLUMNS($AB$1006:AF1006),$AB$1006:$AQ$1006,0)), HYPERLINK("#",""), HYPERLINK(CONCATENATE("#Metadata!", ADDRESS(INDEX($W$2:$W$1001,MATCH(ROWS($U$2:U133),$U$2:$U$1001,0),0), INDEX($AB$1004:$AQ$1004,1,MATCH(COLUMNS($AB$1006:AF1006),$AB$1006:$AQ$1006,0)))),"Fix")))</f>
        <v>0</v>
      </c>
      <c r="G133" s="5">
        <f>IF(OR(INDEX($V$2:$V$1001,MATCH(ROWS($U$2:U133),$U$2:$U$1001,0),1)&gt;=100000,INDEX($AB$1005:$AQ$1005,1,MATCH(COLUMNS($AB$1006:AG1006),$AB$1006:$AQ$1006,0))&gt;=100000), " ",IF(INDEX($AB$2:$AQ$1001,MATCH(ROWS($U$2:U133),$U$2:$U$1001,0),MATCH(COLUMNS($AB$1006:AG1006),$AB$1006:$AQ$1006,0)), HYPERLINK("#",""), HYPERLINK(CONCATENATE("#Metadata!", ADDRESS(INDEX($W$2:$W$1001,MATCH(ROWS($U$2:U133),$U$2:$U$1001,0),0), INDEX($AB$1004:$AQ$1004,1,MATCH(COLUMNS($AB$1006:AG1006),$AB$1006:$AQ$1006,0)))),"Fix")))</f>
        <v>0</v>
      </c>
      <c r="H133" s="5">
        <f>IF(OR(INDEX($V$2:$V$1001,MATCH(ROWS($U$2:U133),$U$2:$U$1001,0),1)&gt;=100000,INDEX($AB$1005:$AQ$1005,1,MATCH(COLUMNS($AB$1006:AH1006),$AB$1006:$AQ$1006,0))&gt;=100000), " ",IF(INDEX($AB$2:$AQ$1001,MATCH(ROWS($U$2:U133),$U$2:$U$1001,0),MATCH(COLUMNS($AB$1006:AH1006),$AB$1006:$AQ$1006,0)), HYPERLINK("#",""), HYPERLINK(CONCATENATE("#Metadata!", ADDRESS(INDEX($W$2:$W$1001,MATCH(ROWS($U$2:U133),$U$2:$U$1001,0),0), INDEX($AB$1004:$AQ$1004,1,MATCH(COLUMNS($AB$1006:AH1006),$AB$1006:$AQ$1006,0)))),"Fix")))</f>
        <v>0</v>
      </c>
      <c r="I133" s="5">
        <f>IF(OR(INDEX($V$2:$V$1001,MATCH(ROWS($U$2:U133),$U$2:$U$1001,0),1)&gt;=100000,INDEX($AB$1005:$AQ$1005,1,MATCH(COLUMNS($AB$1006:AI1006),$AB$1006:$AQ$1006,0))&gt;=100000), " ",IF(INDEX($AB$2:$AQ$1001,MATCH(ROWS($U$2:U133),$U$2:$U$1001,0),MATCH(COLUMNS($AB$1006:AI1006),$AB$1006:$AQ$1006,0)), HYPERLINK("#",""), HYPERLINK(CONCATENATE("#Metadata!", ADDRESS(INDEX($W$2:$W$1001,MATCH(ROWS($U$2:U133),$U$2:$U$1001,0),0), INDEX($AB$1004:$AQ$1004,1,MATCH(COLUMNS($AB$1006:AI1006),$AB$1006:$AQ$1006,0)))),"Fix")))</f>
        <v>0</v>
      </c>
      <c r="J133" s="5">
        <f>IF(OR(INDEX($V$2:$V$1001,MATCH(ROWS($U$2:U133),$U$2:$U$1001,0),1)&gt;=100000,INDEX($AB$1005:$AQ$1005,1,MATCH(COLUMNS($AB$1006:AJ1006),$AB$1006:$AQ$1006,0))&gt;=100000), " ",IF(INDEX($AB$2:$AQ$1001,MATCH(ROWS($U$2:U133),$U$2:$U$1001,0),MATCH(COLUMNS($AB$1006:AJ1006),$AB$1006:$AQ$1006,0)), HYPERLINK("#",""), HYPERLINK(CONCATENATE("#Metadata!", ADDRESS(INDEX($W$2:$W$1001,MATCH(ROWS($U$2:U133),$U$2:$U$1001,0),0), INDEX($AB$1004:$AQ$1004,1,MATCH(COLUMNS($AB$1006:AJ1006),$AB$1006:$AQ$1006,0)))),"Fix")))</f>
        <v>0</v>
      </c>
      <c r="K133" s="5">
        <f>IF(OR(INDEX($V$2:$V$1001,MATCH(ROWS($U$2:U133),$U$2:$U$1001,0),1)&gt;=100000,INDEX($AB$1005:$AQ$1005,1,MATCH(COLUMNS($AB$1006:AK1006),$AB$1006:$AQ$1006,0))&gt;=100000), " ",IF(INDEX($AB$2:$AQ$1001,MATCH(ROWS($U$2:U133),$U$2:$U$1001,0),MATCH(COLUMNS($AB$1006:AK1006),$AB$1006:$AQ$1006,0)), HYPERLINK("#",""), HYPERLINK(CONCATENATE("#Metadata!", ADDRESS(INDEX($W$2:$W$1001,MATCH(ROWS($U$2:U133),$U$2:$U$1001,0),0), INDEX($AB$1004:$AQ$1004,1,MATCH(COLUMNS($AB$1006:AK1006),$AB$1006:$AQ$1006,0)))),"Fix")))</f>
        <v>0</v>
      </c>
      <c r="L133" s="5">
        <f>IF(OR(INDEX($V$2:$V$1001,MATCH(ROWS($U$2:U133),$U$2:$U$1001,0),1)&gt;=100000,INDEX($AB$1005:$AQ$1005,1,MATCH(COLUMNS($AB$1006:AL1006),$AB$1006:$AQ$1006,0))&gt;=100000), " ",IF(INDEX($AB$2:$AQ$1001,MATCH(ROWS($U$2:U133),$U$2:$U$1001,0),MATCH(COLUMNS($AB$1006:AL1006),$AB$1006:$AQ$1006,0)), HYPERLINK("#",""), HYPERLINK(CONCATENATE("#Metadata!", ADDRESS(INDEX($W$2:$W$1001,MATCH(ROWS($U$2:U133),$U$2:$U$1001,0),0), INDEX($AB$1004:$AQ$1004,1,MATCH(COLUMNS($AB$1006:AL1006),$AB$1006:$AQ$1006,0)))),"Fix")))</f>
        <v>0</v>
      </c>
      <c r="M133" s="5">
        <f>IF(OR(INDEX($V$2:$V$1001,MATCH(ROWS($U$2:U133),$U$2:$U$1001,0),1)&gt;=100000,INDEX($AB$1005:$AQ$1005,1,MATCH(COLUMNS($AB$1006:AM1006),$AB$1006:$AQ$1006,0))&gt;=100000), " ",IF(INDEX($AB$2:$AQ$1001,MATCH(ROWS($U$2:U133),$U$2:$U$1001,0),MATCH(COLUMNS($AB$1006:AM1006),$AB$1006:$AQ$1006,0)), HYPERLINK("#",""), HYPERLINK(CONCATENATE("#Metadata!", ADDRESS(INDEX($W$2:$W$1001,MATCH(ROWS($U$2:U133),$U$2:$U$1001,0),0), INDEX($AB$1004:$AQ$1004,1,MATCH(COLUMNS($AB$1006:AM1006),$AB$1006:$AQ$1006,0)))),"Fix")))</f>
        <v>0</v>
      </c>
      <c r="N133" s="5">
        <f>IF(OR(INDEX($V$2:$V$1001,MATCH(ROWS($U$2:U133),$U$2:$U$1001,0),1)&gt;=100000,INDEX($AB$1005:$AQ$1005,1,MATCH(COLUMNS($AB$1006:AN1006),$AB$1006:$AQ$1006,0))&gt;=100000), " ",IF(INDEX($AB$2:$AQ$1001,MATCH(ROWS($U$2:U133),$U$2:$U$1001,0),MATCH(COLUMNS($AB$1006:AN1006),$AB$1006:$AQ$1006,0)), HYPERLINK("#",""), HYPERLINK(CONCATENATE("#Metadata!", ADDRESS(INDEX($W$2:$W$1001,MATCH(ROWS($U$2:U133),$U$2:$U$1001,0),0), INDEX($AB$1004:$AQ$1004,1,MATCH(COLUMNS($AB$1006:AN1006),$AB$1006:$AQ$1006,0)))),"Fix")))</f>
        <v>0</v>
      </c>
      <c r="O133" s="5">
        <f>IF(OR(INDEX($V$2:$V$1001,MATCH(ROWS($U$2:U133),$U$2:$U$1001,0),1)&gt;=100000,INDEX($AB$1005:$AQ$1005,1,MATCH(COLUMNS($AB$1006:AO1006),$AB$1006:$AQ$1006,0))&gt;=100000), " ",IF(INDEX($AB$2:$AQ$1001,MATCH(ROWS($U$2:U133),$U$2:$U$1001,0),MATCH(COLUMNS($AB$1006:AO1006),$AB$1006:$AQ$1006,0)), HYPERLINK("#",""), HYPERLINK(CONCATENATE("#Metadata!", ADDRESS(INDEX($W$2:$W$1001,MATCH(ROWS($U$2:U133),$U$2:$U$1001,0),0), INDEX($AB$1004:$AQ$1004,1,MATCH(COLUMNS($AB$1006:AO1006),$AB$1006:$AQ$1006,0)))),"Fix")))</f>
        <v>0</v>
      </c>
      <c r="P133" s="5">
        <f>IF(OR(INDEX($V$2:$V$1001,MATCH(ROWS($U$2:U133),$U$2:$U$1001,0),1)&gt;=100000,INDEX($AB$1005:$AQ$1005,1,MATCH(COLUMNS($AB$1006:AP1006),$AB$1006:$AQ$1006,0))&gt;=100000), " ",IF(INDEX($AB$2:$AQ$1001,MATCH(ROWS($U$2:U133),$U$2:$U$1001,0),MATCH(COLUMNS($AB$1006:AP1006),$AB$1006:$AQ$1006,0)), HYPERLINK("#",""), HYPERLINK(CONCATENATE("#Metadata!", ADDRESS(INDEX($W$2:$W$1001,MATCH(ROWS($U$2:U133),$U$2:$U$1001,0),0), INDEX($AB$1004:$AQ$1004,1,MATCH(COLUMNS($AB$1006:AP1006),$AB$1006:$AQ$1006,0)))),"Fix")))</f>
        <v>0</v>
      </c>
      <c r="Q133" s="5">
        <f>IF(OR(INDEX($V$2:$V$1001,MATCH(ROWS($U$2:U133),$U$2:$U$1001,0),1)&gt;=100000,INDEX($AB$1005:$AQ$1005,1,MATCH(COLUMNS($AB$1006:AQ1006),$AB$1006:$AQ$1006,0))&gt;=100000), " ",IF(INDEX($AB$2:$AQ$1001,MATCH(ROWS($U$2:U133),$U$2:$U$1001,0),MATCH(COLUMNS($AB$1006:AQ1006),$AB$1006:$AQ$1006,0)), HYPERLINK("#",""), HYPERLINK(CONCATENATE("#Metadata!", ADDRESS(INDEX($W$2:$W$1001,MATCH(ROWS($U$2:U133),$U$2:$U$1001,0),0), INDEX($AB$1004:$AQ$1004,1,MATCH(COLUMNS($AB$1006:AQ1006),$AB$1006:$AQ$1006,0)))),"Fix")))</f>
        <v>0</v>
      </c>
      <c r="U133">
        <v>0</v>
      </c>
      <c r="V133">
        <v>0</v>
      </c>
      <c r="W133">
        <v>0</v>
      </c>
      <c r="X133">
        <f>IF(Y133,TRUE,AND(AB133:AQ133))</f>
        <v>0</v>
      </c>
      <c r="Y133">
        <f>COUNTBLANK(Metadata!B133:Q133)=COLUMNS(Metadata!B133:Q133)</f>
        <v>0</v>
      </c>
      <c r="Z133">
        <v>0</v>
      </c>
      <c r="AB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AC133">
        <f>AND(IF(Metadata!C133="",FALSE,TRUE),exact(Metadata!C133,"urban biome"))</f>
        <v>0</v>
      </c>
      <c r="AD133">
        <f>AND(IF(Metadata!D133="",FALSE,TRUE),exact(Metadata!D133,"human-associated habitat"))</f>
        <v>0</v>
      </c>
      <c r="AE133">
        <f>AND(IF(Metadata!E133="",FALSE,TRUE),OR(exact(Metadata!E133,"human-associated"),exact(Metadata!E133,"human-skin"),exact(Metadata!E133,"human-oral"),exact(Metadata!E133,"human-gut"),exact(Metadata!E133,"human-vaginal")))</f>
        <v>0</v>
      </c>
      <c r="AF133">
        <f>AND(IF(Metadata!F133="",FALSE,ISNUMBER(VALUE(Metadata!F133))),Metadata!F133&gt;0)</f>
        <v>0</v>
      </c>
      <c r="AG133">
        <f>AND(IF(Metadata!G133="",FALSE,TRUE),exact(Metadata!G133,"years"))</f>
        <v>0</v>
      </c>
      <c r="AH133">
        <f>OR(AND(IF(Metadata!H133="",FALSE,TRUE),OR(exact(Metadata!H133,"not applicable"),exact(Metadata!H133,"not collected"),exact(Metadata!H133,"not provided"),exact(Metadata!H133,"restricted access"))),AND(IF(Metadata!H133="",FALSE,ISNUMBER(VALUE(Metadata!H133))),Metadata!H133&gt;0))</f>
        <v>0</v>
      </c>
      <c r="AI133">
        <f>AND(IF(Metadata!I133="",FALSE,TRUE),exact(Metadata!I133,"human"))</f>
        <v>0</v>
      </c>
      <c r="AJ133">
        <f>AND(IF(Metadata!J133="",FALSE,ISNUMBER(VALUE(Metadata!J133))),Metadata!J133&gt;0)</f>
        <v>0</v>
      </c>
      <c r="AK133">
        <f>AND(IF(Metadata!K133="",FALSE,TRUE),exact(Metadata!K133,"cm"))</f>
        <v>0</v>
      </c>
      <c r="AL133">
        <f>AND(IF(Metadata!L133="",FALSE,TRUE),exact(Metadata!L133,"Homo sapiens"))</f>
        <v>0</v>
      </c>
      <c r="AM133">
        <f>AND(IF(Metadata!M133="",FALSE,TRUE),exact(Metadata!M133,"9606"))</f>
        <v>0</v>
      </c>
      <c r="AN133">
        <f>AND(IF(Metadata!N133="",FALSE,ISNUMBER(VALUE(Metadata!N133))),Metadata!N133&gt;0)</f>
        <v>0</v>
      </c>
      <c r="AO133">
        <f>AND(IF(Metadata!O133="",FALSE,TRUE),exact(Metadata!O133,"kg"))</f>
        <v>0</v>
      </c>
      <c r="AP133">
        <f>OR(AND(IF(Metadata!P133="",FALSE,TRUE),exact(Metadata!P133,"not provided")),IF(Metadata!P133="",FALSE,TRUE))</f>
        <v>0</v>
      </c>
      <c r="AQ133">
        <f>OR(AND(IF(Metadata!Q133="",FALSE,TRUE),exact(Metadata!Q133,"not provided")),IF(Metadata!Q133="",FALSE,TRUE))</f>
        <v>0</v>
      </c>
    </row>
    <row r="134" spans="1:43">
      <c r="A134" s="4">
        <f>IF(B134=" "," ",HYPERLINK(CONCATENATE("#metadata!",ADDRESS(INDEX($W$2:$W$1001,MATCH(ROWS($U$2:U134),$U$2:$U$1001,0),0),2)),INDEX($Z$2:$Z$1001,MATCH(ROWS($U$2:U134),$U$2:$U$1001,0),0)))</f>
        <v>0</v>
      </c>
      <c r="B134" s="5">
        <f>IF(OR(INDEX($V$2:$V$1001,MATCH(ROWS($U$2:U134),$U$2:$U$1001,0),1)&gt;=100000,INDEX($AB$1005:$AQ$1005,1,MATCH(COLUMNS($AB$1006:AB1006),$AB$1006:$AQ$1006,0))&gt;=100000), " ",IF(INDEX($AB$2:$AQ$1001,MATCH(ROWS($U$2:U134),$U$2:$U$1001,0),MATCH(COLUMNS($AB$1006:AB1006),$AB$1006:$AQ$1006,0)), HYPERLINK("#",""), HYPERLINK(CONCATENATE("#Metadata!", ADDRESS(INDEX($W$2:$W$1001,MATCH(ROWS($U$2:U134),$U$2:$U$1001,0),0), INDEX($AB$1004:$AQ$1004,1,MATCH(COLUMNS($AB$1006:AB1006),$AB$1006:$AQ$1006,0)))),"Fix")))</f>
        <v>0</v>
      </c>
      <c r="C134" s="5">
        <f>IF(OR(INDEX($V$2:$V$1001,MATCH(ROWS($U$2:U134),$U$2:$U$1001,0),1)&gt;=100000,INDEX($AB$1005:$AQ$1005,1,MATCH(COLUMNS($AB$1006:AC1006),$AB$1006:$AQ$1006,0))&gt;=100000), " ",IF(INDEX($AB$2:$AQ$1001,MATCH(ROWS($U$2:U134),$U$2:$U$1001,0),MATCH(COLUMNS($AB$1006:AC1006),$AB$1006:$AQ$1006,0)), HYPERLINK("#",""), HYPERLINK(CONCATENATE("#Metadata!", ADDRESS(INDEX($W$2:$W$1001,MATCH(ROWS($U$2:U134),$U$2:$U$1001,0),0), INDEX($AB$1004:$AQ$1004,1,MATCH(COLUMNS($AB$1006:AC1006),$AB$1006:$AQ$1006,0)))),"Fix")))</f>
        <v>0</v>
      </c>
      <c r="D134" s="5">
        <f>IF(OR(INDEX($V$2:$V$1001,MATCH(ROWS($U$2:U134),$U$2:$U$1001,0),1)&gt;=100000,INDEX($AB$1005:$AQ$1005,1,MATCH(COLUMNS($AB$1006:AD1006),$AB$1006:$AQ$1006,0))&gt;=100000), " ",IF(INDEX($AB$2:$AQ$1001,MATCH(ROWS($U$2:U134),$U$2:$U$1001,0),MATCH(COLUMNS($AB$1006:AD1006),$AB$1006:$AQ$1006,0)), HYPERLINK("#",""), HYPERLINK(CONCATENATE("#Metadata!", ADDRESS(INDEX($W$2:$W$1001,MATCH(ROWS($U$2:U134),$U$2:$U$1001,0),0), INDEX($AB$1004:$AQ$1004,1,MATCH(COLUMNS($AB$1006:AD1006),$AB$1006:$AQ$1006,0)))),"Fix")))</f>
        <v>0</v>
      </c>
      <c r="E134" s="5">
        <f>IF(OR(INDEX($V$2:$V$1001,MATCH(ROWS($U$2:U134),$U$2:$U$1001,0),1)&gt;=100000,INDEX($AB$1005:$AQ$1005,1,MATCH(COLUMNS($AB$1006:AE1006),$AB$1006:$AQ$1006,0))&gt;=100000), " ",IF(INDEX($AB$2:$AQ$1001,MATCH(ROWS($U$2:U134),$U$2:$U$1001,0),MATCH(COLUMNS($AB$1006:AE1006),$AB$1006:$AQ$1006,0)), HYPERLINK("#",""), HYPERLINK(CONCATENATE("#Metadata!", ADDRESS(INDEX($W$2:$W$1001,MATCH(ROWS($U$2:U134),$U$2:$U$1001,0),0), INDEX($AB$1004:$AQ$1004,1,MATCH(COLUMNS($AB$1006:AE1006),$AB$1006:$AQ$1006,0)))),"Fix")))</f>
        <v>0</v>
      </c>
      <c r="F134" s="5">
        <f>IF(OR(INDEX($V$2:$V$1001,MATCH(ROWS($U$2:U134),$U$2:$U$1001,0),1)&gt;=100000,INDEX($AB$1005:$AQ$1005,1,MATCH(COLUMNS($AB$1006:AF1006),$AB$1006:$AQ$1006,0))&gt;=100000), " ",IF(INDEX($AB$2:$AQ$1001,MATCH(ROWS($U$2:U134),$U$2:$U$1001,0),MATCH(COLUMNS($AB$1006:AF1006),$AB$1006:$AQ$1006,0)), HYPERLINK("#",""), HYPERLINK(CONCATENATE("#Metadata!", ADDRESS(INDEX($W$2:$W$1001,MATCH(ROWS($U$2:U134),$U$2:$U$1001,0),0), INDEX($AB$1004:$AQ$1004,1,MATCH(COLUMNS($AB$1006:AF1006),$AB$1006:$AQ$1006,0)))),"Fix")))</f>
        <v>0</v>
      </c>
      <c r="G134" s="5">
        <f>IF(OR(INDEX($V$2:$V$1001,MATCH(ROWS($U$2:U134),$U$2:$U$1001,0),1)&gt;=100000,INDEX($AB$1005:$AQ$1005,1,MATCH(COLUMNS($AB$1006:AG1006),$AB$1006:$AQ$1006,0))&gt;=100000), " ",IF(INDEX($AB$2:$AQ$1001,MATCH(ROWS($U$2:U134),$U$2:$U$1001,0),MATCH(COLUMNS($AB$1006:AG1006),$AB$1006:$AQ$1006,0)), HYPERLINK("#",""), HYPERLINK(CONCATENATE("#Metadata!", ADDRESS(INDEX($W$2:$W$1001,MATCH(ROWS($U$2:U134),$U$2:$U$1001,0),0), INDEX($AB$1004:$AQ$1004,1,MATCH(COLUMNS($AB$1006:AG1006),$AB$1006:$AQ$1006,0)))),"Fix")))</f>
        <v>0</v>
      </c>
      <c r="H134" s="5">
        <f>IF(OR(INDEX($V$2:$V$1001,MATCH(ROWS($U$2:U134),$U$2:$U$1001,0),1)&gt;=100000,INDEX($AB$1005:$AQ$1005,1,MATCH(COLUMNS($AB$1006:AH1006),$AB$1006:$AQ$1006,0))&gt;=100000), " ",IF(INDEX($AB$2:$AQ$1001,MATCH(ROWS($U$2:U134),$U$2:$U$1001,0),MATCH(COLUMNS($AB$1006:AH1006),$AB$1006:$AQ$1006,0)), HYPERLINK("#",""), HYPERLINK(CONCATENATE("#Metadata!", ADDRESS(INDEX($W$2:$W$1001,MATCH(ROWS($U$2:U134),$U$2:$U$1001,0),0), INDEX($AB$1004:$AQ$1004,1,MATCH(COLUMNS($AB$1006:AH1006),$AB$1006:$AQ$1006,0)))),"Fix")))</f>
        <v>0</v>
      </c>
      <c r="I134" s="5">
        <f>IF(OR(INDEX($V$2:$V$1001,MATCH(ROWS($U$2:U134),$U$2:$U$1001,0),1)&gt;=100000,INDEX($AB$1005:$AQ$1005,1,MATCH(COLUMNS($AB$1006:AI1006),$AB$1006:$AQ$1006,0))&gt;=100000), " ",IF(INDEX($AB$2:$AQ$1001,MATCH(ROWS($U$2:U134),$U$2:$U$1001,0),MATCH(COLUMNS($AB$1006:AI1006),$AB$1006:$AQ$1006,0)), HYPERLINK("#",""), HYPERLINK(CONCATENATE("#Metadata!", ADDRESS(INDEX($W$2:$W$1001,MATCH(ROWS($U$2:U134),$U$2:$U$1001,0),0), INDEX($AB$1004:$AQ$1004,1,MATCH(COLUMNS($AB$1006:AI1006),$AB$1006:$AQ$1006,0)))),"Fix")))</f>
        <v>0</v>
      </c>
      <c r="J134" s="5">
        <f>IF(OR(INDEX($V$2:$V$1001,MATCH(ROWS($U$2:U134),$U$2:$U$1001,0),1)&gt;=100000,INDEX($AB$1005:$AQ$1005,1,MATCH(COLUMNS($AB$1006:AJ1006),$AB$1006:$AQ$1006,0))&gt;=100000), " ",IF(INDEX($AB$2:$AQ$1001,MATCH(ROWS($U$2:U134),$U$2:$U$1001,0),MATCH(COLUMNS($AB$1006:AJ1006),$AB$1006:$AQ$1006,0)), HYPERLINK("#",""), HYPERLINK(CONCATENATE("#Metadata!", ADDRESS(INDEX($W$2:$W$1001,MATCH(ROWS($U$2:U134),$U$2:$U$1001,0),0), INDEX($AB$1004:$AQ$1004,1,MATCH(COLUMNS($AB$1006:AJ1006),$AB$1006:$AQ$1006,0)))),"Fix")))</f>
        <v>0</v>
      </c>
      <c r="K134" s="5">
        <f>IF(OR(INDEX($V$2:$V$1001,MATCH(ROWS($U$2:U134),$U$2:$U$1001,0),1)&gt;=100000,INDEX($AB$1005:$AQ$1005,1,MATCH(COLUMNS($AB$1006:AK1006),$AB$1006:$AQ$1006,0))&gt;=100000), " ",IF(INDEX($AB$2:$AQ$1001,MATCH(ROWS($U$2:U134),$U$2:$U$1001,0),MATCH(COLUMNS($AB$1006:AK1006),$AB$1006:$AQ$1006,0)), HYPERLINK("#",""), HYPERLINK(CONCATENATE("#Metadata!", ADDRESS(INDEX($W$2:$W$1001,MATCH(ROWS($U$2:U134),$U$2:$U$1001,0),0), INDEX($AB$1004:$AQ$1004,1,MATCH(COLUMNS($AB$1006:AK1006),$AB$1006:$AQ$1006,0)))),"Fix")))</f>
        <v>0</v>
      </c>
      <c r="L134" s="5">
        <f>IF(OR(INDEX($V$2:$V$1001,MATCH(ROWS($U$2:U134),$U$2:$U$1001,0),1)&gt;=100000,INDEX($AB$1005:$AQ$1005,1,MATCH(COLUMNS($AB$1006:AL1006),$AB$1006:$AQ$1006,0))&gt;=100000), " ",IF(INDEX($AB$2:$AQ$1001,MATCH(ROWS($U$2:U134),$U$2:$U$1001,0),MATCH(COLUMNS($AB$1006:AL1006),$AB$1006:$AQ$1006,0)), HYPERLINK("#",""), HYPERLINK(CONCATENATE("#Metadata!", ADDRESS(INDEX($W$2:$W$1001,MATCH(ROWS($U$2:U134),$U$2:$U$1001,0),0), INDEX($AB$1004:$AQ$1004,1,MATCH(COLUMNS($AB$1006:AL1006),$AB$1006:$AQ$1006,0)))),"Fix")))</f>
        <v>0</v>
      </c>
      <c r="M134" s="5">
        <f>IF(OR(INDEX($V$2:$V$1001,MATCH(ROWS($U$2:U134),$U$2:$U$1001,0),1)&gt;=100000,INDEX($AB$1005:$AQ$1005,1,MATCH(COLUMNS($AB$1006:AM1006),$AB$1006:$AQ$1006,0))&gt;=100000), " ",IF(INDEX($AB$2:$AQ$1001,MATCH(ROWS($U$2:U134),$U$2:$U$1001,0),MATCH(COLUMNS($AB$1006:AM1006),$AB$1006:$AQ$1006,0)), HYPERLINK("#",""), HYPERLINK(CONCATENATE("#Metadata!", ADDRESS(INDEX($W$2:$W$1001,MATCH(ROWS($U$2:U134),$U$2:$U$1001,0),0), INDEX($AB$1004:$AQ$1004,1,MATCH(COLUMNS($AB$1006:AM1006),$AB$1006:$AQ$1006,0)))),"Fix")))</f>
        <v>0</v>
      </c>
      <c r="N134" s="5">
        <f>IF(OR(INDEX($V$2:$V$1001,MATCH(ROWS($U$2:U134),$U$2:$U$1001,0),1)&gt;=100000,INDEX($AB$1005:$AQ$1005,1,MATCH(COLUMNS($AB$1006:AN1006),$AB$1006:$AQ$1006,0))&gt;=100000), " ",IF(INDEX($AB$2:$AQ$1001,MATCH(ROWS($U$2:U134),$U$2:$U$1001,0),MATCH(COLUMNS($AB$1006:AN1006),$AB$1006:$AQ$1006,0)), HYPERLINK("#",""), HYPERLINK(CONCATENATE("#Metadata!", ADDRESS(INDEX($W$2:$W$1001,MATCH(ROWS($U$2:U134),$U$2:$U$1001,0),0), INDEX($AB$1004:$AQ$1004,1,MATCH(COLUMNS($AB$1006:AN1006),$AB$1006:$AQ$1006,0)))),"Fix")))</f>
        <v>0</v>
      </c>
      <c r="O134" s="5">
        <f>IF(OR(INDEX($V$2:$V$1001,MATCH(ROWS($U$2:U134),$U$2:$U$1001,0),1)&gt;=100000,INDEX($AB$1005:$AQ$1005,1,MATCH(COLUMNS($AB$1006:AO1006),$AB$1006:$AQ$1006,0))&gt;=100000), " ",IF(INDEX($AB$2:$AQ$1001,MATCH(ROWS($U$2:U134),$U$2:$U$1001,0),MATCH(COLUMNS($AB$1006:AO1006),$AB$1006:$AQ$1006,0)), HYPERLINK("#",""), HYPERLINK(CONCATENATE("#Metadata!", ADDRESS(INDEX($W$2:$W$1001,MATCH(ROWS($U$2:U134),$U$2:$U$1001,0),0), INDEX($AB$1004:$AQ$1004,1,MATCH(COLUMNS($AB$1006:AO1006),$AB$1006:$AQ$1006,0)))),"Fix")))</f>
        <v>0</v>
      </c>
      <c r="P134" s="5">
        <f>IF(OR(INDEX($V$2:$V$1001,MATCH(ROWS($U$2:U134),$U$2:$U$1001,0),1)&gt;=100000,INDEX($AB$1005:$AQ$1005,1,MATCH(COLUMNS($AB$1006:AP1006),$AB$1006:$AQ$1006,0))&gt;=100000), " ",IF(INDEX($AB$2:$AQ$1001,MATCH(ROWS($U$2:U134),$U$2:$U$1001,0),MATCH(COLUMNS($AB$1006:AP1006),$AB$1006:$AQ$1006,0)), HYPERLINK("#",""), HYPERLINK(CONCATENATE("#Metadata!", ADDRESS(INDEX($W$2:$W$1001,MATCH(ROWS($U$2:U134),$U$2:$U$1001,0),0), INDEX($AB$1004:$AQ$1004,1,MATCH(COLUMNS($AB$1006:AP1006),$AB$1006:$AQ$1006,0)))),"Fix")))</f>
        <v>0</v>
      </c>
      <c r="Q134" s="5">
        <f>IF(OR(INDEX($V$2:$V$1001,MATCH(ROWS($U$2:U134),$U$2:$U$1001,0),1)&gt;=100000,INDEX($AB$1005:$AQ$1005,1,MATCH(COLUMNS($AB$1006:AQ1006),$AB$1006:$AQ$1006,0))&gt;=100000), " ",IF(INDEX($AB$2:$AQ$1001,MATCH(ROWS($U$2:U134),$U$2:$U$1001,0),MATCH(COLUMNS($AB$1006:AQ1006),$AB$1006:$AQ$1006,0)), HYPERLINK("#",""), HYPERLINK(CONCATENATE("#Metadata!", ADDRESS(INDEX($W$2:$W$1001,MATCH(ROWS($U$2:U134),$U$2:$U$1001,0),0), INDEX($AB$1004:$AQ$1004,1,MATCH(COLUMNS($AB$1006:AQ1006),$AB$1006:$AQ$1006,0)))),"Fix")))</f>
        <v>0</v>
      </c>
      <c r="U134">
        <v>0</v>
      </c>
      <c r="V134">
        <v>0</v>
      </c>
      <c r="W134">
        <v>0</v>
      </c>
      <c r="X134">
        <f>IF(Y134,TRUE,AND(AB134:AQ134))</f>
        <v>0</v>
      </c>
      <c r="Y134">
        <f>COUNTBLANK(Metadata!B134:Q134)=COLUMNS(Metadata!B134:Q134)</f>
        <v>0</v>
      </c>
      <c r="Z134">
        <v>0</v>
      </c>
      <c r="AB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AC134">
        <f>AND(IF(Metadata!C134="",FALSE,TRUE),exact(Metadata!C134,"urban biome"))</f>
        <v>0</v>
      </c>
      <c r="AD134">
        <f>AND(IF(Metadata!D134="",FALSE,TRUE),exact(Metadata!D134,"human-associated habitat"))</f>
        <v>0</v>
      </c>
      <c r="AE134">
        <f>AND(IF(Metadata!E134="",FALSE,TRUE),OR(exact(Metadata!E134,"human-associated"),exact(Metadata!E134,"human-skin"),exact(Metadata!E134,"human-oral"),exact(Metadata!E134,"human-gut"),exact(Metadata!E134,"human-vaginal")))</f>
        <v>0</v>
      </c>
      <c r="AF134">
        <f>AND(IF(Metadata!F134="",FALSE,ISNUMBER(VALUE(Metadata!F134))),Metadata!F134&gt;0)</f>
        <v>0</v>
      </c>
      <c r="AG134">
        <f>AND(IF(Metadata!G134="",FALSE,TRUE),exact(Metadata!G134,"years"))</f>
        <v>0</v>
      </c>
      <c r="AH134">
        <f>OR(AND(IF(Metadata!H134="",FALSE,TRUE),OR(exact(Metadata!H134,"not applicable"),exact(Metadata!H134,"not collected"),exact(Metadata!H134,"not provided"),exact(Metadata!H134,"restricted access"))),AND(IF(Metadata!H134="",FALSE,ISNUMBER(VALUE(Metadata!H134))),Metadata!H134&gt;0))</f>
        <v>0</v>
      </c>
      <c r="AI134">
        <f>AND(IF(Metadata!I134="",FALSE,TRUE),exact(Metadata!I134,"human"))</f>
        <v>0</v>
      </c>
      <c r="AJ134">
        <f>AND(IF(Metadata!J134="",FALSE,ISNUMBER(VALUE(Metadata!J134))),Metadata!J134&gt;0)</f>
        <v>0</v>
      </c>
      <c r="AK134">
        <f>AND(IF(Metadata!K134="",FALSE,TRUE),exact(Metadata!K134,"cm"))</f>
        <v>0</v>
      </c>
      <c r="AL134">
        <f>AND(IF(Metadata!L134="",FALSE,TRUE),exact(Metadata!L134,"Homo sapiens"))</f>
        <v>0</v>
      </c>
      <c r="AM134">
        <f>AND(IF(Metadata!M134="",FALSE,TRUE),exact(Metadata!M134,"9606"))</f>
        <v>0</v>
      </c>
      <c r="AN134">
        <f>AND(IF(Metadata!N134="",FALSE,ISNUMBER(VALUE(Metadata!N134))),Metadata!N134&gt;0)</f>
        <v>0</v>
      </c>
      <c r="AO134">
        <f>AND(IF(Metadata!O134="",FALSE,TRUE),exact(Metadata!O134,"kg"))</f>
        <v>0</v>
      </c>
      <c r="AP134">
        <f>OR(AND(IF(Metadata!P134="",FALSE,TRUE),exact(Metadata!P134,"not provided")),IF(Metadata!P134="",FALSE,TRUE))</f>
        <v>0</v>
      </c>
      <c r="AQ134">
        <f>OR(AND(IF(Metadata!Q134="",FALSE,TRUE),exact(Metadata!Q134,"not provided")),IF(Metadata!Q134="",FALSE,TRUE))</f>
        <v>0</v>
      </c>
    </row>
    <row r="135" spans="1:43">
      <c r="A135" s="4">
        <f>IF(B135=" "," ",HYPERLINK(CONCATENATE("#metadata!",ADDRESS(INDEX($W$2:$W$1001,MATCH(ROWS($U$2:U135),$U$2:$U$1001,0),0),2)),INDEX($Z$2:$Z$1001,MATCH(ROWS($U$2:U135),$U$2:$U$1001,0),0)))</f>
        <v>0</v>
      </c>
      <c r="B135" s="5">
        <f>IF(OR(INDEX($V$2:$V$1001,MATCH(ROWS($U$2:U135),$U$2:$U$1001,0),1)&gt;=100000,INDEX($AB$1005:$AQ$1005,1,MATCH(COLUMNS($AB$1006:AB1006),$AB$1006:$AQ$1006,0))&gt;=100000), " ",IF(INDEX($AB$2:$AQ$1001,MATCH(ROWS($U$2:U135),$U$2:$U$1001,0),MATCH(COLUMNS($AB$1006:AB1006),$AB$1006:$AQ$1006,0)), HYPERLINK("#",""), HYPERLINK(CONCATENATE("#Metadata!", ADDRESS(INDEX($W$2:$W$1001,MATCH(ROWS($U$2:U135),$U$2:$U$1001,0),0), INDEX($AB$1004:$AQ$1004,1,MATCH(COLUMNS($AB$1006:AB1006),$AB$1006:$AQ$1006,0)))),"Fix")))</f>
        <v>0</v>
      </c>
      <c r="C135" s="5">
        <f>IF(OR(INDEX($V$2:$V$1001,MATCH(ROWS($U$2:U135),$U$2:$U$1001,0),1)&gt;=100000,INDEX($AB$1005:$AQ$1005,1,MATCH(COLUMNS($AB$1006:AC1006),$AB$1006:$AQ$1006,0))&gt;=100000), " ",IF(INDEX($AB$2:$AQ$1001,MATCH(ROWS($U$2:U135),$U$2:$U$1001,0),MATCH(COLUMNS($AB$1006:AC1006),$AB$1006:$AQ$1006,0)), HYPERLINK("#",""), HYPERLINK(CONCATENATE("#Metadata!", ADDRESS(INDEX($W$2:$W$1001,MATCH(ROWS($U$2:U135),$U$2:$U$1001,0),0), INDEX($AB$1004:$AQ$1004,1,MATCH(COLUMNS($AB$1006:AC1006),$AB$1006:$AQ$1006,0)))),"Fix")))</f>
        <v>0</v>
      </c>
      <c r="D135" s="5">
        <f>IF(OR(INDEX($V$2:$V$1001,MATCH(ROWS($U$2:U135),$U$2:$U$1001,0),1)&gt;=100000,INDEX($AB$1005:$AQ$1005,1,MATCH(COLUMNS($AB$1006:AD1006),$AB$1006:$AQ$1006,0))&gt;=100000), " ",IF(INDEX($AB$2:$AQ$1001,MATCH(ROWS($U$2:U135),$U$2:$U$1001,0),MATCH(COLUMNS($AB$1006:AD1006),$AB$1006:$AQ$1006,0)), HYPERLINK("#",""), HYPERLINK(CONCATENATE("#Metadata!", ADDRESS(INDEX($W$2:$W$1001,MATCH(ROWS($U$2:U135),$U$2:$U$1001,0),0), INDEX($AB$1004:$AQ$1004,1,MATCH(COLUMNS($AB$1006:AD1006),$AB$1006:$AQ$1006,0)))),"Fix")))</f>
        <v>0</v>
      </c>
      <c r="E135" s="5">
        <f>IF(OR(INDEX($V$2:$V$1001,MATCH(ROWS($U$2:U135),$U$2:$U$1001,0),1)&gt;=100000,INDEX($AB$1005:$AQ$1005,1,MATCH(COLUMNS($AB$1006:AE1006),$AB$1006:$AQ$1006,0))&gt;=100000), " ",IF(INDEX($AB$2:$AQ$1001,MATCH(ROWS($U$2:U135),$U$2:$U$1001,0),MATCH(COLUMNS($AB$1006:AE1006),$AB$1006:$AQ$1006,0)), HYPERLINK("#",""), HYPERLINK(CONCATENATE("#Metadata!", ADDRESS(INDEX($W$2:$W$1001,MATCH(ROWS($U$2:U135),$U$2:$U$1001,0),0), INDEX($AB$1004:$AQ$1004,1,MATCH(COLUMNS($AB$1006:AE1006),$AB$1006:$AQ$1006,0)))),"Fix")))</f>
        <v>0</v>
      </c>
      <c r="F135" s="5">
        <f>IF(OR(INDEX($V$2:$V$1001,MATCH(ROWS($U$2:U135),$U$2:$U$1001,0),1)&gt;=100000,INDEX($AB$1005:$AQ$1005,1,MATCH(COLUMNS($AB$1006:AF1006),$AB$1006:$AQ$1006,0))&gt;=100000), " ",IF(INDEX($AB$2:$AQ$1001,MATCH(ROWS($U$2:U135),$U$2:$U$1001,0),MATCH(COLUMNS($AB$1006:AF1006),$AB$1006:$AQ$1006,0)), HYPERLINK("#",""), HYPERLINK(CONCATENATE("#Metadata!", ADDRESS(INDEX($W$2:$W$1001,MATCH(ROWS($U$2:U135),$U$2:$U$1001,0),0), INDEX($AB$1004:$AQ$1004,1,MATCH(COLUMNS($AB$1006:AF1006),$AB$1006:$AQ$1006,0)))),"Fix")))</f>
        <v>0</v>
      </c>
      <c r="G135" s="5">
        <f>IF(OR(INDEX($V$2:$V$1001,MATCH(ROWS($U$2:U135),$U$2:$U$1001,0),1)&gt;=100000,INDEX($AB$1005:$AQ$1005,1,MATCH(COLUMNS($AB$1006:AG1006),$AB$1006:$AQ$1006,0))&gt;=100000), " ",IF(INDEX($AB$2:$AQ$1001,MATCH(ROWS($U$2:U135),$U$2:$U$1001,0),MATCH(COLUMNS($AB$1006:AG1006),$AB$1006:$AQ$1006,0)), HYPERLINK("#",""), HYPERLINK(CONCATENATE("#Metadata!", ADDRESS(INDEX($W$2:$W$1001,MATCH(ROWS($U$2:U135),$U$2:$U$1001,0),0), INDEX($AB$1004:$AQ$1004,1,MATCH(COLUMNS($AB$1006:AG1006),$AB$1006:$AQ$1006,0)))),"Fix")))</f>
        <v>0</v>
      </c>
      <c r="H135" s="5">
        <f>IF(OR(INDEX($V$2:$V$1001,MATCH(ROWS($U$2:U135),$U$2:$U$1001,0),1)&gt;=100000,INDEX($AB$1005:$AQ$1005,1,MATCH(COLUMNS($AB$1006:AH1006),$AB$1006:$AQ$1006,0))&gt;=100000), " ",IF(INDEX($AB$2:$AQ$1001,MATCH(ROWS($U$2:U135),$U$2:$U$1001,0),MATCH(COLUMNS($AB$1006:AH1006),$AB$1006:$AQ$1006,0)), HYPERLINK("#",""), HYPERLINK(CONCATENATE("#Metadata!", ADDRESS(INDEX($W$2:$W$1001,MATCH(ROWS($U$2:U135),$U$2:$U$1001,0),0), INDEX($AB$1004:$AQ$1004,1,MATCH(COLUMNS($AB$1006:AH1006),$AB$1006:$AQ$1006,0)))),"Fix")))</f>
        <v>0</v>
      </c>
      <c r="I135" s="5">
        <f>IF(OR(INDEX($V$2:$V$1001,MATCH(ROWS($U$2:U135),$U$2:$U$1001,0),1)&gt;=100000,INDEX($AB$1005:$AQ$1005,1,MATCH(COLUMNS($AB$1006:AI1006),$AB$1006:$AQ$1006,0))&gt;=100000), " ",IF(INDEX($AB$2:$AQ$1001,MATCH(ROWS($U$2:U135),$U$2:$U$1001,0),MATCH(COLUMNS($AB$1006:AI1006),$AB$1006:$AQ$1006,0)), HYPERLINK("#",""), HYPERLINK(CONCATENATE("#Metadata!", ADDRESS(INDEX($W$2:$W$1001,MATCH(ROWS($U$2:U135),$U$2:$U$1001,0),0), INDEX($AB$1004:$AQ$1004,1,MATCH(COLUMNS($AB$1006:AI1006),$AB$1006:$AQ$1006,0)))),"Fix")))</f>
        <v>0</v>
      </c>
      <c r="J135" s="5">
        <f>IF(OR(INDEX($V$2:$V$1001,MATCH(ROWS($U$2:U135),$U$2:$U$1001,0),1)&gt;=100000,INDEX($AB$1005:$AQ$1005,1,MATCH(COLUMNS($AB$1006:AJ1006),$AB$1006:$AQ$1006,0))&gt;=100000), " ",IF(INDEX($AB$2:$AQ$1001,MATCH(ROWS($U$2:U135),$U$2:$U$1001,0),MATCH(COLUMNS($AB$1006:AJ1006),$AB$1006:$AQ$1006,0)), HYPERLINK("#",""), HYPERLINK(CONCATENATE("#Metadata!", ADDRESS(INDEX($W$2:$W$1001,MATCH(ROWS($U$2:U135),$U$2:$U$1001,0),0), INDEX($AB$1004:$AQ$1004,1,MATCH(COLUMNS($AB$1006:AJ1006),$AB$1006:$AQ$1006,0)))),"Fix")))</f>
        <v>0</v>
      </c>
      <c r="K135" s="5">
        <f>IF(OR(INDEX($V$2:$V$1001,MATCH(ROWS($U$2:U135),$U$2:$U$1001,0),1)&gt;=100000,INDEX($AB$1005:$AQ$1005,1,MATCH(COLUMNS($AB$1006:AK1006),$AB$1006:$AQ$1006,0))&gt;=100000), " ",IF(INDEX($AB$2:$AQ$1001,MATCH(ROWS($U$2:U135),$U$2:$U$1001,0),MATCH(COLUMNS($AB$1006:AK1006),$AB$1006:$AQ$1006,0)), HYPERLINK("#",""), HYPERLINK(CONCATENATE("#Metadata!", ADDRESS(INDEX($W$2:$W$1001,MATCH(ROWS($U$2:U135),$U$2:$U$1001,0),0), INDEX($AB$1004:$AQ$1004,1,MATCH(COLUMNS($AB$1006:AK1006),$AB$1006:$AQ$1006,0)))),"Fix")))</f>
        <v>0</v>
      </c>
      <c r="L135" s="5">
        <f>IF(OR(INDEX($V$2:$V$1001,MATCH(ROWS($U$2:U135),$U$2:$U$1001,0),1)&gt;=100000,INDEX($AB$1005:$AQ$1005,1,MATCH(COLUMNS($AB$1006:AL1006),$AB$1006:$AQ$1006,0))&gt;=100000), " ",IF(INDEX($AB$2:$AQ$1001,MATCH(ROWS($U$2:U135),$U$2:$U$1001,0),MATCH(COLUMNS($AB$1006:AL1006),$AB$1006:$AQ$1006,0)), HYPERLINK("#",""), HYPERLINK(CONCATENATE("#Metadata!", ADDRESS(INDEX($W$2:$W$1001,MATCH(ROWS($U$2:U135),$U$2:$U$1001,0),0), INDEX($AB$1004:$AQ$1004,1,MATCH(COLUMNS($AB$1006:AL1006),$AB$1006:$AQ$1006,0)))),"Fix")))</f>
        <v>0</v>
      </c>
      <c r="M135" s="5">
        <f>IF(OR(INDEX($V$2:$V$1001,MATCH(ROWS($U$2:U135),$U$2:$U$1001,0),1)&gt;=100000,INDEX($AB$1005:$AQ$1005,1,MATCH(COLUMNS($AB$1006:AM1006),$AB$1006:$AQ$1006,0))&gt;=100000), " ",IF(INDEX($AB$2:$AQ$1001,MATCH(ROWS($U$2:U135),$U$2:$U$1001,0),MATCH(COLUMNS($AB$1006:AM1006),$AB$1006:$AQ$1006,0)), HYPERLINK("#",""), HYPERLINK(CONCATENATE("#Metadata!", ADDRESS(INDEX($W$2:$W$1001,MATCH(ROWS($U$2:U135),$U$2:$U$1001,0),0), INDEX($AB$1004:$AQ$1004,1,MATCH(COLUMNS($AB$1006:AM1006),$AB$1006:$AQ$1006,0)))),"Fix")))</f>
        <v>0</v>
      </c>
      <c r="N135" s="5">
        <f>IF(OR(INDEX($V$2:$V$1001,MATCH(ROWS($U$2:U135),$U$2:$U$1001,0),1)&gt;=100000,INDEX($AB$1005:$AQ$1005,1,MATCH(COLUMNS($AB$1006:AN1006),$AB$1006:$AQ$1006,0))&gt;=100000), " ",IF(INDEX($AB$2:$AQ$1001,MATCH(ROWS($U$2:U135),$U$2:$U$1001,0),MATCH(COLUMNS($AB$1006:AN1006),$AB$1006:$AQ$1006,0)), HYPERLINK("#",""), HYPERLINK(CONCATENATE("#Metadata!", ADDRESS(INDEX($W$2:$W$1001,MATCH(ROWS($U$2:U135),$U$2:$U$1001,0),0), INDEX($AB$1004:$AQ$1004,1,MATCH(COLUMNS($AB$1006:AN1006),$AB$1006:$AQ$1006,0)))),"Fix")))</f>
        <v>0</v>
      </c>
      <c r="O135" s="5">
        <f>IF(OR(INDEX($V$2:$V$1001,MATCH(ROWS($U$2:U135),$U$2:$U$1001,0),1)&gt;=100000,INDEX($AB$1005:$AQ$1005,1,MATCH(COLUMNS($AB$1006:AO1006),$AB$1006:$AQ$1006,0))&gt;=100000), " ",IF(INDEX($AB$2:$AQ$1001,MATCH(ROWS($U$2:U135),$U$2:$U$1001,0),MATCH(COLUMNS($AB$1006:AO1006),$AB$1006:$AQ$1006,0)), HYPERLINK("#",""), HYPERLINK(CONCATENATE("#Metadata!", ADDRESS(INDEX($W$2:$W$1001,MATCH(ROWS($U$2:U135),$U$2:$U$1001,0),0), INDEX($AB$1004:$AQ$1004,1,MATCH(COLUMNS($AB$1006:AO1006),$AB$1006:$AQ$1006,0)))),"Fix")))</f>
        <v>0</v>
      </c>
      <c r="P135" s="5">
        <f>IF(OR(INDEX($V$2:$V$1001,MATCH(ROWS($U$2:U135),$U$2:$U$1001,0),1)&gt;=100000,INDEX($AB$1005:$AQ$1005,1,MATCH(COLUMNS($AB$1006:AP1006),$AB$1006:$AQ$1006,0))&gt;=100000), " ",IF(INDEX($AB$2:$AQ$1001,MATCH(ROWS($U$2:U135),$U$2:$U$1001,0),MATCH(COLUMNS($AB$1006:AP1006),$AB$1006:$AQ$1006,0)), HYPERLINK("#",""), HYPERLINK(CONCATENATE("#Metadata!", ADDRESS(INDEX($W$2:$W$1001,MATCH(ROWS($U$2:U135),$U$2:$U$1001,0),0), INDEX($AB$1004:$AQ$1004,1,MATCH(COLUMNS($AB$1006:AP1006),$AB$1006:$AQ$1006,0)))),"Fix")))</f>
        <v>0</v>
      </c>
      <c r="Q135" s="5">
        <f>IF(OR(INDEX($V$2:$V$1001,MATCH(ROWS($U$2:U135),$U$2:$U$1001,0),1)&gt;=100000,INDEX($AB$1005:$AQ$1005,1,MATCH(COLUMNS($AB$1006:AQ1006),$AB$1006:$AQ$1006,0))&gt;=100000), " ",IF(INDEX($AB$2:$AQ$1001,MATCH(ROWS($U$2:U135),$U$2:$U$1001,0),MATCH(COLUMNS($AB$1006:AQ1006),$AB$1006:$AQ$1006,0)), HYPERLINK("#",""), HYPERLINK(CONCATENATE("#Metadata!", ADDRESS(INDEX($W$2:$W$1001,MATCH(ROWS($U$2:U135),$U$2:$U$1001,0),0), INDEX($AB$1004:$AQ$1004,1,MATCH(COLUMNS($AB$1006:AQ1006),$AB$1006:$AQ$1006,0)))),"Fix")))</f>
        <v>0</v>
      </c>
      <c r="U135">
        <v>0</v>
      </c>
      <c r="V135">
        <v>0</v>
      </c>
      <c r="W135">
        <v>0</v>
      </c>
      <c r="X135">
        <f>IF(Y135,TRUE,AND(AB135:AQ135))</f>
        <v>0</v>
      </c>
      <c r="Y135">
        <f>COUNTBLANK(Metadata!B135:Q135)=COLUMNS(Metadata!B135:Q135)</f>
        <v>0</v>
      </c>
      <c r="Z135">
        <v>0</v>
      </c>
      <c r="AB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AC135">
        <f>AND(IF(Metadata!C135="",FALSE,TRUE),exact(Metadata!C135,"urban biome"))</f>
        <v>0</v>
      </c>
      <c r="AD135">
        <f>AND(IF(Metadata!D135="",FALSE,TRUE),exact(Metadata!D135,"human-associated habitat"))</f>
        <v>0</v>
      </c>
      <c r="AE135">
        <f>AND(IF(Metadata!E135="",FALSE,TRUE),OR(exact(Metadata!E135,"human-associated"),exact(Metadata!E135,"human-skin"),exact(Metadata!E135,"human-oral"),exact(Metadata!E135,"human-gut"),exact(Metadata!E135,"human-vaginal")))</f>
        <v>0</v>
      </c>
      <c r="AF135">
        <f>AND(IF(Metadata!F135="",FALSE,ISNUMBER(VALUE(Metadata!F135))),Metadata!F135&gt;0)</f>
        <v>0</v>
      </c>
      <c r="AG135">
        <f>AND(IF(Metadata!G135="",FALSE,TRUE),exact(Metadata!G135,"years"))</f>
        <v>0</v>
      </c>
      <c r="AH135">
        <f>OR(AND(IF(Metadata!H135="",FALSE,TRUE),OR(exact(Metadata!H135,"not applicable"),exact(Metadata!H135,"not collected"),exact(Metadata!H135,"not provided"),exact(Metadata!H135,"restricted access"))),AND(IF(Metadata!H135="",FALSE,ISNUMBER(VALUE(Metadata!H135))),Metadata!H135&gt;0))</f>
        <v>0</v>
      </c>
      <c r="AI135">
        <f>AND(IF(Metadata!I135="",FALSE,TRUE),exact(Metadata!I135,"human"))</f>
        <v>0</v>
      </c>
      <c r="AJ135">
        <f>AND(IF(Metadata!J135="",FALSE,ISNUMBER(VALUE(Metadata!J135))),Metadata!J135&gt;0)</f>
        <v>0</v>
      </c>
      <c r="AK135">
        <f>AND(IF(Metadata!K135="",FALSE,TRUE),exact(Metadata!K135,"cm"))</f>
        <v>0</v>
      </c>
      <c r="AL135">
        <f>AND(IF(Metadata!L135="",FALSE,TRUE),exact(Metadata!L135,"Homo sapiens"))</f>
        <v>0</v>
      </c>
      <c r="AM135">
        <f>AND(IF(Metadata!M135="",FALSE,TRUE),exact(Metadata!M135,"9606"))</f>
        <v>0</v>
      </c>
      <c r="AN135">
        <f>AND(IF(Metadata!N135="",FALSE,ISNUMBER(VALUE(Metadata!N135))),Metadata!N135&gt;0)</f>
        <v>0</v>
      </c>
      <c r="AO135">
        <f>AND(IF(Metadata!O135="",FALSE,TRUE),exact(Metadata!O135,"kg"))</f>
        <v>0</v>
      </c>
      <c r="AP135">
        <f>OR(AND(IF(Metadata!P135="",FALSE,TRUE),exact(Metadata!P135,"not provided")),IF(Metadata!P135="",FALSE,TRUE))</f>
        <v>0</v>
      </c>
      <c r="AQ135">
        <f>OR(AND(IF(Metadata!Q135="",FALSE,TRUE),exact(Metadata!Q135,"not provided")),IF(Metadata!Q135="",FALSE,TRUE))</f>
        <v>0</v>
      </c>
    </row>
    <row r="136" spans="1:43">
      <c r="A136" s="4">
        <f>IF(B136=" "," ",HYPERLINK(CONCATENATE("#metadata!",ADDRESS(INDEX($W$2:$W$1001,MATCH(ROWS($U$2:U136),$U$2:$U$1001,0),0),2)),INDEX($Z$2:$Z$1001,MATCH(ROWS($U$2:U136),$U$2:$U$1001,0),0)))</f>
        <v>0</v>
      </c>
      <c r="B136" s="5">
        <f>IF(OR(INDEX($V$2:$V$1001,MATCH(ROWS($U$2:U136),$U$2:$U$1001,0),1)&gt;=100000,INDEX($AB$1005:$AQ$1005,1,MATCH(COLUMNS($AB$1006:AB1006),$AB$1006:$AQ$1006,0))&gt;=100000), " ",IF(INDEX($AB$2:$AQ$1001,MATCH(ROWS($U$2:U136),$U$2:$U$1001,0),MATCH(COLUMNS($AB$1006:AB1006),$AB$1006:$AQ$1006,0)), HYPERLINK("#",""), HYPERLINK(CONCATENATE("#Metadata!", ADDRESS(INDEX($W$2:$W$1001,MATCH(ROWS($U$2:U136),$U$2:$U$1001,0),0), INDEX($AB$1004:$AQ$1004,1,MATCH(COLUMNS($AB$1006:AB1006),$AB$1006:$AQ$1006,0)))),"Fix")))</f>
        <v>0</v>
      </c>
      <c r="C136" s="5">
        <f>IF(OR(INDEX($V$2:$V$1001,MATCH(ROWS($U$2:U136),$U$2:$U$1001,0),1)&gt;=100000,INDEX($AB$1005:$AQ$1005,1,MATCH(COLUMNS($AB$1006:AC1006),$AB$1006:$AQ$1006,0))&gt;=100000), " ",IF(INDEX($AB$2:$AQ$1001,MATCH(ROWS($U$2:U136),$U$2:$U$1001,0),MATCH(COLUMNS($AB$1006:AC1006),$AB$1006:$AQ$1006,0)), HYPERLINK("#",""), HYPERLINK(CONCATENATE("#Metadata!", ADDRESS(INDEX($W$2:$W$1001,MATCH(ROWS($U$2:U136),$U$2:$U$1001,0),0), INDEX($AB$1004:$AQ$1004,1,MATCH(COLUMNS($AB$1006:AC1006),$AB$1006:$AQ$1006,0)))),"Fix")))</f>
        <v>0</v>
      </c>
      <c r="D136" s="5">
        <f>IF(OR(INDEX($V$2:$V$1001,MATCH(ROWS($U$2:U136),$U$2:$U$1001,0),1)&gt;=100000,INDEX($AB$1005:$AQ$1005,1,MATCH(COLUMNS($AB$1006:AD1006),$AB$1006:$AQ$1006,0))&gt;=100000), " ",IF(INDEX($AB$2:$AQ$1001,MATCH(ROWS($U$2:U136),$U$2:$U$1001,0),MATCH(COLUMNS($AB$1006:AD1006),$AB$1006:$AQ$1006,0)), HYPERLINK("#",""), HYPERLINK(CONCATENATE("#Metadata!", ADDRESS(INDEX($W$2:$W$1001,MATCH(ROWS($U$2:U136),$U$2:$U$1001,0),0), INDEX($AB$1004:$AQ$1004,1,MATCH(COLUMNS($AB$1006:AD1006),$AB$1006:$AQ$1006,0)))),"Fix")))</f>
        <v>0</v>
      </c>
      <c r="E136" s="5">
        <f>IF(OR(INDEX($V$2:$V$1001,MATCH(ROWS($U$2:U136),$U$2:$U$1001,0),1)&gt;=100000,INDEX($AB$1005:$AQ$1005,1,MATCH(COLUMNS($AB$1006:AE1006),$AB$1006:$AQ$1006,0))&gt;=100000), " ",IF(INDEX($AB$2:$AQ$1001,MATCH(ROWS($U$2:U136),$U$2:$U$1001,0),MATCH(COLUMNS($AB$1006:AE1006),$AB$1006:$AQ$1006,0)), HYPERLINK("#",""), HYPERLINK(CONCATENATE("#Metadata!", ADDRESS(INDEX($W$2:$W$1001,MATCH(ROWS($U$2:U136),$U$2:$U$1001,0),0), INDEX($AB$1004:$AQ$1004,1,MATCH(COLUMNS($AB$1006:AE1006),$AB$1006:$AQ$1006,0)))),"Fix")))</f>
        <v>0</v>
      </c>
      <c r="F136" s="5">
        <f>IF(OR(INDEX($V$2:$V$1001,MATCH(ROWS($U$2:U136),$U$2:$U$1001,0),1)&gt;=100000,INDEX($AB$1005:$AQ$1005,1,MATCH(COLUMNS($AB$1006:AF1006),$AB$1006:$AQ$1006,0))&gt;=100000), " ",IF(INDEX($AB$2:$AQ$1001,MATCH(ROWS($U$2:U136),$U$2:$U$1001,0),MATCH(COLUMNS($AB$1006:AF1006),$AB$1006:$AQ$1006,0)), HYPERLINK("#",""), HYPERLINK(CONCATENATE("#Metadata!", ADDRESS(INDEX($W$2:$W$1001,MATCH(ROWS($U$2:U136),$U$2:$U$1001,0),0), INDEX($AB$1004:$AQ$1004,1,MATCH(COLUMNS($AB$1006:AF1006),$AB$1006:$AQ$1006,0)))),"Fix")))</f>
        <v>0</v>
      </c>
      <c r="G136" s="5">
        <f>IF(OR(INDEX($V$2:$V$1001,MATCH(ROWS($U$2:U136),$U$2:$U$1001,0),1)&gt;=100000,INDEX($AB$1005:$AQ$1005,1,MATCH(COLUMNS($AB$1006:AG1006),$AB$1006:$AQ$1006,0))&gt;=100000), " ",IF(INDEX($AB$2:$AQ$1001,MATCH(ROWS($U$2:U136),$U$2:$U$1001,0),MATCH(COLUMNS($AB$1006:AG1006),$AB$1006:$AQ$1006,0)), HYPERLINK("#",""), HYPERLINK(CONCATENATE("#Metadata!", ADDRESS(INDEX($W$2:$W$1001,MATCH(ROWS($U$2:U136),$U$2:$U$1001,0),0), INDEX($AB$1004:$AQ$1004,1,MATCH(COLUMNS($AB$1006:AG1006),$AB$1006:$AQ$1006,0)))),"Fix")))</f>
        <v>0</v>
      </c>
      <c r="H136" s="5">
        <f>IF(OR(INDEX($V$2:$V$1001,MATCH(ROWS($U$2:U136),$U$2:$U$1001,0),1)&gt;=100000,INDEX($AB$1005:$AQ$1005,1,MATCH(COLUMNS($AB$1006:AH1006),$AB$1006:$AQ$1006,0))&gt;=100000), " ",IF(INDEX($AB$2:$AQ$1001,MATCH(ROWS($U$2:U136),$U$2:$U$1001,0),MATCH(COLUMNS($AB$1006:AH1006),$AB$1006:$AQ$1006,0)), HYPERLINK("#",""), HYPERLINK(CONCATENATE("#Metadata!", ADDRESS(INDEX($W$2:$W$1001,MATCH(ROWS($U$2:U136),$U$2:$U$1001,0),0), INDEX($AB$1004:$AQ$1004,1,MATCH(COLUMNS($AB$1006:AH1006),$AB$1006:$AQ$1006,0)))),"Fix")))</f>
        <v>0</v>
      </c>
      <c r="I136" s="5">
        <f>IF(OR(INDEX($V$2:$V$1001,MATCH(ROWS($U$2:U136),$U$2:$U$1001,0),1)&gt;=100000,INDEX($AB$1005:$AQ$1005,1,MATCH(COLUMNS($AB$1006:AI1006),$AB$1006:$AQ$1006,0))&gt;=100000), " ",IF(INDEX($AB$2:$AQ$1001,MATCH(ROWS($U$2:U136),$U$2:$U$1001,0),MATCH(COLUMNS($AB$1006:AI1006),$AB$1006:$AQ$1006,0)), HYPERLINK("#",""), HYPERLINK(CONCATENATE("#Metadata!", ADDRESS(INDEX($W$2:$W$1001,MATCH(ROWS($U$2:U136),$U$2:$U$1001,0),0), INDEX($AB$1004:$AQ$1004,1,MATCH(COLUMNS($AB$1006:AI1006),$AB$1006:$AQ$1006,0)))),"Fix")))</f>
        <v>0</v>
      </c>
      <c r="J136" s="5">
        <f>IF(OR(INDEX($V$2:$V$1001,MATCH(ROWS($U$2:U136),$U$2:$U$1001,0),1)&gt;=100000,INDEX($AB$1005:$AQ$1005,1,MATCH(COLUMNS($AB$1006:AJ1006),$AB$1006:$AQ$1006,0))&gt;=100000), " ",IF(INDEX($AB$2:$AQ$1001,MATCH(ROWS($U$2:U136),$U$2:$U$1001,0),MATCH(COLUMNS($AB$1006:AJ1006),$AB$1006:$AQ$1006,0)), HYPERLINK("#",""), HYPERLINK(CONCATENATE("#Metadata!", ADDRESS(INDEX($W$2:$W$1001,MATCH(ROWS($U$2:U136),$U$2:$U$1001,0),0), INDEX($AB$1004:$AQ$1004,1,MATCH(COLUMNS($AB$1006:AJ1006),$AB$1006:$AQ$1006,0)))),"Fix")))</f>
        <v>0</v>
      </c>
      <c r="K136" s="5">
        <f>IF(OR(INDEX($V$2:$V$1001,MATCH(ROWS($U$2:U136),$U$2:$U$1001,0),1)&gt;=100000,INDEX($AB$1005:$AQ$1005,1,MATCH(COLUMNS($AB$1006:AK1006),$AB$1006:$AQ$1006,0))&gt;=100000), " ",IF(INDEX($AB$2:$AQ$1001,MATCH(ROWS($U$2:U136),$U$2:$U$1001,0),MATCH(COLUMNS($AB$1006:AK1006),$AB$1006:$AQ$1006,0)), HYPERLINK("#",""), HYPERLINK(CONCATENATE("#Metadata!", ADDRESS(INDEX($W$2:$W$1001,MATCH(ROWS($U$2:U136),$U$2:$U$1001,0),0), INDEX($AB$1004:$AQ$1004,1,MATCH(COLUMNS($AB$1006:AK1006),$AB$1006:$AQ$1006,0)))),"Fix")))</f>
        <v>0</v>
      </c>
      <c r="L136" s="5">
        <f>IF(OR(INDEX($V$2:$V$1001,MATCH(ROWS($U$2:U136),$U$2:$U$1001,0),1)&gt;=100000,INDEX($AB$1005:$AQ$1005,1,MATCH(COLUMNS($AB$1006:AL1006),$AB$1006:$AQ$1006,0))&gt;=100000), " ",IF(INDEX($AB$2:$AQ$1001,MATCH(ROWS($U$2:U136),$U$2:$U$1001,0),MATCH(COLUMNS($AB$1006:AL1006),$AB$1006:$AQ$1006,0)), HYPERLINK("#",""), HYPERLINK(CONCATENATE("#Metadata!", ADDRESS(INDEX($W$2:$W$1001,MATCH(ROWS($U$2:U136),$U$2:$U$1001,0),0), INDEX($AB$1004:$AQ$1004,1,MATCH(COLUMNS($AB$1006:AL1006),$AB$1006:$AQ$1006,0)))),"Fix")))</f>
        <v>0</v>
      </c>
      <c r="M136" s="5">
        <f>IF(OR(INDEX($V$2:$V$1001,MATCH(ROWS($U$2:U136),$U$2:$U$1001,0),1)&gt;=100000,INDEX($AB$1005:$AQ$1005,1,MATCH(COLUMNS($AB$1006:AM1006),$AB$1006:$AQ$1006,0))&gt;=100000), " ",IF(INDEX($AB$2:$AQ$1001,MATCH(ROWS($U$2:U136),$U$2:$U$1001,0),MATCH(COLUMNS($AB$1006:AM1006),$AB$1006:$AQ$1006,0)), HYPERLINK("#",""), HYPERLINK(CONCATENATE("#Metadata!", ADDRESS(INDEX($W$2:$W$1001,MATCH(ROWS($U$2:U136),$U$2:$U$1001,0),0), INDEX($AB$1004:$AQ$1004,1,MATCH(COLUMNS($AB$1006:AM1006),$AB$1006:$AQ$1006,0)))),"Fix")))</f>
        <v>0</v>
      </c>
      <c r="N136" s="5">
        <f>IF(OR(INDEX($V$2:$V$1001,MATCH(ROWS($U$2:U136),$U$2:$U$1001,0),1)&gt;=100000,INDEX($AB$1005:$AQ$1005,1,MATCH(COLUMNS($AB$1006:AN1006),$AB$1006:$AQ$1006,0))&gt;=100000), " ",IF(INDEX($AB$2:$AQ$1001,MATCH(ROWS($U$2:U136),$U$2:$U$1001,0),MATCH(COLUMNS($AB$1006:AN1006),$AB$1006:$AQ$1006,0)), HYPERLINK("#",""), HYPERLINK(CONCATENATE("#Metadata!", ADDRESS(INDEX($W$2:$W$1001,MATCH(ROWS($U$2:U136),$U$2:$U$1001,0),0), INDEX($AB$1004:$AQ$1004,1,MATCH(COLUMNS($AB$1006:AN1006),$AB$1006:$AQ$1006,0)))),"Fix")))</f>
        <v>0</v>
      </c>
      <c r="O136" s="5">
        <f>IF(OR(INDEX($V$2:$V$1001,MATCH(ROWS($U$2:U136),$U$2:$U$1001,0),1)&gt;=100000,INDEX($AB$1005:$AQ$1005,1,MATCH(COLUMNS($AB$1006:AO1006),$AB$1006:$AQ$1006,0))&gt;=100000), " ",IF(INDEX($AB$2:$AQ$1001,MATCH(ROWS($U$2:U136),$U$2:$U$1001,0),MATCH(COLUMNS($AB$1006:AO1006),$AB$1006:$AQ$1006,0)), HYPERLINK("#",""), HYPERLINK(CONCATENATE("#Metadata!", ADDRESS(INDEX($W$2:$W$1001,MATCH(ROWS($U$2:U136),$U$2:$U$1001,0),0), INDEX($AB$1004:$AQ$1004,1,MATCH(COLUMNS($AB$1006:AO1006),$AB$1006:$AQ$1006,0)))),"Fix")))</f>
        <v>0</v>
      </c>
      <c r="P136" s="5">
        <f>IF(OR(INDEX($V$2:$V$1001,MATCH(ROWS($U$2:U136),$U$2:$U$1001,0),1)&gt;=100000,INDEX($AB$1005:$AQ$1005,1,MATCH(COLUMNS($AB$1006:AP1006),$AB$1006:$AQ$1006,0))&gt;=100000), " ",IF(INDEX($AB$2:$AQ$1001,MATCH(ROWS($U$2:U136),$U$2:$U$1001,0),MATCH(COLUMNS($AB$1006:AP1006),$AB$1006:$AQ$1006,0)), HYPERLINK("#",""), HYPERLINK(CONCATENATE("#Metadata!", ADDRESS(INDEX($W$2:$W$1001,MATCH(ROWS($U$2:U136),$U$2:$U$1001,0),0), INDEX($AB$1004:$AQ$1004,1,MATCH(COLUMNS($AB$1006:AP1006),$AB$1006:$AQ$1006,0)))),"Fix")))</f>
        <v>0</v>
      </c>
      <c r="Q136" s="5">
        <f>IF(OR(INDEX($V$2:$V$1001,MATCH(ROWS($U$2:U136),$U$2:$U$1001,0),1)&gt;=100000,INDEX($AB$1005:$AQ$1005,1,MATCH(COLUMNS($AB$1006:AQ1006),$AB$1006:$AQ$1006,0))&gt;=100000), " ",IF(INDEX($AB$2:$AQ$1001,MATCH(ROWS($U$2:U136),$U$2:$U$1001,0),MATCH(COLUMNS($AB$1006:AQ1006),$AB$1006:$AQ$1006,0)), HYPERLINK("#",""), HYPERLINK(CONCATENATE("#Metadata!", ADDRESS(INDEX($W$2:$W$1001,MATCH(ROWS($U$2:U136),$U$2:$U$1001,0),0), INDEX($AB$1004:$AQ$1004,1,MATCH(COLUMNS($AB$1006:AQ1006),$AB$1006:$AQ$1006,0)))),"Fix")))</f>
        <v>0</v>
      </c>
      <c r="U136">
        <v>0</v>
      </c>
      <c r="V136">
        <v>0</v>
      </c>
      <c r="W136">
        <v>0</v>
      </c>
      <c r="X136">
        <f>IF(Y136,TRUE,AND(AB136:AQ136))</f>
        <v>0</v>
      </c>
      <c r="Y136">
        <f>COUNTBLANK(Metadata!B136:Q136)=COLUMNS(Metadata!B136:Q136)</f>
        <v>0</v>
      </c>
      <c r="Z136">
        <v>0</v>
      </c>
      <c r="AB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AC136">
        <f>AND(IF(Metadata!C136="",FALSE,TRUE),exact(Metadata!C136,"urban biome"))</f>
        <v>0</v>
      </c>
      <c r="AD136">
        <f>AND(IF(Metadata!D136="",FALSE,TRUE),exact(Metadata!D136,"human-associated habitat"))</f>
        <v>0</v>
      </c>
      <c r="AE136">
        <f>AND(IF(Metadata!E136="",FALSE,TRUE),OR(exact(Metadata!E136,"human-associated"),exact(Metadata!E136,"human-skin"),exact(Metadata!E136,"human-oral"),exact(Metadata!E136,"human-gut"),exact(Metadata!E136,"human-vaginal")))</f>
        <v>0</v>
      </c>
      <c r="AF136">
        <f>AND(IF(Metadata!F136="",FALSE,ISNUMBER(VALUE(Metadata!F136))),Metadata!F136&gt;0)</f>
        <v>0</v>
      </c>
      <c r="AG136">
        <f>AND(IF(Metadata!G136="",FALSE,TRUE),exact(Metadata!G136,"years"))</f>
        <v>0</v>
      </c>
      <c r="AH136">
        <f>OR(AND(IF(Metadata!H136="",FALSE,TRUE),OR(exact(Metadata!H136,"not applicable"),exact(Metadata!H136,"not collected"),exact(Metadata!H136,"not provided"),exact(Metadata!H136,"restricted access"))),AND(IF(Metadata!H136="",FALSE,ISNUMBER(VALUE(Metadata!H136))),Metadata!H136&gt;0))</f>
        <v>0</v>
      </c>
      <c r="AI136">
        <f>AND(IF(Metadata!I136="",FALSE,TRUE),exact(Metadata!I136,"human"))</f>
        <v>0</v>
      </c>
      <c r="AJ136">
        <f>AND(IF(Metadata!J136="",FALSE,ISNUMBER(VALUE(Metadata!J136))),Metadata!J136&gt;0)</f>
        <v>0</v>
      </c>
      <c r="AK136">
        <f>AND(IF(Metadata!K136="",FALSE,TRUE),exact(Metadata!K136,"cm"))</f>
        <v>0</v>
      </c>
      <c r="AL136">
        <f>AND(IF(Metadata!L136="",FALSE,TRUE),exact(Metadata!L136,"Homo sapiens"))</f>
        <v>0</v>
      </c>
      <c r="AM136">
        <f>AND(IF(Metadata!M136="",FALSE,TRUE),exact(Metadata!M136,"9606"))</f>
        <v>0</v>
      </c>
      <c r="AN136">
        <f>AND(IF(Metadata!N136="",FALSE,ISNUMBER(VALUE(Metadata!N136))),Metadata!N136&gt;0)</f>
        <v>0</v>
      </c>
      <c r="AO136">
        <f>AND(IF(Metadata!O136="",FALSE,TRUE),exact(Metadata!O136,"kg"))</f>
        <v>0</v>
      </c>
      <c r="AP136">
        <f>OR(AND(IF(Metadata!P136="",FALSE,TRUE),exact(Metadata!P136,"not provided")),IF(Metadata!P136="",FALSE,TRUE))</f>
        <v>0</v>
      </c>
      <c r="AQ136">
        <f>OR(AND(IF(Metadata!Q136="",FALSE,TRUE),exact(Metadata!Q136,"not provided")),IF(Metadata!Q136="",FALSE,TRUE))</f>
        <v>0</v>
      </c>
    </row>
    <row r="137" spans="1:43">
      <c r="A137" s="4">
        <f>IF(B137=" "," ",HYPERLINK(CONCATENATE("#metadata!",ADDRESS(INDEX($W$2:$W$1001,MATCH(ROWS($U$2:U137),$U$2:$U$1001,0),0),2)),INDEX($Z$2:$Z$1001,MATCH(ROWS($U$2:U137),$U$2:$U$1001,0),0)))</f>
        <v>0</v>
      </c>
      <c r="B137" s="5">
        <f>IF(OR(INDEX($V$2:$V$1001,MATCH(ROWS($U$2:U137),$U$2:$U$1001,0),1)&gt;=100000,INDEX($AB$1005:$AQ$1005,1,MATCH(COLUMNS($AB$1006:AB1006),$AB$1006:$AQ$1006,0))&gt;=100000), " ",IF(INDEX($AB$2:$AQ$1001,MATCH(ROWS($U$2:U137),$U$2:$U$1001,0),MATCH(COLUMNS($AB$1006:AB1006),$AB$1006:$AQ$1006,0)), HYPERLINK("#",""), HYPERLINK(CONCATENATE("#Metadata!", ADDRESS(INDEX($W$2:$W$1001,MATCH(ROWS($U$2:U137),$U$2:$U$1001,0),0), INDEX($AB$1004:$AQ$1004,1,MATCH(COLUMNS($AB$1006:AB1006),$AB$1006:$AQ$1006,0)))),"Fix")))</f>
        <v>0</v>
      </c>
      <c r="C137" s="5">
        <f>IF(OR(INDEX($V$2:$V$1001,MATCH(ROWS($U$2:U137),$U$2:$U$1001,0),1)&gt;=100000,INDEX($AB$1005:$AQ$1005,1,MATCH(COLUMNS($AB$1006:AC1006),$AB$1006:$AQ$1006,0))&gt;=100000), " ",IF(INDEX($AB$2:$AQ$1001,MATCH(ROWS($U$2:U137),$U$2:$U$1001,0),MATCH(COLUMNS($AB$1006:AC1006),$AB$1006:$AQ$1006,0)), HYPERLINK("#",""), HYPERLINK(CONCATENATE("#Metadata!", ADDRESS(INDEX($W$2:$W$1001,MATCH(ROWS($U$2:U137),$U$2:$U$1001,0),0), INDEX($AB$1004:$AQ$1004,1,MATCH(COLUMNS($AB$1006:AC1006),$AB$1006:$AQ$1006,0)))),"Fix")))</f>
        <v>0</v>
      </c>
      <c r="D137" s="5">
        <f>IF(OR(INDEX($V$2:$V$1001,MATCH(ROWS($U$2:U137),$U$2:$U$1001,0),1)&gt;=100000,INDEX($AB$1005:$AQ$1005,1,MATCH(COLUMNS($AB$1006:AD1006),$AB$1006:$AQ$1006,0))&gt;=100000), " ",IF(INDEX($AB$2:$AQ$1001,MATCH(ROWS($U$2:U137),$U$2:$U$1001,0),MATCH(COLUMNS($AB$1006:AD1006),$AB$1006:$AQ$1006,0)), HYPERLINK("#",""), HYPERLINK(CONCATENATE("#Metadata!", ADDRESS(INDEX($W$2:$W$1001,MATCH(ROWS($U$2:U137),$U$2:$U$1001,0),0), INDEX($AB$1004:$AQ$1004,1,MATCH(COLUMNS($AB$1006:AD1006),$AB$1006:$AQ$1006,0)))),"Fix")))</f>
        <v>0</v>
      </c>
      <c r="E137" s="5">
        <f>IF(OR(INDEX($V$2:$V$1001,MATCH(ROWS($U$2:U137),$U$2:$U$1001,0),1)&gt;=100000,INDEX($AB$1005:$AQ$1005,1,MATCH(COLUMNS($AB$1006:AE1006),$AB$1006:$AQ$1006,0))&gt;=100000), " ",IF(INDEX($AB$2:$AQ$1001,MATCH(ROWS($U$2:U137),$U$2:$U$1001,0),MATCH(COLUMNS($AB$1006:AE1006),$AB$1006:$AQ$1006,0)), HYPERLINK("#",""), HYPERLINK(CONCATENATE("#Metadata!", ADDRESS(INDEX($W$2:$W$1001,MATCH(ROWS($U$2:U137),$U$2:$U$1001,0),0), INDEX($AB$1004:$AQ$1004,1,MATCH(COLUMNS($AB$1006:AE1006),$AB$1006:$AQ$1006,0)))),"Fix")))</f>
        <v>0</v>
      </c>
      <c r="F137" s="5">
        <f>IF(OR(INDEX($V$2:$V$1001,MATCH(ROWS($U$2:U137),$U$2:$U$1001,0),1)&gt;=100000,INDEX($AB$1005:$AQ$1005,1,MATCH(COLUMNS($AB$1006:AF1006),$AB$1006:$AQ$1006,0))&gt;=100000), " ",IF(INDEX($AB$2:$AQ$1001,MATCH(ROWS($U$2:U137),$U$2:$U$1001,0),MATCH(COLUMNS($AB$1006:AF1006),$AB$1006:$AQ$1006,0)), HYPERLINK("#",""), HYPERLINK(CONCATENATE("#Metadata!", ADDRESS(INDEX($W$2:$W$1001,MATCH(ROWS($U$2:U137),$U$2:$U$1001,0),0), INDEX($AB$1004:$AQ$1004,1,MATCH(COLUMNS($AB$1006:AF1006),$AB$1006:$AQ$1006,0)))),"Fix")))</f>
        <v>0</v>
      </c>
      <c r="G137" s="5">
        <f>IF(OR(INDEX($V$2:$V$1001,MATCH(ROWS($U$2:U137),$U$2:$U$1001,0),1)&gt;=100000,INDEX($AB$1005:$AQ$1005,1,MATCH(COLUMNS($AB$1006:AG1006),$AB$1006:$AQ$1006,0))&gt;=100000), " ",IF(INDEX($AB$2:$AQ$1001,MATCH(ROWS($U$2:U137),$U$2:$U$1001,0),MATCH(COLUMNS($AB$1006:AG1006),$AB$1006:$AQ$1006,0)), HYPERLINK("#",""), HYPERLINK(CONCATENATE("#Metadata!", ADDRESS(INDEX($W$2:$W$1001,MATCH(ROWS($U$2:U137),$U$2:$U$1001,0),0), INDEX($AB$1004:$AQ$1004,1,MATCH(COLUMNS($AB$1006:AG1006),$AB$1006:$AQ$1006,0)))),"Fix")))</f>
        <v>0</v>
      </c>
      <c r="H137" s="5">
        <f>IF(OR(INDEX($V$2:$V$1001,MATCH(ROWS($U$2:U137),$U$2:$U$1001,0),1)&gt;=100000,INDEX($AB$1005:$AQ$1005,1,MATCH(COLUMNS($AB$1006:AH1006),$AB$1006:$AQ$1006,0))&gt;=100000), " ",IF(INDEX($AB$2:$AQ$1001,MATCH(ROWS($U$2:U137),$U$2:$U$1001,0),MATCH(COLUMNS($AB$1006:AH1006),$AB$1006:$AQ$1006,0)), HYPERLINK("#",""), HYPERLINK(CONCATENATE("#Metadata!", ADDRESS(INDEX($W$2:$W$1001,MATCH(ROWS($U$2:U137),$U$2:$U$1001,0),0), INDEX($AB$1004:$AQ$1004,1,MATCH(COLUMNS($AB$1006:AH1006),$AB$1006:$AQ$1006,0)))),"Fix")))</f>
        <v>0</v>
      </c>
      <c r="I137" s="5">
        <f>IF(OR(INDEX($V$2:$V$1001,MATCH(ROWS($U$2:U137),$U$2:$U$1001,0),1)&gt;=100000,INDEX($AB$1005:$AQ$1005,1,MATCH(COLUMNS($AB$1006:AI1006),$AB$1006:$AQ$1006,0))&gt;=100000), " ",IF(INDEX($AB$2:$AQ$1001,MATCH(ROWS($U$2:U137),$U$2:$U$1001,0),MATCH(COLUMNS($AB$1006:AI1006),$AB$1006:$AQ$1006,0)), HYPERLINK("#",""), HYPERLINK(CONCATENATE("#Metadata!", ADDRESS(INDEX($W$2:$W$1001,MATCH(ROWS($U$2:U137),$U$2:$U$1001,0),0), INDEX($AB$1004:$AQ$1004,1,MATCH(COLUMNS($AB$1006:AI1006),$AB$1006:$AQ$1006,0)))),"Fix")))</f>
        <v>0</v>
      </c>
      <c r="J137" s="5">
        <f>IF(OR(INDEX($V$2:$V$1001,MATCH(ROWS($U$2:U137),$U$2:$U$1001,0),1)&gt;=100000,INDEX($AB$1005:$AQ$1005,1,MATCH(COLUMNS($AB$1006:AJ1006),$AB$1006:$AQ$1006,0))&gt;=100000), " ",IF(INDEX($AB$2:$AQ$1001,MATCH(ROWS($U$2:U137),$U$2:$U$1001,0),MATCH(COLUMNS($AB$1006:AJ1006),$AB$1006:$AQ$1006,0)), HYPERLINK("#",""), HYPERLINK(CONCATENATE("#Metadata!", ADDRESS(INDEX($W$2:$W$1001,MATCH(ROWS($U$2:U137),$U$2:$U$1001,0),0), INDEX($AB$1004:$AQ$1004,1,MATCH(COLUMNS($AB$1006:AJ1006),$AB$1006:$AQ$1006,0)))),"Fix")))</f>
        <v>0</v>
      </c>
      <c r="K137" s="5">
        <f>IF(OR(INDEX($V$2:$V$1001,MATCH(ROWS($U$2:U137),$U$2:$U$1001,0),1)&gt;=100000,INDEX($AB$1005:$AQ$1005,1,MATCH(COLUMNS($AB$1006:AK1006),$AB$1006:$AQ$1006,0))&gt;=100000), " ",IF(INDEX($AB$2:$AQ$1001,MATCH(ROWS($U$2:U137),$U$2:$U$1001,0),MATCH(COLUMNS($AB$1006:AK1006),$AB$1006:$AQ$1006,0)), HYPERLINK("#",""), HYPERLINK(CONCATENATE("#Metadata!", ADDRESS(INDEX($W$2:$W$1001,MATCH(ROWS($U$2:U137),$U$2:$U$1001,0),0), INDEX($AB$1004:$AQ$1004,1,MATCH(COLUMNS($AB$1006:AK1006),$AB$1006:$AQ$1006,0)))),"Fix")))</f>
        <v>0</v>
      </c>
      <c r="L137" s="5">
        <f>IF(OR(INDEX($V$2:$V$1001,MATCH(ROWS($U$2:U137),$U$2:$U$1001,0),1)&gt;=100000,INDEX($AB$1005:$AQ$1005,1,MATCH(COLUMNS($AB$1006:AL1006),$AB$1006:$AQ$1006,0))&gt;=100000), " ",IF(INDEX($AB$2:$AQ$1001,MATCH(ROWS($U$2:U137),$U$2:$U$1001,0),MATCH(COLUMNS($AB$1006:AL1006),$AB$1006:$AQ$1006,0)), HYPERLINK("#",""), HYPERLINK(CONCATENATE("#Metadata!", ADDRESS(INDEX($W$2:$W$1001,MATCH(ROWS($U$2:U137),$U$2:$U$1001,0),0), INDEX($AB$1004:$AQ$1004,1,MATCH(COLUMNS($AB$1006:AL1006),$AB$1006:$AQ$1006,0)))),"Fix")))</f>
        <v>0</v>
      </c>
      <c r="M137" s="5">
        <f>IF(OR(INDEX($V$2:$V$1001,MATCH(ROWS($U$2:U137),$U$2:$U$1001,0),1)&gt;=100000,INDEX($AB$1005:$AQ$1005,1,MATCH(COLUMNS($AB$1006:AM1006),$AB$1006:$AQ$1006,0))&gt;=100000), " ",IF(INDEX($AB$2:$AQ$1001,MATCH(ROWS($U$2:U137),$U$2:$U$1001,0),MATCH(COLUMNS($AB$1006:AM1006),$AB$1006:$AQ$1006,0)), HYPERLINK("#",""), HYPERLINK(CONCATENATE("#Metadata!", ADDRESS(INDEX($W$2:$W$1001,MATCH(ROWS($U$2:U137),$U$2:$U$1001,0),0), INDEX($AB$1004:$AQ$1004,1,MATCH(COLUMNS($AB$1006:AM1006),$AB$1006:$AQ$1006,0)))),"Fix")))</f>
        <v>0</v>
      </c>
      <c r="N137" s="5">
        <f>IF(OR(INDEX($V$2:$V$1001,MATCH(ROWS($U$2:U137),$U$2:$U$1001,0),1)&gt;=100000,INDEX($AB$1005:$AQ$1005,1,MATCH(COLUMNS($AB$1006:AN1006),$AB$1006:$AQ$1006,0))&gt;=100000), " ",IF(INDEX($AB$2:$AQ$1001,MATCH(ROWS($U$2:U137),$U$2:$U$1001,0),MATCH(COLUMNS($AB$1006:AN1006),$AB$1006:$AQ$1006,0)), HYPERLINK("#",""), HYPERLINK(CONCATENATE("#Metadata!", ADDRESS(INDEX($W$2:$W$1001,MATCH(ROWS($U$2:U137),$U$2:$U$1001,0),0), INDEX($AB$1004:$AQ$1004,1,MATCH(COLUMNS($AB$1006:AN1006),$AB$1006:$AQ$1006,0)))),"Fix")))</f>
        <v>0</v>
      </c>
      <c r="O137" s="5">
        <f>IF(OR(INDEX($V$2:$V$1001,MATCH(ROWS($U$2:U137),$U$2:$U$1001,0),1)&gt;=100000,INDEX($AB$1005:$AQ$1005,1,MATCH(COLUMNS($AB$1006:AO1006),$AB$1006:$AQ$1006,0))&gt;=100000), " ",IF(INDEX($AB$2:$AQ$1001,MATCH(ROWS($U$2:U137),$U$2:$U$1001,0),MATCH(COLUMNS($AB$1006:AO1006),$AB$1006:$AQ$1006,0)), HYPERLINK("#",""), HYPERLINK(CONCATENATE("#Metadata!", ADDRESS(INDEX($W$2:$W$1001,MATCH(ROWS($U$2:U137),$U$2:$U$1001,0),0), INDEX($AB$1004:$AQ$1004,1,MATCH(COLUMNS($AB$1006:AO1006),$AB$1006:$AQ$1006,0)))),"Fix")))</f>
        <v>0</v>
      </c>
      <c r="P137" s="5">
        <f>IF(OR(INDEX($V$2:$V$1001,MATCH(ROWS($U$2:U137),$U$2:$U$1001,0),1)&gt;=100000,INDEX($AB$1005:$AQ$1005,1,MATCH(COLUMNS($AB$1006:AP1006),$AB$1006:$AQ$1006,0))&gt;=100000), " ",IF(INDEX($AB$2:$AQ$1001,MATCH(ROWS($U$2:U137),$U$2:$U$1001,0),MATCH(COLUMNS($AB$1006:AP1006),$AB$1006:$AQ$1006,0)), HYPERLINK("#",""), HYPERLINK(CONCATENATE("#Metadata!", ADDRESS(INDEX($W$2:$W$1001,MATCH(ROWS($U$2:U137),$U$2:$U$1001,0),0), INDEX($AB$1004:$AQ$1004,1,MATCH(COLUMNS($AB$1006:AP1006),$AB$1006:$AQ$1006,0)))),"Fix")))</f>
        <v>0</v>
      </c>
      <c r="Q137" s="5">
        <f>IF(OR(INDEX($V$2:$V$1001,MATCH(ROWS($U$2:U137),$U$2:$U$1001,0),1)&gt;=100000,INDEX($AB$1005:$AQ$1005,1,MATCH(COLUMNS($AB$1006:AQ1006),$AB$1006:$AQ$1006,0))&gt;=100000), " ",IF(INDEX($AB$2:$AQ$1001,MATCH(ROWS($U$2:U137),$U$2:$U$1001,0),MATCH(COLUMNS($AB$1006:AQ1006),$AB$1006:$AQ$1006,0)), HYPERLINK("#",""), HYPERLINK(CONCATENATE("#Metadata!", ADDRESS(INDEX($W$2:$W$1001,MATCH(ROWS($U$2:U137),$U$2:$U$1001,0),0), INDEX($AB$1004:$AQ$1004,1,MATCH(COLUMNS($AB$1006:AQ1006),$AB$1006:$AQ$1006,0)))),"Fix")))</f>
        <v>0</v>
      </c>
      <c r="U137">
        <v>0</v>
      </c>
      <c r="V137">
        <v>0</v>
      </c>
      <c r="W137">
        <v>0</v>
      </c>
      <c r="X137">
        <f>IF(Y137,TRUE,AND(AB137:AQ137))</f>
        <v>0</v>
      </c>
      <c r="Y137">
        <f>COUNTBLANK(Metadata!B137:Q137)=COLUMNS(Metadata!B137:Q137)</f>
        <v>0</v>
      </c>
      <c r="Z137">
        <v>0</v>
      </c>
      <c r="AB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AC137">
        <f>AND(IF(Metadata!C137="",FALSE,TRUE),exact(Metadata!C137,"urban biome"))</f>
        <v>0</v>
      </c>
      <c r="AD137">
        <f>AND(IF(Metadata!D137="",FALSE,TRUE),exact(Metadata!D137,"human-associated habitat"))</f>
        <v>0</v>
      </c>
      <c r="AE137">
        <f>AND(IF(Metadata!E137="",FALSE,TRUE),OR(exact(Metadata!E137,"human-associated"),exact(Metadata!E137,"human-skin"),exact(Metadata!E137,"human-oral"),exact(Metadata!E137,"human-gut"),exact(Metadata!E137,"human-vaginal")))</f>
        <v>0</v>
      </c>
      <c r="AF137">
        <f>AND(IF(Metadata!F137="",FALSE,ISNUMBER(VALUE(Metadata!F137))),Metadata!F137&gt;0)</f>
        <v>0</v>
      </c>
      <c r="AG137">
        <f>AND(IF(Metadata!G137="",FALSE,TRUE),exact(Metadata!G137,"years"))</f>
        <v>0</v>
      </c>
      <c r="AH137">
        <f>OR(AND(IF(Metadata!H137="",FALSE,TRUE),OR(exact(Metadata!H137,"not applicable"),exact(Metadata!H137,"not collected"),exact(Metadata!H137,"not provided"),exact(Metadata!H137,"restricted access"))),AND(IF(Metadata!H137="",FALSE,ISNUMBER(VALUE(Metadata!H137))),Metadata!H137&gt;0))</f>
        <v>0</v>
      </c>
      <c r="AI137">
        <f>AND(IF(Metadata!I137="",FALSE,TRUE),exact(Metadata!I137,"human"))</f>
        <v>0</v>
      </c>
      <c r="AJ137">
        <f>AND(IF(Metadata!J137="",FALSE,ISNUMBER(VALUE(Metadata!J137))),Metadata!J137&gt;0)</f>
        <v>0</v>
      </c>
      <c r="AK137">
        <f>AND(IF(Metadata!K137="",FALSE,TRUE),exact(Metadata!K137,"cm"))</f>
        <v>0</v>
      </c>
      <c r="AL137">
        <f>AND(IF(Metadata!L137="",FALSE,TRUE),exact(Metadata!L137,"Homo sapiens"))</f>
        <v>0</v>
      </c>
      <c r="AM137">
        <f>AND(IF(Metadata!M137="",FALSE,TRUE),exact(Metadata!M137,"9606"))</f>
        <v>0</v>
      </c>
      <c r="AN137">
        <f>AND(IF(Metadata!N137="",FALSE,ISNUMBER(VALUE(Metadata!N137))),Metadata!N137&gt;0)</f>
        <v>0</v>
      </c>
      <c r="AO137">
        <f>AND(IF(Metadata!O137="",FALSE,TRUE),exact(Metadata!O137,"kg"))</f>
        <v>0</v>
      </c>
      <c r="AP137">
        <f>OR(AND(IF(Metadata!P137="",FALSE,TRUE),exact(Metadata!P137,"not provided")),IF(Metadata!P137="",FALSE,TRUE))</f>
        <v>0</v>
      </c>
      <c r="AQ137">
        <f>OR(AND(IF(Metadata!Q137="",FALSE,TRUE),exact(Metadata!Q137,"not provided")),IF(Metadata!Q137="",FALSE,TRUE))</f>
        <v>0</v>
      </c>
    </row>
    <row r="138" spans="1:43">
      <c r="A138" s="4">
        <f>IF(B138=" "," ",HYPERLINK(CONCATENATE("#metadata!",ADDRESS(INDEX($W$2:$W$1001,MATCH(ROWS($U$2:U138),$U$2:$U$1001,0),0),2)),INDEX($Z$2:$Z$1001,MATCH(ROWS($U$2:U138),$U$2:$U$1001,0),0)))</f>
        <v>0</v>
      </c>
      <c r="B138" s="5">
        <f>IF(OR(INDEX($V$2:$V$1001,MATCH(ROWS($U$2:U138),$U$2:$U$1001,0),1)&gt;=100000,INDEX($AB$1005:$AQ$1005,1,MATCH(COLUMNS($AB$1006:AB1006),$AB$1006:$AQ$1006,0))&gt;=100000), " ",IF(INDEX($AB$2:$AQ$1001,MATCH(ROWS($U$2:U138),$U$2:$U$1001,0),MATCH(COLUMNS($AB$1006:AB1006),$AB$1006:$AQ$1006,0)), HYPERLINK("#",""), HYPERLINK(CONCATENATE("#Metadata!", ADDRESS(INDEX($W$2:$W$1001,MATCH(ROWS($U$2:U138),$U$2:$U$1001,0),0), INDEX($AB$1004:$AQ$1004,1,MATCH(COLUMNS($AB$1006:AB1006),$AB$1006:$AQ$1006,0)))),"Fix")))</f>
        <v>0</v>
      </c>
      <c r="C138" s="5">
        <f>IF(OR(INDEX($V$2:$V$1001,MATCH(ROWS($U$2:U138),$U$2:$U$1001,0),1)&gt;=100000,INDEX($AB$1005:$AQ$1005,1,MATCH(COLUMNS($AB$1006:AC1006),$AB$1006:$AQ$1006,0))&gt;=100000), " ",IF(INDEX($AB$2:$AQ$1001,MATCH(ROWS($U$2:U138),$U$2:$U$1001,0),MATCH(COLUMNS($AB$1006:AC1006),$AB$1006:$AQ$1006,0)), HYPERLINK("#",""), HYPERLINK(CONCATENATE("#Metadata!", ADDRESS(INDEX($W$2:$W$1001,MATCH(ROWS($U$2:U138),$U$2:$U$1001,0),0), INDEX($AB$1004:$AQ$1004,1,MATCH(COLUMNS($AB$1006:AC1006),$AB$1006:$AQ$1006,0)))),"Fix")))</f>
        <v>0</v>
      </c>
      <c r="D138" s="5">
        <f>IF(OR(INDEX($V$2:$V$1001,MATCH(ROWS($U$2:U138),$U$2:$U$1001,0),1)&gt;=100000,INDEX($AB$1005:$AQ$1005,1,MATCH(COLUMNS($AB$1006:AD1006),$AB$1006:$AQ$1006,0))&gt;=100000), " ",IF(INDEX($AB$2:$AQ$1001,MATCH(ROWS($U$2:U138),$U$2:$U$1001,0),MATCH(COLUMNS($AB$1006:AD1006),$AB$1006:$AQ$1006,0)), HYPERLINK("#",""), HYPERLINK(CONCATENATE("#Metadata!", ADDRESS(INDEX($W$2:$W$1001,MATCH(ROWS($U$2:U138),$U$2:$U$1001,0),0), INDEX($AB$1004:$AQ$1004,1,MATCH(COLUMNS($AB$1006:AD1006),$AB$1006:$AQ$1006,0)))),"Fix")))</f>
        <v>0</v>
      </c>
      <c r="E138" s="5">
        <f>IF(OR(INDEX($V$2:$V$1001,MATCH(ROWS($U$2:U138),$U$2:$U$1001,0),1)&gt;=100000,INDEX($AB$1005:$AQ$1005,1,MATCH(COLUMNS($AB$1006:AE1006),$AB$1006:$AQ$1006,0))&gt;=100000), " ",IF(INDEX($AB$2:$AQ$1001,MATCH(ROWS($U$2:U138),$U$2:$U$1001,0),MATCH(COLUMNS($AB$1006:AE1006),$AB$1006:$AQ$1006,0)), HYPERLINK("#",""), HYPERLINK(CONCATENATE("#Metadata!", ADDRESS(INDEX($W$2:$W$1001,MATCH(ROWS($U$2:U138),$U$2:$U$1001,0),0), INDEX($AB$1004:$AQ$1004,1,MATCH(COLUMNS($AB$1006:AE1006),$AB$1006:$AQ$1006,0)))),"Fix")))</f>
        <v>0</v>
      </c>
      <c r="F138" s="5">
        <f>IF(OR(INDEX($V$2:$V$1001,MATCH(ROWS($U$2:U138),$U$2:$U$1001,0),1)&gt;=100000,INDEX($AB$1005:$AQ$1005,1,MATCH(COLUMNS($AB$1006:AF1006),$AB$1006:$AQ$1006,0))&gt;=100000), " ",IF(INDEX($AB$2:$AQ$1001,MATCH(ROWS($U$2:U138),$U$2:$U$1001,0),MATCH(COLUMNS($AB$1006:AF1006),$AB$1006:$AQ$1006,0)), HYPERLINK("#",""), HYPERLINK(CONCATENATE("#Metadata!", ADDRESS(INDEX($W$2:$W$1001,MATCH(ROWS($U$2:U138),$U$2:$U$1001,0),0), INDEX($AB$1004:$AQ$1004,1,MATCH(COLUMNS($AB$1006:AF1006),$AB$1006:$AQ$1006,0)))),"Fix")))</f>
        <v>0</v>
      </c>
      <c r="G138" s="5">
        <f>IF(OR(INDEX($V$2:$V$1001,MATCH(ROWS($U$2:U138),$U$2:$U$1001,0),1)&gt;=100000,INDEX($AB$1005:$AQ$1005,1,MATCH(COLUMNS($AB$1006:AG1006),$AB$1006:$AQ$1006,0))&gt;=100000), " ",IF(INDEX($AB$2:$AQ$1001,MATCH(ROWS($U$2:U138),$U$2:$U$1001,0),MATCH(COLUMNS($AB$1006:AG1006),$AB$1006:$AQ$1006,0)), HYPERLINK("#",""), HYPERLINK(CONCATENATE("#Metadata!", ADDRESS(INDEX($W$2:$W$1001,MATCH(ROWS($U$2:U138),$U$2:$U$1001,0),0), INDEX($AB$1004:$AQ$1004,1,MATCH(COLUMNS($AB$1006:AG1006),$AB$1006:$AQ$1006,0)))),"Fix")))</f>
        <v>0</v>
      </c>
      <c r="H138" s="5">
        <f>IF(OR(INDEX($V$2:$V$1001,MATCH(ROWS($U$2:U138),$U$2:$U$1001,0),1)&gt;=100000,INDEX($AB$1005:$AQ$1005,1,MATCH(COLUMNS($AB$1006:AH1006),$AB$1006:$AQ$1006,0))&gt;=100000), " ",IF(INDEX($AB$2:$AQ$1001,MATCH(ROWS($U$2:U138),$U$2:$U$1001,0),MATCH(COLUMNS($AB$1006:AH1006),$AB$1006:$AQ$1006,0)), HYPERLINK("#",""), HYPERLINK(CONCATENATE("#Metadata!", ADDRESS(INDEX($W$2:$W$1001,MATCH(ROWS($U$2:U138),$U$2:$U$1001,0),0), INDEX($AB$1004:$AQ$1004,1,MATCH(COLUMNS($AB$1006:AH1006),$AB$1006:$AQ$1006,0)))),"Fix")))</f>
        <v>0</v>
      </c>
      <c r="I138" s="5">
        <f>IF(OR(INDEX($V$2:$V$1001,MATCH(ROWS($U$2:U138),$U$2:$U$1001,0),1)&gt;=100000,INDEX($AB$1005:$AQ$1005,1,MATCH(COLUMNS($AB$1006:AI1006),$AB$1006:$AQ$1006,0))&gt;=100000), " ",IF(INDEX($AB$2:$AQ$1001,MATCH(ROWS($U$2:U138),$U$2:$U$1001,0),MATCH(COLUMNS($AB$1006:AI1006),$AB$1006:$AQ$1006,0)), HYPERLINK("#",""), HYPERLINK(CONCATENATE("#Metadata!", ADDRESS(INDEX($W$2:$W$1001,MATCH(ROWS($U$2:U138),$U$2:$U$1001,0),0), INDEX($AB$1004:$AQ$1004,1,MATCH(COLUMNS($AB$1006:AI1006),$AB$1006:$AQ$1006,0)))),"Fix")))</f>
        <v>0</v>
      </c>
      <c r="J138" s="5">
        <f>IF(OR(INDEX($V$2:$V$1001,MATCH(ROWS($U$2:U138),$U$2:$U$1001,0),1)&gt;=100000,INDEX($AB$1005:$AQ$1005,1,MATCH(COLUMNS($AB$1006:AJ1006),$AB$1006:$AQ$1006,0))&gt;=100000), " ",IF(INDEX($AB$2:$AQ$1001,MATCH(ROWS($U$2:U138),$U$2:$U$1001,0),MATCH(COLUMNS($AB$1006:AJ1006),$AB$1006:$AQ$1006,0)), HYPERLINK("#",""), HYPERLINK(CONCATENATE("#Metadata!", ADDRESS(INDEX($W$2:$W$1001,MATCH(ROWS($U$2:U138),$U$2:$U$1001,0),0), INDEX($AB$1004:$AQ$1004,1,MATCH(COLUMNS($AB$1006:AJ1006),$AB$1006:$AQ$1006,0)))),"Fix")))</f>
        <v>0</v>
      </c>
      <c r="K138" s="5">
        <f>IF(OR(INDEX($V$2:$V$1001,MATCH(ROWS($U$2:U138),$U$2:$U$1001,0),1)&gt;=100000,INDEX($AB$1005:$AQ$1005,1,MATCH(COLUMNS($AB$1006:AK1006),$AB$1006:$AQ$1006,0))&gt;=100000), " ",IF(INDEX($AB$2:$AQ$1001,MATCH(ROWS($U$2:U138),$U$2:$U$1001,0),MATCH(COLUMNS($AB$1006:AK1006),$AB$1006:$AQ$1006,0)), HYPERLINK("#",""), HYPERLINK(CONCATENATE("#Metadata!", ADDRESS(INDEX($W$2:$W$1001,MATCH(ROWS($U$2:U138),$U$2:$U$1001,0),0), INDEX($AB$1004:$AQ$1004,1,MATCH(COLUMNS($AB$1006:AK1006),$AB$1006:$AQ$1006,0)))),"Fix")))</f>
        <v>0</v>
      </c>
      <c r="L138" s="5">
        <f>IF(OR(INDEX($V$2:$V$1001,MATCH(ROWS($U$2:U138),$U$2:$U$1001,0),1)&gt;=100000,INDEX($AB$1005:$AQ$1005,1,MATCH(COLUMNS($AB$1006:AL1006),$AB$1006:$AQ$1006,0))&gt;=100000), " ",IF(INDEX($AB$2:$AQ$1001,MATCH(ROWS($U$2:U138),$U$2:$U$1001,0),MATCH(COLUMNS($AB$1006:AL1006),$AB$1006:$AQ$1006,0)), HYPERLINK("#",""), HYPERLINK(CONCATENATE("#Metadata!", ADDRESS(INDEX($W$2:$W$1001,MATCH(ROWS($U$2:U138),$U$2:$U$1001,0),0), INDEX($AB$1004:$AQ$1004,1,MATCH(COLUMNS($AB$1006:AL1006),$AB$1006:$AQ$1006,0)))),"Fix")))</f>
        <v>0</v>
      </c>
      <c r="M138" s="5">
        <f>IF(OR(INDEX($V$2:$V$1001,MATCH(ROWS($U$2:U138),$U$2:$U$1001,0),1)&gt;=100000,INDEX($AB$1005:$AQ$1005,1,MATCH(COLUMNS($AB$1006:AM1006),$AB$1006:$AQ$1006,0))&gt;=100000), " ",IF(INDEX($AB$2:$AQ$1001,MATCH(ROWS($U$2:U138),$U$2:$U$1001,0),MATCH(COLUMNS($AB$1006:AM1006),$AB$1006:$AQ$1006,0)), HYPERLINK("#",""), HYPERLINK(CONCATENATE("#Metadata!", ADDRESS(INDEX($W$2:$W$1001,MATCH(ROWS($U$2:U138),$U$2:$U$1001,0),0), INDEX($AB$1004:$AQ$1004,1,MATCH(COLUMNS($AB$1006:AM1006),$AB$1006:$AQ$1006,0)))),"Fix")))</f>
        <v>0</v>
      </c>
      <c r="N138" s="5">
        <f>IF(OR(INDEX($V$2:$V$1001,MATCH(ROWS($U$2:U138),$U$2:$U$1001,0),1)&gt;=100000,INDEX($AB$1005:$AQ$1005,1,MATCH(COLUMNS($AB$1006:AN1006),$AB$1006:$AQ$1006,0))&gt;=100000), " ",IF(INDEX($AB$2:$AQ$1001,MATCH(ROWS($U$2:U138),$U$2:$U$1001,0),MATCH(COLUMNS($AB$1006:AN1006),$AB$1006:$AQ$1006,0)), HYPERLINK("#",""), HYPERLINK(CONCATENATE("#Metadata!", ADDRESS(INDEX($W$2:$W$1001,MATCH(ROWS($U$2:U138),$U$2:$U$1001,0),0), INDEX($AB$1004:$AQ$1004,1,MATCH(COLUMNS($AB$1006:AN1006),$AB$1006:$AQ$1006,0)))),"Fix")))</f>
        <v>0</v>
      </c>
      <c r="O138" s="5">
        <f>IF(OR(INDEX($V$2:$V$1001,MATCH(ROWS($U$2:U138),$U$2:$U$1001,0),1)&gt;=100000,INDEX($AB$1005:$AQ$1005,1,MATCH(COLUMNS($AB$1006:AO1006),$AB$1006:$AQ$1006,0))&gt;=100000), " ",IF(INDEX($AB$2:$AQ$1001,MATCH(ROWS($U$2:U138),$U$2:$U$1001,0),MATCH(COLUMNS($AB$1006:AO1006),$AB$1006:$AQ$1006,0)), HYPERLINK("#",""), HYPERLINK(CONCATENATE("#Metadata!", ADDRESS(INDEX($W$2:$W$1001,MATCH(ROWS($U$2:U138),$U$2:$U$1001,0),0), INDEX($AB$1004:$AQ$1004,1,MATCH(COLUMNS($AB$1006:AO1006),$AB$1006:$AQ$1006,0)))),"Fix")))</f>
        <v>0</v>
      </c>
      <c r="P138" s="5">
        <f>IF(OR(INDEX($V$2:$V$1001,MATCH(ROWS($U$2:U138),$U$2:$U$1001,0),1)&gt;=100000,INDEX($AB$1005:$AQ$1005,1,MATCH(COLUMNS($AB$1006:AP1006),$AB$1006:$AQ$1006,0))&gt;=100000), " ",IF(INDEX($AB$2:$AQ$1001,MATCH(ROWS($U$2:U138),$U$2:$U$1001,0),MATCH(COLUMNS($AB$1006:AP1006),$AB$1006:$AQ$1006,0)), HYPERLINK("#",""), HYPERLINK(CONCATENATE("#Metadata!", ADDRESS(INDEX($W$2:$W$1001,MATCH(ROWS($U$2:U138),$U$2:$U$1001,0),0), INDEX($AB$1004:$AQ$1004,1,MATCH(COLUMNS($AB$1006:AP1006),$AB$1006:$AQ$1006,0)))),"Fix")))</f>
        <v>0</v>
      </c>
      <c r="Q138" s="5">
        <f>IF(OR(INDEX($V$2:$V$1001,MATCH(ROWS($U$2:U138),$U$2:$U$1001,0),1)&gt;=100000,INDEX($AB$1005:$AQ$1005,1,MATCH(COLUMNS($AB$1006:AQ1006),$AB$1006:$AQ$1006,0))&gt;=100000), " ",IF(INDEX($AB$2:$AQ$1001,MATCH(ROWS($U$2:U138),$U$2:$U$1001,0),MATCH(COLUMNS($AB$1006:AQ1006),$AB$1006:$AQ$1006,0)), HYPERLINK("#",""), HYPERLINK(CONCATENATE("#Metadata!", ADDRESS(INDEX($W$2:$W$1001,MATCH(ROWS($U$2:U138),$U$2:$U$1001,0),0), INDEX($AB$1004:$AQ$1004,1,MATCH(COLUMNS($AB$1006:AQ1006),$AB$1006:$AQ$1006,0)))),"Fix")))</f>
        <v>0</v>
      </c>
      <c r="U138">
        <v>0</v>
      </c>
      <c r="V138">
        <v>0</v>
      </c>
      <c r="W138">
        <v>0</v>
      </c>
      <c r="X138">
        <f>IF(Y138,TRUE,AND(AB138:AQ138))</f>
        <v>0</v>
      </c>
      <c r="Y138">
        <f>COUNTBLANK(Metadata!B138:Q138)=COLUMNS(Metadata!B138:Q138)</f>
        <v>0</v>
      </c>
      <c r="Z138">
        <v>0</v>
      </c>
      <c r="AB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AC138">
        <f>AND(IF(Metadata!C138="",FALSE,TRUE),exact(Metadata!C138,"urban biome"))</f>
        <v>0</v>
      </c>
      <c r="AD138">
        <f>AND(IF(Metadata!D138="",FALSE,TRUE),exact(Metadata!D138,"human-associated habitat"))</f>
        <v>0</v>
      </c>
      <c r="AE138">
        <f>AND(IF(Metadata!E138="",FALSE,TRUE),OR(exact(Metadata!E138,"human-associated"),exact(Metadata!E138,"human-skin"),exact(Metadata!E138,"human-oral"),exact(Metadata!E138,"human-gut"),exact(Metadata!E138,"human-vaginal")))</f>
        <v>0</v>
      </c>
      <c r="AF138">
        <f>AND(IF(Metadata!F138="",FALSE,ISNUMBER(VALUE(Metadata!F138))),Metadata!F138&gt;0)</f>
        <v>0</v>
      </c>
      <c r="AG138">
        <f>AND(IF(Metadata!G138="",FALSE,TRUE),exact(Metadata!G138,"years"))</f>
        <v>0</v>
      </c>
      <c r="AH138">
        <f>OR(AND(IF(Metadata!H138="",FALSE,TRUE),OR(exact(Metadata!H138,"not applicable"),exact(Metadata!H138,"not collected"),exact(Metadata!H138,"not provided"),exact(Metadata!H138,"restricted access"))),AND(IF(Metadata!H138="",FALSE,ISNUMBER(VALUE(Metadata!H138))),Metadata!H138&gt;0))</f>
        <v>0</v>
      </c>
      <c r="AI138">
        <f>AND(IF(Metadata!I138="",FALSE,TRUE),exact(Metadata!I138,"human"))</f>
        <v>0</v>
      </c>
      <c r="AJ138">
        <f>AND(IF(Metadata!J138="",FALSE,ISNUMBER(VALUE(Metadata!J138))),Metadata!J138&gt;0)</f>
        <v>0</v>
      </c>
      <c r="AK138">
        <f>AND(IF(Metadata!K138="",FALSE,TRUE),exact(Metadata!K138,"cm"))</f>
        <v>0</v>
      </c>
      <c r="AL138">
        <f>AND(IF(Metadata!L138="",FALSE,TRUE),exact(Metadata!L138,"Homo sapiens"))</f>
        <v>0</v>
      </c>
      <c r="AM138">
        <f>AND(IF(Metadata!M138="",FALSE,TRUE),exact(Metadata!M138,"9606"))</f>
        <v>0</v>
      </c>
      <c r="AN138">
        <f>AND(IF(Metadata!N138="",FALSE,ISNUMBER(VALUE(Metadata!N138))),Metadata!N138&gt;0)</f>
        <v>0</v>
      </c>
      <c r="AO138">
        <f>AND(IF(Metadata!O138="",FALSE,TRUE),exact(Metadata!O138,"kg"))</f>
        <v>0</v>
      </c>
      <c r="AP138">
        <f>OR(AND(IF(Metadata!P138="",FALSE,TRUE),exact(Metadata!P138,"not provided")),IF(Metadata!P138="",FALSE,TRUE))</f>
        <v>0</v>
      </c>
      <c r="AQ138">
        <f>OR(AND(IF(Metadata!Q138="",FALSE,TRUE),exact(Metadata!Q138,"not provided")),IF(Metadata!Q138="",FALSE,TRUE))</f>
        <v>0</v>
      </c>
    </row>
    <row r="139" spans="1:43">
      <c r="A139" s="4">
        <f>IF(B139=" "," ",HYPERLINK(CONCATENATE("#metadata!",ADDRESS(INDEX($W$2:$W$1001,MATCH(ROWS($U$2:U139),$U$2:$U$1001,0),0),2)),INDEX($Z$2:$Z$1001,MATCH(ROWS($U$2:U139),$U$2:$U$1001,0),0)))</f>
        <v>0</v>
      </c>
      <c r="B139" s="5">
        <f>IF(OR(INDEX($V$2:$V$1001,MATCH(ROWS($U$2:U139),$U$2:$U$1001,0),1)&gt;=100000,INDEX($AB$1005:$AQ$1005,1,MATCH(COLUMNS($AB$1006:AB1006),$AB$1006:$AQ$1006,0))&gt;=100000), " ",IF(INDEX($AB$2:$AQ$1001,MATCH(ROWS($U$2:U139),$U$2:$U$1001,0),MATCH(COLUMNS($AB$1006:AB1006),$AB$1006:$AQ$1006,0)), HYPERLINK("#",""), HYPERLINK(CONCATENATE("#Metadata!", ADDRESS(INDEX($W$2:$W$1001,MATCH(ROWS($U$2:U139),$U$2:$U$1001,0),0), INDEX($AB$1004:$AQ$1004,1,MATCH(COLUMNS($AB$1006:AB1006),$AB$1006:$AQ$1006,0)))),"Fix")))</f>
        <v>0</v>
      </c>
      <c r="C139" s="5">
        <f>IF(OR(INDEX($V$2:$V$1001,MATCH(ROWS($U$2:U139),$U$2:$U$1001,0),1)&gt;=100000,INDEX($AB$1005:$AQ$1005,1,MATCH(COLUMNS($AB$1006:AC1006),$AB$1006:$AQ$1006,0))&gt;=100000), " ",IF(INDEX($AB$2:$AQ$1001,MATCH(ROWS($U$2:U139),$U$2:$U$1001,0),MATCH(COLUMNS($AB$1006:AC1006),$AB$1006:$AQ$1006,0)), HYPERLINK("#",""), HYPERLINK(CONCATENATE("#Metadata!", ADDRESS(INDEX($W$2:$W$1001,MATCH(ROWS($U$2:U139),$U$2:$U$1001,0),0), INDEX($AB$1004:$AQ$1004,1,MATCH(COLUMNS($AB$1006:AC1006),$AB$1006:$AQ$1006,0)))),"Fix")))</f>
        <v>0</v>
      </c>
      <c r="D139" s="5">
        <f>IF(OR(INDEX($V$2:$V$1001,MATCH(ROWS($U$2:U139),$U$2:$U$1001,0),1)&gt;=100000,INDEX($AB$1005:$AQ$1005,1,MATCH(COLUMNS($AB$1006:AD1006),$AB$1006:$AQ$1006,0))&gt;=100000), " ",IF(INDEX($AB$2:$AQ$1001,MATCH(ROWS($U$2:U139),$U$2:$U$1001,0),MATCH(COLUMNS($AB$1006:AD1006),$AB$1006:$AQ$1006,0)), HYPERLINK("#",""), HYPERLINK(CONCATENATE("#Metadata!", ADDRESS(INDEX($W$2:$W$1001,MATCH(ROWS($U$2:U139),$U$2:$U$1001,0),0), INDEX($AB$1004:$AQ$1004,1,MATCH(COLUMNS($AB$1006:AD1006),$AB$1006:$AQ$1006,0)))),"Fix")))</f>
        <v>0</v>
      </c>
      <c r="E139" s="5">
        <f>IF(OR(INDEX($V$2:$V$1001,MATCH(ROWS($U$2:U139),$U$2:$U$1001,0),1)&gt;=100000,INDEX($AB$1005:$AQ$1005,1,MATCH(COLUMNS($AB$1006:AE1006),$AB$1006:$AQ$1006,0))&gt;=100000), " ",IF(INDEX($AB$2:$AQ$1001,MATCH(ROWS($U$2:U139),$U$2:$U$1001,0),MATCH(COLUMNS($AB$1006:AE1006),$AB$1006:$AQ$1006,0)), HYPERLINK("#",""), HYPERLINK(CONCATENATE("#Metadata!", ADDRESS(INDEX($W$2:$W$1001,MATCH(ROWS($U$2:U139),$U$2:$U$1001,0),0), INDEX($AB$1004:$AQ$1004,1,MATCH(COLUMNS($AB$1006:AE1006),$AB$1006:$AQ$1006,0)))),"Fix")))</f>
        <v>0</v>
      </c>
      <c r="F139" s="5">
        <f>IF(OR(INDEX($V$2:$V$1001,MATCH(ROWS($U$2:U139),$U$2:$U$1001,0),1)&gt;=100000,INDEX($AB$1005:$AQ$1005,1,MATCH(COLUMNS($AB$1006:AF1006),$AB$1006:$AQ$1006,0))&gt;=100000), " ",IF(INDEX($AB$2:$AQ$1001,MATCH(ROWS($U$2:U139),$U$2:$U$1001,0),MATCH(COLUMNS($AB$1006:AF1006),$AB$1006:$AQ$1006,0)), HYPERLINK("#",""), HYPERLINK(CONCATENATE("#Metadata!", ADDRESS(INDEX($W$2:$W$1001,MATCH(ROWS($U$2:U139),$U$2:$U$1001,0),0), INDEX($AB$1004:$AQ$1004,1,MATCH(COLUMNS($AB$1006:AF1006),$AB$1006:$AQ$1006,0)))),"Fix")))</f>
        <v>0</v>
      </c>
      <c r="G139" s="5">
        <f>IF(OR(INDEX($V$2:$V$1001,MATCH(ROWS($U$2:U139),$U$2:$U$1001,0),1)&gt;=100000,INDEX($AB$1005:$AQ$1005,1,MATCH(COLUMNS($AB$1006:AG1006),$AB$1006:$AQ$1006,0))&gt;=100000), " ",IF(INDEX($AB$2:$AQ$1001,MATCH(ROWS($U$2:U139),$U$2:$U$1001,0),MATCH(COLUMNS($AB$1006:AG1006),$AB$1006:$AQ$1006,0)), HYPERLINK("#",""), HYPERLINK(CONCATENATE("#Metadata!", ADDRESS(INDEX($W$2:$W$1001,MATCH(ROWS($U$2:U139),$U$2:$U$1001,0),0), INDEX($AB$1004:$AQ$1004,1,MATCH(COLUMNS($AB$1006:AG1006),$AB$1006:$AQ$1006,0)))),"Fix")))</f>
        <v>0</v>
      </c>
      <c r="H139" s="5">
        <f>IF(OR(INDEX($V$2:$V$1001,MATCH(ROWS($U$2:U139),$U$2:$U$1001,0),1)&gt;=100000,INDEX($AB$1005:$AQ$1005,1,MATCH(COLUMNS($AB$1006:AH1006),$AB$1006:$AQ$1006,0))&gt;=100000), " ",IF(INDEX($AB$2:$AQ$1001,MATCH(ROWS($U$2:U139),$U$2:$U$1001,0),MATCH(COLUMNS($AB$1006:AH1006),$AB$1006:$AQ$1006,0)), HYPERLINK("#",""), HYPERLINK(CONCATENATE("#Metadata!", ADDRESS(INDEX($W$2:$W$1001,MATCH(ROWS($U$2:U139),$U$2:$U$1001,0),0), INDEX($AB$1004:$AQ$1004,1,MATCH(COLUMNS($AB$1006:AH1006),$AB$1006:$AQ$1006,0)))),"Fix")))</f>
        <v>0</v>
      </c>
      <c r="I139" s="5">
        <f>IF(OR(INDEX($V$2:$V$1001,MATCH(ROWS($U$2:U139),$U$2:$U$1001,0),1)&gt;=100000,INDEX($AB$1005:$AQ$1005,1,MATCH(COLUMNS($AB$1006:AI1006),$AB$1006:$AQ$1006,0))&gt;=100000), " ",IF(INDEX($AB$2:$AQ$1001,MATCH(ROWS($U$2:U139),$U$2:$U$1001,0),MATCH(COLUMNS($AB$1006:AI1006),$AB$1006:$AQ$1006,0)), HYPERLINK("#",""), HYPERLINK(CONCATENATE("#Metadata!", ADDRESS(INDEX($W$2:$W$1001,MATCH(ROWS($U$2:U139),$U$2:$U$1001,0),0), INDEX($AB$1004:$AQ$1004,1,MATCH(COLUMNS($AB$1006:AI1006),$AB$1006:$AQ$1006,0)))),"Fix")))</f>
        <v>0</v>
      </c>
      <c r="J139" s="5">
        <f>IF(OR(INDEX($V$2:$V$1001,MATCH(ROWS($U$2:U139),$U$2:$U$1001,0),1)&gt;=100000,INDEX($AB$1005:$AQ$1005,1,MATCH(COLUMNS($AB$1006:AJ1006),$AB$1006:$AQ$1006,0))&gt;=100000), " ",IF(INDEX($AB$2:$AQ$1001,MATCH(ROWS($U$2:U139),$U$2:$U$1001,0),MATCH(COLUMNS($AB$1006:AJ1006),$AB$1006:$AQ$1006,0)), HYPERLINK("#",""), HYPERLINK(CONCATENATE("#Metadata!", ADDRESS(INDEX($W$2:$W$1001,MATCH(ROWS($U$2:U139),$U$2:$U$1001,0),0), INDEX($AB$1004:$AQ$1004,1,MATCH(COLUMNS($AB$1006:AJ1006),$AB$1006:$AQ$1006,0)))),"Fix")))</f>
        <v>0</v>
      </c>
      <c r="K139" s="5">
        <f>IF(OR(INDEX($V$2:$V$1001,MATCH(ROWS($U$2:U139),$U$2:$U$1001,0),1)&gt;=100000,INDEX($AB$1005:$AQ$1005,1,MATCH(COLUMNS($AB$1006:AK1006),$AB$1006:$AQ$1006,0))&gt;=100000), " ",IF(INDEX($AB$2:$AQ$1001,MATCH(ROWS($U$2:U139),$U$2:$U$1001,0),MATCH(COLUMNS($AB$1006:AK1006),$AB$1006:$AQ$1006,0)), HYPERLINK("#",""), HYPERLINK(CONCATENATE("#Metadata!", ADDRESS(INDEX($W$2:$W$1001,MATCH(ROWS($U$2:U139),$U$2:$U$1001,0),0), INDEX($AB$1004:$AQ$1004,1,MATCH(COLUMNS($AB$1006:AK1006),$AB$1006:$AQ$1006,0)))),"Fix")))</f>
        <v>0</v>
      </c>
      <c r="L139" s="5">
        <f>IF(OR(INDEX($V$2:$V$1001,MATCH(ROWS($U$2:U139),$U$2:$U$1001,0),1)&gt;=100000,INDEX($AB$1005:$AQ$1005,1,MATCH(COLUMNS($AB$1006:AL1006),$AB$1006:$AQ$1006,0))&gt;=100000), " ",IF(INDEX($AB$2:$AQ$1001,MATCH(ROWS($U$2:U139),$U$2:$U$1001,0),MATCH(COLUMNS($AB$1006:AL1006),$AB$1006:$AQ$1006,0)), HYPERLINK("#",""), HYPERLINK(CONCATENATE("#Metadata!", ADDRESS(INDEX($W$2:$W$1001,MATCH(ROWS($U$2:U139),$U$2:$U$1001,0),0), INDEX($AB$1004:$AQ$1004,1,MATCH(COLUMNS($AB$1006:AL1006),$AB$1006:$AQ$1006,0)))),"Fix")))</f>
        <v>0</v>
      </c>
      <c r="M139" s="5">
        <f>IF(OR(INDEX($V$2:$V$1001,MATCH(ROWS($U$2:U139),$U$2:$U$1001,0),1)&gt;=100000,INDEX($AB$1005:$AQ$1005,1,MATCH(COLUMNS($AB$1006:AM1006),$AB$1006:$AQ$1006,0))&gt;=100000), " ",IF(INDEX($AB$2:$AQ$1001,MATCH(ROWS($U$2:U139),$U$2:$U$1001,0),MATCH(COLUMNS($AB$1006:AM1006),$AB$1006:$AQ$1006,0)), HYPERLINK("#",""), HYPERLINK(CONCATENATE("#Metadata!", ADDRESS(INDEX($W$2:$W$1001,MATCH(ROWS($U$2:U139),$U$2:$U$1001,0),0), INDEX($AB$1004:$AQ$1004,1,MATCH(COLUMNS($AB$1006:AM1006),$AB$1006:$AQ$1006,0)))),"Fix")))</f>
        <v>0</v>
      </c>
      <c r="N139" s="5">
        <f>IF(OR(INDEX($V$2:$V$1001,MATCH(ROWS($U$2:U139),$U$2:$U$1001,0),1)&gt;=100000,INDEX($AB$1005:$AQ$1005,1,MATCH(COLUMNS($AB$1006:AN1006),$AB$1006:$AQ$1006,0))&gt;=100000), " ",IF(INDEX($AB$2:$AQ$1001,MATCH(ROWS($U$2:U139),$U$2:$U$1001,0),MATCH(COLUMNS($AB$1006:AN1006),$AB$1006:$AQ$1006,0)), HYPERLINK("#",""), HYPERLINK(CONCATENATE("#Metadata!", ADDRESS(INDEX($W$2:$W$1001,MATCH(ROWS($U$2:U139),$U$2:$U$1001,0),0), INDEX($AB$1004:$AQ$1004,1,MATCH(COLUMNS($AB$1006:AN1006),$AB$1006:$AQ$1006,0)))),"Fix")))</f>
        <v>0</v>
      </c>
      <c r="O139" s="5">
        <f>IF(OR(INDEX($V$2:$V$1001,MATCH(ROWS($U$2:U139),$U$2:$U$1001,0),1)&gt;=100000,INDEX($AB$1005:$AQ$1005,1,MATCH(COLUMNS($AB$1006:AO1006),$AB$1006:$AQ$1006,0))&gt;=100000), " ",IF(INDEX($AB$2:$AQ$1001,MATCH(ROWS($U$2:U139),$U$2:$U$1001,0),MATCH(COLUMNS($AB$1006:AO1006),$AB$1006:$AQ$1006,0)), HYPERLINK("#",""), HYPERLINK(CONCATENATE("#Metadata!", ADDRESS(INDEX($W$2:$W$1001,MATCH(ROWS($U$2:U139),$U$2:$U$1001,0),0), INDEX($AB$1004:$AQ$1004,1,MATCH(COLUMNS($AB$1006:AO1006),$AB$1006:$AQ$1006,0)))),"Fix")))</f>
        <v>0</v>
      </c>
      <c r="P139" s="5">
        <f>IF(OR(INDEX($V$2:$V$1001,MATCH(ROWS($U$2:U139),$U$2:$U$1001,0),1)&gt;=100000,INDEX($AB$1005:$AQ$1005,1,MATCH(COLUMNS($AB$1006:AP1006),$AB$1006:$AQ$1006,0))&gt;=100000), " ",IF(INDEX($AB$2:$AQ$1001,MATCH(ROWS($U$2:U139),$U$2:$U$1001,0),MATCH(COLUMNS($AB$1006:AP1006),$AB$1006:$AQ$1006,0)), HYPERLINK("#",""), HYPERLINK(CONCATENATE("#Metadata!", ADDRESS(INDEX($W$2:$W$1001,MATCH(ROWS($U$2:U139),$U$2:$U$1001,0),0), INDEX($AB$1004:$AQ$1004,1,MATCH(COLUMNS($AB$1006:AP1006),$AB$1006:$AQ$1006,0)))),"Fix")))</f>
        <v>0</v>
      </c>
      <c r="Q139" s="5">
        <f>IF(OR(INDEX($V$2:$V$1001,MATCH(ROWS($U$2:U139),$U$2:$U$1001,0),1)&gt;=100000,INDEX($AB$1005:$AQ$1005,1,MATCH(COLUMNS($AB$1006:AQ1006),$AB$1006:$AQ$1006,0))&gt;=100000), " ",IF(INDEX($AB$2:$AQ$1001,MATCH(ROWS($U$2:U139),$U$2:$U$1001,0),MATCH(COLUMNS($AB$1006:AQ1006),$AB$1006:$AQ$1006,0)), HYPERLINK("#",""), HYPERLINK(CONCATENATE("#Metadata!", ADDRESS(INDEX($W$2:$W$1001,MATCH(ROWS($U$2:U139),$U$2:$U$1001,0),0), INDEX($AB$1004:$AQ$1004,1,MATCH(COLUMNS($AB$1006:AQ1006),$AB$1006:$AQ$1006,0)))),"Fix")))</f>
        <v>0</v>
      </c>
      <c r="U139">
        <v>0</v>
      </c>
      <c r="V139">
        <v>0</v>
      </c>
      <c r="W139">
        <v>0</v>
      </c>
      <c r="X139">
        <f>IF(Y139,TRUE,AND(AB139:AQ139))</f>
        <v>0</v>
      </c>
      <c r="Y139">
        <f>COUNTBLANK(Metadata!B139:Q139)=COLUMNS(Metadata!B139:Q139)</f>
        <v>0</v>
      </c>
      <c r="Z139">
        <v>0</v>
      </c>
      <c r="AB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AC139">
        <f>AND(IF(Metadata!C139="",FALSE,TRUE),exact(Metadata!C139,"urban biome"))</f>
        <v>0</v>
      </c>
      <c r="AD139">
        <f>AND(IF(Metadata!D139="",FALSE,TRUE),exact(Metadata!D139,"human-associated habitat"))</f>
        <v>0</v>
      </c>
      <c r="AE139">
        <f>AND(IF(Metadata!E139="",FALSE,TRUE),OR(exact(Metadata!E139,"human-associated"),exact(Metadata!E139,"human-skin"),exact(Metadata!E139,"human-oral"),exact(Metadata!E139,"human-gut"),exact(Metadata!E139,"human-vaginal")))</f>
        <v>0</v>
      </c>
      <c r="AF139">
        <f>AND(IF(Metadata!F139="",FALSE,ISNUMBER(VALUE(Metadata!F139))),Metadata!F139&gt;0)</f>
        <v>0</v>
      </c>
      <c r="AG139">
        <f>AND(IF(Metadata!G139="",FALSE,TRUE),exact(Metadata!G139,"years"))</f>
        <v>0</v>
      </c>
      <c r="AH139">
        <f>OR(AND(IF(Metadata!H139="",FALSE,TRUE),OR(exact(Metadata!H139,"not applicable"),exact(Metadata!H139,"not collected"),exact(Metadata!H139,"not provided"),exact(Metadata!H139,"restricted access"))),AND(IF(Metadata!H139="",FALSE,ISNUMBER(VALUE(Metadata!H139))),Metadata!H139&gt;0))</f>
        <v>0</v>
      </c>
      <c r="AI139">
        <f>AND(IF(Metadata!I139="",FALSE,TRUE),exact(Metadata!I139,"human"))</f>
        <v>0</v>
      </c>
      <c r="AJ139">
        <f>AND(IF(Metadata!J139="",FALSE,ISNUMBER(VALUE(Metadata!J139))),Metadata!J139&gt;0)</f>
        <v>0</v>
      </c>
      <c r="AK139">
        <f>AND(IF(Metadata!K139="",FALSE,TRUE),exact(Metadata!K139,"cm"))</f>
        <v>0</v>
      </c>
      <c r="AL139">
        <f>AND(IF(Metadata!L139="",FALSE,TRUE),exact(Metadata!L139,"Homo sapiens"))</f>
        <v>0</v>
      </c>
      <c r="AM139">
        <f>AND(IF(Metadata!M139="",FALSE,TRUE),exact(Metadata!M139,"9606"))</f>
        <v>0</v>
      </c>
      <c r="AN139">
        <f>AND(IF(Metadata!N139="",FALSE,ISNUMBER(VALUE(Metadata!N139))),Metadata!N139&gt;0)</f>
        <v>0</v>
      </c>
      <c r="AO139">
        <f>AND(IF(Metadata!O139="",FALSE,TRUE),exact(Metadata!O139,"kg"))</f>
        <v>0</v>
      </c>
      <c r="AP139">
        <f>OR(AND(IF(Metadata!P139="",FALSE,TRUE),exact(Metadata!P139,"not provided")),IF(Metadata!P139="",FALSE,TRUE))</f>
        <v>0</v>
      </c>
      <c r="AQ139">
        <f>OR(AND(IF(Metadata!Q139="",FALSE,TRUE),exact(Metadata!Q139,"not provided")),IF(Metadata!Q139="",FALSE,TRUE))</f>
        <v>0</v>
      </c>
    </row>
    <row r="140" spans="1:43">
      <c r="A140" s="4">
        <f>IF(B140=" "," ",HYPERLINK(CONCATENATE("#metadata!",ADDRESS(INDEX($W$2:$W$1001,MATCH(ROWS($U$2:U140),$U$2:$U$1001,0),0),2)),INDEX($Z$2:$Z$1001,MATCH(ROWS($U$2:U140),$U$2:$U$1001,0),0)))</f>
        <v>0</v>
      </c>
      <c r="B140" s="5">
        <f>IF(OR(INDEX($V$2:$V$1001,MATCH(ROWS($U$2:U140),$U$2:$U$1001,0),1)&gt;=100000,INDEX($AB$1005:$AQ$1005,1,MATCH(COLUMNS($AB$1006:AB1006),$AB$1006:$AQ$1006,0))&gt;=100000), " ",IF(INDEX($AB$2:$AQ$1001,MATCH(ROWS($U$2:U140),$U$2:$U$1001,0),MATCH(COLUMNS($AB$1006:AB1006),$AB$1006:$AQ$1006,0)), HYPERLINK("#",""), HYPERLINK(CONCATENATE("#Metadata!", ADDRESS(INDEX($W$2:$W$1001,MATCH(ROWS($U$2:U140),$U$2:$U$1001,0),0), INDEX($AB$1004:$AQ$1004,1,MATCH(COLUMNS($AB$1006:AB1006),$AB$1006:$AQ$1006,0)))),"Fix")))</f>
        <v>0</v>
      </c>
      <c r="C140" s="5">
        <f>IF(OR(INDEX($V$2:$V$1001,MATCH(ROWS($U$2:U140),$U$2:$U$1001,0),1)&gt;=100000,INDEX($AB$1005:$AQ$1005,1,MATCH(COLUMNS($AB$1006:AC1006),$AB$1006:$AQ$1006,0))&gt;=100000), " ",IF(INDEX($AB$2:$AQ$1001,MATCH(ROWS($U$2:U140),$U$2:$U$1001,0),MATCH(COLUMNS($AB$1006:AC1006),$AB$1006:$AQ$1006,0)), HYPERLINK("#",""), HYPERLINK(CONCATENATE("#Metadata!", ADDRESS(INDEX($W$2:$W$1001,MATCH(ROWS($U$2:U140),$U$2:$U$1001,0),0), INDEX($AB$1004:$AQ$1004,1,MATCH(COLUMNS($AB$1006:AC1006),$AB$1006:$AQ$1006,0)))),"Fix")))</f>
        <v>0</v>
      </c>
      <c r="D140" s="5">
        <f>IF(OR(INDEX($V$2:$V$1001,MATCH(ROWS($U$2:U140),$U$2:$U$1001,0),1)&gt;=100000,INDEX($AB$1005:$AQ$1005,1,MATCH(COLUMNS($AB$1006:AD1006),$AB$1006:$AQ$1006,0))&gt;=100000), " ",IF(INDEX($AB$2:$AQ$1001,MATCH(ROWS($U$2:U140),$U$2:$U$1001,0),MATCH(COLUMNS($AB$1006:AD1006),$AB$1006:$AQ$1006,0)), HYPERLINK("#",""), HYPERLINK(CONCATENATE("#Metadata!", ADDRESS(INDEX($W$2:$W$1001,MATCH(ROWS($U$2:U140),$U$2:$U$1001,0),0), INDEX($AB$1004:$AQ$1004,1,MATCH(COLUMNS($AB$1006:AD1006),$AB$1006:$AQ$1006,0)))),"Fix")))</f>
        <v>0</v>
      </c>
      <c r="E140" s="5">
        <f>IF(OR(INDEX($V$2:$V$1001,MATCH(ROWS($U$2:U140),$U$2:$U$1001,0),1)&gt;=100000,INDEX($AB$1005:$AQ$1005,1,MATCH(COLUMNS($AB$1006:AE1006),$AB$1006:$AQ$1006,0))&gt;=100000), " ",IF(INDEX($AB$2:$AQ$1001,MATCH(ROWS($U$2:U140),$U$2:$U$1001,0),MATCH(COLUMNS($AB$1006:AE1006),$AB$1006:$AQ$1006,0)), HYPERLINK("#",""), HYPERLINK(CONCATENATE("#Metadata!", ADDRESS(INDEX($W$2:$W$1001,MATCH(ROWS($U$2:U140),$U$2:$U$1001,0),0), INDEX($AB$1004:$AQ$1004,1,MATCH(COLUMNS($AB$1006:AE1006),$AB$1006:$AQ$1006,0)))),"Fix")))</f>
        <v>0</v>
      </c>
      <c r="F140" s="5">
        <f>IF(OR(INDEX($V$2:$V$1001,MATCH(ROWS($U$2:U140),$U$2:$U$1001,0),1)&gt;=100000,INDEX($AB$1005:$AQ$1005,1,MATCH(COLUMNS($AB$1006:AF1006),$AB$1006:$AQ$1006,0))&gt;=100000), " ",IF(INDEX($AB$2:$AQ$1001,MATCH(ROWS($U$2:U140),$U$2:$U$1001,0),MATCH(COLUMNS($AB$1006:AF1006),$AB$1006:$AQ$1006,0)), HYPERLINK("#",""), HYPERLINK(CONCATENATE("#Metadata!", ADDRESS(INDEX($W$2:$W$1001,MATCH(ROWS($U$2:U140),$U$2:$U$1001,0),0), INDEX($AB$1004:$AQ$1004,1,MATCH(COLUMNS($AB$1006:AF1006),$AB$1006:$AQ$1006,0)))),"Fix")))</f>
        <v>0</v>
      </c>
      <c r="G140" s="5">
        <f>IF(OR(INDEX($V$2:$V$1001,MATCH(ROWS($U$2:U140),$U$2:$U$1001,0),1)&gt;=100000,INDEX($AB$1005:$AQ$1005,1,MATCH(COLUMNS($AB$1006:AG1006),$AB$1006:$AQ$1006,0))&gt;=100000), " ",IF(INDEX($AB$2:$AQ$1001,MATCH(ROWS($U$2:U140),$U$2:$U$1001,0),MATCH(COLUMNS($AB$1006:AG1006),$AB$1006:$AQ$1006,0)), HYPERLINK("#",""), HYPERLINK(CONCATENATE("#Metadata!", ADDRESS(INDEX($W$2:$W$1001,MATCH(ROWS($U$2:U140),$U$2:$U$1001,0),0), INDEX($AB$1004:$AQ$1004,1,MATCH(COLUMNS($AB$1006:AG1006),$AB$1006:$AQ$1006,0)))),"Fix")))</f>
        <v>0</v>
      </c>
      <c r="H140" s="5">
        <f>IF(OR(INDEX($V$2:$V$1001,MATCH(ROWS($U$2:U140),$U$2:$U$1001,0),1)&gt;=100000,INDEX($AB$1005:$AQ$1005,1,MATCH(COLUMNS($AB$1006:AH1006),$AB$1006:$AQ$1006,0))&gt;=100000), " ",IF(INDEX($AB$2:$AQ$1001,MATCH(ROWS($U$2:U140),$U$2:$U$1001,0),MATCH(COLUMNS($AB$1006:AH1006),$AB$1006:$AQ$1006,0)), HYPERLINK("#",""), HYPERLINK(CONCATENATE("#Metadata!", ADDRESS(INDEX($W$2:$W$1001,MATCH(ROWS($U$2:U140),$U$2:$U$1001,0),0), INDEX($AB$1004:$AQ$1004,1,MATCH(COLUMNS($AB$1006:AH1006),$AB$1006:$AQ$1006,0)))),"Fix")))</f>
        <v>0</v>
      </c>
      <c r="I140" s="5">
        <f>IF(OR(INDEX($V$2:$V$1001,MATCH(ROWS($U$2:U140),$U$2:$U$1001,0),1)&gt;=100000,INDEX($AB$1005:$AQ$1005,1,MATCH(COLUMNS($AB$1006:AI1006),$AB$1006:$AQ$1006,0))&gt;=100000), " ",IF(INDEX($AB$2:$AQ$1001,MATCH(ROWS($U$2:U140),$U$2:$U$1001,0),MATCH(COLUMNS($AB$1006:AI1006),$AB$1006:$AQ$1006,0)), HYPERLINK("#",""), HYPERLINK(CONCATENATE("#Metadata!", ADDRESS(INDEX($W$2:$W$1001,MATCH(ROWS($U$2:U140),$U$2:$U$1001,0),0), INDEX($AB$1004:$AQ$1004,1,MATCH(COLUMNS($AB$1006:AI1006),$AB$1006:$AQ$1006,0)))),"Fix")))</f>
        <v>0</v>
      </c>
      <c r="J140" s="5">
        <f>IF(OR(INDEX($V$2:$V$1001,MATCH(ROWS($U$2:U140),$U$2:$U$1001,0),1)&gt;=100000,INDEX($AB$1005:$AQ$1005,1,MATCH(COLUMNS($AB$1006:AJ1006),$AB$1006:$AQ$1006,0))&gt;=100000), " ",IF(INDEX($AB$2:$AQ$1001,MATCH(ROWS($U$2:U140),$U$2:$U$1001,0),MATCH(COLUMNS($AB$1006:AJ1006),$AB$1006:$AQ$1006,0)), HYPERLINK("#",""), HYPERLINK(CONCATENATE("#Metadata!", ADDRESS(INDEX($W$2:$W$1001,MATCH(ROWS($U$2:U140),$U$2:$U$1001,0),0), INDEX($AB$1004:$AQ$1004,1,MATCH(COLUMNS($AB$1006:AJ1006),$AB$1006:$AQ$1006,0)))),"Fix")))</f>
        <v>0</v>
      </c>
      <c r="K140" s="5">
        <f>IF(OR(INDEX($V$2:$V$1001,MATCH(ROWS($U$2:U140),$U$2:$U$1001,0),1)&gt;=100000,INDEX($AB$1005:$AQ$1005,1,MATCH(COLUMNS($AB$1006:AK1006),$AB$1006:$AQ$1006,0))&gt;=100000), " ",IF(INDEX($AB$2:$AQ$1001,MATCH(ROWS($U$2:U140),$U$2:$U$1001,0),MATCH(COLUMNS($AB$1006:AK1006),$AB$1006:$AQ$1006,0)), HYPERLINK("#",""), HYPERLINK(CONCATENATE("#Metadata!", ADDRESS(INDEX($W$2:$W$1001,MATCH(ROWS($U$2:U140),$U$2:$U$1001,0),0), INDEX($AB$1004:$AQ$1004,1,MATCH(COLUMNS($AB$1006:AK1006),$AB$1006:$AQ$1006,0)))),"Fix")))</f>
        <v>0</v>
      </c>
      <c r="L140" s="5">
        <f>IF(OR(INDEX($V$2:$V$1001,MATCH(ROWS($U$2:U140),$U$2:$U$1001,0),1)&gt;=100000,INDEX($AB$1005:$AQ$1005,1,MATCH(COLUMNS($AB$1006:AL1006),$AB$1006:$AQ$1006,0))&gt;=100000), " ",IF(INDEX($AB$2:$AQ$1001,MATCH(ROWS($U$2:U140),$U$2:$U$1001,0),MATCH(COLUMNS($AB$1006:AL1006),$AB$1006:$AQ$1006,0)), HYPERLINK("#",""), HYPERLINK(CONCATENATE("#Metadata!", ADDRESS(INDEX($W$2:$W$1001,MATCH(ROWS($U$2:U140),$U$2:$U$1001,0),0), INDEX($AB$1004:$AQ$1004,1,MATCH(COLUMNS($AB$1006:AL1006),$AB$1006:$AQ$1006,0)))),"Fix")))</f>
        <v>0</v>
      </c>
      <c r="M140" s="5">
        <f>IF(OR(INDEX($V$2:$V$1001,MATCH(ROWS($U$2:U140),$U$2:$U$1001,0),1)&gt;=100000,INDEX($AB$1005:$AQ$1005,1,MATCH(COLUMNS($AB$1006:AM1006),$AB$1006:$AQ$1006,0))&gt;=100000), " ",IF(INDEX($AB$2:$AQ$1001,MATCH(ROWS($U$2:U140),$U$2:$U$1001,0),MATCH(COLUMNS($AB$1006:AM1006),$AB$1006:$AQ$1006,0)), HYPERLINK("#",""), HYPERLINK(CONCATENATE("#Metadata!", ADDRESS(INDEX($W$2:$W$1001,MATCH(ROWS($U$2:U140),$U$2:$U$1001,0),0), INDEX($AB$1004:$AQ$1004,1,MATCH(COLUMNS($AB$1006:AM1006),$AB$1006:$AQ$1006,0)))),"Fix")))</f>
        <v>0</v>
      </c>
      <c r="N140" s="5">
        <f>IF(OR(INDEX($V$2:$V$1001,MATCH(ROWS($U$2:U140),$U$2:$U$1001,0),1)&gt;=100000,INDEX($AB$1005:$AQ$1005,1,MATCH(COLUMNS($AB$1006:AN1006),$AB$1006:$AQ$1006,0))&gt;=100000), " ",IF(INDEX($AB$2:$AQ$1001,MATCH(ROWS($U$2:U140),$U$2:$U$1001,0),MATCH(COLUMNS($AB$1006:AN1006),$AB$1006:$AQ$1006,0)), HYPERLINK("#",""), HYPERLINK(CONCATENATE("#Metadata!", ADDRESS(INDEX($W$2:$W$1001,MATCH(ROWS($U$2:U140),$U$2:$U$1001,0),0), INDEX($AB$1004:$AQ$1004,1,MATCH(COLUMNS($AB$1006:AN1006),$AB$1006:$AQ$1006,0)))),"Fix")))</f>
        <v>0</v>
      </c>
      <c r="O140" s="5">
        <f>IF(OR(INDEX($V$2:$V$1001,MATCH(ROWS($U$2:U140),$U$2:$U$1001,0),1)&gt;=100000,INDEX($AB$1005:$AQ$1005,1,MATCH(COLUMNS($AB$1006:AO1006),$AB$1006:$AQ$1006,0))&gt;=100000), " ",IF(INDEX($AB$2:$AQ$1001,MATCH(ROWS($U$2:U140),$U$2:$U$1001,0),MATCH(COLUMNS($AB$1006:AO1006),$AB$1006:$AQ$1006,0)), HYPERLINK("#",""), HYPERLINK(CONCATENATE("#Metadata!", ADDRESS(INDEX($W$2:$W$1001,MATCH(ROWS($U$2:U140),$U$2:$U$1001,0),0), INDEX($AB$1004:$AQ$1004,1,MATCH(COLUMNS($AB$1006:AO1006),$AB$1006:$AQ$1006,0)))),"Fix")))</f>
        <v>0</v>
      </c>
      <c r="P140" s="5">
        <f>IF(OR(INDEX($V$2:$V$1001,MATCH(ROWS($U$2:U140),$U$2:$U$1001,0),1)&gt;=100000,INDEX($AB$1005:$AQ$1005,1,MATCH(COLUMNS($AB$1006:AP1006),$AB$1006:$AQ$1006,0))&gt;=100000), " ",IF(INDEX($AB$2:$AQ$1001,MATCH(ROWS($U$2:U140),$U$2:$U$1001,0),MATCH(COLUMNS($AB$1006:AP1006),$AB$1006:$AQ$1006,0)), HYPERLINK("#",""), HYPERLINK(CONCATENATE("#Metadata!", ADDRESS(INDEX($W$2:$W$1001,MATCH(ROWS($U$2:U140),$U$2:$U$1001,0),0), INDEX($AB$1004:$AQ$1004,1,MATCH(COLUMNS($AB$1006:AP1006),$AB$1006:$AQ$1006,0)))),"Fix")))</f>
        <v>0</v>
      </c>
      <c r="Q140" s="5">
        <f>IF(OR(INDEX($V$2:$V$1001,MATCH(ROWS($U$2:U140),$U$2:$U$1001,0),1)&gt;=100000,INDEX($AB$1005:$AQ$1005,1,MATCH(COLUMNS($AB$1006:AQ1006),$AB$1006:$AQ$1006,0))&gt;=100000), " ",IF(INDEX($AB$2:$AQ$1001,MATCH(ROWS($U$2:U140),$U$2:$U$1001,0),MATCH(COLUMNS($AB$1006:AQ1006),$AB$1006:$AQ$1006,0)), HYPERLINK("#",""), HYPERLINK(CONCATENATE("#Metadata!", ADDRESS(INDEX($W$2:$W$1001,MATCH(ROWS($U$2:U140),$U$2:$U$1001,0),0), INDEX($AB$1004:$AQ$1004,1,MATCH(COLUMNS($AB$1006:AQ1006),$AB$1006:$AQ$1006,0)))),"Fix")))</f>
        <v>0</v>
      </c>
      <c r="U140">
        <v>0</v>
      </c>
      <c r="V140">
        <v>0</v>
      </c>
      <c r="W140">
        <v>0</v>
      </c>
      <c r="X140">
        <f>IF(Y140,TRUE,AND(AB140:AQ140))</f>
        <v>0</v>
      </c>
      <c r="Y140">
        <f>COUNTBLANK(Metadata!B140:Q140)=COLUMNS(Metadata!B140:Q140)</f>
        <v>0</v>
      </c>
      <c r="Z140">
        <v>0</v>
      </c>
      <c r="AB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AC140">
        <f>AND(IF(Metadata!C140="",FALSE,TRUE),exact(Metadata!C140,"urban biome"))</f>
        <v>0</v>
      </c>
      <c r="AD140">
        <f>AND(IF(Metadata!D140="",FALSE,TRUE),exact(Metadata!D140,"human-associated habitat"))</f>
        <v>0</v>
      </c>
      <c r="AE140">
        <f>AND(IF(Metadata!E140="",FALSE,TRUE),OR(exact(Metadata!E140,"human-associated"),exact(Metadata!E140,"human-skin"),exact(Metadata!E140,"human-oral"),exact(Metadata!E140,"human-gut"),exact(Metadata!E140,"human-vaginal")))</f>
        <v>0</v>
      </c>
      <c r="AF140">
        <f>AND(IF(Metadata!F140="",FALSE,ISNUMBER(VALUE(Metadata!F140))),Metadata!F140&gt;0)</f>
        <v>0</v>
      </c>
      <c r="AG140">
        <f>AND(IF(Metadata!G140="",FALSE,TRUE),exact(Metadata!G140,"years"))</f>
        <v>0</v>
      </c>
      <c r="AH140">
        <f>OR(AND(IF(Metadata!H140="",FALSE,TRUE),OR(exact(Metadata!H140,"not applicable"),exact(Metadata!H140,"not collected"),exact(Metadata!H140,"not provided"),exact(Metadata!H140,"restricted access"))),AND(IF(Metadata!H140="",FALSE,ISNUMBER(VALUE(Metadata!H140))),Metadata!H140&gt;0))</f>
        <v>0</v>
      </c>
      <c r="AI140">
        <f>AND(IF(Metadata!I140="",FALSE,TRUE),exact(Metadata!I140,"human"))</f>
        <v>0</v>
      </c>
      <c r="AJ140">
        <f>AND(IF(Metadata!J140="",FALSE,ISNUMBER(VALUE(Metadata!J140))),Metadata!J140&gt;0)</f>
        <v>0</v>
      </c>
      <c r="AK140">
        <f>AND(IF(Metadata!K140="",FALSE,TRUE),exact(Metadata!K140,"cm"))</f>
        <v>0</v>
      </c>
      <c r="AL140">
        <f>AND(IF(Metadata!L140="",FALSE,TRUE),exact(Metadata!L140,"Homo sapiens"))</f>
        <v>0</v>
      </c>
      <c r="AM140">
        <f>AND(IF(Metadata!M140="",FALSE,TRUE),exact(Metadata!M140,"9606"))</f>
        <v>0</v>
      </c>
      <c r="AN140">
        <f>AND(IF(Metadata!N140="",FALSE,ISNUMBER(VALUE(Metadata!N140))),Metadata!N140&gt;0)</f>
        <v>0</v>
      </c>
      <c r="AO140">
        <f>AND(IF(Metadata!O140="",FALSE,TRUE),exact(Metadata!O140,"kg"))</f>
        <v>0</v>
      </c>
      <c r="AP140">
        <f>OR(AND(IF(Metadata!P140="",FALSE,TRUE),exact(Metadata!P140,"not provided")),IF(Metadata!P140="",FALSE,TRUE))</f>
        <v>0</v>
      </c>
      <c r="AQ140">
        <f>OR(AND(IF(Metadata!Q140="",FALSE,TRUE),exact(Metadata!Q140,"not provided")),IF(Metadata!Q140="",FALSE,TRUE))</f>
        <v>0</v>
      </c>
    </row>
    <row r="141" spans="1:43">
      <c r="A141" s="4">
        <f>IF(B141=" "," ",HYPERLINK(CONCATENATE("#metadata!",ADDRESS(INDEX($W$2:$W$1001,MATCH(ROWS($U$2:U141),$U$2:$U$1001,0),0),2)),INDEX($Z$2:$Z$1001,MATCH(ROWS($U$2:U141),$U$2:$U$1001,0),0)))</f>
        <v>0</v>
      </c>
      <c r="B141" s="5">
        <f>IF(OR(INDEX($V$2:$V$1001,MATCH(ROWS($U$2:U141),$U$2:$U$1001,0),1)&gt;=100000,INDEX($AB$1005:$AQ$1005,1,MATCH(COLUMNS($AB$1006:AB1006),$AB$1006:$AQ$1006,0))&gt;=100000), " ",IF(INDEX($AB$2:$AQ$1001,MATCH(ROWS($U$2:U141),$U$2:$U$1001,0),MATCH(COLUMNS($AB$1006:AB1006),$AB$1006:$AQ$1006,0)), HYPERLINK("#",""), HYPERLINK(CONCATENATE("#Metadata!", ADDRESS(INDEX($W$2:$W$1001,MATCH(ROWS($U$2:U141),$U$2:$U$1001,0),0), INDEX($AB$1004:$AQ$1004,1,MATCH(COLUMNS($AB$1006:AB1006),$AB$1006:$AQ$1006,0)))),"Fix")))</f>
        <v>0</v>
      </c>
      <c r="C141" s="5">
        <f>IF(OR(INDEX($V$2:$V$1001,MATCH(ROWS($U$2:U141),$U$2:$U$1001,0),1)&gt;=100000,INDEX($AB$1005:$AQ$1005,1,MATCH(COLUMNS($AB$1006:AC1006),$AB$1006:$AQ$1006,0))&gt;=100000), " ",IF(INDEX($AB$2:$AQ$1001,MATCH(ROWS($U$2:U141),$U$2:$U$1001,0),MATCH(COLUMNS($AB$1006:AC1006),$AB$1006:$AQ$1006,0)), HYPERLINK("#",""), HYPERLINK(CONCATENATE("#Metadata!", ADDRESS(INDEX($W$2:$W$1001,MATCH(ROWS($U$2:U141),$U$2:$U$1001,0),0), INDEX($AB$1004:$AQ$1004,1,MATCH(COLUMNS($AB$1006:AC1006),$AB$1006:$AQ$1006,0)))),"Fix")))</f>
        <v>0</v>
      </c>
      <c r="D141" s="5">
        <f>IF(OR(INDEX($V$2:$V$1001,MATCH(ROWS($U$2:U141),$U$2:$U$1001,0),1)&gt;=100000,INDEX($AB$1005:$AQ$1005,1,MATCH(COLUMNS($AB$1006:AD1006),$AB$1006:$AQ$1006,0))&gt;=100000), " ",IF(INDEX($AB$2:$AQ$1001,MATCH(ROWS($U$2:U141),$U$2:$U$1001,0),MATCH(COLUMNS($AB$1006:AD1006),$AB$1006:$AQ$1006,0)), HYPERLINK("#",""), HYPERLINK(CONCATENATE("#Metadata!", ADDRESS(INDEX($W$2:$W$1001,MATCH(ROWS($U$2:U141),$U$2:$U$1001,0),0), INDEX($AB$1004:$AQ$1004,1,MATCH(COLUMNS($AB$1006:AD1006),$AB$1006:$AQ$1006,0)))),"Fix")))</f>
        <v>0</v>
      </c>
      <c r="E141" s="5">
        <f>IF(OR(INDEX($V$2:$V$1001,MATCH(ROWS($U$2:U141),$U$2:$U$1001,0),1)&gt;=100000,INDEX($AB$1005:$AQ$1005,1,MATCH(COLUMNS($AB$1006:AE1006),$AB$1006:$AQ$1006,0))&gt;=100000), " ",IF(INDEX($AB$2:$AQ$1001,MATCH(ROWS($U$2:U141),$U$2:$U$1001,0),MATCH(COLUMNS($AB$1006:AE1006),$AB$1006:$AQ$1006,0)), HYPERLINK("#",""), HYPERLINK(CONCATENATE("#Metadata!", ADDRESS(INDEX($W$2:$W$1001,MATCH(ROWS($U$2:U141),$U$2:$U$1001,0),0), INDEX($AB$1004:$AQ$1004,1,MATCH(COLUMNS($AB$1006:AE1006),$AB$1006:$AQ$1006,0)))),"Fix")))</f>
        <v>0</v>
      </c>
      <c r="F141" s="5">
        <f>IF(OR(INDEX($V$2:$V$1001,MATCH(ROWS($U$2:U141),$U$2:$U$1001,0),1)&gt;=100000,INDEX($AB$1005:$AQ$1005,1,MATCH(COLUMNS($AB$1006:AF1006),$AB$1006:$AQ$1006,0))&gt;=100000), " ",IF(INDEX($AB$2:$AQ$1001,MATCH(ROWS($U$2:U141),$U$2:$U$1001,0),MATCH(COLUMNS($AB$1006:AF1006),$AB$1006:$AQ$1006,0)), HYPERLINK("#",""), HYPERLINK(CONCATENATE("#Metadata!", ADDRESS(INDEX($W$2:$W$1001,MATCH(ROWS($U$2:U141),$U$2:$U$1001,0),0), INDEX($AB$1004:$AQ$1004,1,MATCH(COLUMNS($AB$1006:AF1006),$AB$1006:$AQ$1006,0)))),"Fix")))</f>
        <v>0</v>
      </c>
      <c r="G141" s="5">
        <f>IF(OR(INDEX($V$2:$V$1001,MATCH(ROWS($U$2:U141),$U$2:$U$1001,0),1)&gt;=100000,INDEX($AB$1005:$AQ$1005,1,MATCH(COLUMNS($AB$1006:AG1006),$AB$1006:$AQ$1006,0))&gt;=100000), " ",IF(INDEX($AB$2:$AQ$1001,MATCH(ROWS($U$2:U141),$U$2:$U$1001,0),MATCH(COLUMNS($AB$1006:AG1006),$AB$1006:$AQ$1006,0)), HYPERLINK("#",""), HYPERLINK(CONCATENATE("#Metadata!", ADDRESS(INDEX($W$2:$W$1001,MATCH(ROWS($U$2:U141),$U$2:$U$1001,0),0), INDEX($AB$1004:$AQ$1004,1,MATCH(COLUMNS($AB$1006:AG1006),$AB$1006:$AQ$1006,0)))),"Fix")))</f>
        <v>0</v>
      </c>
      <c r="H141" s="5">
        <f>IF(OR(INDEX($V$2:$V$1001,MATCH(ROWS($U$2:U141),$U$2:$U$1001,0),1)&gt;=100000,INDEX($AB$1005:$AQ$1005,1,MATCH(COLUMNS($AB$1006:AH1006),$AB$1006:$AQ$1006,0))&gt;=100000), " ",IF(INDEX($AB$2:$AQ$1001,MATCH(ROWS($U$2:U141),$U$2:$U$1001,0),MATCH(COLUMNS($AB$1006:AH1006),$AB$1006:$AQ$1006,0)), HYPERLINK("#",""), HYPERLINK(CONCATENATE("#Metadata!", ADDRESS(INDEX($W$2:$W$1001,MATCH(ROWS($U$2:U141),$U$2:$U$1001,0),0), INDEX($AB$1004:$AQ$1004,1,MATCH(COLUMNS($AB$1006:AH1006),$AB$1006:$AQ$1006,0)))),"Fix")))</f>
        <v>0</v>
      </c>
      <c r="I141" s="5">
        <f>IF(OR(INDEX($V$2:$V$1001,MATCH(ROWS($U$2:U141),$U$2:$U$1001,0),1)&gt;=100000,INDEX($AB$1005:$AQ$1005,1,MATCH(COLUMNS($AB$1006:AI1006),$AB$1006:$AQ$1006,0))&gt;=100000), " ",IF(INDEX($AB$2:$AQ$1001,MATCH(ROWS($U$2:U141),$U$2:$U$1001,0),MATCH(COLUMNS($AB$1006:AI1006),$AB$1006:$AQ$1006,0)), HYPERLINK("#",""), HYPERLINK(CONCATENATE("#Metadata!", ADDRESS(INDEX($W$2:$W$1001,MATCH(ROWS($U$2:U141),$U$2:$U$1001,0),0), INDEX($AB$1004:$AQ$1004,1,MATCH(COLUMNS($AB$1006:AI1006),$AB$1006:$AQ$1006,0)))),"Fix")))</f>
        <v>0</v>
      </c>
      <c r="J141" s="5">
        <f>IF(OR(INDEX($V$2:$V$1001,MATCH(ROWS($U$2:U141),$U$2:$U$1001,0),1)&gt;=100000,INDEX($AB$1005:$AQ$1005,1,MATCH(COLUMNS($AB$1006:AJ1006),$AB$1006:$AQ$1006,0))&gt;=100000), " ",IF(INDEX($AB$2:$AQ$1001,MATCH(ROWS($U$2:U141),$U$2:$U$1001,0),MATCH(COLUMNS($AB$1006:AJ1006),$AB$1006:$AQ$1006,0)), HYPERLINK("#",""), HYPERLINK(CONCATENATE("#Metadata!", ADDRESS(INDEX($W$2:$W$1001,MATCH(ROWS($U$2:U141),$U$2:$U$1001,0),0), INDEX($AB$1004:$AQ$1004,1,MATCH(COLUMNS($AB$1006:AJ1006),$AB$1006:$AQ$1006,0)))),"Fix")))</f>
        <v>0</v>
      </c>
      <c r="K141" s="5">
        <f>IF(OR(INDEX($V$2:$V$1001,MATCH(ROWS($U$2:U141),$U$2:$U$1001,0),1)&gt;=100000,INDEX($AB$1005:$AQ$1005,1,MATCH(COLUMNS($AB$1006:AK1006),$AB$1006:$AQ$1006,0))&gt;=100000), " ",IF(INDEX($AB$2:$AQ$1001,MATCH(ROWS($U$2:U141),$U$2:$U$1001,0),MATCH(COLUMNS($AB$1006:AK1006),$AB$1006:$AQ$1006,0)), HYPERLINK("#",""), HYPERLINK(CONCATENATE("#Metadata!", ADDRESS(INDEX($W$2:$W$1001,MATCH(ROWS($U$2:U141),$U$2:$U$1001,0),0), INDEX($AB$1004:$AQ$1004,1,MATCH(COLUMNS($AB$1006:AK1006),$AB$1006:$AQ$1006,0)))),"Fix")))</f>
        <v>0</v>
      </c>
      <c r="L141" s="5">
        <f>IF(OR(INDEX($V$2:$V$1001,MATCH(ROWS($U$2:U141),$U$2:$U$1001,0),1)&gt;=100000,INDEX($AB$1005:$AQ$1005,1,MATCH(COLUMNS($AB$1006:AL1006),$AB$1006:$AQ$1006,0))&gt;=100000), " ",IF(INDEX($AB$2:$AQ$1001,MATCH(ROWS($U$2:U141),$U$2:$U$1001,0),MATCH(COLUMNS($AB$1006:AL1006),$AB$1006:$AQ$1006,0)), HYPERLINK("#",""), HYPERLINK(CONCATENATE("#Metadata!", ADDRESS(INDEX($W$2:$W$1001,MATCH(ROWS($U$2:U141),$U$2:$U$1001,0),0), INDEX($AB$1004:$AQ$1004,1,MATCH(COLUMNS($AB$1006:AL1006),$AB$1006:$AQ$1006,0)))),"Fix")))</f>
        <v>0</v>
      </c>
      <c r="M141" s="5">
        <f>IF(OR(INDEX($V$2:$V$1001,MATCH(ROWS($U$2:U141),$U$2:$U$1001,0),1)&gt;=100000,INDEX($AB$1005:$AQ$1005,1,MATCH(COLUMNS($AB$1006:AM1006),$AB$1006:$AQ$1006,0))&gt;=100000), " ",IF(INDEX($AB$2:$AQ$1001,MATCH(ROWS($U$2:U141),$U$2:$U$1001,0),MATCH(COLUMNS($AB$1006:AM1006),$AB$1006:$AQ$1006,0)), HYPERLINK("#",""), HYPERLINK(CONCATENATE("#Metadata!", ADDRESS(INDEX($W$2:$W$1001,MATCH(ROWS($U$2:U141),$U$2:$U$1001,0),0), INDEX($AB$1004:$AQ$1004,1,MATCH(COLUMNS($AB$1006:AM1006),$AB$1006:$AQ$1006,0)))),"Fix")))</f>
        <v>0</v>
      </c>
      <c r="N141" s="5">
        <f>IF(OR(INDEX($V$2:$V$1001,MATCH(ROWS($U$2:U141),$U$2:$U$1001,0),1)&gt;=100000,INDEX($AB$1005:$AQ$1005,1,MATCH(COLUMNS($AB$1006:AN1006),$AB$1006:$AQ$1006,0))&gt;=100000), " ",IF(INDEX($AB$2:$AQ$1001,MATCH(ROWS($U$2:U141),$U$2:$U$1001,0),MATCH(COLUMNS($AB$1006:AN1006),$AB$1006:$AQ$1006,0)), HYPERLINK("#",""), HYPERLINK(CONCATENATE("#Metadata!", ADDRESS(INDEX($W$2:$W$1001,MATCH(ROWS($U$2:U141),$U$2:$U$1001,0),0), INDEX($AB$1004:$AQ$1004,1,MATCH(COLUMNS($AB$1006:AN1006),$AB$1006:$AQ$1006,0)))),"Fix")))</f>
        <v>0</v>
      </c>
      <c r="O141" s="5">
        <f>IF(OR(INDEX($V$2:$V$1001,MATCH(ROWS($U$2:U141),$U$2:$U$1001,0),1)&gt;=100000,INDEX($AB$1005:$AQ$1005,1,MATCH(COLUMNS($AB$1006:AO1006),$AB$1006:$AQ$1006,0))&gt;=100000), " ",IF(INDEX($AB$2:$AQ$1001,MATCH(ROWS($U$2:U141),$U$2:$U$1001,0),MATCH(COLUMNS($AB$1006:AO1006),$AB$1006:$AQ$1006,0)), HYPERLINK("#",""), HYPERLINK(CONCATENATE("#Metadata!", ADDRESS(INDEX($W$2:$W$1001,MATCH(ROWS($U$2:U141),$U$2:$U$1001,0),0), INDEX($AB$1004:$AQ$1004,1,MATCH(COLUMNS($AB$1006:AO1006),$AB$1006:$AQ$1006,0)))),"Fix")))</f>
        <v>0</v>
      </c>
      <c r="P141" s="5">
        <f>IF(OR(INDEX($V$2:$V$1001,MATCH(ROWS($U$2:U141),$U$2:$U$1001,0),1)&gt;=100000,INDEX($AB$1005:$AQ$1005,1,MATCH(COLUMNS($AB$1006:AP1006),$AB$1006:$AQ$1006,0))&gt;=100000), " ",IF(INDEX($AB$2:$AQ$1001,MATCH(ROWS($U$2:U141),$U$2:$U$1001,0),MATCH(COLUMNS($AB$1006:AP1006),$AB$1006:$AQ$1006,0)), HYPERLINK("#",""), HYPERLINK(CONCATENATE("#Metadata!", ADDRESS(INDEX($W$2:$W$1001,MATCH(ROWS($U$2:U141),$U$2:$U$1001,0),0), INDEX($AB$1004:$AQ$1004,1,MATCH(COLUMNS($AB$1006:AP1006),$AB$1006:$AQ$1006,0)))),"Fix")))</f>
        <v>0</v>
      </c>
      <c r="Q141" s="5">
        <f>IF(OR(INDEX($V$2:$V$1001,MATCH(ROWS($U$2:U141),$U$2:$U$1001,0),1)&gt;=100000,INDEX($AB$1005:$AQ$1005,1,MATCH(COLUMNS($AB$1006:AQ1006),$AB$1006:$AQ$1006,0))&gt;=100000), " ",IF(INDEX($AB$2:$AQ$1001,MATCH(ROWS($U$2:U141),$U$2:$U$1001,0),MATCH(COLUMNS($AB$1006:AQ1006),$AB$1006:$AQ$1006,0)), HYPERLINK("#",""), HYPERLINK(CONCATENATE("#Metadata!", ADDRESS(INDEX($W$2:$W$1001,MATCH(ROWS($U$2:U141),$U$2:$U$1001,0),0), INDEX($AB$1004:$AQ$1004,1,MATCH(COLUMNS($AB$1006:AQ1006),$AB$1006:$AQ$1006,0)))),"Fix")))</f>
        <v>0</v>
      </c>
      <c r="U141">
        <v>0</v>
      </c>
      <c r="V141">
        <v>0</v>
      </c>
      <c r="W141">
        <v>0</v>
      </c>
      <c r="X141">
        <f>IF(Y141,TRUE,AND(AB141:AQ141))</f>
        <v>0</v>
      </c>
      <c r="Y141">
        <f>COUNTBLANK(Metadata!B141:Q141)=COLUMNS(Metadata!B141:Q141)</f>
        <v>0</v>
      </c>
      <c r="Z141">
        <v>0</v>
      </c>
      <c r="AB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AC141">
        <f>AND(IF(Metadata!C141="",FALSE,TRUE),exact(Metadata!C141,"urban biome"))</f>
        <v>0</v>
      </c>
      <c r="AD141">
        <f>AND(IF(Metadata!D141="",FALSE,TRUE),exact(Metadata!D141,"human-associated habitat"))</f>
        <v>0</v>
      </c>
      <c r="AE141">
        <f>AND(IF(Metadata!E141="",FALSE,TRUE),OR(exact(Metadata!E141,"human-associated"),exact(Metadata!E141,"human-skin"),exact(Metadata!E141,"human-oral"),exact(Metadata!E141,"human-gut"),exact(Metadata!E141,"human-vaginal")))</f>
        <v>0</v>
      </c>
      <c r="AF141">
        <f>AND(IF(Metadata!F141="",FALSE,ISNUMBER(VALUE(Metadata!F141))),Metadata!F141&gt;0)</f>
        <v>0</v>
      </c>
      <c r="AG141">
        <f>AND(IF(Metadata!G141="",FALSE,TRUE),exact(Metadata!G141,"years"))</f>
        <v>0</v>
      </c>
      <c r="AH141">
        <f>OR(AND(IF(Metadata!H141="",FALSE,TRUE),OR(exact(Metadata!H141,"not applicable"),exact(Metadata!H141,"not collected"),exact(Metadata!H141,"not provided"),exact(Metadata!H141,"restricted access"))),AND(IF(Metadata!H141="",FALSE,ISNUMBER(VALUE(Metadata!H141))),Metadata!H141&gt;0))</f>
        <v>0</v>
      </c>
      <c r="AI141">
        <f>AND(IF(Metadata!I141="",FALSE,TRUE),exact(Metadata!I141,"human"))</f>
        <v>0</v>
      </c>
      <c r="AJ141">
        <f>AND(IF(Metadata!J141="",FALSE,ISNUMBER(VALUE(Metadata!J141))),Metadata!J141&gt;0)</f>
        <v>0</v>
      </c>
      <c r="AK141">
        <f>AND(IF(Metadata!K141="",FALSE,TRUE),exact(Metadata!K141,"cm"))</f>
        <v>0</v>
      </c>
      <c r="AL141">
        <f>AND(IF(Metadata!L141="",FALSE,TRUE),exact(Metadata!L141,"Homo sapiens"))</f>
        <v>0</v>
      </c>
      <c r="AM141">
        <f>AND(IF(Metadata!M141="",FALSE,TRUE),exact(Metadata!M141,"9606"))</f>
        <v>0</v>
      </c>
      <c r="AN141">
        <f>AND(IF(Metadata!N141="",FALSE,ISNUMBER(VALUE(Metadata!N141))),Metadata!N141&gt;0)</f>
        <v>0</v>
      </c>
      <c r="AO141">
        <f>AND(IF(Metadata!O141="",FALSE,TRUE),exact(Metadata!O141,"kg"))</f>
        <v>0</v>
      </c>
      <c r="AP141">
        <f>OR(AND(IF(Metadata!P141="",FALSE,TRUE),exact(Metadata!P141,"not provided")),IF(Metadata!P141="",FALSE,TRUE))</f>
        <v>0</v>
      </c>
      <c r="AQ141">
        <f>OR(AND(IF(Metadata!Q141="",FALSE,TRUE),exact(Metadata!Q141,"not provided")),IF(Metadata!Q141="",FALSE,TRUE))</f>
        <v>0</v>
      </c>
    </row>
    <row r="142" spans="1:43">
      <c r="A142" s="4">
        <f>IF(B142=" "," ",HYPERLINK(CONCATENATE("#metadata!",ADDRESS(INDEX($W$2:$W$1001,MATCH(ROWS($U$2:U142),$U$2:$U$1001,0),0),2)),INDEX($Z$2:$Z$1001,MATCH(ROWS($U$2:U142),$U$2:$U$1001,0),0)))</f>
        <v>0</v>
      </c>
      <c r="B142" s="5">
        <f>IF(OR(INDEX($V$2:$V$1001,MATCH(ROWS($U$2:U142),$U$2:$U$1001,0),1)&gt;=100000,INDEX($AB$1005:$AQ$1005,1,MATCH(COLUMNS($AB$1006:AB1006),$AB$1006:$AQ$1006,0))&gt;=100000), " ",IF(INDEX($AB$2:$AQ$1001,MATCH(ROWS($U$2:U142),$U$2:$U$1001,0),MATCH(COLUMNS($AB$1006:AB1006),$AB$1006:$AQ$1006,0)), HYPERLINK("#",""), HYPERLINK(CONCATENATE("#Metadata!", ADDRESS(INDEX($W$2:$W$1001,MATCH(ROWS($U$2:U142),$U$2:$U$1001,0),0), INDEX($AB$1004:$AQ$1004,1,MATCH(COLUMNS($AB$1006:AB1006),$AB$1006:$AQ$1006,0)))),"Fix")))</f>
        <v>0</v>
      </c>
      <c r="C142" s="5">
        <f>IF(OR(INDEX($V$2:$V$1001,MATCH(ROWS($U$2:U142),$U$2:$U$1001,0),1)&gt;=100000,INDEX($AB$1005:$AQ$1005,1,MATCH(COLUMNS($AB$1006:AC1006),$AB$1006:$AQ$1006,0))&gt;=100000), " ",IF(INDEX($AB$2:$AQ$1001,MATCH(ROWS($U$2:U142),$U$2:$U$1001,0),MATCH(COLUMNS($AB$1006:AC1006),$AB$1006:$AQ$1006,0)), HYPERLINK("#",""), HYPERLINK(CONCATENATE("#Metadata!", ADDRESS(INDEX($W$2:$W$1001,MATCH(ROWS($U$2:U142),$U$2:$U$1001,0),0), INDEX($AB$1004:$AQ$1004,1,MATCH(COLUMNS($AB$1006:AC1006),$AB$1006:$AQ$1006,0)))),"Fix")))</f>
        <v>0</v>
      </c>
      <c r="D142" s="5">
        <f>IF(OR(INDEX($V$2:$V$1001,MATCH(ROWS($U$2:U142),$U$2:$U$1001,0),1)&gt;=100000,INDEX($AB$1005:$AQ$1005,1,MATCH(COLUMNS($AB$1006:AD1006),$AB$1006:$AQ$1006,0))&gt;=100000), " ",IF(INDEX($AB$2:$AQ$1001,MATCH(ROWS($U$2:U142),$U$2:$U$1001,0),MATCH(COLUMNS($AB$1006:AD1006),$AB$1006:$AQ$1006,0)), HYPERLINK("#",""), HYPERLINK(CONCATENATE("#Metadata!", ADDRESS(INDEX($W$2:$W$1001,MATCH(ROWS($U$2:U142),$U$2:$U$1001,0),0), INDEX($AB$1004:$AQ$1004,1,MATCH(COLUMNS($AB$1006:AD1006),$AB$1006:$AQ$1006,0)))),"Fix")))</f>
        <v>0</v>
      </c>
      <c r="E142" s="5">
        <f>IF(OR(INDEX($V$2:$V$1001,MATCH(ROWS($U$2:U142),$U$2:$U$1001,0),1)&gt;=100000,INDEX($AB$1005:$AQ$1005,1,MATCH(COLUMNS($AB$1006:AE1006),$AB$1006:$AQ$1006,0))&gt;=100000), " ",IF(INDEX($AB$2:$AQ$1001,MATCH(ROWS($U$2:U142),$U$2:$U$1001,0),MATCH(COLUMNS($AB$1006:AE1006),$AB$1006:$AQ$1006,0)), HYPERLINK("#",""), HYPERLINK(CONCATENATE("#Metadata!", ADDRESS(INDEX($W$2:$W$1001,MATCH(ROWS($U$2:U142),$U$2:$U$1001,0),0), INDEX($AB$1004:$AQ$1004,1,MATCH(COLUMNS($AB$1006:AE1006),$AB$1006:$AQ$1006,0)))),"Fix")))</f>
        <v>0</v>
      </c>
      <c r="F142" s="5">
        <f>IF(OR(INDEX($V$2:$V$1001,MATCH(ROWS($U$2:U142),$U$2:$U$1001,0),1)&gt;=100000,INDEX($AB$1005:$AQ$1005,1,MATCH(COLUMNS($AB$1006:AF1006),$AB$1006:$AQ$1006,0))&gt;=100000), " ",IF(INDEX($AB$2:$AQ$1001,MATCH(ROWS($U$2:U142),$U$2:$U$1001,0),MATCH(COLUMNS($AB$1006:AF1006),$AB$1006:$AQ$1006,0)), HYPERLINK("#",""), HYPERLINK(CONCATENATE("#Metadata!", ADDRESS(INDEX($W$2:$W$1001,MATCH(ROWS($U$2:U142),$U$2:$U$1001,0),0), INDEX($AB$1004:$AQ$1004,1,MATCH(COLUMNS($AB$1006:AF1006),$AB$1006:$AQ$1006,0)))),"Fix")))</f>
        <v>0</v>
      </c>
      <c r="G142" s="5">
        <f>IF(OR(INDEX($V$2:$V$1001,MATCH(ROWS($U$2:U142),$U$2:$U$1001,0),1)&gt;=100000,INDEX($AB$1005:$AQ$1005,1,MATCH(COLUMNS($AB$1006:AG1006),$AB$1006:$AQ$1006,0))&gt;=100000), " ",IF(INDEX($AB$2:$AQ$1001,MATCH(ROWS($U$2:U142),$U$2:$U$1001,0),MATCH(COLUMNS($AB$1006:AG1006),$AB$1006:$AQ$1006,0)), HYPERLINK("#",""), HYPERLINK(CONCATENATE("#Metadata!", ADDRESS(INDEX($W$2:$W$1001,MATCH(ROWS($U$2:U142),$U$2:$U$1001,0),0), INDEX($AB$1004:$AQ$1004,1,MATCH(COLUMNS($AB$1006:AG1006),$AB$1006:$AQ$1006,0)))),"Fix")))</f>
        <v>0</v>
      </c>
      <c r="H142" s="5">
        <f>IF(OR(INDEX($V$2:$V$1001,MATCH(ROWS($U$2:U142),$U$2:$U$1001,0),1)&gt;=100000,INDEX($AB$1005:$AQ$1005,1,MATCH(COLUMNS($AB$1006:AH1006),$AB$1006:$AQ$1006,0))&gt;=100000), " ",IF(INDEX($AB$2:$AQ$1001,MATCH(ROWS($U$2:U142),$U$2:$U$1001,0),MATCH(COLUMNS($AB$1006:AH1006),$AB$1006:$AQ$1006,0)), HYPERLINK("#",""), HYPERLINK(CONCATENATE("#Metadata!", ADDRESS(INDEX($W$2:$W$1001,MATCH(ROWS($U$2:U142),$U$2:$U$1001,0),0), INDEX($AB$1004:$AQ$1004,1,MATCH(COLUMNS($AB$1006:AH1006),$AB$1006:$AQ$1006,0)))),"Fix")))</f>
        <v>0</v>
      </c>
      <c r="I142" s="5">
        <f>IF(OR(INDEX($V$2:$V$1001,MATCH(ROWS($U$2:U142),$U$2:$U$1001,0),1)&gt;=100000,INDEX($AB$1005:$AQ$1005,1,MATCH(COLUMNS($AB$1006:AI1006),$AB$1006:$AQ$1006,0))&gt;=100000), " ",IF(INDEX($AB$2:$AQ$1001,MATCH(ROWS($U$2:U142),$U$2:$U$1001,0),MATCH(COLUMNS($AB$1006:AI1006),$AB$1006:$AQ$1006,0)), HYPERLINK("#",""), HYPERLINK(CONCATENATE("#Metadata!", ADDRESS(INDEX($W$2:$W$1001,MATCH(ROWS($U$2:U142),$U$2:$U$1001,0),0), INDEX($AB$1004:$AQ$1004,1,MATCH(COLUMNS($AB$1006:AI1006),$AB$1006:$AQ$1006,0)))),"Fix")))</f>
        <v>0</v>
      </c>
      <c r="J142" s="5">
        <f>IF(OR(INDEX($V$2:$V$1001,MATCH(ROWS($U$2:U142),$U$2:$U$1001,0),1)&gt;=100000,INDEX($AB$1005:$AQ$1005,1,MATCH(COLUMNS($AB$1006:AJ1006),$AB$1006:$AQ$1006,0))&gt;=100000), " ",IF(INDEX($AB$2:$AQ$1001,MATCH(ROWS($U$2:U142),$U$2:$U$1001,0),MATCH(COLUMNS($AB$1006:AJ1006),$AB$1006:$AQ$1006,0)), HYPERLINK("#",""), HYPERLINK(CONCATENATE("#Metadata!", ADDRESS(INDEX($W$2:$W$1001,MATCH(ROWS($U$2:U142),$U$2:$U$1001,0),0), INDEX($AB$1004:$AQ$1004,1,MATCH(COLUMNS($AB$1006:AJ1006),$AB$1006:$AQ$1006,0)))),"Fix")))</f>
        <v>0</v>
      </c>
      <c r="K142" s="5">
        <f>IF(OR(INDEX($V$2:$V$1001,MATCH(ROWS($U$2:U142),$U$2:$U$1001,0),1)&gt;=100000,INDEX($AB$1005:$AQ$1005,1,MATCH(COLUMNS($AB$1006:AK1006),$AB$1006:$AQ$1006,0))&gt;=100000), " ",IF(INDEX($AB$2:$AQ$1001,MATCH(ROWS($U$2:U142),$U$2:$U$1001,0),MATCH(COLUMNS($AB$1006:AK1006),$AB$1006:$AQ$1006,0)), HYPERLINK("#",""), HYPERLINK(CONCATENATE("#Metadata!", ADDRESS(INDEX($W$2:$W$1001,MATCH(ROWS($U$2:U142),$U$2:$U$1001,0),0), INDEX($AB$1004:$AQ$1004,1,MATCH(COLUMNS($AB$1006:AK1006),$AB$1006:$AQ$1006,0)))),"Fix")))</f>
        <v>0</v>
      </c>
      <c r="L142" s="5">
        <f>IF(OR(INDEX($V$2:$V$1001,MATCH(ROWS($U$2:U142),$U$2:$U$1001,0),1)&gt;=100000,INDEX($AB$1005:$AQ$1005,1,MATCH(COLUMNS($AB$1006:AL1006),$AB$1006:$AQ$1006,0))&gt;=100000), " ",IF(INDEX($AB$2:$AQ$1001,MATCH(ROWS($U$2:U142),$U$2:$U$1001,0),MATCH(COLUMNS($AB$1006:AL1006),$AB$1006:$AQ$1006,0)), HYPERLINK("#",""), HYPERLINK(CONCATENATE("#Metadata!", ADDRESS(INDEX($W$2:$W$1001,MATCH(ROWS($U$2:U142),$U$2:$U$1001,0),0), INDEX($AB$1004:$AQ$1004,1,MATCH(COLUMNS($AB$1006:AL1006),$AB$1006:$AQ$1006,0)))),"Fix")))</f>
        <v>0</v>
      </c>
      <c r="M142" s="5">
        <f>IF(OR(INDEX($V$2:$V$1001,MATCH(ROWS($U$2:U142),$U$2:$U$1001,0),1)&gt;=100000,INDEX($AB$1005:$AQ$1005,1,MATCH(COLUMNS($AB$1006:AM1006),$AB$1006:$AQ$1006,0))&gt;=100000), " ",IF(INDEX($AB$2:$AQ$1001,MATCH(ROWS($U$2:U142),$U$2:$U$1001,0),MATCH(COLUMNS($AB$1006:AM1006),$AB$1006:$AQ$1006,0)), HYPERLINK("#",""), HYPERLINK(CONCATENATE("#Metadata!", ADDRESS(INDEX($W$2:$W$1001,MATCH(ROWS($U$2:U142),$U$2:$U$1001,0),0), INDEX($AB$1004:$AQ$1004,1,MATCH(COLUMNS($AB$1006:AM1006),$AB$1006:$AQ$1006,0)))),"Fix")))</f>
        <v>0</v>
      </c>
      <c r="N142" s="5">
        <f>IF(OR(INDEX($V$2:$V$1001,MATCH(ROWS($U$2:U142),$U$2:$U$1001,0),1)&gt;=100000,INDEX($AB$1005:$AQ$1005,1,MATCH(COLUMNS($AB$1006:AN1006),$AB$1006:$AQ$1006,0))&gt;=100000), " ",IF(INDEX($AB$2:$AQ$1001,MATCH(ROWS($U$2:U142),$U$2:$U$1001,0),MATCH(COLUMNS($AB$1006:AN1006),$AB$1006:$AQ$1006,0)), HYPERLINK("#",""), HYPERLINK(CONCATENATE("#Metadata!", ADDRESS(INDEX($W$2:$W$1001,MATCH(ROWS($U$2:U142),$U$2:$U$1001,0),0), INDEX($AB$1004:$AQ$1004,1,MATCH(COLUMNS($AB$1006:AN1006),$AB$1006:$AQ$1006,0)))),"Fix")))</f>
        <v>0</v>
      </c>
      <c r="O142" s="5">
        <f>IF(OR(INDEX($V$2:$V$1001,MATCH(ROWS($U$2:U142),$U$2:$U$1001,0),1)&gt;=100000,INDEX($AB$1005:$AQ$1005,1,MATCH(COLUMNS($AB$1006:AO1006),$AB$1006:$AQ$1006,0))&gt;=100000), " ",IF(INDEX($AB$2:$AQ$1001,MATCH(ROWS($U$2:U142),$U$2:$U$1001,0),MATCH(COLUMNS($AB$1006:AO1006),$AB$1006:$AQ$1006,0)), HYPERLINK("#",""), HYPERLINK(CONCATENATE("#Metadata!", ADDRESS(INDEX($W$2:$W$1001,MATCH(ROWS($U$2:U142),$U$2:$U$1001,0),0), INDEX($AB$1004:$AQ$1004,1,MATCH(COLUMNS($AB$1006:AO1006),$AB$1006:$AQ$1006,0)))),"Fix")))</f>
        <v>0</v>
      </c>
      <c r="P142" s="5">
        <f>IF(OR(INDEX($V$2:$V$1001,MATCH(ROWS($U$2:U142),$U$2:$U$1001,0),1)&gt;=100000,INDEX($AB$1005:$AQ$1005,1,MATCH(COLUMNS($AB$1006:AP1006),$AB$1006:$AQ$1006,0))&gt;=100000), " ",IF(INDEX($AB$2:$AQ$1001,MATCH(ROWS($U$2:U142),$U$2:$U$1001,0),MATCH(COLUMNS($AB$1006:AP1006),$AB$1006:$AQ$1006,0)), HYPERLINK("#",""), HYPERLINK(CONCATENATE("#Metadata!", ADDRESS(INDEX($W$2:$W$1001,MATCH(ROWS($U$2:U142),$U$2:$U$1001,0),0), INDEX($AB$1004:$AQ$1004,1,MATCH(COLUMNS($AB$1006:AP1006),$AB$1006:$AQ$1006,0)))),"Fix")))</f>
        <v>0</v>
      </c>
      <c r="Q142" s="5">
        <f>IF(OR(INDEX($V$2:$V$1001,MATCH(ROWS($U$2:U142),$U$2:$U$1001,0),1)&gt;=100000,INDEX($AB$1005:$AQ$1005,1,MATCH(COLUMNS($AB$1006:AQ1006),$AB$1006:$AQ$1006,0))&gt;=100000), " ",IF(INDEX($AB$2:$AQ$1001,MATCH(ROWS($U$2:U142),$U$2:$U$1001,0),MATCH(COLUMNS($AB$1006:AQ1006),$AB$1006:$AQ$1006,0)), HYPERLINK("#",""), HYPERLINK(CONCATENATE("#Metadata!", ADDRESS(INDEX($W$2:$W$1001,MATCH(ROWS($U$2:U142),$U$2:$U$1001,0),0), INDEX($AB$1004:$AQ$1004,1,MATCH(COLUMNS($AB$1006:AQ1006),$AB$1006:$AQ$1006,0)))),"Fix")))</f>
        <v>0</v>
      </c>
      <c r="U142">
        <v>0</v>
      </c>
      <c r="V142">
        <v>0</v>
      </c>
      <c r="W142">
        <v>0</v>
      </c>
      <c r="X142">
        <f>IF(Y142,TRUE,AND(AB142:AQ142))</f>
        <v>0</v>
      </c>
      <c r="Y142">
        <f>COUNTBLANK(Metadata!B142:Q142)=COLUMNS(Metadata!B142:Q142)</f>
        <v>0</v>
      </c>
      <c r="Z142">
        <v>0</v>
      </c>
      <c r="AB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AC142">
        <f>AND(IF(Metadata!C142="",FALSE,TRUE),exact(Metadata!C142,"urban biome"))</f>
        <v>0</v>
      </c>
      <c r="AD142">
        <f>AND(IF(Metadata!D142="",FALSE,TRUE),exact(Metadata!D142,"human-associated habitat"))</f>
        <v>0</v>
      </c>
      <c r="AE142">
        <f>AND(IF(Metadata!E142="",FALSE,TRUE),OR(exact(Metadata!E142,"human-associated"),exact(Metadata!E142,"human-skin"),exact(Metadata!E142,"human-oral"),exact(Metadata!E142,"human-gut"),exact(Metadata!E142,"human-vaginal")))</f>
        <v>0</v>
      </c>
      <c r="AF142">
        <f>AND(IF(Metadata!F142="",FALSE,ISNUMBER(VALUE(Metadata!F142))),Metadata!F142&gt;0)</f>
        <v>0</v>
      </c>
      <c r="AG142">
        <f>AND(IF(Metadata!G142="",FALSE,TRUE),exact(Metadata!G142,"years"))</f>
        <v>0</v>
      </c>
      <c r="AH142">
        <f>OR(AND(IF(Metadata!H142="",FALSE,TRUE),OR(exact(Metadata!H142,"not applicable"),exact(Metadata!H142,"not collected"),exact(Metadata!H142,"not provided"),exact(Metadata!H142,"restricted access"))),AND(IF(Metadata!H142="",FALSE,ISNUMBER(VALUE(Metadata!H142))),Metadata!H142&gt;0))</f>
        <v>0</v>
      </c>
      <c r="AI142">
        <f>AND(IF(Metadata!I142="",FALSE,TRUE),exact(Metadata!I142,"human"))</f>
        <v>0</v>
      </c>
      <c r="AJ142">
        <f>AND(IF(Metadata!J142="",FALSE,ISNUMBER(VALUE(Metadata!J142))),Metadata!J142&gt;0)</f>
        <v>0</v>
      </c>
      <c r="AK142">
        <f>AND(IF(Metadata!K142="",FALSE,TRUE),exact(Metadata!K142,"cm"))</f>
        <v>0</v>
      </c>
      <c r="AL142">
        <f>AND(IF(Metadata!L142="",FALSE,TRUE),exact(Metadata!L142,"Homo sapiens"))</f>
        <v>0</v>
      </c>
      <c r="AM142">
        <f>AND(IF(Metadata!M142="",FALSE,TRUE),exact(Metadata!M142,"9606"))</f>
        <v>0</v>
      </c>
      <c r="AN142">
        <f>AND(IF(Metadata!N142="",FALSE,ISNUMBER(VALUE(Metadata!N142))),Metadata!N142&gt;0)</f>
        <v>0</v>
      </c>
      <c r="AO142">
        <f>AND(IF(Metadata!O142="",FALSE,TRUE),exact(Metadata!O142,"kg"))</f>
        <v>0</v>
      </c>
      <c r="AP142">
        <f>OR(AND(IF(Metadata!P142="",FALSE,TRUE),exact(Metadata!P142,"not provided")),IF(Metadata!P142="",FALSE,TRUE))</f>
        <v>0</v>
      </c>
      <c r="AQ142">
        <f>OR(AND(IF(Metadata!Q142="",FALSE,TRUE),exact(Metadata!Q142,"not provided")),IF(Metadata!Q142="",FALSE,TRUE))</f>
        <v>0</v>
      </c>
    </row>
    <row r="143" spans="1:43">
      <c r="A143" s="4">
        <f>IF(B143=" "," ",HYPERLINK(CONCATENATE("#metadata!",ADDRESS(INDEX($W$2:$W$1001,MATCH(ROWS($U$2:U143),$U$2:$U$1001,0),0),2)),INDEX($Z$2:$Z$1001,MATCH(ROWS($U$2:U143),$U$2:$U$1001,0),0)))</f>
        <v>0</v>
      </c>
      <c r="B143" s="5">
        <f>IF(OR(INDEX($V$2:$V$1001,MATCH(ROWS($U$2:U143),$U$2:$U$1001,0),1)&gt;=100000,INDEX($AB$1005:$AQ$1005,1,MATCH(COLUMNS($AB$1006:AB1006),$AB$1006:$AQ$1006,0))&gt;=100000), " ",IF(INDEX($AB$2:$AQ$1001,MATCH(ROWS($U$2:U143),$U$2:$U$1001,0),MATCH(COLUMNS($AB$1006:AB1006),$AB$1006:$AQ$1006,0)), HYPERLINK("#",""), HYPERLINK(CONCATENATE("#Metadata!", ADDRESS(INDEX($W$2:$W$1001,MATCH(ROWS($U$2:U143),$U$2:$U$1001,0),0), INDEX($AB$1004:$AQ$1004,1,MATCH(COLUMNS($AB$1006:AB1006),$AB$1006:$AQ$1006,0)))),"Fix")))</f>
        <v>0</v>
      </c>
      <c r="C143" s="5">
        <f>IF(OR(INDEX($V$2:$V$1001,MATCH(ROWS($U$2:U143),$U$2:$U$1001,0),1)&gt;=100000,INDEX($AB$1005:$AQ$1005,1,MATCH(COLUMNS($AB$1006:AC1006),$AB$1006:$AQ$1006,0))&gt;=100000), " ",IF(INDEX($AB$2:$AQ$1001,MATCH(ROWS($U$2:U143),$U$2:$U$1001,0),MATCH(COLUMNS($AB$1006:AC1006),$AB$1006:$AQ$1006,0)), HYPERLINK("#",""), HYPERLINK(CONCATENATE("#Metadata!", ADDRESS(INDEX($W$2:$W$1001,MATCH(ROWS($U$2:U143),$U$2:$U$1001,0),0), INDEX($AB$1004:$AQ$1004,1,MATCH(COLUMNS($AB$1006:AC1006),$AB$1006:$AQ$1006,0)))),"Fix")))</f>
        <v>0</v>
      </c>
      <c r="D143" s="5">
        <f>IF(OR(INDEX($V$2:$V$1001,MATCH(ROWS($U$2:U143),$U$2:$U$1001,0),1)&gt;=100000,INDEX($AB$1005:$AQ$1005,1,MATCH(COLUMNS($AB$1006:AD1006),$AB$1006:$AQ$1006,0))&gt;=100000), " ",IF(INDEX($AB$2:$AQ$1001,MATCH(ROWS($U$2:U143),$U$2:$U$1001,0),MATCH(COLUMNS($AB$1006:AD1006),$AB$1006:$AQ$1006,0)), HYPERLINK("#",""), HYPERLINK(CONCATENATE("#Metadata!", ADDRESS(INDEX($W$2:$W$1001,MATCH(ROWS($U$2:U143),$U$2:$U$1001,0),0), INDEX($AB$1004:$AQ$1004,1,MATCH(COLUMNS($AB$1006:AD1006),$AB$1006:$AQ$1006,0)))),"Fix")))</f>
        <v>0</v>
      </c>
      <c r="E143" s="5">
        <f>IF(OR(INDEX($V$2:$V$1001,MATCH(ROWS($U$2:U143),$U$2:$U$1001,0),1)&gt;=100000,INDEX($AB$1005:$AQ$1005,1,MATCH(COLUMNS($AB$1006:AE1006),$AB$1006:$AQ$1006,0))&gt;=100000), " ",IF(INDEX($AB$2:$AQ$1001,MATCH(ROWS($U$2:U143),$U$2:$U$1001,0),MATCH(COLUMNS($AB$1006:AE1006),$AB$1006:$AQ$1006,0)), HYPERLINK("#",""), HYPERLINK(CONCATENATE("#Metadata!", ADDRESS(INDEX($W$2:$W$1001,MATCH(ROWS($U$2:U143),$U$2:$U$1001,0),0), INDEX($AB$1004:$AQ$1004,1,MATCH(COLUMNS($AB$1006:AE1006),$AB$1006:$AQ$1006,0)))),"Fix")))</f>
        <v>0</v>
      </c>
      <c r="F143" s="5">
        <f>IF(OR(INDEX($V$2:$V$1001,MATCH(ROWS($U$2:U143),$U$2:$U$1001,0),1)&gt;=100000,INDEX($AB$1005:$AQ$1005,1,MATCH(COLUMNS($AB$1006:AF1006),$AB$1006:$AQ$1006,0))&gt;=100000), " ",IF(INDEX($AB$2:$AQ$1001,MATCH(ROWS($U$2:U143),$U$2:$U$1001,0),MATCH(COLUMNS($AB$1006:AF1006),$AB$1006:$AQ$1006,0)), HYPERLINK("#",""), HYPERLINK(CONCATENATE("#Metadata!", ADDRESS(INDEX($W$2:$W$1001,MATCH(ROWS($U$2:U143),$U$2:$U$1001,0),0), INDEX($AB$1004:$AQ$1004,1,MATCH(COLUMNS($AB$1006:AF1006),$AB$1006:$AQ$1006,0)))),"Fix")))</f>
        <v>0</v>
      </c>
      <c r="G143" s="5">
        <f>IF(OR(INDEX($V$2:$V$1001,MATCH(ROWS($U$2:U143),$U$2:$U$1001,0),1)&gt;=100000,INDEX($AB$1005:$AQ$1005,1,MATCH(COLUMNS($AB$1006:AG1006),$AB$1006:$AQ$1006,0))&gt;=100000), " ",IF(INDEX($AB$2:$AQ$1001,MATCH(ROWS($U$2:U143),$U$2:$U$1001,0),MATCH(COLUMNS($AB$1006:AG1006),$AB$1006:$AQ$1006,0)), HYPERLINK("#",""), HYPERLINK(CONCATENATE("#Metadata!", ADDRESS(INDEX($W$2:$W$1001,MATCH(ROWS($U$2:U143),$U$2:$U$1001,0),0), INDEX($AB$1004:$AQ$1004,1,MATCH(COLUMNS($AB$1006:AG1006),$AB$1006:$AQ$1006,0)))),"Fix")))</f>
        <v>0</v>
      </c>
      <c r="H143" s="5">
        <f>IF(OR(INDEX($V$2:$V$1001,MATCH(ROWS($U$2:U143),$U$2:$U$1001,0),1)&gt;=100000,INDEX($AB$1005:$AQ$1005,1,MATCH(COLUMNS($AB$1006:AH1006),$AB$1006:$AQ$1006,0))&gt;=100000), " ",IF(INDEX($AB$2:$AQ$1001,MATCH(ROWS($U$2:U143),$U$2:$U$1001,0),MATCH(COLUMNS($AB$1006:AH1006),$AB$1006:$AQ$1006,0)), HYPERLINK("#",""), HYPERLINK(CONCATENATE("#Metadata!", ADDRESS(INDEX($W$2:$W$1001,MATCH(ROWS($U$2:U143),$U$2:$U$1001,0),0), INDEX($AB$1004:$AQ$1004,1,MATCH(COLUMNS($AB$1006:AH1006),$AB$1006:$AQ$1006,0)))),"Fix")))</f>
        <v>0</v>
      </c>
      <c r="I143" s="5">
        <f>IF(OR(INDEX($V$2:$V$1001,MATCH(ROWS($U$2:U143),$U$2:$U$1001,0),1)&gt;=100000,INDEX($AB$1005:$AQ$1005,1,MATCH(COLUMNS($AB$1006:AI1006),$AB$1006:$AQ$1006,0))&gt;=100000), " ",IF(INDEX($AB$2:$AQ$1001,MATCH(ROWS($U$2:U143),$U$2:$U$1001,0),MATCH(COLUMNS($AB$1006:AI1006),$AB$1006:$AQ$1006,0)), HYPERLINK("#",""), HYPERLINK(CONCATENATE("#Metadata!", ADDRESS(INDEX($W$2:$W$1001,MATCH(ROWS($U$2:U143),$U$2:$U$1001,0),0), INDEX($AB$1004:$AQ$1004,1,MATCH(COLUMNS($AB$1006:AI1006),$AB$1006:$AQ$1006,0)))),"Fix")))</f>
        <v>0</v>
      </c>
      <c r="J143" s="5">
        <f>IF(OR(INDEX($V$2:$V$1001,MATCH(ROWS($U$2:U143),$U$2:$U$1001,0),1)&gt;=100000,INDEX($AB$1005:$AQ$1005,1,MATCH(COLUMNS($AB$1006:AJ1006),$AB$1006:$AQ$1006,0))&gt;=100000), " ",IF(INDEX($AB$2:$AQ$1001,MATCH(ROWS($U$2:U143),$U$2:$U$1001,0),MATCH(COLUMNS($AB$1006:AJ1006),$AB$1006:$AQ$1006,0)), HYPERLINK("#",""), HYPERLINK(CONCATENATE("#Metadata!", ADDRESS(INDEX($W$2:$W$1001,MATCH(ROWS($U$2:U143),$U$2:$U$1001,0),0), INDEX($AB$1004:$AQ$1004,1,MATCH(COLUMNS($AB$1006:AJ1006),$AB$1006:$AQ$1006,0)))),"Fix")))</f>
        <v>0</v>
      </c>
      <c r="K143" s="5">
        <f>IF(OR(INDEX($V$2:$V$1001,MATCH(ROWS($U$2:U143),$U$2:$U$1001,0),1)&gt;=100000,INDEX($AB$1005:$AQ$1005,1,MATCH(COLUMNS($AB$1006:AK1006),$AB$1006:$AQ$1006,0))&gt;=100000), " ",IF(INDEX($AB$2:$AQ$1001,MATCH(ROWS($U$2:U143),$U$2:$U$1001,0),MATCH(COLUMNS($AB$1006:AK1006),$AB$1006:$AQ$1006,0)), HYPERLINK("#",""), HYPERLINK(CONCATENATE("#Metadata!", ADDRESS(INDEX($W$2:$W$1001,MATCH(ROWS($U$2:U143),$U$2:$U$1001,0),0), INDEX($AB$1004:$AQ$1004,1,MATCH(COLUMNS($AB$1006:AK1006),$AB$1006:$AQ$1006,0)))),"Fix")))</f>
        <v>0</v>
      </c>
      <c r="L143" s="5">
        <f>IF(OR(INDEX($V$2:$V$1001,MATCH(ROWS($U$2:U143),$U$2:$U$1001,0),1)&gt;=100000,INDEX($AB$1005:$AQ$1005,1,MATCH(COLUMNS($AB$1006:AL1006),$AB$1006:$AQ$1006,0))&gt;=100000), " ",IF(INDEX($AB$2:$AQ$1001,MATCH(ROWS($U$2:U143),$U$2:$U$1001,0),MATCH(COLUMNS($AB$1006:AL1006),$AB$1006:$AQ$1006,0)), HYPERLINK("#",""), HYPERLINK(CONCATENATE("#Metadata!", ADDRESS(INDEX($W$2:$W$1001,MATCH(ROWS($U$2:U143),$U$2:$U$1001,0),0), INDEX($AB$1004:$AQ$1004,1,MATCH(COLUMNS($AB$1006:AL1006),$AB$1006:$AQ$1006,0)))),"Fix")))</f>
        <v>0</v>
      </c>
      <c r="M143" s="5">
        <f>IF(OR(INDEX($V$2:$V$1001,MATCH(ROWS($U$2:U143),$U$2:$U$1001,0),1)&gt;=100000,INDEX($AB$1005:$AQ$1005,1,MATCH(COLUMNS($AB$1006:AM1006),$AB$1006:$AQ$1006,0))&gt;=100000), " ",IF(INDEX($AB$2:$AQ$1001,MATCH(ROWS($U$2:U143),$U$2:$U$1001,0),MATCH(COLUMNS($AB$1006:AM1006),$AB$1006:$AQ$1006,0)), HYPERLINK("#",""), HYPERLINK(CONCATENATE("#Metadata!", ADDRESS(INDEX($W$2:$W$1001,MATCH(ROWS($U$2:U143),$U$2:$U$1001,0),0), INDEX($AB$1004:$AQ$1004,1,MATCH(COLUMNS($AB$1006:AM1006),$AB$1006:$AQ$1006,0)))),"Fix")))</f>
        <v>0</v>
      </c>
      <c r="N143" s="5">
        <f>IF(OR(INDEX($V$2:$V$1001,MATCH(ROWS($U$2:U143),$U$2:$U$1001,0),1)&gt;=100000,INDEX($AB$1005:$AQ$1005,1,MATCH(COLUMNS($AB$1006:AN1006),$AB$1006:$AQ$1006,0))&gt;=100000), " ",IF(INDEX($AB$2:$AQ$1001,MATCH(ROWS($U$2:U143),$U$2:$U$1001,0),MATCH(COLUMNS($AB$1006:AN1006),$AB$1006:$AQ$1006,0)), HYPERLINK("#",""), HYPERLINK(CONCATENATE("#Metadata!", ADDRESS(INDEX($W$2:$W$1001,MATCH(ROWS($U$2:U143),$U$2:$U$1001,0),0), INDEX($AB$1004:$AQ$1004,1,MATCH(COLUMNS($AB$1006:AN1006),$AB$1006:$AQ$1006,0)))),"Fix")))</f>
        <v>0</v>
      </c>
      <c r="O143" s="5">
        <f>IF(OR(INDEX($V$2:$V$1001,MATCH(ROWS($U$2:U143),$U$2:$U$1001,0),1)&gt;=100000,INDEX($AB$1005:$AQ$1005,1,MATCH(COLUMNS($AB$1006:AO1006),$AB$1006:$AQ$1006,0))&gt;=100000), " ",IF(INDEX($AB$2:$AQ$1001,MATCH(ROWS($U$2:U143),$U$2:$U$1001,0),MATCH(COLUMNS($AB$1006:AO1006),$AB$1006:$AQ$1006,0)), HYPERLINK("#",""), HYPERLINK(CONCATENATE("#Metadata!", ADDRESS(INDEX($W$2:$W$1001,MATCH(ROWS($U$2:U143),$U$2:$U$1001,0),0), INDEX($AB$1004:$AQ$1004,1,MATCH(COLUMNS($AB$1006:AO1006),$AB$1006:$AQ$1006,0)))),"Fix")))</f>
        <v>0</v>
      </c>
      <c r="P143" s="5">
        <f>IF(OR(INDEX($V$2:$V$1001,MATCH(ROWS($U$2:U143),$U$2:$U$1001,0),1)&gt;=100000,INDEX($AB$1005:$AQ$1005,1,MATCH(COLUMNS($AB$1006:AP1006),$AB$1006:$AQ$1006,0))&gt;=100000), " ",IF(INDEX($AB$2:$AQ$1001,MATCH(ROWS($U$2:U143),$U$2:$U$1001,0),MATCH(COLUMNS($AB$1006:AP1006),$AB$1006:$AQ$1006,0)), HYPERLINK("#",""), HYPERLINK(CONCATENATE("#Metadata!", ADDRESS(INDEX($W$2:$W$1001,MATCH(ROWS($U$2:U143),$U$2:$U$1001,0),0), INDEX($AB$1004:$AQ$1004,1,MATCH(COLUMNS($AB$1006:AP1006),$AB$1006:$AQ$1006,0)))),"Fix")))</f>
        <v>0</v>
      </c>
      <c r="Q143" s="5">
        <f>IF(OR(INDEX($V$2:$V$1001,MATCH(ROWS($U$2:U143),$U$2:$U$1001,0),1)&gt;=100000,INDEX($AB$1005:$AQ$1005,1,MATCH(COLUMNS($AB$1006:AQ1006),$AB$1006:$AQ$1006,0))&gt;=100000), " ",IF(INDEX($AB$2:$AQ$1001,MATCH(ROWS($U$2:U143),$U$2:$U$1001,0),MATCH(COLUMNS($AB$1006:AQ1006),$AB$1006:$AQ$1006,0)), HYPERLINK("#",""), HYPERLINK(CONCATENATE("#Metadata!", ADDRESS(INDEX($W$2:$W$1001,MATCH(ROWS($U$2:U143),$U$2:$U$1001,0),0), INDEX($AB$1004:$AQ$1004,1,MATCH(COLUMNS($AB$1006:AQ1006),$AB$1006:$AQ$1006,0)))),"Fix")))</f>
        <v>0</v>
      </c>
      <c r="U143">
        <v>0</v>
      </c>
      <c r="V143">
        <v>0</v>
      </c>
      <c r="W143">
        <v>0</v>
      </c>
      <c r="X143">
        <f>IF(Y143,TRUE,AND(AB143:AQ143))</f>
        <v>0</v>
      </c>
      <c r="Y143">
        <f>COUNTBLANK(Metadata!B143:Q143)=COLUMNS(Metadata!B143:Q143)</f>
        <v>0</v>
      </c>
      <c r="Z143">
        <v>0</v>
      </c>
      <c r="AB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AC143">
        <f>AND(IF(Metadata!C143="",FALSE,TRUE),exact(Metadata!C143,"urban biome"))</f>
        <v>0</v>
      </c>
      <c r="AD143">
        <f>AND(IF(Metadata!D143="",FALSE,TRUE),exact(Metadata!D143,"human-associated habitat"))</f>
        <v>0</v>
      </c>
      <c r="AE143">
        <f>AND(IF(Metadata!E143="",FALSE,TRUE),OR(exact(Metadata!E143,"human-associated"),exact(Metadata!E143,"human-skin"),exact(Metadata!E143,"human-oral"),exact(Metadata!E143,"human-gut"),exact(Metadata!E143,"human-vaginal")))</f>
        <v>0</v>
      </c>
      <c r="AF143">
        <f>AND(IF(Metadata!F143="",FALSE,ISNUMBER(VALUE(Metadata!F143))),Metadata!F143&gt;0)</f>
        <v>0</v>
      </c>
      <c r="AG143">
        <f>AND(IF(Metadata!G143="",FALSE,TRUE),exact(Metadata!G143,"years"))</f>
        <v>0</v>
      </c>
      <c r="AH143">
        <f>OR(AND(IF(Metadata!H143="",FALSE,TRUE),OR(exact(Metadata!H143,"not applicable"),exact(Metadata!H143,"not collected"),exact(Metadata!H143,"not provided"),exact(Metadata!H143,"restricted access"))),AND(IF(Metadata!H143="",FALSE,ISNUMBER(VALUE(Metadata!H143))),Metadata!H143&gt;0))</f>
        <v>0</v>
      </c>
      <c r="AI143">
        <f>AND(IF(Metadata!I143="",FALSE,TRUE),exact(Metadata!I143,"human"))</f>
        <v>0</v>
      </c>
      <c r="AJ143">
        <f>AND(IF(Metadata!J143="",FALSE,ISNUMBER(VALUE(Metadata!J143))),Metadata!J143&gt;0)</f>
        <v>0</v>
      </c>
      <c r="AK143">
        <f>AND(IF(Metadata!K143="",FALSE,TRUE),exact(Metadata!K143,"cm"))</f>
        <v>0</v>
      </c>
      <c r="AL143">
        <f>AND(IF(Metadata!L143="",FALSE,TRUE),exact(Metadata!L143,"Homo sapiens"))</f>
        <v>0</v>
      </c>
      <c r="AM143">
        <f>AND(IF(Metadata!M143="",FALSE,TRUE),exact(Metadata!M143,"9606"))</f>
        <v>0</v>
      </c>
      <c r="AN143">
        <f>AND(IF(Metadata!N143="",FALSE,ISNUMBER(VALUE(Metadata!N143))),Metadata!N143&gt;0)</f>
        <v>0</v>
      </c>
      <c r="AO143">
        <f>AND(IF(Metadata!O143="",FALSE,TRUE),exact(Metadata!O143,"kg"))</f>
        <v>0</v>
      </c>
      <c r="AP143">
        <f>OR(AND(IF(Metadata!P143="",FALSE,TRUE),exact(Metadata!P143,"not provided")),IF(Metadata!P143="",FALSE,TRUE))</f>
        <v>0</v>
      </c>
      <c r="AQ143">
        <f>OR(AND(IF(Metadata!Q143="",FALSE,TRUE),exact(Metadata!Q143,"not provided")),IF(Metadata!Q143="",FALSE,TRUE))</f>
        <v>0</v>
      </c>
    </row>
    <row r="144" spans="1:43">
      <c r="A144" s="4">
        <f>IF(B144=" "," ",HYPERLINK(CONCATENATE("#metadata!",ADDRESS(INDEX($W$2:$W$1001,MATCH(ROWS($U$2:U144),$U$2:$U$1001,0),0),2)),INDEX($Z$2:$Z$1001,MATCH(ROWS($U$2:U144),$U$2:$U$1001,0),0)))</f>
        <v>0</v>
      </c>
      <c r="B144" s="5">
        <f>IF(OR(INDEX($V$2:$V$1001,MATCH(ROWS($U$2:U144),$U$2:$U$1001,0),1)&gt;=100000,INDEX($AB$1005:$AQ$1005,1,MATCH(COLUMNS($AB$1006:AB1006),$AB$1006:$AQ$1006,0))&gt;=100000), " ",IF(INDEX($AB$2:$AQ$1001,MATCH(ROWS($U$2:U144),$U$2:$U$1001,0),MATCH(COLUMNS($AB$1006:AB1006),$AB$1006:$AQ$1006,0)), HYPERLINK("#",""), HYPERLINK(CONCATENATE("#Metadata!", ADDRESS(INDEX($W$2:$W$1001,MATCH(ROWS($U$2:U144),$U$2:$U$1001,0),0), INDEX($AB$1004:$AQ$1004,1,MATCH(COLUMNS($AB$1006:AB1006),$AB$1006:$AQ$1006,0)))),"Fix")))</f>
        <v>0</v>
      </c>
      <c r="C144" s="5">
        <f>IF(OR(INDEX($V$2:$V$1001,MATCH(ROWS($U$2:U144),$U$2:$U$1001,0),1)&gt;=100000,INDEX($AB$1005:$AQ$1005,1,MATCH(COLUMNS($AB$1006:AC1006),$AB$1006:$AQ$1006,0))&gt;=100000), " ",IF(INDEX($AB$2:$AQ$1001,MATCH(ROWS($U$2:U144),$U$2:$U$1001,0),MATCH(COLUMNS($AB$1006:AC1006),$AB$1006:$AQ$1006,0)), HYPERLINK("#",""), HYPERLINK(CONCATENATE("#Metadata!", ADDRESS(INDEX($W$2:$W$1001,MATCH(ROWS($U$2:U144),$U$2:$U$1001,0),0), INDEX($AB$1004:$AQ$1004,1,MATCH(COLUMNS($AB$1006:AC1006),$AB$1006:$AQ$1006,0)))),"Fix")))</f>
        <v>0</v>
      </c>
      <c r="D144" s="5">
        <f>IF(OR(INDEX($V$2:$V$1001,MATCH(ROWS($U$2:U144),$U$2:$U$1001,0),1)&gt;=100000,INDEX($AB$1005:$AQ$1005,1,MATCH(COLUMNS($AB$1006:AD1006),$AB$1006:$AQ$1006,0))&gt;=100000), " ",IF(INDEX($AB$2:$AQ$1001,MATCH(ROWS($U$2:U144),$U$2:$U$1001,0),MATCH(COLUMNS($AB$1006:AD1006),$AB$1006:$AQ$1006,0)), HYPERLINK("#",""), HYPERLINK(CONCATENATE("#Metadata!", ADDRESS(INDEX($W$2:$W$1001,MATCH(ROWS($U$2:U144),$U$2:$U$1001,0),0), INDEX($AB$1004:$AQ$1004,1,MATCH(COLUMNS($AB$1006:AD1006),$AB$1006:$AQ$1006,0)))),"Fix")))</f>
        <v>0</v>
      </c>
      <c r="E144" s="5">
        <f>IF(OR(INDEX($V$2:$V$1001,MATCH(ROWS($U$2:U144),$U$2:$U$1001,0),1)&gt;=100000,INDEX($AB$1005:$AQ$1005,1,MATCH(COLUMNS($AB$1006:AE1006),$AB$1006:$AQ$1006,0))&gt;=100000), " ",IF(INDEX($AB$2:$AQ$1001,MATCH(ROWS($U$2:U144),$U$2:$U$1001,0),MATCH(COLUMNS($AB$1006:AE1006),$AB$1006:$AQ$1006,0)), HYPERLINK("#",""), HYPERLINK(CONCATENATE("#Metadata!", ADDRESS(INDEX($W$2:$W$1001,MATCH(ROWS($U$2:U144),$U$2:$U$1001,0),0), INDEX($AB$1004:$AQ$1004,1,MATCH(COLUMNS($AB$1006:AE1006),$AB$1006:$AQ$1006,0)))),"Fix")))</f>
        <v>0</v>
      </c>
      <c r="F144" s="5">
        <f>IF(OR(INDEX($V$2:$V$1001,MATCH(ROWS($U$2:U144),$U$2:$U$1001,0),1)&gt;=100000,INDEX($AB$1005:$AQ$1005,1,MATCH(COLUMNS($AB$1006:AF1006),$AB$1006:$AQ$1006,0))&gt;=100000), " ",IF(INDEX($AB$2:$AQ$1001,MATCH(ROWS($U$2:U144),$U$2:$U$1001,0),MATCH(COLUMNS($AB$1006:AF1006),$AB$1006:$AQ$1006,0)), HYPERLINK("#",""), HYPERLINK(CONCATENATE("#Metadata!", ADDRESS(INDEX($W$2:$W$1001,MATCH(ROWS($U$2:U144),$U$2:$U$1001,0),0), INDEX($AB$1004:$AQ$1004,1,MATCH(COLUMNS($AB$1006:AF1006),$AB$1006:$AQ$1006,0)))),"Fix")))</f>
        <v>0</v>
      </c>
      <c r="G144" s="5">
        <f>IF(OR(INDEX($V$2:$V$1001,MATCH(ROWS($U$2:U144),$U$2:$U$1001,0),1)&gt;=100000,INDEX($AB$1005:$AQ$1005,1,MATCH(COLUMNS($AB$1006:AG1006),$AB$1006:$AQ$1006,0))&gt;=100000), " ",IF(INDEX($AB$2:$AQ$1001,MATCH(ROWS($U$2:U144),$U$2:$U$1001,0),MATCH(COLUMNS($AB$1006:AG1006),$AB$1006:$AQ$1006,0)), HYPERLINK("#",""), HYPERLINK(CONCATENATE("#Metadata!", ADDRESS(INDEX($W$2:$W$1001,MATCH(ROWS($U$2:U144),$U$2:$U$1001,0),0), INDEX($AB$1004:$AQ$1004,1,MATCH(COLUMNS($AB$1006:AG1006),$AB$1006:$AQ$1006,0)))),"Fix")))</f>
        <v>0</v>
      </c>
      <c r="H144" s="5">
        <f>IF(OR(INDEX($V$2:$V$1001,MATCH(ROWS($U$2:U144),$U$2:$U$1001,0),1)&gt;=100000,INDEX($AB$1005:$AQ$1005,1,MATCH(COLUMNS($AB$1006:AH1006),$AB$1006:$AQ$1006,0))&gt;=100000), " ",IF(INDEX($AB$2:$AQ$1001,MATCH(ROWS($U$2:U144),$U$2:$U$1001,0),MATCH(COLUMNS($AB$1006:AH1006),$AB$1006:$AQ$1006,0)), HYPERLINK("#",""), HYPERLINK(CONCATENATE("#Metadata!", ADDRESS(INDEX($W$2:$W$1001,MATCH(ROWS($U$2:U144),$U$2:$U$1001,0),0), INDEX($AB$1004:$AQ$1004,1,MATCH(COLUMNS($AB$1006:AH1006),$AB$1006:$AQ$1006,0)))),"Fix")))</f>
        <v>0</v>
      </c>
      <c r="I144" s="5">
        <f>IF(OR(INDEX($V$2:$V$1001,MATCH(ROWS($U$2:U144),$U$2:$U$1001,0),1)&gt;=100000,INDEX($AB$1005:$AQ$1005,1,MATCH(COLUMNS($AB$1006:AI1006),$AB$1006:$AQ$1006,0))&gt;=100000), " ",IF(INDEX($AB$2:$AQ$1001,MATCH(ROWS($U$2:U144),$U$2:$U$1001,0),MATCH(COLUMNS($AB$1006:AI1006),$AB$1006:$AQ$1006,0)), HYPERLINK("#",""), HYPERLINK(CONCATENATE("#Metadata!", ADDRESS(INDEX($W$2:$W$1001,MATCH(ROWS($U$2:U144),$U$2:$U$1001,0),0), INDEX($AB$1004:$AQ$1004,1,MATCH(COLUMNS($AB$1006:AI1006),$AB$1006:$AQ$1006,0)))),"Fix")))</f>
        <v>0</v>
      </c>
      <c r="J144" s="5">
        <f>IF(OR(INDEX($V$2:$V$1001,MATCH(ROWS($U$2:U144),$U$2:$U$1001,0),1)&gt;=100000,INDEX($AB$1005:$AQ$1005,1,MATCH(COLUMNS($AB$1006:AJ1006),$AB$1006:$AQ$1006,0))&gt;=100000), " ",IF(INDEX($AB$2:$AQ$1001,MATCH(ROWS($U$2:U144),$U$2:$U$1001,0),MATCH(COLUMNS($AB$1006:AJ1006),$AB$1006:$AQ$1006,0)), HYPERLINK("#",""), HYPERLINK(CONCATENATE("#Metadata!", ADDRESS(INDEX($W$2:$W$1001,MATCH(ROWS($U$2:U144),$U$2:$U$1001,0),0), INDEX($AB$1004:$AQ$1004,1,MATCH(COLUMNS($AB$1006:AJ1006),$AB$1006:$AQ$1006,0)))),"Fix")))</f>
        <v>0</v>
      </c>
      <c r="K144" s="5">
        <f>IF(OR(INDEX($V$2:$V$1001,MATCH(ROWS($U$2:U144),$U$2:$U$1001,0),1)&gt;=100000,INDEX($AB$1005:$AQ$1005,1,MATCH(COLUMNS($AB$1006:AK1006),$AB$1006:$AQ$1006,0))&gt;=100000), " ",IF(INDEX($AB$2:$AQ$1001,MATCH(ROWS($U$2:U144),$U$2:$U$1001,0),MATCH(COLUMNS($AB$1006:AK1006),$AB$1006:$AQ$1006,0)), HYPERLINK("#",""), HYPERLINK(CONCATENATE("#Metadata!", ADDRESS(INDEX($W$2:$W$1001,MATCH(ROWS($U$2:U144),$U$2:$U$1001,0),0), INDEX($AB$1004:$AQ$1004,1,MATCH(COLUMNS($AB$1006:AK1006),$AB$1006:$AQ$1006,0)))),"Fix")))</f>
        <v>0</v>
      </c>
      <c r="L144" s="5">
        <f>IF(OR(INDEX($V$2:$V$1001,MATCH(ROWS($U$2:U144),$U$2:$U$1001,0),1)&gt;=100000,INDEX($AB$1005:$AQ$1005,1,MATCH(COLUMNS($AB$1006:AL1006),$AB$1006:$AQ$1006,0))&gt;=100000), " ",IF(INDEX($AB$2:$AQ$1001,MATCH(ROWS($U$2:U144),$U$2:$U$1001,0),MATCH(COLUMNS($AB$1006:AL1006),$AB$1006:$AQ$1006,0)), HYPERLINK("#",""), HYPERLINK(CONCATENATE("#Metadata!", ADDRESS(INDEX($W$2:$W$1001,MATCH(ROWS($U$2:U144),$U$2:$U$1001,0),0), INDEX($AB$1004:$AQ$1004,1,MATCH(COLUMNS($AB$1006:AL1006),$AB$1006:$AQ$1006,0)))),"Fix")))</f>
        <v>0</v>
      </c>
      <c r="M144" s="5">
        <f>IF(OR(INDEX($V$2:$V$1001,MATCH(ROWS($U$2:U144),$U$2:$U$1001,0),1)&gt;=100000,INDEX($AB$1005:$AQ$1005,1,MATCH(COLUMNS($AB$1006:AM1006),$AB$1006:$AQ$1006,0))&gt;=100000), " ",IF(INDEX($AB$2:$AQ$1001,MATCH(ROWS($U$2:U144),$U$2:$U$1001,0),MATCH(COLUMNS($AB$1006:AM1006),$AB$1006:$AQ$1006,0)), HYPERLINK("#",""), HYPERLINK(CONCATENATE("#Metadata!", ADDRESS(INDEX($W$2:$W$1001,MATCH(ROWS($U$2:U144),$U$2:$U$1001,0),0), INDEX($AB$1004:$AQ$1004,1,MATCH(COLUMNS($AB$1006:AM1006),$AB$1006:$AQ$1006,0)))),"Fix")))</f>
        <v>0</v>
      </c>
      <c r="N144" s="5">
        <f>IF(OR(INDEX($V$2:$V$1001,MATCH(ROWS($U$2:U144),$U$2:$U$1001,0),1)&gt;=100000,INDEX($AB$1005:$AQ$1005,1,MATCH(COLUMNS($AB$1006:AN1006),$AB$1006:$AQ$1006,0))&gt;=100000), " ",IF(INDEX($AB$2:$AQ$1001,MATCH(ROWS($U$2:U144),$U$2:$U$1001,0),MATCH(COLUMNS($AB$1006:AN1006),$AB$1006:$AQ$1006,0)), HYPERLINK("#",""), HYPERLINK(CONCATENATE("#Metadata!", ADDRESS(INDEX($W$2:$W$1001,MATCH(ROWS($U$2:U144),$U$2:$U$1001,0),0), INDEX($AB$1004:$AQ$1004,1,MATCH(COLUMNS($AB$1006:AN1006),$AB$1006:$AQ$1006,0)))),"Fix")))</f>
        <v>0</v>
      </c>
      <c r="O144" s="5">
        <f>IF(OR(INDEX($V$2:$V$1001,MATCH(ROWS($U$2:U144),$U$2:$U$1001,0),1)&gt;=100000,INDEX($AB$1005:$AQ$1005,1,MATCH(COLUMNS($AB$1006:AO1006),$AB$1006:$AQ$1006,0))&gt;=100000), " ",IF(INDEX($AB$2:$AQ$1001,MATCH(ROWS($U$2:U144),$U$2:$U$1001,0),MATCH(COLUMNS($AB$1006:AO1006),$AB$1006:$AQ$1006,0)), HYPERLINK("#",""), HYPERLINK(CONCATENATE("#Metadata!", ADDRESS(INDEX($W$2:$W$1001,MATCH(ROWS($U$2:U144),$U$2:$U$1001,0),0), INDEX($AB$1004:$AQ$1004,1,MATCH(COLUMNS($AB$1006:AO1006),$AB$1006:$AQ$1006,0)))),"Fix")))</f>
        <v>0</v>
      </c>
      <c r="P144" s="5">
        <f>IF(OR(INDEX($V$2:$V$1001,MATCH(ROWS($U$2:U144),$U$2:$U$1001,0),1)&gt;=100000,INDEX($AB$1005:$AQ$1005,1,MATCH(COLUMNS($AB$1006:AP1006),$AB$1006:$AQ$1006,0))&gt;=100000), " ",IF(INDEX($AB$2:$AQ$1001,MATCH(ROWS($U$2:U144),$U$2:$U$1001,0),MATCH(COLUMNS($AB$1006:AP1006),$AB$1006:$AQ$1006,0)), HYPERLINK("#",""), HYPERLINK(CONCATENATE("#Metadata!", ADDRESS(INDEX($W$2:$W$1001,MATCH(ROWS($U$2:U144),$U$2:$U$1001,0),0), INDEX($AB$1004:$AQ$1004,1,MATCH(COLUMNS($AB$1006:AP1006),$AB$1006:$AQ$1006,0)))),"Fix")))</f>
        <v>0</v>
      </c>
      <c r="Q144" s="5">
        <f>IF(OR(INDEX($V$2:$V$1001,MATCH(ROWS($U$2:U144),$U$2:$U$1001,0),1)&gt;=100000,INDEX($AB$1005:$AQ$1005,1,MATCH(COLUMNS($AB$1006:AQ1006),$AB$1006:$AQ$1006,0))&gt;=100000), " ",IF(INDEX($AB$2:$AQ$1001,MATCH(ROWS($U$2:U144),$U$2:$U$1001,0),MATCH(COLUMNS($AB$1006:AQ1006),$AB$1006:$AQ$1006,0)), HYPERLINK("#",""), HYPERLINK(CONCATENATE("#Metadata!", ADDRESS(INDEX($W$2:$W$1001,MATCH(ROWS($U$2:U144),$U$2:$U$1001,0),0), INDEX($AB$1004:$AQ$1004,1,MATCH(COLUMNS($AB$1006:AQ1006),$AB$1006:$AQ$1006,0)))),"Fix")))</f>
        <v>0</v>
      </c>
      <c r="U144">
        <v>0</v>
      </c>
      <c r="V144">
        <v>0</v>
      </c>
      <c r="W144">
        <v>0</v>
      </c>
      <c r="X144">
        <f>IF(Y144,TRUE,AND(AB144:AQ144))</f>
        <v>0</v>
      </c>
      <c r="Y144">
        <f>COUNTBLANK(Metadata!B144:Q144)=COLUMNS(Metadata!B144:Q144)</f>
        <v>0</v>
      </c>
      <c r="Z144">
        <v>0</v>
      </c>
      <c r="AB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AC144">
        <f>AND(IF(Metadata!C144="",FALSE,TRUE),exact(Metadata!C144,"urban biome"))</f>
        <v>0</v>
      </c>
      <c r="AD144">
        <f>AND(IF(Metadata!D144="",FALSE,TRUE),exact(Metadata!D144,"human-associated habitat"))</f>
        <v>0</v>
      </c>
      <c r="AE144">
        <f>AND(IF(Metadata!E144="",FALSE,TRUE),OR(exact(Metadata!E144,"human-associated"),exact(Metadata!E144,"human-skin"),exact(Metadata!E144,"human-oral"),exact(Metadata!E144,"human-gut"),exact(Metadata!E144,"human-vaginal")))</f>
        <v>0</v>
      </c>
      <c r="AF144">
        <f>AND(IF(Metadata!F144="",FALSE,ISNUMBER(VALUE(Metadata!F144))),Metadata!F144&gt;0)</f>
        <v>0</v>
      </c>
      <c r="AG144">
        <f>AND(IF(Metadata!G144="",FALSE,TRUE),exact(Metadata!G144,"years"))</f>
        <v>0</v>
      </c>
      <c r="AH144">
        <f>OR(AND(IF(Metadata!H144="",FALSE,TRUE),OR(exact(Metadata!H144,"not applicable"),exact(Metadata!H144,"not collected"),exact(Metadata!H144,"not provided"),exact(Metadata!H144,"restricted access"))),AND(IF(Metadata!H144="",FALSE,ISNUMBER(VALUE(Metadata!H144))),Metadata!H144&gt;0))</f>
        <v>0</v>
      </c>
      <c r="AI144">
        <f>AND(IF(Metadata!I144="",FALSE,TRUE),exact(Metadata!I144,"human"))</f>
        <v>0</v>
      </c>
      <c r="AJ144">
        <f>AND(IF(Metadata!J144="",FALSE,ISNUMBER(VALUE(Metadata!J144))),Metadata!J144&gt;0)</f>
        <v>0</v>
      </c>
      <c r="AK144">
        <f>AND(IF(Metadata!K144="",FALSE,TRUE),exact(Metadata!K144,"cm"))</f>
        <v>0</v>
      </c>
      <c r="AL144">
        <f>AND(IF(Metadata!L144="",FALSE,TRUE),exact(Metadata!L144,"Homo sapiens"))</f>
        <v>0</v>
      </c>
      <c r="AM144">
        <f>AND(IF(Metadata!M144="",FALSE,TRUE),exact(Metadata!M144,"9606"))</f>
        <v>0</v>
      </c>
      <c r="AN144">
        <f>AND(IF(Metadata!N144="",FALSE,ISNUMBER(VALUE(Metadata!N144))),Metadata!N144&gt;0)</f>
        <v>0</v>
      </c>
      <c r="AO144">
        <f>AND(IF(Metadata!O144="",FALSE,TRUE),exact(Metadata!O144,"kg"))</f>
        <v>0</v>
      </c>
      <c r="AP144">
        <f>OR(AND(IF(Metadata!P144="",FALSE,TRUE),exact(Metadata!P144,"not provided")),IF(Metadata!P144="",FALSE,TRUE))</f>
        <v>0</v>
      </c>
      <c r="AQ144">
        <f>OR(AND(IF(Metadata!Q144="",FALSE,TRUE),exact(Metadata!Q144,"not provided")),IF(Metadata!Q144="",FALSE,TRUE))</f>
        <v>0</v>
      </c>
    </row>
    <row r="145" spans="1:43">
      <c r="A145" s="4">
        <f>IF(B145=" "," ",HYPERLINK(CONCATENATE("#metadata!",ADDRESS(INDEX($W$2:$W$1001,MATCH(ROWS($U$2:U145),$U$2:$U$1001,0),0),2)),INDEX($Z$2:$Z$1001,MATCH(ROWS($U$2:U145),$U$2:$U$1001,0),0)))</f>
        <v>0</v>
      </c>
      <c r="B145" s="5">
        <f>IF(OR(INDEX($V$2:$V$1001,MATCH(ROWS($U$2:U145),$U$2:$U$1001,0),1)&gt;=100000,INDEX($AB$1005:$AQ$1005,1,MATCH(COLUMNS($AB$1006:AB1006),$AB$1006:$AQ$1006,0))&gt;=100000), " ",IF(INDEX($AB$2:$AQ$1001,MATCH(ROWS($U$2:U145),$U$2:$U$1001,0),MATCH(COLUMNS($AB$1006:AB1006),$AB$1006:$AQ$1006,0)), HYPERLINK("#",""), HYPERLINK(CONCATENATE("#Metadata!", ADDRESS(INDEX($W$2:$W$1001,MATCH(ROWS($U$2:U145),$U$2:$U$1001,0),0), INDEX($AB$1004:$AQ$1004,1,MATCH(COLUMNS($AB$1006:AB1006),$AB$1006:$AQ$1006,0)))),"Fix")))</f>
        <v>0</v>
      </c>
      <c r="C145" s="5">
        <f>IF(OR(INDEX($V$2:$V$1001,MATCH(ROWS($U$2:U145),$U$2:$U$1001,0),1)&gt;=100000,INDEX($AB$1005:$AQ$1005,1,MATCH(COLUMNS($AB$1006:AC1006),$AB$1006:$AQ$1006,0))&gt;=100000), " ",IF(INDEX($AB$2:$AQ$1001,MATCH(ROWS($U$2:U145),$U$2:$U$1001,0),MATCH(COLUMNS($AB$1006:AC1006),$AB$1006:$AQ$1006,0)), HYPERLINK("#",""), HYPERLINK(CONCATENATE("#Metadata!", ADDRESS(INDEX($W$2:$W$1001,MATCH(ROWS($U$2:U145),$U$2:$U$1001,0),0), INDEX($AB$1004:$AQ$1004,1,MATCH(COLUMNS($AB$1006:AC1006),$AB$1006:$AQ$1006,0)))),"Fix")))</f>
        <v>0</v>
      </c>
      <c r="D145" s="5">
        <f>IF(OR(INDEX($V$2:$V$1001,MATCH(ROWS($U$2:U145),$U$2:$U$1001,0),1)&gt;=100000,INDEX($AB$1005:$AQ$1005,1,MATCH(COLUMNS($AB$1006:AD1006),$AB$1006:$AQ$1006,0))&gt;=100000), " ",IF(INDEX($AB$2:$AQ$1001,MATCH(ROWS($U$2:U145),$U$2:$U$1001,0),MATCH(COLUMNS($AB$1006:AD1006),$AB$1006:$AQ$1006,0)), HYPERLINK("#",""), HYPERLINK(CONCATENATE("#Metadata!", ADDRESS(INDEX($W$2:$W$1001,MATCH(ROWS($U$2:U145),$U$2:$U$1001,0),0), INDEX($AB$1004:$AQ$1004,1,MATCH(COLUMNS($AB$1006:AD1006),$AB$1006:$AQ$1006,0)))),"Fix")))</f>
        <v>0</v>
      </c>
      <c r="E145" s="5">
        <f>IF(OR(INDEX($V$2:$V$1001,MATCH(ROWS($U$2:U145),$U$2:$U$1001,0),1)&gt;=100000,INDEX($AB$1005:$AQ$1005,1,MATCH(COLUMNS($AB$1006:AE1006),$AB$1006:$AQ$1006,0))&gt;=100000), " ",IF(INDEX($AB$2:$AQ$1001,MATCH(ROWS($U$2:U145),$U$2:$U$1001,0),MATCH(COLUMNS($AB$1006:AE1006),$AB$1006:$AQ$1006,0)), HYPERLINK("#",""), HYPERLINK(CONCATENATE("#Metadata!", ADDRESS(INDEX($W$2:$W$1001,MATCH(ROWS($U$2:U145),$U$2:$U$1001,0),0), INDEX($AB$1004:$AQ$1004,1,MATCH(COLUMNS($AB$1006:AE1006),$AB$1006:$AQ$1006,0)))),"Fix")))</f>
        <v>0</v>
      </c>
      <c r="F145" s="5">
        <f>IF(OR(INDEX($V$2:$V$1001,MATCH(ROWS($U$2:U145),$U$2:$U$1001,0),1)&gt;=100000,INDEX($AB$1005:$AQ$1005,1,MATCH(COLUMNS($AB$1006:AF1006),$AB$1006:$AQ$1006,0))&gt;=100000), " ",IF(INDEX($AB$2:$AQ$1001,MATCH(ROWS($U$2:U145),$U$2:$U$1001,0),MATCH(COLUMNS($AB$1006:AF1006),$AB$1006:$AQ$1006,0)), HYPERLINK("#",""), HYPERLINK(CONCATENATE("#Metadata!", ADDRESS(INDEX($W$2:$W$1001,MATCH(ROWS($U$2:U145),$U$2:$U$1001,0),0), INDEX($AB$1004:$AQ$1004,1,MATCH(COLUMNS($AB$1006:AF1006),$AB$1006:$AQ$1006,0)))),"Fix")))</f>
        <v>0</v>
      </c>
      <c r="G145" s="5">
        <f>IF(OR(INDEX($V$2:$V$1001,MATCH(ROWS($U$2:U145),$U$2:$U$1001,0),1)&gt;=100000,INDEX($AB$1005:$AQ$1005,1,MATCH(COLUMNS($AB$1006:AG1006),$AB$1006:$AQ$1006,0))&gt;=100000), " ",IF(INDEX($AB$2:$AQ$1001,MATCH(ROWS($U$2:U145),$U$2:$U$1001,0),MATCH(COLUMNS($AB$1006:AG1006),$AB$1006:$AQ$1006,0)), HYPERLINK("#",""), HYPERLINK(CONCATENATE("#Metadata!", ADDRESS(INDEX($W$2:$W$1001,MATCH(ROWS($U$2:U145),$U$2:$U$1001,0),0), INDEX($AB$1004:$AQ$1004,1,MATCH(COLUMNS($AB$1006:AG1006),$AB$1006:$AQ$1006,0)))),"Fix")))</f>
        <v>0</v>
      </c>
      <c r="H145" s="5">
        <f>IF(OR(INDEX($V$2:$V$1001,MATCH(ROWS($U$2:U145),$U$2:$U$1001,0),1)&gt;=100000,INDEX($AB$1005:$AQ$1005,1,MATCH(COLUMNS($AB$1006:AH1006),$AB$1006:$AQ$1006,0))&gt;=100000), " ",IF(INDEX($AB$2:$AQ$1001,MATCH(ROWS($U$2:U145),$U$2:$U$1001,0),MATCH(COLUMNS($AB$1006:AH1006),$AB$1006:$AQ$1006,0)), HYPERLINK("#",""), HYPERLINK(CONCATENATE("#Metadata!", ADDRESS(INDEX($W$2:$W$1001,MATCH(ROWS($U$2:U145),$U$2:$U$1001,0),0), INDEX($AB$1004:$AQ$1004,1,MATCH(COLUMNS($AB$1006:AH1006),$AB$1006:$AQ$1006,0)))),"Fix")))</f>
        <v>0</v>
      </c>
      <c r="I145" s="5">
        <f>IF(OR(INDEX($V$2:$V$1001,MATCH(ROWS($U$2:U145),$U$2:$U$1001,0),1)&gt;=100000,INDEX($AB$1005:$AQ$1005,1,MATCH(COLUMNS($AB$1006:AI1006),$AB$1006:$AQ$1006,0))&gt;=100000), " ",IF(INDEX($AB$2:$AQ$1001,MATCH(ROWS($U$2:U145),$U$2:$U$1001,0),MATCH(COLUMNS($AB$1006:AI1006),$AB$1006:$AQ$1006,0)), HYPERLINK("#",""), HYPERLINK(CONCATENATE("#Metadata!", ADDRESS(INDEX($W$2:$W$1001,MATCH(ROWS($U$2:U145),$U$2:$U$1001,0),0), INDEX($AB$1004:$AQ$1004,1,MATCH(COLUMNS($AB$1006:AI1006),$AB$1006:$AQ$1006,0)))),"Fix")))</f>
        <v>0</v>
      </c>
      <c r="J145" s="5">
        <f>IF(OR(INDEX($V$2:$V$1001,MATCH(ROWS($U$2:U145),$U$2:$U$1001,0),1)&gt;=100000,INDEX($AB$1005:$AQ$1005,1,MATCH(COLUMNS($AB$1006:AJ1006),$AB$1006:$AQ$1006,0))&gt;=100000), " ",IF(INDEX($AB$2:$AQ$1001,MATCH(ROWS($U$2:U145),$U$2:$U$1001,0),MATCH(COLUMNS($AB$1006:AJ1006),$AB$1006:$AQ$1006,0)), HYPERLINK("#",""), HYPERLINK(CONCATENATE("#Metadata!", ADDRESS(INDEX($W$2:$W$1001,MATCH(ROWS($U$2:U145),$U$2:$U$1001,0),0), INDEX($AB$1004:$AQ$1004,1,MATCH(COLUMNS($AB$1006:AJ1006),$AB$1006:$AQ$1006,0)))),"Fix")))</f>
        <v>0</v>
      </c>
      <c r="K145" s="5">
        <f>IF(OR(INDEX($V$2:$V$1001,MATCH(ROWS($U$2:U145),$U$2:$U$1001,0),1)&gt;=100000,INDEX($AB$1005:$AQ$1005,1,MATCH(COLUMNS($AB$1006:AK1006),$AB$1006:$AQ$1006,0))&gt;=100000), " ",IF(INDEX($AB$2:$AQ$1001,MATCH(ROWS($U$2:U145),$U$2:$U$1001,0),MATCH(COLUMNS($AB$1006:AK1006),$AB$1006:$AQ$1006,0)), HYPERLINK("#",""), HYPERLINK(CONCATENATE("#Metadata!", ADDRESS(INDEX($W$2:$W$1001,MATCH(ROWS($U$2:U145),$U$2:$U$1001,0),0), INDEX($AB$1004:$AQ$1004,1,MATCH(COLUMNS($AB$1006:AK1006),$AB$1006:$AQ$1006,0)))),"Fix")))</f>
        <v>0</v>
      </c>
      <c r="L145" s="5">
        <f>IF(OR(INDEX($V$2:$V$1001,MATCH(ROWS($U$2:U145),$U$2:$U$1001,0),1)&gt;=100000,INDEX($AB$1005:$AQ$1005,1,MATCH(COLUMNS($AB$1006:AL1006),$AB$1006:$AQ$1006,0))&gt;=100000), " ",IF(INDEX($AB$2:$AQ$1001,MATCH(ROWS($U$2:U145),$U$2:$U$1001,0),MATCH(COLUMNS($AB$1006:AL1006),$AB$1006:$AQ$1006,0)), HYPERLINK("#",""), HYPERLINK(CONCATENATE("#Metadata!", ADDRESS(INDEX($W$2:$W$1001,MATCH(ROWS($U$2:U145),$U$2:$U$1001,0),0), INDEX($AB$1004:$AQ$1004,1,MATCH(COLUMNS($AB$1006:AL1006),$AB$1006:$AQ$1006,0)))),"Fix")))</f>
        <v>0</v>
      </c>
      <c r="M145" s="5">
        <f>IF(OR(INDEX($V$2:$V$1001,MATCH(ROWS($U$2:U145),$U$2:$U$1001,0),1)&gt;=100000,INDEX($AB$1005:$AQ$1005,1,MATCH(COLUMNS($AB$1006:AM1006),$AB$1006:$AQ$1006,0))&gt;=100000), " ",IF(INDEX($AB$2:$AQ$1001,MATCH(ROWS($U$2:U145),$U$2:$U$1001,0),MATCH(COLUMNS($AB$1006:AM1006),$AB$1006:$AQ$1006,0)), HYPERLINK("#",""), HYPERLINK(CONCATENATE("#Metadata!", ADDRESS(INDEX($W$2:$W$1001,MATCH(ROWS($U$2:U145),$U$2:$U$1001,0),0), INDEX($AB$1004:$AQ$1004,1,MATCH(COLUMNS($AB$1006:AM1006),$AB$1006:$AQ$1006,0)))),"Fix")))</f>
        <v>0</v>
      </c>
      <c r="N145" s="5">
        <f>IF(OR(INDEX($V$2:$V$1001,MATCH(ROWS($U$2:U145),$U$2:$U$1001,0),1)&gt;=100000,INDEX($AB$1005:$AQ$1005,1,MATCH(COLUMNS($AB$1006:AN1006),$AB$1006:$AQ$1006,0))&gt;=100000), " ",IF(INDEX($AB$2:$AQ$1001,MATCH(ROWS($U$2:U145),$U$2:$U$1001,0),MATCH(COLUMNS($AB$1006:AN1006),$AB$1006:$AQ$1006,0)), HYPERLINK("#",""), HYPERLINK(CONCATENATE("#Metadata!", ADDRESS(INDEX($W$2:$W$1001,MATCH(ROWS($U$2:U145),$U$2:$U$1001,0),0), INDEX($AB$1004:$AQ$1004,1,MATCH(COLUMNS($AB$1006:AN1006),$AB$1006:$AQ$1006,0)))),"Fix")))</f>
        <v>0</v>
      </c>
      <c r="O145" s="5">
        <f>IF(OR(INDEX($V$2:$V$1001,MATCH(ROWS($U$2:U145),$U$2:$U$1001,0),1)&gt;=100000,INDEX($AB$1005:$AQ$1005,1,MATCH(COLUMNS($AB$1006:AO1006),$AB$1006:$AQ$1006,0))&gt;=100000), " ",IF(INDEX($AB$2:$AQ$1001,MATCH(ROWS($U$2:U145),$U$2:$U$1001,0),MATCH(COLUMNS($AB$1006:AO1006),$AB$1006:$AQ$1006,0)), HYPERLINK("#",""), HYPERLINK(CONCATENATE("#Metadata!", ADDRESS(INDEX($W$2:$W$1001,MATCH(ROWS($U$2:U145),$U$2:$U$1001,0),0), INDEX($AB$1004:$AQ$1004,1,MATCH(COLUMNS($AB$1006:AO1006),$AB$1006:$AQ$1006,0)))),"Fix")))</f>
        <v>0</v>
      </c>
      <c r="P145" s="5">
        <f>IF(OR(INDEX($V$2:$V$1001,MATCH(ROWS($U$2:U145),$U$2:$U$1001,0),1)&gt;=100000,INDEX($AB$1005:$AQ$1005,1,MATCH(COLUMNS($AB$1006:AP1006),$AB$1006:$AQ$1006,0))&gt;=100000), " ",IF(INDEX($AB$2:$AQ$1001,MATCH(ROWS($U$2:U145),$U$2:$U$1001,0),MATCH(COLUMNS($AB$1006:AP1006),$AB$1006:$AQ$1006,0)), HYPERLINK("#",""), HYPERLINK(CONCATENATE("#Metadata!", ADDRESS(INDEX($W$2:$W$1001,MATCH(ROWS($U$2:U145),$U$2:$U$1001,0),0), INDEX($AB$1004:$AQ$1004,1,MATCH(COLUMNS($AB$1006:AP1006),$AB$1006:$AQ$1006,0)))),"Fix")))</f>
        <v>0</v>
      </c>
      <c r="Q145" s="5">
        <f>IF(OR(INDEX($V$2:$V$1001,MATCH(ROWS($U$2:U145),$U$2:$U$1001,0),1)&gt;=100000,INDEX($AB$1005:$AQ$1005,1,MATCH(COLUMNS($AB$1006:AQ1006),$AB$1006:$AQ$1006,0))&gt;=100000), " ",IF(INDEX($AB$2:$AQ$1001,MATCH(ROWS($U$2:U145),$U$2:$U$1001,0),MATCH(COLUMNS($AB$1006:AQ1006),$AB$1006:$AQ$1006,0)), HYPERLINK("#",""), HYPERLINK(CONCATENATE("#Metadata!", ADDRESS(INDEX($W$2:$W$1001,MATCH(ROWS($U$2:U145),$U$2:$U$1001,0),0), INDEX($AB$1004:$AQ$1004,1,MATCH(COLUMNS($AB$1006:AQ1006),$AB$1006:$AQ$1006,0)))),"Fix")))</f>
        <v>0</v>
      </c>
      <c r="U145">
        <v>0</v>
      </c>
      <c r="V145">
        <v>0</v>
      </c>
      <c r="W145">
        <v>0</v>
      </c>
      <c r="X145">
        <f>IF(Y145,TRUE,AND(AB145:AQ145))</f>
        <v>0</v>
      </c>
      <c r="Y145">
        <f>COUNTBLANK(Metadata!B145:Q145)=COLUMNS(Metadata!B145:Q145)</f>
        <v>0</v>
      </c>
      <c r="Z145">
        <v>0</v>
      </c>
      <c r="AB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AC145">
        <f>AND(IF(Metadata!C145="",FALSE,TRUE),exact(Metadata!C145,"urban biome"))</f>
        <v>0</v>
      </c>
      <c r="AD145">
        <f>AND(IF(Metadata!D145="",FALSE,TRUE),exact(Metadata!D145,"human-associated habitat"))</f>
        <v>0</v>
      </c>
      <c r="AE145">
        <f>AND(IF(Metadata!E145="",FALSE,TRUE),OR(exact(Metadata!E145,"human-associated"),exact(Metadata!E145,"human-skin"),exact(Metadata!E145,"human-oral"),exact(Metadata!E145,"human-gut"),exact(Metadata!E145,"human-vaginal")))</f>
        <v>0</v>
      </c>
      <c r="AF145">
        <f>AND(IF(Metadata!F145="",FALSE,ISNUMBER(VALUE(Metadata!F145))),Metadata!F145&gt;0)</f>
        <v>0</v>
      </c>
      <c r="AG145">
        <f>AND(IF(Metadata!G145="",FALSE,TRUE),exact(Metadata!G145,"years"))</f>
        <v>0</v>
      </c>
      <c r="AH145">
        <f>OR(AND(IF(Metadata!H145="",FALSE,TRUE),OR(exact(Metadata!H145,"not applicable"),exact(Metadata!H145,"not collected"),exact(Metadata!H145,"not provided"),exact(Metadata!H145,"restricted access"))),AND(IF(Metadata!H145="",FALSE,ISNUMBER(VALUE(Metadata!H145))),Metadata!H145&gt;0))</f>
        <v>0</v>
      </c>
      <c r="AI145">
        <f>AND(IF(Metadata!I145="",FALSE,TRUE),exact(Metadata!I145,"human"))</f>
        <v>0</v>
      </c>
      <c r="AJ145">
        <f>AND(IF(Metadata!J145="",FALSE,ISNUMBER(VALUE(Metadata!J145))),Metadata!J145&gt;0)</f>
        <v>0</v>
      </c>
      <c r="AK145">
        <f>AND(IF(Metadata!K145="",FALSE,TRUE),exact(Metadata!K145,"cm"))</f>
        <v>0</v>
      </c>
      <c r="AL145">
        <f>AND(IF(Metadata!L145="",FALSE,TRUE),exact(Metadata!L145,"Homo sapiens"))</f>
        <v>0</v>
      </c>
      <c r="AM145">
        <f>AND(IF(Metadata!M145="",FALSE,TRUE),exact(Metadata!M145,"9606"))</f>
        <v>0</v>
      </c>
      <c r="AN145">
        <f>AND(IF(Metadata!N145="",FALSE,ISNUMBER(VALUE(Metadata!N145))),Metadata!N145&gt;0)</f>
        <v>0</v>
      </c>
      <c r="AO145">
        <f>AND(IF(Metadata!O145="",FALSE,TRUE),exact(Metadata!O145,"kg"))</f>
        <v>0</v>
      </c>
      <c r="AP145">
        <f>OR(AND(IF(Metadata!P145="",FALSE,TRUE),exact(Metadata!P145,"not provided")),IF(Metadata!P145="",FALSE,TRUE))</f>
        <v>0</v>
      </c>
      <c r="AQ145">
        <f>OR(AND(IF(Metadata!Q145="",FALSE,TRUE),exact(Metadata!Q145,"not provided")),IF(Metadata!Q145="",FALSE,TRUE))</f>
        <v>0</v>
      </c>
    </row>
    <row r="146" spans="1:43">
      <c r="A146" s="4">
        <f>IF(B146=" "," ",HYPERLINK(CONCATENATE("#metadata!",ADDRESS(INDEX($W$2:$W$1001,MATCH(ROWS($U$2:U146),$U$2:$U$1001,0),0),2)),INDEX($Z$2:$Z$1001,MATCH(ROWS($U$2:U146),$U$2:$U$1001,0),0)))</f>
        <v>0</v>
      </c>
      <c r="B146" s="5">
        <f>IF(OR(INDEX($V$2:$V$1001,MATCH(ROWS($U$2:U146),$U$2:$U$1001,0),1)&gt;=100000,INDEX($AB$1005:$AQ$1005,1,MATCH(COLUMNS($AB$1006:AB1006),$AB$1006:$AQ$1006,0))&gt;=100000), " ",IF(INDEX($AB$2:$AQ$1001,MATCH(ROWS($U$2:U146),$U$2:$U$1001,0),MATCH(COLUMNS($AB$1006:AB1006),$AB$1006:$AQ$1006,0)), HYPERLINK("#",""), HYPERLINK(CONCATENATE("#Metadata!", ADDRESS(INDEX($W$2:$W$1001,MATCH(ROWS($U$2:U146),$U$2:$U$1001,0),0), INDEX($AB$1004:$AQ$1004,1,MATCH(COLUMNS($AB$1006:AB1006),$AB$1006:$AQ$1006,0)))),"Fix")))</f>
        <v>0</v>
      </c>
      <c r="C146" s="5">
        <f>IF(OR(INDEX($V$2:$V$1001,MATCH(ROWS($U$2:U146),$U$2:$U$1001,0),1)&gt;=100000,INDEX($AB$1005:$AQ$1005,1,MATCH(COLUMNS($AB$1006:AC1006),$AB$1006:$AQ$1006,0))&gt;=100000), " ",IF(INDEX($AB$2:$AQ$1001,MATCH(ROWS($U$2:U146),$U$2:$U$1001,0),MATCH(COLUMNS($AB$1006:AC1006),$AB$1006:$AQ$1006,0)), HYPERLINK("#",""), HYPERLINK(CONCATENATE("#Metadata!", ADDRESS(INDEX($W$2:$W$1001,MATCH(ROWS($U$2:U146),$U$2:$U$1001,0),0), INDEX($AB$1004:$AQ$1004,1,MATCH(COLUMNS($AB$1006:AC1006),$AB$1006:$AQ$1006,0)))),"Fix")))</f>
        <v>0</v>
      </c>
      <c r="D146" s="5">
        <f>IF(OR(INDEX($V$2:$V$1001,MATCH(ROWS($U$2:U146),$U$2:$U$1001,0),1)&gt;=100000,INDEX($AB$1005:$AQ$1005,1,MATCH(COLUMNS($AB$1006:AD1006),$AB$1006:$AQ$1006,0))&gt;=100000), " ",IF(INDEX($AB$2:$AQ$1001,MATCH(ROWS($U$2:U146),$U$2:$U$1001,0),MATCH(COLUMNS($AB$1006:AD1006),$AB$1006:$AQ$1006,0)), HYPERLINK("#",""), HYPERLINK(CONCATENATE("#Metadata!", ADDRESS(INDEX($W$2:$W$1001,MATCH(ROWS($U$2:U146),$U$2:$U$1001,0),0), INDEX($AB$1004:$AQ$1004,1,MATCH(COLUMNS($AB$1006:AD1006),$AB$1006:$AQ$1006,0)))),"Fix")))</f>
        <v>0</v>
      </c>
      <c r="E146" s="5">
        <f>IF(OR(INDEX($V$2:$V$1001,MATCH(ROWS($U$2:U146),$U$2:$U$1001,0),1)&gt;=100000,INDEX($AB$1005:$AQ$1005,1,MATCH(COLUMNS($AB$1006:AE1006),$AB$1006:$AQ$1006,0))&gt;=100000), " ",IF(INDEX($AB$2:$AQ$1001,MATCH(ROWS($U$2:U146),$U$2:$U$1001,0),MATCH(COLUMNS($AB$1006:AE1006),$AB$1006:$AQ$1006,0)), HYPERLINK("#",""), HYPERLINK(CONCATENATE("#Metadata!", ADDRESS(INDEX($W$2:$W$1001,MATCH(ROWS($U$2:U146),$U$2:$U$1001,0),0), INDEX($AB$1004:$AQ$1004,1,MATCH(COLUMNS($AB$1006:AE1006),$AB$1006:$AQ$1006,0)))),"Fix")))</f>
        <v>0</v>
      </c>
      <c r="F146" s="5">
        <f>IF(OR(INDEX($V$2:$V$1001,MATCH(ROWS($U$2:U146),$U$2:$U$1001,0),1)&gt;=100000,INDEX($AB$1005:$AQ$1005,1,MATCH(COLUMNS($AB$1006:AF1006),$AB$1006:$AQ$1006,0))&gt;=100000), " ",IF(INDEX($AB$2:$AQ$1001,MATCH(ROWS($U$2:U146),$U$2:$U$1001,0),MATCH(COLUMNS($AB$1006:AF1006),$AB$1006:$AQ$1006,0)), HYPERLINK("#",""), HYPERLINK(CONCATENATE("#Metadata!", ADDRESS(INDEX($W$2:$W$1001,MATCH(ROWS($U$2:U146),$U$2:$U$1001,0),0), INDEX($AB$1004:$AQ$1004,1,MATCH(COLUMNS($AB$1006:AF1006),$AB$1006:$AQ$1006,0)))),"Fix")))</f>
        <v>0</v>
      </c>
      <c r="G146" s="5">
        <f>IF(OR(INDEX($V$2:$V$1001,MATCH(ROWS($U$2:U146),$U$2:$U$1001,0),1)&gt;=100000,INDEX($AB$1005:$AQ$1005,1,MATCH(COLUMNS($AB$1006:AG1006),$AB$1006:$AQ$1006,0))&gt;=100000), " ",IF(INDEX($AB$2:$AQ$1001,MATCH(ROWS($U$2:U146),$U$2:$U$1001,0),MATCH(COLUMNS($AB$1006:AG1006),$AB$1006:$AQ$1006,0)), HYPERLINK("#",""), HYPERLINK(CONCATENATE("#Metadata!", ADDRESS(INDEX($W$2:$W$1001,MATCH(ROWS($U$2:U146),$U$2:$U$1001,0),0), INDEX($AB$1004:$AQ$1004,1,MATCH(COLUMNS($AB$1006:AG1006),$AB$1006:$AQ$1006,0)))),"Fix")))</f>
        <v>0</v>
      </c>
      <c r="H146" s="5">
        <f>IF(OR(INDEX($V$2:$V$1001,MATCH(ROWS($U$2:U146),$U$2:$U$1001,0),1)&gt;=100000,INDEX($AB$1005:$AQ$1005,1,MATCH(COLUMNS($AB$1006:AH1006),$AB$1006:$AQ$1006,0))&gt;=100000), " ",IF(INDEX($AB$2:$AQ$1001,MATCH(ROWS($U$2:U146),$U$2:$U$1001,0),MATCH(COLUMNS($AB$1006:AH1006),$AB$1006:$AQ$1006,0)), HYPERLINK("#",""), HYPERLINK(CONCATENATE("#Metadata!", ADDRESS(INDEX($W$2:$W$1001,MATCH(ROWS($U$2:U146),$U$2:$U$1001,0),0), INDEX($AB$1004:$AQ$1004,1,MATCH(COLUMNS($AB$1006:AH1006),$AB$1006:$AQ$1006,0)))),"Fix")))</f>
        <v>0</v>
      </c>
      <c r="I146" s="5">
        <f>IF(OR(INDEX($V$2:$V$1001,MATCH(ROWS($U$2:U146),$U$2:$U$1001,0),1)&gt;=100000,INDEX($AB$1005:$AQ$1005,1,MATCH(COLUMNS($AB$1006:AI1006),$AB$1006:$AQ$1006,0))&gt;=100000), " ",IF(INDEX($AB$2:$AQ$1001,MATCH(ROWS($U$2:U146),$U$2:$U$1001,0),MATCH(COLUMNS($AB$1006:AI1006),$AB$1006:$AQ$1006,0)), HYPERLINK("#",""), HYPERLINK(CONCATENATE("#Metadata!", ADDRESS(INDEX($W$2:$W$1001,MATCH(ROWS($U$2:U146),$U$2:$U$1001,0),0), INDEX($AB$1004:$AQ$1004,1,MATCH(COLUMNS($AB$1006:AI1006),$AB$1006:$AQ$1006,0)))),"Fix")))</f>
        <v>0</v>
      </c>
      <c r="J146" s="5">
        <f>IF(OR(INDEX($V$2:$V$1001,MATCH(ROWS($U$2:U146),$U$2:$U$1001,0),1)&gt;=100000,INDEX($AB$1005:$AQ$1005,1,MATCH(COLUMNS($AB$1006:AJ1006),$AB$1006:$AQ$1006,0))&gt;=100000), " ",IF(INDEX($AB$2:$AQ$1001,MATCH(ROWS($U$2:U146),$U$2:$U$1001,0),MATCH(COLUMNS($AB$1006:AJ1006),$AB$1006:$AQ$1006,0)), HYPERLINK("#",""), HYPERLINK(CONCATENATE("#Metadata!", ADDRESS(INDEX($W$2:$W$1001,MATCH(ROWS($U$2:U146),$U$2:$U$1001,0),0), INDEX($AB$1004:$AQ$1004,1,MATCH(COLUMNS($AB$1006:AJ1006),$AB$1006:$AQ$1006,0)))),"Fix")))</f>
        <v>0</v>
      </c>
      <c r="K146" s="5">
        <f>IF(OR(INDEX($V$2:$V$1001,MATCH(ROWS($U$2:U146),$U$2:$U$1001,0),1)&gt;=100000,INDEX($AB$1005:$AQ$1005,1,MATCH(COLUMNS($AB$1006:AK1006),$AB$1006:$AQ$1006,0))&gt;=100000), " ",IF(INDEX($AB$2:$AQ$1001,MATCH(ROWS($U$2:U146),$U$2:$U$1001,0),MATCH(COLUMNS($AB$1006:AK1006),$AB$1006:$AQ$1006,0)), HYPERLINK("#",""), HYPERLINK(CONCATENATE("#Metadata!", ADDRESS(INDEX($W$2:$W$1001,MATCH(ROWS($U$2:U146),$U$2:$U$1001,0),0), INDEX($AB$1004:$AQ$1004,1,MATCH(COLUMNS($AB$1006:AK1006),$AB$1006:$AQ$1006,0)))),"Fix")))</f>
        <v>0</v>
      </c>
      <c r="L146" s="5">
        <f>IF(OR(INDEX($V$2:$V$1001,MATCH(ROWS($U$2:U146),$U$2:$U$1001,0),1)&gt;=100000,INDEX($AB$1005:$AQ$1005,1,MATCH(COLUMNS($AB$1006:AL1006),$AB$1006:$AQ$1006,0))&gt;=100000), " ",IF(INDEX($AB$2:$AQ$1001,MATCH(ROWS($U$2:U146),$U$2:$U$1001,0),MATCH(COLUMNS($AB$1006:AL1006),$AB$1006:$AQ$1006,0)), HYPERLINK("#",""), HYPERLINK(CONCATENATE("#Metadata!", ADDRESS(INDEX($W$2:$W$1001,MATCH(ROWS($U$2:U146),$U$2:$U$1001,0),0), INDEX($AB$1004:$AQ$1004,1,MATCH(COLUMNS($AB$1006:AL1006),$AB$1006:$AQ$1006,0)))),"Fix")))</f>
        <v>0</v>
      </c>
      <c r="M146" s="5">
        <f>IF(OR(INDEX($V$2:$V$1001,MATCH(ROWS($U$2:U146),$U$2:$U$1001,0),1)&gt;=100000,INDEX($AB$1005:$AQ$1005,1,MATCH(COLUMNS($AB$1006:AM1006),$AB$1006:$AQ$1006,0))&gt;=100000), " ",IF(INDEX($AB$2:$AQ$1001,MATCH(ROWS($U$2:U146),$U$2:$U$1001,0),MATCH(COLUMNS($AB$1006:AM1006),$AB$1006:$AQ$1006,0)), HYPERLINK("#",""), HYPERLINK(CONCATENATE("#Metadata!", ADDRESS(INDEX($W$2:$W$1001,MATCH(ROWS($U$2:U146),$U$2:$U$1001,0),0), INDEX($AB$1004:$AQ$1004,1,MATCH(COLUMNS($AB$1006:AM1006),$AB$1006:$AQ$1006,0)))),"Fix")))</f>
        <v>0</v>
      </c>
      <c r="N146" s="5">
        <f>IF(OR(INDEX($V$2:$V$1001,MATCH(ROWS($U$2:U146),$U$2:$U$1001,0),1)&gt;=100000,INDEX($AB$1005:$AQ$1005,1,MATCH(COLUMNS($AB$1006:AN1006),$AB$1006:$AQ$1006,0))&gt;=100000), " ",IF(INDEX($AB$2:$AQ$1001,MATCH(ROWS($U$2:U146),$U$2:$U$1001,0),MATCH(COLUMNS($AB$1006:AN1006),$AB$1006:$AQ$1006,0)), HYPERLINK("#",""), HYPERLINK(CONCATENATE("#Metadata!", ADDRESS(INDEX($W$2:$W$1001,MATCH(ROWS($U$2:U146),$U$2:$U$1001,0),0), INDEX($AB$1004:$AQ$1004,1,MATCH(COLUMNS($AB$1006:AN1006),$AB$1006:$AQ$1006,0)))),"Fix")))</f>
        <v>0</v>
      </c>
      <c r="O146" s="5">
        <f>IF(OR(INDEX($V$2:$V$1001,MATCH(ROWS($U$2:U146),$U$2:$U$1001,0),1)&gt;=100000,INDEX($AB$1005:$AQ$1005,1,MATCH(COLUMNS($AB$1006:AO1006),$AB$1006:$AQ$1006,0))&gt;=100000), " ",IF(INDEX($AB$2:$AQ$1001,MATCH(ROWS($U$2:U146),$U$2:$U$1001,0),MATCH(COLUMNS($AB$1006:AO1006),$AB$1006:$AQ$1006,0)), HYPERLINK("#",""), HYPERLINK(CONCATENATE("#Metadata!", ADDRESS(INDEX($W$2:$W$1001,MATCH(ROWS($U$2:U146),$U$2:$U$1001,0),0), INDEX($AB$1004:$AQ$1004,1,MATCH(COLUMNS($AB$1006:AO1006),$AB$1006:$AQ$1006,0)))),"Fix")))</f>
        <v>0</v>
      </c>
      <c r="P146" s="5">
        <f>IF(OR(INDEX($V$2:$V$1001,MATCH(ROWS($U$2:U146),$U$2:$U$1001,0),1)&gt;=100000,INDEX($AB$1005:$AQ$1005,1,MATCH(COLUMNS($AB$1006:AP1006),$AB$1006:$AQ$1006,0))&gt;=100000), " ",IF(INDEX($AB$2:$AQ$1001,MATCH(ROWS($U$2:U146),$U$2:$U$1001,0),MATCH(COLUMNS($AB$1006:AP1006),$AB$1006:$AQ$1006,0)), HYPERLINK("#",""), HYPERLINK(CONCATENATE("#Metadata!", ADDRESS(INDEX($W$2:$W$1001,MATCH(ROWS($U$2:U146),$U$2:$U$1001,0),0), INDEX($AB$1004:$AQ$1004,1,MATCH(COLUMNS($AB$1006:AP1006),$AB$1006:$AQ$1006,0)))),"Fix")))</f>
        <v>0</v>
      </c>
      <c r="Q146" s="5">
        <f>IF(OR(INDEX($V$2:$V$1001,MATCH(ROWS($U$2:U146),$U$2:$U$1001,0),1)&gt;=100000,INDEX($AB$1005:$AQ$1005,1,MATCH(COLUMNS($AB$1006:AQ1006),$AB$1006:$AQ$1006,0))&gt;=100000), " ",IF(INDEX($AB$2:$AQ$1001,MATCH(ROWS($U$2:U146),$U$2:$U$1001,0),MATCH(COLUMNS($AB$1006:AQ1006),$AB$1006:$AQ$1006,0)), HYPERLINK("#",""), HYPERLINK(CONCATENATE("#Metadata!", ADDRESS(INDEX($W$2:$W$1001,MATCH(ROWS($U$2:U146),$U$2:$U$1001,0),0), INDEX($AB$1004:$AQ$1004,1,MATCH(COLUMNS($AB$1006:AQ1006),$AB$1006:$AQ$1006,0)))),"Fix")))</f>
        <v>0</v>
      </c>
      <c r="U146">
        <v>0</v>
      </c>
      <c r="V146">
        <v>0</v>
      </c>
      <c r="W146">
        <v>0</v>
      </c>
      <c r="X146">
        <f>IF(Y146,TRUE,AND(AB146:AQ146))</f>
        <v>0</v>
      </c>
      <c r="Y146">
        <f>COUNTBLANK(Metadata!B146:Q146)=COLUMNS(Metadata!B146:Q146)</f>
        <v>0</v>
      </c>
      <c r="Z146">
        <v>0</v>
      </c>
      <c r="AB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AC146">
        <f>AND(IF(Metadata!C146="",FALSE,TRUE),exact(Metadata!C146,"urban biome"))</f>
        <v>0</v>
      </c>
      <c r="AD146">
        <f>AND(IF(Metadata!D146="",FALSE,TRUE),exact(Metadata!D146,"human-associated habitat"))</f>
        <v>0</v>
      </c>
      <c r="AE146">
        <f>AND(IF(Metadata!E146="",FALSE,TRUE),OR(exact(Metadata!E146,"human-associated"),exact(Metadata!E146,"human-skin"),exact(Metadata!E146,"human-oral"),exact(Metadata!E146,"human-gut"),exact(Metadata!E146,"human-vaginal")))</f>
        <v>0</v>
      </c>
      <c r="AF146">
        <f>AND(IF(Metadata!F146="",FALSE,ISNUMBER(VALUE(Metadata!F146))),Metadata!F146&gt;0)</f>
        <v>0</v>
      </c>
      <c r="AG146">
        <f>AND(IF(Metadata!G146="",FALSE,TRUE),exact(Metadata!G146,"years"))</f>
        <v>0</v>
      </c>
      <c r="AH146">
        <f>OR(AND(IF(Metadata!H146="",FALSE,TRUE),OR(exact(Metadata!H146,"not applicable"),exact(Metadata!H146,"not collected"),exact(Metadata!H146,"not provided"),exact(Metadata!H146,"restricted access"))),AND(IF(Metadata!H146="",FALSE,ISNUMBER(VALUE(Metadata!H146))),Metadata!H146&gt;0))</f>
        <v>0</v>
      </c>
      <c r="AI146">
        <f>AND(IF(Metadata!I146="",FALSE,TRUE),exact(Metadata!I146,"human"))</f>
        <v>0</v>
      </c>
      <c r="AJ146">
        <f>AND(IF(Metadata!J146="",FALSE,ISNUMBER(VALUE(Metadata!J146))),Metadata!J146&gt;0)</f>
        <v>0</v>
      </c>
      <c r="AK146">
        <f>AND(IF(Metadata!K146="",FALSE,TRUE),exact(Metadata!K146,"cm"))</f>
        <v>0</v>
      </c>
      <c r="AL146">
        <f>AND(IF(Metadata!L146="",FALSE,TRUE),exact(Metadata!L146,"Homo sapiens"))</f>
        <v>0</v>
      </c>
      <c r="AM146">
        <f>AND(IF(Metadata!M146="",FALSE,TRUE),exact(Metadata!M146,"9606"))</f>
        <v>0</v>
      </c>
      <c r="AN146">
        <f>AND(IF(Metadata!N146="",FALSE,ISNUMBER(VALUE(Metadata!N146))),Metadata!N146&gt;0)</f>
        <v>0</v>
      </c>
      <c r="AO146">
        <f>AND(IF(Metadata!O146="",FALSE,TRUE),exact(Metadata!O146,"kg"))</f>
        <v>0</v>
      </c>
      <c r="AP146">
        <f>OR(AND(IF(Metadata!P146="",FALSE,TRUE),exact(Metadata!P146,"not provided")),IF(Metadata!P146="",FALSE,TRUE))</f>
        <v>0</v>
      </c>
      <c r="AQ146">
        <f>OR(AND(IF(Metadata!Q146="",FALSE,TRUE),exact(Metadata!Q146,"not provided")),IF(Metadata!Q146="",FALSE,TRUE))</f>
        <v>0</v>
      </c>
    </row>
    <row r="147" spans="1:43">
      <c r="A147" s="4">
        <f>IF(B147=" "," ",HYPERLINK(CONCATENATE("#metadata!",ADDRESS(INDEX($W$2:$W$1001,MATCH(ROWS($U$2:U147),$U$2:$U$1001,0),0),2)),INDEX($Z$2:$Z$1001,MATCH(ROWS($U$2:U147),$U$2:$U$1001,0),0)))</f>
        <v>0</v>
      </c>
      <c r="B147" s="5">
        <f>IF(OR(INDEX($V$2:$V$1001,MATCH(ROWS($U$2:U147),$U$2:$U$1001,0),1)&gt;=100000,INDEX($AB$1005:$AQ$1005,1,MATCH(COLUMNS($AB$1006:AB1006),$AB$1006:$AQ$1006,0))&gt;=100000), " ",IF(INDEX($AB$2:$AQ$1001,MATCH(ROWS($U$2:U147),$U$2:$U$1001,0),MATCH(COLUMNS($AB$1006:AB1006),$AB$1006:$AQ$1006,0)), HYPERLINK("#",""), HYPERLINK(CONCATENATE("#Metadata!", ADDRESS(INDEX($W$2:$W$1001,MATCH(ROWS($U$2:U147),$U$2:$U$1001,0),0), INDEX($AB$1004:$AQ$1004,1,MATCH(COLUMNS($AB$1006:AB1006),$AB$1006:$AQ$1006,0)))),"Fix")))</f>
        <v>0</v>
      </c>
      <c r="C147" s="5">
        <f>IF(OR(INDEX($V$2:$V$1001,MATCH(ROWS($U$2:U147),$U$2:$U$1001,0),1)&gt;=100000,INDEX($AB$1005:$AQ$1005,1,MATCH(COLUMNS($AB$1006:AC1006),$AB$1006:$AQ$1006,0))&gt;=100000), " ",IF(INDEX($AB$2:$AQ$1001,MATCH(ROWS($U$2:U147),$U$2:$U$1001,0),MATCH(COLUMNS($AB$1006:AC1006),$AB$1006:$AQ$1006,0)), HYPERLINK("#",""), HYPERLINK(CONCATENATE("#Metadata!", ADDRESS(INDEX($W$2:$W$1001,MATCH(ROWS($U$2:U147),$U$2:$U$1001,0),0), INDEX($AB$1004:$AQ$1004,1,MATCH(COLUMNS($AB$1006:AC1006),$AB$1006:$AQ$1006,0)))),"Fix")))</f>
        <v>0</v>
      </c>
      <c r="D147" s="5">
        <f>IF(OR(INDEX($V$2:$V$1001,MATCH(ROWS($U$2:U147),$U$2:$U$1001,0),1)&gt;=100000,INDEX($AB$1005:$AQ$1005,1,MATCH(COLUMNS($AB$1006:AD1006),$AB$1006:$AQ$1006,0))&gt;=100000), " ",IF(INDEX($AB$2:$AQ$1001,MATCH(ROWS($U$2:U147),$U$2:$U$1001,0),MATCH(COLUMNS($AB$1006:AD1006),$AB$1006:$AQ$1006,0)), HYPERLINK("#",""), HYPERLINK(CONCATENATE("#Metadata!", ADDRESS(INDEX($W$2:$W$1001,MATCH(ROWS($U$2:U147),$U$2:$U$1001,0),0), INDEX($AB$1004:$AQ$1004,1,MATCH(COLUMNS($AB$1006:AD1006),$AB$1006:$AQ$1006,0)))),"Fix")))</f>
        <v>0</v>
      </c>
      <c r="E147" s="5">
        <f>IF(OR(INDEX($V$2:$V$1001,MATCH(ROWS($U$2:U147),$U$2:$U$1001,0),1)&gt;=100000,INDEX($AB$1005:$AQ$1005,1,MATCH(COLUMNS($AB$1006:AE1006),$AB$1006:$AQ$1006,0))&gt;=100000), " ",IF(INDEX($AB$2:$AQ$1001,MATCH(ROWS($U$2:U147),$U$2:$U$1001,0),MATCH(COLUMNS($AB$1006:AE1006),$AB$1006:$AQ$1006,0)), HYPERLINK("#",""), HYPERLINK(CONCATENATE("#Metadata!", ADDRESS(INDEX($W$2:$W$1001,MATCH(ROWS($U$2:U147),$U$2:$U$1001,0),0), INDEX($AB$1004:$AQ$1004,1,MATCH(COLUMNS($AB$1006:AE1006),$AB$1006:$AQ$1006,0)))),"Fix")))</f>
        <v>0</v>
      </c>
      <c r="F147" s="5">
        <f>IF(OR(INDEX($V$2:$V$1001,MATCH(ROWS($U$2:U147),$U$2:$U$1001,0),1)&gt;=100000,INDEX($AB$1005:$AQ$1005,1,MATCH(COLUMNS($AB$1006:AF1006),$AB$1006:$AQ$1006,0))&gt;=100000), " ",IF(INDEX($AB$2:$AQ$1001,MATCH(ROWS($U$2:U147),$U$2:$U$1001,0),MATCH(COLUMNS($AB$1006:AF1006),$AB$1006:$AQ$1006,0)), HYPERLINK("#",""), HYPERLINK(CONCATENATE("#Metadata!", ADDRESS(INDEX($W$2:$W$1001,MATCH(ROWS($U$2:U147),$U$2:$U$1001,0),0), INDEX($AB$1004:$AQ$1004,1,MATCH(COLUMNS($AB$1006:AF1006),$AB$1006:$AQ$1006,0)))),"Fix")))</f>
        <v>0</v>
      </c>
      <c r="G147" s="5">
        <f>IF(OR(INDEX($V$2:$V$1001,MATCH(ROWS($U$2:U147),$U$2:$U$1001,0),1)&gt;=100000,INDEX($AB$1005:$AQ$1005,1,MATCH(COLUMNS($AB$1006:AG1006),$AB$1006:$AQ$1006,0))&gt;=100000), " ",IF(INDEX($AB$2:$AQ$1001,MATCH(ROWS($U$2:U147),$U$2:$U$1001,0),MATCH(COLUMNS($AB$1006:AG1006),$AB$1006:$AQ$1006,0)), HYPERLINK("#",""), HYPERLINK(CONCATENATE("#Metadata!", ADDRESS(INDEX($W$2:$W$1001,MATCH(ROWS($U$2:U147),$U$2:$U$1001,0),0), INDEX($AB$1004:$AQ$1004,1,MATCH(COLUMNS($AB$1006:AG1006),$AB$1006:$AQ$1006,0)))),"Fix")))</f>
        <v>0</v>
      </c>
      <c r="H147" s="5">
        <f>IF(OR(INDEX($V$2:$V$1001,MATCH(ROWS($U$2:U147),$U$2:$U$1001,0),1)&gt;=100000,INDEX($AB$1005:$AQ$1005,1,MATCH(COLUMNS($AB$1006:AH1006),$AB$1006:$AQ$1006,0))&gt;=100000), " ",IF(INDEX($AB$2:$AQ$1001,MATCH(ROWS($U$2:U147),$U$2:$U$1001,0),MATCH(COLUMNS($AB$1006:AH1006),$AB$1006:$AQ$1006,0)), HYPERLINK("#",""), HYPERLINK(CONCATENATE("#Metadata!", ADDRESS(INDEX($W$2:$W$1001,MATCH(ROWS($U$2:U147),$U$2:$U$1001,0),0), INDEX($AB$1004:$AQ$1004,1,MATCH(COLUMNS($AB$1006:AH1006),$AB$1006:$AQ$1006,0)))),"Fix")))</f>
        <v>0</v>
      </c>
      <c r="I147" s="5">
        <f>IF(OR(INDEX($V$2:$V$1001,MATCH(ROWS($U$2:U147),$U$2:$U$1001,0),1)&gt;=100000,INDEX($AB$1005:$AQ$1005,1,MATCH(COLUMNS($AB$1006:AI1006),$AB$1006:$AQ$1006,0))&gt;=100000), " ",IF(INDEX($AB$2:$AQ$1001,MATCH(ROWS($U$2:U147),$U$2:$U$1001,0),MATCH(COLUMNS($AB$1006:AI1006),$AB$1006:$AQ$1006,0)), HYPERLINK("#",""), HYPERLINK(CONCATENATE("#Metadata!", ADDRESS(INDEX($W$2:$W$1001,MATCH(ROWS($U$2:U147),$U$2:$U$1001,0),0), INDEX($AB$1004:$AQ$1004,1,MATCH(COLUMNS($AB$1006:AI1006),$AB$1006:$AQ$1006,0)))),"Fix")))</f>
        <v>0</v>
      </c>
      <c r="J147" s="5">
        <f>IF(OR(INDEX($V$2:$V$1001,MATCH(ROWS($U$2:U147),$U$2:$U$1001,0),1)&gt;=100000,INDEX($AB$1005:$AQ$1005,1,MATCH(COLUMNS($AB$1006:AJ1006),$AB$1006:$AQ$1006,0))&gt;=100000), " ",IF(INDEX($AB$2:$AQ$1001,MATCH(ROWS($U$2:U147),$U$2:$U$1001,0),MATCH(COLUMNS($AB$1006:AJ1006),$AB$1006:$AQ$1006,0)), HYPERLINK("#",""), HYPERLINK(CONCATENATE("#Metadata!", ADDRESS(INDEX($W$2:$W$1001,MATCH(ROWS($U$2:U147),$U$2:$U$1001,0),0), INDEX($AB$1004:$AQ$1004,1,MATCH(COLUMNS($AB$1006:AJ1006),$AB$1006:$AQ$1006,0)))),"Fix")))</f>
        <v>0</v>
      </c>
      <c r="K147" s="5">
        <f>IF(OR(INDEX($V$2:$V$1001,MATCH(ROWS($U$2:U147),$U$2:$U$1001,0),1)&gt;=100000,INDEX($AB$1005:$AQ$1005,1,MATCH(COLUMNS($AB$1006:AK1006),$AB$1006:$AQ$1006,0))&gt;=100000), " ",IF(INDEX($AB$2:$AQ$1001,MATCH(ROWS($U$2:U147),$U$2:$U$1001,0),MATCH(COLUMNS($AB$1006:AK1006),$AB$1006:$AQ$1006,0)), HYPERLINK("#",""), HYPERLINK(CONCATENATE("#Metadata!", ADDRESS(INDEX($W$2:$W$1001,MATCH(ROWS($U$2:U147),$U$2:$U$1001,0),0), INDEX($AB$1004:$AQ$1004,1,MATCH(COLUMNS($AB$1006:AK1006),$AB$1006:$AQ$1006,0)))),"Fix")))</f>
        <v>0</v>
      </c>
      <c r="L147" s="5">
        <f>IF(OR(INDEX($V$2:$V$1001,MATCH(ROWS($U$2:U147),$U$2:$U$1001,0),1)&gt;=100000,INDEX($AB$1005:$AQ$1005,1,MATCH(COLUMNS($AB$1006:AL1006),$AB$1006:$AQ$1006,0))&gt;=100000), " ",IF(INDEX($AB$2:$AQ$1001,MATCH(ROWS($U$2:U147),$U$2:$U$1001,0),MATCH(COLUMNS($AB$1006:AL1006),$AB$1006:$AQ$1006,0)), HYPERLINK("#",""), HYPERLINK(CONCATENATE("#Metadata!", ADDRESS(INDEX($W$2:$W$1001,MATCH(ROWS($U$2:U147),$U$2:$U$1001,0),0), INDEX($AB$1004:$AQ$1004,1,MATCH(COLUMNS($AB$1006:AL1006),$AB$1006:$AQ$1006,0)))),"Fix")))</f>
        <v>0</v>
      </c>
      <c r="M147" s="5">
        <f>IF(OR(INDEX($V$2:$V$1001,MATCH(ROWS($U$2:U147),$U$2:$U$1001,0),1)&gt;=100000,INDEX($AB$1005:$AQ$1005,1,MATCH(COLUMNS($AB$1006:AM1006),$AB$1006:$AQ$1006,0))&gt;=100000), " ",IF(INDEX($AB$2:$AQ$1001,MATCH(ROWS($U$2:U147),$U$2:$U$1001,0),MATCH(COLUMNS($AB$1006:AM1006),$AB$1006:$AQ$1006,0)), HYPERLINK("#",""), HYPERLINK(CONCATENATE("#Metadata!", ADDRESS(INDEX($W$2:$W$1001,MATCH(ROWS($U$2:U147),$U$2:$U$1001,0),0), INDEX($AB$1004:$AQ$1004,1,MATCH(COLUMNS($AB$1006:AM1006),$AB$1006:$AQ$1006,0)))),"Fix")))</f>
        <v>0</v>
      </c>
      <c r="N147" s="5">
        <f>IF(OR(INDEX($V$2:$V$1001,MATCH(ROWS($U$2:U147),$U$2:$U$1001,0),1)&gt;=100000,INDEX($AB$1005:$AQ$1005,1,MATCH(COLUMNS($AB$1006:AN1006),$AB$1006:$AQ$1006,0))&gt;=100000), " ",IF(INDEX($AB$2:$AQ$1001,MATCH(ROWS($U$2:U147),$U$2:$U$1001,0),MATCH(COLUMNS($AB$1006:AN1006),$AB$1006:$AQ$1006,0)), HYPERLINK("#",""), HYPERLINK(CONCATENATE("#Metadata!", ADDRESS(INDEX($W$2:$W$1001,MATCH(ROWS($U$2:U147),$U$2:$U$1001,0),0), INDEX($AB$1004:$AQ$1004,1,MATCH(COLUMNS($AB$1006:AN1006),$AB$1006:$AQ$1006,0)))),"Fix")))</f>
        <v>0</v>
      </c>
      <c r="O147" s="5">
        <f>IF(OR(INDEX($V$2:$V$1001,MATCH(ROWS($U$2:U147),$U$2:$U$1001,0),1)&gt;=100000,INDEX($AB$1005:$AQ$1005,1,MATCH(COLUMNS($AB$1006:AO1006),$AB$1006:$AQ$1006,0))&gt;=100000), " ",IF(INDEX($AB$2:$AQ$1001,MATCH(ROWS($U$2:U147),$U$2:$U$1001,0),MATCH(COLUMNS($AB$1006:AO1006),$AB$1006:$AQ$1006,0)), HYPERLINK("#",""), HYPERLINK(CONCATENATE("#Metadata!", ADDRESS(INDEX($W$2:$W$1001,MATCH(ROWS($U$2:U147),$U$2:$U$1001,0),0), INDEX($AB$1004:$AQ$1004,1,MATCH(COLUMNS($AB$1006:AO1006),$AB$1006:$AQ$1006,0)))),"Fix")))</f>
        <v>0</v>
      </c>
      <c r="P147" s="5">
        <f>IF(OR(INDEX($V$2:$V$1001,MATCH(ROWS($U$2:U147),$U$2:$U$1001,0),1)&gt;=100000,INDEX($AB$1005:$AQ$1005,1,MATCH(COLUMNS($AB$1006:AP1006),$AB$1006:$AQ$1006,0))&gt;=100000), " ",IF(INDEX($AB$2:$AQ$1001,MATCH(ROWS($U$2:U147),$U$2:$U$1001,0),MATCH(COLUMNS($AB$1006:AP1006),$AB$1006:$AQ$1006,0)), HYPERLINK("#",""), HYPERLINK(CONCATENATE("#Metadata!", ADDRESS(INDEX($W$2:$W$1001,MATCH(ROWS($U$2:U147),$U$2:$U$1001,0),0), INDEX($AB$1004:$AQ$1004,1,MATCH(COLUMNS($AB$1006:AP1006),$AB$1006:$AQ$1006,0)))),"Fix")))</f>
        <v>0</v>
      </c>
      <c r="Q147" s="5">
        <f>IF(OR(INDEX($V$2:$V$1001,MATCH(ROWS($U$2:U147),$U$2:$U$1001,0),1)&gt;=100000,INDEX($AB$1005:$AQ$1005,1,MATCH(COLUMNS($AB$1006:AQ1006),$AB$1006:$AQ$1006,0))&gt;=100000), " ",IF(INDEX($AB$2:$AQ$1001,MATCH(ROWS($U$2:U147),$U$2:$U$1001,0),MATCH(COLUMNS($AB$1006:AQ1006),$AB$1006:$AQ$1006,0)), HYPERLINK("#",""), HYPERLINK(CONCATENATE("#Metadata!", ADDRESS(INDEX($W$2:$W$1001,MATCH(ROWS($U$2:U147),$U$2:$U$1001,0),0), INDEX($AB$1004:$AQ$1004,1,MATCH(COLUMNS($AB$1006:AQ1006),$AB$1006:$AQ$1006,0)))),"Fix")))</f>
        <v>0</v>
      </c>
      <c r="U147">
        <v>0</v>
      </c>
      <c r="V147">
        <v>0</v>
      </c>
      <c r="W147">
        <v>0</v>
      </c>
      <c r="X147">
        <f>IF(Y147,TRUE,AND(AB147:AQ147))</f>
        <v>0</v>
      </c>
      <c r="Y147">
        <f>COUNTBLANK(Metadata!B147:Q147)=COLUMNS(Metadata!B147:Q147)</f>
        <v>0</v>
      </c>
      <c r="Z147">
        <v>0</v>
      </c>
      <c r="AB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AC147">
        <f>AND(IF(Metadata!C147="",FALSE,TRUE),exact(Metadata!C147,"urban biome"))</f>
        <v>0</v>
      </c>
      <c r="AD147">
        <f>AND(IF(Metadata!D147="",FALSE,TRUE),exact(Metadata!D147,"human-associated habitat"))</f>
        <v>0</v>
      </c>
      <c r="AE147">
        <f>AND(IF(Metadata!E147="",FALSE,TRUE),OR(exact(Metadata!E147,"human-associated"),exact(Metadata!E147,"human-skin"),exact(Metadata!E147,"human-oral"),exact(Metadata!E147,"human-gut"),exact(Metadata!E147,"human-vaginal")))</f>
        <v>0</v>
      </c>
      <c r="AF147">
        <f>AND(IF(Metadata!F147="",FALSE,ISNUMBER(VALUE(Metadata!F147))),Metadata!F147&gt;0)</f>
        <v>0</v>
      </c>
      <c r="AG147">
        <f>AND(IF(Metadata!G147="",FALSE,TRUE),exact(Metadata!G147,"years"))</f>
        <v>0</v>
      </c>
      <c r="AH147">
        <f>OR(AND(IF(Metadata!H147="",FALSE,TRUE),OR(exact(Metadata!H147,"not applicable"),exact(Metadata!H147,"not collected"),exact(Metadata!H147,"not provided"),exact(Metadata!H147,"restricted access"))),AND(IF(Metadata!H147="",FALSE,ISNUMBER(VALUE(Metadata!H147))),Metadata!H147&gt;0))</f>
        <v>0</v>
      </c>
      <c r="AI147">
        <f>AND(IF(Metadata!I147="",FALSE,TRUE),exact(Metadata!I147,"human"))</f>
        <v>0</v>
      </c>
      <c r="AJ147">
        <f>AND(IF(Metadata!J147="",FALSE,ISNUMBER(VALUE(Metadata!J147))),Metadata!J147&gt;0)</f>
        <v>0</v>
      </c>
      <c r="AK147">
        <f>AND(IF(Metadata!K147="",FALSE,TRUE),exact(Metadata!K147,"cm"))</f>
        <v>0</v>
      </c>
      <c r="AL147">
        <f>AND(IF(Metadata!L147="",FALSE,TRUE),exact(Metadata!L147,"Homo sapiens"))</f>
        <v>0</v>
      </c>
      <c r="AM147">
        <f>AND(IF(Metadata!M147="",FALSE,TRUE),exact(Metadata!M147,"9606"))</f>
        <v>0</v>
      </c>
      <c r="AN147">
        <f>AND(IF(Metadata!N147="",FALSE,ISNUMBER(VALUE(Metadata!N147))),Metadata!N147&gt;0)</f>
        <v>0</v>
      </c>
      <c r="AO147">
        <f>AND(IF(Metadata!O147="",FALSE,TRUE),exact(Metadata!O147,"kg"))</f>
        <v>0</v>
      </c>
      <c r="AP147">
        <f>OR(AND(IF(Metadata!P147="",FALSE,TRUE),exact(Metadata!P147,"not provided")),IF(Metadata!P147="",FALSE,TRUE))</f>
        <v>0</v>
      </c>
      <c r="AQ147">
        <f>OR(AND(IF(Metadata!Q147="",FALSE,TRUE),exact(Metadata!Q147,"not provided")),IF(Metadata!Q147="",FALSE,TRUE))</f>
        <v>0</v>
      </c>
    </row>
    <row r="148" spans="1:43">
      <c r="A148" s="4">
        <f>IF(B148=" "," ",HYPERLINK(CONCATENATE("#metadata!",ADDRESS(INDEX($W$2:$W$1001,MATCH(ROWS($U$2:U148),$U$2:$U$1001,0),0),2)),INDEX($Z$2:$Z$1001,MATCH(ROWS($U$2:U148),$U$2:$U$1001,0),0)))</f>
        <v>0</v>
      </c>
      <c r="B148" s="5">
        <f>IF(OR(INDEX($V$2:$V$1001,MATCH(ROWS($U$2:U148),$U$2:$U$1001,0),1)&gt;=100000,INDEX($AB$1005:$AQ$1005,1,MATCH(COLUMNS($AB$1006:AB1006),$AB$1006:$AQ$1006,0))&gt;=100000), " ",IF(INDEX($AB$2:$AQ$1001,MATCH(ROWS($U$2:U148),$U$2:$U$1001,0),MATCH(COLUMNS($AB$1006:AB1006),$AB$1006:$AQ$1006,0)), HYPERLINK("#",""), HYPERLINK(CONCATENATE("#Metadata!", ADDRESS(INDEX($W$2:$W$1001,MATCH(ROWS($U$2:U148),$U$2:$U$1001,0),0), INDEX($AB$1004:$AQ$1004,1,MATCH(COLUMNS($AB$1006:AB1006),$AB$1006:$AQ$1006,0)))),"Fix")))</f>
        <v>0</v>
      </c>
      <c r="C148" s="5">
        <f>IF(OR(INDEX($V$2:$V$1001,MATCH(ROWS($U$2:U148),$U$2:$U$1001,0),1)&gt;=100000,INDEX($AB$1005:$AQ$1005,1,MATCH(COLUMNS($AB$1006:AC1006),$AB$1006:$AQ$1006,0))&gt;=100000), " ",IF(INDEX($AB$2:$AQ$1001,MATCH(ROWS($U$2:U148),$U$2:$U$1001,0),MATCH(COLUMNS($AB$1006:AC1006),$AB$1006:$AQ$1006,0)), HYPERLINK("#",""), HYPERLINK(CONCATENATE("#Metadata!", ADDRESS(INDEX($W$2:$W$1001,MATCH(ROWS($U$2:U148),$U$2:$U$1001,0),0), INDEX($AB$1004:$AQ$1004,1,MATCH(COLUMNS($AB$1006:AC1006),$AB$1006:$AQ$1006,0)))),"Fix")))</f>
        <v>0</v>
      </c>
      <c r="D148" s="5">
        <f>IF(OR(INDEX($V$2:$V$1001,MATCH(ROWS($U$2:U148),$U$2:$U$1001,0),1)&gt;=100000,INDEX($AB$1005:$AQ$1005,1,MATCH(COLUMNS($AB$1006:AD1006),$AB$1006:$AQ$1006,0))&gt;=100000), " ",IF(INDEX($AB$2:$AQ$1001,MATCH(ROWS($U$2:U148),$U$2:$U$1001,0),MATCH(COLUMNS($AB$1006:AD1006),$AB$1006:$AQ$1006,0)), HYPERLINK("#",""), HYPERLINK(CONCATENATE("#Metadata!", ADDRESS(INDEX($W$2:$W$1001,MATCH(ROWS($U$2:U148),$U$2:$U$1001,0),0), INDEX($AB$1004:$AQ$1004,1,MATCH(COLUMNS($AB$1006:AD1006),$AB$1006:$AQ$1006,0)))),"Fix")))</f>
        <v>0</v>
      </c>
      <c r="E148" s="5">
        <f>IF(OR(INDEX($V$2:$V$1001,MATCH(ROWS($U$2:U148),$U$2:$U$1001,0),1)&gt;=100000,INDEX($AB$1005:$AQ$1005,1,MATCH(COLUMNS($AB$1006:AE1006),$AB$1006:$AQ$1006,0))&gt;=100000), " ",IF(INDEX($AB$2:$AQ$1001,MATCH(ROWS($U$2:U148),$U$2:$U$1001,0),MATCH(COLUMNS($AB$1006:AE1006),$AB$1006:$AQ$1006,0)), HYPERLINK("#",""), HYPERLINK(CONCATENATE("#Metadata!", ADDRESS(INDEX($W$2:$W$1001,MATCH(ROWS($U$2:U148),$U$2:$U$1001,0),0), INDEX($AB$1004:$AQ$1004,1,MATCH(COLUMNS($AB$1006:AE1006),$AB$1006:$AQ$1006,0)))),"Fix")))</f>
        <v>0</v>
      </c>
      <c r="F148" s="5">
        <f>IF(OR(INDEX($V$2:$V$1001,MATCH(ROWS($U$2:U148),$U$2:$U$1001,0),1)&gt;=100000,INDEX($AB$1005:$AQ$1005,1,MATCH(COLUMNS($AB$1006:AF1006),$AB$1006:$AQ$1006,0))&gt;=100000), " ",IF(INDEX($AB$2:$AQ$1001,MATCH(ROWS($U$2:U148),$U$2:$U$1001,0),MATCH(COLUMNS($AB$1006:AF1006),$AB$1006:$AQ$1006,0)), HYPERLINK("#",""), HYPERLINK(CONCATENATE("#Metadata!", ADDRESS(INDEX($W$2:$W$1001,MATCH(ROWS($U$2:U148),$U$2:$U$1001,0),0), INDEX($AB$1004:$AQ$1004,1,MATCH(COLUMNS($AB$1006:AF1006),$AB$1006:$AQ$1006,0)))),"Fix")))</f>
        <v>0</v>
      </c>
      <c r="G148" s="5">
        <f>IF(OR(INDEX($V$2:$V$1001,MATCH(ROWS($U$2:U148),$U$2:$U$1001,0),1)&gt;=100000,INDEX($AB$1005:$AQ$1005,1,MATCH(COLUMNS($AB$1006:AG1006),$AB$1006:$AQ$1006,0))&gt;=100000), " ",IF(INDEX($AB$2:$AQ$1001,MATCH(ROWS($U$2:U148),$U$2:$U$1001,0),MATCH(COLUMNS($AB$1006:AG1006),$AB$1006:$AQ$1006,0)), HYPERLINK("#",""), HYPERLINK(CONCATENATE("#Metadata!", ADDRESS(INDEX($W$2:$W$1001,MATCH(ROWS($U$2:U148),$U$2:$U$1001,0),0), INDEX($AB$1004:$AQ$1004,1,MATCH(COLUMNS($AB$1006:AG1006),$AB$1006:$AQ$1006,0)))),"Fix")))</f>
        <v>0</v>
      </c>
      <c r="H148" s="5">
        <f>IF(OR(INDEX($V$2:$V$1001,MATCH(ROWS($U$2:U148),$U$2:$U$1001,0),1)&gt;=100000,INDEX($AB$1005:$AQ$1005,1,MATCH(COLUMNS($AB$1006:AH1006),$AB$1006:$AQ$1006,0))&gt;=100000), " ",IF(INDEX($AB$2:$AQ$1001,MATCH(ROWS($U$2:U148),$U$2:$U$1001,0),MATCH(COLUMNS($AB$1006:AH1006),$AB$1006:$AQ$1006,0)), HYPERLINK("#",""), HYPERLINK(CONCATENATE("#Metadata!", ADDRESS(INDEX($W$2:$W$1001,MATCH(ROWS($U$2:U148),$U$2:$U$1001,0),0), INDEX($AB$1004:$AQ$1004,1,MATCH(COLUMNS($AB$1006:AH1006),$AB$1006:$AQ$1006,0)))),"Fix")))</f>
        <v>0</v>
      </c>
      <c r="I148" s="5">
        <f>IF(OR(INDEX($V$2:$V$1001,MATCH(ROWS($U$2:U148),$U$2:$U$1001,0),1)&gt;=100000,INDEX($AB$1005:$AQ$1005,1,MATCH(COLUMNS($AB$1006:AI1006),$AB$1006:$AQ$1006,0))&gt;=100000), " ",IF(INDEX($AB$2:$AQ$1001,MATCH(ROWS($U$2:U148),$U$2:$U$1001,0),MATCH(COLUMNS($AB$1006:AI1006),$AB$1006:$AQ$1006,0)), HYPERLINK("#",""), HYPERLINK(CONCATENATE("#Metadata!", ADDRESS(INDEX($W$2:$W$1001,MATCH(ROWS($U$2:U148),$U$2:$U$1001,0),0), INDEX($AB$1004:$AQ$1004,1,MATCH(COLUMNS($AB$1006:AI1006),$AB$1006:$AQ$1006,0)))),"Fix")))</f>
        <v>0</v>
      </c>
      <c r="J148" s="5">
        <f>IF(OR(INDEX($V$2:$V$1001,MATCH(ROWS($U$2:U148),$U$2:$U$1001,0),1)&gt;=100000,INDEX($AB$1005:$AQ$1005,1,MATCH(COLUMNS($AB$1006:AJ1006),$AB$1006:$AQ$1006,0))&gt;=100000), " ",IF(INDEX($AB$2:$AQ$1001,MATCH(ROWS($U$2:U148),$U$2:$U$1001,0),MATCH(COLUMNS($AB$1006:AJ1006),$AB$1006:$AQ$1006,0)), HYPERLINK("#",""), HYPERLINK(CONCATENATE("#Metadata!", ADDRESS(INDEX($W$2:$W$1001,MATCH(ROWS($U$2:U148),$U$2:$U$1001,0),0), INDEX($AB$1004:$AQ$1004,1,MATCH(COLUMNS($AB$1006:AJ1006),$AB$1006:$AQ$1006,0)))),"Fix")))</f>
        <v>0</v>
      </c>
      <c r="K148" s="5">
        <f>IF(OR(INDEX($V$2:$V$1001,MATCH(ROWS($U$2:U148),$U$2:$U$1001,0),1)&gt;=100000,INDEX($AB$1005:$AQ$1005,1,MATCH(COLUMNS($AB$1006:AK1006),$AB$1006:$AQ$1006,0))&gt;=100000), " ",IF(INDEX($AB$2:$AQ$1001,MATCH(ROWS($U$2:U148),$U$2:$U$1001,0),MATCH(COLUMNS($AB$1006:AK1006),$AB$1006:$AQ$1006,0)), HYPERLINK("#",""), HYPERLINK(CONCATENATE("#Metadata!", ADDRESS(INDEX($W$2:$W$1001,MATCH(ROWS($U$2:U148),$U$2:$U$1001,0),0), INDEX($AB$1004:$AQ$1004,1,MATCH(COLUMNS($AB$1006:AK1006),$AB$1006:$AQ$1006,0)))),"Fix")))</f>
        <v>0</v>
      </c>
      <c r="L148" s="5">
        <f>IF(OR(INDEX($V$2:$V$1001,MATCH(ROWS($U$2:U148),$U$2:$U$1001,0),1)&gt;=100000,INDEX($AB$1005:$AQ$1005,1,MATCH(COLUMNS($AB$1006:AL1006),$AB$1006:$AQ$1006,0))&gt;=100000), " ",IF(INDEX($AB$2:$AQ$1001,MATCH(ROWS($U$2:U148),$U$2:$U$1001,0),MATCH(COLUMNS($AB$1006:AL1006),$AB$1006:$AQ$1006,0)), HYPERLINK("#",""), HYPERLINK(CONCATENATE("#Metadata!", ADDRESS(INDEX($W$2:$W$1001,MATCH(ROWS($U$2:U148),$U$2:$U$1001,0),0), INDEX($AB$1004:$AQ$1004,1,MATCH(COLUMNS($AB$1006:AL1006),$AB$1006:$AQ$1006,0)))),"Fix")))</f>
        <v>0</v>
      </c>
      <c r="M148" s="5">
        <f>IF(OR(INDEX($V$2:$V$1001,MATCH(ROWS($U$2:U148),$U$2:$U$1001,0),1)&gt;=100000,INDEX($AB$1005:$AQ$1005,1,MATCH(COLUMNS($AB$1006:AM1006),$AB$1006:$AQ$1006,0))&gt;=100000), " ",IF(INDEX($AB$2:$AQ$1001,MATCH(ROWS($U$2:U148),$U$2:$U$1001,0),MATCH(COLUMNS($AB$1006:AM1006),$AB$1006:$AQ$1006,0)), HYPERLINK("#",""), HYPERLINK(CONCATENATE("#Metadata!", ADDRESS(INDEX($W$2:$W$1001,MATCH(ROWS($U$2:U148),$U$2:$U$1001,0),0), INDEX($AB$1004:$AQ$1004,1,MATCH(COLUMNS($AB$1006:AM1006),$AB$1006:$AQ$1006,0)))),"Fix")))</f>
        <v>0</v>
      </c>
      <c r="N148" s="5">
        <f>IF(OR(INDEX($V$2:$V$1001,MATCH(ROWS($U$2:U148),$U$2:$U$1001,0),1)&gt;=100000,INDEX($AB$1005:$AQ$1005,1,MATCH(COLUMNS($AB$1006:AN1006),$AB$1006:$AQ$1006,0))&gt;=100000), " ",IF(INDEX($AB$2:$AQ$1001,MATCH(ROWS($U$2:U148),$U$2:$U$1001,0),MATCH(COLUMNS($AB$1006:AN1006),$AB$1006:$AQ$1006,0)), HYPERLINK("#",""), HYPERLINK(CONCATENATE("#Metadata!", ADDRESS(INDEX($W$2:$W$1001,MATCH(ROWS($U$2:U148),$U$2:$U$1001,0),0), INDEX($AB$1004:$AQ$1004,1,MATCH(COLUMNS($AB$1006:AN1006),$AB$1006:$AQ$1006,0)))),"Fix")))</f>
        <v>0</v>
      </c>
      <c r="O148" s="5">
        <f>IF(OR(INDEX($V$2:$V$1001,MATCH(ROWS($U$2:U148),$U$2:$U$1001,0),1)&gt;=100000,INDEX($AB$1005:$AQ$1005,1,MATCH(COLUMNS($AB$1006:AO1006),$AB$1006:$AQ$1006,0))&gt;=100000), " ",IF(INDEX($AB$2:$AQ$1001,MATCH(ROWS($U$2:U148),$U$2:$U$1001,0),MATCH(COLUMNS($AB$1006:AO1006),$AB$1006:$AQ$1006,0)), HYPERLINK("#",""), HYPERLINK(CONCATENATE("#Metadata!", ADDRESS(INDEX($W$2:$W$1001,MATCH(ROWS($U$2:U148),$U$2:$U$1001,0),0), INDEX($AB$1004:$AQ$1004,1,MATCH(COLUMNS($AB$1006:AO1006),$AB$1006:$AQ$1006,0)))),"Fix")))</f>
        <v>0</v>
      </c>
      <c r="P148" s="5">
        <f>IF(OR(INDEX($V$2:$V$1001,MATCH(ROWS($U$2:U148),$U$2:$U$1001,0),1)&gt;=100000,INDEX($AB$1005:$AQ$1005,1,MATCH(COLUMNS($AB$1006:AP1006),$AB$1006:$AQ$1006,0))&gt;=100000), " ",IF(INDEX($AB$2:$AQ$1001,MATCH(ROWS($U$2:U148),$U$2:$U$1001,0),MATCH(COLUMNS($AB$1006:AP1006),$AB$1006:$AQ$1006,0)), HYPERLINK("#",""), HYPERLINK(CONCATENATE("#Metadata!", ADDRESS(INDEX($W$2:$W$1001,MATCH(ROWS($U$2:U148),$U$2:$U$1001,0),0), INDEX($AB$1004:$AQ$1004,1,MATCH(COLUMNS($AB$1006:AP1006),$AB$1006:$AQ$1006,0)))),"Fix")))</f>
        <v>0</v>
      </c>
      <c r="Q148" s="5">
        <f>IF(OR(INDEX($V$2:$V$1001,MATCH(ROWS($U$2:U148),$U$2:$U$1001,0),1)&gt;=100000,INDEX($AB$1005:$AQ$1005,1,MATCH(COLUMNS($AB$1006:AQ1006),$AB$1006:$AQ$1006,0))&gt;=100000), " ",IF(INDEX($AB$2:$AQ$1001,MATCH(ROWS($U$2:U148),$U$2:$U$1001,0),MATCH(COLUMNS($AB$1006:AQ1006),$AB$1006:$AQ$1006,0)), HYPERLINK("#",""), HYPERLINK(CONCATENATE("#Metadata!", ADDRESS(INDEX($W$2:$W$1001,MATCH(ROWS($U$2:U148),$U$2:$U$1001,0),0), INDEX($AB$1004:$AQ$1004,1,MATCH(COLUMNS($AB$1006:AQ1006),$AB$1006:$AQ$1006,0)))),"Fix")))</f>
        <v>0</v>
      </c>
      <c r="U148">
        <v>0</v>
      </c>
      <c r="V148">
        <v>0</v>
      </c>
      <c r="W148">
        <v>0</v>
      </c>
      <c r="X148">
        <f>IF(Y148,TRUE,AND(AB148:AQ148))</f>
        <v>0</v>
      </c>
      <c r="Y148">
        <f>COUNTBLANK(Metadata!B148:Q148)=COLUMNS(Metadata!B148:Q148)</f>
        <v>0</v>
      </c>
      <c r="Z148">
        <v>0</v>
      </c>
      <c r="AB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AC148">
        <f>AND(IF(Metadata!C148="",FALSE,TRUE),exact(Metadata!C148,"urban biome"))</f>
        <v>0</v>
      </c>
      <c r="AD148">
        <f>AND(IF(Metadata!D148="",FALSE,TRUE),exact(Metadata!D148,"human-associated habitat"))</f>
        <v>0</v>
      </c>
      <c r="AE148">
        <f>AND(IF(Metadata!E148="",FALSE,TRUE),OR(exact(Metadata!E148,"human-associated"),exact(Metadata!E148,"human-skin"),exact(Metadata!E148,"human-oral"),exact(Metadata!E148,"human-gut"),exact(Metadata!E148,"human-vaginal")))</f>
        <v>0</v>
      </c>
      <c r="AF148">
        <f>AND(IF(Metadata!F148="",FALSE,ISNUMBER(VALUE(Metadata!F148))),Metadata!F148&gt;0)</f>
        <v>0</v>
      </c>
      <c r="AG148">
        <f>AND(IF(Metadata!G148="",FALSE,TRUE),exact(Metadata!G148,"years"))</f>
        <v>0</v>
      </c>
      <c r="AH148">
        <f>OR(AND(IF(Metadata!H148="",FALSE,TRUE),OR(exact(Metadata!H148,"not applicable"),exact(Metadata!H148,"not collected"),exact(Metadata!H148,"not provided"),exact(Metadata!H148,"restricted access"))),AND(IF(Metadata!H148="",FALSE,ISNUMBER(VALUE(Metadata!H148))),Metadata!H148&gt;0))</f>
        <v>0</v>
      </c>
      <c r="AI148">
        <f>AND(IF(Metadata!I148="",FALSE,TRUE),exact(Metadata!I148,"human"))</f>
        <v>0</v>
      </c>
      <c r="AJ148">
        <f>AND(IF(Metadata!J148="",FALSE,ISNUMBER(VALUE(Metadata!J148))),Metadata!J148&gt;0)</f>
        <v>0</v>
      </c>
      <c r="AK148">
        <f>AND(IF(Metadata!K148="",FALSE,TRUE),exact(Metadata!K148,"cm"))</f>
        <v>0</v>
      </c>
      <c r="AL148">
        <f>AND(IF(Metadata!L148="",FALSE,TRUE),exact(Metadata!L148,"Homo sapiens"))</f>
        <v>0</v>
      </c>
      <c r="AM148">
        <f>AND(IF(Metadata!M148="",FALSE,TRUE),exact(Metadata!M148,"9606"))</f>
        <v>0</v>
      </c>
      <c r="AN148">
        <f>AND(IF(Metadata!N148="",FALSE,ISNUMBER(VALUE(Metadata!N148))),Metadata!N148&gt;0)</f>
        <v>0</v>
      </c>
      <c r="AO148">
        <f>AND(IF(Metadata!O148="",FALSE,TRUE),exact(Metadata!O148,"kg"))</f>
        <v>0</v>
      </c>
      <c r="AP148">
        <f>OR(AND(IF(Metadata!P148="",FALSE,TRUE),exact(Metadata!P148,"not provided")),IF(Metadata!P148="",FALSE,TRUE))</f>
        <v>0</v>
      </c>
      <c r="AQ148">
        <f>OR(AND(IF(Metadata!Q148="",FALSE,TRUE),exact(Metadata!Q148,"not provided")),IF(Metadata!Q148="",FALSE,TRUE))</f>
        <v>0</v>
      </c>
    </row>
    <row r="149" spans="1:43">
      <c r="A149" s="4">
        <f>IF(B149=" "," ",HYPERLINK(CONCATENATE("#metadata!",ADDRESS(INDEX($W$2:$W$1001,MATCH(ROWS($U$2:U149),$U$2:$U$1001,0),0),2)),INDEX($Z$2:$Z$1001,MATCH(ROWS($U$2:U149),$U$2:$U$1001,0),0)))</f>
        <v>0</v>
      </c>
      <c r="B149" s="5">
        <f>IF(OR(INDEX($V$2:$V$1001,MATCH(ROWS($U$2:U149),$U$2:$U$1001,0),1)&gt;=100000,INDEX($AB$1005:$AQ$1005,1,MATCH(COLUMNS($AB$1006:AB1006),$AB$1006:$AQ$1006,0))&gt;=100000), " ",IF(INDEX($AB$2:$AQ$1001,MATCH(ROWS($U$2:U149),$U$2:$U$1001,0),MATCH(COLUMNS($AB$1006:AB1006),$AB$1006:$AQ$1006,0)), HYPERLINK("#",""), HYPERLINK(CONCATENATE("#Metadata!", ADDRESS(INDEX($W$2:$W$1001,MATCH(ROWS($U$2:U149),$U$2:$U$1001,0),0), INDEX($AB$1004:$AQ$1004,1,MATCH(COLUMNS($AB$1006:AB1006),$AB$1006:$AQ$1006,0)))),"Fix")))</f>
        <v>0</v>
      </c>
      <c r="C149" s="5">
        <f>IF(OR(INDEX($V$2:$V$1001,MATCH(ROWS($U$2:U149),$U$2:$U$1001,0),1)&gt;=100000,INDEX($AB$1005:$AQ$1005,1,MATCH(COLUMNS($AB$1006:AC1006),$AB$1006:$AQ$1006,0))&gt;=100000), " ",IF(INDEX($AB$2:$AQ$1001,MATCH(ROWS($U$2:U149),$U$2:$U$1001,0),MATCH(COLUMNS($AB$1006:AC1006),$AB$1006:$AQ$1006,0)), HYPERLINK("#",""), HYPERLINK(CONCATENATE("#Metadata!", ADDRESS(INDEX($W$2:$W$1001,MATCH(ROWS($U$2:U149),$U$2:$U$1001,0),0), INDEX($AB$1004:$AQ$1004,1,MATCH(COLUMNS($AB$1006:AC1006),$AB$1006:$AQ$1006,0)))),"Fix")))</f>
        <v>0</v>
      </c>
      <c r="D149" s="5">
        <f>IF(OR(INDEX($V$2:$V$1001,MATCH(ROWS($U$2:U149),$U$2:$U$1001,0),1)&gt;=100000,INDEX($AB$1005:$AQ$1005,1,MATCH(COLUMNS($AB$1006:AD1006),$AB$1006:$AQ$1006,0))&gt;=100000), " ",IF(INDEX($AB$2:$AQ$1001,MATCH(ROWS($U$2:U149),$U$2:$U$1001,0),MATCH(COLUMNS($AB$1006:AD1006),$AB$1006:$AQ$1006,0)), HYPERLINK("#",""), HYPERLINK(CONCATENATE("#Metadata!", ADDRESS(INDEX($W$2:$W$1001,MATCH(ROWS($U$2:U149),$U$2:$U$1001,0),0), INDEX($AB$1004:$AQ$1004,1,MATCH(COLUMNS($AB$1006:AD1006),$AB$1006:$AQ$1006,0)))),"Fix")))</f>
        <v>0</v>
      </c>
      <c r="E149" s="5">
        <f>IF(OR(INDEX($V$2:$V$1001,MATCH(ROWS($U$2:U149),$U$2:$U$1001,0),1)&gt;=100000,INDEX($AB$1005:$AQ$1005,1,MATCH(COLUMNS($AB$1006:AE1006),$AB$1006:$AQ$1006,0))&gt;=100000), " ",IF(INDEX($AB$2:$AQ$1001,MATCH(ROWS($U$2:U149),$U$2:$U$1001,0),MATCH(COLUMNS($AB$1006:AE1006),$AB$1006:$AQ$1006,0)), HYPERLINK("#",""), HYPERLINK(CONCATENATE("#Metadata!", ADDRESS(INDEX($W$2:$W$1001,MATCH(ROWS($U$2:U149),$U$2:$U$1001,0),0), INDEX($AB$1004:$AQ$1004,1,MATCH(COLUMNS($AB$1006:AE1006),$AB$1006:$AQ$1006,0)))),"Fix")))</f>
        <v>0</v>
      </c>
      <c r="F149" s="5">
        <f>IF(OR(INDEX($V$2:$V$1001,MATCH(ROWS($U$2:U149),$U$2:$U$1001,0),1)&gt;=100000,INDEX($AB$1005:$AQ$1005,1,MATCH(COLUMNS($AB$1006:AF1006),$AB$1006:$AQ$1006,0))&gt;=100000), " ",IF(INDEX($AB$2:$AQ$1001,MATCH(ROWS($U$2:U149),$U$2:$U$1001,0),MATCH(COLUMNS($AB$1006:AF1006),$AB$1006:$AQ$1006,0)), HYPERLINK("#",""), HYPERLINK(CONCATENATE("#Metadata!", ADDRESS(INDEX($W$2:$W$1001,MATCH(ROWS($U$2:U149),$U$2:$U$1001,0),0), INDEX($AB$1004:$AQ$1004,1,MATCH(COLUMNS($AB$1006:AF1006),$AB$1006:$AQ$1006,0)))),"Fix")))</f>
        <v>0</v>
      </c>
      <c r="G149" s="5">
        <f>IF(OR(INDEX($V$2:$V$1001,MATCH(ROWS($U$2:U149),$U$2:$U$1001,0),1)&gt;=100000,INDEX($AB$1005:$AQ$1005,1,MATCH(COLUMNS($AB$1006:AG1006),$AB$1006:$AQ$1006,0))&gt;=100000), " ",IF(INDEX($AB$2:$AQ$1001,MATCH(ROWS($U$2:U149),$U$2:$U$1001,0),MATCH(COLUMNS($AB$1006:AG1006),$AB$1006:$AQ$1006,0)), HYPERLINK("#",""), HYPERLINK(CONCATENATE("#Metadata!", ADDRESS(INDEX($W$2:$W$1001,MATCH(ROWS($U$2:U149),$U$2:$U$1001,0),0), INDEX($AB$1004:$AQ$1004,1,MATCH(COLUMNS($AB$1006:AG1006),$AB$1006:$AQ$1006,0)))),"Fix")))</f>
        <v>0</v>
      </c>
      <c r="H149" s="5">
        <f>IF(OR(INDEX($V$2:$V$1001,MATCH(ROWS($U$2:U149),$U$2:$U$1001,0),1)&gt;=100000,INDEX($AB$1005:$AQ$1005,1,MATCH(COLUMNS($AB$1006:AH1006),$AB$1006:$AQ$1006,0))&gt;=100000), " ",IF(INDEX($AB$2:$AQ$1001,MATCH(ROWS($U$2:U149),$U$2:$U$1001,0),MATCH(COLUMNS($AB$1006:AH1006),$AB$1006:$AQ$1006,0)), HYPERLINK("#",""), HYPERLINK(CONCATENATE("#Metadata!", ADDRESS(INDEX($W$2:$W$1001,MATCH(ROWS($U$2:U149),$U$2:$U$1001,0),0), INDEX($AB$1004:$AQ$1004,1,MATCH(COLUMNS($AB$1006:AH1006),$AB$1006:$AQ$1006,0)))),"Fix")))</f>
        <v>0</v>
      </c>
      <c r="I149" s="5">
        <f>IF(OR(INDEX($V$2:$V$1001,MATCH(ROWS($U$2:U149),$U$2:$U$1001,0),1)&gt;=100000,INDEX($AB$1005:$AQ$1005,1,MATCH(COLUMNS($AB$1006:AI1006),$AB$1006:$AQ$1006,0))&gt;=100000), " ",IF(INDEX($AB$2:$AQ$1001,MATCH(ROWS($U$2:U149),$U$2:$U$1001,0),MATCH(COLUMNS($AB$1006:AI1006),$AB$1006:$AQ$1006,0)), HYPERLINK("#",""), HYPERLINK(CONCATENATE("#Metadata!", ADDRESS(INDEX($W$2:$W$1001,MATCH(ROWS($U$2:U149),$U$2:$U$1001,0),0), INDEX($AB$1004:$AQ$1004,1,MATCH(COLUMNS($AB$1006:AI1006),$AB$1006:$AQ$1006,0)))),"Fix")))</f>
        <v>0</v>
      </c>
      <c r="J149" s="5">
        <f>IF(OR(INDEX($V$2:$V$1001,MATCH(ROWS($U$2:U149),$U$2:$U$1001,0),1)&gt;=100000,INDEX($AB$1005:$AQ$1005,1,MATCH(COLUMNS($AB$1006:AJ1006),$AB$1006:$AQ$1006,0))&gt;=100000), " ",IF(INDEX($AB$2:$AQ$1001,MATCH(ROWS($U$2:U149),$U$2:$U$1001,0),MATCH(COLUMNS($AB$1006:AJ1006),$AB$1006:$AQ$1006,0)), HYPERLINK("#",""), HYPERLINK(CONCATENATE("#Metadata!", ADDRESS(INDEX($W$2:$W$1001,MATCH(ROWS($U$2:U149),$U$2:$U$1001,0),0), INDEX($AB$1004:$AQ$1004,1,MATCH(COLUMNS($AB$1006:AJ1006),$AB$1006:$AQ$1006,0)))),"Fix")))</f>
        <v>0</v>
      </c>
      <c r="K149" s="5">
        <f>IF(OR(INDEX($V$2:$V$1001,MATCH(ROWS($U$2:U149),$U$2:$U$1001,0),1)&gt;=100000,INDEX($AB$1005:$AQ$1005,1,MATCH(COLUMNS($AB$1006:AK1006),$AB$1006:$AQ$1006,0))&gt;=100000), " ",IF(INDEX($AB$2:$AQ$1001,MATCH(ROWS($U$2:U149),$U$2:$U$1001,0),MATCH(COLUMNS($AB$1006:AK1006),$AB$1006:$AQ$1006,0)), HYPERLINK("#",""), HYPERLINK(CONCATENATE("#Metadata!", ADDRESS(INDEX($W$2:$W$1001,MATCH(ROWS($U$2:U149),$U$2:$U$1001,0),0), INDEX($AB$1004:$AQ$1004,1,MATCH(COLUMNS($AB$1006:AK1006),$AB$1006:$AQ$1006,0)))),"Fix")))</f>
        <v>0</v>
      </c>
      <c r="L149" s="5">
        <f>IF(OR(INDEX($V$2:$V$1001,MATCH(ROWS($U$2:U149),$U$2:$U$1001,0),1)&gt;=100000,INDEX($AB$1005:$AQ$1005,1,MATCH(COLUMNS($AB$1006:AL1006),$AB$1006:$AQ$1006,0))&gt;=100000), " ",IF(INDEX($AB$2:$AQ$1001,MATCH(ROWS($U$2:U149),$U$2:$U$1001,0),MATCH(COLUMNS($AB$1006:AL1006),$AB$1006:$AQ$1006,0)), HYPERLINK("#",""), HYPERLINK(CONCATENATE("#Metadata!", ADDRESS(INDEX($W$2:$W$1001,MATCH(ROWS($U$2:U149),$U$2:$U$1001,0),0), INDEX($AB$1004:$AQ$1004,1,MATCH(COLUMNS($AB$1006:AL1006),$AB$1006:$AQ$1006,0)))),"Fix")))</f>
        <v>0</v>
      </c>
      <c r="M149" s="5">
        <f>IF(OR(INDEX($V$2:$V$1001,MATCH(ROWS($U$2:U149),$U$2:$U$1001,0),1)&gt;=100000,INDEX($AB$1005:$AQ$1005,1,MATCH(COLUMNS($AB$1006:AM1006),$AB$1006:$AQ$1006,0))&gt;=100000), " ",IF(INDEX($AB$2:$AQ$1001,MATCH(ROWS($U$2:U149),$U$2:$U$1001,0),MATCH(COLUMNS($AB$1006:AM1006),$AB$1006:$AQ$1006,0)), HYPERLINK("#",""), HYPERLINK(CONCATENATE("#Metadata!", ADDRESS(INDEX($W$2:$W$1001,MATCH(ROWS($U$2:U149),$U$2:$U$1001,0),0), INDEX($AB$1004:$AQ$1004,1,MATCH(COLUMNS($AB$1006:AM1006),$AB$1006:$AQ$1006,0)))),"Fix")))</f>
        <v>0</v>
      </c>
      <c r="N149" s="5">
        <f>IF(OR(INDEX($V$2:$V$1001,MATCH(ROWS($U$2:U149),$U$2:$U$1001,0),1)&gt;=100000,INDEX($AB$1005:$AQ$1005,1,MATCH(COLUMNS($AB$1006:AN1006),$AB$1006:$AQ$1006,0))&gt;=100000), " ",IF(INDEX($AB$2:$AQ$1001,MATCH(ROWS($U$2:U149),$U$2:$U$1001,0),MATCH(COLUMNS($AB$1006:AN1006),$AB$1006:$AQ$1006,0)), HYPERLINK("#",""), HYPERLINK(CONCATENATE("#Metadata!", ADDRESS(INDEX($W$2:$W$1001,MATCH(ROWS($U$2:U149),$U$2:$U$1001,0),0), INDEX($AB$1004:$AQ$1004,1,MATCH(COLUMNS($AB$1006:AN1006),$AB$1006:$AQ$1006,0)))),"Fix")))</f>
        <v>0</v>
      </c>
      <c r="O149" s="5">
        <f>IF(OR(INDEX($V$2:$V$1001,MATCH(ROWS($U$2:U149),$U$2:$U$1001,0),1)&gt;=100000,INDEX($AB$1005:$AQ$1005,1,MATCH(COLUMNS($AB$1006:AO1006),$AB$1006:$AQ$1006,0))&gt;=100000), " ",IF(INDEX($AB$2:$AQ$1001,MATCH(ROWS($U$2:U149),$U$2:$U$1001,0),MATCH(COLUMNS($AB$1006:AO1006),$AB$1006:$AQ$1006,0)), HYPERLINK("#",""), HYPERLINK(CONCATENATE("#Metadata!", ADDRESS(INDEX($W$2:$W$1001,MATCH(ROWS($U$2:U149),$U$2:$U$1001,0),0), INDEX($AB$1004:$AQ$1004,1,MATCH(COLUMNS($AB$1006:AO1006),$AB$1006:$AQ$1006,0)))),"Fix")))</f>
        <v>0</v>
      </c>
      <c r="P149" s="5">
        <f>IF(OR(INDEX($V$2:$V$1001,MATCH(ROWS($U$2:U149),$U$2:$U$1001,0),1)&gt;=100000,INDEX($AB$1005:$AQ$1005,1,MATCH(COLUMNS($AB$1006:AP1006),$AB$1006:$AQ$1006,0))&gt;=100000), " ",IF(INDEX($AB$2:$AQ$1001,MATCH(ROWS($U$2:U149),$U$2:$U$1001,0),MATCH(COLUMNS($AB$1006:AP1006),$AB$1006:$AQ$1006,0)), HYPERLINK("#",""), HYPERLINK(CONCATENATE("#Metadata!", ADDRESS(INDEX($W$2:$W$1001,MATCH(ROWS($U$2:U149),$U$2:$U$1001,0),0), INDEX($AB$1004:$AQ$1004,1,MATCH(COLUMNS($AB$1006:AP1006),$AB$1006:$AQ$1006,0)))),"Fix")))</f>
        <v>0</v>
      </c>
      <c r="Q149" s="5">
        <f>IF(OR(INDEX($V$2:$V$1001,MATCH(ROWS($U$2:U149),$U$2:$U$1001,0),1)&gt;=100000,INDEX($AB$1005:$AQ$1005,1,MATCH(COLUMNS($AB$1006:AQ1006),$AB$1006:$AQ$1006,0))&gt;=100000), " ",IF(INDEX($AB$2:$AQ$1001,MATCH(ROWS($U$2:U149),$U$2:$U$1001,0),MATCH(COLUMNS($AB$1006:AQ1006),$AB$1006:$AQ$1006,0)), HYPERLINK("#",""), HYPERLINK(CONCATENATE("#Metadata!", ADDRESS(INDEX($W$2:$W$1001,MATCH(ROWS($U$2:U149),$U$2:$U$1001,0),0), INDEX($AB$1004:$AQ$1004,1,MATCH(COLUMNS($AB$1006:AQ1006),$AB$1006:$AQ$1006,0)))),"Fix")))</f>
        <v>0</v>
      </c>
      <c r="U149">
        <v>0</v>
      </c>
      <c r="V149">
        <v>0</v>
      </c>
      <c r="W149">
        <v>0</v>
      </c>
      <c r="X149">
        <f>IF(Y149,TRUE,AND(AB149:AQ149))</f>
        <v>0</v>
      </c>
      <c r="Y149">
        <f>COUNTBLANK(Metadata!B149:Q149)=COLUMNS(Metadata!B149:Q149)</f>
        <v>0</v>
      </c>
      <c r="Z149">
        <v>0</v>
      </c>
      <c r="AB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AC149">
        <f>AND(IF(Metadata!C149="",FALSE,TRUE),exact(Metadata!C149,"urban biome"))</f>
        <v>0</v>
      </c>
      <c r="AD149">
        <f>AND(IF(Metadata!D149="",FALSE,TRUE),exact(Metadata!D149,"human-associated habitat"))</f>
        <v>0</v>
      </c>
      <c r="AE149">
        <f>AND(IF(Metadata!E149="",FALSE,TRUE),OR(exact(Metadata!E149,"human-associated"),exact(Metadata!E149,"human-skin"),exact(Metadata!E149,"human-oral"),exact(Metadata!E149,"human-gut"),exact(Metadata!E149,"human-vaginal")))</f>
        <v>0</v>
      </c>
      <c r="AF149">
        <f>AND(IF(Metadata!F149="",FALSE,ISNUMBER(VALUE(Metadata!F149))),Metadata!F149&gt;0)</f>
        <v>0</v>
      </c>
      <c r="AG149">
        <f>AND(IF(Metadata!G149="",FALSE,TRUE),exact(Metadata!G149,"years"))</f>
        <v>0</v>
      </c>
      <c r="AH149">
        <f>OR(AND(IF(Metadata!H149="",FALSE,TRUE),OR(exact(Metadata!H149,"not applicable"),exact(Metadata!H149,"not collected"),exact(Metadata!H149,"not provided"),exact(Metadata!H149,"restricted access"))),AND(IF(Metadata!H149="",FALSE,ISNUMBER(VALUE(Metadata!H149))),Metadata!H149&gt;0))</f>
        <v>0</v>
      </c>
      <c r="AI149">
        <f>AND(IF(Metadata!I149="",FALSE,TRUE),exact(Metadata!I149,"human"))</f>
        <v>0</v>
      </c>
      <c r="AJ149">
        <f>AND(IF(Metadata!J149="",FALSE,ISNUMBER(VALUE(Metadata!J149))),Metadata!J149&gt;0)</f>
        <v>0</v>
      </c>
      <c r="AK149">
        <f>AND(IF(Metadata!K149="",FALSE,TRUE),exact(Metadata!K149,"cm"))</f>
        <v>0</v>
      </c>
      <c r="AL149">
        <f>AND(IF(Metadata!L149="",FALSE,TRUE),exact(Metadata!L149,"Homo sapiens"))</f>
        <v>0</v>
      </c>
      <c r="AM149">
        <f>AND(IF(Metadata!M149="",FALSE,TRUE),exact(Metadata!M149,"9606"))</f>
        <v>0</v>
      </c>
      <c r="AN149">
        <f>AND(IF(Metadata!N149="",FALSE,ISNUMBER(VALUE(Metadata!N149))),Metadata!N149&gt;0)</f>
        <v>0</v>
      </c>
      <c r="AO149">
        <f>AND(IF(Metadata!O149="",FALSE,TRUE),exact(Metadata!O149,"kg"))</f>
        <v>0</v>
      </c>
      <c r="AP149">
        <f>OR(AND(IF(Metadata!P149="",FALSE,TRUE),exact(Metadata!P149,"not provided")),IF(Metadata!P149="",FALSE,TRUE))</f>
        <v>0</v>
      </c>
      <c r="AQ149">
        <f>OR(AND(IF(Metadata!Q149="",FALSE,TRUE),exact(Metadata!Q149,"not provided")),IF(Metadata!Q149="",FALSE,TRUE))</f>
        <v>0</v>
      </c>
    </row>
    <row r="150" spans="1:43">
      <c r="A150" s="4">
        <f>IF(B150=" "," ",HYPERLINK(CONCATENATE("#metadata!",ADDRESS(INDEX($W$2:$W$1001,MATCH(ROWS($U$2:U150),$U$2:$U$1001,0),0),2)),INDEX($Z$2:$Z$1001,MATCH(ROWS($U$2:U150),$U$2:$U$1001,0),0)))</f>
        <v>0</v>
      </c>
      <c r="B150" s="5">
        <f>IF(OR(INDEX($V$2:$V$1001,MATCH(ROWS($U$2:U150),$U$2:$U$1001,0),1)&gt;=100000,INDEX($AB$1005:$AQ$1005,1,MATCH(COLUMNS($AB$1006:AB1006),$AB$1006:$AQ$1006,0))&gt;=100000), " ",IF(INDEX($AB$2:$AQ$1001,MATCH(ROWS($U$2:U150),$U$2:$U$1001,0),MATCH(COLUMNS($AB$1006:AB1006),$AB$1006:$AQ$1006,0)), HYPERLINK("#",""), HYPERLINK(CONCATENATE("#Metadata!", ADDRESS(INDEX($W$2:$W$1001,MATCH(ROWS($U$2:U150),$U$2:$U$1001,0),0), INDEX($AB$1004:$AQ$1004,1,MATCH(COLUMNS($AB$1006:AB1006),$AB$1006:$AQ$1006,0)))),"Fix")))</f>
        <v>0</v>
      </c>
      <c r="C150" s="5">
        <f>IF(OR(INDEX($V$2:$V$1001,MATCH(ROWS($U$2:U150),$U$2:$U$1001,0),1)&gt;=100000,INDEX($AB$1005:$AQ$1005,1,MATCH(COLUMNS($AB$1006:AC1006),$AB$1006:$AQ$1006,0))&gt;=100000), " ",IF(INDEX($AB$2:$AQ$1001,MATCH(ROWS($U$2:U150),$U$2:$U$1001,0),MATCH(COLUMNS($AB$1006:AC1006),$AB$1006:$AQ$1006,0)), HYPERLINK("#",""), HYPERLINK(CONCATENATE("#Metadata!", ADDRESS(INDEX($W$2:$W$1001,MATCH(ROWS($U$2:U150),$U$2:$U$1001,0),0), INDEX($AB$1004:$AQ$1004,1,MATCH(COLUMNS($AB$1006:AC1006),$AB$1006:$AQ$1006,0)))),"Fix")))</f>
        <v>0</v>
      </c>
      <c r="D150" s="5">
        <f>IF(OR(INDEX($V$2:$V$1001,MATCH(ROWS($U$2:U150),$U$2:$U$1001,0),1)&gt;=100000,INDEX($AB$1005:$AQ$1005,1,MATCH(COLUMNS($AB$1006:AD1006),$AB$1006:$AQ$1006,0))&gt;=100000), " ",IF(INDEX($AB$2:$AQ$1001,MATCH(ROWS($U$2:U150),$U$2:$U$1001,0),MATCH(COLUMNS($AB$1006:AD1006),$AB$1006:$AQ$1006,0)), HYPERLINK("#",""), HYPERLINK(CONCATENATE("#Metadata!", ADDRESS(INDEX($W$2:$W$1001,MATCH(ROWS($U$2:U150),$U$2:$U$1001,0),0), INDEX($AB$1004:$AQ$1004,1,MATCH(COLUMNS($AB$1006:AD1006),$AB$1006:$AQ$1006,0)))),"Fix")))</f>
        <v>0</v>
      </c>
      <c r="E150" s="5">
        <f>IF(OR(INDEX($V$2:$V$1001,MATCH(ROWS($U$2:U150),$U$2:$U$1001,0),1)&gt;=100000,INDEX($AB$1005:$AQ$1005,1,MATCH(COLUMNS($AB$1006:AE1006),$AB$1006:$AQ$1006,0))&gt;=100000), " ",IF(INDEX($AB$2:$AQ$1001,MATCH(ROWS($U$2:U150),$U$2:$U$1001,0),MATCH(COLUMNS($AB$1006:AE1006),$AB$1006:$AQ$1006,0)), HYPERLINK("#",""), HYPERLINK(CONCATENATE("#Metadata!", ADDRESS(INDEX($W$2:$W$1001,MATCH(ROWS($U$2:U150),$U$2:$U$1001,0),0), INDEX($AB$1004:$AQ$1004,1,MATCH(COLUMNS($AB$1006:AE1006),$AB$1006:$AQ$1006,0)))),"Fix")))</f>
        <v>0</v>
      </c>
      <c r="F150" s="5">
        <f>IF(OR(INDEX($V$2:$V$1001,MATCH(ROWS($U$2:U150),$U$2:$U$1001,0),1)&gt;=100000,INDEX($AB$1005:$AQ$1005,1,MATCH(COLUMNS($AB$1006:AF1006),$AB$1006:$AQ$1006,0))&gt;=100000), " ",IF(INDEX($AB$2:$AQ$1001,MATCH(ROWS($U$2:U150),$U$2:$U$1001,0),MATCH(COLUMNS($AB$1006:AF1006),$AB$1006:$AQ$1006,0)), HYPERLINK("#",""), HYPERLINK(CONCATENATE("#Metadata!", ADDRESS(INDEX($W$2:$W$1001,MATCH(ROWS($U$2:U150),$U$2:$U$1001,0),0), INDEX($AB$1004:$AQ$1004,1,MATCH(COLUMNS($AB$1006:AF1006),$AB$1006:$AQ$1006,0)))),"Fix")))</f>
        <v>0</v>
      </c>
      <c r="G150" s="5">
        <f>IF(OR(INDEX($V$2:$V$1001,MATCH(ROWS($U$2:U150),$U$2:$U$1001,0),1)&gt;=100000,INDEX($AB$1005:$AQ$1005,1,MATCH(COLUMNS($AB$1006:AG1006),$AB$1006:$AQ$1006,0))&gt;=100000), " ",IF(INDEX($AB$2:$AQ$1001,MATCH(ROWS($U$2:U150),$U$2:$U$1001,0),MATCH(COLUMNS($AB$1006:AG1006),$AB$1006:$AQ$1006,0)), HYPERLINK("#",""), HYPERLINK(CONCATENATE("#Metadata!", ADDRESS(INDEX($W$2:$W$1001,MATCH(ROWS($U$2:U150),$U$2:$U$1001,0),0), INDEX($AB$1004:$AQ$1004,1,MATCH(COLUMNS($AB$1006:AG1006),$AB$1006:$AQ$1006,0)))),"Fix")))</f>
        <v>0</v>
      </c>
      <c r="H150" s="5">
        <f>IF(OR(INDEX($V$2:$V$1001,MATCH(ROWS($U$2:U150),$U$2:$U$1001,0),1)&gt;=100000,INDEX($AB$1005:$AQ$1005,1,MATCH(COLUMNS($AB$1006:AH1006),$AB$1006:$AQ$1006,0))&gt;=100000), " ",IF(INDEX($AB$2:$AQ$1001,MATCH(ROWS($U$2:U150),$U$2:$U$1001,0),MATCH(COLUMNS($AB$1006:AH1006),$AB$1006:$AQ$1006,0)), HYPERLINK("#",""), HYPERLINK(CONCATENATE("#Metadata!", ADDRESS(INDEX($W$2:$W$1001,MATCH(ROWS($U$2:U150),$U$2:$U$1001,0),0), INDEX($AB$1004:$AQ$1004,1,MATCH(COLUMNS($AB$1006:AH1006),$AB$1006:$AQ$1006,0)))),"Fix")))</f>
        <v>0</v>
      </c>
      <c r="I150" s="5">
        <f>IF(OR(INDEX($V$2:$V$1001,MATCH(ROWS($U$2:U150),$U$2:$U$1001,0),1)&gt;=100000,INDEX($AB$1005:$AQ$1005,1,MATCH(COLUMNS($AB$1006:AI1006),$AB$1006:$AQ$1006,0))&gt;=100000), " ",IF(INDEX($AB$2:$AQ$1001,MATCH(ROWS($U$2:U150),$U$2:$U$1001,0),MATCH(COLUMNS($AB$1006:AI1006),$AB$1006:$AQ$1006,0)), HYPERLINK("#",""), HYPERLINK(CONCATENATE("#Metadata!", ADDRESS(INDEX($W$2:$W$1001,MATCH(ROWS($U$2:U150),$U$2:$U$1001,0),0), INDEX($AB$1004:$AQ$1004,1,MATCH(COLUMNS($AB$1006:AI1006),$AB$1006:$AQ$1006,0)))),"Fix")))</f>
        <v>0</v>
      </c>
      <c r="J150" s="5">
        <f>IF(OR(INDEX($V$2:$V$1001,MATCH(ROWS($U$2:U150),$U$2:$U$1001,0),1)&gt;=100000,INDEX($AB$1005:$AQ$1005,1,MATCH(COLUMNS($AB$1006:AJ1006),$AB$1006:$AQ$1006,0))&gt;=100000), " ",IF(INDEX($AB$2:$AQ$1001,MATCH(ROWS($U$2:U150),$U$2:$U$1001,0),MATCH(COLUMNS($AB$1006:AJ1006),$AB$1006:$AQ$1006,0)), HYPERLINK("#",""), HYPERLINK(CONCATENATE("#Metadata!", ADDRESS(INDEX($W$2:$W$1001,MATCH(ROWS($U$2:U150),$U$2:$U$1001,0),0), INDEX($AB$1004:$AQ$1004,1,MATCH(COLUMNS($AB$1006:AJ1006),$AB$1006:$AQ$1006,0)))),"Fix")))</f>
        <v>0</v>
      </c>
      <c r="K150" s="5">
        <f>IF(OR(INDEX($V$2:$V$1001,MATCH(ROWS($U$2:U150),$U$2:$U$1001,0),1)&gt;=100000,INDEX($AB$1005:$AQ$1005,1,MATCH(COLUMNS($AB$1006:AK1006),$AB$1006:$AQ$1006,0))&gt;=100000), " ",IF(INDEX($AB$2:$AQ$1001,MATCH(ROWS($U$2:U150),$U$2:$U$1001,0),MATCH(COLUMNS($AB$1006:AK1006),$AB$1006:$AQ$1006,0)), HYPERLINK("#",""), HYPERLINK(CONCATENATE("#Metadata!", ADDRESS(INDEX($W$2:$W$1001,MATCH(ROWS($U$2:U150),$U$2:$U$1001,0),0), INDEX($AB$1004:$AQ$1004,1,MATCH(COLUMNS($AB$1006:AK1006),$AB$1006:$AQ$1006,0)))),"Fix")))</f>
        <v>0</v>
      </c>
      <c r="L150" s="5">
        <f>IF(OR(INDEX($V$2:$V$1001,MATCH(ROWS($U$2:U150),$U$2:$U$1001,0),1)&gt;=100000,INDEX($AB$1005:$AQ$1005,1,MATCH(COLUMNS($AB$1006:AL1006),$AB$1006:$AQ$1006,0))&gt;=100000), " ",IF(INDEX($AB$2:$AQ$1001,MATCH(ROWS($U$2:U150),$U$2:$U$1001,0),MATCH(COLUMNS($AB$1006:AL1006),$AB$1006:$AQ$1006,0)), HYPERLINK("#",""), HYPERLINK(CONCATENATE("#Metadata!", ADDRESS(INDEX($W$2:$W$1001,MATCH(ROWS($U$2:U150),$U$2:$U$1001,0),0), INDEX($AB$1004:$AQ$1004,1,MATCH(COLUMNS($AB$1006:AL1006),$AB$1006:$AQ$1006,0)))),"Fix")))</f>
        <v>0</v>
      </c>
      <c r="M150" s="5">
        <f>IF(OR(INDEX($V$2:$V$1001,MATCH(ROWS($U$2:U150),$U$2:$U$1001,0),1)&gt;=100000,INDEX($AB$1005:$AQ$1005,1,MATCH(COLUMNS($AB$1006:AM1006),$AB$1006:$AQ$1006,0))&gt;=100000), " ",IF(INDEX($AB$2:$AQ$1001,MATCH(ROWS($U$2:U150),$U$2:$U$1001,0),MATCH(COLUMNS($AB$1006:AM1006),$AB$1006:$AQ$1006,0)), HYPERLINK("#",""), HYPERLINK(CONCATENATE("#Metadata!", ADDRESS(INDEX($W$2:$W$1001,MATCH(ROWS($U$2:U150),$U$2:$U$1001,0),0), INDEX($AB$1004:$AQ$1004,1,MATCH(COLUMNS($AB$1006:AM1006),$AB$1006:$AQ$1006,0)))),"Fix")))</f>
        <v>0</v>
      </c>
      <c r="N150" s="5">
        <f>IF(OR(INDEX($V$2:$V$1001,MATCH(ROWS($U$2:U150),$U$2:$U$1001,0),1)&gt;=100000,INDEX($AB$1005:$AQ$1005,1,MATCH(COLUMNS($AB$1006:AN1006),$AB$1006:$AQ$1006,0))&gt;=100000), " ",IF(INDEX($AB$2:$AQ$1001,MATCH(ROWS($U$2:U150),$U$2:$U$1001,0),MATCH(COLUMNS($AB$1006:AN1006),$AB$1006:$AQ$1006,0)), HYPERLINK("#",""), HYPERLINK(CONCATENATE("#Metadata!", ADDRESS(INDEX($W$2:$W$1001,MATCH(ROWS($U$2:U150),$U$2:$U$1001,0),0), INDEX($AB$1004:$AQ$1004,1,MATCH(COLUMNS($AB$1006:AN1006),$AB$1006:$AQ$1006,0)))),"Fix")))</f>
        <v>0</v>
      </c>
      <c r="O150" s="5">
        <f>IF(OR(INDEX($V$2:$V$1001,MATCH(ROWS($U$2:U150),$U$2:$U$1001,0),1)&gt;=100000,INDEX($AB$1005:$AQ$1005,1,MATCH(COLUMNS($AB$1006:AO1006),$AB$1006:$AQ$1006,0))&gt;=100000), " ",IF(INDEX($AB$2:$AQ$1001,MATCH(ROWS($U$2:U150),$U$2:$U$1001,0),MATCH(COLUMNS($AB$1006:AO1006),$AB$1006:$AQ$1006,0)), HYPERLINK("#",""), HYPERLINK(CONCATENATE("#Metadata!", ADDRESS(INDEX($W$2:$W$1001,MATCH(ROWS($U$2:U150),$U$2:$U$1001,0),0), INDEX($AB$1004:$AQ$1004,1,MATCH(COLUMNS($AB$1006:AO1006),$AB$1006:$AQ$1006,0)))),"Fix")))</f>
        <v>0</v>
      </c>
      <c r="P150" s="5">
        <f>IF(OR(INDEX($V$2:$V$1001,MATCH(ROWS($U$2:U150),$U$2:$U$1001,0),1)&gt;=100000,INDEX($AB$1005:$AQ$1005,1,MATCH(COLUMNS($AB$1006:AP1006),$AB$1006:$AQ$1006,0))&gt;=100000), " ",IF(INDEX($AB$2:$AQ$1001,MATCH(ROWS($U$2:U150),$U$2:$U$1001,0),MATCH(COLUMNS($AB$1006:AP1006),$AB$1006:$AQ$1006,0)), HYPERLINK("#",""), HYPERLINK(CONCATENATE("#Metadata!", ADDRESS(INDEX($W$2:$W$1001,MATCH(ROWS($U$2:U150),$U$2:$U$1001,0),0), INDEX($AB$1004:$AQ$1004,1,MATCH(COLUMNS($AB$1006:AP1006),$AB$1006:$AQ$1006,0)))),"Fix")))</f>
        <v>0</v>
      </c>
      <c r="Q150" s="5">
        <f>IF(OR(INDEX($V$2:$V$1001,MATCH(ROWS($U$2:U150),$U$2:$U$1001,0),1)&gt;=100000,INDEX($AB$1005:$AQ$1005,1,MATCH(COLUMNS($AB$1006:AQ1006),$AB$1006:$AQ$1006,0))&gt;=100000), " ",IF(INDEX($AB$2:$AQ$1001,MATCH(ROWS($U$2:U150),$U$2:$U$1001,0),MATCH(COLUMNS($AB$1006:AQ1006),$AB$1006:$AQ$1006,0)), HYPERLINK("#",""), HYPERLINK(CONCATENATE("#Metadata!", ADDRESS(INDEX($W$2:$W$1001,MATCH(ROWS($U$2:U150),$U$2:$U$1001,0),0), INDEX($AB$1004:$AQ$1004,1,MATCH(COLUMNS($AB$1006:AQ1006),$AB$1006:$AQ$1006,0)))),"Fix")))</f>
        <v>0</v>
      </c>
      <c r="U150">
        <v>0</v>
      </c>
      <c r="V150">
        <v>0</v>
      </c>
      <c r="W150">
        <v>0</v>
      </c>
      <c r="X150">
        <f>IF(Y150,TRUE,AND(AB150:AQ150))</f>
        <v>0</v>
      </c>
      <c r="Y150">
        <f>COUNTBLANK(Metadata!B150:Q150)=COLUMNS(Metadata!B150:Q150)</f>
        <v>0</v>
      </c>
      <c r="Z150">
        <v>0</v>
      </c>
      <c r="AB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AC150">
        <f>AND(IF(Metadata!C150="",FALSE,TRUE),exact(Metadata!C150,"urban biome"))</f>
        <v>0</v>
      </c>
      <c r="AD150">
        <f>AND(IF(Metadata!D150="",FALSE,TRUE),exact(Metadata!D150,"human-associated habitat"))</f>
        <v>0</v>
      </c>
      <c r="AE150">
        <f>AND(IF(Metadata!E150="",FALSE,TRUE),OR(exact(Metadata!E150,"human-associated"),exact(Metadata!E150,"human-skin"),exact(Metadata!E150,"human-oral"),exact(Metadata!E150,"human-gut"),exact(Metadata!E150,"human-vaginal")))</f>
        <v>0</v>
      </c>
      <c r="AF150">
        <f>AND(IF(Metadata!F150="",FALSE,ISNUMBER(VALUE(Metadata!F150))),Metadata!F150&gt;0)</f>
        <v>0</v>
      </c>
      <c r="AG150">
        <f>AND(IF(Metadata!G150="",FALSE,TRUE),exact(Metadata!G150,"years"))</f>
        <v>0</v>
      </c>
      <c r="AH150">
        <f>OR(AND(IF(Metadata!H150="",FALSE,TRUE),OR(exact(Metadata!H150,"not applicable"),exact(Metadata!H150,"not collected"),exact(Metadata!H150,"not provided"),exact(Metadata!H150,"restricted access"))),AND(IF(Metadata!H150="",FALSE,ISNUMBER(VALUE(Metadata!H150))),Metadata!H150&gt;0))</f>
        <v>0</v>
      </c>
      <c r="AI150">
        <f>AND(IF(Metadata!I150="",FALSE,TRUE),exact(Metadata!I150,"human"))</f>
        <v>0</v>
      </c>
      <c r="AJ150">
        <f>AND(IF(Metadata!J150="",FALSE,ISNUMBER(VALUE(Metadata!J150))),Metadata!J150&gt;0)</f>
        <v>0</v>
      </c>
      <c r="AK150">
        <f>AND(IF(Metadata!K150="",FALSE,TRUE),exact(Metadata!K150,"cm"))</f>
        <v>0</v>
      </c>
      <c r="AL150">
        <f>AND(IF(Metadata!L150="",FALSE,TRUE),exact(Metadata!L150,"Homo sapiens"))</f>
        <v>0</v>
      </c>
      <c r="AM150">
        <f>AND(IF(Metadata!M150="",FALSE,TRUE),exact(Metadata!M150,"9606"))</f>
        <v>0</v>
      </c>
      <c r="AN150">
        <f>AND(IF(Metadata!N150="",FALSE,ISNUMBER(VALUE(Metadata!N150))),Metadata!N150&gt;0)</f>
        <v>0</v>
      </c>
      <c r="AO150">
        <f>AND(IF(Metadata!O150="",FALSE,TRUE),exact(Metadata!O150,"kg"))</f>
        <v>0</v>
      </c>
      <c r="AP150">
        <f>OR(AND(IF(Metadata!P150="",FALSE,TRUE),exact(Metadata!P150,"not provided")),IF(Metadata!P150="",FALSE,TRUE))</f>
        <v>0</v>
      </c>
      <c r="AQ150">
        <f>OR(AND(IF(Metadata!Q150="",FALSE,TRUE),exact(Metadata!Q150,"not provided")),IF(Metadata!Q150="",FALSE,TRUE))</f>
        <v>0</v>
      </c>
    </row>
    <row r="151" spans="1:43">
      <c r="A151" s="4">
        <f>IF(B151=" "," ",HYPERLINK(CONCATENATE("#metadata!",ADDRESS(INDEX($W$2:$W$1001,MATCH(ROWS($U$2:U151),$U$2:$U$1001,0),0),2)),INDEX($Z$2:$Z$1001,MATCH(ROWS($U$2:U151),$U$2:$U$1001,0),0)))</f>
        <v>0</v>
      </c>
      <c r="B151" s="5">
        <f>IF(OR(INDEX($V$2:$V$1001,MATCH(ROWS($U$2:U151),$U$2:$U$1001,0),1)&gt;=100000,INDEX($AB$1005:$AQ$1005,1,MATCH(COLUMNS($AB$1006:AB1006),$AB$1006:$AQ$1006,0))&gt;=100000), " ",IF(INDEX($AB$2:$AQ$1001,MATCH(ROWS($U$2:U151),$U$2:$U$1001,0),MATCH(COLUMNS($AB$1006:AB1006),$AB$1006:$AQ$1006,0)), HYPERLINK("#",""), HYPERLINK(CONCATENATE("#Metadata!", ADDRESS(INDEX($W$2:$W$1001,MATCH(ROWS($U$2:U151),$U$2:$U$1001,0),0), INDEX($AB$1004:$AQ$1004,1,MATCH(COLUMNS($AB$1006:AB1006),$AB$1006:$AQ$1006,0)))),"Fix")))</f>
        <v>0</v>
      </c>
      <c r="C151" s="5">
        <f>IF(OR(INDEX($V$2:$V$1001,MATCH(ROWS($U$2:U151),$U$2:$U$1001,0),1)&gt;=100000,INDEX($AB$1005:$AQ$1005,1,MATCH(COLUMNS($AB$1006:AC1006),$AB$1006:$AQ$1006,0))&gt;=100000), " ",IF(INDEX($AB$2:$AQ$1001,MATCH(ROWS($U$2:U151),$U$2:$U$1001,0),MATCH(COLUMNS($AB$1006:AC1006),$AB$1006:$AQ$1006,0)), HYPERLINK("#",""), HYPERLINK(CONCATENATE("#Metadata!", ADDRESS(INDEX($W$2:$W$1001,MATCH(ROWS($U$2:U151),$U$2:$U$1001,0),0), INDEX($AB$1004:$AQ$1004,1,MATCH(COLUMNS($AB$1006:AC1006),$AB$1006:$AQ$1006,0)))),"Fix")))</f>
        <v>0</v>
      </c>
      <c r="D151" s="5">
        <f>IF(OR(INDEX($V$2:$V$1001,MATCH(ROWS($U$2:U151),$U$2:$U$1001,0),1)&gt;=100000,INDEX($AB$1005:$AQ$1005,1,MATCH(COLUMNS($AB$1006:AD1006),$AB$1006:$AQ$1006,0))&gt;=100000), " ",IF(INDEX($AB$2:$AQ$1001,MATCH(ROWS($U$2:U151),$U$2:$U$1001,0),MATCH(COLUMNS($AB$1006:AD1006),$AB$1006:$AQ$1006,0)), HYPERLINK("#",""), HYPERLINK(CONCATENATE("#Metadata!", ADDRESS(INDEX($W$2:$W$1001,MATCH(ROWS($U$2:U151),$U$2:$U$1001,0),0), INDEX($AB$1004:$AQ$1004,1,MATCH(COLUMNS($AB$1006:AD1006),$AB$1006:$AQ$1006,0)))),"Fix")))</f>
        <v>0</v>
      </c>
      <c r="E151" s="5">
        <f>IF(OR(INDEX($V$2:$V$1001,MATCH(ROWS($U$2:U151),$U$2:$U$1001,0),1)&gt;=100000,INDEX($AB$1005:$AQ$1005,1,MATCH(COLUMNS($AB$1006:AE1006),$AB$1006:$AQ$1006,0))&gt;=100000), " ",IF(INDEX($AB$2:$AQ$1001,MATCH(ROWS($U$2:U151),$U$2:$U$1001,0),MATCH(COLUMNS($AB$1006:AE1006),$AB$1006:$AQ$1006,0)), HYPERLINK("#",""), HYPERLINK(CONCATENATE("#Metadata!", ADDRESS(INDEX($W$2:$W$1001,MATCH(ROWS($U$2:U151),$U$2:$U$1001,0),0), INDEX($AB$1004:$AQ$1004,1,MATCH(COLUMNS($AB$1006:AE1006),$AB$1006:$AQ$1006,0)))),"Fix")))</f>
        <v>0</v>
      </c>
      <c r="F151" s="5">
        <f>IF(OR(INDEX($V$2:$V$1001,MATCH(ROWS($U$2:U151),$U$2:$U$1001,0),1)&gt;=100000,INDEX($AB$1005:$AQ$1005,1,MATCH(COLUMNS($AB$1006:AF1006),$AB$1006:$AQ$1006,0))&gt;=100000), " ",IF(INDEX($AB$2:$AQ$1001,MATCH(ROWS($U$2:U151),$U$2:$U$1001,0),MATCH(COLUMNS($AB$1006:AF1006),$AB$1006:$AQ$1006,0)), HYPERLINK("#",""), HYPERLINK(CONCATENATE("#Metadata!", ADDRESS(INDEX($W$2:$W$1001,MATCH(ROWS($U$2:U151),$U$2:$U$1001,0),0), INDEX($AB$1004:$AQ$1004,1,MATCH(COLUMNS($AB$1006:AF1006),$AB$1006:$AQ$1006,0)))),"Fix")))</f>
        <v>0</v>
      </c>
      <c r="G151" s="5">
        <f>IF(OR(INDEX($V$2:$V$1001,MATCH(ROWS($U$2:U151),$U$2:$U$1001,0),1)&gt;=100000,INDEX($AB$1005:$AQ$1005,1,MATCH(COLUMNS($AB$1006:AG1006),$AB$1006:$AQ$1006,0))&gt;=100000), " ",IF(INDEX($AB$2:$AQ$1001,MATCH(ROWS($U$2:U151),$U$2:$U$1001,0),MATCH(COLUMNS($AB$1006:AG1006),$AB$1006:$AQ$1006,0)), HYPERLINK("#",""), HYPERLINK(CONCATENATE("#Metadata!", ADDRESS(INDEX($W$2:$W$1001,MATCH(ROWS($U$2:U151),$U$2:$U$1001,0),0), INDEX($AB$1004:$AQ$1004,1,MATCH(COLUMNS($AB$1006:AG1006),$AB$1006:$AQ$1006,0)))),"Fix")))</f>
        <v>0</v>
      </c>
      <c r="H151" s="5">
        <f>IF(OR(INDEX($V$2:$V$1001,MATCH(ROWS($U$2:U151),$U$2:$U$1001,0),1)&gt;=100000,INDEX($AB$1005:$AQ$1005,1,MATCH(COLUMNS($AB$1006:AH1006),$AB$1006:$AQ$1006,0))&gt;=100000), " ",IF(INDEX($AB$2:$AQ$1001,MATCH(ROWS($U$2:U151),$U$2:$U$1001,0),MATCH(COLUMNS($AB$1006:AH1006),$AB$1006:$AQ$1006,0)), HYPERLINK("#",""), HYPERLINK(CONCATENATE("#Metadata!", ADDRESS(INDEX($W$2:$W$1001,MATCH(ROWS($U$2:U151),$U$2:$U$1001,0),0), INDEX($AB$1004:$AQ$1004,1,MATCH(COLUMNS($AB$1006:AH1006),$AB$1006:$AQ$1006,0)))),"Fix")))</f>
        <v>0</v>
      </c>
      <c r="I151" s="5">
        <f>IF(OR(INDEX($V$2:$V$1001,MATCH(ROWS($U$2:U151),$U$2:$U$1001,0),1)&gt;=100000,INDEX($AB$1005:$AQ$1005,1,MATCH(COLUMNS($AB$1006:AI1006),$AB$1006:$AQ$1006,0))&gt;=100000), " ",IF(INDEX($AB$2:$AQ$1001,MATCH(ROWS($U$2:U151),$U$2:$U$1001,0),MATCH(COLUMNS($AB$1006:AI1006),$AB$1006:$AQ$1006,0)), HYPERLINK("#",""), HYPERLINK(CONCATENATE("#Metadata!", ADDRESS(INDEX($W$2:$W$1001,MATCH(ROWS($U$2:U151),$U$2:$U$1001,0),0), INDEX($AB$1004:$AQ$1004,1,MATCH(COLUMNS($AB$1006:AI1006),$AB$1006:$AQ$1006,0)))),"Fix")))</f>
        <v>0</v>
      </c>
      <c r="J151" s="5">
        <f>IF(OR(INDEX($V$2:$V$1001,MATCH(ROWS($U$2:U151),$U$2:$U$1001,0),1)&gt;=100000,INDEX($AB$1005:$AQ$1005,1,MATCH(COLUMNS($AB$1006:AJ1006),$AB$1006:$AQ$1006,0))&gt;=100000), " ",IF(INDEX($AB$2:$AQ$1001,MATCH(ROWS($U$2:U151),$U$2:$U$1001,0),MATCH(COLUMNS($AB$1006:AJ1006),$AB$1006:$AQ$1006,0)), HYPERLINK("#",""), HYPERLINK(CONCATENATE("#Metadata!", ADDRESS(INDEX($W$2:$W$1001,MATCH(ROWS($U$2:U151),$U$2:$U$1001,0),0), INDEX($AB$1004:$AQ$1004,1,MATCH(COLUMNS($AB$1006:AJ1006),$AB$1006:$AQ$1006,0)))),"Fix")))</f>
        <v>0</v>
      </c>
      <c r="K151" s="5">
        <f>IF(OR(INDEX($V$2:$V$1001,MATCH(ROWS($U$2:U151),$U$2:$U$1001,0),1)&gt;=100000,INDEX($AB$1005:$AQ$1005,1,MATCH(COLUMNS($AB$1006:AK1006),$AB$1006:$AQ$1006,0))&gt;=100000), " ",IF(INDEX($AB$2:$AQ$1001,MATCH(ROWS($U$2:U151),$U$2:$U$1001,0),MATCH(COLUMNS($AB$1006:AK1006),$AB$1006:$AQ$1006,0)), HYPERLINK("#",""), HYPERLINK(CONCATENATE("#Metadata!", ADDRESS(INDEX($W$2:$W$1001,MATCH(ROWS($U$2:U151),$U$2:$U$1001,0),0), INDEX($AB$1004:$AQ$1004,1,MATCH(COLUMNS($AB$1006:AK1006),$AB$1006:$AQ$1006,0)))),"Fix")))</f>
        <v>0</v>
      </c>
      <c r="L151" s="5">
        <f>IF(OR(INDEX($V$2:$V$1001,MATCH(ROWS($U$2:U151),$U$2:$U$1001,0),1)&gt;=100000,INDEX($AB$1005:$AQ$1005,1,MATCH(COLUMNS($AB$1006:AL1006),$AB$1006:$AQ$1006,0))&gt;=100000), " ",IF(INDEX($AB$2:$AQ$1001,MATCH(ROWS($U$2:U151),$U$2:$U$1001,0),MATCH(COLUMNS($AB$1006:AL1006),$AB$1006:$AQ$1006,0)), HYPERLINK("#",""), HYPERLINK(CONCATENATE("#Metadata!", ADDRESS(INDEX($W$2:$W$1001,MATCH(ROWS($U$2:U151),$U$2:$U$1001,0),0), INDEX($AB$1004:$AQ$1004,1,MATCH(COLUMNS($AB$1006:AL1006),$AB$1006:$AQ$1006,0)))),"Fix")))</f>
        <v>0</v>
      </c>
      <c r="M151" s="5">
        <f>IF(OR(INDEX($V$2:$V$1001,MATCH(ROWS($U$2:U151),$U$2:$U$1001,0),1)&gt;=100000,INDEX($AB$1005:$AQ$1005,1,MATCH(COLUMNS($AB$1006:AM1006),$AB$1006:$AQ$1006,0))&gt;=100000), " ",IF(INDEX($AB$2:$AQ$1001,MATCH(ROWS($U$2:U151),$U$2:$U$1001,0),MATCH(COLUMNS($AB$1006:AM1006),$AB$1006:$AQ$1006,0)), HYPERLINK("#",""), HYPERLINK(CONCATENATE("#Metadata!", ADDRESS(INDEX($W$2:$W$1001,MATCH(ROWS($U$2:U151),$U$2:$U$1001,0),0), INDEX($AB$1004:$AQ$1004,1,MATCH(COLUMNS($AB$1006:AM1006),$AB$1006:$AQ$1006,0)))),"Fix")))</f>
        <v>0</v>
      </c>
      <c r="N151" s="5">
        <f>IF(OR(INDEX($V$2:$V$1001,MATCH(ROWS($U$2:U151),$U$2:$U$1001,0),1)&gt;=100000,INDEX($AB$1005:$AQ$1005,1,MATCH(COLUMNS($AB$1006:AN1006),$AB$1006:$AQ$1006,0))&gt;=100000), " ",IF(INDEX($AB$2:$AQ$1001,MATCH(ROWS($U$2:U151),$U$2:$U$1001,0),MATCH(COLUMNS($AB$1006:AN1006),$AB$1006:$AQ$1006,0)), HYPERLINK("#",""), HYPERLINK(CONCATENATE("#Metadata!", ADDRESS(INDEX($W$2:$W$1001,MATCH(ROWS($U$2:U151),$U$2:$U$1001,0),0), INDEX($AB$1004:$AQ$1004,1,MATCH(COLUMNS($AB$1006:AN1006),$AB$1006:$AQ$1006,0)))),"Fix")))</f>
        <v>0</v>
      </c>
      <c r="O151" s="5">
        <f>IF(OR(INDEX($V$2:$V$1001,MATCH(ROWS($U$2:U151),$U$2:$U$1001,0),1)&gt;=100000,INDEX($AB$1005:$AQ$1005,1,MATCH(COLUMNS($AB$1006:AO1006),$AB$1006:$AQ$1006,0))&gt;=100000), " ",IF(INDEX($AB$2:$AQ$1001,MATCH(ROWS($U$2:U151),$U$2:$U$1001,0),MATCH(COLUMNS($AB$1006:AO1006),$AB$1006:$AQ$1006,0)), HYPERLINK("#",""), HYPERLINK(CONCATENATE("#Metadata!", ADDRESS(INDEX($W$2:$W$1001,MATCH(ROWS($U$2:U151),$U$2:$U$1001,0),0), INDEX($AB$1004:$AQ$1004,1,MATCH(COLUMNS($AB$1006:AO1006),$AB$1006:$AQ$1006,0)))),"Fix")))</f>
        <v>0</v>
      </c>
      <c r="P151" s="5">
        <f>IF(OR(INDEX($V$2:$V$1001,MATCH(ROWS($U$2:U151),$U$2:$U$1001,0),1)&gt;=100000,INDEX($AB$1005:$AQ$1005,1,MATCH(COLUMNS($AB$1006:AP1006),$AB$1006:$AQ$1006,0))&gt;=100000), " ",IF(INDEX($AB$2:$AQ$1001,MATCH(ROWS($U$2:U151),$U$2:$U$1001,0),MATCH(COLUMNS($AB$1006:AP1006),$AB$1006:$AQ$1006,0)), HYPERLINK("#",""), HYPERLINK(CONCATENATE("#Metadata!", ADDRESS(INDEX($W$2:$W$1001,MATCH(ROWS($U$2:U151),$U$2:$U$1001,0),0), INDEX($AB$1004:$AQ$1004,1,MATCH(COLUMNS($AB$1006:AP1006),$AB$1006:$AQ$1006,0)))),"Fix")))</f>
        <v>0</v>
      </c>
      <c r="Q151" s="5">
        <f>IF(OR(INDEX($V$2:$V$1001,MATCH(ROWS($U$2:U151),$U$2:$U$1001,0),1)&gt;=100000,INDEX($AB$1005:$AQ$1005,1,MATCH(COLUMNS($AB$1006:AQ1006),$AB$1006:$AQ$1006,0))&gt;=100000), " ",IF(INDEX($AB$2:$AQ$1001,MATCH(ROWS($U$2:U151),$U$2:$U$1001,0),MATCH(COLUMNS($AB$1006:AQ1006),$AB$1006:$AQ$1006,0)), HYPERLINK("#",""), HYPERLINK(CONCATENATE("#Metadata!", ADDRESS(INDEX($W$2:$W$1001,MATCH(ROWS($U$2:U151),$U$2:$U$1001,0),0), INDEX($AB$1004:$AQ$1004,1,MATCH(COLUMNS($AB$1006:AQ1006),$AB$1006:$AQ$1006,0)))),"Fix")))</f>
        <v>0</v>
      </c>
      <c r="U151">
        <v>0</v>
      </c>
      <c r="V151">
        <v>0</v>
      </c>
      <c r="W151">
        <v>0</v>
      </c>
      <c r="X151">
        <f>IF(Y151,TRUE,AND(AB151:AQ151))</f>
        <v>0</v>
      </c>
      <c r="Y151">
        <f>COUNTBLANK(Metadata!B151:Q151)=COLUMNS(Metadata!B151:Q151)</f>
        <v>0</v>
      </c>
      <c r="Z151">
        <v>0</v>
      </c>
      <c r="AB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AC151">
        <f>AND(IF(Metadata!C151="",FALSE,TRUE),exact(Metadata!C151,"urban biome"))</f>
        <v>0</v>
      </c>
      <c r="AD151">
        <f>AND(IF(Metadata!D151="",FALSE,TRUE),exact(Metadata!D151,"human-associated habitat"))</f>
        <v>0</v>
      </c>
      <c r="AE151">
        <f>AND(IF(Metadata!E151="",FALSE,TRUE),OR(exact(Metadata!E151,"human-associated"),exact(Metadata!E151,"human-skin"),exact(Metadata!E151,"human-oral"),exact(Metadata!E151,"human-gut"),exact(Metadata!E151,"human-vaginal")))</f>
        <v>0</v>
      </c>
      <c r="AF151">
        <f>AND(IF(Metadata!F151="",FALSE,ISNUMBER(VALUE(Metadata!F151))),Metadata!F151&gt;0)</f>
        <v>0</v>
      </c>
      <c r="AG151">
        <f>AND(IF(Metadata!G151="",FALSE,TRUE),exact(Metadata!G151,"years"))</f>
        <v>0</v>
      </c>
      <c r="AH151">
        <f>OR(AND(IF(Metadata!H151="",FALSE,TRUE),OR(exact(Metadata!H151,"not applicable"),exact(Metadata!H151,"not collected"),exact(Metadata!H151,"not provided"),exact(Metadata!H151,"restricted access"))),AND(IF(Metadata!H151="",FALSE,ISNUMBER(VALUE(Metadata!H151))),Metadata!H151&gt;0))</f>
        <v>0</v>
      </c>
      <c r="AI151">
        <f>AND(IF(Metadata!I151="",FALSE,TRUE),exact(Metadata!I151,"human"))</f>
        <v>0</v>
      </c>
      <c r="AJ151">
        <f>AND(IF(Metadata!J151="",FALSE,ISNUMBER(VALUE(Metadata!J151))),Metadata!J151&gt;0)</f>
        <v>0</v>
      </c>
      <c r="AK151">
        <f>AND(IF(Metadata!K151="",FALSE,TRUE),exact(Metadata!K151,"cm"))</f>
        <v>0</v>
      </c>
      <c r="AL151">
        <f>AND(IF(Metadata!L151="",FALSE,TRUE),exact(Metadata!L151,"Homo sapiens"))</f>
        <v>0</v>
      </c>
      <c r="AM151">
        <f>AND(IF(Metadata!M151="",FALSE,TRUE),exact(Metadata!M151,"9606"))</f>
        <v>0</v>
      </c>
      <c r="AN151">
        <f>AND(IF(Metadata!N151="",FALSE,ISNUMBER(VALUE(Metadata!N151))),Metadata!N151&gt;0)</f>
        <v>0</v>
      </c>
      <c r="AO151">
        <f>AND(IF(Metadata!O151="",FALSE,TRUE),exact(Metadata!O151,"kg"))</f>
        <v>0</v>
      </c>
      <c r="AP151">
        <f>OR(AND(IF(Metadata!P151="",FALSE,TRUE),exact(Metadata!P151,"not provided")),IF(Metadata!P151="",FALSE,TRUE))</f>
        <v>0</v>
      </c>
      <c r="AQ151">
        <f>OR(AND(IF(Metadata!Q151="",FALSE,TRUE),exact(Metadata!Q151,"not provided")),IF(Metadata!Q151="",FALSE,TRUE))</f>
        <v>0</v>
      </c>
    </row>
    <row r="152" spans="1:43">
      <c r="A152" s="4">
        <f>IF(B152=" "," ",HYPERLINK(CONCATENATE("#metadata!",ADDRESS(INDEX($W$2:$W$1001,MATCH(ROWS($U$2:U152),$U$2:$U$1001,0),0),2)),INDEX($Z$2:$Z$1001,MATCH(ROWS($U$2:U152),$U$2:$U$1001,0),0)))</f>
        <v>0</v>
      </c>
      <c r="B152" s="5">
        <f>IF(OR(INDEX($V$2:$V$1001,MATCH(ROWS($U$2:U152),$U$2:$U$1001,0),1)&gt;=100000,INDEX($AB$1005:$AQ$1005,1,MATCH(COLUMNS($AB$1006:AB1006),$AB$1006:$AQ$1006,0))&gt;=100000), " ",IF(INDEX($AB$2:$AQ$1001,MATCH(ROWS($U$2:U152),$U$2:$U$1001,0),MATCH(COLUMNS($AB$1006:AB1006),$AB$1006:$AQ$1006,0)), HYPERLINK("#",""), HYPERLINK(CONCATENATE("#Metadata!", ADDRESS(INDEX($W$2:$W$1001,MATCH(ROWS($U$2:U152),$U$2:$U$1001,0),0), INDEX($AB$1004:$AQ$1004,1,MATCH(COLUMNS($AB$1006:AB1006),$AB$1006:$AQ$1006,0)))),"Fix")))</f>
        <v>0</v>
      </c>
      <c r="C152" s="5">
        <f>IF(OR(INDEX($V$2:$V$1001,MATCH(ROWS($U$2:U152),$U$2:$U$1001,0),1)&gt;=100000,INDEX($AB$1005:$AQ$1005,1,MATCH(COLUMNS($AB$1006:AC1006),$AB$1006:$AQ$1006,0))&gt;=100000), " ",IF(INDEX($AB$2:$AQ$1001,MATCH(ROWS($U$2:U152),$U$2:$U$1001,0),MATCH(COLUMNS($AB$1006:AC1006),$AB$1006:$AQ$1006,0)), HYPERLINK("#",""), HYPERLINK(CONCATENATE("#Metadata!", ADDRESS(INDEX($W$2:$W$1001,MATCH(ROWS($U$2:U152),$U$2:$U$1001,0),0), INDEX($AB$1004:$AQ$1004,1,MATCH(COLUMNS($AB$1006:AC1006),$AB$1006:$AQ$1006,0)))),"Fix")))</f>
        <v>0</v>
      </c>
      <c r="D152" s="5">
        <f>IF(OR(INDEX($V$2:$V$1001,MATCH(ROWS($U$2:U152),$U$2:$U$1001,0),1)&gt;=100000,INDEX($AB$1005:$AQ$1005,1,MATCH(COLUMNS($AB$1006:AD1006),$AB$1006:$AQ$1006,0))&gt;=100000), " ",IF(INDEX($AB$2:$AQ$1001,MATCH(ROWS($U$2:U152),$U$2:$U$1001,0),MATCH(COLUMNS($AB$1006:AD1006),$AB$1006:$AQ$1006,0)), HYPERLINK("#",""), HYPERLINK(CONCATENATE("#Metadata!", ADDRESS(INDEX($W$2:$W$1001,MATCH(ROWS($U$2:U152),$U$2:$U$1001,0),0), INDEX($AB$1004:$AQ$1004,1,MATCH(COLUMNS($AB$1006:AD1006),$AB$1006:$AQ$1006,0)))),"Fix")))</f>
        <v>0</v>
      </c>
      <c r="E152" s="5">
        <f>IF(OR(INDEX($V$2:$V$1001,MATCH(ROWS($U$2:U152),$U$2:$U$1001,0),1)&gt;=100000,INDEX($AB$1005:$AQ$1005,1,MATCH(COLUMNS($AB$1006:AE1006),$AB$1006:$AQ$1006,0))&gt;=100000), " ",IF(INDEX($AB$2:$AQ$1001,MATCH(ROWS($U$2:U152),$U$2:$U$1001,0),MATCH(COLUMNS($AB$1006:AE1006),$AB$1006:$AQ$1006,0)), HYPERLINK("#",""), HYPERLINK(CONCATENATE("#Metadata!", ADDRESS(INDEX($W$2:$W$1001,MATCH(ROWS($U$2:U152),$U$2:$U$1001,0),0), INDEX($AB$1004:$AQ$1004,1,MATCH(COLUMNS($AB$1006:AE1006),$AB$1006:$AQ$1006,0)))),"Fix")))</f>
        <v>0</v>
      </c>
      <c r="F152" s="5">
        <f>IF(OR(INDEX($V$2:$V$1001,MATCH(ROWS($U$2:U152),$U$2:$U$1001,0),1)&gt;=100000,INDEX($AB$1005:$AQ$1005,1,MATCH(COLUMNS($AB$1006:AF1006),$AB$1006:$AQ$1006,0))&gt;=100000), " ",IF(INDEX($AB$2:$AQ$1001,MATCH(ROWS($U$2:U152),$U$2:$U$1001,0),MATCH(COLUMNS($AB$1006:AF1006),$AB$1006:$AQ$1006,0)), HYPERLINK("#",""), HYPERLINK(CONCATENATE("#Metadata!", ADDRESS(INDEX($W$2:$W$1001,MATCH(ROWS($U$2:U152),$U$2:$U$1001,0),0), INDEX($AB$1004:$AQ$1004,1,MATCH(COLUMNS($AB$1006:AF1006),$AB$1006:$AQ$1006,0)))),"Fix")))</f>
        <v>0</v>
      </c>
      <c r="G152" s="5">
        <f>IF(OR(INDEX($V$2:$V$1001,MATCH(ROWS($U$2:U152),$U$2:$U$1001,0),1)&gt;=100000,INDEX($AB$1005:$AQ$1005,1,MATCH(COLUMNS($AB$1006:AG1006),$AB$1006:$AQ$1006,0))&gt;=100000), " ",IF(INDEX($AB$2:$AQ$1001,MATCH(ROWS($U$2:U152),$U$2:$U$1001,0),MATCH(COLUMNS($AB$1006:AG1006),$AB$1006:$AQ$1006,0)), HYPERLINK("#",""), HYPERLINK(CONCATENATE("#Metadata!", ADDRESS(INDEX($W$2:$W$1001,MATCH(ROWS($U$2:U152),$U$2:$U$1001,0),0), INDEX($AB$1004:$AQ$1004,1,MATCH(COLUMNS($AB$1006:AG1006),$AB$1006:$AQ$1006,0)))),"Fix")))</f>
        <v>0</v>
      </c>
      <c r="H152" s="5">
        <f>IF(OR(INDEX($V$2:$V$1001,MATCH(ROWS($U$2:U152),$U$2:$U$1001,0),1)&gt;=100000,INDEX($AB$1005:$AQ$1005,1,MATCH(COLUMNS($AB$1006:AH1006),$AB$1006:$AQ$1006,0))&gt;=100000), " ",IF(INDEX($AB$2:$AQ$1001,MATCH(ROWS($U$2:U152),$U$2:$U$1001,0),MATCH(COLUMNS($AB$1006:AH1006),$AB$1006:$AQ$1006,0)), HYPERLINK("#",""), HYPERLINK(CONCATENATE("#Metadata!", ADDRESS(INDEX($W$2:$W$1001,MATCH(ROWS($U$2:U152),$U$2:$U$1001,0),0), INDEX($AB$1004:$AQ$1004,1,MATCH(COLUMNS($AB$1006:AH1006),$AB$1006:$AQ$1006,0)))),"Fix")))</f>
        <v>0</v>
      </c>
      <c r="I152" s="5">
        <f>IF(OR(INDEX($V$2:$V$1001,MATCH(ROWS($U$2:U152),$U$2:$U$1001,0),1)&gt;=100000,INDEX($AB$1005:$AQ$1005,1,MATCH(COLUMNS($AB$1006:AI1006),$AB$1006:$AQ$1006,0))&gt;=100000), " ",IF(INDEX($AB$2:$AQ$1001,MATCH(ROWS($U$2:U152),$U$2:$U$1001,0),MATCH(COLUMNS($AB$1006:AI1006),$AB$1006:$AQ$1006,0)), HYPERLINK("#",""), HYPERLINK(CONCATENATE("#Metadata!", ADDRESS(INDEX($W$2:$W$1001,MATCH(ROWS($U$2:U152),$U$2:$U$1001,0),0), INDEX($AB$1004:$AQ$1004,1,MATCH(COLUMNS($AB$1006:AI1006),$AB$1006:$AQ$1006,0)))),"Fix")))</f>
        <v>0</v>
      </c>
      <c r="J152" s="5">
        <f>IF(OR(INDEX($V$2:$V$1001,MATCH(ROWS($U$2:U152),$U$2:$U$1001,0),1)&gt;=100000,INDEX($AB$1005:$AQ$1005,1,MATCH(COLUMNS($AB$1006:AJ1006),$AB$1006:$AQ$1006,0))&gt;=100000), " ",IF(INDEX($AB$2:$AQ$1001,MATCH(ROWS($U$2:U152),$U$2:$U$1001,0),MATCH(COLUMNS($AB$1006:AJ1006),$AB$1006:$AQ$1006,0)), HYPERLINK("#",""), HYPERLINK(CONCATENATE("#Metadata!", ADDRESS(INDEX($W$2:$W$1001,MATCH(ROWS($U$2:U152),$U$2:$U$1001,0),0), INDEX($AB$1004:$AQ$1004,1,MATCH(COLUMNS($AB$1006:AJ1006),$AB$1006:$AQ$1006,0)))),"Fix")))</f>
        <v>0</v>
      </c>
      <c r="K152" s="5">
        <f>IF(OR(INDEX($V$2:$V$1001,MATCH(ROWS($U$2:U152),$U$2:$U$1001,0),1)&gt;=100000,INDEX($AB$1005:$AQ$1005,1,MATCH(COLUMNS($AB$1006:AK1006),$AB$1006:$AQ$1006,0))&gt;=100000), " ",IF(INDEX($AB$2:$AQ$1001,MATCH(ROWS($U$2:U152),$U$2:$U$1001,0),MATCH(COLUMNS($AB$1006:AK1006),$AB$1006:$AQ$1006,0)), HYPERLINK("#",""), HYPERLINK(CONCATENATE("#Metadata!", ADDRESS(INDEX($W$2:$W$1001,MATCH(ROWS($U$2:U152),$U$2:$U$1001,0),0), INDEX($AB$1004:$AQ$1004,1,MATCH(COLUMNS($AB$1006:AK1006),$AB$1006:$AQ$1006,0)))),"Fix")))</f>
        <v>0</v>
      </c>
      <c r="L152" s="5">
        <f>IF(OR(INDEX($V$2:$V$1001,MATCH(ROWS($U$2:U152),$U$2:$U$1001,0),1)&gt;=100000,INDEX($AB$1005:$AQ$1005,1,MATCH(COLUMNS($AB$1006:AL1006),$AB$1006:$AQ$1006,0))&gt;=100000), " ",IF(INDEX($AB$2:$AQ$1001,MATCH(ROWS($U$2:U152),$U$2:$U$1001,0),MATCH(COLUMNS($AB$1006:AL1006),$AB$1006:$AQ$1006,0)), HYPERLINK("#",""), HYPERLINK(CONCATENATE("#Metadata!", ADDRESS(INDEX($W$2:$W$1001,MATCH(ROWS($U$2:U152),$U$2:$U$1001,0),0), INDEX($AB$1004:$AQ$1004,1,MATCH(COLUMNS($AB$1006:AL1006),$AB$1006:$AQ$1006,0)))),"Fix")))</f>
        <v>0</v>
      </c>
      <c r="M152" s="5">
        <f>IF(OR(INDEX($V$2:$V$1001,MATCH(ROWS($U$2:U152),$U$2:$U$1001,0),1)&gt;=100000,INDEX($AB$1005:$AQ$1005,1,MATCH(COLUMNS($AB$1006:AM1006),$AB$1006:$AQ$1006,0))&gt;=100000), " ",IF(INDEX($AB$2:$AQ$1001,MATCH(ROWS($U$2:U152),$U$2:$U$1001,0),MATCH(COLUMNS($AB$1006:AM1006),$AB$1006:$AQ$1006,0)), HYPERLINK("#",""), HYPERLINK(CONCATENATE("#Metadata!", ADDRESS(INDEX($W$2:$W$1001,MATCH(ROWS($U$2:U152),$U$2:$U$1001,0),0), INDEX($AB$1004:$AQ$1004,1,MATCH(COLUMNS($AB$1006:AM1006),$AB$1006:$AQ$1006,0)))),"Fix")))</f>
        <v>0</v>
      </c>
      <c r="N152" s="5">
        <f>IF(OR(INDEX($V$2:$V$1001,MATCH(ROWS($U$2:U152),$U$2:$U$1001,0),1)&gt;=100000,INDEX($AB$1005:$AQ$1005,1,MATCH(COLUMNS($AB$1006:AN1006),$AB$1006:$AQ$1006,0))&gt;=100000), " ",IF(INDEX($AB$2:$AQ$1001,MATCH(ROWS($U$2:U152),$U$2:$U$1001,0),MATCH(COLUMNS($AB$1006:AN1006),$AB$1006:$AQ$1006,0)), HYPERLINK("#",""), HYPERLINK(CONCATENATE("#Metadata!", ADDRESS(INDEX($W$2:$W$1001,MATCH(ROWS($U$2:U152),$U$2:$U$1001,0),0), INDEX($AB$1004:$AQ$1004,1,MATCH(COLUMNS($AB$1006:AN1006),$AB$1006:$AQ$1006,0)))),"Fix")))</f>
        <v>0</v>
      </c>
      <c r="O152" s="5">
        <f>IF(OR(INDEX($V$2:$V$1001,MATCH(ROWS($U$2:U152),$U$2:$U$1001,0),1)&gt;=100000,INDEX($AB$1005:$AQ$1005,1,MATCH(COLUMNS($AB$1006:AO1006),$AB$1006:$AQ$1006,0))&gt;=100000), " ",IF(INDEX($AB$2:$AQ$1001,MATCH(ROWS($U$2:U152),$U$2:$U$1001,0),MATCH(COLUMNS($AB$1006:AO1006),$AB$1006:$AQ$1006,0)), HYPERLINK("#",""), HYPERLINK(CONCATENATE("#Metadata!", ADDRESS(INDEX($W$2:$W$1001,MATCH(ROWS($U$2:U152),$U$2:$U$1001,0),0), INDEX($AB$1004:$AQ$1004,1,MATCH(COLUMNS($AB$1006:AO1006),$AB$1006:$AQ$1006,0)))),"Fix")))</f>
        <v>0</v>
      </c>
      <c r="P152" s="5">
        <f>IF(OR(INDEX($V$2:$V$1001,MATCH(ROWS($U$2:U152),$U$2:$U$1001,0),1)&gt;=100000,INDEX($AB$1005:$AQ$1005,1,MATCH(COLUMNS($AB$1006:AP1006),$AB$1006:$AQ$1006,0))&gt;=100000), " ",IF(INDEX($AB$2:$AQ$1001,MATCH(ROWS($U$2:U152),$U$2:$U$1001,0),MATCH(COLUMNS($AB$1006:AP1006),$AB$1006:$AQ$1006,0)), HYPERLINK("#",""), HYPERLINK(CONCATENATE("#Metadata!", ADDRESS(INDEX($W$2:$W$1001,MATCH(ROWS($U$2:U152),$U$2:$U$1001,0),0), INDEX($AB$1004:$AQ$1004,1,MATCH(COLUMNS($AB$1006:AP1006),$AB$1006:$AQ$1006,0)))),"Fix")))</f>
        <v>0</v>
      </c>
      <c r="Q152" s="5">
        <f>IF(OR(INDEX($V$2:$V$1001,MATCH(ROWS($U$2:U152),$U$2:$U$1001,0),1)&gt;=100000,INDEX($AB$1005:$AQ$1005,1,MATCH(COLUMNS($AB$1006:AQ1006),$AB$1006:$AQ$1006,0))&gt;=100000), " ",IF(INDEX($AB$2:$AQ$1001,MATCH(ROWS($U$2:U152),$U$2:$U$1001,0),MATCH(COLUMNS($AB$1006:AQ1006),$AB$1006:$AQ$1006,0)), HYPERLINK("#",""), HYPERLINK(CONCATENATE("#Metadata!", ADDRESS(INDEX($W$2:$W$1001,MATCH(ROWS($U$2:U152),$U$2:$U$1001,0),0), INDEX($AB$1004:$AQ$1004,1,MATCH(COLUMNS($AB$1006:AQ1006),$AB$1006:$AQ$1006,0)))),"Fix")))</f>
        <v>0</v>
      </c>
      <c r="U152">
        <v>0</v>
      </c>
      <c r="V152">
        <v>0</v>
      </c>
      <c r="W152">
        <v>0</v>
      </c>
      <c r="X152">
        <f>IF(Y152,TRUE,AND(AB152:AQ152))</f>
        <v>0</v>
      </c>
      <c r="Y152">
        <f>COUNTBLANK(Metadata!B152:Q152)=COLUMNS(Metadata!B152:Q152)</f>
        <v>0</v>
      </c>
      <c r="Z152">
        <v>0</v>
      </c>
      <c r="AB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AC152">
        <f>AND(IF(Metadata!C152="",FALSE,TRUE),exact(Metadata!C152,"urban biome"))</f>
        <v>0</v>
      </c>
      <c r="AD152">
        <f>AND(IF(Metadata!D152="",FALSE,TRUE),exact(Metadata!D152,"human-associated habitat"))</f>
        <v>0</v>
      </c>
      <c r="AE152">
        <f>AND(IF(Metadata!E152="",FALSE,TRUE),OR(exact(Metadata!E152,"human-associated"),exact(Metadata!E152,"human-skin"),exact(Metadata!E152,"human-oral"),exact(Metadata!E152,"human-gut"),exact(Metadata!E152,"human-vaginal")))</f>
        <v>0</v>
      </c>
      <c r="AF152">
        <f>AND(IF(Metadata!F152="",FALSE,ISNUMBER(VALUE(Metadata!F152))),Metadata!F152&gt;0)</f>
        <v>0</v>
      </c>
      <c r="AG152">
        <f>AND(IF(Metadata!G152="",FALSE,TRUE),exact(Metadata!G152,"years"))</f>
        <v>0</v>
      </c>
      <c r="AH152">
        <f>OR(AND(IF(Metadata!H152="",FALSE,TRUE),OR(exact(Metadata!H152,"not applicable"),exact(Metadata!H152,"not collected"),exact(Metadata!H152,"not provided"),exact(Metadata!H152,"restricted access"))),AND(IF(Metadata!H152="",FALSE,ISNUMBER(VALUE(Metadata!H152))),Metadata!H152&gt;0))</f>
        <v>0</v>
      </c>
      <c r="AI152">
        <f>AND(IF(Metadata!I152="",FALSE,TRUE),exact(Metadata!I152,"human"))</f>
        <v>0</v>
      </c>
      <c r="AJ152">
        <f>AND(IF(Metadata!J152="",FALSE,ISNUMBER(VALUE(Metadata!J152))),Metadata!J152&gt;0)</f>
        <v>0</v>
      </c>
      <c r="AK152">
        <f>AND(IF(Metadata!K152="",FALSE,TRUE),exact(Metadata!K152,"cm"))</f>
        <v>0</v>
      </c>
      <c r="AL152">
        <f>AND(IF(Metadata!L152="",FALSE,TRUE),exact(Metadata!L152,"Homo sapiens"))</f>
        <v>0</v>
      </c>
      <c r="AM152">
        <f>AND(IF(Metadata!M152="",FALSE,TRUE),exact(Metadata!M152,"9606"))</f>
        <v>0</v>
      </c>
      <c r="AN152">
        <f>AND(IF(Metadata!N152="",FALSE,ISNUMBER(VALUE(Metadata!N152))),Metadata!N152&gt;0)</f>
        <v>0</v>
      </c>
      <c r="AO152">
        <f>AND(IF(Metadata!O152="",FALSE,TRUE),exact(Metadata!O152,"kg"))</f>
        <v>0</v>
      </c>
      <c r="AP152">
        <f>OR(AND(IF(Metadata!P152="",FALSE,TRUE),exact(Metadata!P152,"not provided")),IF(Metadata!P152="",FALSE,TRUE))</f>
        <v>0</v>
      </c>
      <c r="AQ152">
        <f>OR(AND(IF(Metadata!Q152="",FALSE,TRUE),exact(Metadata!Q152,"not provided")),IF(Metadata!Q152="",FALSE,TRUE))</f>
        <v>0</v>
      </c>
    </row>
    <row r="153" spans="1:43">
      <c r="A153" s="4">
        <f>IF(B153=" "," ",HYPERLINK(CONCATENATE("#metadata!",ADDRESS(INDEX($W$2:$W$1001,MATCH(ROWS($U$2:U153),$U$2:$U$1001,0),0),2)),INDEX($Z$2:$Z$1001,MATCH(ROWS($U$2:U153),$U$2:$U$1001,0),0)))</f>
        <v>0</v>
      </c>
      <c r="B153" s="5">
        <f>IF(OR(INDEX($V$2:$V$1001,MATCH(ROWS($U$2:U153),$U$2:$U$1001,0),1)&gt;=100000,INDEX($AB$1005:$AQ$1005,1,MATCH(COLUMNS($AB$1006:AB1006),$AB$1006:$AQ$1006,0))&gt;=100000), " ",IF(INDEX($AB$2:$AQ$1001,MATCH(ROWS($U$2:U153),$U$2:$U$1001,0),MATCH(COLUMNS($AB$1006:AB1006),$AB$1006:$AQ$1006,0)), HYPERLINK("#",""), HYPERLINK(CONCATENATE("#Metadata!", ADDRESS(INDEX($W$2:$W$1001,MATCH(ROWS($U$2:U153),$U$2:$U$1001,0),0), INDEX($AB$1004:$AQ$1004,1,MATCH(COLUMNS($AB$1006:AB1006),$AB$1006:$AQ$1006,0)))),"Fix")))</f>
        <v>0</v>
      </c>
      <c r="C153" s="5">
        <f>IF(OR(INDEX($V$2:$V$1001,MATCH(ROWS($U$2:U153),$U$2:$U$1001,0),1)&gt;=100000,INDEX($AB$1005:$AQ$1005,1,MATCH(COLUMNS($AB$1006:AC1006),$AB$1006:$AQ$1006,0))&gt;=100000), " ",IF(INDEX($AB$2:$AQ$1001,MATCH(ROWS($U$2:U153),$U$2:$U$1001,0),MATCH(COLUMNS($AB$1006:AC1006),$AB$1006:$AQ$1006,0)), HYPERLINK("#",""), HYPERLINK(CONCATENATE("#Metadata!", ADDRESS(INDEX($W$2:$W$1001,MATCH(ROWS($U$2:U153),$U$2:$U$1001,0),0), INDEX($AB$1004:$AQ$1004,1,MATCH(COLUMNS($AB$1006:AC1006),$AB$1006:$AQ$1006,0)))),"Fix")))</f>
        <v>0</v>
      </c>
      <c r="D153" s="5">
        <f>IF(OR(INDEX($V$2:$V$1001,MATCH(ROWS($U$2:U153),$U$2:$U$1001,0),1)&gt;=100000,INDEX($AB$1005:$AQ$1005,1,MATCH(COLUMNS($AB$1006:AD1006),$AB$1006:$AQ$1006,0))&gt;=100000), " ",IF(INDEX($AB$2:$AQ$1001,MATCH(ROWS($U$2:U153),$U$2:$U$1001,0),MATCH(COLUMNS($AB$1006:AD1006),$AB$1006:$AQ$1006,0)), HYPERLINK("#",""), HYPERLINK(CONCATENATE("#Metadata!", ADDRESS(INDEX($W$2:$W$1001,MATCH(ROWS($U$2:U153),$U$2:$U$1001,0),0), INDEX($AB$1004:$AQ$1004,1,MATCH(COLUMNS($AB$1006:AD1006),$AB$1006:$AQ$1006,0)))),"Fix")))</f>
        <v>0</v>
      </c>
      <c r="E153" s="5">
        <f>IF(OR(INDEX($V$2:$V$1001,MATCH(ROWS($U$2:U153),$U$2:$U$1001,0),1)&gt;=100000,INDEX($AB$1005:$AQ$1005,1,MATCH(COLUMNS($AB$1006:AE1006),$AB$1006:$AQ$1006,0))&gt;=100000), " ",IF(INDEX($AB$2:$AQ$1001,MATCH(ROWS($U$2:U153),$U$2:$U$1001,0),MATCH(COLUMNS($AB$1006:AE1006),$AB$1006:$AQ$1006,0)), HYPERLINK("#",""), HYPERLINK(CONCATENATE("#Metadata!", ADDRESS(INDEX($W$2:$W$1001,MATCH(ROWS($U$2:U153),$U$2:$U$1001,0),0), INDEX($AB$1004:$AQ$1004,1,MATCH(COLUMNS($AB$1006:AE1006),$AB$1006:$AQ$1006,0)))),"Fix")))</f>
        <v>0</v>
      </c>
      <c r="F153" s="5">
        <f>IF(OR(INDEX($V$2:$V$1001,MATCH(ROWS($U$2:U153),$U$2:$U$1001,0),1)&gt;=100000,INDEX($AB$1005:$AQ$1005,1,MATCH(COLUMNS($AB$1006:AF1006),$AB$1006:$AQ$1006,0))&gt;=100000), " ",IF(INDEX($AB$2:$AQ$1001,MATCH(ROWS($U$2:U153),$U$2:$U$1001,0),MATCH(COLUMNS($AB$1006:AF1006),$AB$1006:$AQ$1006,0)), HYPERLINK("#",""), HYPERLINK(CONCATENATE("#Metadata!", ADDRESS(INDEX($W$2:$W$1001,MATCH(ROWS($U$2:U153),$U$2:$U$1001,0),0), INDEX($AB$1004:$AQ$1004,1,MATCH(COLUMNS($AB$1006:AF1006),$AB$1006:$AQ$1006,0)))),"Fix")))</f>
        <v>0</v>
      </c>
      <c r="G153" s="5">
        <f>IF(OR(INDEX($V$2:$V$1001,MATCH(ROWS($U$2:U153),$U$2:$U$1001,0),1)&gt;=100000,INDEX($AB$1005:$AQ$1005,1,MATCH(COLUMNS($AB$1006:AG1006),$AB$1006:$AQ$1006,0))&gt;=100000), " ",IF(INDEX($AB$2:$AQ$1001,MATCH(ROWS($U$2:U153),$U$2:$U$1001,0),MATCH(COLUMNS($AB$1006:AG1006),$AB$1006:$AQ$1006,0)), HYPERLINK("#",""), HYPERLINK(CONCATENATE("#Metadata!", ADDRESS(INDEX($W$2:$W$1001,MATCH(ROWS($U$2:U153),$U$2:$U$1001,0),0), INDEX($AB$1004:$AQ$1004,1,MATCH(COLUMNS($AB$1006:AG1006),$AB$1006:$AQ$1006,0)))),"Fix")))</f>
        <v>0</v>
      </c>
      <c r="H153" s="5">
        <f>IF(OR(INDEX($V$2:$V$1001,MATCH(ROWS($U$2:U153),$U$2:$U$1001,0),1)&gt;=100000,INDEX($AB$1005:$AQ$1005,1,MATCH(COLUMNS($AB$1006:AH1006),$AB$1006:$AQ$1006,0))&gt;=100000), " ",IF(INDEX($AB$2:$AQ$1001,MATCH(ROWS($U$2:U153),$U$2:$U$1001,0),MATCH(COLUMNS($AB$1006:AH1006),$AB$1006:$AQ$1006,0)), HYPERLINK("#",""), HYPERLINK(CONCATENATE("#Metadata!", ADDRESS(INDEX($W$2:$W$1001,MATCH(ROWS($U$2:U153),$U$2:$U$1001,0),0), INDEX($AB$1004:$AQ$1004,1,MATCH(COLUMNS($AB$1006:AH1006),$AB$1006:$AQ$1006,0)))),"Fix")))</f>
        <v>0</v>
      </c>
      <c r="I153" s="5">
        <f>IF(OR(INDEX($V$2:$V$1001,MATCH(ROWS($U$2:U153),$U$2:$U$1001,0),1)&gt;=100000,INDEX($AB$1005:$AQ$1005,1,MATCH(COLUMNS($AB$1006:AI1006),$AB$1006:$AQ$1006,0))&gt;=100000), " ",IF(INDEX($AB$2:$AQ$1001,MATCH(ROWS($U$2:U153),$U$2:$U$1001,0),MATCH(COLUMNS($AB$1006:AI1006),$AB$1006:$AQ$1006,0)), HYPERLINK("#",""), HYPERLINK(CONCATENATE("#Metadata!", ADDRESS(INDEX($W$2:$W$1001,MATCH(ROWS($U$2:U153),$U$2:$U$1001,0),0), INDEX($AB$1004:$AQ$1004,1,MATCH(COLUMNS($AB$1006:AI1006),$AB$1006:$AQ$1006,0)))),"Fix")))</f>
        <v>0</v>
      </c>
      <c r="J153" s="5">
        <f>IF(OR(INDEX($V$2:$V$1001,MATCH(ROWS($U$2:U153),$U$2:$U$1001,0),1)&gt;=100000,INDEX($AB$1005:$AQ$1005,1,MATCH(COLUMNS($AB$1006:AJ1006),$AB$1006:$AQ$1006,0))&gt;=100000), " ",IF(INDEX($AB$2:$AQ$1001,MATCH(ROWS($U$2:U153),$U$2:$U$1001,0),MATCH(COLUMNS($AB$1006:AJ1006),$AB$1006:$AQ$1006,0)), HYPERLINK("#",""), HYPERLINK(CONCATENATE("#Metadata!", ADDRESS(INDEX($W$2:$W$1001,MATCH(ROWS($U$2:U153),$U$2:$U$1001,0),0), INDEX($AB$1004:$AQ$1004,1,MATCH(COLUMNS($AB$1006:AJ1006),$AB$1006:$AQ$1006,0)))),"Fix")))</f>
        <v>0</v>
      </c>
      <c r="K153" s="5">
        <f>IF(OR(INDEX($V$2:$V$1001,MATCH(ROWS($U$2:U153),$U$2:$U$1001,0),1)&gt;=100000,INDEX($AB$1005:$AQ$1005,1,MATCH(COLUMNS($AB$1006:AK1006),$AB$1006:$AQ$1006,0))&gt;=100000), " ",IF(INDEX($AB$2:$AQ$1001,MATCH(ROWS($U$2:U153),$U$2:$U$1001,0),MATCH(COLUMNS($AB$1006:AK1006),$AB$1006:$AQ$1006,0)), HYPERLINK("#",""), HYPERLINK(CONCATENATE("#Metadata!", ADDRESS(INDEX($W$2:$W$1001,MATCH(ROWS($U$2:U153),$U$2:$U$1001,0),0), INDEX($AB$1004:$AQ$1004,1,MATCH(COLUMNS($AB$1006:AK1006),$AB$1006:$AQ$1006,0)))),"Fix")))</f>
        <v>0</v>
      </c>
      <c r="L153" s="5">
        <f>IF(OR(INDEX($V$2:$V$1001,MATCH(ROWS($U$2:U153),$U$2:$U$1001,0),1)&gt;=100000,INDEX($AB$1005:$AQ$1005,1,MATCH(COLUMNS($AB$1006:AL1006),$AB$1006:$AQ$1006,0))&gt;=100000), " ",IF(INDEX($AB$2:$AQ$1001,MATCH(ROWS($U$2:U153),$U$2:$U$1001,0),MATCH(COLUMNS($AB$1006:AL1006),$AB$1006:$AQ$1006,0)), HYPERLINK("#",""), HYPERLINK(CONCATENATE("#Metadata!", ADDRESS(INDEX($W$2:$W$1001,MATCH(ROWS($U$2:U153),$U$2:$U$1001,0),0), INDEX($AB$1004:$AQ$1004,1,MATCH(COLUMNS($AB$1006:AL1006),$AB$1006:$AQ$1006,0)))),"Fix")))</f>
        <v>0</v>
      </c>
      <c r="M153" s="5">
        <f>IF(OR(INDEX($V$2:$V$1001,MATCH(ROWS($U$2:U153),$U$2:$U$1001,0),1)&gt;=100000,INDEX($AB$1005:$AQ$1005,1,MATCH(COLUMNS($AB$1006:AM1006),$AB$1006:$AQ$1006,0))&gt;=100000), " ",IF(INDEX($AB$2:$AQ$1001,MATCH(ROWS($U$2:U153),$U$2:$U$1001,0),MATCH(COLUMNS($AB$1006:AM1006),$AB$1006:$AQ$1006,0)), HYPERLINK("#",""), HYPERLINK(CONCATENATE("#Metadata!", ADDRESS(INDEX($W$2:$W$1001,MATCH(ROWS($U$2:U153),$U$2:$U$1001,0),0), INDEX($AB$1004:$AQ$1004,1,MATCH(COLUMNS($AB$1006:AM1006),$AB$1006:$AQ$1006,0)))),"Fix")))</f>
        <v>0</v>
      </c>
      <c r="N153" s="5">
        <f>IF(OR(INDEX($V$2:$V$1001,MATCH(ROWS($U$2:U153),$U$2:$U$1001,0),1)&gt;=100000,INDEX($AB$1005:$AQ$1005,1,MATCH(COLUMNS($AB$1006:AN1006),$AB$1006:$AQ$1006,0))&gt;=100000), " ",IF(INDEX($AB$2:$AQ$1001,MATCH(ROWS($U$2:U153),$U$2:$U$1001,0),MATCH(COLUMNS($AB$1006:AN1006),$AB$1006:$AQ$1006,0)), HYPERLINK("#",""), HYPERLINK(CONCATENATE("#Metadata!", ADDRESS(INDEX($W$2:$W$1001,MATCH(ROWS($U$2:U153),$U$2:$U$1001,0),0), INDEX($AB$1004:$AQ$1004,1,MATCH(COLUMNS($AB$1006:AN1006),$AB$1006:$AQ$1006,0)))),"Fix")))</f>
        <v>0</v>
      </c>
      <c r="O153" s="5">
        <f>IF(OR(INDEX($V$2:$V$1001,MATCH(ROWS($U$2:U153),$U$2:$U$1001,0),1)&gt;=100000,INDEX($AB$1005:$AQ$1005,1,MATCH(COLUMNS($AB$1006:AO1006),$AB$1006:$AQ$1006,0))&gt;=100000), " ",IF(INDEX($AB$2:$AQ$1001,MATCH(ROWS($U$2:U153),$U$2:$U$1001,0),MATCH(COLUMNS($AB$1006:AO1006),$AB$1006:$AQ$1006,0)), HYPERLINK("#",""), HYPERLINK(CONCATENATE("#Metadata!", ADDRESS(INDEX($W$2:$W$1001,MATCH(ROWS($U$2:U153),$U$2:$U$1001,0),0), INDEX($AB$1004:$AQ$1004,1,MATCH(COLUMNS($AB$1006:AO1006),$AB$1006:$AQ$1006,0)))),"Fix")))</f>
        <v>0</v>
      </c>
      <c r="P153" s="5">
        <f>IF(OR(INDEX($V$2:$V$1001,MATCH(ROWS($U$2:U153),$U$2:$U$1001,0),1)&gt;=100000,INDEX($AB$1005:$AQ$1005,1,MATCH(COLUMNS($AB$1006:AP1006),$AB$1006:$AQ$1006,0))&gt;=100000), " ",IF(INDEX($AB$2:$AQ$1001,MATCH(ROWS($U$2:U153),$U$2:$U$1001,0),MATCH(COLUMNS($AB$1006:AP1006),$AB$1006:$AQ$1006,0)), HYPERLINK("#",""), HYPERLINK(CONCATENATE("#Metadata!", ADDRESS(INDEX($W$2:$W$1001,MATCH(ROWS($U$2:U153),$U$2:$U$1001,0),0), INDEX($AB$1004:$AQ$1004,1,MATCH(COLUMNS($AB$1006:AP1006),$AB$1006:$AQ$1006,0)))),"Fix")))</f>
        <v>0</v>
      </c>
      <c r="Q153" s="5">
        <f>IF(OR(INDEX($V$2:$V$1001,MATCH(ROWS($U$2:U153),$U$2:$U$1001,0),1)&gt;=100000,INDEX($AB$1005:$AQ$1005,1,MATCH(COLUMNS($AB$1006:AQ1006),$AB$1006:$AQ$1006,0))&gt;=100000), " ",IF(INDEX($AB$2:$AQ$1001,MATCH(ROWS($U$2:U153),$U$2:$U$1001,0),MATCH(COLUMNS($AB$1006:AQ1006),$AB$1006:$AQ$1006,0)), HYPERLINK("#",""), HYPERLINK(CONCATENATE("#Metadata!", ADDRESS(INDEX($W$2:$W$1001,MATCH(ROWS($U$2:U153),$U$2:$U$1001,0),0), INDEX($AB$1004:$AQ$1004,1,MATCH(COLUMNS($AB$1006:AQ1006),$AB$1006:$AQ$1006,0)))),"Fix")))</f>
        <v>0</v>
      </c>
      <c r="U153">
        <v>0</v>
      </c>
      <c r="V153">
        <v>0</v>
      </c>
      <c r="W153">
        <v>0</v>
      </c>
      <c r="X153">
        <f>IF(Y153,TRUE,AND(AB153:AQ153))</f>
        <v>0</v>
      </c>
      <c r="Y153">
        <f>COUNTBLANK(Metadata!B153:Q153)=COLUMNS(Metadata!B153:Q153)</f>
        <v>0</v>
      </c>
      <c r="Z153">
        <v>0</v>
      </c>
      <c r="AB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AC153">
        <f>AND(IF(Metadata!C153="",FALSE,TRUE),exact(Metadata!C153,"urban biome"))</f>
        <v>0</v>
      </c>
      <c r="AD153">
        <f>AND(IF(Metadata!D153="",FALSE,TRUE),exact(Metadata!D153,"human-associated habitat"))</f>
        <v>0</v>
      </c>
      <c r="AE153">
        <f>AND(IF(Metadata!E153="",FALSE,TRUE),OR(exact(Metadata!E153,"human-associated"),exact(Metadata!E153,"human-skin"),exact(Metadata!E153,"human-oral"),exact(Metadata!E153,"human-gut"),exact(Metadata!E153,"human-vaginal")))</f>
        <v>0</v>
      </c>
      <c r="AF153">
        <f>AND(IF(Metadata!F153="",FALSE,ISNUMBER(VALUE(Metadata!F153))),Metadata!F153&gt;0)</f>
        <v>0</v>
      </c>
      <c r="AG153">
        <f>AND(IF(Metadata!G153="",FALSE,TRUE),exact(Metadata!G153,"years"))</f>
        <v>0</v>
      </c>
      <c r="AH153">
        <f>OR(AND(IF(Metadata!H153="",FALSE,TRUE),OR(exact(Metadata!H153,"not applicable"),exact(Metadata!H153,"not collected"),exact(Metadata!H153,"not provided"),exact(Metadata!H153,"restricted access"))),AND(IF(Metadata!H153="",FALSE,ISNUMBER(VALUE(Metadata!H153))),Metadata!H153&gt;0))</f>
        <v>0</v>
      </c>
      <c r="AI153">
        <f>AND(IF(Metadata!I153="",FALSE,TRUE),exact(Metadata!I153,"human"))</f>
        <v>0</v>
      </c>
      <c r="AJ153">
        <f>AND(IF(Metadata!J153="",FALSE,ISNUMBER(VALUE(Metadata!J153))),Metadata!J153&gt;0)</f>
        <v>0</v>
      </c>
      <c r="AK153">
        <f>AND(IF(Metadata!K153="",FALSE,TRUE),exact(Metadata!K153,"cm"))</f>
        <v>0</v>
      </c>
      <c r="AL153">
        <f>AND(IF(Metadata!L153="",FALSE,TRUE),exact(Metadata!L153,"Homo sapiens"))</f>
        <v>0</v>
      </c>
      <c r="AM153">
        <f>AND(IF(Metadata!M153="",FALSE,TRUE),exact(Metadata!M153,"9606"))</f>
        <v>0</v>
      </c>
      <c r="AN153">
        <f>AND(IF(Metadata!N153="",FALSE,ISNUMBER(VALUE(Metadata!N153))),Metadata!N153&gt;0)</f>
        <v>0</v>
      </c>
      <c r="AO153">
        <f>AND(IF(Metadata!O153="",FALSE,TRUE),exact(Metadata!O153,"kg"))</f>
        <v>0</v>
      </c>
      <c r="AP153">
        <f>OR(AND(IF(Metadata!P153="",FALSE,TRUE),exact(Metadata!P153,"not provided")),IF(Metadata!P153="",FALSE,TRUE))</f>
        <v>0</v>
      </c>
      <c r="AQ153">
        <f>OR(AND(IF(Metadata!Q153="",FALSE,TRUE),exact(Metadata!Q153,"not provided")),IF(Metadata!Q153="",FALSE,TRUE))</f>
        <v>0</v>
      </c>
    </row>
    <row r="154" spans="1:43">
      <c r="A154" s="4">
        <f>IF(B154=" "," ",HYPERLINK(CONCATENATE("#metadata!",ADDRESS(INDEX($W$2:$W$1001,MATCH(ROWS($U$2:U154),$U$2:$U$1001,0),0),2)),INDEX($Z$2:$Z$1001,MATCH(ROWS($U$2:U154),$U$2:$U$1001,0),0)))</f>
        <v>0</v>
      </c>
      <c r="B154" s="5">
        <f>IF(OR(INDEX($V$2:$V$1001,MATCH(ROWS($U$2:U154),$U$2:$U$1001,0),1)&gt;=100000,INDEX($AB$1005:$AQ$1005,1,MATCH(COLUMNS($AB$1006:AB1006),$AB$1006:$AQ$1006,0))&gt;=100000), " ",IF(INDEX($AB$2:$AQ$1001,MATCH(ROWS($U$2:U154),$U$2:$U$1001,0),MATCH(COLUMNS($AB$1006:AB1006),$AB$1006:$AQ$1006,0)), HYPERLINK("#",""), HYPERLINK(CONCATENATE("#Metadata!", ADDRESS(INDEX($W$2:$W$1001,MATCH(ROWS($U$2:U154),$U$2:$U$1001,0),0), INDEX($AB$1004:$AQ$1004,1,MATCH(COLUMNS($AB$1006:AB1006),$AB$1006:$AQ$1006,0)))),"Fix")))</f>
        <v>0</v>
      </c>
      <c r="C154" s="5">
        <f>IF(OR(INDEX($V$2:$V$1001,MATCH(ROWS($U$2:U154),$U$2:$U$1001,0),1)&gt;=100000,INDEX($AB$1005:$AQ$1005,1,MATCH(COLUMNS($AB$1006:AC1006),$AB$1006:$AQ$1006,0))&gt;=100000), " ",IF(INDEX($AB$2:$AQ$1001,MATCH(ROWS($U$2:U154),$U$2:$U$1001,0),MATCH(COLUMNS($AB$1006:AC1006),$AB$1006:$AQ$1006,0)), HYPERLINK("#",""), HYPERLINK(CONCATENATE("#Metadata!", ADDRESS(INDEX($W$2:$W$1001,MATCH(ROWS($U$2:U154),$U$2:$U$1001,0),0), INDEX($AB$1004:$AQ$1004,1,MATCH(COLUMNS($AB$1006:AC1006),$AB$1006:$AQ$1006,0)))),"Fix")))</f>
        <v>0</v>
      </c>
      <c r="D154" s="5">
        <f>IF(OR(INDEX($V$2:$V$1001,MATCH(ROWS($U$2:U154),$U$2:$U$1001,0),1)&gt;=100000,INDEX($AB$1005:$AQ$1005,1,MATCH(COLUMNS($AB$1006:AD1006),$AB$1006:$AQ$1006,0))&gt;=100000), " ",IF(INDEX($AB$2:$AQ$1001,MATCH(ROWS($U$2:U154),$U$2:$U$1001,0),MATCH(COLUMNS($AB$1006:AD1006),$AB$1006:$AQ$1006,0)), HYPERLINK("#",""), HYPERLINK(CONCATENATE("#Metadata!", ADDRESS(INDEX($W$2:$W$1001,MATCH(ROWS($U$2:U154),$U$2:$U$1001,0),0), INDEX($AB$1004:$AQ$1004,1,MATCH(COLUMNS($AB$1006:AD1006),$AB$1006:$AQ$1006,0)))),"Fix")))</f>
        <v>0</v>
      </c>
      <c r="E154" s="5">
        <f>IF(OR(INDEX($V$2:$V$1001,MATCH(ROWS($U$2:U154),$U$2:$U$1001,0),1)&gt;=100000,INDEX($AB$1005:$AQ$1005,1,MATCH(COLUMNS($AB$1006:AE1006),$AB$1006:$AQ$1006,0))&gt;=100000), " ",IF(INDEX($AB$2:$AQ$1001,MATCH(ROWS($U$2:U154),$U$2:$U$1001,0),MATCH(COLUMNS($AB$1006:AE1006),$AB$1006:$AQ$1006,0)), HYPERLINK("#",""), HYPERLINK(CONCATENATE("#Metadata!", ADDRESS(INDEX($W$2:$W$1001,MATCH(ROWS($U$2:U154),$U$2:$U$1001,0),0), INDEX($AB$1004:$AQ$1004,1,MATCH(COLUMNS($AB$1006:AE1006),$AB$1006:$AQ$1006,0)))),"Fix")))</f>
        <v>0</v>
      </c>
      <c r="F154" s="5">
        <f>IF(OR(INDEX($V$2:$V$1001,MATCH(ROWS($U$2:U154),$U$2:$U$1001,0),1)&gt;=100000,INDEX($AB$1005:$AQ$1005,1,MATCH(COLUMNS($AB$1006:AF1006),$AB$1006:$AQ$1006,0))&gt;=100000), " ",IF(INDEX($AB$2:$AQ$1001,MATCH(ROWS($U$2:U154),$U$2:$U$1001,0),MATCH(COLUMNS($AB$1006:AF1006),$AB$1006:$AQ$1006,0)), HYPERLINK("#",""), HYPERLINK(CONCATENATE("#Metadata!", ADDRESS(INDEX($W$2:$W$1001,MATCH(ROWS($U$2:U154),$U$2:$U$1001,0),0), INDEX($AB$1004:$AQ$1004,1,MATCH(COLUMNS($AB$1006:AF1006),$AB$1006:$AQ$1006,0)))),"Fix")))</f>
        <v>0</v>
      </c>
      <c r="G154" s="5">
        <f>IF(OR(INDEX($V$2:$V$1001,MATCH(ROWS($U$2:U154),$U$2:$U$1001,0),1)&gt;=100000,INDEX($AB$1005:$AQ$1005,1,MATCH(COLUMNS($AB$1006:AG1006),$AB$1006:$AQ$1006,0))&gt;=100000), " ",IF(INDEX($AB$2:$AQ$1001,MATCH(ROWS($U$2:U154),$U$2:$U$1001,0),MATCH(COLUMNS($AB$1006:AG1006),$AB$1006:$AQ$1006,0)), HYPERLINK("#",""), HYPERLINK(CONCATENATE("#Metadata!", ADDRESS(INDEX($W$2:$W$1001,MATCH(ROWS($U$2:U154),$U$2:$U$1001,0),0), INDEX($AB$1004:$AQ$1004,1,MATCH(COLUMNS($AB$1006:AG1006),$AB$1006:$AQ$1006,0)))),"Fix")))</f>
        <v>0</v>
      </c>
      <c r="H154" s="5">
        <f>IF(OR(INDEX($V$2:$V$1001,MATCH(ROWS($U$2:U154),$U$2:$U$1001,0),1)&gt;=100000,INDEX($AB$1005:$AQ$1005,1,MATCH(COLUMNS($AB$1006:AH1006),$AB$1006:$AQ$1006,0))&gt;=100000), " ",IF(INDEX($AB$2:$AQ$1001,MATCH(ROWS($U$2:U154),$U$2:$U$1001,0),MATCH(COLUMNS($AB$1006:AH1006),$AB$1006:$AQ$1006,0)), HYPERLINK("#",""), HYPERLINK(CONCATENATE("#Metadata!", ADDRESS(INDEX($W$2:$W$1001,MATCH(ROWS($U$2:U154),$U$2:$U$1001,0),0), INDEX($AB$1004:$AQ$1004,1,MATCH(COLUMNS($AB$1006:AH1006),$AB$1006:$AQ$1006,0)))),"Fix")))</f>
        <v>0</v>
      </c>
      <c r="I154" s="5">
        <f>IF(OR(INDEX($V$2:$V$1001,MATCH(ROWS($U$2:U154),$U$2:$U$1001,0),1)&gt;=100000,INDEX($AB$1005:$AQ$1005,1,MATCH(COLUMNS($AB$1006:AI1006),$AB$1006:$AQ$1006,0))&gt;=100000), " ",IF(INDEX($AB$2:$AQ$1001,MATCH(ROWS($U$2:U154),$U$2:$U$1001,0),MATCH(COLUMNS($AB$1006:AI1006),$AB$1006:$AQ$1006,0)), HYPERLINK("#",""), HYPERLINK(CONCATENATE("#Metadata!", ADDRESS(INDEX($W$2:$W$1001,MATCH(ROWS($U$2:U154),$U$2:$U$1001,0),0), INDEX($AB$1004:$AQ$1004,1,MATCH(COLUMNS($AB$1006:AI1006),$AB$1006:$AQ$1006,0)))),"Fix")))</f>
        <v>0</v>
      </c>
      <c r="J154" s="5">
        <f>IF(OR(INDEX($V$2:$V$1001,MATCH(ROWS($U$2:U154),$U$2:$U$1001,0),1)&gt;=100000,INDEX($AB$1005:$AQ$1005,1,MATCH(COLUMNS($AB$1006:AJ1006),$AB$1006:$AQ$1006,0))&gt;=100000), " ",IF(INDEX($AB$2:$AQ$1001,MATCH(ROWS($U$2:U154),$U$2:$U$1001,0),MATCH(COLUMNS($AB$1006:AJ1006),$AB$1006:$AQ$1006,0)), HYPERLINK("#",""), HYPERLINK(CONCATENATE("#Metadata!", ADDRESS(INDEX($W$2:$W$1001,MATCH(ROWS($U$2:U154),$U$2:$U$1001,0),0), INDEX($AB$1004:$AQ$1004,1,MATCH(COLUMNS($AB$1006:AJ1006),$AB$1006:$AQ$1006,0)))),"Fix")))</f>
        <v>0</v>
      </c>
      <c r="K154" s="5">
        <f>IF(OR(INDEX($V$2:$V$1001,MATCH(ROWS($U$2:U154),$U$2:$U$1001,0),1)&gt;=100000,INDEX($AB$1005:$AQ$1005,1,MATCH(COLUMNS($AB$1006:AK1006),$AB$1006:$AQ$1006,0))&gt;=100000), " ",IF(INDEX($AB$2:$AQ$1001,MATCH(ROWS($U$2:U154),$U$2:$U$1001,0),MATCH(COLUMNS($AB$1006:AK1006),$AB$1006:$AQ$1006,0)), HYPERLINK("#",""), HYPERLINK(CONCATENATE("#Metadata!", ADDRESS(INDEX($W$2:$W$1001,MATCH(ROWS($U$2:U154),$U$2:$U$1001,0),0), INDEX($AB$1004:$AQ$1004,1,MATCH(COLUMNS($AB$1006:AK1006),$AB$1006:$AQ$1006,0)))),"Fix")))</f>
        <v>0</v>
      </c>
      <c r="L154" s="5">
        <f>IF(OR(INDEX($V$2:$V$1001,MATCH(ROWS($U$2:U154),$U$2:$U$1001,0),1)&gt;=100000,INDEX($AB$1005:$AQ$1005,1,MATCH(COLUMNS($AB$1006:AL1006),$AB$1006:$AQ$1006,0))&gt;=100000), " ",IF(INDEX($AB$2:$AQ$1001,MATCH(ROWS($U$2:U154),$U$2:$U$1001,0),MATCH(COLUMNS($AB$1006:AL1006),$AB$1006:$AQ$1006,0)), HYPERLINK("#",""), HYPERLINK(CONCATENATE("#Metadata!", ADDRESS(INDEX($W$2:$W$1001,MATCH(ROWS($U$2:U154),$U$2:$U$1001,0),0), INDEX($AB$1004:$AQ$1004,1,MATCH(COLUMNS($AB$1006:AL1006),$AB$1006:$AQ$1006,0)))),"Fix")))</f>
        <v>0</v>
      </c>
      <c r="M154" s="5">
        <f>IF(OR(INDEX($V$2:$V$1001,MATCH(ROWS($U$2:U154),$U$2:$U$1001,0),1)&gt;=100000,INDEX($AB$1005:$AQ$1005,1,MATCH(COLUMNS($AB$1006:AM1006),$AB$1006:$AQ$1006,0))&gt;=100000), " ",IF(INDEX($AB$2:$AQ$1001,MATCH(ROWS($U$2:U154),$U$2:$U$1001,0),MATCH(COLUMNS($AB$1006:AM1006),$AB$1006:$AQ$1006,0)), HYPERLINK("#",""), HYPERLINK(CONCATENATE("#Metadata!", ADDRESS(INDEX($W$2:$W$1001,MATCH(ROWS($U$2:U154),$U$2:$U$1001,0),0), INDEX($AB$1004:$AQ$1004,1,MATCH(COLUMNS($AB$1006:AM1006),$AB$1006:$AQ$1006,0)))),"Fix")))</f>
        <v>0</v>
      </c>
      <c r="N154" s="5">
        <f>IF(OR(INDEX($V$2:$V$1001,MATCH(ROWS($U$2:U154),$U$2:$U$1001,0),1)&gt;=100000,INDEX($AB$1005:$AQ$1005,1,MATCH(COLUMNS($AB$1006:AN1006),$AB$1006:$AQ$1006,0))&gt;=100000), " ",IF(INDEX($AB$2:$AQ$1001,MATCH(ROWS($U$2:U154),$U$2:$U$1001,0),MATCH(COLUMNS($AB$1006:AN1006),$AB$1006:$AQ$1006,0)), HYPERLINK("#",""), HYPERLINK(CONCATENATE("#Metadata!", ADDRESS(INDEX($W$2:$W$1001,MATCH(ROWS($U$2:U154),$U$2:$U$1001,0),0), INDEX($AB$1004:$AQ$1004,1,MATCH(COLUMNS($AB$1006:AN1006),$AB$1006:$AQ$1006,0)))),"Fix")))</f>
        <v>0</v>
      </c>
      <c r="O154" s="5">
        <f>IF(OR(INDEX($V$2:$V$1001,MATCH(ROWS($U$2:U154),$U$2:$U$1001,0),1)&gt;=100000,INDEX($AB$1005:$AQ$1005,1,MATCH(COLUMNS($AB$1006:AO1006),$AB$1006:$AQ$1006,0))&gt;=100000), " ",IF(INDEX($AB$2:$AQ$1001,MATCH(ROWS($U$2:U154),$U$2:$U$1001,0),MATCH(COLUMNS($AB$1006:AO1006),$AB$1006:$AQ$1006,0)), HYPERLINK("#",""), HYPERLINK(CONCATENATE("#Metadata!", ADDRESS(INDEX($W$2:$W$1001,MATCH(ROWS($U$2:U154),$U$2:$U$1001,0),0), INDEX($AB$1004:$AQ$1004,1,MATCH(COLUMNS($AB$1006:AO1006),$AB$1006:$AQ$1006,0)))),"Fix")))</f>
        <v>0</v>
      </c>
      <c r="P154" s="5">
        <f>IF(OR(INDEX($V$2:$V$1001,MATCH(ROWS($U$2:U154),$U$2:$U$1001,0),1)&gt;=100000,INDEX($AB$1005:$AQ$1005,1,MATCH(COLUMNS($AB$1006:AP1006),$AB$1006:$AQ$1006,0))&gt;=100000), " ",IF(INDEX($AB$2:$AQ$1001,MATCH(ROWS($U$2:U154),$U$2:$U$1001,0),MATCH(COLUMNS($AB$1006:AP1006),$AB$1006:$AQ$1006,0)), HYPERLINK("#",""), HYPERLINK(CONCATENATE("#Metadata!", ADDRESS(INDEX($W$2:$W$1001,MATCH(ROWS($U$2:U154),$U$2:$U$1001,0),0), INDEX($AB$1004:$AQ$1004,1,MATCH(COLUMNS($AB$1006:AP1006),$AB$1006:$AQ$1006,0)))),"Fix")))</f>
        <v>0</v>
      </c>
      <c r="Q154" s="5">
        <f>IF(OR(INDEX($V$2:$V$1001,MATCH(ROWS($U$2:U154),$U$2:$U$1001,0),1)&gt;=100000,INDEX($AB$1005:$AQ$1005,1,MATCH(COLUMNS($AB$1006:AQ1006),$AB$1006:$AQ$1006,0))&gt;=100000), " ",IF(INDEX($AB$2:$AQ$1001,MATCH(ROWS($U$2:U154),$U$2:$U$1001,0),MATCH(COLUMNS($AB$1006:AQ1006),$AB$1006:$AQ$1006,0)), HYPERLINK("#",""), HYPERLINK(CONCATENATE("#Metadata!", ADDRESS(INDEX($W$2:$W$1001,MATCH(ROWS($U$2:U154),$U$2:$U$1001,0),0), INDEX($AB$1004:$AQ$1004,1,MATCH(COLUMNS($AB$1006:AQ1006),$AB$1006:$AQ$1006,0)))),"Fix")))</f>
        <v>0</v>
      </c>
      <c r="U154">
        <v>0</v>
      </c>
      <c r="V154">
        <v>0</v>
      </c>
      <c r="W154">
        <v>0</v>
      </c>
      <c r="X154">
        <f>IF(Y154,TRUE,AND(AB154:AQ154))</f>
        <v>0</v>
      </c>
      <c r="Y154">
        <f>COUNTBLANK(Metadata!B154:Q154)=COLUMNS(Metadata!B154:Q154)</f>
        <v>0</v>
      </c>
      <c r="Z154">
        <v>0</v>
      </c>
      <c r="AB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AC154">
        <f>AND(IF(Metadata!C154="",FALSE,TRUE),exact(Metadata!C154,"urban biome"))</f>
        <v>0</v>
      </c>
      <c r="AD154">
        <f>AND(IF(Metadata!D154="",FALSE,TRUE),exact(Metadata!D154,"human-associated habitat"))</f>
        <v>0</v>
      </c>
      <c r="AE154">
        <f>AND(IF(Metadata!E154="",FALSE,TRUE),OR(exact(Metadata!E154,"human-associated"),exact(Metadata!E154,"human-skin"),exact(Metadata!E154,"human-oral"),exact(Metadata!E154,"human-gut"),exact(Metadata!E154,"human-vaginal")))</f>
        <v>0</v>
      </c>
      <c r="AF154">
        <f>AND(IF(Metadata!F154="",FALSE,ISNUMBER(VALUE(Metadata!F154))),Metadata!F154&gt;0)</f>
        <v>0</v>
      </c>
      <c r="AG154">
        <f>AND(IF(Metadata!G154="",FALSE,TRUE),exact(Metadata!G154,"years"))</f>
        <v>0</v>
      </c>
      <c r="AH154">
        <f>OR(AND(IF(Metadata!H154="",FALSE,TRUE),OR(exact(Metadata!H154,"not applicable"),exact(Metadata!H154,"not collected"),exact(Metadata!H154,"not provided"),exact(Metadata!H154,"restricted access"))),AND(IF(Metadata!H154="",FALSE,ISNUMBER(VALUE(Metadata!H154))),Metadata!H154&gt;0))</f>
        <v>0</v>
      </c>
      <c r="AI154">
        <f>AND(IF(Metadata!I154="",FALSE,TRUE),exact(Metadata!I154,"human"))</f>
        <v>0</v>
      </c>
      <c r="AJ154">
        <f>AND(IF(Metadata!J154="",FALSE,ISNUMBER(VALUE(Metadata!J154))),Metadata!J154&gt;0)</f>
        <v>0</v>
      </c>
      <c r="AK154">
        <f>AND(IF(Metadata!K154="",FALSE,TRUE),exact(Metadata!K154,"cm"))</f>
        <v>0</v>
      </c>
      <c r="AL154">
        <f>AND(IF(Metadata!L154="",FALSE,TRUE),exact(Metadata!L154,"Homo sapiens"))</f>
        <v>0</v>
      </c>
      <c r="AM154">
        <f>AND(IF(Metadata!M154="",FALSE,TRUE),exact(Metadata!M154,"9606"))</f>
        <v>0</v>
      </c>
      <c r="AN154">
        <f>AND(IF(Metadata!N154="",FALSE,ISNUMBER(VALUE(Metadata!N154))),Metadata!N154&gt;0)</f>
        <v>0</v>
      </c>
      <c r="AO154">
        <f>AND(IF(Metadata!O154="",FALSE,TRUE),exact(Metadata!O154,"kg"))</f>
        <v>0</v>
      </c>
      <c r="AP154">
        <f>OR(AND(IF(Metadata!P154="",FALSE,TRUE),exact(Metadata!P154,"not provided")),IF(Metadata!P154="",FALSE,TRUE))</f>
        <v>0</v>
      </c>
      <c r="AQ154">
        <f>OR(AND(IF(Metadata!Q154="",FALSE,TRUE),exact(Metadata!Q154,"not provided")),IF(Metadata!Q154="",FALSE,TRUE))</f>
        <v>0</v>
      </c>
    </row>
    <row r="155" spans="1:43">
      <c r="A155" s="4">
        <f>IF(B155=" "," ",HYPERLINK(CONCATENATE("#metadata!",ADDRESS(INDEX($W$2:$W$1001,MATCH(ROWS($U$2:U155),$U$2:$U$1001,0),0),2)),INDEX($Z$2:$Z$1001,MATCH(ROWS($U$2:U155),$U$2:$U$1001,0),0)))</f>
        <v>0</v>
      </c>
      <c r="B155" s="5">
        <f>IF(OR(INDEX($V$2:$V$1001,MATCH(ROWS($U$2:U155),$U$2:$U$1001,0),1)&gt;=100000,INDEX($AB$1005:$AQ$1005,1,MATCH(COLUMNS($AB$1006:AB1006),$AB$1006:$AQ$1006,0))&gt;=100000), " ",IF(INDEX($AB$2:$AQ$1001,MATCH(ROWS($U$2:U155),$U$2:$U$1001,0),MATCH(COLUMNS($AB$1006:AB1006),$AB$1006:$AQ$1006,0)), HYPERLINK("#",""), HYPERLINK(CONCATENATE("#Metadata!", ADDRESS(INDEX($W$2:$W$1001,MATCH(ROWS($U$2:U155),$U$2:$U$1001,0),0), INDEX($AB$1004:$AQ$1004,1,MATCH(COLUMNS($AB$1006:AB1006),$AB$1006:$AQ$1006,0)))),"Fix")))</f>
        <v>0</v>
      </c>
      <c r="C155" s="5">
        <f>IF(OR(INDEX($V$2:$V$1001,MATCH(ROWS($U$2:U155),$U$2:$U$1001,0),1)&gt;=100000,INDEX($AB$1005:$AQ$1005,1,MATCH(COLUMNS($AB$1006:AC1006),$AB$1006:$AQ$1006,0))&gt;=100000), " ",IF(INDEX($AB$2:$AQ$1001,MATCH(ROWS($U$2:U155),$U$2:$U$1001,0),MATCH(COLUMNS($AB$1006:AC1006),$AB$1006:$AQ$1006,0)), HYPERLINK("#",""), HYPERLINK(CONCATENATE("#Metadata!", ADDRESS(INDEX($W$2:$W$1001,MATCH(ROWS($U$2:U155),$U$2:$U$1001,0),0), INDEX($AB$1004:$AQ$1004,1,MATCH(COLUMNS($AB$1006:AC1006),$AB$1006:$AQ$1006,0)))),"Fix")))</f>
        <v>0</v>
      </c>
      <c r="D155" s="5">
        <f>IF(OR(INDEX($V$2:$V$1001,MATCH(ROWS($U$2:U155),$U$2:$U$1001,0),1)&gt;=100000,INDEX($AB$1005:$AQ$1005,1,MATCH(COLUMNS($AB$1006:AD1006),$AB$1006:$AQ$1006,0))&gt;=100000), " ",IF(INDEX($AB$2:$AQ$1001,MATCH(ROWS($U$2:U155),$U$2:$U$1001,0),MATCH(COLUMNS($AB$1006:AD1006),$AB$1006:$AQ$1006,0)), HYPERLINK("#",""), HYPERLINK(CONCATENATE("#Metadata!", ADDRESS(INDEX($W$2:$W$1001,MATCH(ROWS($U$2:U155),$U$2:$U$1001,0),0), INDEX($AB$1004:$AQ$1004,1,MATCH(COLUMNS($AB$1006:AD1006),$AB$1006:$AQ$1006,0)))),"Fix")))</f>
        <v>0</v>
      </c>
      <c r="E155" s="5">
        <f>IF(OR(INDEX($V$2:$V$1001,MATCH(ROWS($U$2:U155),$U$2:$U$1001,0),1)&gt;=100000,INDEX($AB$1005:$AQ$1005,1,MATCH(COLUMNS($AB$1006:AE1006),$AB$1006:$AQ$1006,0))&gt;=100000), " ",IF(INDEX($AB$2:$AQ$1001,MATCH(ROWS($U$2:U155),$U$2:$U$1001,0),MATCH(COLUMNS($AB$1006:AE1006),$AB$1006:$AQ$1006,0)), HYPERLINK("#",""), HYPERLINK(CONCATENATE("#Metadata!", ADDRESS(INDEX($W$2:$W$1001,MATCH(ROWS($U$2:U155),$U$2:$U$1001,0),0), INDEX($AB$1004:$AQ$1004,1,MATCH(COLUMNS($AB$1006:AE1006),$AB$1006:$AQ$1006,0)))),"Fix")))</f>
        <v>0</v>
      </c>
      <c r="F155" s="5">
        <f>IF(OR(INDEX($V$2:$V$1001,MATCH(ROWS($U$2:U155),$U$2:$U$1001,0),1)&gt;=100000,INDEX($AB$1005:$AQ$1005,1,MATCH(COLUMNS($AB$1006:AF1006),$AB$1006:$AQ$1006,0))&gt;=100000), " ",IF(INDEX($AB$2:$AQ$1001,MATCH(ROWS($U$2:U155),$U$2:$U$1001,0),MATCH(COLUMNS($AB$1006:AF1006),$AB$1006:$AQ$1006,0)), HYPERLINK("#",""), HYPERLINK(CONCATENATE("#Metadata!", ADDRESS(INDEX($W$2:$W$1001,MATCH(ROWS($U$2:U155),$U$2:$U$1001,0),0), INDEX($AB$1004:$AQ$1004,1,MATCH(COLUMNS($AB$1006:AF1006),$AB$1006:$AQ$1006,0)))),"Fix")))</f>
        <v>0</v>
      </c>
      <c r="G155" s="5">
        <f>IF(OR(INDEX($V$2:$V$1001,MATCH(ROWS($U$2:U155),$U$2:$U$1001,0),1)&gt;=100000,INDEX($AB$1005:$AQ$1005,1,MATCH(COLUMNS($AB$1006:AG1006),$AB$1006:$AQ$1006,0))&gt;=100000), " ",IF(INDEX($AB$2:$AQ$1001,MATCH(ROWS($U$2:U155),$U$2:$U$1001,0),MATCH(COLUMNS($AB$1006:AG1006),$AB$1006:$AQ$1006,0)), HYPERLINK("#",""), HYPERLINK(CONCATENATE("#Metadata!", ADDRESS(INDEX($W$2:$W$1001,MATCH(ROWS($U$2:U155),$U$2:$U$1001,0),0), INDEX($AB$1004:$AQ$1004,1,MATCH(COLUMNS($AB$1006:AG1006),$AB$1006:$AQ$1006,0)))),"Fix")))</f>
        <v>0</v>
      </c>
      <c r="H155" s="5">
        <f>IF(OR(INDEX($V$2:$V$1001,MATCH(ROWS($U$2:U155),$U$2:$U$1001,0),1)&gt;=100000,INDEX($AB$1005:$AQ$1005,1,MATCH(COLUMNS($AB$1006:AH1006),$AB$1006:$AQ$1006,0))&gt;=100000), " ",IF(INDEX($AB$2:$AQ$1001,MATCH(ROWS($U$2:U155),$U$2:$U$1001,0),MATCH(COLUMNS($AB$1006:AH1006),$AB$1006:$AQ$1006,0)), HYPERLINK("#",""), HYPERLINK(CONCATENATE("#Metadata!", ADDRESS(INDEX($W$2:$W$1001,MATCH(ROWS($U$2:U155),$U$2:$U$1001,0),0), INDEX($AB$1004:$AQ$1004,1,MATCH(COLUMNS($AB$1006:AH1006),$AB$1006:$AQ$1006,0)))),"Fix")))</f>
        <v>0</v>
      </c>
      <c r="I155" s="5">
        <f>IF(OR(INDEX($V$2:$V$1001,MATCH(ROWS($U$2:U155),$U$2:$U$1001,0),1)&gt;=100000,INDEX($AB$1005:$AQ$1005,1,MATCH(COLUMNS($AB$1006:AI1006),$AB$1006:$AQ$1006,0))&gt;=100000), " ",IF(INDEX($AB$2:$AQ$1001,MATCH(ROWS($U$2:U155),$U$2:$U$1001,0),MATCH(COLUMNS($AB$1006:AI1006),$AB$1006:$AQ$1006,0)), HYPERLINK("#",""), HYPERLINK(CONCATENATE("#Metadata!", ADDRESS(INDEX($W$2:$W$1001,MATCH(ROWS($U$2:U155),$U$2:$U$1001,0),0), INDEX($AB$1004:$AQ$1004,1,MATCH(COLUMNS($AB$1006:AI1006),$AB$1006:$AQ$1006,0)))),"Fix")))</f>
        <v>0</v>
      </c>
      <c r="J155" s="5">
        <f>IF(OR(INDEX($V$2:$V$1001,MATCH(ROWS($U$2:U155),$U$2:$U$1001,0),1)&gt;=100000,INDEX($AB$1005:$AQ$1005,1,MATCH(COLUMNS($AB$1006:AJ1006),$AB$1006:$AQ$1006,0))&gt;=100000), " ",IF(INDEX($AB$2:$AQ$1001,MATCH(ROWS($U$2:U155),$U$2:$U$1001,0),MATCH(COLUMNS($AB$1006:AJ1006),$AB$1006:$AQ$1006,0)), HYPERLINK("#",""), HYPERLINK(CONCATENATE("#Metadata!", ADDRESS(INDEX($W$2:$W$1001,MATCH(ROWS($U$2:U155),$U$2:$U$1001,0),0), INDEX($AB$1004:$AQ$1004,1,MATCH(COLUMNS($AB$1006:AJ1006),$AB$1006:$AQ$1006,0)))),"Fix")))</f>
        <v>0</v>
      </c>
      <c r="K155" s="5">
        <f>IF(OR(INDEX($V$2:$V$1001,MATCH(ROWS($U$2:U155),$U$2:$U$1001,0),1)&gt;=100000,INDEX($AB$1005:$AQ$1005,1,MATCH(COLUMNS($AB$1006:AK1006),$AB$1006:$AQ$1006,0))&gt;=100000), " ",IF(INDEX($AB$2:$AQ$1001,MATCH(ROWS($U$2:U155),$U$2:$U$1001,0),MATCH(COLUMNS($AB$1006:AK1006),$AB$1006:$AQ$1006,0)), HYPERLINK("#",""), HYPERLINK(CONCATENATE("#Metadata!", ADDRESS(INDEX($W$2:$W$1001,MATCH(ROWS($U$2:U155),$U$2:$U$1001,0),0), INDEX($AB$1004:$AQ$1004,1,MATCH(COLUMNS($AB$1006:AK1006),$AB$1006:$AQ$1006,0)))),"Fix")))</f>
        <v>0</v>
      </c>
      <c r="L155" s="5">
        <f>IF(OR(INDEX($V$2:$V$1001,MATCH(ROWS($U$2:U155),$U$2:$U$1001,0),1)&gt;=100000,INDEX($AB$1005:$AQ$1005,1,MATCH(COLUMNS($AB$1006:AL1006),$AB$1006:$AQ$1006,0))&gt;=100000), " ",IF(INDEX($AB$2:$AQ$1001,MATCH(ROWS($U$2:U155),$U$2:$U$1001,0),MATCH(COLUMNS($AB$1006:AL1006),$AB$1006:$AQ$1006,0)), HYPERLINK("#",""), HYPERLINK(CONCATENATE("#Metadata!", ADDRESS(INDEX($W$2:$W$1001,MATCH(ROWS($U$2:U155),$U$2:$U$1001,0),0), INDEX($AB$1004:$AQ$1004,1,MATCH(COLUMNS($AB$1006:AL1006),$AB$1006:$AQ$1006,0)))),"Fix")))</f>
        <v>0</v>
      </c>
      <c r="M155" s="5">
        <f>IF(OR(INDEX($V$2:$V$1001,MATCH(ROWS($U$2:U155),$U$2:$U$1001,0),1)&gt;=100000,INDEX($AB$1005:$AQ$1005,1,MATCH(COLUMNS($AB$1006:AM1006),$AB$1006:$AQ$1006,0))&gt;=100000), " ",IF(INDEX($AB$2:$AQ$1001,MATCH(ROWS($U$2:U155),$U$2:$U$1001,0),MATCH(COLUMNS($AB$1006:AM1006),$AB$1006:$AQ$1006,0)), HYPERLINK("#",""), HYPERLINK(CONCATENATE("#Metadata!", ADDRESS(INDEX($W$2:$W$1001,MATCH(ROWS($U$2:U155),$U$2:$U$1001,0),0), INDEX($AB$1004:$AQ$1004,1,MATCH(COLUMNS($AB$1006:AM1006),$AB$1006:$AQ$1006,0)))),"Fix")))</f>
        <v>0</v>
      </c>
      <c r="N155" s="5">
        <f>IF(OR(INDEX($V$2:$V$1001,MATCH(ROWS($U$2:U155),$U$2:$U$1001,0),1)&gt;=100000,INDEX($AB$1005:$AQ$1005,1,MATCH(COLUMNS($AB$1006:AN1006),$AB$1006:$AQ$1006,0))&gt;=100000), " ",IF(INDEX($AB$2:$AQ$1001,MATCH(ROWS($U$2:U155),$U$2:$U$1001,0),MATCH(COLUMNS($AB$1006:AN1006),$AB$1006:$AQ$1006,0)), HYPERLINK("#",""), HYPERLINK(CONCATENATE("#Metadata!", ADDRESS(INDEX($W$2:$W$1001,MATCH(ROWS($U$2:U155),$U$2:$U$1001,0),0), INDEX($AB$1004:$AQ$1004,1,MATCH(COLUMNS($AB$1006:AN1006),$AB$1006:$AQ$1006,0)))),"Fix")))</f>
        <v>0</v>
      </c>
      <c r="O155" s="5">
        <f>IF(OR(INDEX($V$2:$V$1001,MATCH(ROWS($U$2:U155),$U$2:$U$1001,0),1)&gt;=100000,INDEX($AB$1005:$AQ$1005,1,MATCH(COLUMNS($AB$1006:AO1006),$AB$1006:$AQ$1006,0))&gt;=100000), " ",IF(INDEX($AB$2:$AQ$1001,MATCH(ROWS($U$2:U155),$U$2:$U$1001,0),MATCH(COLUMNS($AB$1006:AO1006),$AB$1006:$AQ$1006,0)), HYPERLINK("#",""), HYPERLINK(CONCATENATE("#Metadata!", ADDRESS(INDEX($W$2:$W$1001,MATCH(ROWS($U$2:U155),$U$2:$U$1001,0),0), INDEX($AB$1004:$AQ$1004,1,MATCH(COLUMNS($AB$1006:AO1006),$AB$1006:$AQ$1006,0)))),"Fix")))</f>
        <v>0</v>
      </c>
      <c r="P155" s="5">
        <f>IF(OR(INDEX($V$2:$V$1001,MATCH(ROWS($U$2:U155),$U$2:$U$1001,0),1)&gt;=100000,INDEX($AB$1005:$AQ$1005,1,MATCH(COLUMNS($AB$1006:AP1006),$AB$1006:$AQ$1006,0))&gt;=100000), " ",IF(INDEX($AB$2:$AQ$1001,MATCH(ROWS($U$2:U155),$U$2:$U$1001,0),MATCH(COLUMNS($AB$1006:AP1006),$AB$1006:$AQ$1006,0)), HYPERLINK("#",""), HYPERLINK(CONCATENATE("#Metadata!", ADDRESS(INDEX($W$2:$W$1001,MATCH(ROWS($U$2:U155),$U$2:$U$1001,0),0), INDEX($AB$1004:$AQ$1004,1,MATCH(COLUMNS($AB$1006:AP1006),$AB$1006:$AQ$1006,0)))),"Fix")))</f>
        <v>0</v>
      </c>
      <c r="Q155" s="5">
        <f>IF(OR(INDEX($V$2:$V$1001,MATCH(ROWS($U$2:U155),$U$2:$U$1001,0),1)&gt;=100000,INDEX($AB$1005:$AQ$1005,1,MATCH(COLUMNS($AB$1006:AQ1006),$AB$1006:$AQ$1006,0))&gt;=100000), " ",IF(INDEX($AB$2:$AQ$1001,MATCH(ROWS($U$2:U155),$U$2:$U$1001,0),MATCH(COLUMNS($AB$1006:AQ1006),$AB$1006:$AQ$1006,0)), HYPERLINK("#",""), HYPERLINK(CONCATENATE("#Metadata!", ADDRESS(INDEX($W$2:$W$1001,MATCH(ROWS($U$2:U155),$U$2:$U$1001,0),0), INDEX($AB$1004:$AQ$1004,1,MATCH(COLUMNS($AB$1006:AQ1006),$AB$1006:$AQ$1006,0)))),"Fix")))</f>
        <v>0</v>
      </c>
      <c r="U155">
        <v>0</v>
      </c>
      <c r="V155">
        <v>0</v>
      </c>
      <c r="W155">
        <v>0</v>
      </c>
      <c r="X155">
        <f>IF(Y155,TRUE,AND(AB155:AQ155))</f>
        <v>0</v>
      </c>
      <c r="Y155">
        <f>COUNTBLANK(Metadata!B155:Q155)=COLUMNS(Metadata!B155:Q155)</f>
        <v>0</v>
      </c>
      <c r="Z155">
        <v>0</v>
      </c>
      <c r="AB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AC155">
        <f>AND(IF(Metadata!C155="",FALSE,TRUE),exact(Metadata!C155,"urban biome"))</f>
        <v>0</v>
      </c>
      <c r="AD155">
        <f>AND(IF(Metadata!D155="",FALSE,TRUE),exact(Metadata!D155,"human-associated habitat"))</f>
        <v>0</v>
      </c>
      <c r="AE155">
        <f>AND(IF(Metadata!E155="",FALSE,TRUE),OR(exact(Metadata!E155,"human-associated"),exact(Metadata!E155,"human-skin"),exact(Metadata!E155,"human-oral"),exact(Metadata!E155,"human-gut"),exact(Metadata!E155,"human-vaginal")))</f>
        <v>0</v>
      </c>
      <c r="AF155">
        <f>AND(IF(Metadata!F155="",FALSE,ISNUMBER(VALUE(Metadata!F155))),Metadata!F155&gt;0)</f>
        <v>0</v>
      </c>
      <c r="AG155">
        <f>AND(IF(Metadata!G155="",FALSE,TRUE),exact(Metadata!G155,"years"))</f>
        <v>0</v>
      </c>
      <c r="AH155">
        <f>OR(AND(IF(Metadata!H155="",FALSE,TRUE),OR(exact(Metadata!H155,"not applicable"),exact(Metadata!H155,"not collected"),exact(Metadata!H155,"not provided"),exact(Metadata!H155,"restricted access"))),AND(IF(Metadata!H155="",FALSE,ISNUMBER(VALUE(Metadata!H155))),Metadata!H155&gt;0))</f>
        <v>0</v>
      </c>
      <c r="AI155">
        <f>AND(IF(Metadata!I155="",FALSE,TRUE),exact(Metadata!I155,"human"))</f>
        <v>0</v>
      </c>
      <c r="AJ155">
        <f>AND(IF(Metadata!J155="",FALSE,ISNUMBER(VALUE(Metadata!J155))),Metadata!J155&gt;0)</f>
        <v>0</v>
      </c>
      <c r="AK155">
        <f>AND(IF(Metadata!K155="",FALSE,TRUE),exact(Metadata!K155,"cm"))</f>
        <v>0</v>
      </c>
      <c r="AL155">
        <f>AND(IF(Metadata!L155="",FALSE,TRUE),exact(Metadata!L155,"Homo sapiens"))</f>
        <v>0</v>
      </c>
      <c r="AM155">
        <f>AND(IF(Metadata!M155="",FALSE,TRUE),exact(Metadata!M155,"9606"))</f>
        <v>0</v>
      </c>
      <c r="AN155">
        <f>AND(IF(Metadata!N155="",FALSE,ISNUMBER(VALUE(Metadata!N155))),Metadata!N155&gt;0)</f>
        <v>0</v>
      </c>
      <c r="AO155">
        <f>AND(IF(Metadata!O155="",FALSE,TRUE),exact(Metadata!O155,"kg"))</f>
        <v>0</v>
      </c>
      <c r="AP155">
        <f>OR(AND(IF(Metadata!P155="",FALSE,TRUE),exact(Metadata!P155,"not provided")),IF(Metadata!P155="",FALSE,TRUE))</f>
        <v>0</v>
      </c>
      <c r="AQ155">
        <f>OR(AND(IF(Metadata!Q155="",FALSE,TRUE),exact(Metadata!Q155,"not provided")),IF(Metadata!Q155="",FALSE,TRUE))</f>
        <v>0</v>
      </c>
    </row>
    <row r="156" spans="1:43">
      <c r="A156" s="4">
        <f>IF(B156=" "," ",HYPERLINK(CONCATENATE("#metadata!",ADDRESS(INDEX($W$2:$W$1001,MATCH(ROWS($U$2:U156),$U$2:$U$1001,0),0),2)),INDEX($Z$2:$Z$1001,MATCH(ROWS($U$2:U156),$U$2:$U$1001,0),0)))</f>
        <v>0</v>
      </c>
      <c r="B156" s="5">
        <f>IF(OR(INDEX($V$2:$V$1001,MATCH(ROWS($U$2:U156),$U$2:$U$1001,0),1)&gt;=100000,INDEX($AB$1005:$AQ$1005,1,MATCH(COLUMNS($AB$1006:AB1006),$AB$1006:$AQ$1006,0))&gt;=100000), " ",IF(INDEX($AB$2:$AQ$1001,MATCH(ROWS($U$2:U156),$U$2:$U$1001,0),MATCH(COLUMNS($AB$1006:AB1006),$AB$1006:$AQ$1006,0)), HYPERLINK("#",""), HYPERLINK(CONCATENATE("#Metadata!", ADDRESS(INDEX($W$2:$W$1001,MATCH(ROWS($U$2:U156),$U$2:$U$1001,0),0), INDEX($AB$1004:$AQ$1004,1,MATCH(COLUMNS($AB$1006:AB1006),$AB$1006:$AQ$1006,0)))),"Fix")))</f>
        <v>0</v>
      </c>
      <c r="C156" s="5">
        <f>IF(OR(INDEX($V$2:$V$1001,MATCH(ROWS($U$2:U156),$U$2:$U$1001,0),1)&gt;=100000,INDEX($AB$1005:$AQ$1005,1,MATCH(COLUMNS($AB$1006:AC1006),$AB$1006:$AQ$1006,0))&gt;=100000), " ",IF(INDEX($AB$2:$AQ$1001,MATCH(ROWS($U$2:U156),$U$2:$U$1001,0),MATCH(COLUMNS($AB$1006:AC1006),$AB$1006:$AQ$1006,0)), HYPERLINK("#",""), HYPERLINK(CONCATENATE("#Metadata!", ADDRESS(INDEX($W$2:$W$1001,MATCH(ROWS($U$2:U156),$U$2:$U$1001,0),0), INDEX($AB$1004:$AQ$1004,1,MATCH(COLUMNS($AB$1006:AC1006),$AB$1006:$AQ$1006,0)))),"Fix")))</f>
        <v>0</v>
      </c>
      <c r="D156" s="5">
        <f>IF(OR(INDEX($V$2:$V$1001,MATCH(ROWS($U$2:U156),$U$2:$U$1001,0),1)&gt;=100000,INDEX($AB$1005:$AQ$1005,1,MATCH(COLUMNS($AB$1006:AD1006),$AB$1006:$AQ$1006,0))&gt;=100000), " ",IF(INDEX($AB$2:$AQ$1001,MATCH(ROWS($U$2:U156),$U$2:$U$1001,0),MATCH(COLUMNS($AB$1006:AD1006),$AB$1006:$AQ$1006,0)), HYPERLINK("#",""), HYPERLINK(CONCATENATE("#Metadata!", ADDRESS(INDEX($W$2:$W$1001,MATCH(ROWS($U$2:U156),$U$2:$U$1001,0),0), INDEX($AB$1004:$AQ$1004,1,MATCH(COLUMNS($AB$1006:AD1006),$AB$1006:$AQ$1006,0)))),"Fix")))</f>
        <v>0</v>
      </c>
      <c r="E156" s="5">
        <f>IF(OR(INDEX($V$2:$V$1001,MATCH(ROWS($U$2:U156),$U$2:$U$1001,0),1)&gt;=100000,INDEX($AB$1005:$AQ$1005,1,MATCH(COLUMNS($AB$1006:AE1006),$AB$1006:$AQ$1006,0))&gt;=100000), " ",IF(INDEX($AB$2:$AQ$1001,MATCH(ROWS($U$2:U156),$U$2:$U$1001,0),MATCH(COLUMNS($AB$1006:AE1006),$AB$1006:$AQ$1006,0)), HYPERLINK("#",""), HYPERLINK(CONCATENATE("#Metadata!", ADDRESS(INDEX($W$2:$W$1001,MATCH(ROWS($U$2:U156),$U$2:$U$1001,0),0), INDEX($AB$1004:$AQ$1004,1,MATCH(COLUMNS($AB$1006:AE1006),$AB$1006:$AQ$1006,0)))),"Fix")))</f>
        <v>0</v>
      </c>
      <c r="F156" s="5">
        <f>IF(OR(INDEX($V$2:$V$1001,MATCH(ROWS($U$2:U156),$U$2:$U$1001,0),1)&gt;=100000,INDEX($AB$1005:$AQ$1005,1,MATCH(COLUMNS($AB$1006:AF1006),$AB$1006:$AQ$1006,0))&gt;=100000), " ",IF(INDEX($AB$2:$AQ$1001,MATCH(ROWS($U$2:U156),$U$2:$U$1001,0),MATCH(COLUMNS($AB$1006:AF1006),$AB$1006:$AQ$1006,0)), HYPERLINK("#",""), HYPERLINK(CONCATENATE("#Metadata!", ADDRESS(INDEX($W$2:$W$1001,MATCH(ROWS($U$2:U156),$U$2:$U$1001,0),0), INDEX($AB$1004:$AQ$1004,1,MATCH(COLUMNS($AB$1006:AF1006),$AB$1006:$AQ$1006,0)))),"Fix")))</f>
        <v>0</v>
      </c>
      <c r="G156" s="5">
        <f>IF(OR(INDEX($V$2:$V$1001,MATCH(ROWS($U$2:U156),$U$2:$U$1001,0),1)&gt;=100000,INDEX($AB$1005:$AQ$1005,1,MATCH(COLUMNS($AB$1006:AG1006),$AB$1006:$AQ$1006,0))&gt;=100000), " ",IF(INDEX($AB$2:$AQ$1001,MATCH(ROWS($U$2:U156),$U$2:$U$1001,0),MATCH(COLUMNS($AB$1006:AG1006),$AB$1006:$AQ$1006,0)), HYPERLINK("#",""), HYPERLINK(CONCATENATE("#Metadata!", ADDRESS(INDEX($W$2:$W$1001,MATCH(ROWS($U$2:U156),$U$2:$U$1001,0),0), INDEX($AB$1004:$AQ$1004,1,MATCH(COLUMNS($AB$1006:AG1006),$AB$1006:$AQ$1006,0)))),"Fix")))</f>
        <v>0</v>
      </c>
      <c r="H156" s="5">
        <f>IF(OR(INDEX($V$2:$V$1001,MATCH(ROWS($U$2:U156),$U$2:$U$1001,0),1)&gt;=100000,INDEX($AB$1005:$AQ$1005,1,MATCH(COLUMNS($AB$1006:AH1006),$AB$1006:$AQ$1006,0))&gt;=100000), " ",IF(INDEX($AB$2:$AQ$1001,MATCH(ROWS($U$2:U156),$U$2:$U$1001,0),MATCH(COLUMNS($AB$1006:AH1006),$AB$1006:$AQ$1006,0)), HYPERLINK("#",""), HYPERLINK(CONCATENATE("#Metadata!", ADDRESS(INDEX($W$2:$W$1001,MATCH(ROWS($U$2:U156),$U$2:$U$1001,0),0), INDEX($AB$1004:$AQ$1004,1,MATCH(COLUMNS($AB$1006:AH1006),$AB$1006:$AQ$1006,0)))),"Fix")))</f>
        <v>0</v>
      </c>
      <c r="I156" s="5">
        <f>IF(OR(INDEX($V$2:$V$1001,MATCH(ROWS($U$2:U156),$U$2:$U$1001,0),1)&gt;=100000,INDEX($AB$1005:$AQ$1005,1,MATCH(COLUMNS($AB$1006:AI1006),$AB$1006:$AQ$1006,0))&gt;=100000), " ",IF(INDEX($AB$2:$AQ$1001,MATCH(ROWS($U$2:U156),$U$2:$U$1001,0),MATCH(COLUMNS($AB$1006:AI1006),$AB$1006:$AQ$1006,0)), HYPERLINK("#",""), HYPERLINK(CONCATENATE("#Metadata!", ADDRESS(INDEX($W$2:$W$1001,MATCH(ROWS($U$2:U156),$U$2:$U$1001,0),0), INDEX($AB$1004:$AQ$1004,1,MATCH(COLUMNS($AB$1006:AI1006),$AB$1006:$AQ$1006,0)))),"Fix")))</f>
        <v>0</v>
      </c>
      <c r="J156" s="5">
        <f>IF(OR(INDEX($V$2:$V$1001,MATCH(ROWS($U$2:U156),$U$2:$U$1001,0),1)&gt;=100000,INDEX($AB$1005:$AQ$1005,1,MATCH(COLUMNS($AB$1006:AJ1006),$AB$1006:$AQ$1006,0))&gt;=100000), " ",IF(INDEX($AB$2:$AQ$1001,MATCH(ROWS($U$2:U156),$U$2:$U$1001,0),MATCH(COLUMNS($AB$1006:AJ1006),$AB$1006:$AQ$1006,0)), HYPERLINK("#",""), HYPERLINK(CONCATENATE("#Metadata!", ADDRESS(INDEX($W$2:$W$1001,MATCH(ROWS($U$2:U156),$U$2:$U$1001,0),0), INDEX($AB$1004:$AQ$1004,1,MATCH(COLUMNS($AB$1006:AJ1006),$AB$1006:$AQ$1006,0)))),"Fix")))</f>
        <v>0</v>
      </c>
      <c r="K156" s="5">
        <f>IF(OR(INDEX($V$2:$V$1001,MATCH(ROWS($U$2:U156),$U$2:$U$1001,0),1)&gt;=100000,INDEX($AB$1005:$AQ$1005,1,MATCH(COLUMNS($AB$1006:AK1006),$AB$1006:$AQ$1006,0))&gt;=100000), " ",IF(INDEX($AB$2:$AQ$1001,MATCH(ROWS($U$2:U156),$U$2:$U$1001,0),MATCH(COLUMNS($AB$1006:AK1006),$AB$1006:$AQ$1006,0)), HYPERLINK("#",""), HYPERLINK(CONCATENATE("#Metadata!", ADDRESS(INDEX($W$2:$W$1001,MATCH(ROWS($U$2:U156),$U$2:$U$1001,0),0), INDEX($AB$1004:$AQ$1004,1,MATCH(COLUMNS($AB$1006:AK1006),$AB$1006:$AQ$1006,0)))),"Fix")))</f>
        <v>0</v>
      </c>
      <c r="L156" s="5">
        <f>IF(OR(INDEX($V$2:$V$1001,MATCH(ROWS($U$2:U156),$U$2:$U$1001,0),1)&gt;=100000,INDEX($AB$1005:$AQ$1005,1,MATCH(COLUMNS($AB$1006:AL1006),$AB$1006:$AQ$1006,0))&gt;=100000), " ",IF(INDEX($AB$2:$AQ$1001,MATCH(ROWS($U$2:U156),$U$2:$U$1001,0),MATCH(COLUMNS($AB$1006:AL1006),$AB$1006:$AQ$1006,0)), HYPERLINK("#",""), HYPERLINK(CONCATENATE("#Metadata!", ADDRESS(INDEX($W$2:$W$1001,MATCH(ROWS($U$2:U156),$U$2:$U$1001,0),0), INDEX($AB$1004:$AQ$1004,1,MATCH(COLUMNS($AB$1006:AL1006),$AB$1006:$AQ$1006,0)))),"Fix")))</f>
        <v>0</v>
      </c>
      <c r="M156" s="5">
        <f>IF(OR(INDEX($V$2:$V$1001,MATCH(ROWS($U$2:U156),$U$2:$U$1001,0),1)&gt;=100000,INDEX($AB$1005:$AQ$1005,1,MATCH(COLUMNS($AB$1006:AM1006),$AB$1006:$AQ$1006,0))&gt;=100000), " ",IF(INDEX($AB$2:$AQ$1001,MATCH(ROWS($U$2:U156),$U$2:$U$1001,0),MATCH(COLUMNS($AB$1006:AM1006),$AB$1006:$AQ$1006,0)), HYPERLINK("#",""), HYPERLINK(CONCATENATE("#Metadata!", ADDRESS(INDEX($W$2:$W$1001,MATCH(ROWS($U$2:U156),$U$2:$U$1001,0),0), INDEX($AB$1004:$AQ$1004,1,MATCH(COLUMNS($AB$1006:AM1006),$AB$1006:$AQ$1006,0)))),"Fix")))</f>
        <v>0</v>
      </c>
      <c r="N156" s="5">
        <f>IF(OR(INDEX($V$2:$V$1001,MATCH(ROWS($U$2:U156),$U$2:$U$1001,0),1)&gt;=100000,INDEX($AB$1005:$AQ$1005,1,MATCH(COLUMNS($AB$1006:AN1006),$AB$1006:$AQ$1006,0))&gt;=100000), " ",IF(INDEX($AB$2:$AQ$1001,MATCH(ROWS($U$2:U156),$U$2:$U$1001,0),MATCH(COLUMNS($AB$1006:AN1006),$AB$1006:$AQ$1006,0)), HYPERLINK("#",""), HYPERLINK(CONCATENATE("#Metadata!", ADDRESS(INDEX($W$2:$W$1001,MATCH(ROWS($U$2:U156),$U$2:$U$1001,0),0), INDEX($AB$1004:$AQ$1004,1,MATCH(COLUMNS($AB$1006:AN1006),$AB$1006:$AQ$1006,0)))),"Fix")))</f>
        <v>0</v>
      </c>
      <c r="O156" s="5">
        <f>IF(OR(INDEX($V$2:$V$1001,MATCH(ROWS($U$2:U156),$U$2:$U$1001,0),1)&gt;=100000,INDEX($AB$1005:$AQ$1005,1,MATCH(COLUMNS($AB$1006:AO1006),$AB$1006:$AQ$1006,0))&gt;=100000), " ",IF(INDEX($AB$2:$AQ$1001,MATCH(ROWS($U$2:U156),$U$2:$U$1001,0),MATCH(COLUMNS($AB$1006:AO1006),$AB$1006:$AQ$1006,0)), HYPERLINK("#",""), HYPERLINK(CONCATENATE("#Metadata!", ADDRESS(INDEX($W$2:$W$1001,MATCH(ROWS($U$2:U156),$U$2:$U$1001,0),0), INDEX($AB$1004:$AQ$1004,1,MATCH(COLUMNS($AB$1006:AO1006),$AB$1006:$AQ$1006,0)))),"Fix")))</f>
        <v>0</v>
      </c>
      <c r="P156" s="5">
        <f>IF(OR(INDEX($V$2:$V$1001,MATCH(ROWS($U$2:U156),$U$2:$U$1001,0),1)&gt;=100000,INDEX($AB$1005:$AQ$1005,1,MATCH(COLUMNS($AB$1006:AP1006),$AB$1006:$AQ$1006,0))&gt;=100000), " ",IF(INDEX($AB$2:$AQ$1001,MATCH(ROWS($U$2:U156),$U$2:$U$1001,0),MATCH(COLUMNS($AB$1006:AP1006),$AB$1006:$AQ$1006,0)), HYPERLINK("#",""), HYPERLINK(CONCATENATE("#Metadata!", ADDRESS(INDEX($W$2:$W$1001,MATCH(ROWS($U$2:U156),$U$2:$U$1001,0),0), INDEX($AB$1004:$AQ$1004,1,MATCH(COLUMNS($AB$1006:AP1006),$AB$1006:$AQ$1006,0)))),"Fix")))</f>
        <v>0</v>
      </c>
      <c r="Q156" s="5">
        <f>IF(OR(INDEX($V$2:$V$1001,MATCH(ROWS($U$2:U156),$U$2:$U$1001,0),1)&gt;=100000,INDEX($AB$1005:$AQ$1005,1,MATCH(COLUMNS($AB$1006:AQ1006),$AB$1006:$AQ$1006,0))&gt;=100000), " ",IF(INDEX($AB$2:$AQ$1001,MATCH(ROWS($U$2:U156),$U$2:$U$1001,0),MATCH(COLUMNS($AB$1006:AQ1006),$AB$1006:$AQ$1006,0)), HYPERLINK("#",""), HYPERLINK(CONCATENATE("#Metadata!", ADDRESS(INDEX($W$2:$W$1001,MATCH(ROWS($U$2:U156),$U$2:$U$1001,0),0), INDEX($AB$1004:$AQ$1004,1,MATCH(COLUMNS($AB$1006:AQ1006),$AB$1006:$AQ$1006,0)))),"Fix")))</f>
        <v>0</v>
      </c>
      <c r="U156">
        <v>0</v>
      </c>
      <c r="V156">
        <v>0</v>
      </c>
      <c r="W156">
        <v>0</v>
      </c>
      <c r="X156">
        <f>IF(Y156,TRUE,AND(AB156:AQ156))</f>
        <v>0</v>
      </c>
      <c r="Y156">
        <f>COUNTBLANK(Metadata!B156:Q156)=COLUMNS(Metadata!B156:Q156)</f>
        <v>0</v>
      </c>
      <c r="Z156">
        <v>0</v>
      </c>
      <c r="AB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AC156">
        <f>AND(IF(Metadata!C156="",FALSE,TRUE),exact(Metadata!C156,"urban biome"))</f>
        <v>0</v>
      </c>
      <c r="AD156">
        <f>AND(IF(Metadata!D156="",FALSE,TRUE),exact(Metadata!D156,"human-associated habitat"))</f>
        <v>0</v>
      </c>
      <c r="AE156">
        <f>AND(IF(Metadata!E156="",FALSE,TRUE),OR(exact(Metadata!E156,"human-associated"),exact(Metadata!E156,"human-skin"),exact(Metadata!E156,"human-oral"),exact(Metadata!E156,"human-gut"),exact(Metadata!E156,"human-vaginal")))</f>
        <v>0</v>
      </c>
      <c r="AF156">
        <f>AND(IF(Metadata!F156="",FALSE,ISNUMBER(VALUE(Metadata!F156))),Metadata!F156&gt;0)</f>
        <v>0</v>
      </c>
      <c r="AG156">
        <f>AND(IF(Metadata!G156="",FALSE,TRUE),exact(Metadata!G156,"years"))</f>
        <v>0</v>
      </c>
      <c r="AH156">
        <f>OR(AND(IF(Metadata!H156="",FALSE,TRUE),OR(exact(Metadata!H156,"not applicable"),exact(Metadata!H156,"not collected"),exact(Metadata!H156,"not provided"),exact(Metadata!H156,"restricted access"))),AND(IF(Metadata!H156="",FALSE,ISNUMBER(VALUE(Metadata!H156))),Metadata!H156&gt;0))</f>
        <v>0</v>
      </c>
      <c r="AI156">
        <f>AND(IF(Metadata!I156="",FALSE,TRUE),exact(Metadata!I156,"human"))</f>
        <v>0</v>
      </c>
      <c r="AJ156">
        <f>AND(IF(Metadata!J156="",FALSE,ISNUMBER(VALUE(Metadata!J156))),Metadata!J156&gt;0)</f>
        <v>0</v>
      </c>
      <c r="AK156">
        <f>AND(IF(Metadata!K156="",FALSE,TRUE),exact(Metadata!K156,"cm"))</f>
        <v>0</v>
      </c>
      <c r="AL156">
        <f>AND(IF(Metadata!L156="",FALSE,TRUE),exact(Metadata!L156,"Homo sapiens"))</f>
        <v>0</v>
      </c>
      <c r="AM156">
        <f>AND(IF(Metadata!M156="",FALSE,TRUE),exact(Metadata!M156,"9606"))</f>
        <v>0</v>
      </c>
      <c r="AN156">
        <f>AND(IF(Metadata!N156="",FALSE,ISNUMBER(VALUE(Metadata!N156))),Metadata!N156&gt;0)</f>
        <v>0</v>
      </c>
      <c r="AO156">
        <f>AND(IF(Metadata!O156="",FALSE,TRUE),exact(Metadata!O156,"kg"))</f>
        <v>0</v>
      </c>
      <c r="AP156">
        <f>OR(AND(IF(Metadata!P156="",FALSE,TRUE),exact(Metadata!P156,"not provided")),IF(Metadata!P156="",FALSE,TRUE))</f>
        <v>0</v>
      </c>
      <c r="AQ156">
        <f>OR(AND(IF(Metadata!Q156="",FALSE,TRUE),exact(Metadata!Q156,"not provided")),IF(Metadata!Q156="",FALSE,TRUE))</f>
        <v>0</v>
      </c>
    </row>
    <row r="157" spans="1:43">
      <c r="A157" s="4">
        <f>IF(B157=" "," ",HYPERLINK(CONCATENATE("#metadata!",ADDRESS(INDEX($W$2:$W$1001,MATCH(ROWS($U$2:U157),$U$2:$U$1001,0),0),2)),INDEX($Z$2:$Z$1001,MATCH(ROWS($U$2:U157),$U$2:$U$1001,0),0)))</f>
        <v>0</v>
      </c>
      <c r="B157" s="5">
        <f>IF(OR(INDEX($V$2:$V$1001,MATCH(ROWS($U$2:U157),$U$2:$U$1001,0),1)&gt;=100000,INDEX($AB$1005:$AQ$1005,1,MATCH(COLUMNS($AB$1006:AB1006),$AB$1006:$AQ$1006,0))&gt;=100000), " ",IF(INDEX($AB$2:$AQ$1001,MATCH(ROWS($U$2:U157),$U$2:$U$1001,0),MATCH(COLUMNS($AB$1006:AB1006),$AB$1006:$AQ$1006,0)), HYPERLINK("#",""), HYPERLINK(CONCATENATE("#Metadata!", ADDRESS(INDEX($W$2:$W$1001,MATCH(ROWS($U$2:U157),$U$2:$U$1001,0),0), INDEX($AB$1004:$AQ$1004,1,MATCH(COLUMNS($AB$1006:AB1006),$AB$1006:$AQ$1006,0)))),"Fix")))</f>
        <v>0</v>
      </c>
      <c r="C157" s="5">
        <f>IF(OR(INDEX($V$2:$V$1001,MATCH(ROWS($U$2:U157),$U$2:$U$1001,0),1)&gt;=100000,INDEX($AB$1005:$AQ$1005,1,MATCH(COLUMNS($AB$1006:AC1006),$AB$1006:$AQ$1006,0))&gt;=100000), " ",IF(INDEX($AB$2:$AQ$1001,MATCH(ROWS($U$2:U157),$U$2:$U$1001,0),MATCH(COLUMNS($AB$1006:AC1006),$AB$1006:$AQ$1006,0)), HYPERLINK("#",""), HYPERLINK(CONCATENATE("#Metadata!", ADDRESS(INDEX($W$2:$W$1001,MATCH(ROWS($U$2:U157),$U$2:$U$1001,0),0), INDEX($AB$1004:$AQ$1004,1,MATCH(COLUMNS($AB$1006:AC1006),$AB$1006:$AQ$1006,0)))),"Fix")))</f>
        <v>0</v>
      </c>
      <c r="D157" s="5">
        <f>IF(OR(INDEX($V$2:$V$1001,MATCH(ROWS($U$2:U157),$U$2:$U$1001,0),1)&gt;=100000,INDEX($AB$1005:$AQ$1005,1,MATCH(COLUMNS($AB$1006:AD1006),$AB$1006:$AQ$1006,0))&gt;=100000), " ",IF(INDEX($AB$2:$AQ$1001,MATCH(ROWS($U$2:U157),$U$2:$U$1001,0),MATCH(COLUMNS($AB$1006:AD1006),$AB$1006:$AQ$1006,0)), HYPERLINK("#",""), HYPERLINK(CONCATENATE("#Metadata!", ADDRESS(INDEX($W$2:$W$1001,MATCH(ROWS($U$2:U157),$U$2:$U$1001,0),0), INDEX($AB$1004:$AQ$1004,1,MATCH(COLUMNS($AB$1006:AD1006),$AB$1006:$AQ$1006,0)))),"Fix")))</f>
        <v>0</v>
      </c>
      <c r="E157" s="5">
        <f>IF(OR(INDEX($V$2:$V$1001,MATCH(ROWS($U$2:U157),$U$2:$U$1001,0),1)&gt;=100000,INDEX($AB$1005:$AQ$1005,1,MATCH(COLUMNS($AB$1006:AE1006),$AB$1006:$AQ$1006,0))&gt;=100000), " ",IF(INDEX($AB$2:$AQ$1001,MATCH(ROWS($U$2:U157),$U$2:$U$1001,0),MATCH(COLUMNS($AB$1006:AE1006),$AB$1006:$AQ$1006,0)), HYPERLINK("#",""), HYPERLINK(CONCATENATE("#Metadata!", ADDRESS(INDEX($W$2:$W$1001,MATCH(ROWS($U$2:U157),$U$2:$U$1001,0),0), INDEX($AB$1004:$AQ$1004,1,MATCH(COLUMNS($AB$1006:AE1006),$AB$1006:$AQ$1006,0)))),"Fix")))</f>
        <v>0</v>
      </c>
      <c r="F157" s="5">
        <f>IF(OR(INDEX($V$2:$V$1001,MATCH(ROWS($U$2:U157),$U$2:$U$1001,0),1)&gt;=100000,INDEX($AB$1005:$AQ$1005,1,MATCH(COLUMNS($AB$1006:AF1006),$AB$1006:$AQ$1006,0))&gt;=100000), " ",IF(INDEX($AB$2:$AQ$1001,MATCH(ROWS($U$2:U157),$U$2:$U$1001,0),MATCH(COLUMNS($AB$1006:AF1006),$AB$1006:$AQ$1006,0)), HYPERLINK("#",""), HYPERLINK(CONCATENATE("#Metadata!", ADDRESS(INDEX($W$2:$W$1001,MATCH(ROWS($U$2:U157),$U$2:$U$1001,0),0), INDEX($AB$1004:$AQ$1004,1,MATCH(COLUMNS($AB$1006:AF1006),$AB$1006:$AQ$1006,0)))),"Fix")))</f>
        <v>0</v>
      </c>
      <c r="G157" s="5">
        <f>IF(OR(INDEX($V$2:$V$1001,MATCH(ROWS($U$2:U157),$U$2:$U$1001,0),1)&gt;=100000,INDEX($AB$1005:$AQ$1005,1,MATCH(COLUMNS($AB$1006:AG1006),$AB$1006:$AQ$1006,0))&gt;=100000), " ",IF(INDEX($AB$2:$AQ$1001,MATCH(ROWS($U$2:U157),$U$2:$U$1001,0),MATCH(COLUMNS($AB$1006:AG1006),$AB$1006:$AQ$1006,0)), HYPERLINK("#",""), HYPERLINK(CONCATENATE("#Metadata!", ADDRESS(INDEX($W$2:$W$1001,MATCH(ROWS($U$2:U157),$U$2:$U$1001,0),0), INDEX($AB$1004:$AQ$1004,1,MATCH(COLUMNS($AB$1006:AG1006),$AB$1006:$AQ$1006,0)))),"Fix")))</f>
        <v>0</v>
      </c>
      <c r="H157" s="5">
        <f>IF(OR(INDEX($V$2:$V$1001,MATCH(ROWS($U$2:U157),$U$2:$U$1001,0),1)&gt;=100000,INDEX($AB$1005:$AQ$1005,1,MATCH(COLUMNS($AB$1006:AH1006),$AB$1006:$AQ$1006,0))&gt;=100000), " ",IF(INDEX($AB$2:$AQ$1001,MATCH(ROWS($U$2:U157),$U$2:$U$1001,0),MATCH(COLUMNS($AB$1006:AH1006),$AB$1006:$AQ$1006,0)), HYPERLINK("#",""), HYPERLINK(CONCATENATE("#Metadata!", ADDRESS(INDEX($W$2:$W$1001,MATCH(ROWS($U$2:U157),$U$2:$U$1001,0),0), INDEX($AB$1004:$AQ$1004,1,MATCH(COLUMNS($AB$1006:AH1006),$AB$1006:$AQ$1006,0)))),"Fix")))</f>
        <v>0</v>
      </c>
      <c r="I157" s="5">
        <f>IF(OR(INDEX($V$2:$V$1001,MATCH(ROWS($U$2:U157),$U$2:$U$1001,0),1)&gt;=100000,INDEX($AB$1005:$AQ$1005,1,MATCH(COLUMNS($AB$1006:AI1006),$AB$1006:$AQ$1006,0))&gt;=100000), " ",IF(INDEX($AB$2:$AQ$1001,MATCH(ROWS($U$2:U157),$U$2:$U$1001,0),MATCH(COLUMNS($AB$1006:AI1006),$AB$1006:$AQ$1006,0)), HYPERLINK("#",""), HYPERLINK(CONCATENATE("#Metadata!", ADDRESS(INDEX($W$2:$W$1001,MATCH(ROWS($U$2:U157),$U$2:$U$1001,0),0), INDEX($AB$1004:$AQ$1004,1,MATCH(COLUMNS($AB$1006:AI1006),$AB$1006:$AQ$1006,0)))),"Fix")))</f>
        <v>0</v>
      </c>
      <c r="J157" s="5">
        <f>IF(OR(INDEX($V$2:$V$1001,MATCH(ROWS($U$2:U157),$U$2:$U$1001,0),1)&gt;=100000,INDEX($AB$1005:$AQ$1005,1,MATCH(COLUMNS($AB$1006:AJ1006),$AB$1006:$AQ$1006,0))&gt;=100000), " ",IF(INDEX($AB$2:$AQ$1001,MATCH(ROWS($U$2:U157),$U$2:$U$1001,0),MATCH(COLUMNS($AB$1006:AJ1006),$AB$1006:$AQ$1006,0)), HYPERLINK("#",""), HYPERLINK(CONCATENATE("#Metadata!", ADDRESS(INDEX($W$2:$W$1001,MATCH(ROWS($U$2:U157),$U$2:$U$1001,0),0), INDEX($AB$1004:$AQ$1004,1,MATCH(COLUMNS($AB$1006:AJ1006),$AB$1006:$AQ$1006,0)))),"Fix")))</f>
        <v>0</v>
      </c>
      <c r="K157" s="5">
        <f>IF(OR(INDEX($V$2:$V$1001,MATCH(ROWS($U$2:U157),$U$2:$U$1001,0),1)&gt;=100000,INDEX($AB$1005:$AQ$1005,1,MATCH(COLUMNS($AB$1006:AK1006),$AB$1006:$AQ$1006,0))&gt;=100000), " ",IF(INDEX($AB$2:$AQ$1001,MATCH(ROWS($U$2:U157),$U$2:$U$1001,0),MATCH(COLUMNS($AB$1006:AK1006),$AB$1006:$AQ$1006,0)), HYPERLINK("#",""), HYPERLINK(CONCATENATE("#Metadata!", ADDRESS(INDEX($W$2:$W$1001,MATCH(ROWS($U$2:U157),$U$2:$U$1001,0),0), INDEX($AB$1004:$AQ$1004,1,MATCH(COLUMNS($AB$1006:AK1006),$AB$1006:$AQ$1006,0)))),"Fix")))</f>
        <v>0</v>
      </c>
      <c r="L157" s="5">
        <f>IF(OR(INDEX($V$2:$V$1001,MATCH(ROWS($U$2:U157),$U$2:$U$1001,0),1)&gt;=100000,INDEX($AB$1005:$AQ$1005,1,MATCH(COLUMNS($AB$1006:AL1006),$AB$1006:$AQ$1006,0))&gt;=100000), " ",IF(INDEX($AB$2:$AQ$1001,MATCH(ROWS($U$2:U157),$U$2:$U$1001,0),MATCH(COLUMNS($AB$1006:AL1006),$AB$1006:$AQ$1006,0)), HYPERLINK("#",""), HYPERLINK(CONCATENATE("#Metadata!", ADDRESS(INDEX($W$2:$W$1001,MATCH(ROWS($U$2:U157),$U$2:$U$1001,0),0), INDEX($AB$1004:$AQ$1004,1,MATCH(COLUMNS($AB$1006:AL1006),$AB$1006:$AQ$1006,0)))),"Fix")))</f>
        <v>0</v>
      </c>
      <c r="M157" s="5">
        <f>IF(OR(INDEX($V$2:$V$1001,MATCH(ROWS($U$2:U157),$U$2:$U$1001,0),1)&gt;=100000,INDEX($AB$1005:$AQ$1005,1,MATCH(COLUMNS($AB$1006:AM1006),$AB$1006:$AQ$1006,0))&gt;=100000), " ",IF(INDEX($AB$2:$AQ$1001,MATCH(ROWS($U$2:U157),$U$2:$U$1001,0),MATCH(COLUMNS($AB$1006:AM1006),$AB$1006:$AQ$1006,0)), HYPERLINK("#",""), HYPERLINK(CONCATENATE("#Metadata!", ADDRESS(INDEX($W$2:$W$1001,MATCH(ROWS($U$2:U157),$U$2:$U$1001,0),0), INDEX($AB$1004:$AQ$1004,1,MATCH(COLUMNS($AB$1006:AM1006),$AB$1006:$AQ$1006,0)))),"Fix")))</f>
        <v>0</v>
      </c>
      <c r="N157" s="5">
        <f>IF(OR(INDEX($V$2:$V$1001,MATCH(ROWS($U$2:U157),$U$2:$U$1001,0),1)&gt;=100000,INDEX($AB$1005:$AQ$1005,1,MATCH(COLUMNS($AB$1006:AN1006),$AB$1006:$AQ$1006,0))&gt;=100000), " ",IF(INDEX($AB$2:$AQ$1001,MATCH(ROWS($U$2:U157),$U$2:$U$1001,0),MATCH(COLUMNS($AB$1006:AN1006),$AB$1006:$AQ$1006,0)), HYPERLINK("#",""), HYPERLINK(CONCATENATE("#Metadata!", ADDRESS(INDEX($W$2:$W$1001,MATCH(ROWS($U$2:U157),$U$2:$U$1001,0),0), INDEX($AB$1004:$AQ$1004,1,MATCH(COLUMNS($AB$1006:AN1006),$AB$1006:$AQ$1006,0)))),"Fix")))</f>
        <v>0</v>
      </c>
      <c r="O157" s="5">
        <f>IF(OR(INDEX($V$2:$V$1001,MATCH(ROWS($U$2:U157),$U$2:$U$1001,0),1)&gt;=100000,INDEX($AB$1005:$AQ$1005,1,MATCH(COLUMNS($AB$1006:AO1006),$AB$1006:$AQ$1006,0))&gt;=100000), " ",IF(INDEX($AB$2:$AQ$1001,MATCH(ROWS($U$2:U157),$U$2:$U$1001,0),MATCH(COLUMNS($AB$1006:AO1006),$AB$1006:$AQ$1006,0)), HYPERLINK("#",""), HYPERLINK(CONCATENATE("#Metadata!", ADDRESS(INDEX($W$2:$W$1001,MATCH(ROWS($U$2:U157),$U$2:$U$1001,0),0), INDEX($AB$1004:$AQ$1004,1,MATCH(COLUMNS($AB$1006:AO1006),$AB$1006:$AQ$1006,0)))),"Fix")))</f>
        <v>0</v>
      </c>
      <c r="P157" s="5">
        <f>IF(OR(INDEX($V$2:$V$1001,MATCH(ROWS($U$2:U157),$U$2:$U$1001,0),1)&gt;=100000,INDEX($AB$1005:$AQ$1005,1,MATCH(COLUMNS($AB$1006:AP1006),$AB$1006:$AQ$1006,0))&gt;=100000), " ",IF(INDEX($AB$2:$AQ$1001,MATCH(ROWS($U$2:U157),$U$2:$U$1001,0),MATCH(COLUMNS($AB$1006:AP1006),$AB$1006:$AQ$1006,0)), HYPERLINK("#",""), HYPERLINK(CONCATENATE("#Metadata!", ADDRESS(INDEX($W$2:$W$1001,MATCH(ROWS($U$2:U157),$U$2:$U$1001,0),0), INDEX($AB$1004:$AQ$1004,1,MATCH(COLUMNS($AB$1006:AP1006),$AB$1006:$AQ$1006,0)))),"Fix")))</f>
        <v>0</v>
      </c>
      <c r="Q157" s="5">
        <f>IF(OR(INDEX($V$2:$V$1001,MATCH(ROWS($U$2:U157),$U$2:$U$1001,0),1)&gt;=100000,INDEX($AB$1005:$AQ$1005,1,MATCH(COLUMNS($AB$1006:AQ1006),$AB$1006:$AQ$1006,0))&gt;=100000), " ",IF(INDEX($AB$2:$AQ$1001,MATCH(ROWS($U$2:U157),$U$2:$U$1001,0),MATCH(COLUMNS($AB$1006:AQ1006),$AB$1006:$AQ$1006,0)), HYPERLINK("#",""), HYPERLINK(CONCATENATE("#Metadata!", ADDRESS(INDEX($W$2:$W$1001,MATCH(ROWS($U$2:U157),$U$2:$U$1001,0),0), INDEX($AB$1004:$AQ$1004,1,MATCH(COLUMNS($AB$1006:AQ1006),$AB$1006:$AQ$1006,0)))),"Fix")))</f>
        <v>0</v>
      </c>
      <c r="U157">
        <v>0</v>
      </c>
      <c r="V157">
        <v>0</v>
      </c>
      <c r="W157">
        <v>0</v>
      </c>
      <c r="X157">
        <f>IF(Y157,TRUE,AND(AB157:AQ157))</f>
        <v>0</v>
      </c>
      <c r="Y157">
        <f>COUNTBLANK(Metadata!B157:Q157)=COLUMNS(Metadata!B157:Q157)</f>
        <v>0</v>
      </c>
      <c r="Z157">
        <v>0</v>
      </c>
      <c r="AB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AC157">
        <f>AND(IF(Metadata!C157="",FALSE,TRUE),exact(Metadata!C157,"urban biome"))</f>
        <v>0</v>
      </c>
      <c r="AD157">
        <f>AND(IF(Metadata!D157="",FALSE,TRUE),exact(Metadata!D157,"human-associated habitat"))</f>
        <v>0</v>
      </c>
      <c r="AE157">
        <f>AND(IF(Metadata!E157="",FALSE,TRUE),OR(exact(Metadata!E157,"human-associated"),exact(Metadata!E157,"human-skin"),exact(Metadata!E157,"human-oral"),exact(Metadata!E157,"human-gut"),exact(Metadata!E157,"human-vaginal")))</f>
        <v>0</v>
      </c>
      <c r="AF157">
        <f>AND(IF(Metadata!F157="",FALSE,ISNUMBER(VALUE(Metadata!F157))),Metadata!F157&gt;0)</f>
        <v>0</v>
      </c>
      <c r="AG157">
        <f>AND(IF(Metadata!G157="",FALSE,TRUE),exact(Metadata!G157,"years"))</f>
        <v>0</v>
      </c>
      <c r="AH157">
        <f>OR(AND(IF(Metadata!H157="",FALSE,TRUE),OR(exact(Metadata!H157,"not applicable"),exact(Metadata!H157,"not collected"),exact(Metadata!H157,"not provided"),exact(Metadata!H157,"restricted access"))),AND(IF(Metadata!H157="",FALSE,ISNUMBER(VALUE(Metadata!H157))),Metadata!H157&gt;0))</f>
        <v>0</v>
      </c>
      <c r="AI157">
        <f>AND(IF(Metadata!I157="",FALSE,TRUE),exact(Metadata!I157,"human"))</f>
        <v>0</v>
      </c>
      <c r="AJ157">
        <f>AND(IF(Metadata!J157="",FALSE,ISNUMBER(VALUE(Metadata!J157))),Metadata!J157&gt;0)</f>
        <v>0</v>
      </c>
      <c r="AK157">
        <f>AND(IF(Metadata!K157="",FALSE,TRUE),exact(Metadata!K157,"cm"))</f>
        <v>0</v>
      </c>
      <c r="AL157">
        <f>AND(IF(Metadata!L157="",FALSE,TRUE),exact(Metadata!L157,"Homo sapiens"))</f>
        <v>0</v>
      </c>
      <c r="AM157">
        <f>AND(IF(Metadata!M157="",FALSE,TRUE),exact(Metadata!M157,"9606"))</f>
        <v>0</v>
      </c>
      <c r="AN157">
        <f>AND(IF(Metadata!N157="",FALSE,ISNUMBER(VALUE(Metadata!N157))),Metadata!N157&gt;0)</f>
        <v>0</v>
      </c>
      <c r="AO157">
        <f>AND(IF(Metadata!O157="",FALSE,TRUE),exact(Metadata!O157,"kg"))</f>
        <v>0</v>
      </c>
      <c r="AP157">
        <f>OR(AND(IF(Metadata!P157="",FALSE,TRUE),exact(Metadata!P157,"not provided")),IF(Metadata!P157="",FALSE,TRUE))</f>
        <v>0</v>
      </c>
      <c r="AQ157">
        <f>OR(AND(IF(Metadata!Q157="",FALSE,TRUE),exact(Metadata!Q157,"not provided")),IF(Metadata!Q157="",FALSE,TRUE))</f>
        <v>0</v>
      </c>
    </row>
    <row r="158" spans="1:43">
      <c r="A158" s="4">
        <f>IF(B158=" "," ",HYPERLINK(CONCATENATE("#metadata!",ADDRESS(INDEX($W$2:$W$1001,MATCH(ROWS($U$2:U158),$U$2:$U$1001,0),0),2)),INDEX($Z$2:$Z$1001,MATCH(ROWS($U$2:U158),$U$2:$U$1001,0),0)))</f>
        <v>0</v>
      </c>
      <c r="B158" s="5">
        <f>IF(OR(INDEX($V$2:$V$1001,MATCH(ROWS($U$2:U158),$U$2:$U$1001,0),1)&gt;=100000,INDEX($AB$1005:$AQ$1005,1,MATCH(COLUMNS($AB$1006:AB1006),$AB$1006:$AQ$1006,0))&gt;=100000), " ",IF(INDEX($AB$2:$AQ$1001,MATCH(ROWS($U$2:U158),$U$2:$U$1001,0),MATCH(COLUMNS($AB$1006:AB1006),$AB$1006:$AQ$1006,0)), HYPERLINK("#",""), HYPERLINK(CONCATENATE("#Metadata!", ADDRESS(INDEX($W$2:$W$1001,MATCH(ROWS($U$2:U158),$U$2:$U$1001,0),0), INDEX($AB$1004:$AQ$1004,1,MATCH(COLUMNS($AB$1006:AB1006),$AB$1006:$AQ$1006,0)))),"Fix")))</f>
        <v>0</v>
      </c>
      <c r="C158" s="5">
        <f>IF(OR(INDEX($V$2:$V$1001,MATCH(ROWS($U$2:U158),$U$2:$U$1001,0),1)&gt;=100000,INDEX($AB$1005:$AQ$1005,1,MATCH(COLUMNS($AB$1006:AC1006),$AB$1006:$AQ$1006,0))&gt;=100000), " ",IF(INDEX($AB$2:$AQ$1001,MATCH(ROWS($U$2:U158),$U$2:$U$1001,0),MATCH(COLUMNS($AB$1006:AC1006),$AB$1006:$AQ$1006,0)), HYPERLINK("#",""), HYPERLINK(CONCATENATE("#Metadata!", ADDRESS(INDEX($W$2:$W$1001,MATCH(ROWS($U$2:U158),$U$2:$U$1001,0),0), INDEX($AB$1004:$AQ$1004,1,MATCH(COLUMNS($AB$1006:AC1006),$AB$1006:$AQ$1006,0)))),"Fix")))</f>
        <v>0</v>
      </c>
      <c r="D158" s="5">
        <f>IF(OR(INDEX($V$2:$V$1001,MATCH(ROWS($U$2:U158),$U$2:$U$1001,0),1)&gt;=100000,INDEX($AB$1005:$AQ$1005,1,MATCH(COLUMNS($AB$1006:AD1006),$AB$1006:$AQ$1006,0))&gt;=100000), " ",IF(INDEX($AB$2:$AQ$1001,MATCH(ROWS($U$2:U158),$U$2:$U$1001,0),MATCH(COLUMNS($AB$1006:AD1006),$AB$1006:$AQ$1006,0)), HYPERLINK("#",""), HYPERLINK(CONCATENATE("#Metadata!", ADDRESS(INDEX($W$2:$W$1001,MATCH(ROWS($U$2:U158),$U$2:$U$1001,0),0), INDEX($AB$1004:$AQ$1004,1,MATCH(COLUMNS($AB$1006:AD1006),$AB$1006:$AQ$1006,0)))),"Fix")))</f>
        <v>0</v>
      </c>
      <c r="E158" s="5">
        <f>IF(OR(INDEX($V$2:$V$1001,MATCH(ROWS($U$2:U158),$U$2:$U$1001,0),1)&gt;=100000,INDEX($AB$1005:$AQ$1005,1,MATCH(COLUMNS($AB$1006:AE1006),$AB$1006:$AQ$1006,0))&gt;=100000), " ",IF(INDEX($AB$2:$AQ$1001,MATCH(ROWS($U$2:U158),$U$2:$U$1001,0),MATCH(COLUMNS($AB$1006:AE1006),$AB$1006:$AQ$1006,0)), HYPERLINK("#",""), HYPERLINK(CONCATENATE("#Metadata!", ADDRESS(INDEX($W$2:$W$1001,MATCH(ROWS($U$2:U158),$U$2:$U$1001,0),0), INDEX($AB$1004:$AQ$1004,1,MATCH(COLUMNS($AB$1006:AE1006),$AB$1006:$AQ$1006,0)))),"Fix")))</f>
        <v>0</v>
      </c>
      <c r="F158" s="5">
        <f>IF(OR(INDEX($V$2:$V$1001,MATCH(ROWS($U$2:U158),$U$2:$U$1001,0),1)&gt;=100000,INDEX($AB$1005:$AQ$1005,1,MATCH(COLUMNS($AB$1006:AF1006),$AB$1006:$AQ$1006,0))&gt;=100000), " ",IF(INDEX($AB$2:$AQ$1001,MATCH(ROWS($U$2:U158),$U$2:$U$1001,0),MATCH(COLUMNS($AB$1006:AF1006),$AB$1006:$AQ$1006,0)), HYPERLINK("#",""), HYPERLINK(CONCATENATE("#Metadata!", ADDRESS(INDEX($W$2:$W$1001,MATCH(ROWS($U$2:U158),$U$2:$U$1001,0),0), INDEX($AB$1004:$AQ$1004,1,MATCH(COLUMNS($AB$1006:AF1006),$AB$1006:$AQ$1006,0)))),"Fix")))</f>
        <v>0</v>
      </c>
      <c r="G158" s="5">
        <f>IF(OR(INDEX($V$2:$V$1001,MATCH(ROWS($U$2:U158),$U$2:$U$1001,0),1)&gt;=100000,INDEX($AB$1005:$AQ$1005,1,MATCH(COLUMNS($AB$1006:AG1006),$AB$1006:$AQ$1006,0))&gt;=100000), " ",IF(INDEX($AB$2:$AQ$1001,MATCH(ROWS($U$2:U158),$U$2:$U$1001,0),MATCH(COLUMNS($AB$1006:AG1006),$AB$1006:$AQ$1006,0)), HYPERLINK("#",""), HYPERLINK(CONCATENATE("#Metadata!", ADDRESS(INDEX($W$2:$W$1001,MATCH(ROWS($U$2:U158),$U$2:$U$1001,0),0), INDEX($AB$1004:$AQ$1004,1,MATCH(COLUMNS($AB$1006:AG1006),$AB$1006:$AQ$1006,0)))),"Fix")))</f>
        <v>0</v>
      </c>
      <c r="H158" s="5">
        <f>IF(OR(INDEX($V$2:$V$1001,MATCH(ROWS($U$2:U158),$U$2:$U$1001,0),1)&gt;=100000,INDEX($AB$1005:$AQ$1005,1,MATCH(COLUMNS($AB$1006:AH1006),$AB$1006:$AQ$1006,0))&gt;=100000), " ",IF(INDEX($AB$2:$AQ$1001,MATCH(ROWS($U$2:U158),$U$2:$U$1001,0),MATCH(COLUMNS($AB$1006:AH1006),$AB$1006:$AQ$1006,0)), HYPERLINK("#",""), HYPERLINK(CONCATENATE("#Metadata!", ADDRESS(INDEX($W$2:$W$1001,MATCH(ROWS($U$2:U158),$U$2:$U$1001,0),0), INDEX($AB$1004:$AQ$1004,1,MATCH(COLUMNS($AB$1006:AH1006),$AB$1006:$AQ$1006,0)))),"Fix")))</f>
        <v>0</v>
      </c>
      <c r="I158" s="5">
        <f>IF(OR(INDEX($V$2:$V$1001,MATCH(ROWS($U$2:U158),$U$2:$U$1001,0),1)&gt;=100000,INDEX($AB$1005:$AQ$1005,1,MATCH(COLUMNS($AB$1006:AI1006),$AB$1006:$AQ$1006,0))&gt;=100000), " ",IF(INDEX($AB$2:$AQ$1001,MATCH(ROWS($U$2:U158),$U$2:$U$1001,0),MATCH(COLUMNS($AB$1006:AI1006),$AB$1006:$AQ$1006,0)), HYPERLINK("#",""), HYPERLINK(CONCATENATE("#Metadata!", ADDRESS(INDEX($W$2:$W$1001,MATCH(ROWS($U$2:U158),$U$2:$U$1001,0),0), INDEX($AB$1004:$AQ$1004,1,MATCH(COLUMNS($AB$1006:AI1006),$AB$1006:$AQ$1006,0)))),"Fix")))</f>
        <v>0</v>
      </c>
      <c r="J158" s="5">
        <f>IF(OR(INDEX($V$2:$V$1001,MATCH(ROWS($U$2:U158),$U$2:$U$1001,0),1)&gt;=100000,INDEX($AB$1005:$AQ$1005,1,MATCH(COLUMNS($AB$1006:AJ1006),$AB$1006:$AQ$1006,0))&gt;=100000), " ",IF(INDEX($AB$2:$AQ$1001,MATCH(ROWS($U$2:U158),$U$2:$U$1001,0),MATCH(COLUMNS($AB$1006:AJ1006),$AB$1006:$AQ$1006,0)), HYPERLINK("#",""), HYPERLINK(CONCATENATE("#Metadata!", ADDRESS(INDEX($W$2:$W$1001,MATCH(ROWS($U$2:U158),$U$2:$U$1001,0),0), INDEX($AB$1004:$AQ$1004,1,MATCH(COLUMNS($AB$1006:AJ1006),$AB$1006:$AQ$1006,0)))),"Fix")))</f>
        <v>0</v>
      </c>
      <c r="K158" s="5">
        <f>IF(OR(INDEX($V$2:$V$1001,MATCH(ROWS($U$2:U158),$U$2:$U$1001,0),1)&gt;=100000,INDEX($AB$1005:$AQ$1005,1,MATCH(COLUMNS($AB$1006:AK1006),$AB$1006:$AQ$1006,0))&gt;=100000), " ",IF(INDEX($AB$2:$AQ$1001,MATCH(ROWS($U$2:U158),$U$2:$U$1001,0),MATCH(COLUMNS($AB$1006:AK1006),$AB$1006:$AQ$1006,0)), HYPERLINK("#",""), HYPERLINK(CONCATENATE("#Metadata!", ADDRESS(INDEX($W$2:$W$1001,MATCH(ROWS($U$2:U158),$U$2:$U$1001,0),0), INDEX($AB$1004:$AQ$1004,1,MATCH(COLUMNS($AB$1006:AK1006),$AB$1006:$AQ$1006,0)))),"Fix")))</f>
        <v>0</v>
      </c>
      <c r="L158" s="5">
        <f>IF(OR(INDEX($V$2:$V$1001,MATCH(ROWS($U$2:U158),$U$2:$U$1001,0),1)&gt;=100000,INDEX($AB$1005:$AQ$1005,1,MATCH(COLUMNS($AB$1006:AL1006),$AB$1006:$AQ$1006,0))&gt;=100000), " ",IF(INDEX($AB$2:$AQ$1001,MATCH(ROWS($U$2:U158),$U$2:$U$1001,0),MATCH(COLUMNS($AB$1006:AL1006),$AB$1006:$AQ$1006,0)), HYPERLINK("#",""), HYPERLINK(CONCATENATE("#Metadata!", ADDRESS(INDEX($W$2:$W$1001,MATCH(ROWS($U$2:U158),$U$2:$U$1001,0),0), INDEX($AB$1004:$AQ$1004,1,MATCH(COLUMNS($AB$1006:AL1006),$AB$1006:$AQ$1006,0)))),"Fix")))</f>
        <v>0</v>
      </c>
      <c r="M158" s="5">
        <f>IF(OR(INDEX($V$2:$V$1001,MATCH(ROWS($U$2:U158),$U$2:$U$1001,0),1)&gt;=100000,INDEX($AB$1005:$AQ$1005,1,MATCH(COLUMNS($AB$1006:AM1006),$AB$1006:$AQ$1006,0))&gt;=100000), " ",IF(INDEX($AB$2:$AQ$1001,MATCH(ROWS($U$2:U158),$U$2:$U$1001,0),MATCH(COLUMNS($AB$1006:AM1006),$AB$1006:$AQ$1006,0)), HYPERLINK("#",""), HYPERLINK(CONCATENATE("#Metadata!", ADDRESS(INDEX($W$2:$W$1001,MATCH(ROWS($U$2:U158),$U$2:$U$1001,0),0), INDEX($AB$1004:$AQ$1004,1,MATCH(COLUMNS($AB$1006:AM1006),$AB$1006:$AQ$1006,0)))),"Fix")))</f>
        <v>0</v>
      </c>
      <c r="N158" s="5">
        <f>IF(OR(INDEX($V$2:$V$1001,MATCH(ROWS($U$2:U158),$U$2:$U$1001,0),1)&gt;=100000,INDEX($AB$1005:$AQ$1005,1,MATCH(COLUMNS($AB$1006:AN1006),$AB$1006:$AQ$1006,0))&gt;=100000), " ",IF(INDEX($AB$2:$AQ$1001,MATCH(ROWS($U$2:U158),$U$2:$U$1001,0),MATCH(COLUMNS($AB$1006:AN1006),$AB$1006:$AQ$1006,0)), HYPERLINK("#",""), HYPERLINK(CONCATENATE("#Metadata!", ADDRESS(INDEX($W$2:$W$1001,MATCH(ROWS($U$2:U158),$U$2:$U$1001,0),0), INDEX($AB$1004:$AQ$1004,1,MATCH(COLUMNS($AB$1006:AN1006),$AB$1006:$AQ$1006,0)))),"Fix")))</f>
        <v>0</v>
      </c>
      <c r="O158" s="5">
        <f>IF(OR(INDEX($V$2:$V$1001,MATCH(ROWS($U$2:U158),$U$2:$U$1001,0),1)&gt;=100000,INDEX($AB$1005:$AQ$1005,1,MATCH(COLUMNS($AB$1006:AO1006),$AB$1006:$AQ$1006,0))&gt;=100000), " ",IF(INDEX($AB$2:$AQ$1001,MATCH(ROWS($U$2:U158),$U$2:$U$1001,0),MATCH(COLUMNS($AB$1006:AO1006),$AB$1006:$AQ$1006,0)), HYPERLINK("#",""), HYPERLINK(CONCATENATE("#Metadata!", ADDRESS(INDEX($W$2:$W$1001,MATCH(ROWS($U$2:U158),$U$2:$U$1001,0),0), INDEX($AB$1004:$AQ$1004,1,MATCH(COLUMNS($AB$1006:AO1006),$AB$1006:$AQ$1006,0)))),"Fix")))</f>
        <v>0</v>
      </c>
      <c r="P158" s="5">
        <f>IF(OR(INDEX($V$2:$V$1001,MATCH(ROWS($U$2:U158),$U$2:$U$1001,0),1)&gt;=100000,INDEX($AB$1005:$AQ$1005,1,MATCH(COLUMNS($AB$1006:AP1006),$AB$1006:$AQ$1006,0))&gt;=100000), " ",IF(INDEX($AB$2:$AQ$1001,MATCH(ROWS($U$2:U158),$U$2:$U$1001,0),MATCH(COLUMNS($AB$1006:AP1006),$AB$1006:$AQ$1006,0)), HYPERLINK("#",""), HYPERLINK(CONCATENATE("#Metadata!", ADDRESS(INDEX($W$2:$W$1001,MATCH(ROWS($U$2:U158),$U$2:$U$1001,0),0), INDEX($AB$1004:$AQ$1004,1,MATCH(COLUMNS($AB$1006:AP1006),$AB$1006:$AQ$1006,0)))),"Fix")))</f>
        <v>0</v>
      </c>
      <c r="Q158" s="5">
        <f>IF(OR(INDEX($V$2:$V$1001,MATCH(ROWS($U$2:U158),$U$2:$U$1001,0),1)&gt;=100000,INDEX($AB$1005:$AQ$1005,1,MATCH(COLUMNS($AB$1006:AQ1006),$AB$1006:$AQ$1006,0))&gt;=100000), " ",IF(INDEX($AB$2:$AQ$1001,MATCH(ROWS($U$2:U158),$U$2:$U$1001,0),MATCH(COLUMNS($AB$1006:AQ1006),$AB$1006:$AQ$1006,0)), HYPERLINK("#",""), HYPERLINK(CONCATENATE("#Metadata!", ADDRESS(INDEX($W$2:$W$1001,MATCH(ROWS($U$2:U158),$U$2:$U$1001,0),0), INDEX($AB$1004:$AQ$1004,1,MATCH(COLUMNS($AB$1006:AQ1006),$AB$1006:$AQ$1006,0)))),"Fix")))</f>
        <v>0</v>
      </c>
      <c r="U158">
        <v>0</v>
      </c>
      <c r="V158">
        <v>0</v>
      </c>
      <c r="W158">
        <v>0</v>
      </c>
      <c r="X158">
        <f>IF(Y158,TRUE,AND(AB158:AQ158))</f>
        <v>0</v>
      </c>
      <c r="Y158">
        <f>COUNTBLANK(Metadata!B158:Q158)=COLUMNS(Metadata!B158:Q158)</f>
        <v>0</v>
      </c>
      <c r="Z158">
        <v>0</v>
      </c>
      <c r="AB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AC158">
        <f>AND(IF(Metadata!C158="",FALSE,TRUE),exact(Metadata!C158,"urban biome"))</f>
        <v>0</v>
      </c>
      <c r="AD158">
        <f>AND(IF(Metadata!D158="",FALSE,TRUE),exact(Metadata!D158,"human-associated habitat"))</f>
        <v>0</v>
      </c>
      <c r="AE158">
        <f>AND(IF(Metadata!E158="",FALSE,TRUE),OR(exact(Metadata!E158,"human-associated"),exact(Metadata!E158,"human-skin"),exact(Metadata!E158,"human-oral"),exact(Metadata!E158,"human-gut"),exact(Metadata!E158,"human-vaginal")))</f>
        <v>0</v>
      </c>
      <c r="AF158">
        <f>AND(IF(Metadata!F158="",FALSE,ISNUMBER(VALUE(Metadata!F158))),Metadata!F158&gt;0)</f>
        <v>0</v>
      </c>
      <c r="AG158">
        <f>AND(IF(Metadata!G158="",FALSE,TRUE),exact(Metadata!G158,"years"))</f>
        <v>0</v>
      </c>
      <c r="AH158">
        <f>OR(AND(IF(Metadata!H158="",FALSE,TRUE),OR(exact(Metadata!H158,"not applicable"),exact(Metadata!H158,"not collected"),exact(Metadata!H158,"not provided"),exact(Metadata!H158,"restricted access"))),AND(IF(Metadata!H158="",FALSE,ISNUMBER(VALUE(Metadata!H158))),Metadata!H158&gt;0))</f>
        <v>0</v>
      </c>
      <c r="AI158">
        <f>AND(IF(Metadata!I158="",FALSE,TRUE),exact(Metadata!I158,"human"))</f>
        <v>0</v>
      </c>
      <c r="AJ158">
        <f>AND(IF(Metadata!J158="",FALSE,ISNUMBER(VALUE(Metadata!J158))),Metadata!J158&gt;0)</f>
        <v>0</v>
      </c>
      <c r="AK158">
        <f>AND(IF(Metadata!K158="",FALSE,TRUE),exact(Metadata!K158,"cm"))</f>
        <v>0</v>
      </c>
      <c r="AL158">
        <f>AND(IF(Metadata!L158="",FALSE,TRUE),exact(Metadata!L158,"Homo sapiens"))</f>
        <v>0</v>
      </c>
      <c r="AM158">
        <f>AND(IF(Metadata!M158="",FALSE,TRUE),exact(Metadata!M158,"9606"))</f>
        <v>0</v>
      </c>
      <c r="AN158">
        <f>AND(IF(Metadata!N158="",FALSE,ISNUMBER(VALUE(Metadata!N158))),Metadata!N158&gt;0)</f>
        <v>0</v>
      </c>
      <c r="AO158">
        <f>AND(IF(Metadata!O158="",FALSE,TRUE),exact(Metadata!O158,"kg"))</f>
        <v>0</v>
      </c>
      <c r="AP158">
        <f>OR(AND(IF(Metadata!P158="",FALSE,TRUE),exact(Metadata!P158,"not provided")),IF(Metadata!P158="",FALSE,TRUE))</f>
        <v>0</v>
      </c>
      <c r="AQ158">
        <f>OR(AND(IF(Metadata!Q158="",FALSE,TRUE),exact(Metadata!Q158,"not provided")),IF(Metadata!Q158="",FALSE,TRUE))</f>
        <v>0</v>
      </c>
    </row>
    <row r="159" spans="1:43">
      <c r="A159" s="4">
        <f>IF(B159=" "," ",HYPERLINK(CONCATENATE("#metadata!",ADDRESS(INDEX($W$2:$W$1001,MATCH(ROWS($U$2:U159),$U$2:$U$1001,0),0),2)),INDEX($Z$2:$Z$1001,MATCH(ROWS($U$2:U159),$U$2:$U$1001,0),0)))</f>
        <v>0</v>
      </c>
      <c r="B159" s="5">
        <f>IF(OR(INDEX($V$2:$V$1001,MATCH(ROWS($U$2:U159),$U$2:$U$1001,0),1)&gt;=100000,INDEX($AB$1005:$AQ$1005,1,MATCH(COLUMNS($AB$1006:AB1006),$AB$1006:$AQ$1006,0))&gt;=100000), " ",IF(INDEX($AB$2:$AQ$1001,MATCH(ROWS($U$2:U159),$U$2:$U$1001,0),MATCH(COLUMNS($AB$1006:AB1006),$AB$1006:$AQ$1006,0)), HYPERLINK("#",""), HYPERLINK(CONCATENATE("#Metadata!", ADDRESS(INDEX($W$2:$W$1001,MATCH(ROWS($U$2:U159),$U$2:$U$1001,0),0), INDEX($AB$1004:$AQ$1004,1,MATCH(COLUMNS($AB$1006:AB1006),$AB$1006:$AQ$1006,0)))),"Fix")))</f>
        <v>0</v>
      </c>
      <c r="C159" s="5">
        <f>IF(OR(INDEX($V$2:$V$1001,MATCH(ROWS($U$2:U159),$U$2:$U$1001,0),1)&gt;=100000,INDEX($AB$1005:$AQ$1005,1,MATCH(COLUMNS($AB$1006:AC1006),$AB$1006:$AQ$1006,0))&gt;=100000), " ",IF(INDEX($AB$2:$AQ$1001,MATCH(ROWS($U$2:U159),$U$2:$U$1001,0),MATCH(COLUMNS($AB$1006:AC1006),$AB$1006:$AQ$1006,0)), HYPERLINK("#",""), HYPERLINK(CONCATENATE("#Metadata!", ADDRESS(INDEX($W$2:$W$1001,MATCH(ROWS($U$2:U159),$U$2:$U$1001,0),0), INDEX($AB$1004:$AQ$1004,1,MATCH(COLUMNS($AB$1006:AC1006),$AB$1006:$AQ$1006,0)))),"Fix")))</f>
        <v>0</v>
      </c>
      <c r="D159" s="5">
        <f>IF(OR(INDEX($V$2:$V$1001,MATCH(ROWS($U$2:U159),$U$2:$U$1001,0),1)&gt;=100000,INDEX($AB$1005:$AQ$1005,1,MATCH(COLUMNS($AB$1006:AD1006),$AB$1006:$AQ$1006,0))&gt;=100000), " ",IF(INDEX($AB$2:$AQ$1001,MATCH(ROWS($U$2:U159),$U$2:$U$1001,0),MATCH(COLUMNS($AB$1006:AD1006),$AB$1006:$AQ$1006,0)), HYPERLINK("#",""), HYPERLINK(CONCATENATE("#Metadata!", ADDRESS(INDEX($W$2:$W$1001,MATCH(ROWS($U$2:U159),$U$2:$U$1001,0),0), INDEX($AB$1004:$AQ$1004,1,MATCH(COLUMNS($AB$1006:AD1006),$AB$1006:$AQ$1006,0)))),"Fix")))</f>
        <v>0</v>
      </c>
      <c r="E159" s="5">
        <f>IF(OR(INDEX($V$2:$V$1001,MATCH(ROWS($U$2:U159),$U$2:$U$1001,0),1)&gt;=100000,INDEX($AB$1005:$AQ$1005,1,MATCH(COLUMNS($AB$1006:AE1006),$AB$1006:$AQ$1006,0))&gt;=100000), " ",IF(INDEX($AB$2:$AQ$1001,MATCH(ROWS($U$2:U159),$U$2:$U$1001,0),MATCH(COLUMNS($AB$1006:AE1006),$AB$1006:$AQ$1006,0)), HYPERLINK("#",""), HYPERLINK(CONCATENATE("#Metadata!", ADDRESS(INDEX($W$2:$W$1001,MATCH(ROWS($U$2:U159),$U$2:$U$1001,0),0), INDEX($AB$1004:$AQ$1004,1,MATCH(COLUMNS($AB$1006:AE1006),$AB$1006:$AQ$1006,0)))),"Fix")))</f>
        <v>0</v>
      </c>
      <c r="F159" s="5">
        <f>IF(OR(INDEX($V$2:$V$1001,MATCH(ROWS($U$2:U159),$U$2:$U$1001,0),1)&gt;=100000,INDEX($AB$1005:$AQ$1005,1,MATCH(COLUMNS($AB$1006:AF1006),$AB$1006:$AQ$1006,0))&gt;=100000), " ",IF(INDEX($AB$2:$AQ$1001,MATCH(ROWS($U$2:U159),$U$2:$U$1001,0),MATCH(COLUMNS($AB$1006:AF1006),$AB$1006:$AQ$1006,0)), HYPERLINK("#",""), HYPERLINK(CONCATENATE("#Metadata!", ADDRESS(INDEX($W$2:$W$1001,MATCH(ROWS($U$2:U159),$U$2:$U$1001,0),0), INDEX($AB$1004:$AQ$1004,1,MATCH(COLUMNS($AB$1006:AF1006),$AB$1006:$AQ$1006,0)))),"Fix")))</f>
        <v>0</v>
      </c>
      <c r="G159" s="5">
        <f>IF(OR(INDEX($V$2:$V$1001,MATCH(ROWS($U$2:U159),$U$2:$U$1001,0),1)&gt;=100000,INDEX($AB$1005:$AQ$1005,1,MATCH(COLUMNS($AB$1006:AG1006),$AB$1006:$AQ$1006,0))&gt;=100000), " ",IF(INDEX($AB$2:$AQ$1001,MATCH(ROWS($U$2:U159),$U$2:$U$1001,0),MATCH(COLUMNS($AB$1006:AG1006),$AB$1006:$AQ$1006,0)), HYPERLINK("#",""), HYPERLINK(CONCATENATE("#Metadata!", ADDRESS(INDEX($W$2:$W$1001,MATCH(ROWS($U$2:U159),$U$2:$U$1001,0),0), INDEX($AB$1004:$AQ$1004,1,MATCH(COLUMNS($AB$1006:AG1006),$AB$1006:$AQ$1006,0)))),"Fix")))</f>
        <v>0</v>
      </c>
      <c r="H159" s="5">
        <f>IF(OR(INDEX($V$2:$V$1001,MATCH(ROWS($U$2:U159),$U$2:$U$1001,0),1)&gt;=100000,INDEX($AB$1005:$AQ$1005,1,MATCH(COLUMNS($AB$1006:AH1006),$AB$1006:$AQ$1006,0))&gt;=100000), " ",IF(INDEX($AB$2:$AQ$1001,MATCH(ROWS($U$2:U159),$U$2:$U$1001,0),MATCH(COLUMNS($AB$1006:AH1006),$AB$1006:$AQ$1006,0)), HYPERLINK("#",""), HYPERLINK(CONCATENATE("#Metadata!", ADDRESS(INDEX($W$2:$W$1001,MATCH(ROWS($U$2:U159),$U$2:$U$1001,0),0), INDEX($AB$1004:$AQ$1004,1,MATCH(COLUMNS($AB$1006:AH1006),$AB$1006:$AQ$1006,0)))),"Fix")))</f>
        <v>0</v>
      </c>
      <c r="I159" s="5">
        <f>IF(OR(INDEX($V$2:$V$1001,MATCH(ROWS($U$2:U159),$U$2:$U$1001,0),1)&gt;=100000,INDEX($AB$1005:$AQ$1005,1,MATCH(COLUMNS($AB$1006:AI1006),$AB$1006:$AQ$1006,0))&gt;=100000), " ",IF(INDEX($AB$2:$AQ$1001,MATCH(ROWS($U$2:U159),$U$2:$U$1001,0),MATCH(COLUMNS($AB$1006:AI1006),$AB$1006:$AQ$1006,0)), HYPERLINK("#",""), HYPERLINK(CONCATENATE("#Metadata!", ADDRESS(INDEX($W$2:$W$1001,MATCH(ROWS($U$2:U159),$U$2:$U$1001,0),0), INDEX($AB$1004:$AQ$1004,1,MATCH(COLUMNS($AB$1006:AI1006),$AB$1006:$AQ$1006,0)))),"Fix")))</f>
        <v>0</v>
      </c>
      <c r="J159" s="5">
        <f>IF(OR(INDEX($V$2:$V$1001,MATCH(ROWS($U$2:U159),$U$2:$U$1001,0),1)&gt;=100000,INDEX($AB$1005:$AQ$1005,1,MATCH(COLUMNS($AB$1006:AJ1006),$AB$1006:$AQ$1006,0))&gt;=100000), " ",IF(INDEX($AB$2:$AQ$1001,MATCH(ROWS($U$2:U159),$U$2:$U$1001,0),MATCH(COLUMNS($AB$1006:AJ1006),$AB$1006:$AQ$1006,0)), HYPERLINK("#",""), HYPERLINK(CONCATENATE("#Metadata!", ADDRESS(INDEX($W$2:$W$1001,MATCH(ROWS($U$2:U159),$U$2:$U$1001,0),0), INDEX($AB$1004:$AQ$1004,1,MATCH(COLUMNS($AB$1006:AJ1006),$AB$1006:$AQ$1006,0)))),"Fix")))</f>
        <v>0</v>
      </c>
      <c r="K159" s="5">
        <f>IF(OR(INDEX($V$2:$V$1001,MATCH(ROWS($U$2:U159),$U$2:$U$1001,0),1)&gt;=100000,INDEX($AB$1005:$AQ$1005,1,MATCH(COLUMNS($AB$1006:AK1006),$AB$1006:$AQ$1006,0))&gt;=100000), " ",IF(INDEX($AB$2:$AQ$1001,MATCH(ROWS($U$2:U159),$U$2:$U$1001,0),MATCH(COLUMNS($AB$1006:AK1006),$AB$1006:$AQ$1006,0)), HYPERLINK("#",""), HYPERLINK(CONCATENATE("#Metadata!", ADDRESS(INDEX($W$2:$W$1001,MATCH(ROWS($U$2:U159),$U$2:$U$1001,0),0), INDEX($AB$1004:$AQ$1004,1,MATCH(COLUMNS($AB$1006:AK1006),$AB$1006:$AQ$1006,0)))),"Fix")))</f>
        <v>0</v>
      </c>
      <c r="L159" s="5">
        <f>IF(OR(INDEX($V$2:$V$1001,MATCH(ROWS($U$2:U159),$U$2:$U$1001,0),1)&gt;=100000,INDEX($AB$1005:$AQ$1005,1,MATCH(COLUMNS($AB$1006:AL1006),$AB$1006:$AQ$1006,0))&gt;=100000), " ",IF(INDEX($AB$2:$AQ$1001,MATCH(ROWS($U$2:U159),$U$2:$U$1001,0),MATCH(COLUMNS($AB$1006:AL1006),$AB$1006:$AQ$1006,0)), HYPERLINK("#",""), HYPERLINK(CONCATENATE("#Metadata!", ADDRESS(INDEX($W$2:$W$1001,MATCH(ROWS($U$2:U159),$U$2:$U$1001,0),0), INDEX($AB$1004:$AQ$1004,1,MATCH(COLUMNS($AB$1006:AL1006),$AB$1006:$AQ$1006,0)))),"Fix")))</f>
        <v>0</v>
      </c>
      <c r="M159" s="5">
        <f>IF(OR(INDEX($V$2:$V$1001,MATCH(ROWS($U$2:U159),$U$2:$U$1001,0),1)&gt;=100000,INDEX($AB$1005:$AQ$1005,1,MATCH(COLUMNS($AB$1006:AM1006),$AB$1006:$AQ$1006,0))&gt;=100000), " ",IF(INDEX($AB$2:$AQ$1001,MATCH(ROWS($U$2:U159),$U$2:$U$1001,0),MATCH(COLUMNS($AB$1006:AM1006),$AB$1006:$AQ$1006,0)), HYPERLINK("#",""), HYPERLINK(CONCATENATE("#Metadata!", ADDRESS(INDEX($W$2:$W$1001,MATCH(ROWS($U$2:U159),$U$2:$U$1001,0),0), INDEX($AB$1004:$AQ$1004,1,MATCH(COLUMNS($AB$1006:AM1006),$AB$1006:$AQ$1006,0)))),"Fix")))</f>
        <v>0</v>
      </c>
      <c r="N159" s="5">
        <f>IF(OR(INDEX($V$2:$V$1001,MATCH(ROWS($U$2:U159),$U$2:$U$1001,0),1)&gt;=100000,INDEX($AB$1005:$AQ$1005,1,MATCH(COLUMNS($AB$1006:AN1006),$AB$1006:$AQ$1006,0))&gt;=100000), " ",IF(INDEX($AB$2:$AQ$1001,MATCH(ROWS($U$2:U159),$U$2:$U$1001,0),MATCH(COLUMNS($AB$1006:AN1006),$AB$1006:$AQ$1006,0)), HYPERLINK("#",""), HYPERLINK(CONCATENATE("#Metadata!", ADDRESS(INDEX($W$2:$W$1001,MATCH(ROWS($U$2:U159),$U$2:$U$1001,0),0), INDEX($AB$1004:$AQ$1004,1,MATCH(COLUMNS($AB$1006:AN1006),$AB$1006:$AQ$1006,0)))),"Fix")))</f>
        <v>0</v>
      </c>
      <c r="O159" s="5">
        <f>IF(OR(INDEX($V$2:$V$1001,MATCH(ROWS($U$2:U159),$U$2:$U$1001,0),1)&gt;=100000,INDEX($AB$1005:$AQ$1005,1,MATCH(COLUMNS($AB$1006:AO1006),$AB$1006:$AQ$1006,0))&gt;=100000), " ",IF(INDEX($AB$2:$AQ$1001,MATCH(ROWS($U$2:U159),$U$2:$U$1001,0),MATCH(COLUMNS($AB$1006:AO1006),$AB$1006:$AQ$1006,0)), HYPERLINK("#",""), HYPERLINK(CONCATENATE("#Metadata!", ADDRESS(INDEX($W$2:$W$1001,MATCH(ROWS($U$2:U159),$U$2:$U$1001,0),0), INDEX($AB$1004:$AQ$1004,1,MATCH(COLUMNS($AB$1006:AO1006),$AB$1006:$AQ$1006,0)))),"Fix")))</f>
        <v>0</v>
      </c>
      <c r="P159" s="5">
        <f>IF(OR(INDEX($V$2:$V$1001,MATCH(ROWS($U$2:U159),$U$2:$U$1001,0),1)&gt;=100000,INDEX($AB$1005:$AQ$1005,1,MATCH(COLUMNS($AB$1006:AP1006),$AB$1006:$AQ$1006,0))&gt;=100000), " ",IF(INDEX($AB$2:$AQ$1001,MATCH(ROWS($U$2:U159),$U$2:$U$1001,0),MATCH(COLUMNS($AB$1006:AP1006),$AB$1006:$AQ$1006,0)), HYPERLINK("#",""), HYPERLINK(CONCATENATE("#Metadata!", ADDRESS(INDEX($W$2:$W$1001,MATCH(ROWS($U$2:U159),$U$2:$U$1001,0),0), INDEX($AB$1004:$AQ$1004,1,MATCH(COLUMNS($AB$1006:AP1006),$AB$1006:$AQ$1006,0)))),"Fix")))</f>
        <v>0</v>
      </c>
      <c r="Q159" s="5">
        <f>IF(OR(INDEX($V$2:$V$1001,MATCH(ROWS($U$2:U159),$U$2:$U$1001,0),1)&gt;=100000,INDEX($AB$1005:$AQ$1005,1,MATCH(COLUMNS($AB$1006:AQ1006),$AB$1006:$AQ$1006,0))&gt;=100000), " ",IF(INDEX($AB$2:$AQ$1001,MATCH(ROWS($U$2:U159),$U$2:$U$1001,0),MATCH(COLUMNS($AB$1006:AQ1006),$AB$1006:$AQ$1006,0)), HYPERLINK("#",""), HYPERLINK(CONCATENATE("#Metadata!", ADDRESS(INDEX($W$2:$W$1001,MATCH(ROWS($U$2:U159),$U$2:$U$1001,0),0), INDEX($AB$1004:$AQ$1004,1,MATCH(COLUMNS($AB$1006:AQ1006),$AB$1006:$AQ$1006,0)))),"Fix")))</f>
        <v>0</v>
      </c>
      <c r="U159">
        <v>0</v>
      </c>
      <c r="V159">
        <v>0</v>
      </c>
      <c r="W159">
        <v>0</v>
      </c>
      <c r="X159">
        <f>IF(Y159,TRUE,AND(AB159:AQ159))</f>
        <v>0</v>
      </c>
      <c r="Y159">
        <f>COUNTBLANK(Metadata!B159:Q159)=COLUMNS(Metadata!B159:Q159)</f>
        <v>0</v>
      </c>
      <c r="Z159">
        <v>0</v>
      </c>
      <c r="AB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AC159">
        <f>AND(IF(Metadata!C159="",FALSE,TRUE),exact(Metadata!C159,"urban biome"))</f>
        <v>0</v>
      </c>
      <c r="AD159">
        <f>AND(IF(Metadata!D159="",FALSE,TRUE),exact(Metadata!D159,"human-associated habitat"))</f>
        <v>0</v>
      </c>
      <c r="AE159">
        <f>AND(IF(Metadata!E159="",FALSE,TRUE),OR(exact(Metadata!E159,"human-associated"),exact(Metadata!E159,"human-skin"),exact(Metadata!E159,"human-oral"),exact(Metadata!E159,"human-gut"),exact(Metadata!E159,"human-vaginal")))</f>
        <v>0</v>
      </c>
      <c r="AF159">
        <f>AND(IF(Metadata!F159="",FALSE,ISNUMBER(VALUE(Metadata!F159))),Metadata!F159&gt;0)</f>
        <v>0</v>
      </c>
      <c r="AG159">
        <f>AND(IF(Metadata!G159="",FALSE,TRUE),exact(Metadata!G159,"years"))</f>
        <v>0</v>
      </c>
      <c r="AH159">
        <f>OR(AND(IF(Metadata!H159="",FALSE,TRUE),OR(exact(Metadata!H159,"not applicable"),exact(Metadata!H159,"not collected"),exact(Metadata!H159,"not provided"),exact(Metadata!H159,"restricted access"))),AND(IF(Metadata!H159="",FALSE,ISNUMBER(VALUE(Metadata!H159))),Metadata!H159&gt;0))</f>
        <v>0</v>
      </c>
      <c r="AI159">
        <f>AND(IF(Metadata!I159="",FALSE,TRUE),exact(Metadata!I159,"human"))</f>
        <v>0</v>
      </c>
      <c r="AJ159">
        <f>AND(IF(Metadata!J159="",FALSE,ISNUMBER(VALUE(Metadata!J159))),Metadata!J159&gt;0)</f>
        <v>0</v>
      </c>
      <c r="AK159">
        <f>AND(IF(Metadata!K159="",FALSE,TRUE),exact(Metadata!K159,"cm"))</f>
        <v>0</v>
      </c>
      <c r="AL159">
        <f>AND(IF(Metadata!L159="",FALSE,TRUE),exact(Metadata!L159,"Homo sapiens"))</f>
        <v>0</v>
      </c>
      <c r="AM159">
        <f>AND(IF(Metadata!M159="",FALSE,TRUE),exact(Metadata!M159,"9606"))</f>
        <v>0</v>
      </c>
      <c r="AN159">
        <f>AND(IF(Metadata!N159="",FALSE,ISNUMBER(VALUE(Metadata!N159))),Metadata!N159&gt;0)</f>
        <v>0</v>
      </c>
      <c r="AO159">
        <f>AND(IF(Metadata!O159="",FALSE,TRUE),exact(Metadata!O159,"kg"))</f>
        <v>0</v>
      </c>
      <c r="AP159">
        <f>OR(AND(IF(Metadata!P159="",FALSE,TRUE),exact(Metadata!P159,"not provided")),IF(Metadata!P159="",FALSE,TRUE))</f>
        <v>0</v>
      </c>
      <c r="AQ159">
        <f>OR(AND(IF(Metadata!Q159="",FALSE,TRUE),exact(Metadata!Q159,"not provided")),IF(Metadata!Q159="",FALSE,TRUE))</f>
        <v>0</v>
      </c>
    </row>
    <row r="160" spans="1:43">
      <c r="A160" s="4">
        <f>IF(B160=" "," ",HYPERLINK(CONCATENATE("#metadata!",ADDRESS(INDEX($W$2:$W$1001,MATCH(ROWS($U$2:U160),$U$2:$U$1001,0),0),2)),INDEX($Z$2:$Z$1001,MATCH(ROWS($U$2:U160),$U$2:$U$1001,0),0)))</f>
        <v>0</v>
      </c>
      <c r="B160" s="5">
        <f>IF(OR(INDEX($V$2:$V$1001,MATCH(ROWS($U$2:U160),$U$2:$U$1001,0),1)&gt;=100000,INDEX($AB$1005:$AQ$1005,1,MATCH(COLUMNS($AB$1006:AB1006),$AB$1006:$AQ$1006,0))&gt;=100000), " ",IF(INDEX($AB$2:$AQ$1001,MATCH(ROWS($U$2:U160),$U$2:$U$1001,0),MATCH(COLUMNS($AB$1006:AB1006),$AB$1006:$AQ$1006,0)), HYPERLINK("#",""), HYPERLINK(CONCATENATE("#Metadata!", ADDRESS(INDEX($W$2:$W$1001,MATCH(ROWS($U$2:U160),$U$2:$U$1001,0),0), INDEX($AB$1004:$AQ$1004,1,MATCH(COLUMNS($AB$1006:AB1006),$AB$1006:$AQ$1006,0)))),"Fix")))</f>
        <v>0</v>
      </c>
      <c r="C160" s="5">
        <f>IF(OR(INDEX($V$2:$V$1001,MATCH(ROWS($U$2:U160),$U$2:$U$1001,0),1)&gt;=100000,INDEX($AB$1005:$AQ$1005,1,MATCH(COLUMNS($AB$1006:AC1006),$AB$1006:$AQ$1006,0))&gt;=100000), " ",IF(INDEX($AB$2:$AQ$1001,MATCH(ROWS($U$2:U160),$U$2:$U$1001,0),MATCH(COLUMNS($AB$1006:AC1006),$AB$1006:$AQ$1006,0)), HYPERLINK("#",""), HYPERLINK(CONCATENATE("#Metadata!", ADDRESS(INDEX($W$2:$W$1001,MATCH(ROWS($U$2:U160),$U$2:$U$1001,0),0), INDEX($AB$1004:$AQ$1004,1,MATCH(COLUMNS($AB$1006:AC1006),$AB$1006:$AQ$1006,0)))),"Fix")))</f>
        <v>0</v>
      </c>
      <c r="D160" s="5">
        <f>IF(OR(INDEX($V$2:$V$1001,MATCH(ROWS($U$2:U160),$U$2:$U$1001,0),1)&gt;=100000,INDEX($AB$1005:$AQ$1005,1,MATCH(COLUMNS($AB$1006:AD1006),$AB$1006:$AQ$1006,0))&gt;=100000), " ",IF(INDEX($AB$2:$AQ$1001,MATCH(ROWS($U$2:U160),$U$2:$U$1001,0),MATCH(COLUMNS($AB$1006:AD1006),$AB$1006:$AQ$1006,0)), HYPERLINK("#",""), HYPERLINK(CONCATENATE("#Metadata!", ADDRESS(INDEX($W$2:$W$1001,MATCH(ROWS($U$2:U160),$U$2:$U$1001,0),0), INDEX($AB$1004:$AQ$1004,1,MATCH(COLUMNS($AB$1006:AD1006),$AB$1006:$AQ$1006,0)))),"Fix")))</f>
        <v>0</v>
      </c>
      <c r="E160" s="5">
        <f>IF(OR(INDEX($V$2:$V$1001,MATCH(ROWS($U$2:U160),$U$2:$U$1001,0),1)&gt;=100000,INDEX($AB$1005:$AQ$1005,1,MATCH(COLUMNS($AB$1006:AE1006),$AB$1006:$AQ$1006,0))&gt;=100000), " ",IF(INDEX($AB$2:$AQ$1001,MATCH(ROWS($U$2:U160),$U$2:$U$1001,0),MATCH(COLUMNS($AB$1006:AE1006),$AB$1006:$AQ$1006,0)), HYPERLINK("#",""), HYPERLINK(CONCATENATE("#Metadata!", ADDRESS(INDEX($W$2:$W$1001,MATCH(ROWS($U$2:U160),$U$2:$U$1001,0),0), INDEX($AB$1004:$AQ$1004,1,MATCH(COLUMNS($AB$1006:AE1006),$AB$1006:$AQ$1006,0)))),"Fix")))</f>
        <v>0</v>
      </c>
      <c r="F160" s="5">
        <f>IF(OR(INDEX($V$2:$V$1001,MATCH(ROWS($U$2:U160),$U$2:$U$1001,0),1)&gt;=100000,INDEX($AB$1005:$AQ$1005,1,MATCH(COLUMNS($AB$1006:AF1006),$AB$1006:$AQ$1006,0))&gt;=100000), " ",IF(INDEX($AB$2:$AQ$1001,MATCH(ROWS($U$2:U160),$U$2:$U$1001,0),MATCH(COLUMNS($AB$1006:AF1006),$AB$1006:$AQ$1006,0)), HYPERLINK("#",""), HYPERLINK(CONCATENATE("#Metadata!", ADDRESS(INDEX($W$2:$W$1001,MATCH(ROWS($U$2:U160),$U$2:$U$1001,0),0), INDEX($AB$1004:$AQ$1004,1,MATCH(COLUMNS($AB$1006:AF1006),$AB$1006:$AQ$1006,0)))),"Fix")))</f>
        <v>0</v>
      </c>
      <c r="G160" s="5">
        <f>IF(OR(INDEX($V$2:$V$1001,MATCH(ROWS($U$2:U160),$U$2:$U$1001,0),1)&gt;=100000,INDEX($AB$1005:$AQ$1005,1,MATCH(COLUMNS($AB$1006:AG1006),$AB$1006:$AQ$1006,0))&gt;=100000), " ",IF(INDEX($AB$2:$AQ$1001,MATCH(ROWS($U$2:U160),$U$2:$U$1001,0),MATCH(COLUMNS($AB$1006:AG1006),$AB$1006:$AQ$1006,0)), HYPERLINK("#",""), HYPERLINK(CONCATENATE("#Metadata!", ADDRESS(INDEX($W$2:$W$1001,MATCH(ROWS($U$2:U160),$U$2:$U$1001,0),0), INDEX($AB$1004:$AQ$1004,1,MATCH(COLUMNS($AB$1006:AG1006),$AB$1006:$AQ$1006,0)))),"Fix")))</f>
        <v>0</v>
      </c>
      <c r="H160" s="5">
        <f>IF(OR(INDEX($V$2:$V$1001,MATCH(ROWS($U$2:U160),$U$2:$U$1001,0),1)&gt;=100000,INDEX($AB$1005:$AQ$1005,1,MATCH(COLUMNS($AB$1006:AH1006),$AB$1006:$AQ$1006,0))&gt;=100000), " ",IF(INDEX($AB$2:$AQ$1001,MATCH(ROWS($U$2:U160),$U$2:$U$1001,0),MATCH(COLUMNS($AB$1006:AH1006),$AB$1006:$AQ$1006,0)), HYPERLINK("#",""), HYPERLINK(CONCATENATE("#Metadata!", ADDRESS(INDEX($W$2:$W$1001,MATCH(ROWS($U$2:U160),$U$2:$U$1001,0),0), INDEX($AB$1004:$AQ$1004,1,MATCH(COLUMNS($AB$1006:AH1006),$AB$1006:$AQ$1006,0)))),"Fix")))</f>
        <v>0</v>
      </c>
      <c r="I160" s="5">
        <f>IF(OR(INDEX($V$2:$V$1001,MATCH(ROWS($U$2:U160),$U$2:$U$1001,0),1)&gt;=100000,INDEX($AB$1005:$AQ$1005,1,MATCH(COLUMNS($AB$1006:AI1006),$AB$1006:$AQ$1006,0))&gt;=100000), " ",IF(INDEX($AB$2:$AQ$1001,MATCH(ROWS($U$2:U160),$U$2:$U$1001,0),MATCH(COLUMNS($AB$1006:AI1006),$AB$1006:$AQ$1006,0)), HYPERLINK("#",""), HYPERLINK(CONCATENATE("#Metadata!", ADDRESS(INDEX($W$2:$W$1001,MATCH(ROWS($U$2:U160),$U$2:$U$1001,0),0), INDEX($AB$1004:$AQ$1004,1,MATCH(COLUMNS($AB$1006:AI1006),$AB$1006:$AQ$1006,0)))),"Fix")))</f>
        <v>0</v>
      </c>
      <c r="J160" s="5">
        <f>IF(OR(INDEX($V$2:$V$1001,MATCH(ROWS($U$2:U160),$U$2:$U$1001,0),1)&gt;=100000,INDEX($AB$1005:$AQ$1005,1,MATCH(COLUMNS($AB$1006:AJ1006),$AB$1006:$AQ$1006,0))&gt;=100000), " ",IF(INDEX($AB$2:$AQ$1001,MATCH(ROWS($U$2:U160),$U$2:$U$1001,0),MATCH(COLUMNS($AB$1006:AJ1006),$AB$1006:$AQ$1006,0)), HYPERLINK("#",""), HYPERLINK(CONCATENATE("#Metadata!", ADDRESS(INDEX($W$2:$W$1001,MATCH(ROWS($U$2:U160),$U$2:$U$1001,0),0), INDEX($AB$1004:$AQ$1004,1,MATCH(COLUMNS($AB$1006:AJ1006),$AB$1006:$AQ$1006,0)))),"Fix")))</f>
        <v>0</v>
      </c>
      <c r="K160" s="5">
        <f>IF(OR(INDEX($V$2:$V$1001,MATCH(ROWS($U$2:U160),$U$2:$U$1001,0),1)&gt;=100000,INDEX($AB$1005:$AQ$1005,1,MATCH(COLUMNS($AB$1006:AK1006),$AB$1006:$AQ$1006,0))&gt;=100000), " ",IF(INDEX($AB$2:$AQ$1001,MATCH(ROWS($U$2:U160),$U$2:$U$1001,0),MATCH(COLUMNS($AB$1006:AK1006),$AB$1006:$AQ$1006,0)), HYPERLINK("#",""), HYPERLINK(CONCATENATE("#Metadata!", ADDRESS(INDEX($W$2:$W$1001,MATCH(ROWS($U$2:U160),$U$2:$U$1001,0),0), INDEX($AB$1004:$AQ$1004,1,MATCH(COLUMNS($AB$1006:AK1006),$AB$1006:$AQ$1006,0)))),"Fix")))</f>
        <v>0</v>
      </c>
      <c r="L160" s="5">
        <f>IF(OR(INDEX($V$2:$V$1001,MATCH(ROWS($U$2:U160),$U$2:$U$1001,0),1)&gt;=100000,INDEX($AB$1005:$AQ$1005,1,MATCH(COLUMNS($AB$1006:AL1006),$AB$1006:$AQ$1006,0))&gt;=100000), " ",IF(INDEX($AB$2:$AQ$1001,MATCH(ROWS($U$2:U160),$U$2:$U$1001,0),MATCH(COLUMNS($AB$1006:AL1006),$AB$1006:$AQ$1006,0)), HYPERLINK("#",""), HYPERLINK(CONCATENATE("#Metadata!", ADDRESS(INDEX($W$2:$W$1001,MATCH(ROWS($U$2:U160),$U$2:$U$1001,0),0), INDEX($AB$1004:$AQ$1004,1,MATCH(COLUMNS($AB$1006:AL1006),$AB$1006:$AQ$1006,0)))),"Fix")))</f>
        <v>0</v>
      </c>
      <c r="M160" s="5">
        <f>IF(OR(INDEX($V$2:$V$1001,MATCH(ROWS($U$2:U160),$U$2:$U$1001,0),1)&gt;=100000,INDEX($AB$1005:$AQ$1005,1,MATCH(COLUMNS($AB$1006:AM1006),$AB$1006:$AQ$1006,0))&gt;=100000), " ",IF(INDEX($AB$2:$AQ$1001,MATCH(ROWS($U$2:U160),$U$2:$U$1001,0),MATCH(COLUMNS($AB$1006:AM1006),$AB$1006:$AQ$1006,0)), HYPERLINK("#",""), HYPERLINK(CONCATENATE("#Metadata!", ADDRESS(INDEX($W$2:$W$1001,MATCH(ROWS($U$2:U160),$U$2:$U$1001,0),0), INDEX($AB$1004:$AQ$1004,1,MATCH(COLUMNS($AB$1006:AM1006),$AB$1006:$AQ$1006,0)))),"Fix")))</f>
        <v>0</v>
      </c>
      <c r="N160" s="5">
        <f>IF(OR(INDEX($V$2:$V$1001,MATCH(ROWS($U$2:U160),$U$2:$U$1001,0),1)&gt;=100000,INDEX($AB$1005:$AQ$1005,1,MATCH(COLUMNS($AB$1006:AN1006),$AB$1006:$AQ$1006,0))&gt;=100000), " ",IF(INDEX($AB$2:$AQ$1001,MATCH(ROWS($U$2:U160),$U$2:$U$1001,0),MATCH(COLUMNS($AB$1006:AN1006),$AB$1006:$AQ$1006,0)), HYPERLINK("#",""), HYPERLINK(CONCATENATE("#Metadata!", ADDRESS(INDEX($W$2:$W$1001,MATCH(ROWS($U$2:U160),$U$2:$U$1001,0),0), INDEX($AB$1004:$AQ$1004,1,MATCH(COLUMNS($AB$1006:AN1006),$AB$1006:$AQ$1006,0)))),"Fix")))</f>
        <v>0</v>
      </c>
      <c r="O160" s="5">
        <f>IF(OR(INDEX($V$2:$V$1001,MATCH(ROWS($U$2:U160),$U$2:$U$1001,0),1)&gt;=100000,INDEX($AB$1005:$AQ$1005,1,MATCH(COLUMNS($AB$1006:AO1006),$AB$1006:$AQ$1006,0))&gt;=100000), " ",IF(INDEX($AB$2:$AQ$1001,MATCH(ROWS($U$2:U160),$U$2:$U$1001,0),MATCH(COLUMNS($AB$1006:AO1006),$AB$1006:$AQ$1006,0)), HYPERLINK("#",""), HYPERLINK(CONCATENATE("#Metadata!", ADDRESS(INDEX($W$2:$W$1001,MATCH(ROWS($U$2:U160),$U$2:$U$1001,0),0), INDEX($AB$1004:$AQ$1004,1,MATCH(COLUMNS($AB$1006:AO1006),$AB$1006:$AQ$1006,0)))),"Fix")))</f>
        <v>0</v>
      </c>
      <c r="P160" s="5">
        <f>IF(OR(INDEX($V$2:$V$1001,MATCH(ROWS($U$2:U160),$U$2:$U$1001,0),1)&gt;=100000,INDEX($AB$1005:$AQ$1005,1,MATCH(COLUMNS($AB$1006:AP1006),$AB$1006:$AQ$1006,0))&gt;=100000), " ",IF(INDEX($AB$2:$AQ$1001,MATCH(ROWS($U$2:U160),$U$2:$U$1001,0),MATCH(COLUMNS($AB$1006:AP1006),$AB$1006:$AQ$1006,0)), HYPERLINK("#",""), HYPERLINK(CONCATENATE("#Metadata!", ADDRESS(INDEX($W$2:$W$1001,MATCH(ROWS($U$2:U160),$U$2:$U$1001,0),0), INDEX($AB$1004:$AQ$1004,1,MATCH(COLUMNS($AB$1006:AP1006),$AB$1006:$AQ$1006,0)))),"Fix")))</f>
        <v>0</v>
      </c>
      <c r="Q160" s="5">
        <f>IF(OR(INDEX($V$2:$V$1001,MATCH(ROWS($U$2:U160),$U$2:$U$1001,0),1)&gt;=100000,INDEX($AB$1005:$AQ$1005,1,MATCH(COLUMNS($AB$1006:AQ1006),$AB$1006:$AQ$1006,0))&gt;=100000), " ",IF(INDEX($AB$2:$AQ$1001,MATCH(ROWS($U$2:U160),$U$2:$U$1001,0),MATCH(COLUMNS($AB$1006:AQ1006),$AB$1006:$AQ$1006,0)), HYPERLINK("#",""), HYPERLINK(CONCATENATE("#Metadata!", ADDRESS(INDEX($W$2:$W$1001,MATCH(ROWS($U$2:U160),$U$2:$U$1001,0),0), INDEX($AB$1004:$AQ$1004,1,MATCH(COLUMNS($AB$1006:AQ1006),$AB$1006:$AQ$1006,0)))),"Fix")))</f>
        <v>0</v>
      </c>
      <c r="U160">
        <v>0</v>
      </c>
      <c r="V160">
        <v>0</v>
      </c>
      <c r="W160">
        <v>0</v>
      </c>
      <c r="X160">
        <f>IF(Y160,TRUE,AND(AB160:AQ160))</f>
        <v>0</v>
      </c>
      <c r="Y160">
        <f>COUNTBLANK(Metadata!B160:Q160)=COLUMNS(Metadata!B160:Q160)</f>
        <v>0</v>
      </c>
      <c r="Z160">
        <v>0</v>
      </c>
      <c r="AB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AC160">
        <f>AND(IF(Metadata!C160="",FALSE,TRUE),exact(Metadata!C160,"urban biome"))</f>
        <v>0</v>
      </c>
      <c r="AD160">
        <f>AND(IF(Metadata!D160="",FALSE,TRUE),exact(Metadata!D160,"human-associated habitat"))</f>
        <v>0</v>
      </c>
      <c r="AE160">
        <f>AND(IF(Metadata!E160="",FALSE,TRUE),OR(exact(Metadata!E160,"human-associated"),exact(Metadata!E160,"human-skin"),exact(Metadata!E160,"human-oral"),exact(Metadata!E160,"human-gut"),exact(Metadata!E160,"human-vaginal")))</f>
        <v>0</v>
      </c>
      <c r="AF160">
        <f>AND(IF(Metadata!F160="",FALSE,ISNUMBER(VALUE(Metadata!F160))),Metadata!F160&gt;0)</f>
        <v>0</v>
      </c>
      <c r="AG160">
        <f>AND(IF(Metadata!G160="",FALSE,TRUE),exact(Metadata!G160,"years"))</f>
        <v>0</v>
      </c>
      <c r="AH160">
        <f>OR(AND(IF(Metadata!H160="",FALSE,TRUE),OR(exact(Metadata!H160,"not applicable"),exact(Metadata!H160,"not collected"),exact(Metadata!H160,"not provided"),exact(Metadata!H160,"restricted access"))),AND(IF(Metadata!H160="",FALSE,ISNUMBER(VALUE(Metadata!H160))),Metadata!H160&gt;0))</f>
        <v>0</v>
      </c>
      <c r="AI160">
        <f>AND(IF(Metadata!I160="",FALSE,TRUE),exact(Metadata!I160,"human"))</f>
        <v>0</v>
      </c>
      <c r="AJ160">
        <f>AND(IF(Metadata!J160="",FALSE,ISNUMBER(VALUE(Metadata!J160))),Metadata!J160&gt;0)</f>
        <v>0</v>
      </c>
      <c r="AK160">
        <f>AND(IF(Metadata!K160="",FALSE,TRUE),exact(Metadata!K160,"cm"))</f>
        <v>0</v>
      </c>
      <c r="AL160">
        <f>AND(IF(Metadata!L160="",FALSE,TRUE),exact(Metadata!L160,"Homo sapiens"))</f>
        <v>0</v>
      </c>
      <c r="AM160">
        <f>AND(IF(Metadata!M160="",FALSE,TRUE),exact(Metadata!M160,"9606"))</f>
        <v>0</v>
      </c>
      <c r="AN160">
        <f>AND(IF(Metadata!N160="",FALSE,ISNUMBER(VALUE(Metadata!N160))),Metadata!N160&gt;0)</f>
        <v>0</v>
      </c>
      <c r="AO160">
        <f>AND(IF(Metadata!O160="",FALSE,TRUE),exact(Metadata!O160,"kg"))</f>
        <v>0</v>
      </c>
      <c r="AP160">
        <f>OR(AND(IF(Metadata!P160="",FALSE,TRUE),exact(Metadata!P160,"not provided")),IF(Metadata!P160="",FALSE,TRUE))</f>
        <v>0</v>
      </c>
      <c r="AQ160">
        <f>OR(AND(IF(Metadata!Q160="",FALSE,TRUE),exact(Metadata!Q160,"not provided")),IF(Metadata!Q160="",FALSE,TRUE))</f>
        <v>0</v>
      </c>
    </row>
    <row r="161" spans="1:43">
      <c r="A161" s="4">
        <f>IF(B161=" "," ",HYPERLINK(CONCATENATE("#metadata!",ADDRESS(INDEX($W$2:$W$1001,MATCH(ROWS($U$2:U161),$U$2:$U$1001,0),0),2)),INDEX($Z$2:$Z$1001,MATCH(ROWS($U$2:U161),$U$2:$U$1001,0),0)))</f>
        <v>0</v>
      </c>
      <c r="B161" s="5">
        <f>IF(OR(INDEX($V$2:$V$1001,MATCH(ROWS($U$2:U161),$U$2:$U$1001,0),1)&gt;=100000,INDEX($AB$1005:$AQ$1005,1,MATCH(COLUMNS($AB$1006:AB1006),$AB$1006:$AQ$1006,0))&gt;=100000), " ",IF(INDEX($AB$2:$AQ$1001,MATCH(ROWS($U$2:U161),$U$2:$U$1001,0),MATCH(COLUMNS($AB$1006:AB1006),$AB$1006:$AQ$1006,0)), HYPERLINK("#",""), HYPERLINK(CONCATENATE("#Metadata!", ADDRESS(INDEX($W$2:$W$1001,MATCH(ROWS($U$2:U161),$U$2:$U$1001,0),0), INDEX($AB$1004:$AQ$1004,1,MATCH(COLUMNS($AB$1006:AB1006),$AB$1006:$AQ$1006,0)))),"Fix")))</f>
        <v>0</v>
      </c>
      <c r="C161" s="5">
        <f>IF(OR(INDEX($V$2:$V$1001,MATCH(ROWS($U$2:U161),$U$2:$U$1001,0),1)&gt;=100000,INDEX($AB$1005:$AQ$1005,1,MATCH(COLUMNS($AB$1006:AC1006),$AB$1006:$AQ$1006,0))&gt;=100000), " ",IF(INDEX($AB$2:$AQ$1001,MATCH(ROWS($U$2:U161),$U$2:$U$1001,0),MATCH(COLUMNS($AB$1006:AC1006),$AB$1006:$AQ$1006,0)), HYPERLINK("#",""), HYPERLINK(CONCATENATE("#Metadata!", ADDRESS(INDEX($W$2:$W$1001,MATCH(ROWS($U$2:U161),$U$2:$U$1001,0),0), INDEX($AB$1004:$AQ$1004,1,MATCH(COLUMNS($AB$1006:AC1006),$AB$1006:$AQ$1006,0)))),"Fix")))</f>
        <v>0</v>
      </c>
      <c r="D161" s="5">
        <f>IF(OR(INDEX($V$2:$V$1001,MATCH(ROWS($U$2:U161),$U$2:$U$1001,0),1)&gt;=100000,INDEX($AB$1005:$AQ$1005,1,MATCH(COLUMNS($AB$1006:AD1006),$AB$1006:$AQ$1006,0))&gt;=100000), " ",IF(INDEX($AB$2:$AQ$1001,MATCH(ROWS($U$2:U161),$U$2:$U$1001,0),MATCH(COLUMNS($AB$1006:AD1006),$AB$1006:$AQ$1006,0)), HYPERLINK("#",""), HYPERLINK(CONCATENATE("#Metadata!", ADDRESS(INDEX($W$2:$W$1001,MATCH(ROWS($U$2:U161),$U$2:$U$1001,0),0), INDEX($AB$1004:$AQ$1004,1,MATCH(COLUMNS($AB$1006:AD1006),$AB$1006:$AQ$1006,0)))),"Fix")))</f>
        <v>0</v>
      </c>
      <c r="E161" s="5">
        <f>IF(OR(INDEX($V$2:$V$1001,MATCH(ROWS($U$2:U161),$U$2:$U$1001,0),1)&gt;=100000,INDEX($AB$1005:$AQ$1005,1,MATCH(COLUMNS($AB$1006:AE1006),$AB$1006:$AQ$1006,0))&gt;=100000), " ",IF(INDEX($AB$2:$AQ$1001,MATCH(ROWS($U$2:U161),$U$2:$U$1001,0),MATCH(COLUMNS($AB$1006:AE1006),$AB$1006:$AQ$1006,0)), HYPERLINK("#",""), HYPERLINK(CONCATENATE("#Metadata!", ADDRESS(INDEX($W$2:$W$1001,MATCH(ROWS($U$2:U161),$U$2:$U$1001,0),0), INDEX($AB$1004:$AQ$1004,1,MATCH(COLUMNS($AB$1006:AE1006),$AB$1006:$AQ$1006,0)))),"Fix")))</f>
        <v>0</v>
      </c>
      <c r="F161" s="5">
        <f>IF(OR(INDEX($V$2:$V$1001,MATCH(ROWS($U$2:U161),$U$2:$U$1001,0),1)&gt;=100000,INDEX($AB$1005:$AQ$1005,1,MATCH(COLUMNS($AB$1006:AF1006),$AB$1006:$AQ$1006,0))&gt;=100000), " ",IF(INDEX($AB$2:$AQ$1001,MATCH(ROWS($U$2:U161),$U$2:$U$1001,0),MATCH(COLUMNS($AB$1006:AF1006),$AB$1006:$AQ$1006,0)), HYPERLINK("#",""), HYPERLINK(CONCATENATE("#Metadata!", ADDRESS(INDEX($W$2:$W$1001,MATCH(ROWS($U$2:U161),$U$2:$U$1001,0),0), INDEX($AB$1004:$AQ$1004,1,MATCH(COLUMNS($AB$1006:AF1006),$AB$1006:$AQ$1006,0)))),"Fix")))</f>
        <v>0</v>
      </c>
      <c r="G161" s="5">
        <f>IF(OR(INDEX($V$2:$V$1001,MATCH(ROWS($U$2:U161),$U$2:$U$1001,0),1)&gt;=100000,INDEX($AB$1005:$AQ$1005,1,MATCH(COLUMNS($AB$1006:AG1006),$AB$1006:$AQ$1006,0))&gt;=100000), " ",IF(INDEX($AB$2:$AQ$1001,MATCH(ROWS($U$2:U161),$U$2:$U$1001,0),MATCH(COLUMNS($AB$1006:AG1006),$AB$1006:$AQ$1006,0)), HYPERLINK("#",""), HYPERLINK(CONCATENATE("#Metadata!", ADDRESS(INDEX($W$2:$W$1001,MATCH(ROWS($U$2:U161),$U$2:$U$1001,0),0), INDEX($AB$1004:$AQ$1004,1,MATCH(COLUMNS($AB$1006:AG1006),$AB$1006:$AQ$1006,0)))),"Fix")))</f>
        <v>0</v>
      </c>
      <c r="H161" s="5">
        <f>IF(OR(INDEX($V$2:$V$1001,MATCH(ROWS($U$2:U161),$U$2:$U$1001,0),1)&gt;=100000,INDEX($AB$1005:$AQ$1005,1,MATCH(COLUMNS($AB$1006:AH1006),$AB$1006:$AQ$1006,0))&gt;=100000), " ",IF(INDEX($AB$2:$AQ$1001,MATCH(ROWS($U$2:U161),$U$2:$U$1001,0),MATCH(COLUMNS($AB$1006:AH1006),$AB$1006:$AQ$1006,0)), HYPERLINK("#",""), HYPERLINK(CONCATENATE("#Metadata!", ADDRESS(INDEX($W$2:$W$1001,MATCH(ROWS($U$2:U161),$U$2:$U$1001,0),0), INDEX($AB$1004:$AQ$1004,1,MATCH(COLUMNS($AB$1006:AH1006),$AB$1006:$AQ$1006,0)))),"Fix")))</f>
        <v>0</v>
      </c>
      <c r="I161" s="5">
        <f>IF(OR(INDEX($V$2:$V$1001,MATCH(ROWS($U$2:U161),$U$2:$U$1001,0),1)&gt;=100000,INDEX($AB$1005:$AQ$1005,1,MATCH(COLUMNS($AB$1006:AI1006),$AB$1006:$AQ$1006,0))&gt;=100000), " ",IF(INDEX($AB$2:$AQ$1001,MATCH(ROWS($U$2:U161),$U$2:$U$1001,0),MATCH(COLUMNS($AB$1006:AI1006),$AB$1006:$AQ$1006,0)), HYPERLINK("#",""), HYPERLINK(CONCATENATE("#Metadata!", ADDRESS(INDEX($W$2:$W$1001,MATCH(ROWS($U$2:U161),$U$2:$U$1001,0),0), INDEX($AB$1004:$AQ$1004,1,MATCH(COLUMNS($AB$1006:AI1006),$AB$1006:$AQ$1006,0)))),"Fix")))</f>
        <v>0</v>
      </c>
      <c r="J161" s="5">
        <f>IF(OR(INDEX($V$2:$V$1001,MATCH(ROWS($U$2:U161),$U$2:$U$1001,0),1)&gt;=100000,INDEX($AB$1005:$AQ$1005,1,MATCH(COLUMNS($AB$1006:AJ1006),$AB$1006:$AQ$1006,0))&gt;=100000), " ",IF(INDEX($AB$2:$AQ$1001,MATCH(ROWS($U$2:U161),$U$2:$U$1001,0),MATCH(COLUMNS($AB$1006:AJ1006),$AB$1006:$AQ$1006,0)), HYPERLINK("#",""), HYPERLINK(CONCATENATE("#Metadata!", ADDRESS(INDEX($W$2:$W$1001,MATCH(ROWS($U$2:U161),$U$2:$U$1001,0),0), INDEX($AB$1004:$AQ$1004,1,MATCH(COLUMNS($AB$1006:AJ1006),$AB$1006:$AQ$1006,0)))),"Fix")))</f>
        <v>0</v>
      </c>
      <c r="K161" s="5">
        <f>IF(OR(INDEX($V$2:$V$1001,MATCH(ROWS($U$2:U161),$U$2:$U$1001,0),1)&gt;=100000,INDEX($AB$1005:$AQ$1005,1,MATCH(COLUMNS($AB$1006:AK1006),$AB$1006:$AQ$1006,0))&gt;=100000), " ",IF(INDEX($AB$2:$AQ$1001,MATCH(ROWS($U$2:U161),$U$2:$U$1001,0),MATCH(COLUMNS($AB$1006:AK1006),$AB$1006:$AQ$1006,0)), HYPERLINK("#",""), HYPERLINK(CONCATENATE("#Metadata!", ADDRESS(INDEX($W$2:$W$1001,MATCH(ROWS($U$2:U161),$U$2:$U$1001,0),0), INDEX($AB$1004:$AQ$1004,1,MATCH(COLUMNS($AB$1006:AK1006),$AB$1006:$AQ$1006,0)))),"Fix")))</f>
        <v>0</v>
      </c>
      <c r="L161" s="5">
        <f>IF(OR(INDEX($V$2:$V$1001,MATCH(ROWS($U$2:U161),$U$2:$U$1001,0),1)&gt;=100000,INDEX($AB$1005:$AQ$1005,1,MATCH(COLUMNS($AB$1006:AL1006),$AB$1006:$AQ$1006,0))&gt;=100000), " ",IF(INDEX($AB$2:$AQ$1001,MATCH(ROWS($U$2:U161),$U$2:$U$1001,0),MATCH(COLUMNS($AB$1006:AL1006),$AB$1006:$AQ$1006,0)), HYPERLINK("#",""), HYPERLINK(CONCATENATE("#Metadata!", ADDRESS(INDEX($W$2:$W$1001,MATCH(ROWS($U$2:U161),$U$2:$U$1001,0),0), INDEX($AB$1004:$AQ$1004,1,MATCH(COLUMNS($AB$1006:AL1006),$AB$1006:$AQ$1006,0)))),"Fix")))</f>
        <v>0</v>
      </c>
      <c r="M161" s="5">
        <f>IF(OR(INDEX($V$2:$V$1001,MATCH(ROWS($U$2:U161),$U$2:$U$1001,0),1)&gt;=100000,INDEX($AB$1005:$AQ$1005,1,MATCH(COLUMNS($AB$1006:AM1006),$AB$1006:$AQ$1006,0))&gt;=100000), " ",IF(INDEX($AB$2:$AQ$1001,MATCH(ROWS($U$2:U161),$U$2:$U$1001,0),MATCH(COLUMNS($AB$1006:AM1006),$AB$1006:$AQ$1006,0)), HYPERLINK("#",""), HYPERLINK(CONCATENATE("#Metadata!", ADDRESS(INDEX($W$2:$W$1001,MATCH(ROWS($U$2:U161),$U$2:$U$1001,0),0), INDEX($AB$1004:$AQ$1004,1,MATCH(COLUMNS($AB$1006:AM1006),$AB$1006:$AQ$1006,0)))),"Fix")))</f>
        <v>0</v>
      </c>
      <c r="N161" s="5">
        <f>IF(OR(INDEX($V$2:$V$1001,MATCH(ROWS($U$2:U161),$U$2:$U$1001,0),1)&gt;=100000,INDEX($AB$1005:$AQ$1005,1,MATCH(COLUMNS($AB$1006:AN1006),$AB$1006:$AQ$1006,0))&gt;=100000), " ",IF(INDEX($AB$2:$AQ$1001,MATCH(ROWS($U$2:U161),$U$2:$U$1001,0),MATCH(COLUMNS($AB$1006:AN1006),$AB$1006:$AQ$1006,0)), HYPERLINK("#",""), HYPERLINK(CONCATENATE("#Metadata!", ADDRESS(INDEX($W$2:$W$1001,MATCH(ROWS($U$2:U161),$U$2:$U$1001,0),0), INDEX($AB$1004:$AQ$1004,1,MATCH(COLUMNS($AB$1006:AN1006),$AB$1006:$AQ$1006,0)))),"Fix")))</f>
        <v>0</v>
      </c>
      <c r="O161" s="5">
        <f>IF(OR(INDEX($V$2:$V$1001,MATCH(ROWS($U$2:U161),$U$2:$U$1001,0),1)&gt;=100000,INDEX($AB$1005:$AQ$1005,1,MATCH(COLUMNS($AB$1006:AO1006),$AB$1006:$AQ$1006,0))&gt;=100000), " ",IF(INDEX($AB$2:$AQ$1001,MATCH(ROWS($U$2:U161),$U$2:$U$1001,0),MATCH(COLUMNS($AB$1006:AO1006),$AB$1006:$AQ$1006,0)), HYPERLINK("#",""), HYPERLINK(CONCATENATE("#Metadata!", ADDRESS(INDEX($W$2:$W$1001,MATCH(ROWS($U$2:U161),$U$2:$U$1001,0),0), INDEX($AB$1004:$AQ$1004,1,MATCH(COLUMNS($AB$1006:AO1006),$AB$1006:$AQ$1006,0)))),"Fix")))</f>
        <v>0</v>
      </c>
      <c r="P161" s="5">
        <f>IF(OR(INDEX($V$2:$V$1001,MATCH(ROWS($U$2:U161),$U$2:$U$1001,0),1)&gt;=100000,INDEX($AB$1005:$AQ$1005,1,MATCH(COLUMNS($AB$1006:AP1006),$AB$1006:$AQ$1006,0))&gt;=100000), " ",IF(INDEX($AB$2:$AQ$1001,MATCH(ROWS($U$2:U161),$U$2:$U$1001,0),MATCH(COLUMNS($AB$1006:AP1006),$AB$1006:$AQ$1006,0)), HYPERLINK("#",""), HYPERLINK(CONCATENATE("#Metadata!", ADDRESS(INDEX($W$2:$W$1001,MATCH(ROWS($U$2:U161),$U$2:$U$1001,0),0), INDEX($AB$1004:$AQ$1004,1,MATCH(COLUMNS($AB$1006:AP1006),$AB$1006:$AQ$1006,0)))),"Fix")))</f>
        <v>0</v>
      </c>
      <c r="Q161" s="5">
        <f>IF(OR(INDEX($V$2:$V$1001,MATCH(ROWS($U$2:U161),$U$2:$U$1001,0),1)&gt;=100000,INDEX($AB$1005:$AQ$1005,1,MATCH(COLUMNS($AB$1006:AQ1006),$AB$1006:$AQ$1006,0))&gt;=100000), " ",IF(INDEX($AB$2:$AQ$1001,MATCH(ROWS($U$2:U161),$U$2:$U$1001,0),MATCH(COLUMNS($AB$1006:AQ1006),$AB$1006:$AQ$1006,0)), HYPERLINK("#",""), HYPERLINK(CONCATENATE("#Metadata!", ADDRESS(INDEX($W$2:$W$1001,MATCH(ROWS($U$2:U161),$U$2:$U$1001,0),0), INDEX($AB$1004:$AQ$1004,1,MATCH(COLUMNS($AB$1006:AQ1006),$AB$1006:$AQ$1006,0)))),"Fix")))</f>
        <v>0</v>
      </c>
      <c r="U161">
        <v>0</v>
      </c>
      <c r="V161">
        <v>0</v>
      </c>
      <c r="W161">
        <v>0</v>
      </c>
      <c r="X161">
        <f>IF(Y161,TRUE,AND(AB161:AQ161))</f>
        <v>0</v>
      </c>
      <c r="Y161">
        <f>COUNTBLANK(Metadata!B161:Q161)=COLUMNS(Metadata!B161:Q161)</f>
        <v>0</v>
      </c>
      <c r="Z161">
        <v>0</v>
      </c>
      <c r="AB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AC161">
        <f>AND(IF(Metadata!C161="",FALSE,TRUE),exact(Metadata!C161,"urban biome"))</f>
        <v>0</v>
      </c>
      <c r="AD161">
        <f>AND(IF(Metadata!D161="",FALSE,TRUE),exact(Metadata!D161,"human-associated habitat"))</f>
        <v>0</v>
      </c>
      <c r="AE161">
        <f>AND(IF(Metadata!E161="",FALSE,TRUE),OR(exact(Metadata!E161,"human-associated"),exact(Metadata!E161,"human-skin"),exact(Metadata!E161,"human-oral"),exact(Metadata!E161,"human-gut"),exact(Metadata!E161,"human-vaginal")))</f>
        <v>0</v>
      </c>
      <c r="AF161">
        <f>AND(IF(Metadata!F161="",FALSE,ISNUMBER(VALUE(Metadata!F161))),Metadata!F161&gt;0)</f>
        <v>0</v>
      </c>
      <c r="AG161">
        <f>AND(IF(Metadata!G161="",FALSE,TRUE),exact(Metadata!G161,"years"))</f>
        <v>0</v>
      </c>
      <c r="AH161">
        <f>OR(AND(IF(Metadata!H161="",FALSE,TRUE),OR(exact(Metadata!H161,"not applicable"),exact(Metadata!H161,"not collected"),exact(Metadata!H161,"not provided"),exact(Metadata!H161,"restricted access"))),AND(IF(Metadata!H161="",FALSE,ISNUMBER(VALUE(Metadata!H161))),Metadata!H161&gt;0))</f>
        <v>0</v>
      </c>
      <c r="AI161">
        <f>AND(IF(Metadata!I161="",FALSE,TRUE),exact(Metadata!I161,"human"))</f>
        <v>0</v>
      </c>
      <c r="AJ161">
        <f>AND(IF(Metadata!J161="",FALSE,ISNUMBER(VALUE(Metadata!J161))),Metadata!J161&gt;0)</f>
        <v>0</v>
      </c>
      <c r="AK161">
        <f>AND(IF(Metadata!K161="",FALSE,TRUE),exact(Metadata!K161,"cm"))</f>
        <v>0</v>
      </c>
      <c r="AL161">
        <f>AND(IF(Metadata!L161="",FALSE,TRUE),exact(Metadata!L161,"Homo sapiens"))</f>
        <v>0</v>
      </c>
      <c r="AM161">
        <f>AND(IF(Metadata!M161="",FALSE,TRUE),exact(Metadata!M161,"9606"))</f>
        <v>0</v>
      </c>
      <c r="AN161">
        <f>AND(IF(Metadata!N161="",FALSE,ISNUMBER(VALUE(Metadata!N161))),Metadata!N161&gt;0)</f>
        <v>0</v>
      </c>
      <c r="AO161">
        <f>AND(IF(Metadata!O161="",FALSE,TRUE),exact(Metadata!O161,"kg"))</f>
        <v>0</v>
      </c>
      <c r="AP161">
        <f>OR(AND(IF(Metadata!P161="",FALSE,TRUE),exact(Metadata!P161,"not provided")),IF(Metadata!P161="",FALSE,TRUE))</f>
        <v>0</v>
      </c>
      <c r="AQ161">
        <f>OR(AND(IF(Metadata!Q161="",FALSE,TRUE),exact(Metadata!Q161,"not provided")),IF(Metadata!Q161="",FALSE,TRUE))</f>
        <v>0</v>
      </c>
    </row>
    <row r="162" spans="1:43">
      <c r="A162" s="4">
        <f>IF(B162=" "," ",HYPERLINK(CONCATENATE("#metadata!",ADDRESS(INDEX($W$2:$W$1001,MATCH(ROWS($U$2:U162),$U$2:$U$1001,0),0),2)),INDEX($Z$2:$Z$1001,MATCH(ROWS($U$2:U162),$U$2:$U$1001,0),0)))</f>
        <v>0</v>
      </c>
      <c r="B162" s="5">
        <f>IF(OR(INDEX($V$2:$V$1001,MATCH(ROWS($U$2:U162),$U$2:$U$1001,0),1)&gt;=100000,INDEX($AB$1005:$AQ$1005,1,MATCH(COLUMNS($AB$1006:AB1006),$AB$1006:$AQ$1006,0))&gt;=100000), " ",IF(INDEX($AB$2:$AQ$1001,MATCH(ROWS($U$2:U162),$U$2:$U$1001,0),MATCH(COLUMNS($AB$1006:AB1006),$AB$1006:$AQ$1006,0)), HYPERLINK("#",""), HYPERLINK(CONCATENATE("#Metadata!", ADDRESS(INDEX($W$2:$W$1001,MATCH(ROWS($U$2:U162),$U$2:$U$1001,0),0), INDEX($AB$1004:$AQ$1004,1,MATCH(COLUMNS($AB$1006:AB1006),$AB$1006:$AQ$1006,0)))),"Fix")))</f>
        <v>0</v>
      </c>
      <c r="C162" s="5">
        <f>IF(OR(INDEX($V$2:$V$1001,MATCH(ROWS($U$2:U162),$U$2:$U$1001,0),1)&gt;=100000,INDEX($AB$1005:$AQ$1005,1,MATCH(COLUMNS($AB$1006:AC1006),$AB$1006:$AQ$1006,0))&gt;=100000), " ",IF(INDEX($AB$2:$AQ$1001,MATCH(ROWS($U$2:U162),$U$2:$U$1001,0),MATCH(COLUMNS($AB$1006:AC1006),$AB$1006:$AQ$1006,0)), HYPERLINK("#",""), HYPERLINK(CONCATENATE("#Metadata!", ADDRESS(INDEX($W$2:$W$1001,MATCH(ROWS($U$2:U162),$U$2:$U$1001,0),0), INDEX($AB$1004:$AQ$1004,1,MATCH(COLUMNS($AB$1006:AC1006),$AB$1006:$AQ$1006,0)))),"Fix")))</f>
        <v>0</v>
      </c>
      <c r="D162" s="5">
        <f>IF(OR(INDEX($V$2:$V$1001,MATCH(ROWS($U$2:U162),$U$2:$U$1001,0),1)&gt;=100000,INDEX($AB$1005:$AQ$1005,1,MATCH(COLUMNS($AB$1006:AD1006),$AB$1006:$AQ$1006,0))&gt;=100000), " ",IF(INDEX($AB$2:$AQ$1001,MATCH(ROWS($U$2:U162),$U$2:$U$1001,0),MATCH(COLUMNS($AB$1006:AD1006),$AB$1006:$AQ$1006,0)), HYPERLINK("#",""), HYPERLINK(CONCATENATE("#Metadata!", ADDRESS(INDEX($W$2:$W$1001,MATCH(ROWS($U$2:U162),$U$2:$U$1001,0),0), INDEX($AB$1004:$AQ$1004,1,MATCH(COLUMNS($AB$1006:AD1006),$AB$1006:$AQ$1006,0)))),"Fix")))</f>
        <v>0</v>
      </c>
      <c r="E162" s="5">
        <f>IF(OR(INDEX($V$2:$V$1001,MATCH(ROWS($U$2:U162),$U$2:$U$1001,0),1)&gt;=100000,INDEX($AB$1005:$AQ$1005,1,MATCH(COLUMNS($AB$1006:AE1006),$AB$1006:$AQ$1006,0))&gt;=100000), " ",IF(INDEX($AB$2:$AQ$1001,MATCH(ROWS($U$2:U162),$U$2:$U$1001,0),MATCH(COLUMNS($AB$1006:AE1006),$AB$1006:$AQ$1006,0)), HYPERLINK("#",""), HYPERLINK(CONCATENATE("#Metadata!", ADDRESS(INDEX($W$2:$W$1001,MATCH(ROWS($U$2:U162),$U$2:$U$1001,0),0), INDEX($AB$1004:$AQ$1004,1,MATCH(COLUMNS($AB$1006:AE1006),$AB$1006:$AQ$1006,0)))),"Fix")))</f>
        <v>0</v>
      </c>
      <c r="F162" s="5">
        <f>IF(OR(INDEX($V$2:$V$1001,MATCH(ROWS($U$2:U162),$U$2:$U$1001,0),1)&gt;=100000,INDEX($AB$1005:$AQ$1005,1,MATCH(COLUMNS($AB$1006:AF1006),$AB$1006:$AQ$1006,0))&gt;=100000), " ",IF(INDEX($AB$2:$AQ$1001,MATCH(ROWS($U$2:U162),$U$2:$U$1001,0),MATCH(COLUMNS($AB$1006:AF1006),$AB$1006:$AQ$1006,0)), HYPERLINK("#",""), HYPERLINK(CONCATENATE("#Metadata!", ADDRESS(INDEX($W$2:$W$1001,MATCH(ROWS($U$2:U162),$U$2:$U$1001,0),0), INDEX($AB$1004:$AQ$1004,1,MATCH(COLUMNS($AB$1006:AF1006),$AB$1006:$AQ$1006,0)))),"Fix")))</f>
        <v>0</v>
      </c>
      <c r="G162" s="5">
        <f>IF(OR(INDEX($V$2:$V$1001,MATCH(ROWS($U$2:U162),$U$2:$U$1001,0),1)&gt;=100000,INDEX($AB$1005:$AQ$1005,1,MATCH(COLUMNS($AB$1006:AG1006),$AB$1006:$AQ$1006,0))&gt;=100000), " ",IF(INDEX($AB$2:$AQ$1001,MATCH(ROWS($U$2:U162),$U$2:$U$1001,0),MATCH(COLUMNS($AB$1006:AG1006),$AB$1006:$AQ$1006,0)), HYPERLINK("#",""), HYPERLINK(CONCATENATE("#Metadata!", ADDRESS(INDEX($W$2:$W$1001,MATCH(ROWS($U$2:U162),$U$2:$U$1001,0),0), INDEX($AB$1004:$AQ$1004,1,MATCH(COLUMNS($AB$1006:AG1006),$AB$1006:$AQ$1006,0)))),"Fix")))</f>
        <v>0</v>
      </c>
      <c r="H162" s="5">
        <f>IF(OR(INDEX($V$2:$V$1001,MATCH(ROWS($U$2:U162),$U$2:$U$1001,0),1)&gt;=100000,INDEX($AB$1005:$AQ$1005,1,MATCH(COLUMNS($AB$1006:AH1006),$AB$1006:$AQ$1006,0))&gt;=100000), " ",IF(INDEX($AB$2:$AQ$1001,MATCH(ROWS($U$2:U162),$U$2:$U$1001,0),MATCH(COLUMNS($AB$1006:AH1006),$AB$1006:$AQ$1006,0)), HYPERLINK("#",""), HYPERLINK(CONCATENATE("#Metadata!", ADDRESS(INDEX($W$2:$W$1001,MATCH(ROWS($U$2:U162),$U$2:$U$1001,0),0), INDEX($AB$1004:$AQ$1004,1,MATCH(COLUMNS($AB$1006:AH1006),$AB$1006:$AQ$1006,0)))),"Fix")))</f>
        <v>0</v>
      </c>
      <c r="I162" s="5">
        <f>IF(OR(INDEX($V$2:$V$1001,MATCH(ROWS($U$2:U162),$U$2:$U$1001,0),1)&gt;=100000,INDEX($AB$1005:$AQ$1005,1,MATCH(COLUMNS($AB$1006:AI1006),$AB$1006:$AQ$1006,0))&gt;=100000), " ",IF(INDEX($AB$2:$AQ$1001,MATCH(ROWS($U$2:U162),$U$2:$U$1001,0),MATCH(COLUMNS($AB$1006:AI1006),$AB$1006:$AQ$1006,0)), HYPERLINK("#",""), HYPERLINK(CONCATENATE("#Metadata!", ADDRESS(INDEX($W$2:$W$1001,MATCH(ROWS($U$2:U162),$U$2:$U$1001,0),0), INDEX($AB$1004:$AQ$1004,1,MATCH(COLUMNS($AB$1006:AI1006),$AB$1006:$AQ$1006,0)))),"Fix")))</f>
        <v>0</v>
      </c>
      <c r="J162" s="5">
        <f>IF(OR(INDEX($V$2:$V$1001,MATCH(ROWS($U$2:U162),$U$2:$U$1001,0),1)&gt;=100000,INDEX($AB$1005:$AQ$1005,1,MATCH(COLUMNS($AB$1006:AJ1006),$AB$1006:$AQ$1006,0))&gt;=100000), " ",IF(INDEX($AB$2:$AQ$1001,MATCH(ROWS($U$2:U162),$U$2:$U$1001,0),MATCH(COLUMNS($AB$1006:AJ1006),$AB$1006:$AQ$1006,0)), HYPERLINK("#",""), HYPERLINK(CONCATENATE("#Metadata!", ADDRESS(INDEX($W$2:$W$1001,MATCH(ROWS($U$2:U162),$U$2:$U$1001,0),0), INDEX($AB$1004:$AQ$1004,1,MATCH(COLUMNS($AB$1006:AJ1006),$AB$1006:$AQ$1006,0)))),"Fix")))</f>
        <v>0</v>
      </c>
      <c r="K162" s="5">
        <f>IF(OR(INDEX($V$2:$V$1001,MATCH(ROWS($U$2:U162),$U$2:$U$1001,0),1)&gt;=100000,INDEX($AB$1005:$AQ$1005,1,MATCH(COLUMNS($AB$1006:AK1006),$AB$1006:$AQ$1006,0))&gt;=100000), " ",IF(INDEX($AB$2:$AQ$1001,MATCH(ROWS($U$2:U162),$U$2:$U$1001,0),MATCH(COLUMNS($AB$1006:AK1006),$AB$1006:$AQ$1006,0)), HYPERLINK("#",""), HYPERLINK(CONCATENATE("#Metadata!", ADDRESS(INDEX($W$2:$W$1001,MATCH(ROWS($U$2:U162),$U$2:$U$1001,0),0), INDEX($AB$1004:$AQ$1004,1,MATCH(COLUMNS($AB$1006:AK1006),$AB$1006:$AQ$1006,0)))),"Fix")))</f>
        <v>0</v>
      </c>
      <c r="L162" s="5">
        <f>IF(OR(INDEX($V$2:$V$1001,MATCH(ROWS($U$2:U162),$U$2:$U$1001,0),1)&gt;=100000,INDEX($AB$1005:$AQ$1005,1,MATCH(COLUMNS($AB$1006:AL1006),$AB$1006:$AQ$1006,0))&gt;=100000), " ",IF(INDEX($AB$2:$AQ$1001,MATCH(ROWS($U$2:U162),$U$2:$U$1001,0),MATCH(COLUMNS($AB$1006:AL1006),$AB$1006:$AQ$1006,0)), HYPERLINK("#",""), HYPERLINK(CONCATENATE("#Metadata!", ADDRESS(INDEX($W$2:$W$1001,MATCH(ROWS($U$2:U162),$U$2:$U$1001,0),0), INDEX($AB$1004:$AQ$1004,1,MATCH(COLUMNS($AB$1006:AL1006),$AB$1006:$AQ$1006,0)))),"Fix")))</f>
        <v>0</v>
      </c>
      <c r="M162" s="5">
        <f>IF(OR(INDEX($V$2:$V$1001,MATCH(ROWS($U$2:U162),$U$2:$U$1001,0),1)&gt;=100000,INDEX($AB$1005:$AQ$1005,1,MATCH(COLUMNS($AB$1006:AM1006),$AB$1006:$AQ$1006,0))&gt;=100000), " ",IF(INDEX($AB$2:$AQ$1001,MATCH(ROWS($U$2:U162),$U$2:$U$1001,0),MATCH(COLUMNS($AB$1006:AM1006),$AB$1006:$AQ$1006,0)), HYPERLINK("#",""), HYPERLINK(CONCATENATE("#Metadata!", ADDRESS(INDEX($W$2:$W$1001,MATCH(ROWS($U$2:U162),$U$2:$U$1001,0),0), INDEX($AB$1004:$AQ$1004,1,MATCH(COLUMNS($AB$1006:AM1006),$AB$1006:$AQ$1006,0)))),"Fix")))</f>
        <v>0</v>
      </c>
      <c r="N162" s="5">
        <f>IF(OR(INDEX($V$2:$V$1001,MATCH(ROWS($U$2:U162),$U$2:$U$1001,0),1)&gt;=100000,INDEX($AB$1005:$AQ$1005,1,MATCH(COLUMNS($AB$1006:AN1006),$AB$1006:$AQ$1006,0))&gt;=100000), " ",IF(INDEX($AB$2:$AQ$1001,MATCH(ROWS($U$2:U162),$U$2:$U$1001,0),MATCH(COLUMNS($AB$1006:AN1006),$AB$1006:$AQ$1006,0)), HYPERLINK("#",""), HYPERLINK(CONCATENATE("#Metadata!", ADDRESS(INDEX($W$2:$W$1001,MATCH(ROWS($U$2:U162),$U$2:$U$1001,0),0), INDEX($AB$1004:$AQ$1004,1,MATCH(COLUMNS($AB$1006:AN1006),$AB$1006:$AQ$1006,0)))),"Fix")))</f>
        <v>0</v>
      </c>
      <c r="O162" s="5">
        <f>IF(OR(INDEX($V$2:$V$1001,MATCH(ROWS($U$2:U162),$U$2:$U$1001,0),1)&gt;=100000,INDEX($AB$1005:$AQ$1005,1,MATCH(COLUMNS($AB$1006:AO1006),$AB$1006:$AQ$1006,0))&gt;=100000), " ",IF(INDEX($AB$2:$AQ$1001,MATCH(ROWS($U$2:U162),$U$2:$U$1001,0),MATCH(COLUMNS($AB$1006:AO1006),$AB$1006:$AQ$1006,0)), HYPERLINK("#",""), HYPERLINK(CONCATENATE("#Metadata!", ADDRESS(INDEX($W$2:$W$1001,MATCH(ROWS($U$2:U162),$U$2:$U$1001,0),0), INDEX($AB$1004:$AQ$1004,1,MATCH(COLUMNS($AB$1006:AO1006),$AB$1006:$AQ$1006,0)))),"Fix")))</f>
        <v>0</v>
      </c>
      <c r="P162" s="5">
        <f>IF(OR(INDEX($V$2:$V$1001,MATCH(ROWS($U$2:U162),$U$2:$U$1001,0),1)&gt;=100000,INDEX($AB$1005:$AQ$1005,1,MATCH(COLUMNS($AB$1006:AP1006),$AB$1006:$AQ$1006,0))&gt;=100000), " ",IF(INDEX($AB$2:$AQ$1001,MATCH(ROWS($U$2:U162),$U$2:$U$1001,0),MATCH(COLUMNS($AB$1006:AP1006),$AB$1006:$AQ$1006,0)), HYPERLINK("#",""), HYPERLINK(CONCATENATE("#Metadata!", ADDRESS(INDEX($W$2:$W$1001,MATCH(ROWS($U$2:U162),$U$2:$U$1001,0),0), INDEX($AB$1004:$AQ$1004,1,MATCH(COLUMNS($AB$1006:AP1006),$AB$1006:$AQ$1006,0)))),"Fix")))</f>
        <v>0</v>
      </c>
      <c r="Q162" s="5">
        <f>IF(OR(INDEX($V$2:$V$1001,MATCH(ROWS($U$2:U162),$U$2:$U$1001,0),1)&gt;=100000,INDEX($AB$1005:$AQ$1005,1,MATCH(COLUMNS($AB$1006:AQ1006),$AB$1006:$AQ$1006,0))&gt;=100000), " ",IF(INDEX($AB$2:$AQ$1001,MATCH(ROWS($U$2:U162),$U$2:$U$1001,0),MATCH(COLUMNS($AB$1006:AQ1006),$AB$1006:$AQ$1006,0)), HYPERLINK("#",""), HYPERLINK(CONCATENATE("#Metadata!", ADDRESS(INDEX($W$2:$W$1001,MATCH(ROWS($U$2:U162),$U$2:$U$1001,0),0), INDEX($AB$1004:$AQ$1004,1,MATCH(COLUMNS($AB$1006:AQ1006),$AB$1006:$AQ$1006,0)))),"Fix")))</f>
        <v>0</v>
      </c>
      <c r="U162">
        <v>0</v>
      </c>
      <c r="V162">
        <v>0</v>
      </c>
      <c r="W162">
        <v>0</v>
      </c>
      <c r="X162">
        <f>IF(Y162,TRUE,AND(AB162:AQ162))</f>
        <v>0</v>
      </c>
      <c r="Y162">
        <f>COUNTBLANK(Metadata!B162:Q162)=COLUMNS(Metadata!B162:Q162)</f>
        <v>0</v>
      </c>
      <c r="Z162">
        <v>0</v>
      </c>
      <c r="AB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AC162">
        <f>AND(IF(Metadata!C162="",FALSE,TRUE),exact(Metadata!C162,"urban biome"))</f>
        <v>0</v>
      </c>
      <c r="AD162">
        <f>AND(IF(Metadata!D162="",FALSE,TRUE),exact(Metadata!D162,"human-associated habitat"))</f>
        <v>0</v>
      </c>
      <c r="AE162">
        <f>AND(IF(Metadata!E162="",FALSE,TRUE),OR(exact(Metadata!E162,"human-associated"),exact(Metadata!E162,"human-skin"),exact(Metadata!E162,"human-oral"),exact(Metadata!E162,"human-gut"),exact(Metadata!E162,"human-vaginal")))</f>
        <v>0</v>
      </c>
      <c r="AF162">
        <f>AND(IF(Metadata!F162="",FALSE,ISNUMBER(VALUE(Metadata!F162))),Metadata!F162&gt;0)</f>
        <v>0</v>
      </c>
      <c r="AG162">
        <f>AND(IF(Metadata!G162="",FALSE,TRUE),exact(Metadata!G162,"years"))</f>
        <v>0</v>
      </c>
      <c r="AH162">
        <f>OR(AND(IF(Metadata!H162="",FALSE,TRUE),OR(exact(Metadata!H162,"not applicable"),exact(Metadata!H162,"not collected"),exact(Metadata!H162,"not provided"),exact(Metadata!H162,"restricted access"))),AND(IF(Metadata!H162="",FALSE,ISNUMBER(VALUE(Metadata!H162))),Metadata!H162&gt;0))</f>
        <v>0</v>
      </c>
      <c r="AI162">
        <f>AND(IF(Metadata!I162="",FALSE,TRUE),exact(Metadata!I162,"human"))</f>
        <v>0</v>
      </c>
      <c r="AJ162">
        <f>AND(IF(Metadata!J162="",FALSE,ISNUMBER(VALUE(Metadata!J162))),Metadata!J162&gt;0)</f>
        <v>0</v>
      </c>
      <c r="AK162">
        <f>AND(IF(Metadata!K162="",FALSE,TRUE),exact(Metadata!K162,"cm"))</f>
        <v>0</v>
      </c>
      <c r="AL162">
        <f>AND(IF(Metadata!L162="",FALSE,TRUE),exact(Metadata!L162,"Homo sapiens"))</f>
        <v>0</v>
      </c>
      <c r="AM162">
        <f>AND(IF(Metadata!M162="",FALSE,TRUE),exact(Metadata!M162,"9606"))</f>
        <v>0</v>
      </c>
      <c r="AN162">
        <f>AND(IF(Metadata!N162="",FALSE,ISNUMBER(VALUE(Metadata!N162))),Metadata!N162&gt;0)</f>
        <v>0</v>
      </c>
      <c r="AO162">
        <f>AND(IF(Metadata!O162="",FALSE,TRUE),exact(Metadata!O162,"kg"))</f>
        <v>0</v>
      </c>
      <c r="AP162">
        <f>OR(AND(IF(Metadata!P162="",FALSE,TRUE),exact(Metadata!P162,"not provided")),IF(Metadata!P162="",FALSE,TRUE))</f>
        <v>0</v>
      </c>
      <c r="AQ162">
        <f>OR(AND(IF(Metadata!Q162="",FALSE,TRUE),exact(Metadata!Q162,"not provided")),IF(Metadata!Q162="",FALSE,TRUE))</f>
        <v>0</v>
      </c>
    </row>
    <row r="163" spans="1:43">
      <c r="A163" s="4">
        <f>IF(B163=" "," ",HYPERLINK(CONCATENATE("#metadata!",ADDRESS(INDEX($W$2:$W$1001,MATCH(ROWS($U$2:U163),$U$2:$U$1001,0),0),2)),INDEX($Z$2:$Z$1001,MATCH(ROWS($U$2:U163),$U$2:$U$1001,0),0)))</f>
        <v>0</v>
      </c>
      <c r="B163" s="5">
        <f>IF(OR(INDEX($V$2:$V$1001,MATCH(ROWS($U$2:U163),$U$2:$U$1001,0),1)&gt;=100000,INDEX($AB$1005:$AQ$1005,1,MATCH(COLUMNS($AB$1006:AB1006),$AB$1006:$AQ$1006,0))&gt;=100000), " ",IF(INDEX($AB$2:$AQ$1001,MATCH(ROWS($U$2:U163),$U$2:$U$1001,0),MATCH(COLUMNS($AB$1006:AB1006),$AB$1006:$AQ$1006,0)), HYPERLINK("#",""), HYPERLINK(CONCATENATE("#Metadata!", ADDRESS(INDEX($W$2:$W$1001,MATCH(ROWS($U$2:U163),$U$2:$U$1001,0),0), INDEX($AB$1004:$AQ$1004,1,MATCH(COLUMNS($AB$1006:AB1006),$AB$1006:$AQ$1006,0)))),"Fix")))</f>
        <v>0</v>
      </c>
      <c r="C163" s="5">
        <f>IF(OR(INDEX($V$2:$V$1001,MATCH(ROWS($U$2:U163),$U$2:$U$1001,0),1)&gt;=100000,INDEX($AB$1005:$AQ$1005,1,MATCH(COLUMNS($AB$1006:AC1006),$AB$1006:$AQ$1006,0))&gt;=100000), " ",IF(INDEX($AB$2:$AQ$1001,MATCH(ROWS($U$2:U163),$U$2:$U$1001,0),MATCH(COLUMNS($AB$1006:AC1006),$AB$1006:$AQ$1006,0)), HYPERLINK("#",""), HYPERLINK(CONCATENATE("#Metadata!", ADDRESS(INDEX($W$2:$W$1001,MATCH(ROWS($U$2:U163),$U$2:$U$1001,0),0), INDEX($AB$1004:$AQ$1004,1,MATCH(COLUMNS($AB$1006:AC1006),$AB$1006:$AQ$1006,0)))),"Fix")))</f>
        <v>0</v>
      </c>
      <c r="D163" s="5">
        <f>IF(OR(INDEX($V$2:$V$1001,MATCH(ROWS($U$2:U163),$U$2:$U$1001,0),1)&gt;=100000,INDEX($AB$1005:$AQ$1005,1,MATCH(COLUMNS($AB$1006:AD1006),$AB$1006:$AQ$1006,0))&gt;=100000), " ",IF(INDEX($AB$2:$AQ$1001,MATCH(ROWS($U$2:U163),$U$2:$U$1001,0),MATCH(COLUMNS($AB$1006:AD1006),$AB$1006:$AQ$1006,0)), HYPERLINK("#",""), HYPERLINK(CONCATENATE("#Metadata!", ADDRESS(INDEX($W$2:$W$1001,MATCH(ROWS($U$2:U163),$U$2:$U$1001,0),0), INDEX($AB$1004:$AQ$1004,1,MATCH(COLUMNS($AB$1006:AD1006),$AB$1006:$AQ$1006,0)))),"Fix")))</f>
        <v>0</v>
      </c>
      <c r="E163" s="5">
        <f>IF(OR(INDEX($V$2:$V$1001,MATCH(ROWS($U$2:U163),$U$2:$U$1001,0),1)&gt;=100000,INDEX($AB$1005:$AQ$1005,1,MATCH(COLUMNS($AB$1006:AE1006),$AB$1006:$AQ$1006,0))&gt;=100000), " ",IF(INDEX($AB$2:$AQ$1001,MATCH(ROWS($U$2:U163),$U$2:$U$1001,0),MATCH(COLUMNS($AB$1006:AE1006),$AB$1006:$AQ$1006,0)), HYPERLINK("#",""), HYPERLINK(CONCATENATE("#Metadata!", ADDRESS(INDEX($W$2:$W$1001,MATCH(ROWS($U$2:U163),$U$2:$U$1001,0),0), INDEX($AB$1004:$AQ$1004,1,MATCH(COLUMNS($AB$1006:AE1006),$AB$1006:$AQ$1006,0)))),"Fix")))</f>
        <v>0</v>
      </c>
      <c r="F163" s="5">
        <f>IF(OR(INDEX($V$2:$V$1001,MATCH(ROWS($U$2:U163),$U$2:$U$1001,0),1)&gt;=100000,INDEX($AB$1005:$AQ$1005,1,MATCH(COLUMNS($AB$1006:AF1006),$AB$1006:$AQ$1006,0))&gt;=100000), " ",IF(INDEX($AB$2:$AQ$1001,MATCH(ROWS($U$2:U163),$U$2:$U$1001,0),MATCH(COLUMNS($AB$1006:AF1006),$AB$1006:$AQ$1006,0)), HYPERLINK("#",""), HYPERLINK(CONCATENATE("#Metadata!", ADDRESS(INDEX($W$2:$W$1001,MATCH(ROWS($U$2:U163),$U$2:$U$1001,0),0), INDEX($AB$1004:$AQ$1004,1,MATCH(COLUMNS($AB$1006:AF1006),$AB$1006:$AQ$1006,0)))),"Fix")))</f>
        <v>0</v>
      </c>
      <c r="G163" s="5">
        <f>IF(OR(INDEX($V$2:$V$1001,MATCH(ROWS($U$2:U163),$U$2:$U$1001,0),1)&gt;=100000,INDEX($AB$1005:$AQ$1005,1,MATCH(COLUMNS($AB$1006:AG1006),$AB$1006:$AQ$1006,0))&gt;=100000), " ",IF(INDEX($AB$2:$AQ$1001,MATCH(ROWS($U$2:U163),$U$2:$U$1001,0),MATCH(COLUMNS($AB$1006:AG1006),$AB$1006:$AQ$1006,0)), HYPERLINK("#",""), HYPERLINK(CONCATENATE("#Metadata!", ADDRESS(INDEX($W$2:$W$1001,MATCH(ROWS($U$2:U163),$U$2:$U$1001,0),0), INDEX($AB$1004:$AQ$1004,1,MATCH(COLUMNS($AB$1006:AG1006),$AB$1006:$AQ$1006,0)))),"Fix")))</f>
        <v>0</v>
      </c>
      <c r="H163" s="5">
        <f>IF(OR(INDEX($V$2:$V$1001,MATCH(ROWS($U$2:U163),$U$2:$U$1001,0),1)&gt;=100000,INDEX($AB$1005:$AQ$1005,1,MATCH(COLUMNS($AB$1006:AH1006),$AB$1006:$AQ$1006,0))&gt;=100000), " ",IF(INDEX($AB$2:$AQ$1001,MATCH(ROWS($U$2:U163),$U$2:$U$1001,0),MATCH(COLUMNS($AB$1006:AH1006),$AB$1006:$AQ$1006,0)), HYPERLINK("#",""), HYPERLINK(CONCATENATE("#Metadata!", ADDRESS(INDEX($W$2:$W$1001,MATCH(ROWS($U$2:U163),$U$2:$U$1001,0),0), INDEX($AB$1004:$AQ$1004,1,MATCH(COLUMNS($AB$1006:AH1006),$AB$1006:$AQ$1006,0)))),"Fix")))</f>
        <v>0</v>
      </c>
      <c r="I163" s="5">
        <f>IF(OR(INDEX($V$2:$V$1001,MATCH(ROWS($U$2:U163),$U$2:$U$1001,0),1)&gt;=100000,INDEX($AB$1005:$AQ$1005,1,MATCH(COLUMNS($AB$1006:AI1006),$AB$1006:$AQ$1006,0))&gt;=100000), " ",IF(INDEX($AB$2:$AQ$1001,MATCH(ROWS($U$2:U163),$U$2:$U$1001,0),MATCH(COLUMNS($AB$1006:AI1006),$AB$1006:$AQ$1006,0)), HYPERLINK("#",""), HYPERLINK(CONCATENATE("#Metadata!", ADDRESS(INDEX($W$2:$W$1001,MATCH(ROWS($U$2:U163),$U$2:$U$1001,0),0), INDEX($AB$1004:$AQ$1004,1,MATCH(COLUMNS($AB$1006:AI1006),$AB$1006:$AQ$1006,0)))),"Fix")))</f>
        <v>0</v>
      </c>
      <c r="J163" s="5">
        <f>IF(OR(INDEX($V$2:$V$1001,MATCH(ROWS($U$2:U163),$U$2:$U$1001,0),1)&gt;=100000,INDEX($AB$1005:$AQ$1005,1,MATCH(COLUMNS($AB$1006:AJ1006),$AB$1006:$AQ$1006,0))&gt;=100000), " ",IF(INDEX($AB$2:$AQ$1001,MATCH(ROWS($U$2:U163),$U$2:$U$1001,0),MATCH(COLUMNS($AB$1006:AJ1006),$AB$1006:$AQ$1006,0)), HYPERLINK("#",""), HYPERLINK(CONCATENATE("#Metadata!", ADDRESS(INDEX($W$2:$W$1001,MATCH(ROWS($U$2:U163),$U$2:$U$1001,0),0), INDEX($AB$1004:$AQ$1004,1,MATCH(COLUMNS($AB$1006:AJ1006),$AB$1006:$AQ$1006,0)))),"Fix")))</f>
        <v>0</v>
      </c>
      <c r="K163" s="5">
        <f>IF(OR(INDEX($V$2:$V$1001,MATCH(ROWS($U$2:U163),$U$2:$U$1001,0),1)&gt;=100000,INDEX($AB$1005:$AQ$1005,1,MATCH(COLUMNS($AB$1006:AK1006),$AB$1006:$AQ$1006,0))&gt;=100000), " ",IF(INDEX($AB$2:$AQ$1001,MATCH(ROWS($U$2:U163),$U$2:$U$1001,0),MATCH(COLUMNS($AB$1006:AK1006),$AB$1006:$AQ$1006,0)), HYPERLINK("#",""), HYPERLINK(CONCATENATE("#Metadata!", ADDRESS(INDEX($W$2:$W$1001,MATCH(ROWS($U$2:U163),$U$2:$U$1001,0),0), INDEX($AB$1004:$AQ$1004,1,MATCH(COLUMNS($AB$1006:AK1006),$AB$1006:$AQ$1006,0)))),"Fix")))</f>
        <v>0</v>
      </c>
      <c r="L163" s="5">
        <f>IF(OR(INDEX($V$2:$V$1001,MATCH(ROWS($U$2:U163),$U$2:$U$1001,0),1)&gt;=100000,INDEX($AB$1005:$AQ$1005,1,MATCH(COLUMNS($AB$1006:AL1006),$AB$1006:$AQ$1006,0))&gt;=100000), " ",IF(INDEX($AB$2:$AQ$1001,MATCH(ROWS($U$2:U163),$U$2:$U$1001,0),MATCH(COLUMNS($AB$1006:AL1006),$AB$1006:$AQ$1006,0)), HYPERLINK("#",""), HYPERLINK(CONCATENATE("#Metadata!", ADDRESS(INDEX($W$2:$W$1001,MATCH(ROWS($U$2:U163),$U$2:$U$1001,0),0), INDEX($AB$1004:$AQ$1004,1,MATCH(COLUMNS($AB$1006:AL1006),$AB$1006:$AQ$1006,0)))),"Fix")))</f>
        <v>0</v>
      </c>
      <c r="M163" s="5">
        <f>IF(OR(INDEX($V$2:$V$1001,MATCH(ROWS($U$2:U163),$U$2:$U$1001,0),1)&gt;=100000,INDEX($AB$1005:$AQ$1005,1,MATCH(COLUMNS($AB$1006:AM1006),$AB$1006:$AQ$1006,0))&gt;=100000), " ",IF(INDEX($AB$2:$AQ$1001,MATCH(ROWS($U$2:U163),$U$2:$U$1001,0),MATCH(COLUMNS($AB$1006:AM1006),$AB$1006:$AQ$1006,0)), HYPERLINK("#",""), HYPERLINK(CONCATENATE("#Metadata!", ADDRESS(INDEX($W$2:$W$1001,MATCH(ROWS($U$2:U163),$U$2:$U$1001,0),0), INDEX($AB$1004:$AQ$1004,1,MATCH(COLUMNS($AB$1006:AM1006),$AB$1006:$AQ$1006,0)))),"Fix")))</f>
        <v>0</v>
      </c>
      <c r="N163" s="5">
        <f>IF(OR(INDEX($V$2:$V$1001,MATCH(ROWS($U$2:U163),$U$2:$U$1001,0),1)&gt;=100000,INDEX($AB$1005:$AQ$1005,1,MATCH(COLUMNS($AB$1006:AN1006),$AB$1006:$AQ$1006,0))&gt;=100000), " ",IF(INDEX($AB$2:$AQ$1001,MATCH(ROWS($U$2:U163),$U$2:$U$1001,0),MATCH(COLUMNS($AB$1006:AN1006),$AB$1006:$AQ$1006,0)), HYPERLINK("#",""), HYPERLINK(CONCATENATE("#Metadata!", ADDRESS(INDEX($W$2:$W$1001,MATCH(ROWS($U$2:U163),$U$2:$U$1001,0),0), INDEX($AB$1004:$AQ$1004,1,MATCH(COLUMNS($AB$1006:AN1006),$AB$1006:$AQ$1006,0)))),"Fix")))</f>
        <v>0</v>
      </c>
      <c r="O163" s="5">
        <f>IF(OR(INDEX($V$2:$V$1001,MATCH(ROWS($U$2:U163),$U$2:$U$1001,0),1)&gt;=100000,INDEX($AB$1005:$AQ$1005,1,MATCH(COLUMNS($AB$1006:AO1006),$AB$1006:$AQ$1006,0))&gt;=100000), " ",IF(INDEX($AB$2:$AQ$1001,MATCH(ROWS($U$2:U163),$U$2:$U$1001,0),MATCH(COLUMNS($AB$1006:AO1006),$AB$1006:$AQ$1006,0)), HYPERLINK("#",""), HYPERLINK(CONCATENATE("#Metadata!", ADDRESS(INDEX($W$2:$W$1001,MATCH(ROWS($U$2:U163),$U$2:$U$1001,0),0), INDEX($AB$1004:$AQ$1004,1,MATCH(COLUMNS($AB$1006:AO1006),$AB$1006:$AQ$1006,0)))),"Fix")))</f>
        <v>0</v>
      </c>
      <c r="P163" s="5">
        <f>IF(OR(INDEX($V$2:$V$1001,MATCH(ROWS($U$2:U163),$U$2:$U$1001,0),1)&gt;=100000,INDEX($AB$1005:$AQ$1005,1,MATCH(COLUMNS($AB$1006:AP1006),$AB$1006:$AQ$1006,0))&gt;=100000), " ",IF(INDEX($AB$2:$AQ$1001,MATCH(ROWS($U$2:U163),$U$2:$U$1001,0),MATCH(COLUMNS($AB$1006:AP1006),$AB$1006:$AQ$1006,0)), HYPERLINK("#",""), HYPERLINK(CONCATENATE("#Metadata!", ADDRESS(INDEX($W$2:$W$1001,MATCH(ROWS($U$2:U163),$U$2:$U$1001,0),0), INDEX($AB$1004:$AQ$1004,1,MATCH(COLUMNS($AB$1006:AP1006),$AB$1006:$AQ$1006,0)))),"Fix")))</f>
        <v>0</v>
      </c>
      <c r="Q163" s="5">
        <f>IF(OR(INDEX($V$2:$V$1001,MATCH(ROWS($U$2:U163),$U$2:$U$1001,0),1)&gt;=100000,INDEX($AB$1005:$AQ$1005,1,MATCH(COLUMNS($AB$1006:AQ1006),$AB$1006:$AQ$1006,0))&gt;=100000), " ",IF(INDEX($AB$2:$AQ$1001,MATCH(ROWS($U$2:U163),$U$2:$U$1001,0),MATCH(COLUMNS($AB$1006:AQ1006),$AB$1006:$AQ$1006,0)), HYPERLINK("#",""), HYPERLINK(CONCATENATE("#Metadata!", ADDRESS(INDEX($W$2:$W$1001,MATCH(ROWS($U$2:U163),$U$2:$U$1001,0),0), INDEX($AB$1004:$AQ$1004,1,MATCH(COLUMNS($AB$1006:AQ1006),$AB$1006:$AQ$1006,0)))),"Fix")))</f>
        <v>0</v>
      </c>
      <c r="U163">
        <v>0</v>
      </c>
      <c r="V163">
        <v>0</v>
      </c>
      <c r="W163">
        <v>0</v>
      </c>
      <c r="X163">
        <f>IF(Y163,TRUE,AND(AB163:AQ163))</f>
        <v>0</v>
      </c>
      <c r="Y163">
        <f>COUNTBLANK(Metadata!B163:Q163)=COLUMNS(Metadata!B163:Q163)</f>
        <v>0</v>
      </c>
      <c r="Z163">
        <v>0</v>
      </c>
      <c r="AB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AC163">
        <f>AND(IF(Metadata!C163="",FALSE,TRUE),exact(Metadata!C163,"urban biome"))</f>
        <v>0</v>
      </c>
      <c r="AD163">
        <f>AND(IF(Metadata!D163="",FALSE,TRUE),exact(Metadata!D163,"human-associated habitat"))</f>
        <v>0</v>
      </c>
      <c r="AE163">
        <f>AND(IF(Metadata!E163="",FALSE,TRUE),OR(exact(Metadata!E163,"human-associated"),exact(Metadata!E163,"human-skin"),exact(Metadata!E163,"human-oral"),exact(Metadata!E163,"human-gut"),exact(Metadata!E163,"human-vaginal")))</f>
        <v>0</v>
      </c>
      <c r="AF163">
        <f>AND(IF(Metadata!F163="",FALSE,ISNUMBER(VALUE(Metadata!F163))),Metadata!F163&gt;0)</f>
        <v>0</v>
      </c>
      <c r="AG163">
        <f>AND(IF(Metadata!G163="",FALSE,TRUE),exact(Metadata!G163,"years"))</f>
        <v>0</v>
      </c>
      <c r="AH163">
        <f>OR(AND(IF(Metadata!H163="",FALSE,TRUE),OR(exact(Metadata!H163,"not applicable"),exact(Metadata!H163,"not collected"),exact(Metadata!H163,"not provided"),exact(Metadata!H163,"restricted access"))),AND(IF(Metadata!H163="",FALSE,ISNUMBER(VALUE(Metadata!H163))),Metadata!H163&gt;0))</f>
        <v>0</v>
      </c>
      <c r="AI163">
        <f>AND(IF(Metadata!I163="",FALSE,TRUE),exact(Metadata!I163,"human"))</f>
        <v>0</v>
      </c>
      <c r="AJ163">
        <f>AND(IF(Metadata!J163="",FALSE,ISNUMBER(VALUE(Metadata!J163))),Metadata!J163&gt;0)</f>
        <v>0</v>
      </c>
      <c r="AK163">
        <f>AND(IF(Metadata!K163="",FALSE,TRUE),exact(Metadata!K163,"cm"))</f>
        <v>0</v>
      </c>
      <c r="AL163">
        <f>AND(IF(Metadata!L163="",FALSE,TRUE),exact(Metadata!L163,"Homo sapiens"))</f>
        <v>0</v>
      </c>
      <c r="AM163">
        <f>AND(IF(Metadata!M163="",FALSE,TRUE),exact(Metadata!M163,"9606"))</f>
        <v>0</v>
      </c>
      <c r="AN163">
        <f>AND(IF(Metadata!N163="",FALSE,ISNUMBER(VALUE(Metadata!N163))),Metadata!N163&gt;0)</f>
        <v>0</v>
      </c>
      <c r="AO163">
        <f>AND(IF(Metadata!O163="",FALSE,TRUE),exact(Metadata!O163,"kg"))</f>
        <v>0</v>
      </c>
      <c r="AP163">
        <f>OR(AND(IF(Metadata!P163="",FALSE,TRUE),exact(Metadata!P163,"not provided")),IF(Metadata!P163="",FALSE,TRUE))</f>
        <v>0</v>
      </c>
      <c r="AQ163">
        <f>OR(AND(IF(Metadata!Q163="",FALSE,TRUE),exact(Metadata!Q163,"not provided")),IF(Metadata!Q163="",FALSE,TRUE))</f>
        <v>0</v>
      </c>
    </row>
    <row r="164" spans="1:43">
      <c r="A164" s="4">
        <f>IF(B164=" "," ",HYPERLINK(CONCATENATE("#metadata!",ADDRESS(INDEX($W$2:$W$1001,MATCH(ROWS($U$2:U164),$U$2:$U$1001,0),0),2)),INDEX($Z$2:$Z$1001,MATCH(ROWS($U$2:U164),$U$2:$U$1001,0),0)))</f>
        <v>0</v>
      </c>
      <c r="B164" s="5">
        <f>IF(OR(INDEX($V$2:$V$1001,MATCH(ROWS($U$2:U164),$U$2:$U$1001,0),1)&gt;=100000,INDEX($AB$1005:$AQ$1005,1,MATCH(COLUMNS($AB$1006:AB1006),$AB$1006:$AQ$1006,0))&gt;=100000), " ",IF(INDEX($AB$2:$AQ$1001,MATCH(ROWS($U$2:U164),$U$2:$U$1001,0),MATCH(COLUMNS($AB$1006:AB1006),$AB$1006:$AQ$1006,0)), HYPERLINK("#",""), HYPERLINK(CONCATENATE("#Metadata!", ADDRESS(INDEX($W$2:$W$1001,MATCH(ROWS($U$2:U164),$U$2:$U$1001,0),0), INDEX($AB$1004:$AQ$1004,1,MATCH(COLUMNS($AB$1006:AB1006),$AB$1006:$AQ$1006,0)))),"Fix")))</f>
        <v>0</v>
      </c>
      <c r="C164" s="5">
        <f>IF(OR(INDEX($V$2:$V$1001,MATCH(ROWS($U$2:U164),$U$2:$U$1001,0),1)&gt;=100000,INDEX($AB$1005:$AQ$1005,1,MATCH(COLUMNS($AB$1006:AC1006),$AB$1006:$AQ$1006,0))&gt;=100000), " ",IF(INDEX($AB$2:$AQ$1001,MATCH(ROWS($U$2:U164),$U$2:$U$1001,0),MATCH(COLUMNS($AB$1006:AC1006),$AB$1006:$AQ$1006,0)), HYPERLINK("#",""), HYPERLINK(CONCATENATE("#Metadata!", ADDRESS(INDEX($W$2:$W$1001,MATCH(ROWS($U$2:U164),$U$2:$U$1001,0),0), INDEX($AB$1004:$AQ$1004,1,MATCH(COLUMNS($AB$1006:AC1006),$AB$1006:$AQ$1006,0)))),"Fix")))</f>
        <v>0</v>
      </c>
      <c r="D164" s="5">
        <f>IF(OR(INDEX($V$2:$V$1001,MATCH(ROWS($U$2:U164),$U$2:$U$1001,0),1)&gt;=100000,INDEX($AB$1005:$AQ$1005,1,MATCH(COLUMNS($AB$1006:AD1006),$AB$1006:$AQ$1006,0))&gt;=100000), " ",IF(INDEX($AB$2:$AQ$1001,MATCH(ROWS($U$2:U164),$U$2:$U$1001,0),MATCH(COLUMNS($AB$1006:AD1006),$AB$1006:$AQ$1006,0)), HYPERLINK("#",""), HYPERLINK(CONCATENATE("#Metadata!", ADDRESS(INDEX($W$2:$W$1001,MATCH(ROWS($U$2:U164),$U$2:$U$1001,0),0), INDEX($AB$1004:$AQ$1004,1,MATCH(COLUMNS($AB$1006:AD1006),$AB$1006:$AQ$1006,0)))),"Fix")))</f>
        <v>0</v>
      </c>
      <c r="E164" s="5">
        <f>IF(OR(INDEX($V$2:$V$1001,MATCH(ROWS($U$2:U164),$U$2:$U$1001,0),1)&gt;=100000,INDEX($AB$1005:$AQ$1005,1,MATCH(COLUMNS($AB$1006:AE1006),$AB$1006:$AQ$1006,0))&gt;=100000), " ",IF(INDEX($AB$2:$AQ$1001,MATCH(ROWS($U$2:U164),$U$2:$U$1001,0),MATCH(COLUMNS($AB$1006:AE1006),$AB$1006:$AQ$1006,0)), HYPERLINK("#",""), HYPERLINK(CONCATENATE("#Metadata!", ADDRESS(INDEX($W$2:$W$1001,MATCH(ROWS($U$2:U164),$U$2:$U$1001,0),0), INDEX($AB$1004:$AQ$1004,1,MATCH(COLUMNS($AB$1006:AE1006),$AB$1006:$AQ$1006,0)))),"Fix")))</f>
        <v>0</v>
      </c>
      <c r="F164" s="5">
        <f>IF(OR(INDEX($V$2:$V$1001,MATCH(ROWS($U$2:U164),$U$2:$U$1001,0),1)&gt;=100000,INDEX($AB$1005:$AQ$1005,1,MATCH(COLUMNS($AB$1006:AF1006),$AB$1006:$AQ$1006,0))&gt;=100000), " ",IF(INDEX($AB$2:$AQ$1001,MATCH(ROWS($U$2:U164),$U$2:$U$1001,0),MATCH(COLUMNS($AB$1006:AF1006),$AB$1006:$AQ$1006,0)), HYPERLINK("#",""), HYPERLINK(CONCATENATE("#Metadata!", ADDRESS(INDEX($W$2:$W$1001,MATCH(ROWS($U$2:U164),$U$2:$U$1001,0),0), INDEX($AB$1004:$AQ$1004,1,MATCH(COLUMNS($AB$1006:AF1006),$AB$1006:$AQ$1006,0)))),"Fix")))</f>
        <v>0</v>
      </c>
      <c r="G164" s="5">
        <f>IF(OR(INDEX($V$2:$V$1001,MATCH(ROWS($U$2:U164),$U$2:$U$1001,0),1)&gt;=100000,INDEX($AB$1005:$AQ$1005,1,MATCH(COLUMNS($AB$1006:AG1006),$AB$1006:$AQ$1006,0))&gt;=100000), " ",IF(INDEX($AB$2:$AQ$1001,MATCH(ROWS($U$2:U164),$U$2:$U$1001,0),MATCH(COLUMNS($AB$1006:AG1006),$AB$1006:$AQ$1006,0)), HYPERLINK("#",""), HYPERLINK(CONCATENATE("#Metadata!", ADDRESS(INDEX($W$2:$W$1001,MATCH(ROWS($U$2:U164),$U$2:$U$1001,0),0), INDEX($AB$1004:$AQ$1004,1,MATCH(COLUMNS($AB$1006:AG1006),$AB$1006:$AQ$1006,0)))),"Fix")))</f>
        <v>0</v>
      </c>
      <c r="H164" s="5">
        <f>IF(OR(INDEX($V$2:$V$1001,MATCH(ROWS($U$2:U164),$U$2:$U$1001,0),1)&gt;=100000,INDEX($AB$1005:$AQ$1005,1,MATCH(COLUMNS($AB$1006:AH1006),$AB$1006:$AQ$1006,0))&gt;=100000), " ",IF(INDEX($AB$2:$AQ$1001,MATCH(ROWS($U$2:U164),$U$2:$U$1001,0),MATCH(COLUMNS($AB$1006:AH1006),$AB$1006:$AQ$1006,0)), HYPERLINK("#",""), HYPERLINK(CONCATENATE("#Metadata!", ADDRESS(INDEX($W$2:$W$1001,MATCH(ROWS($U$2:U164),$U$2:$U$1001,0),0), INDEX($AB$1004:$AQ$1004,1,MATCH(COLUMNS($AB$1006:AH1006),$AB$1006:$AQ$1006,0)))),"Fix")))</f>
        <v>0</v>
      </c>
      <c r="I164" s="5">
        <f>IF(OR(INDEX($V$2:$V$1001,MATCH(ROWS($U$2:U164),$U$2:$U$1001,0),1)&gt;=100000,INDEX($AB$1005:$AQ$1005,1,MATCH(COLUMNS($AB$1006:AI1006),$AB$1006:$AQ$1006,0))&gt;=100000), " ",IF(INDEX($AB$2:$AQ$1001,MATCH(ROWS($U$2:U164),$U$2:$U$1001,0),MATCH(COLUMNS($AB$1006:AI1006),$AB$1006:$AQ$1006,0)), HYPERLINK("#",""), HYPERLINK(CONCATENATE("#Metadata!", ADDRESS(INDEX($W$2:$W$1001,MATCH(ROWS($U$2:U164),$U$2:$U$1001,0),0), INDEX($AB$1004:$AQ$1004,1,MATCH(COLUMNS($AB$1006:AI1006),$AB$1006:$AQ$1006,0)))),"Fix")))</f>
        <v>0</v>
      </c>
      <c r="J164" s="5">
        <f>IF(OR(INDEX($V$2:$V$1001,MATCH(ROWS($U$2:U164),$U$2:$U$1001,0),1)&gt;=100000,INDEX($AB$1005:$AQ$1005,1,MATCH(COLUMNS($AB$1006:AJ1006),$AB$1006:$AQ$1006,0))&gt;=100000), " ",IF(INDEX($AB$2:$AQ$1001,MATCH(ROWS($U$2:U164),$U$2:$U$1001,0),MATCH(COLUMNS($AB$1006:AJ1006),$AB$1006:$AQ$1006,0)), HYPERLINK("#",""), HYPERLINK(CONCATENATE("#Metadata!", ADDRESS(INDEX($W$2:$W$1001,MATCH(ROWS($U$2:U164),$U$2:$U$1001,0),0), INDEX($AB$1004:$AQ$1004,1,MATCH(COLUMNS($AB$1006:AJ1006),$AB$1006:$AQ$1006,0)))),"Fix")))</f>
        <v>0</v>
      </c>
      <c r="K164" s="5">
        <f>IF(OR(INDEX($V$2:$V$1001,MATCH(ROWS($U$2:U164),$U$2:$U$1001,0),1)&gt;=100000,INDEX($AB$1005:$AQ$1005,1,MATCH(COLUMNS($AB$1006:AK1006),$AB$1006:$AQ$1006,0))&gt;=100000), " ",IF(INDEX($AB$2:$AQ$1001,MATCH(ROWS($U$2:U164),$U$2:$U$1001,0),MATCH(COLUMNS($AB$1006:AK1006),$AB$1006:$AQ$1006,0)), HYPERLINK("#",""), HYPERLINK(CONCATENATE("#Metadata!", ADDRESS(INDEX($W$2:$W$1001,MATCH(ROWS($U$2:U164),$U$2:$U$1001,0),0), INDEX($AB$1004:$AQ$1004,1,MATCH(COLUMNS($AB$1006:AK1006),$AB$1006:$AQ$1006,0)))),"Fix")))</f>
        <v>0</v>
      </c>
      <c r="L164" s="5">
        <f>IF(OR(INDEX($V$2:$V$1001,MATCH(ROWS($U$2:U164),$U$2:$U$1001,0),1)&gt;=100000,INDEX($AB$1005:$AQ$1005,1,MATCH(COLUMNS($AB$1006:AL1006),$AB$1006:$AQ$1006,0))&gt;=100000), " ",IF(INDEX($AB$2:$AQ$1001,MATCH(ROWS($U$2:U164),$U$2:$U$1001,0),MATCH(COLUMNS($AB$1006:AL1006),$AB$1006:$AQ$1006,0)), HYPERLINK("#",""), HYPERLINK(CONCATENATE("#Metadata!", ADDRESS(INDEX($W$2:$W$1001,MATCH(ROWS($U$2:U164),$U$2:$U$1001,0),0), INDEX($AB$1004:$AQ$1004,1,MATCH(COLUMNS($AB$1006:AL1006),$AB$1006:$AQ$1006,0)))),"Fix")))</f>
        <v>0</v>
      </c>
      <c r="M164" s="5">
        <f>IF(OR(INDEX($V$2:$V$1001,MATCH(ROWS($U$2:U164),$U$2:$U$1001,0),1)&gt;=100000,INDEX($AB$1005:$AQ$1005,1,MATCH(COLUMNS($AB$1006:AM1006),$AB$1006:$AQ$1006,0))&gt;=100000), " ",IF(INDEX($AB$2:$AQ$1001,MATCH(ROWS($U$2:U164),$U$2:$U$1001,0),MATCH(COLUMNS($AB$1006:AM1006),$AB$1006:$AQ$1006,0)), HYPERLINK("#",""), HYPERLINK(CONCATENATE("#Metadata!", ADDRESS(INDEX($W$2:$W$1001,MATCH(ROWS($U$2:U164),$U$2:$U$1001,0),0), INDEX($AB$1004:$AQ$1004,1,MATCH(COLUMNS($AB$1006:AM1006),$AB$1006:$AQ$1006,0)))),"Fix")))</f>
        <v>0</v>
      </c>
      <c r="N164" s="5">
        <f>IF(OR(INDEX($V$2:$V$1001,MATCH(ROWS($U$2:U164),$U$2:$U$1001,0),1)&gt;=100000,INDEX($AB$1005:$AQ$1005,1,MATCH(COLUMNS($AB$1006:AN1006),$AB$1006:$AQ$1006,0))&gt;=100000), " ",IF(INDEX($AB$2:$AQ$1001,MATCH(ROWS($U$2:U164),$U$2:$U$1001,0),MATCH(COLUMNS($AB$1006:AN1006),$AB$1006:$AQ$1006,0)), HYPERLINK("#",""), HYPERLINK(CONCATENATE("#Metadata!", ADDRESS(INDEX($W$2:$W$1001,MATCH(ROWS($U$2:U164),$U$2:$U$1001,0),0), INDEX($AB$1004:$AQ$1004,1,MATCH(COLUMNS($AB$1006:AN1006),$AB$1006:$AQ$1006,0)))),"Fix")))</f>
        <v>0</v>
      </c>
      <c r="O164" s="5">
        <f>IF(OR(INDEX($V$2:$V$1001,MATCH(ROWS($U$2:U164),$U$2:$U$1001,0),1)&gt;=100000,INDEX($AB$1005:$AQ$1005,1,MATCH(COLUMNS($AB$1006:AO1006),$AB$1006:$AQ$1006,0))&gt;=100000), " ",IF(INDEX($AB$2:$AQ$1001,MATCH(ROWS($U$2:U164),$U$2:$U$1001,0),MATCH(COLUMNS($AB$1006:AO1006),$AB$1006:$AQ$1006,0)), HYPERLINK("#",""), HYPERLINK(CONCATENATE("#Metadata!", ADDRESS(INDEX($W$2:$W$1001,MATCH(ROWS($U$2:U164),$U$2:$U$1001,0),0), INDEX($AB$1004:$AQ$1004,1,MATCH(COLUMNS($AB$1006:AO1006),$AB$1006:$AQ$1006,0)))),"Fix")))</f>
        <v>0</v>
      </c>
      <c r="P164" s="5">
        <f>IF(OR(INDEX($V$2:$V$1001,MATCH(ROWS($U$2:U164),$U$2:$U$1001,0),1)&gt;=100000,INDEX($AB$1005:$AQ$1005,1,MATCH(COLUMNS($AB$1006:AP1006),$AB$1006:$AQ$1006,0))&gt;=100000), " ",IF(INDEX($AB$2:$AQ$1001,MATCH(ROWS($U$2:U164),$U$2:$U$1001,0),MATCH(COLUMNS($AB$1006:AP1006),$AB$1006:$AQ$1006,0)), HYPERLINK("#",""), HYPERLINK(CONCATENATE("#Metadata!", ADDRESS(INDEX($W$2:$W$1001,MATCH(ROWS($U$2:U164),$U$2:$U$1001,0),0), INDEX($AB$1004:$AQ$1004,1,MATCH(COLUMNS($AB$1006:AP1006),$AB$1006:$AQ$1006,0)))),"Fix")))</f>
        <v>0</v>
      </c>
      <c r="Q164" s="5">
        <f>IF(OR(INDEX($V$2:$V$1001,MATCH(ROWS($U$2:U164),$U$2:$U$1001,0),1)&gt;=100000,INDEX($AB$1005:$AQ$1005,1,MATCH(COLUMNS($AB$1006:AQ1006),$AB$1006:$AQ$1006,0))&gt;=100000), " ",IF(INDEX($AB$2:$AQ$1001,MATCH(ROWS($U$2:U164),$U$2:$U$1001,0),MATCH(COLUMNS($AB$1006:AQ1006),$AB$1006:$AQ$1006,0)), HYPERLINK("#",""), HYPERLINK(CONCATENATE("#Metadata!", ADDRESS(INDEX($W$2:$W$1001,MATCH(ROWS($U$2:U164),$U$2:$U$1001,0),0), INDEX($AB$1004:$AQ$1004,1,MATCH(COLUMNS($AB$1006:AQ1006),$AB$1006:$AQ$1006,0)))),"Fix")))</f>
        <v>0</v>
      </c>
      <c r="U164">
        <v>0</v>
      </c>
      <c r="V164">
        <v>0</v>
      </c>
      <c r="W164">
        <v>0</v>
      </c>
      <c r="X164">
        <f>IF(Y164,TRUE,AND(AB164:AQ164))</f>
        <v>0</v>
      </c>
      <c r="Y164">
        <f>COUNTBLANK(Metadata!B164:Q164)=COLUMNS(Metadata!B164:Q164)</f>
        <v>0</v>
      </c>
      <c r="Z164">
        <v>0</v>
      </c>
      <c r="AB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AC164">
        <f>AND(IF(Metadata!C164="",FALSE,TRUE),exact(Metadata!C164,"urban biome"))</f>
        <v>0</v>
      </c>
      <c r="AD164">
        <f>AND(IF(Metadata!D164="",FALSE,TRUE),exact(Metadata!D164,"human-associated habitat"))</f>
        <v>0</v>
      </c>
      <c r="AE164">
        <f>AND(IF(Metadata!E164="",FALSE,TRUE),OR(exact(Metadata!E164,"human-associated"),exact(Metadata!E164,"human-skin"),exact(Metadata!E164,"human-oral"),exact(Metadata!E164,"human-gut"),exact(Metadata!E164,"human-vaginal")))</f>
        <v>0</v>
      </c>
      <c r="AF164">
        <f>AND(IF(Metadata!F164="",FALSE,ISNUMBER(VALUE(Metadata!F164))),Metadata!F164&gt;0)</f>
        <v>0</v>
      </c>
      <c r="AG164">
        <f>AND(IF(Metadata!G164="",FALSE,TRUE),exact(Metadata!G164,"years"))</f>
        <v>0</v>
      </c>
      <c r="AH164">
        <f>OR(AND(IF(Metadata!H164="",FALSE,TRUE),OR(exact(Metadata!H164,"not applicable"),exact(Metadata!H164,"not collected"),exact(Metadata!H164,"not provided"),exact(Metadata!H164,"restricted access"))),AND(IF(Metadata!H164="",FALSE,ISNUMBER(VALUE(Metadata!H164))),Metadata!H164&gt;0))</f>
        <v>0</v>
      </c>
      <c r="AI164">
        <f>AND(IF(Metadata!I164="",FALSE,TRUE),exact(Metadata!I164,"human"))</f>
        <v>0</v>
      </c>
      <c r="AJ164">
        <f>AND(IF(Metadata!J164="",FALSE,ISNUMBER(VALUE(Metadata!J164))),Metadata!J164&gt;0)</f>
        <v>0</v>
      </c>
      <c r="AK164">
        <f>AND(IF(Metadata!K164="",FALSE,TRUE),exact(Metadata!K164,"cm"))</f>
        <v>0</v>
      </c>
      <c r="AL164">
        <f>AND(IF(Metadata!L164="",FALSE,TRUE),exact(Metadata!L164,"Homo sapiens"))</f>
        <v>0</v>
      </c>
      <c r="AM164">
        <f>AND(IF(Metadata!M164="",FALSE,TRUE),exact(Metadata!M164,"9606"))</f>
        <v>0</v>
      </c>
      <c r="AN164">
        <f>AND(IF(Metadata!N164="",FALSE,ISNUMBER(VALUE(Metadata!N164))),Metadata!N164&gt;0)</f>
        <v>0</v>
      </c>
      <c r="AO164">
        <f>AND(IF(Metadata!O164="",FALSE,TRUE),exact(Metadata!O164,"kg"))</f>
        <v>0</v>
      </c>
      <c r="AP164">
        <f>OR(AND(IF(Metadata!P164="",FALSE,TRUE),exact(Metadata!P164,"not provided")),IF(Metadata!P164="",FALSE,TRUE))</f>
        <v>0</v>
      </c>
      <c r="AQ164">
        <f>OR(AND(IF(Metadata!Q164="",FALSE,TRUE),exact(Metadata!Q164,"not provided")),IF(Metadata!Q164="",FALSE,TRUE))</f>
        <v>0</v>
      </c>
    </row>
    <row r="165" spans="1:43">
      <c r="A165" s="4">
        <f>IF(B165=" "," ",HYPERLINK(CONCATENATE("#metadata!",ADDRESS(INDEX($W$2:$W$1001,MATCH(ROWS($U$2:U165),$U$2:$U$1001,0),0),2)),INDEX($Z$2:$Z$1001,MATCH(ROWS($U$2:U165),$U$2:$U$1001,0),0)))</f>
        <v>0</v>
      </c>
      <c r="B165" s="5">
        <f>IF(OR(INDEX($V$2:$V$1001,MATCH(ROWS($U$2:U165),$U$2:$U$1001,0),1)&gt;=100000,INDEX($AB$1005:$AQ$1005,1,MATCH(COLUMNS($AB$1006:AB1006),$AB$1006:$AQ$1006,0))&gt;=100000), " ",IF(INDEX($AB$2:$AQ$1001,MATCH(ROWS($U$2:U165),$U$2:$U$1001,0),MATCH(COLUMNS($AB$1006:AB1006),$AB$1006:$AQ$1006,0)), HYPERLINK("#",""), HYPERLINK(CONCATENATE("#Metadata!", ADDRESS(INDEX($W$2:$W$1001,MATCH(ROWS($U$2:U165),$U$2:$U$1001,0),0), INDEX($AB$1004:$AQ$1004,1,MATCH(COLUMNS($AB$1006:AB1006),$AB$1006:$AQ$1006,0)))),"Fix")))</f>
        <v>0</v>
      </c>
      <c r="C165" s="5">
        <f>IF(OR(INDEX($V$2:$V$1001,MATCH(ROWS($U$2:U165),$U$2:$U$1001,0),1)&gt;=100000,INDEX($AB$1005:$AQ$1005,1,MATCH(COLUMNS($AB$1006:AC1006),$AB$1006:$AQ$1006,0))&gt;=100000), " ",IF(INDEX($AB$2:$AQ$1001,MATCH(ROWS($U$2:U165),$U$2:$U$1001,0),MATCH(COLUMNS($AB$1006:AC1006),$AB$1006:$AQ$1006,0)), HYPERLINK("#",""), HYPERLINK(CONCATENATE("#Metadata!", ADDRESS(INDEX($W$2:$W$1001,MATCH(ROWS($U$2:U165),$U$2:$U$1001,0),0), INDEX($AB$1004:$AQ$1004,1,MATCH(COLUMNS($AB$1006:AC1006),$AB$1006:$AQ$1006,0)))),"Fix")))</f>
        <v>0</v>
      </c>
      <c r="D165" s="5">
        <f>IF(OR(INDEX($V$2:$V$1001,MATCH(ROWS($U$2:U165),$U$2:$U$1001,0),1)&gt;=100000,INDEX($AB$1005:$AQ$1005,1,MATCH(COLUMNS($AB$1006:AD1006),$AB$1006:$AQ$1006,0))&gt;=100000), " ",IF(INDEX($AB$2:$AQ$1001,MATCH(ROWS($U$2:U165),$U$2:$U$1001,0),MATCH(COLUMNS($AB$1006:AD1006),$AB$1006:$AQ$1006,0)), HYPERLINK("#",""), HYPERLINK(CONCATENATE("#Metadata!", ADDRESS(INDEX($W$2:$W$1001,MATCH(ROWS($U$2:U165),$U$2:$U$1001,0),0), INDEX($AB$1004:$AQ$1004,1,MATCH(COLUMNS($AB$1006:AD1006),$AB$1006:$AQ$1006,0)))),"Fix")))</f>
        <v>0</v>
      </c>
      <c r="E165" s="5">
        <f>IF(OR(INDEX($V$2:$V$1001,MATCH(ROWS($U$2:U165),$U$2:$U$1001,0),1)&gt;=100000,INDEX($AB$1005:$AQ$1005,1,MATCH(COLUMNS($AB$1006:AE1006),$AB$1006:$AQ$1006,0))&gt;=100000), " ",IF(INDEX($AB$2:$AQ$1001,MATCH(ROWS($U$2:U165),$U$2:$U$1001,0),MATCH(COLUMNS($AB$1006:AE1006),$AB$1006:$AQ$1006,0)), HYPERLINK("#",""), HYPERLINK(CONCATENATE("#Metadata!", ADDRESS(INDEX($W$2:$W$1001,MATCH(ROWS($U$2:U165),$U$2:$U$1001,0),0), INDEX($AB$1004:$AQ$1004,1,MATCH(COLUMNS($AB$1006:AE1006),$AB$1006:$AQ$1006,0)))),"Fix")))</f>
        <v>0</v>
      </c>
      <c r="F165" s="5">
        <f>IF(OR(INDEX($V$2:$V$1001,MATCH(ROWS($U$2:U165),$U$2:$U$1001,0),1)&gt;=100000,INDEX($AB$1005:$AQ$1005,1,MATCH(COLUMNS($AB$1006:AF1006),$AB$1006:$AQ$1006,0))&gt;=100000), " ",IF(INDEX($AB$2:$AQ$1001,MATCH(ROWS($U$2:U165),$U$2:$U$1001,0),MATCH(COLUMNS($AB$1006:AF1006),$AB$1006:$AQ$1006,0)), HYPERLINK("#",""), HYPERLINK(CONCATENATE("#Metadata!", ADDRESS(INDEX($W$2:$W$1001,MATCH(ROWS($U$2:U165),$U$2:$U$1001,0),0), INDEX($AB$1004:$AQ$1004,1,MATCH(COLUMNS($AB$1006:AF1006),$AB$1006:$AQ$1006,0)))),"Fix")))</f>
        <v>0</v>
      </c>
      <c r="G165" s="5">
        <f>IF(OR(INDEX($V$2:$V$1001,MATCH(ROWS($U$2:U165),$U$2:$U$1001,0),1)&gt;=100000,INDEX($AB$1005:$AQ$1005,1,MATCH(COLUMNS($AB$1006:AG1006),$AB$1006:$AQ$1006,0))&gt;=100000), " ",IF(INDEX($AB$2:$AQ$1001,MATCH(ROWS($U$2:U165),$U$2:$U$1001,0),MATCH(COLUMNS($AB$1006:AG1006),$AB$1006:$AQ$1006,0)), HYPERLINK("#",""), HYPERLINK(CONCATENATE("#Metadata!", ADDRESS(INDEX($W$2:$W$1001,MATCH(ROWS($U$2:U165),$U$2:$U$1001,0),0), INDEX($AB$1004:$AQ$1004,1,MATCH(COLUMNS($AB$1006:AG1006),$AB$1006:$AQ$1006,0)))),"Fix")))</f>
        <v>0</v>
      </c>
      <c r="H165" s="5">
        <f>IF(OR(INDEX($V$2:$V$1001,MATCH(ROWS($U$2:U165),$U$2:$U$1001,0),1)&gt;=100000,INDEX($AB$1005:$AQ$1005,1,MATCH(COLUMNS($AB$1006:AH1006),$AB$1006:$AQ$1006,0))&gt;=100000), " ",IF(INDEX($AB$2:$AQ$1001,MATCH(ROWS($U$2:U165),$U$2:$U$1001,0),MATCH(COLUMNS($AB$1006:AH1006),$AB$1006:$AQ$1006,0)), HYPERLINK("#",""), HYPERLINK(CONCATENATE("#Metadata!", ADDRESS(INDEX($W$2:$W$1001,MATCH(ROWS($U$2:U165),$U$2:$U$1001,0),0), INDEX($AB$1004:$AQ$1004,1,MATCH(COLUMNS($AB$1006:AH1006),$AB$1006:$AQ$1006,0)))),"Fix")))</f>
        <v>0</v>
      </c>
      <c r="I165" s="5">
        <f>IF(OR(INDEX($V$2:$V$1001,MATCH(ROWS($U$2:U165),$U$2:$U$1001,0),1)&gt;=100000,INDEX($AB$1005:$AQ$1005,1,MATCH(COLUMNS($AB$1006:AI1006),$AB$1006:$AQ$1006,0))&gt;=100000), " ",IF(INDEX($AB$2:$AQ$1001,MATCH(ROWS($U$2:U165),$U$2:$U$1001,0),MATCH(COLUMNS($AB$1006:AI1006),$AB$1006:$AQ$1006,0)), HYPERLINK("#",""), HYPERLINK(CONCATENATE("#Metadata!", ADDRESS(INDEX($W$2:$W$1001,MATCH(ROWS($U$2:U165),$U$2:$U$1001,0),0), INDEX($AB$1004:$AQ$1004,1,MATCH(COLUMNS($AB$1006:AI1006),$AB$1006:$AQ$1006,0)))),"Fix")))</f>
        <v>0</v>
      </c>
      <c r="J165" s="5">
        <f>IF(OR(INDEX($V$2:$V$1001,MATCH(ROWS($U$2:U165),$U$2:$U$1001,0),1)&gt;=100000,INDEX($AB$1005:$AQ$1005,1,MATCH(COLUMNS($AB$1006:AJ1006),$AB$1006:$AQ$1006,0))&gt;=100000), " ",IF(INDEX($AB$2:$AQ$1001,MATCH(ROWS($U$2:U165),$U$2:$U$1001,0),MATCH(COLUMNS($AB$1006:AJ1006),$AB$1006:$AQ$1006,0)), HYPERLINK("#",""), HYPERLINK(CONCATENATE("#Metadata!", ADDRESS(INDEX($W$2:$W$1001,MATCH(ROWS($U$2:U165),$U$2:$U$1001,0),0), INDEX($AB$1004:$AQ$1004,1,MATCH(COLUMNS($AB$1006:AJ1006),$AB$1006:$AQ$1006,0)))),"Fix")))</f>
        <v>0</v>
      </c>
      <c r="K165" s="5">
        <f>IF(OR(INDEX($V$2:$V$1001,MATCH(ROWS($U$2:U165),$U$2:$U$1001,0),1)&gt;=100000,INDEX($AB$1005:$AQ$1005,1,MATCH(COLUMNS($AB$1006:AK1006),$AB$1006:$AQ$1006,0))&gt;=100000), " ",IF(INDEX($AB$2:$AQ$1001,MATCH(ROWS($U$2:U165),$U$2:$U$1001,0),MATCH(COLUMNS($AB$1006:AK1006),$AB$1006:$AQ$1006,0)), HYPERLINK("#",""), HYPERLINK(CONCATENATE("#Metadata!", ADDRESS(INDEX($W$2:$W$1001,MATCH(ROWS($U$2:U165),$U$2:$U$1001,0),0), INDEX($AB$1004:$AQ$1004,1,MATCH(COLUMNS($AB$1006:AK1006),$AB$1006:$AQ$1006,0)))),"Fix")))</f>
        <v>0</v>
      </c>
      <c r="L165" s="5">
        <f>IF(OR(INDEX($V$2:$V$1001,MATCH(ROWS($U$2:U165),$U$2:$U$1001,0),1)&gt;=100000,INDEX($AB$1005:$AQ$1005,1,MATCH(COLUMNS($AB$1006:AL1006),$AB$1006:$AQ$1006,0))&gt;=100000), " ",IF(INDEX($AB$2:$AQ$1001,MATCH(ROWS($U$2:U165),$U$2:$U$1001,0),MATCH(COLUMNS($AB$1006:AL1006),$AB$1006:$AQ$1006,0)), HYPERLINK("#",""), HYPERLINK(CONCATENATE("#Metadata!", ADDRESS(INDEX($W$2:$W$1001,MATCH(ROWS($U$2:U165),$U$2:$U$1001,0),0), INDEX($AB$1004:$AQ$1004,1,MATCH(COLUMNS($AB$1006:AL1006),$AB$1006:$AQ$1006,0)))),"Fix")))</f>
        <v>0</v>
      </c>
      <c r="M165" s="5">
        <f>IF(OR(INDEX($V$2:$V$1001,MATCH(ROWS($U$2:U165),$U$2:$U$1001,0),1)&gt;=100000,INDEX($AB$1005:$AQ$1005,1,MATCH(COLUMNS($AB$1006:AM1006),$AB$1006:$AQ$1006,0))&gt;=100000), " ",IF(INDEX($AB$2:$AQ$1001,MATCH(ROWS($U$2:U165),$U$2:$U$1001,0),MATCH(COLUMNS($AB$1006:AM1006),$AB$1006:$AQ$1006,0)), HYPERLINK("#",""), HYPERLINK(CONCATENATE("#Metadata!", ADDRESS(INDEX($W$2:$W$1001,MATCH(ROWS($U$2:U165),$U$2:$U$1001,0),0), INDEX($AB$1004:$AQ$1004,1,MATCH(COLUMNS($AB$1006:AM1006),$AB$1006:$AQ$1006,0)))),"Fix")))</f>
        <v>0</v>
      </c>
      <c r="N165" s="5">
        <f>IF(OR(INDEX($V$2:$V$1001,MATCH(ROWS($U$2:U165),$U$2:$U$1001,0),1)&gt;=100000,INDEX($AB$1005:$AQ$1005,1,MATCH(COLUMNS($AB$1006:AN1006),$AB$1006:$AQ$1006,0))&gt;=100000), " ",IF(INDEX($AB$2:$AQ$1001,MATCH(ROWS($U$2:U165),$U$2:$U$1001,0),MATCH(COLUMNS($AB$1006:AN1006),$AB$1006:$AQ$1006,0)), HYPERLINK("#",""), HYPERLINK(CONCATENATE("#Metadata!", ADDRESS(INDEX($W$2:$W$1001,MATCH(ROWS($U$2:U165),$U$2:$U$1001,0),0), INDEX($AB$1004:$AQ$1004,1,MATCH(COLUMNS($AB$1006:AN1006),$AB$1006:$AQ$1006,0)))),"Fix")))</f>
        <v>0</v>
      </c>
      <c r="O165" s="5">
        <f>IF(OR(INDEX($V$2:$V$1001,MATCH(ROWS($U$2:U165),$U$2:$U$1001,0),1)&gt;=100000,INDEX($AB$1005:$AQ$1005,1,MATCH(COLUMNS($AB$1006:AO1006),$AB$1006:$AQ$1006,0))&gt;=100000), " ",IF(INDEX($AB$2:$AQ$1001,MATCH(ROWS($U$2:U165),$U$2:$U$1001,0),MATCH(COLUMNS($AB$1006:AO1006),$AB$1006:$AQ$1006,0)), HYPERLINK("#",""), HYPERLINK(CONCATENATE("#Metadata!", ADDRESS(INDEX($W$2:$W$1001,MATCH(ROWS($U$2:U165),$U$2:$U$1001,0),0), INDEX($AB$1004:$AQ$1004,1,MATCH(COLUMNS($AB$1006:AO1006),$AB$1006:$AQ$1006,0)))),"Fix")))</f>
        <v>0</v>
      </c>
      <c r="P165" s="5">
        <f>IF(OR(INDEX($V$2:$V$1001,MATCH(ROWS($U$2:U165),$U$2:$U$1001,0),1)&gt;=100000,INDEX($AB$1005:$AQ$1005,1,MATCH(COLUMNS($AB$1006:AP1006),$AB$1006:$AQ$1006,0))&gt;=100000), " ",IF(INDEX($AB$2:$AQ$1001,MATCH(ROWS($U$2:U165),$U$2:$U$1001,0),MATCH(COLUMNS($AB$1006:AP1006),$AB$1006:$AQ$1006,0)), HYPERLINK("#",""), HYPERLINK(CONCATENATE("#Metadata!", ADDRESS(INDEX($W$2:$W$1001,MATCH(ROWS($U$2:U165),$U$2:$U$1001,0),0), INDEX($AB$1004:$AQ$1004,1,MATCH(COLUMNS($AB$1006:AP1006),$AB$1006:$AQ$1006,0)))),"Fix")))</f>
        <v>0</v>
      </c>
      <c r="Q165" s="5">
        <f>IF(OR(INDEX($V$2:$V$1001,MATCH(ROWS($U$2:U165),$U$2:$U$1001,0),1)&gt;=100000,INDEX($AB$1005:$AQ$1005,1,MATCH(COLUMNS($AB$1006:AQ1006),$AB$1006:$AQ$1006,0))&gt;=100000), " ",IF(INDEX($AB$2:$AQ$1001,MATCH(ROWS($U$2:U165),$U$2:$U$1001,0),MATCH(COLUMNS($AB$1006:AQ1006),$AB$1006:$AQ$1006,0)), HYPERLINK("#",""), HYPERLINK(CONCATENATE("#Metadata!", ADDRESS(INDEX($W$2:$W$1001,MATCH(ROWS($U$2:U165),$U$2:$U$1001,0),0), INDEX($AB$1004:$AQ$1004,1,MATCH(COLUMNS($AB$1006:AQ1006),$AB$1006:$AQ$1006,0)))),"Fix")))</f>
        <v>0</v>
      </c>
      <c r="U165">
        <v>0</v>
      </c>
      <c r="V165">
        <v>0</v>
      </c>
      <c r="W165">
        <v>0</v>
      </c>
      <c r="X165">
        <f>IF(Y165,TRUE,AND(AB165:AQ165))</f>
        <v>0</v>
      </c>
      <c r="Y165">
        <f>COUNTBLANK(Metadata!B165:Q165)=COLUMNS(Metadata!B165:Q165)</f>
        <v>0</v>
      </c>
      <c r="Z165">
        <v>0</v>
      </c>
      <c r="AB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AC165">
        <f>AND(IF(Metadata!C165="",FALSE,TRUE),exact(Metadata!C165,"urban biome"))</f>
        <v>0</v>
      </c>
      <c r="AD165">
        <f>AND(IF(Metadata!D165="",FALSE,TRUE),exact(Metadata!D165,"human-associated habitat"))</f>
        <v>0</v>
      </c>
      <c r="AE165">
        <f>AND(IF(Metadata!E165="",FALSE,TRUE),OR(exact(Metadata!E165,"human-associated"),exact(Metadata!E165,"human-skin"),exact(Metadata!E165,"human-oral"),exact(Metadata!E165,"human-gut"),exact(Metadata!E165,"human-vaginal")))</f>
        <v>0</v>
      </c>
      <c r="AF165">
        <f>AND(IF(Metadata!F165="",FALSE,ISNUMBER(VALUE(Metadata!F165))),Metadata!F165&gt;0)</f>
        <v>0</v>
      </c>
      <c r="AG165">
        <f>AND(IF(Metadata!G165="",FALSE,TRUE),exact(Metadata!G165,"years"))</f>
        <v>0</v>
      </c>
      <c r="AH165">
        <f>OR(AND(IF(Metadata!H165="",FALSE,TRUE),OR(exact(Metadata!H165,"not applicable"),exact(Metadata!H165,"not collected"),exact(Metadata!H165,"not provided"),exact(Metadata!H165,"restricted access"))),AND(IF(Metadata!H165="",FALSE,ISNUMBER(VALUE(Metadata!H165))),Metadata!H165&gt;0))</f>
        <v>0</v>
      </c>
      <c r="AI165">
        <f>AND(IF(Metadata!I165="",FALSE,TRUE),exact(Metadata!I165,"human"))</f>
        <v>0</v>
      </c>
      <c r="AJ165">
        <f>AND(IF(Metadata!J165="",FALSE,ISNUMBER(VALUE(Metadata!J165))),Metadata!J165&gt;0)</f>
        <v>0</v>
      </c>
      <c r="AK165">
        <f>AND(IF(Metadata!K165="",FALSE,TRUE),exact(Metadata!K165,"cm"))</f>
        <v>0</v>
      </c>
      <c r="AL165">
        <f>AND(IF(Metadata!L165="",FALSE,TRUE),exact(Metadata!L165,"Homo sapiens"))</f>
        <v>0</v>
      </c>
      <c r="AM165">
        <f>AND(IF(Metadata!M165="",FALSE,TRUE),exact(Metadata!M165,"9606"))</f>
        <v>0</v>
      </c>
      <c r="AN165">
        <f>AND(IF(Metadata!N165="",FALSE,ISNUMBER(VALUE(Metadata!N165))),Metadata!N165&gt;0)</f>
        <v>0</v>
      </c>
      <c r="AO165">
        <f>AND(IF(Metadata!O165="",FALSE,TRUE),exact(Metadata!O165,"kg"))</f>
        <v>0</v>
      </c>
      <c r="AP165">
        <f>OR(AND(IF(Metadata!P165="",FALSE,TRUE),exact(Metadata!P165,"not provided")),IF(Metadata!P165="",FALSE,TRUE))</f>
        <v>0</v>
      </c>
      <c r="AQ165">
        <f>OR(AND(IF(Metadata!Q165="",FALSE,TRUE),exact(Metadata!Q165,"not provided")),IF(Metadata!Q165="",FALSE,TRUE))</f>
        <v>0</v>
      </c>
    </row>
    <row r="166" spans="1:43">
      <c r="A166" s="4">
        <f>IF(B166=" "," ",HYPERLINK(CONCATENATE("#metadata!",ADDRESS(INDEX($W$2:$W$1001,MATCH(ROWS($U$2:U166),$U$2:$U$1001,0),0),2)),INDEX($Z$2:$Z$1001,MATCH(ROWS($U$2:U166),$U$2:$U$1001,0),0)))</f>
        <v>0</v>
      </c>
      <c r="B166" s="5">
        <f>IF(OR(INDEX($V$2:$V$1001,MATCH(ROWS($U$2:U166),$U$2:$U$1001,0),1)&gt;=100000,INDEX($AB$1005:$AQ$1005,1,MATCH(COLUMNS($AB$1006:AB1006),$AB$1006:$AQ$1006,0))&gt;=100000), " ",IF(INDEX($AB$2:$AQ$1001,MATCH(ROWS($U$2:U166),$U$2:$U$1001,0),MATCH(COLUMNS($AB$1006:AB1006),$AB$1006:$AQ$1006,0)), HYPERLINK("#",""), HYPERLINK(CONCATENATE("#Metadata!", ADDRESS(INDEX($W$2:$W$1001,MATCH(ROWS($U$2:U166),$U$2:$U$1001,0),0), INDEX($AB$1004:$AQ$1004,1,MATCH(COLUMNS($AB$1006:AB1006),$AB$1006:$AQ$1006,0)))),"Fix")))</f>
        <v>0</v>
      </c>
      <c r="C166" s="5">
        <f>IF(OR(INDEX($V$2:$V$1001,MATCH(ROWS($U$2:U166),$U$2:$U$1001,0),1)&gt;=100000,INDEX($AB$1005:$AQ$1005,1,MATCH(COLUMNS($AB$1006:AC1006),$AB$1006:$AQ$1006,0))&gt;=100000), " ",IF(INDEX($AB$2:$AQ$1001,MATCH(ROWS($U$2:U166),$U$2:$U$1001,0),MATCH(COLUMNS($AB$1006:AC1006),$AB$1006:$AQ$1006,0)), HYPERLINK("#",""), HYPERLINK(CONCATENATE("#Metadata!", ADDRESS(INDEX($W$2:$W$1001,MATCH(ROWS($U$2:U166),$U$2:$U$1001,0),0), INDEX($AB$1004:$AQ$1004,1,MATCH(COLUMNS($AB$1006:AC1006),$AB$1006:$AQ$1006,0)))),"Fix")))</f>
        <v>0</v>
      </c>
      <c r="D166" s="5">
        <f>IF(OR(INDEX($V$2:$V$1001,MATCH(ROWS($U$2:U166),$U$2:$U$1001,0),1)&gt;=100000,INDEX($AB$1005:$AQ$1005,1,MATCH(COLUMNS($AB$1006:AD1006),$AB$1006:$AQ$1006,0))&gt;=100000), " ",IF(INDEX($AB$2:$AQ$1001,MATCH(ROWS($U$2:U166),$U$2:$U$1001,0),MATCH(COLUMNS($AB$1006:AD1006),$AB$1006:$AQ$1006,0)), HYPERLINK("#",""), HYPERLINK(CONCATENATE("#Metadata!", ADDRESS(INDEX($W$2:$W$1001,MATCH(ROWS($U$2:U166),$U$2:$U$1001,0),0), INDEX($AB$1004:$AQ$1004,1,MATCH(COLUMNS($AB$1006:AD1006),$AB$1006:$AQ$1006,0)))),"Fix")))</f>
        <v>0</v>
      </c>
      <c r="E166" s="5">
        <f>IF(OR(INDEX($V$2:$V$1001,MATCH(ROWS($U$2:U166),$U$2:$U$1001,0),1)&gt;=100000,INDEX($AB$1005:$AQ$1005,1,MATCH(COLUMNS($AB$1006:AE1006),$AB$1006:$AQ$1006,0))&gt;=100000), " ",IF(INDEX($AB$2:$AQ$1001,MATCH(ROWS($U$2:U166),$U$2:$U$1001,0),MATCH(COLUMNS($AB$1006:AE1006),$AB$1006:$AQ$1006,0)), HYPERLINK("#",""), HYPERLINK(CONCATENATE("#Metadata!", ADDRESS(INDEX($W$2:$W$1001,MATCH(ROWS($U$2:U166),$U$2:$U$1001,0),0), INDEX($AB$1004:$AQ$1004,1,MATCH(COLUMNS($AB$1006:AE1006),$AB$1006:$AQ$1006,0)))),"Fix")))</f>
        <v>0</v>
      </c>
      <c r="F166" s="5">
        <f>IF(OR(INDEX($V$2:$V$1001,MATCH(ROWS($U$2:U166),$U$2:$U$1001,0),1)&gt;=100000,INDEX($AB$1005:$AQ$1005,1,MATCH(COLUMNS($AB$1006:AF1006),$AB$1006:$AQ$1006,0))&gt;=100000), " ",IF(INDEX($AB$2:$AQ$1001,MATCH(ROWS($U$2:U166),$U$2:$U$1001,0),MATCH(COLUMNS($AB$1006:AF1006),$AB$1006:$AQ$1006,0)), HYPERLINK("#",""), HYPERLINK(CONCATENATE("#Metadata!", ADDRESS(INDEX($W$2:$W$1001,MATCH(ROWS($U$2:U166),$U$2:$U$1001,0),0), INDEX($AB$1004:$AQ$1004,1,MATCH(COLUMNS($AB$1006:AF1006),$AB$1006:$AQ$1006,0)))),"Fix")))</f>
        <v>0</v>
      </c>
      <c r="G166" s="5">
        <f>IF(OR(INDEX($V$2:$V$1001,MATCH(ROWS($U$2:U166),$U$2:$U$1001,0),1)&gt;=100000,INDEX($AB$1005:$AQ$1005,1,MATCH(COLUMNS($AB$1006:AG1006),$AB$1006:$AQ$1006,0))&gt;=100000), " ",IF(INDEX($AB$2:$AQ$1001,MATCH(ROWS($U$2:U166),$U$2:$U$1001,0),MATCH(COLUMNS($AB$1006:AG1006),$AB$1006:$AQ$1006,0)), HYPERLINK("#",""), HYPERLINK(CONCATENATE("#Metadata!", ADDRESS(INDEX($W$2:$W$1001,MATCH(ROWS($U$2:U166),$U$2:$U$1001,0),0), INDEX($AB$1004:$AQ$1004,1,MATCH(COLUMNS($AB$1006:AG1006),$AB$1006:$AQ$1006,0)))),"Fix")))</f>
        <v>0</v>
      </c>
      <c r="H166" s="5">
        <f>IF(OR(INDEX($V$2:$V$1001,MATCH(ROWS($U$2:U166),$U$2:$U$1001,0),1)&gt;=100000,INDEX($AB$1005:$AQ$1005,1,MATCH(COLUMNS($AB$1006:AH1006),$AB$1006:$AQ$1006,0))&gt;=100000), " ",IF(INDEX($AB$2:$AQ$1001,MATCH(ROWS($U$2:U166),$U$2:$U$1001,0),MATCH(COLUMNS($AB$1006:AH1006),$AB$1006:$AQ$1006,0)), HYPERLINK("#",""), HYPERLINK(CONCATENATE("#Metadata!", ADDRESS(INDEX($W$2:$W$1001,MATCH(ROWS($U$2:U166),$U$2:$U$1001,0),0), INDEX($AB$1004:$AQ$1004,1,MATCH(COLUMNS($AB$1006:AH1006),$AB$1006:$AQ$1006,0)))),"Fix")))</f>
        <v>0</v>
      </c>
      <c r="I166" s="5">
        <f>IF(OR(INDEX($V$2:$V$1001,MATCH(ROWS($U$2:U166),$U$2:$U$1001,0),1)&gt;=100000,INDEX($AB$1005:$AQ$1005,1,MATCH(COLUMNS($AB$1006:AI1006),$AB$1006:$AQ$1006,0))&gt;=100000), " ",IF(INDEX($AB$2:$AQ$1001,MATCH(ROWS($U$2:U166),$U$2:$U$1001,0),MATCH(COLUMNS($AB$1006:AI1006),$AB$1006:$AQ$1006,0)), HYPERLINK("#",""), HYPERLINK(CONCATENATE("#Metadata!", ADDRESS(INDEX($W$2:$W$1001,MATCH(ROWS($U$2:U166),$U$2:$U$1001,0),0), INDEX($AB$1004:$AQ$1004,1,MATCH(COLUMNS($AB$1006:AI1006),$AB$1006:$AQ$1006,0)))),"Fix")))</f>
        <v>0</v>
      </c>
      <c r="J166" s="5">
        <f>IF(OR(INDEX($V$2:$V$1001,MATCH(ROWS($U$2:U166),$U$2:$U$1001,0),1)&gt;=100000,INDEX($AB$1005:$AQ$1005,1,MATCH(COLUMNS($AB$1006:AJ1006),$AB$1006:$AQ$1006,0))&gt;=100000), " ",IF(INDEX($AB$2:$AQ$1001,MATCH(ROWS($U$2:U166),$U$2:$U$1001,0),MATCH(COLUMNS($AB$1006:AJ1006),$AB$1006:$AQ$1006,0)), HYPERLINK("#",""), HYPERLINK(CONCATENATE("#Metadata!", ADDRESS(INDEX($W$2:$W$1001,MATCH(ROWS($U$2:U166),$U$2:$U$1001,0),0), INDEX($AB$1004:$AQ$1004,1,MATCH(COLUMNS($AB$1006:AJ1006),$AB$1006:$AQ$1006,0)))),"Fix")))</f>
        <v>0</v>
      </c>
      <c r="K166" s="5">
        <f>IF(OR(INDEX($V$2:$V$1001,MATCH(ROWS($U$2:U166),$U$2:$U$1001,0),1)&gt;=100000,INDEX($AB$1005:$AQ$1005,1,MATCH(COLUMNS($AB$1006:AK1006),$AB$1006:$AQ$1006,0))&gt;=100000), " ",IF(INDEX($AB$2:$AQ$1001,MATCH(ROWS($U$2:U166),$U$2:$U$1001,0),MATCH(COLUMNS($AB$1006:AK1006),$AB$1006:$AQ$1006,0)), HYPERLINK("#",""), HYPERLINK(CONCATENATE("#Metadata!", ADDRESS(INDEX($W$2:$W$1001,MATCH(ROWS($U$2:U166),$U$2:$U$1001,0),0), INDEX($AB$1004:$AQ$1004,1,MATCH(COLUMNS($AB$1006:AK1006),$AB$1006:$AQ$1006,0)))),"Fix")))</f>
        <v>0</v>
      </c>
      <c r="L166" s="5">
        <f>IF(OR(INDEX($V$2:$V$1001,MATCH(ROWS($U$2:U166),$U$2:$U$1001,0),1)&gt;=100000,INDEX($AB$1005:$AQ$1005,1,MATCH(COLUMNS($AB$1006:AL1006),$AB$1006:$AQ$1006,0))&gt;=100000), " ",IF(INDEX($AB$2:$AQ$1001,MATCH(ROWS($U$2:U166),$U$2:$U$1001,0),MATCH(COLUMNS($AB$1006:AL1006),$AB$1006:$AQ$1006,0)), HYPERLINK("#",""), HYPERLINK(CONCATENATE("#Metadata!", ADDRESS(INDEX($W$2:$W$1001,MATCH(ROWS($U$2:U166),$U$2:$U$1001,0),0), INDEX($AB$1004:$AQ$1004,1,MATCH(COLUMNS($AB$1006:AL1006),$AB$1006:$AQ$1006,0)))),"Fix")))</f>
        <v>0</v>
      </c>
      <c r="M166" s="5">
        <f>IF(OR(INDEX($V$2:$V$1001,MATCH(ROWS($U$2:U166),$U$2:$U$1001,0),1)&gt;=100000,INDEX($AB$1005:$AQ$1005,1,MATCH(COLUMNS($AB$1006:AM1006),$AB$1006:$AQ$1006,0))&gt;=100000), " ",IF(INDEX($AB$2:$AQ$1001,MATCH(ROWS($U$2:U166),$U$2:$U$1001,0),MATCH(COLUMNS($AB$1006:AM1006),$AB$1006:$AQ$1006,0)), HYPERLINK("#",""), HYPERLINK(CONCATENATE("#Metadata!", ADDRESS(INDEX($W$2:$W$1001,MATCH(ROWS($U$2:U166),$U$2:$U$1001,0),0), INDEX($AB$1004:$AQ$1004,1,MATCH(COLUMNS($AB$1006:AM1006),$AB$1006:$AQ$1006,0)))),"Fix")))</f>
        <v>0</v>
      </c>
      <c r="N166" s="5">
        <f>IF(OR(INDEX($V$2:$V$1001,MATCH(ROWS($U$2:U166),$U$2:$U$1001,0),1)&gt;=100000,INDEX($AB$1005:$AQ$1005,1,MATCH(COLUMNS($AB$1006:AN1006),$AB$1006:$AQ$1006,0))&gt;=100000), " ",IF(INDEX($AB$2:$AQ$1001,MATCH(ROWS($U$2:U166),$U$2:$U$1001,0),MATCH(COLUMNS($AB$1006:AN1006),$AB$1006:$AQ$1006,0)), HYPERLINK("#",""), HYPERLINK(CONCATENATE("#Metadata!", ADDRESS(INDEX($W$2:$W$1001,MATCH(ROWS($U$2:U166),$U$2:$U$1001,0),0), INDEX($AB$1004:$AQ$1004,1,MATCH(COLUMNS($AB$1006:AN1006),$AB$1006:$AQ$1006,0)))),"Fix")))</f>
        <v>0</v>
      </c>
      <c r="O166" s="5">
        <f>IF(OR(INDEX($V$2:$V$1001,MATCH(ROWS($U$2:U166),$U$2:$U$1001,0),1)&gt;=100000,INDEX($AB$1005:$AQ$1005,1,MATCH(COLUMNS($AB$1006:AO1006),$AB$1006:$AQ$1006,0))&gt;=100000), " ",IF(INDEX($AB$2:$AQ$1001,MATCH(ROWS($U$2:U166),$U$2:$U$1001,0),MATCH(COLUMNS($AB$1006:AO1006),$AB$1006:$AQ$1006,0)), HYPERLINK("#",""), HYPERLINK(CONCATENATE("#Metadata!", ADDRESS(INDEX($W$2:$W$1001,MATCH(ROWS($U$2:U166),$U$2:$U$1001,0),0), INDEX($AB$1004:$AQ$1004,1,MATCH(COLUMNS($AB$1006:AO1006),$AB$1006:$AQ$1006,0)))),"Fix")))</f>
        <v>0</v>
      </c>
      <c r="P166" s="5">
        <f>IF(OR(INDEX($V$2:$V$1001,MATCH(ROWS($U$2:U166),$U$2:$U$1001,0),1)&gt;=100000,INDEX($AB$1005:$AQ$1005,1,MATCH(COLUMNS($AB$1006:AP1006),$AB$1006:$AQ$1006,0))&gt;=100000), " ",IF(INDEX($AB$2:$AQ$1001,MATCH(ROWS($U$2:U166),$U$2:$U$1001,0),MATCH(COLUMNS($AB$1006:AP1006),$AB$1006:$AQ$1006,0)), HYPERLINK("#",""), HYPERLINK(CONCATENATE("#Metadata!", ADDRESS(INDEX($W$2:$W$1001,MATCH(ROWS($U$2:U166),$U$2:$U$1001,0),0), INDEX($AB$1004:$AQ$1004,1,MATCH(COLUMNS($AB$1006:AP1006),$AB$1006:$AQ$1006,0)))),"Fix")))</f>
        <v>0</v>
      </c>
      <c r="Q166" s="5">
        <f>IF(OR(INDEX($V$2:$V$1001,MATCH(ROWS($U$2:U166),$U$2:$U$1001,0),1)&gt;=100000,INDEX($AB$1005:$AQ$1005,1,MATCH(COLUMNS($AB$1006:AQ1006),$AB$1006:$AQ$1006,0))&gt;=100000), " ",IF(INDEX($AB$2:$AQ$1001,MATCH(ROWS($U$2:U166),$U$2:$U$1001,0),MATCH(COLUMNS($AB$1006:AQ1006),$AB$1006:$AQ$1006,0)), HYPERLINK("#",""), HYPERLINK(CONCATENATE("#Metadata!", ADDRESS(INDEX($W$2:$W$1001,MATCH(ROWS($U$2:U166),$U$2:$U$1001,0),0), INDEX($AB$1004:$AQ$1004,1,MATCH(COLUMNS($AB$1006:AQ1006),$AB$1006:$AQ$1006,0)))),"Fix")))</f>
        <v>0</v>
      </c>
      <c r="U166">
        <v>0</v>
      </c>
      <c r="V166">
        <v>0</v>
      </c>
      <c r="W166">
        <v>0</v>
      </c>
      <c r="X166">
        <f>IF(Y166,TRUE,AND(AB166:AQ166))</f>
        <v>0</v>
      </c>
      <c r="Y166">
        <f>COUNTBLANK(Metadata!B166:Q166)=COLUMNS(Metadata!B166:Q166)</f>
        <v>0</v>
      </c>
      <c r="Z166">
        <v>0</v>
      </c>
      <c r="AB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AC166">
        <f>AND(IF(Metadata!C166="",FALSE,TRUE),exact(Metadata!C166,"urban biome"))</f>
        <v>0</v>
      </c>
      <c r="AD166">
        <f>AND(IF(Metadata!D166="",FALSE,TRUE),exact(Metadata!D166,"human-associated habitat"))</f>
        <v>0</v>
      </c>
      <c r="AE166">
        <f>AND(IF(Metadata!E166="",FALSE,TRUE),OR(exact(Metadata!E166,"human-associated"),exact(Metadata!E166,"human-skin"),exact(Metadata!E166,"human-oral"),exact(Metadata!E166,"human-gut"),exact(Metadata!E166,"human-vaginal")))</f>
        <v>0</v>
      </c>
      <c r="AF166">
        <f>AND(IF(Metadata!F166="",FALSE,ISNUMBER(VALUE(Metadata!F166))),Metadata!F166&gt;0)</f>
        <v>0</v>
      </c>
      <c r="AG166">
        <f>AND(IF(Metadata!G166="",FALSE,TRUE),exact(Metadata!G166,"years"))</f>
        <v>0</v>
      </c>
      <c r="AH166">
        <f>OR(AND(IF(Metadata!H166="",FALSE,TRUE),OR(exact(Metadata!H166,"not applicable"),exact(Metadata!H166,"not collected"),exact(Metadata!H166,"not provided"),exact(Metadata!H166,"restricted access"))),AND(IF(Metadata!H166="",FALSE,ISNUMBER(VALUE(Metadata!H166))),Metadata!H166&gt;0))</f>
        <v>0</v>
      </c>
      <c r="AI166">
        <f>AND(IF(Metadata!I166="",FALSE,TRUE),exact(Metadata!I166,"human"))</f>
        <v>0</v>
      </c>
      <c r="AJ166">
        <f>AND(IF(Metadata!J166="",FALSE,ISNUMBER(VALUE(Metadata!J166))),Metadata!J166&gt;0)</f>
        <v>0</v>
      </c>
      <c r="AK166">
        <f>AND(IF(Metadata!K166="",FALSE,TRUE),exact(Metadata!K166,"cm"))</f>
        <v>0</v>
      </c>
      <c r="AL166">
        <f>AND(IF(Metadata!L166="",FALSE,TRUE),exact(Metadata!L166,"Homo sapiens"))</f>
        <v>0</v>
      </c>
      <c r="AM166">
        <f>AND(IF(Metadata!M166="",FALSE,TRUE),exact(Metadata!M166,"9606"))</f>
        <v>0</v>
      </c>
      <c r="AN166">
        <f>AND(IF(Metadata!N166="",FALSE,ISNUMBER(VALUE(Metadata!N166))),Metadata!N166&gt;0)</f>
        <v>0</v>
      </c>
      <c r="AO166">
        <f>AND(IF(Metadata!O166="",FALSE,TRUE),exact(Metadata!O166,"kg"))</f>
        <v>0</v>
      </c>
      <c r="AP166">
        <f>OR(AND(IF(Metadata!P166="",FALSE,TRUE),exact(Metadata!P166,"not provided")),IF(Metadata!P166="",FALSE,TRUE))</f>
        <v>0</v>
      </c>
      <c r="AQ166">
        <f>OR(AND(IF(Metadata!Q166="",FALSE,TRUE),exact(Metadata!Q166,"not provided")),IF(Metadata!Q166="",FALSE,TRUE))</f>
        <v>0</v>
      </c>
    </row>
    <row r="167" spans="1:43">
      <c r="A167" s="4">
        <f>IF(B167=" "," ",HYPERLINK(CONCATENATE("#metadata!",ADDRESS(INDEX($W$2:$W$1001,MATCH(ROWS($U$2:U167),$U$2:$U$1001,0),0),2)),INDEX($Z$2:$Z$1001,MATCH(ROWS($U$2:U167),$U$2:$U$1001,0),0)))</f>
        <v>0</v>
      </c>
      <c r="B167" s="5">
        <f>IF(OR(INDEX($V$2:$V$1001,MATCH(ROWS($U$2:U167),$U$2:$U$1001,0),1)&gt;=100000,INDEX($AB$1005:$AQ$1005,1,MATCH(COLUMNS($AB$1006:AB1006),$AB$1006:$AQ$1006,0))&gt;=100000), " ",IF(INDEX($AB$2:$AQ$1001,MATCH(ROWS($U$2:U167),$U$2:$U$1001,0),MATCH(COLUMNS($AB$1006:AB1006),$AB$1006:$AQ$1006,0)), HYPERLINK("#",""), HYPERLINK(CONCATENATE("#Metadata!", ADDRESS(INDEX($W$2:$W$1001,MATCH(ROWS($U$2:U167),$U$2:$U$1001,0),0), INDEX($AB$1004:$AQ$1004,1,MATCH(COLUMNS($AB$1006:AB1006),$AB$1006:$AQ$1006,0)))),"Fix")))</f>
        <v>0</v>
      </c>
      <c r="C167" s="5">
        <f>IF(OR(INDEX($V$2:$V$1001,MATCH(ROWS($U$2:U167),$U$2:$U$1001,0),1)&gt;=100000,INDEX($AB$1005:$AQ$1005,1,MATCH(COLUMNS($AB$1006:AC1006),$AB$1006:$AQ$1006,0))&gt;=100000), " ",IF(INDEX($AB$2:$AQ$1001,MATCH(ROWS($U$2:U167),$U$2:$U$1001,0),MATCH(COLUMNS($AB$1006:AC1006),$AB$1006:$AQ$1006,0)), HYPERLINK("#",""), HYPERLINK(CONCATENATE("#Metadata!", ADDRESS(INDEX($W$2:$W$1001,MATCH(ROWS($U$2:U167),$U$2:$U$1001,0),0), INDEX($AB$1004:$AQ$1004,1,MATCH(COLUMNS($AB$1006:AC1006),$AB$1006:$AQ$1006,0)))),"Fix")))</f>
        <v>0</v>
      </c>
      <c r="D167" s="5">
        <f>IF(OR(INDEX($V$2:$V$1001,MATCH(ROWS($U$2:U167),$U$2:$U$1001,0),1)&gt;=100000,INDEX($AB$1005:$AQ$1005,1,MATCH(COLUMNS($AB$1006:AD1006),$AB$1006:$AQ$1006,0))&gt;=100000), " ",IF(INDEX($AB$2:$AQ$1001,MATCH(ROWS($U$2:U167),$U$2:$U$1001,0),MATCH(COLUMNS($AB$1006:AD1006),$AB$1006:$AQ$1006,0)), HYPERLINK("#",""), HYPERLINK(CONCATENATE("#Metadata!", ADDRESS(INDEX($W$2:$W$1001,MATCH(ROWS($U$2:U167),$U$2:$U$1001,0),0), INDEX($AB$1004:$AQ$1004,1,MATCH(COLUMNS($AB$1006:AD1006),$AB$1006:$AQ$1006,0)))),"Fix")))</f>
        <v>0</v>
      </c>
      <c r="E167" s="5">
        <f>IF(OR(INDEX($V$2:$V$1001,MATCH(ROWS($U$2:U167),$U$2:$U$1001,0),1)&gt;=100000,INDEX($AB$1005:$AQ$1005,1,MATCH(COLUMNS($AB$1006:AE1006),$AB$1006:$AQ$1006,0))&gt;=100000), " ",IF(INDEX($AB$2:$AQ$1001,MATCH(ROWS($U$2:U167),$U$2:$U$1001,0),MATCH(COLUMNS($AB$1006:AE1006),$AB$1006:$AQ$1006,0)), HYPERLINK("#",""), HYPERLINK(CONCATENATE("#Metadata!", ADDRESS(INDEX($W$2:$W$1001,MATCH(ROWS($U$2:U167),$U$2:$U$1001,0),0), INDEX($AB$1004:$AQ$1004,1,MATCH(COLUMNS($AB$1006:AE1006),$AB$1006:$AQ$1006,0)))),"Fix")))</f>
        <v>0</v>
      </c>
      <c r="F167" s="5">
        <f>IF(OR(INDEX($V$2:$V$1001,MATCH(ROWS($U$2:U167),$U$2:$U$1001,0),1)&gt;=100000,INDEX($AB$1005:$AQ$1005,1,MATCH(COLUMNS($AB$1006:AF1006),$AB$1006:$AQ$1006,0))&gt;=100000), " ",IF(INDEX($AB$2:$AQ$1001,MATCH(ROWS($U$2:U167),$U$2:$U$1001,0),MATCH(COLUMNS($AB$1006:AF1006),$AB$1006:$AQ$1006,0)), HYPERLINK("#",""), HYPERLINK(CONCATENATE("#Metadata!", ADDRESS(INDEX($W$2:$W$1001,MATCH(ROWS($U$2:U167),$U$2:$U$1001,0),0), INDEX($AB$1004:$AQ$1004,1,MATCH(COLUMNS($AB$1006:AF1006),$AB$1006:$AQ$1006,0)))),"Fix")))</f>
        <v>0</v>
      </c>
      <c r="G167" s="5">
        <f>IF(OR(INDEX($V$2:$V$1001,MATCH(ROWS($U$2:U167),$U$2:$U$1001,0),1)&gt;=100000,INDEX($AB$1005:$AQ$1005,1,MATCH(COLUMNS($AB$1006:AG1006),$AB$1006:$AQ$1006,0))&gt;=100000), " ",IF(INDEX($AB$2:$AQ$1001,MATCH(ROWS($U$2:U167),$U$2:$U$1001,0),MATCH(COLUMNS($AB$1006:AG1006),$AB$1006:$AQ$1006,0)), HYPERLINK("#",""), HYPERLINK(CONCATENATE("#Metadata!", ADDRESS(INDEX($W$2:$W$1001,MATCH(ROWS($U$2:U167),$U$2:$U$1001,0),0), INDEX($AB$1004:$AQ$1004,1,MATCH(COLUMNS($AB$1006:AG1006),$AB$1006:$AQ$1006,0)))),"Fix")))</f>
        <v>0</v>
      </c>
      <c r="H167" s="5">
        <f>IF(OR(INDEX($V$2:$V$1001,MATCH(ROWS($U$2:U167),$U$2:$U$1001,0),1)&gt;=100000,INDEX($AB$1005:$AQ$1005,1,MATCH(COLUMNS($AB$1006:AH1006),$AB$1006:$AQ$1006,0))&gt;=100000), " ",IF(INDEX($AB$2:$AQ$1001,MATCH(ROWS($U$2:U167),$U$2:$U$1001,0),MATCH(COLUMNS($AB$1006:AH1006),$AB$1006:$AQ$1006,0)), HYPERLINK("#",""), HYPERLINK(CONCATENATE("#Metadata!", ADDRESS(INDEX($W$2:$W$1001,MATCH(ROWS($U$2:U167),$U$2:$U$1001,0),0), INDEX($AB$1004:$AQ$1004,1,MATCH(COLUMNS($AB$1006:AH1006),$AB$1006:$AQ$1006,0)))),"Fix")))</f>
        <v>0</v>
      </c>
      <c r="I167" s="5">
        <f>IF(OR(INDEX($V$2:$V$1001,MATCH(ROWS($U$2:U167),$U$2:$U$1001,0),1)&gt;=100000,INDEX($AB$1005:$AQ$1005,1,MATCH(COLUMNS($AB$1006:AI1006),$AB$1006:$AQ$1006,0))&gt;=100000), " ",IF(INDEX($AB$2:$AQ$1001,MATCH(ROWS($U$2:U167),$U$2:$U$1001,0),MATCH(COLUMNS($AB$1006:AI1006),$AB$1006:$AQ$1006,0)), HYPERLINK("#",""), HYPERLINK(CONCATENATE("#Metadata!", ADDRESS(INDEX($W$2:$W$1001,MATCH(ROWS($U$2:U167),$U$2:$U$1001,0),0), INDEX($AB$1004:$AQ$1004,1,MATCH(COLUMNS($AB$1006:AI1006),$AB$1006:$AQ$1006,0)))),"Fix")))</f>
        <v>0</v>
      </c>
      <c r="J167" s="5">
        <f>IF(OR(INDEX($V$2:$V$1001,MATCH(ROWS($U$2:U167),$U$2:$U$1001,0),1)&gt;=100000,INDEX($AB$1005:$AQ$1005,1,MATCH(COLUMNS($AB$1006:AJ1006),$AB$1006:$AQ$1006,0))&gt;=100000), " ",IF(INDEX($AB$2:$AQ$1001,MATCH(ROWS($U$2:U167),$U$2:$U$1001,0),MATCH(COLUMNS($AB$1006:AJ1006),$AB$1006:$AQ$1006,0)), HYPERLINK("#",""), HYPERLINK(CONCATENATE("#Metadata!", ADDRESS(INDEX($W$2:$W$1001,MATCH(ROWS($U$2:U167),$U$2:$U$1001,0),0), INDEX($AB$1004:$AQ$1004,1,MATCH(COLUMNS($AB$1006:AJ1006),$AB$1006:$AQ$1006,0)))),"Fix")))</f>
        <v>0</v>
      </c>
      <c r="K167" s="5">
        <f>IF(OR(INDEX($V$2:$V$1001,MATCH(ROWS($U$2:U167),$U$2:$U$1001,0),1)&gt;=100000,INDEX($AB$1005:$AQ$1005,1,MATCH(COLUMNS($AB$1006:AK1006),$AB$1006:$AQ$1006,0))&gt;=100000), " ",IF(INDEX($AB$2:$AQ$1001,MATCH(ROWS($U$2:U167),$U$2:$U$1001,0),MATCH(COLUMNS($AB$1006:AK1006),$AB$1006:$AQ$1006,0)), HYPERLINK("#",""), HYPERLINK(CONCATENATE("#Metadata!", ADDRESS(INDEX($W$2:$W$1001,MATCH(ROWS($U$2:U167),$U$2:$U$1001,0),0), INDEX($AB$1004:$AQ$1004,1,MATCH(COLUMNS($AB$1006:AK1006),$AB$1006:$AQ$1006,0)))),"Fix")))</f>
        <v>0</v>
      </c>
      <c r="L167" s="5">
        <f>IF(OR(INDEX($V$2:$V$1001,MATCH(ROWS($U$2:U167),$U$2:$U$1001,0),1)&gt;=100000,INDEX($AB$1005:$AQ$1005,1,MATCH(COLUMNS($AB$1006:AL1006),$AB$1006:$AQ$1006,0))&gt;=100000), " ",IF(INDEX($AB$2:$AQ$1001,MATCH(ROWS($U$2:U167),$U$2:$U$1001,0),MATCH(COLUMNS($AB$1006:AL1006),$AB$1006:$AQ$1006,0)), HYPERLINK("#",""), HYPERLINK(CONCATENATE("#Metadata!", ADDRESS(INDEX($W$2:$W$1001,MATCH(ROWS($U$2:U167),$U$2:$U$1001,0),0), INDEX($AB$1004:$AQ$1004,1,MATCH(COLUMNS($AB$1006:AL1006),$AB$1006:$AQ$1006,0)))),"Fix")))</f>
        <v>0</v>
      </c>
      <c r="M167" s="5">
        <f>IF(OR(INDEX($V$2:$V$1001,MATCH(ROWS($U$2:U167),$U$2:$U$1001,0),1)&gt;=100000,INDEX($AB$1005:$AQ$1005,1,MATCH(COLUMNS($AB$1006:AM1006),$AB$1006:$AQ$1006,0))&gt;=100000), " ",IF(INDEX($AB$2:$AQ$1001,MATCH(ROWS($U$2:U167),$U$2:$U$1001,0),MATCH(COLUMNS($AB$1006:AM1006),$AB$1006:$AQ$1006,0)), HYPERLINK("#",""), HYPERLINK(CONCATENATE("#Metadata!", ADDRESS(INDEX($W$2:$W$1001,MATCH(ROWS($U$2:U167),$U$2:$U$1001,0),0), INDEX($AB$1004:$AQ$1004,1,MATCH(COLUMNS($AB$1006:AM1006),$AB$1006:$AQ$1006,0)))),"Fix")))</f>
        <v>0</v>
      </c>
      <c r="N167" s="5">
        <f>IF(OR(INDEX($V$2:$V$1001,MATCH(ROWS($U$2:U167),$U$2:$U$1001,0),1)&gt;=100000,INDEX($AB$1005:$AQ$1005,1,MATCH(COLUMNS($AB$1006:AN1006),$AB$1006:$AQ$1006,0))&gt;=100000), " ",IF(INDEX($AB$2:$AQ$1001,MATCH(ROWS($U$2:U167),$U$2:$U$1001,0),MATCH(COLUMNS($AB$1006:AN1006),$AB$1006:$AQ$1006,0)), HYPERLINK("#",""), HYPERLINK(CONCATENATE("#Metadata!", ADDRESS(INDEX($W$2:$W$1001,MATCH(ROWS($U$2:U167),$U$2:$U$1001,0),0), INDEX($AB$1004:$AQ$1004,1,MATCH(COLUMNS($AB$1006:AN1006),$AB$1006:$AQ$1006,0)))),"Fix")))</f>
        <v>0</v>
      </c>
      <c r="O167" s="5">
        <f>IF(OR(INDEX($V$2:$V$1001,MATCH(ROWS($U$2:U167),$U$2:$U$1001,0),1)&gt;=100000,INDEX($AB$1005:$AQ$1005,1,MATCH(COLUMNS($AB$1006:AO1006),$AB$1006:$AQ$1006,0))&gt;=100000), " ",IF(INDEX($AB$2:$AQ$1001,MATCH(ROWS($U$2:U167),$U$2:$U$1001,0),MATCH(COLUMNS($AB$1006:AO1006),$AB$1006:$AQ$1006,0)), HYPERLINK("#",""), HYPERLINK(CONCATENATE("#Metadata!", ADDRESS(INDEX($W$2:$W$1001,MATCH(ROWS($U$2:U167),$U$2:$U$1001,0),0), INDEX($AB$1004:$AQ$1004,1,MATCH(COLUMNS($AB$1006:AO1006),$AB$1006:$AQ$1006,0)))),"Fix")))</f>
        <v>0</v>
      </c>
      <c r="P167" s="5">
        <f>IF(OR(INDEX($V$2:$V$1001,MATCH(ROWS($U$2:U167),$U$2:$U$1001,0),1)&gt;=100000,INDEX($AB$1005:$AQ$1005,1,MATCH(COLUMNS($AB$1006:AP1006),$AB$1006:$AQ$1006,0))&gt;=100000), " ",IF(INDEX($AB$2:$AQ$1001,MATCH(ROWS($U$2:U167),$U$2:$U$1001,0),MATCH(COLUMNS($AB$1006:AP1006),$AB$1006:$AQ$1006,0)), HYPERLINK("#",""), HYPERLINK(CONCATENATE("#Metadata!", ADDRESS(INDEX($W$2:$W$1001,MATCH(ROWS($U$2:U167),$U$2:$U$1001,0),0), INDEX($AB$1004:$AQ$1004,1,MATCH(COLUMNS($AB$1006:AP1006),$AB$1006:$AQ$1006,0)))),"Fix")))</f>
        <v>0</v>
      </c>
      <c r="Q167" s="5">
        <f>IF(OR(INDEX($V$2:$V$1001,MATCH(ROWS($U$2:U167),$U$2:$U$1001,0),1)&gt;=100000,INDEX($AB$1005:$AQ$1005,1,MATCH(COLUMNS($AB$1006:AQ1006),$AB$1006:$AQ$1006,0))&gt;=100000), " ",IF(INDEX($AB$2:$AQ$1001,MATCH(ROWS($U$2:U167),$U$2:$U$1001,0),MATCH(COLUMNS($AB$1006:AQ1006),$AB$1006:$AQ$1006,0)), HYPERLINK("#",""), HYPERLINK(CONCATENATE("#Metadata!", ADDRESS(INDEX($W$2:$W$1001,MATCH(ROWS($U$2:U167),$U$2:$U$1001,0),0), INDEX($AB$1004:$AQ$1004,1,MATCH(COLUMNS($AB$1006:AQ1006),$AB$1006:$AQ$1006,0)))),"Fix")))</f>
        <v>0</v>
      </c>
      <c r="U167">
        <v>0</v>
      </c>
      <c r="V167">
        <v>0</v>
      </c>
      <c r="W167">
        <v>0</v>
      </c>
      <c r="X167">
        <f>IF(Y167,TRUE,AND(AB167:AQ167))</f>
        <v>0</v>
      </c>
      <c r="Y167">
        <f>COUNTBLANK(Metadata!B167:Q167)=COLUMNS(Metadata!B167:Q167)</f>
        <v>0</v>
      </c>
      <c r="Z167">
        <v>0</v>
      </c>
      <c r="AB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AC167">
        <f>AND(IF(Metadata!C167="",FALSE,TRUE),exact(Metadata!C167,"urban biome"))</f>
        <v>0</v>
      </c>
      <c r="AD167">
        <f>AND(IF(Metadata!D167="",FALSE,TRUE),exact(Metadata!D167,"human-associated habitat"))</f>
        <v>0</v>
      </c>
      <c r="AE167">
        <f>AND(IF(Metadata!E167="",FALSE,TRUE),OR(exact(Metadata!E167,"human-associated"),exact(Metadata!E167,"human-skin"),exact(Metadata!E167,"human-oral"),exact(Metadata!E167,"human-gut"),exact(Metadata!E167,"human-vaginal")))</f>
        <v>0</v>
      </c>
      <c r="AF167">
        <f>AND(IF(Metadata!F167="",FALSE,ISNUMBER(VALUE(Metadata!F167))),Metadata!F167&gt;0)</f>
        <v>0</v>
      </c>
      <c r="AG167">
        <f>AND(IF(Metadata!G167="",FALSE,TRUE),exact(Metadata!G167,"years"))</f>
        <v>0</v>
      </c>
      <c r="AH167">
        <f>OR(AND(IF(Metadata!H167="",FALSE,TRUE),OR(exact(Metadata!H167,"not applicable"),exact(Metadata!H167,"not collected"),exact(Metadata!H167,"not provided"),exact(Metadata!H167,"restricted access"))),AND(IF(Metadata!H167="",FALSE,ISNUMBER(VALUE(Metadata!H167))),Metadata!H167&gt;0))</f>
        <v>0</v>
      </c>
      <c r="AI167">
        <f>AND(IF(Metadata!I167="",FALSE,TRUE),exact(Metadata!I167,"human"))</f>
        <v>0</v>
      </c>
      <c r="AJ167">
        <f>AND(IF(Metadata!J167="",FALSE,ISNUMBER(VALUE(Metadata!J167))),Metadata!J167&gt;0)</f>
        <v>0</v>
      </c>
      <c r="AK167">
        <f>AND(IF(Metadata!K167="",FALSE,TRUE),exact(Metadata!K167,"cm"))</f>
        <v>0</v>
      </c>
      <c r="AL167">
        <f>AND(IF(Metadata!L167="",FALSE,TRUE),exact(Metadata!L167,"Homo sapiens"))</f>
        <v>0</v>
      </c>
      <c r="AM167">
        <f>AND(IF(Metadata!M167="",FALSE,TRUE),exact(Metadata!M167,"9606"))</f>
        <v>0</v>
      </c>
      <c r="AN167">
        <f>AND(IF(Metadata!N167="",FALSE,ISNUMBER(VALUE(Metadata!N167))),Metadata!N167&gt;0)</f>
        <v>0</v>
      </c>
      <c r="AO167">
        <f>AND(IF(Metadata!O167="",FALSE,TRUE),exact(Metadata!O167,"kg"))</f>
        <v>0</v>
      </c>
      <c r="AP167">
        <f>OR(AND(IF(Metadata!P167="",FALSE,TRUE),exact(Metadata!P167,"not provided")),IF(Metadata!P167="",FALSE,TRUE))</f>
        <v>0</v>
      </c>
      <c r="AQ167">
        <f>OR(AND(IF(Metadata!Q167="",FALSE,TRUE),exact(Metadata!Q167,"not provided")),IF(Metadata!Q167="",FALSE,TRUE))</f>
        <v>0</v>
      </c>
    </row>
    <row r="168" spans="1:43">
      <c r="A168" s="4">
        <f>IF(B168=" "," ",HYPERLINK(CONCATENATE("#metadata!",ADDRESS(INDEX($W$2:$W$1001,MATCH(ROWS($U$2:U168),$U$2:$U$1001,0),0),2)),INDEX($Z$2:$Z$1001,MATCH(ROWS($U$2:U168),$U$2:$U$1001,0),0)))</f>
        <v>0</v>
      </c>
      <c r="B168" s="5">
        <f>IF(OR(INDEX($V$2:$V$1001,MATCH(ROWS($U$2:U168),$U$2:$U$1001,0),1)&gt;=100000,INDEX($AB$1005:$AQ$1005,1,MATCH(COLUMNS($AB$1006:AB1006),$AB$1006:$AQ$1006,0))&gt;=100000), " ",IF(INDEX($AB$2:$AQ$1001,MATCH(ROWS($U$2:U168),$U$2:$U$1001,0),MATCH(COLUMNS($AB$1006:AB1006),$AB$1006:$AQ$1006,0)), HYPERLINK("#",""), HYPERLINK(CONCATENATE("#Metadata!", ADDRESS(INDEX($W$2:$W$1001,MATCH(ROWS($U$2:U168),$U$2:$U$1001,0),0), INDEX($AB$1004:$AQ$1004,1,MATCH(COLUMNS($AB$1006:AB1006),$AB$1006:$AQ$1006,0)))),"Fix")))</f>
        <v>0</v>
      </c>
      <c r="C168" s="5">
        <f>IF(OR(INDEX($V$2:$V$1001,MATCH(ROWS($U$2:U168),$U$2:$U$1001,0),1)&gt;=100000,INDEX($AB$1005:$AQ$1005,1,MATCH(COLUMNS($AB$1006:AC1006),$AB$1006:$AQ$1006,0))&gt;=100000), " ",IF(INDEX($AB$2:$AQ$1001,MATCH(ROWS($U$2:U168),$U$2:$U$1001,0),MATCH(COLUMNS($AB$1006:AC1006),$AB$1006:$AQ$1006,0)), HYPERLINK("#",""), HYPERLINK(CONCATENATE("#Metadata!", ADDRESS(INDEX($W$2:$W$1001,MATCH(ROWS($U$2:U168),$U$2:$U$1001,0),0), INDEX($AB$1004:$AQ$1004,1,MATCH(COLUMNS($AB$1006:AC1006),$AB$1006:$AQ$1006,0)))),"Fix")))</f>
        <v>0</v>
      </c>
      <c r="D168" s="5">
        <f>IF(OR(INDEX($V$2:$V$1001,MATCH(ROWS($U$2:U168),$U$2:$U$1001,0),1)&gt;=100000,INDEX($AB$1005:$AQ$1005,1,MATCH(COLUMNS($AB$1006:AD1006),$AB$1006:$AQ$1006,0))&gt;=100000), " ",IF(INDEX($AB$2:$AQ$1001,MATCH(ROWS($U$2:U168),$U$2:$U$1001,0),MATCH(COLUMNS($AB$1006:AD1006),$AB$1006:$AQ$1006,0)), HYPERLINK("#",""), HYPERLINK(CONCATENATE("#Metadata!", ADDRESS(INDEX($W$2:$W$1001,MATCH(ROWS($U$2:U168),$U$2:$U$1001,0),0), INDEX($AB$1004:$AQ$1004,1,MATCH(COLUMNS($AB$1006:AD1006),$AB$1006:$AQ$1006,0)))),"Fix")))</f>
        <v>0</v>
      </c>
      <c r="E168" s="5">
        <f>IF(OR(INDEX($V$2:$V$1001,MATCH(ROWS($U$2:U168),$U$2:$U$1001,0),1)&gt;=100000,INDEX($AB$1005:$AQ$1005,1,MATCH(COLUMNS($AB$1006:AE1006),$AB$1006:$AQ$1006,0))&gt;=100000), " ",IF(INDEX($AB$2:$AQ$1001,MATCH(ROWS($U$2:U168),$U$2:$U$1001,0),MATCH(COLUMNS($AB$1006:AE1006),$AB$1006:$AQ$1006,0)), HYPERLINK("#",""), HYPERLINK(CONCATENATE("#Metadata!", ADDRESS(INDEX($W$2:$W$1001,MATCH(ROWS($U$2:U168),$U$2:$U$1001,0),0), INDEX($AB$1004:$AQ$1004,1,MATCH(COLUMNS($AB$1006:AE1006),$AB$1006:$AQ$1006,0)))),"Fix")))</f>
        <v>0</v>
      </c>
      <c r="F168" s="5">
        <f>IF(OR(INDEX($V$2:$V$1001,MATCH(ROWS($U$2:U168),$U$2:$U$1001,0),1)&gt;=100000,INDEX($AB$1005:$AQ$1005,1,MATCH(COLUMNS($AB$1006:AF1006),$AB$1006:$AQ$1006,0))&gt;=100000), " ",IF(INDEX($AB$2:$AQ$1001,MATCH(ROWS($U$2:U168),$U$2:$U$1001,0),MATCH(COLUMNS($AB$1006:AF1006),$AB$1006:$AQ$1006,0)), HYPERLINK("#",""), HYPERLINK(CONCATENATE("#Metadata!", ADDRESS(INDEX($W$2:$W$1001,MATCH(ROWS($U$2:U168),$U$2:$U$1001,0),0), INDEX($AB$1004:$AQ$1004,1,MATCH(COLUMNS($AB$1006:AF1006),$AB$1006:$AQ$1006,0)))),"Fix")))</f>
        <v>0</v>
      </c>
      <c r="G168" s="5">
        <f>IF(OR(INDEX($V$2:$V$1001,MATCH(ROWS($U$2:U168),$U$2:$U$1001,0),1)&gt;=100000,INDEX($AB$1005:$AQ$1005,1,MATCH(COLUMNS($AB$1006:AG1006),$AB$1006:$AQ$1006,0))&gt;=100000), " ",IF(INDEX($AB$2:$AQ$1001,MATCH(ROWS($U$2:U168),$U$2:$U$1001,0),MATCH(COLUMNS($AB$1006:AG1006),$AB$1006:$AQ$1006,0)), HYPERLINK("#",""), HYPERLINK(CONCATENATE("#Metadata!", ADDRESS(INDEX($W$2:$W$1001,MATCH(ROWS($U$2:U168),$U$2:$U$1001,0),0), INDEX($AB$1004:$AQ$1004,1,MATCH(COLUMNS($AB$1006:AG1006),$AB$1006:$AQ$1006,0)))),"Fix")))</f>
        <v>0</v>
      </c>
      <c r="H168" s="5">
        <f>IF(OR(INDEX($V$2:$V$1001,MATCH(ROWS($U$2:U168),$U$2:$U$1001,0),1)&gt;=100000,INDEX($AB$1005:$AQ$1005,1,MATCH(COLUMNS($AB$1006:AH1006),$AB$1006:$AQ$1006,0))&gt;=100000), " ",IF(INDEX($AB$2:$AQ$1001,MATCH(ROWS($U$2:U168),$U$2:$U$1001,0),MATCH(COLUMNS($AB$1006:AH1006),$AB$1006:$AQ$1006,0)), HYPERLINK("#",""), HYPERLINK(CONCATENATE("#Metadata!", ADDRESS(INDEX($W$2:$W$1001,MATCH(ROWS($U$2:U168),$U$2:$U$1001,0),0), INDEX($AB$1004:$AQ$1004,1,MATCH(COLUMNS($AB$1006:AH1006),$AB$1006:$AQ$1006,0)))),"Fix")))</f>
        <v>0</v>
      </c>
      <c r="I168" s="5">
        <f>IF(OR(INDEX($V$2:$V$1001,MATCH(ROWS($U$2:U168),$U$2:$U$1001,0),1)&gt;=100000,INDEX($AB$1005:$AQ$1005,1,MATCH(COLUMNS($AB$1006:AI1006),$AB$1006:$AQ$1006,0))&gt;=100000), " ",IF(INDEX($AB$2:$AQ$1001,MATCH(ROWS($U$2:U168),$U$2:$U$1001,0),MATCH(COLUMNS($AB$1006:AI1006),$AB$1006:$AQ$1006,0)), HYPERLINK("#",""), HYPERLINK(CONCATENATE("#Metadata!", ADDRESS(INDEX($W$2:$W$1001,MATCH(ROWS($U$2:U168),$U$2:$U$1001,0),0), INDEX($AB$1004:$AQ$1004,1,MATCH(COLUMNS($AB$1006:AI1006),$AB$1006:$AQ$1006,0)))),"Fix")))</f>
        <v>0</v>
      </c>
      <c r="J168" s="5">
        <f>IF(OR(INDEX($V$2:$V$1001,MATCH(ROWS($U$2:U168),$U$2:$U$1001,0),1)&gt;=100000,INDEX($AB$1005:$AQ$1005,1,MATCH(COLUMNS($AB$1006:AJ1006),$AB$1006:$AQ$1006,0))&gt;=100000), " ",IF(INDEX($AB$2:$AQ$1001,MATCH(ROWS($U$2:U168),$U$2:$U$1001,0),MATCH(COLUMNS($AB$1006:AJ1006),$AB$1006:$AQ$1006,0)), HYPERLINK("#",""), HYPERLINK(CONCATENATE("#Metadata!", ADDRESS(INDEX($W$2:$W$1001,MATCH(ROWS($U$2:U168),$U$2:$U$1001,0),0), INDEX($AB$1004:$AQ$1004,1,MATCH(COLUMNS($AB$1006:AJ1006),$AB$1006:$AQ$1006,0)))),"Fix")))</f>
        <v>0</v>
      </c>
      <c r="K168" s="5">
        <f>IF(OR(INDEX($V$2:$V$1001,MATCH(ROWS($U$2:U168),$U$2:$U$1001,0),1)&gt;=100000,INDEX($AB$1005:$AQ$1005,1,MATCH(COLUMNS($AB$1006:AK1006),$AB$1006:$AQ$1006,0))&gt;=100000), " ",IF(INDEX($AB$2:$AQ$1001,MATCH(ROWS($U$2:U168),$U$2:$U$1001,0),MATCH(COLUMNS($AB$1006:AK1006),$AB$1006:$AQ$1006,0)), HYPERLINK("#",""), HYPERLINK(CONCATENATE("#Metadata!", ADDRESS(INDEX($W$2:$W$1001,MATCH(ROWS($U$2:U168),$U$2:$U$1001,0),0), INDEX($AB$1004:$AQ$1004,1,MATCH(COLUMNS($AB$1006:AK1006),$AB$1006:$AQ$1006,0)))),"Fix")))</f>
        <v>0</v>
      </c>
      <c r="L168" s="5">
        <f>IF(OR(INDEX($V$2:$V$1001,MATCH(ROWS($U$2:U168),$U$2:$U$1001,0),1)&gt;=100000,INDEX($AB$1005:$AQ$1005,1,MATCH(COLUMNS($AB$1006:AL1006),$AB$1006:$AQ$1006,0))&gt;=100000), " ",IF(INDEX($AB$2:$AQ$1001,MATCH(ROWS($U$2:U168),$U$2:$U$1001,0),MATCH(COLUMNS($AB$1006:AL1006),$AB$1006:$AQ$1006,0)), HYPERLINK("#",""), HYPERLINK(CONCATENATE("#Metadata!", ADDRESS(INDEX($W$2:$W$1001,MATCH(ROWS($U$2:U168),$U$2:$U$1001,0),0), INDEX($AB$1004:$AQ$1004,1,MATCH(COLUMNS($AB$1006:AL1006),$AB$1006:$AQ$1006,0)))),"Fix")))</f>
        <v>0</v>
      </c>
      <c r="M168" s="5">
        <f>IF(OR(INDEX($V$2:$V$1001,MATCH(ROWS($U$2:U168),$U$2:$U$1001,0),1)&gt;=100000,INDEX($AB$1005:$AQ$1005,1,MATCH(COLUMNS($AB$1006:AM1006),$AB$1006:$AQ$1006,0))&gt;=100000), " ",IF(INDEX($AB$2:$AQ$1001,MATCH(ROWS($U$2:U168),$U$2:$U$1001,0),MATCH(COLUMNS($AB$1006:AM1006),$AB$1006:$AQ$1006,0)), HYPERLINK("#",""), HYPERLINK(CONCATENATE("#Metadata!", ADDRESS(INDEX($W$2:$W$1001,MATCH(ROWS($U$2:U168),$U$2:$U$1001,0),0), INDEX($AB$1004:$AQ$1004,1,MATCH(COLUMNS($AB$1006:AM1006),$AB$1006:$AQ$1006,0)))),"Fix")))</f>
        <v>0</v>
      </c>
      <c r="N168" s="5">
        <f>IF(OR(INDEX($V$2:$V$1001,MATCH(ROWS($U$2:U168),$U$2:$U$1001,0),1)&gt;=100000,INDEX($AB$1005:$AQ$1005,1,MATCH(COLUMNS($AB$1006:AN1006),$AB$1006:$AQ$1006,0))&gt;=100000), " ",IF(INDEX($AB$2:$AQ$1001,MATCH(ROWS($U$2:U168),$U$2:$U$1001,0),MATCH(COLUMNS($AB$1006:AN1006),$AB$1006:$AQ$1006,0)), HYPERLINK("#",""), HYPERLINK(CONCATENATE("#Metadata!", ADDRESS(INDEX($W$2:$W$1001,MATCH(ROWS($U$2:U168),$U$2:$U$1001,0),0), INDEX($AB$1004:$AQ$1004,1,MATCH(COLUMNS($AB$1006:AN1006),$AB$1006:$AQ$1006,0)))),"Fix")))</f>
        <v>0</v>
      </c>
      <c r="O168" s="5">
        <f>IF(OR(INDEX($V$2:$V$1001,MATCH(ROWS($U$2:U168),$U$2:$U$1001,0),1)&gt;=100000,INDEX($AB$1005:$AQ$1005,1,MATCH(COLUMNS($AB$1006:AO1006),$AB$1006:$AQ$1006,0))&gt;=100000), " ",IF(INDEX($AB$2:$AQ$1001,MATCH(ROWS($U$2:U168),$U$2:$U$1001,0),MATCH(COLUMNS($AB$1006:AO1006),$AB$1006:$AQ$1006,0)), HYPERLINK("#",""), HYPERLINK(CONCATENATE("#Metadata!", ADDRESS(INDEX($W$2:$W$1001,MATCH(ROWS($U$2:U168),$U$2:$U$1001,0),0), INDEX($AB$1004:$AQ$1004,1,MATCH(COLUMNS($AB$1006:AO1006),$AB$1006:$AQ$1006,0)))),"Fix")))</f>
        <v>0</v>
      </c>
      <c r="P168" s="5">
        <f>IF(OR(INDEX($V$2:$V$1001,MATCH(ROWS($U$2:U168),$U$2:$U$1001,0),1)&gt;=100000,INDEX($AB$1005:$AQ$1005,1,MATCH(COLUMNS($AB$1006:AP1006),$AB$1006:$AQ$1006,0))&gt;=100000), " ",IF(INDEX($AB$2:$AQ$1001,MATCH(ROWS($U$2:U168),$U$2:$U$1001,0),MATCH(COLUMNS($AB$1006:AP1006),$AB$1006:$AQ$1006,0)), HYPERLINK("#",""), HYPERLINK(CONCATENATE("#Metadata!", ADDRESS(INDEX($W$2:$W$1001,MATCH(ROWS($U$2:U168),$U$2:$U$1001,0),0), INDEX($AB$1004:$AQ$1004,1,MATCH(COLUMNS($AB$1006:AP1006),$AB$1006:$AQ$1006,0)))),"Fix")))</f>
        <v>0</v>
      </c>
      <c r="Q168" s="5">
        <f>IF(OR(INDEX($V$2:$V$1001,MATCH(ROWS($U$2:U168),$U$2:$U$1001,0),1)&gt;=100000,INDEX($AB$1005:$AQ$1005,1,MATCH(COLUMNS($AB$1006:AQ1006),$AB$1006:$AQ$1006,0))&gt;=100000), " ",IF(INDEX($AB$2:$AQ$1001,MATCH(ROWS($U$2:U168),$U$2:$U$1001,0),MATCH(COLUMNS($AB$1006:AQ1006),$AB$1006:$AQ$1006,0)), HYPERLINK("#",""), HYPERLINK(CONCATENATE("#Metadata!", ADDRESS(INDEX($W$2:$W$1001,MATCH(ROWS($U$2:U168),$U$2:$U$1001,0),0), INDEX($AB$1004:$AQ$1004,1,MATCH(COLUMNS($AB$1006:AQ1006),$AB$1006:$AQ$1006,0)))),"Fix")))</f>
        <v>0</v>
      </c>
      <c r="U168">
        <v>0</v>
      </c>
      <c r="V168">
        <v>0</v>
      </c>
      <c r="W168">
        <v>0</v>
      </c>
      <c r="X168">
        <f>IF(Y168,TRUE,AND(AB168:AQ168))</f>
        <v>0</v>
      </c>
      <c r="Y168">
        <f>COUNTBLANK(Metadata!B168:Q168)=COLUMNS(Metadata!B168:Q168)</f>
        <v>0</v>
      </c>
      <c r="Z168">
        <v>0</v>
      </c>
      <c r="AB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AC168">
        <f>AND(IF(Metadata!C168="",FALSE,TRUE),exact(Metadata!C168,"urban biome"))</f>
        <v>0</v>
      </c>
      <c r="AD168">
        <f>AND(IF(Metadata!D168="",FALSE,TRUE),exact(Metadata!D168,"human-associated habitat"))</f>
        <v>0</v>
      </c>
      <c r="AE168">
        <f>AND(IF(Metadata!E168="",FALSE,TRUE),OR(exact(Metadata!E168,"human-associated"),exact(Metadata!E168,"human-skin"),exact(Metadata!E168,"human-oral"),exact(Metadata!E168,"human-gut"),exact(Metadata!E168,"human-vaginal")))</f>
        <v>0</v>
      </c>
      <c r="AF168">
        <f>AND(IF(Metadata!F168="",FALSE,ISNUMBER(VALUE(Metadata!F168))),Metadata!F168&gt;0)</f>
        <v>0</v>
      </c>
      <c r="AG168">
        <f>AND(IF(Metadata!G168="",FALSE,TRUE),exact(Metadata!G168,"years"))</f>
        <v>0</v>
      </c>
      <c r="AH168">
        <f>OR(AND(IF(Metadata!H168="",FALSE,TRUE),OR(exact(Metadata!H168,"not applicable"),exact(Metadata!H168,"not collected"),exact(Metadata!H168,"not provided"),exact(Metadata!H168,"restricted access"))),AND(IF(Metadata!H168="",FALSE,ISNUMBER(VALUE(Metadata!H168))),Metadata!H168&gt;0))</f>
        <v>0</v>
      </c>
      <c r="AI168">
        <f>AND(IF(Metadata!I168="",FALSE,TRUE),exact(Metadata!I168,"human"))</f>
        <v>0</v>
      </c>
      <c r="AJ168">
        <f>AND(IF(Metadata!J168="",FALSE,ISNUMBER(VALUE(Metadata!J168))),Metadata!J168&gt;0)</f>
        <v>0</v>
      </c>
      <c r="AK168">
        <f>AND(IF(Metadata!K168="",FALSE,TRUE),exact(Metadata!K168,"cm"))</f>
        <v>0</v>
      </c>
      <c r="AL168">
        <f>AND(IF(Metadata!L168="",FALSE,TRUE),exact(Metadata!L168,"Homo sapiens"))</f>
        <v>0</v>
      </c>
      <c r="AM168">
        <f>AND(IF(Metadata!M168="",FALSE,TRUE),exact(Metadata!M168,"9606"))</f>
        <v>0</v>
      </c>
      <c r="AN168">
        <f>AND(IF(Metadata!N168="",FALSE,ISNUMBER(VALUE(Metadata!N168))),Metadata!N168&gt;0)</f>
        <v>0</v>
      </c>
      <c r="AO168">
        <f>AND(IF(Metadata!O168="",FALSE,TRUE),exact(Metadata!O168,"kg"))</f>
        <v>0</v>
      </c>
      <c r="AP168">
        <f>OR(AND(IF(Metadata!P168="",FALSE,TRUE),exact(Metadata!P168,"not provided")),IF(Metadata!P168="",FALSE,TRUE))</f>
        <v>0</v>
      </c>
      <c r="AQ168">
        <f>OR(AND(IF(Metadata!Q168="",FALSE,TRUE),exact(Metadata!Q168,"not provided")),IF(Metadata!Q168="",FALSE,TRUE))</f>
        <v>0</v>
      </c>
    </row>
    <row r="169" spans="1:43">
      <c r="A169" s="4">
        <f>IF(B169=" "," ",HYPERLINK(CONCATENATE("#metadata!",ADDRESS(INDEX($W$2:$W$1001,MATCH(ROWS($U$2:U169),$U$2:$U$1001,0),0),2)),INDEX($Z$2:$Z$1001,MATCH(ROWS($U$2:U169),$U$2:$U$1001,0),0)))</f>
        <v>0</v>
      </c>
      <c r="B169" s="5">
        <f>IF(OR(INDEX($V$2:$V$1001,MATCH(ROWS($U$2:U169),$U$2:$U$1001,0),1)&gt;=100000,INDEX($AB$1005:$AQ$1005,1,MATCH(COLUMNS($AB$1006:AB1006),$AB$1006:$AQ$1006,0))&gt;=100000), " ",IF(INDEX($AB$2:$AQ$1001,MATCH(ROWS($U$2:U169),$U$2:$U$1001,0),MATCH(COLUMNS($AB$1006:AB1006),$AB$1006:$AQ$1006,0)), HYPERLINK("#",""), HYPERLINK(CONCATENATE("#Metadata!", ADDRESS(INDEX($W$2:$W$1001,MATCH(ROWS($U$2:U169),$U$2:$U$1001,0),0), INDEX($AB$1004:$AQ$1004,1,MATCH(COLUMNS($AB$1006:AB1006),$AB$1006:$AQ$1006,0)))),"Fix")))</f>
        <v>0</v>
      </c>
      <c r="C169" s="5">
        <f>IF(OR(INDEX($V$2:$V$1001,MATCH(ROWS($U$2:U169),$U$2:$U$1001,0),1)&gt;=100000,INDEX($AB$1005:$AQ$1005,1,MATCH(COLUMNS($AB$1006:AC1006),$AB$1006:$AQ$1006,0))&gt;=100000), " ",IF(INDEX($AB$2:$AQ$1001,MATCH(ROWS($U$2:U169),$U$2:$U$1001,0),MATCH(COLUMNS($AB$1006:AC1006),$AB$1006:$AQ$1006,0)), HYPERLINK("#",""), HYPERLINK(CONCATENATE("#Metadata!", ADDRESS(INDEX($W$2:$W$1001,MATCH(ROWS($U$2:U169),$U$2:$U$1001,0),0), INDEX($AB$1004:$AQ$1004,1,MATCH(COLUMNS($AB$1006:AC1006),$AB$1006:$AQ$1006,0)))),"Fix")))</f>
        <v>0</v>
      </c>
      <c r="D169" s="5">
        <f>IF(OR(INDEX($V$2:$V$1001,MATCH(ROWS($U$2:U169),$U$2:$U$1001,0),1)&gt;=100000,INDEX($AB$1005:$AQ$1005,1,MATCH(COLUMNS($AB$1006:AD1006),$AB$1006:$AQ$1006,0))&gt;=100000), " ",IF(INDEX($AB$2:$AQ$1001,MATCH(ROWS($U$2:U169),$U$2:$U$1001,0),MATCH(COLUMNS($AB$1006:AD1006),$AB$1006:$AQ$1006,0)), HYPERLINK("#",""), HYPERLINK(CONCATENATE("#Metadata!", ADDRESS(INDEX($W$2:$W$1001,MATCH(ROWS($U$2:U169),$U$2:$U$1001,0),0), INDEX($AB$1004:$AQ$1004,1,MATCH(COLUMNS($AB$1006:AD1006),$AB$1006:$AQ$1006,0)))),"Fix")))</f>
        <v>0</v>
      </c>
      <c r="E169" s="5">
        <f>IF(OR(INDEX($V$2:$V$1001,MATCH(ROWS($U$2:U169),$U$2:$U$1001,0),1)&gt;=100000,INDEX($AB$1005:$AQ$1005,1,MATCH(COLUMNS($AB$1006:AE1006),$AB$1006:$AQ$1006,0))&gt;=100000), " ",IF(INDEX($AB$2:$AQ$1001,MATCH(ROWS($U$2:U169),$U$2:$U$1001,0),MATCH(COLUMNS($AB$1006:AE1006),$AB$1006:$AQ$1006,0)), HYPERLINK("#",""), HYPERLINK(CONCATENATE("#Metadata!", ADDRESS(INDEX($W$2:$W$1001,MATCH(ROWS($U$2:U169),$U$2:$U$1001,0),0), INDEX($AB$1004:$AQ$1004,1,MATCH(COLUMNS($AB$1006:AE1006),$AB$1006:$AQ$1006,0)))),"Fix")))</f>
        <v>0</v>
      </c>
      <c r="F169" s="5">
        <f>IF(OR(INDEX($V$2:$V$1001,MATCH(ROWS($U$2:U169),$U$2:$U$1001,0),1)&gt;=100000,INDEX($AB$1005:$AQ$1005,1,MATCH(COLUMNS($AB$1006:AF1006),$AB$1006:$AQ$1006,0))&gt;=100000), " ",IF(INDEX($AB$2:$AQ$1001,MATCH(ROWS($U$2:U169),$U$2:$U$1001,0),MATCH(COLUMNS($AB$1006:AF1006),$AB$1006:$AQ$1006,0)), HYPERLINK("#",""), HYPERLINK(CONCATENATE("#Metadata!", ADDRESS(INDEX($W$2:$W$1001,MATCH(ROWS($U$2:U169),$U$2:$U$1001,0),0), INDEX($AB$1004:$AQ$1004,1,MATCH(COLUMNS($AB$1006:AF1006),$AB$1006:$AQ$1006,0)))),"Fix")))</f>
        <v>0</v>
      </c>
      <c r="G169" s="5">
        <f>IF(OR(INDEX($V$2:$V$1001,MATCH(ROWS($U$2:U169),$U$2:$U$1001,0),1)&gt;=100000,INDEX($AB$1005:$AQ$1005,1,MATCH(COLUMNS($AB$1006:AG1006),$AB$1006:$AQ$1006,0))&gt;=100000), " ",IF(INDEX($AB$2:$AQ$1001,MATCH(ROWS($U$2:U169),$U$2:$U$1001,0),MATCH(COLUMNS($AB$1006:AG1006),$AB$1006:$AQ$1006,0)), HYPERLINK("#",""), HYPERLINK(CONCATENATE("#Metadata!", ADDRESS(INDEX($W$2:$W$1001,MATCH(ROWS($U$2:U169),$U$2:$U$1001,0),0), INDEX($AB$1004:$AQ$1004,1,MATCH(COLUMNS($AB$1006:AG1006),$AB$1006:$AQ$1006,0)))),"Fix")))</f>
        <v>0</v>
      </c>
      <c r="H169" s="5">
        <f>IF(OR(INDEX($V$2:$V$1001,MATCH(ROWS($U$2:U169),$U$2:$U$1001,0),1)&gt;=100000,INDEX($AB$1005:$AQ$1005,1,MATCH(COLUMNS($AB$1006:AH1006),$AB$1006:$AQ$1006,0))&gt;=100000), " ",IF(INDEX($AB$2:$AQ$1001,MATCH(ROWS($U$2:U169),$U$2:$U$1001,0),MATCH(COLUMNS($AB$1006:AH1006),$AB$1006:$AQ$1006,0)), HYPERLINK("#",""), HYPERLINK(CONCATENATE("#Metadata!", ADDRESS(INDEX($W$2:$W$1001,MATCH(ROWS($U$2:U169),$U$2:$U$1001,0),0), INDEX($AB$1004:$AQ$1004,1,MATCH(COLUMNS($AB$1006:AH1006),$AB$1006:$AQ$1006,0)))),"Fix")))</f>
        <v>0</v>
      </c>
      <c r="I169" s="5">
        <f>IF(OR(INDEX($V$2:$V$1001,MATCH(ROWS($U$2:U169),$U$2:$U$1001,0),1)&gt;=100000,INDEX($AB$1005:$AQ$1005,1,MATCH(COLUMNS($AB$1006:AI1006),$AB$1006:$AQ$1006,0))&gt;=100000), " ",IF(INDEX($AB$2:$AQ$1001,MATCH(ROWS($U$2:U169),$U$2:$U$1001,0),MATCH(COLUMNS($AB$1006:AI1006),$AB$1006:$AQ$1006,0)), HYPERLINK("#",""), HYPERLINK(CONCATENATE("#Metadata!", ADDRESS(INDEX($W$2:$W$1001,MATCH(ROWS($U$2:U169),$U$2:$U$1001,0),0), INDEX($AB$1004:$AQ$1004,1,MATCH(COLUMNS($AB$1006:AI1006),$AB$1006:$AQ$1006,0)))),"Fix")))</f>
        <v>0</v>
      </c>
      <c r="J169" s="5">
        <f>IF(OR(INDEX($V$2:$V$1001,MATCH(ROWS($U$2:U169),$U$2:$U$1001,0),1)&gt;=100000,INDEX($AB$1005:$AQ$1005,1,MATCH(COLUMNS($AB$1006:AJ1006),$AB$1006:$AQ$1006,0))&gt;=100000), " ",IF(INDEX($AB$2:$AQ$1001,MATCH(ROWS($U$2:U169),$U$2:$U$1001,0),MATCH(COLUMNS($AB$1006:AJ1006),$AB$1006:$AQ$1006,0)), HYPERLINK("#",""), HYPERLINK(CONCATENATE("#Metadata!", ADDRESS(INDEX($W$2:$W$1001,MATCH(ROWS($U$2:U169),$U$2:$U$1001,0),0), INDEX($AB$1004:$AQ$1004,1,MATCH(COLUMNS($AB$1006:AJ1006),$AB$1006:$AQ$1006,0)))),"Fix")))</f>
        <v>0</v>
      </c>
      <c r="K169" s="5">
        <f>IF(OR(INDEX($V$2:$V$1001,MATCH(ROWS($U$2:U169),$U$2:$U$1001,0),1)&gt;=100000,INDEX($AB$1005:$AQ$1005,1,MATCH(COLUMNS($AB$1006:AK1006),$AB$1006:$AQ$1006,0))&gt;=100000), " ",IF(INDEX($AB$2:$AQ$1001,MATCH(ROWS($U$2:U169),$U$2:$U$1001,0),MATCH(COLUMNS($AB$1006:AK1006),$AB$1006:$AQ$1006,0)), HYPERLINK("#",""), HYPERLINK(CONCATENATE("#Metadata!", ADDRESS(INDEX($W$2:$W$1001,MATCH(ROWS($U$2:U169),$U$2:$U$1001,0),0), INDEX($AB$1004:$AQ$1004,1,MATCH(COLUMNS($AB$1006:AK1006),$AB$1006:$AQ$1006,0)))),"Fix")))</f>
        <v>0</v>
      </c>
      <c r="L169" s="5">
        <f>IF(OR(INDEX($V$2:$V$1001,MATCH(ROWS($U$2:U169),$U$2:$U$1001,0),1)&gt;=100000,INDEX($AB$1005:$AQ$1005,1,MATCH(COLUMNS($AB$1006:AL1006),$AB$1006:$AQ$1006,0))&gt;=100000), " ",IF(INDEX($AB$2:$AQ$1001,MATCH(ROWS($U$2:U169),$U$2:$U$1001,0),MATCH(COLUMNS($AB$1006:AL1006),$AB$1006:$AQ$1006,0)), HYPERLINK("#",""), HYPERLINK(CONCATENATE("#Metadata!", ADDRESS(INDEX($W$2:$W$1001,MATCH(ROWS($U$2:U169),$U$2:$U$1001,0),0), INDEX($AB$1004:$AQ$1004,1,MATCH(COLUMNS($AB$1006:AL1006),$AB$1006:$AQ$1006,0)))),"Fix")))</f>
        <v>0</v>
      </c>
      <c r="M169" s="5">
        <f>IF(OR(INDEX($V$2:$V$1001,MATCH(ROWS($U$2:U169),$U$2:$U$1001,0),1)&gt;=100000,INDEX($AB$1005:$AQ$1005,1,MATCH(COLUMNS($AB$1006:AM1006),$AB$1006:$AQ$1006,0))&gt;=100000), " ",IF(INDEX($AB$2:$AQ$1001,MATCH(ROWS($U$2:U169),$U$2:$U$1001,0),MATCH(COLUMNS($AB$1006:AM1006),$AB$1006:$AQ$1006,0)), HYPERLINK("#",""), HYPERLINK(CONCATENATE("#Metadata!", ADDRESS(INDEX($W$2:$W$1001,MATCH(ROWS($U$2:U169),$U$2:$U$1001,0),0), INDEX($AB$1004:$AQ$1004,1,MATCH(COLUMNS($AB$1006:AM1006),$AB$1006:$AQ$1006,0)))),"Fix")))</f>
        <v>0</v>
      </c>
      <c r="N169" s="5">
        <f>IF(OR(INDEX($V$2:$V$1001,MATCH(ROWS($U$2:U169),$U$2:$U$1001,0),1)&gt;=100000,INDEX($AB$1005:$AQ$1005,1,MATCH(COLUMNS($AB$1006:AN1006),$AB$1006:$AQ$1006,0))&gt;=100000), " ",IF(INDEX($AB$2:$AQ$1001,MATCH(ROWS($U$2:U169),$U$2:$U$1001,0),MATCH(COLUMNS($AB$1006:AN1006),$AB$1006:$AQ$1006,0)), HYPERLINK("#",""), HYPERLINK(CONCATENATE("#Metadata!", ADDRESS(INDEX($W$2:$W$1001,MATCH(ROWS($U$2:U169),$U$2:$U$1001,0),0), INDEX($AB$1004:$AQ$1004,1,MATCH(COLUMNS($AB$1006:AN1006),$AB$1006:$AQ$1006,0)))),"Fix")))</f>
        <v>0</v>
      </c>
      <c r="O169" s="5">
        <f>IF(OR(INDEX($V$2:$V$1001,MATCH(ROWS($U$2:U169),$U$2:$U$1001,0),1)&gt;=100000,INDEX($AB$1005:$AQ$1005,1,MATCH(COLUMNS($AB$1006:AO1006),$AB$1006:$AQ$1006,0))&gt;=100000), " ",IF(INDEX($AB$2:$AQ$1001,MATCH(ROWS($U$2:U169),$U$2:$U$1001,0),MATCH(COLUMNS($AB$1006:AO1006),$AB$1006:$AQ$1006,0)), HYPERLINK("#",""), HYPERLINK(CONCATENATE("#Metadata!", ADDRESS(INDEX($W$2:$W$1001,MATCH(ROWS($U$2:U169),$U$2:$U$1001,0),0), INDEX($AB$1004:$AQ$1004,1,MATCH(COLUMNS($AB$1006:AO1006),$AB$1006:$AQ$1006,0)))),"Fix")))</f>
        <v>0</v>
      </c>
      <c r="P169" s="5">
        <f>IF(OR(INDEX($V$2:$V$1001,MATCH(ROWS($U$2:U169),$U$2:$U$1001,0),1)&gt;=100000,INDEX($AB$1005:$AQ$1005,1,MATCH(COLUMNS($AB$1006:AP1006),$AB$1006:$AQ$1006,0))&gt;=100000), " ",IF(INDEX($AB$2:$AQ$1001,MATCH(ROWS($U$2:U169),$U$2:$U$1001,0),MATCH(COLUMNS($AB$1006:AP1006),$AB$1006:$AQ$1006,0)), HYPERLINK("#",""), HYPERLINK(CONCATENATE("#Metadata!", ADDRESS(INDEX($W$2:$W$1001,MATCH(ROWS($U$2:U169),$U$2:$U$1001,0),0), INDEX($AB$1004:$AQ$1004,1,MATCH(COLUMNS($AB$1006:AP1006),$AB$1006:$AQ$1006,0)))),"Fix")))</f>
        <v>0</v>
      </c>
      <c r="Q169" s="5">
        <f>IF(OR(INDEX($V$2:$V$1001,MATCH(ROWS($U$2:U169),$U$2:$U$1001,0),1)&gt;=100000,INDEX($AB$1005:$AQ$1005,1,MATCH(COLUMNS($AB$1006:AQ1006),$AB$1006:$AQ$1006,0))&gt;=100000), " ",IF(INDEX($AB$2:$AQ$1001,MATCH(ROWS($U$2:U169),$U$2:$U$1001,0),MATCH(COLUMNS($AB$1006:AQ1006),$AB$1006:$AQ$1006,0)), HYPERLINK("#",""), HYPERLINK(CONCATENATE("#Metadata!", ADDRESS(INDEX($W$2:$W$1001,MATCH(ROWS($U$2:U169),$U$2:$U$1001,0),0), INDEX($AB$1004:$AQ$1004,1,MATCH(COLUMNS($AB$1006:AQ1006),$AB$1006:$AQ$1006,0)))),"Fix")))</f>
        <v>0</v>
      </c>
      <c r="U169">
        <v>0</v>
      </c>
      <c r="V169">
        <v>0</v>
      </c>
      <c r="W169">
        <v>0</v>
      </c>
      <c r="X169">
        <f>IF(Y169,TRUE,AND(AB169:AQ169))</f>
        <v>0</v>
      </c>
      <c r="Y169">
        <f>COUNTBLANK(Metadata!B169:Q169)=COLUMNS(Metadata!B169:Q169)</f>
        <v>0</v>
      </c>
      <c r="Z169">
        <v>0</v>
      </c>
      <c r="AB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AC169">
        <f>AND(IF(Metadata!C169="",FALSE,TRUE),exact(Metadata!C169,"urban biome"))</f>
        <v>0</v>
      </c>
      <c r="AD169">
        <f>AND(IF(Metadata!D169="",FALSE,TRUE),exact(Metadata!D169,"human-associated habitat"))</f>
        <v>0</v>
      </c>
      <c r="AE169">
        <f>AND(IF(Metadata!E169="",FALSE,TRUE),OR(exact(Metadata!E169,"human-associated"),exact(Metadata!E169,"human-skin"),exact(Metadata!E169,"human-oral"),exact(Metadata!E169,"human-gut"),exact(Metadata!E169,"human-vaginal")))</f>
        <v>0</v>
      </c>
      <c r="AF169">
        <f>AND(IF(Metadata!F169="",FALSE,ISNUMBER(VALUE(Metadata!F169))),Metadata!F169&gt;0)</f>
        <v>0</v>
      </c>
      <c r="AG169">
        <f>AND(IF(Metadata!G169="",FALSE,TRUE),exact(Metadata!G169,"years"))</f>
        <v>0</v>
      </c>
      <c r="AH169">
        <f>OR(AND(IF(Metadata!H169="",FALSE,TRUE),OR(exact(Metadata!H169,"not applicable"),exact(Metadata!H169,"not collected"),exact(Metadata!H169,"not provided"),exact(Metadata!H169,"restricted access"))),AND(IF(Metadata!H169="",FALSE,ISNUMBER(VALUE(Metadata!H169))),Metadata!H169&gt;0))</f>
        <v>0</v>
      </c>
      <c r="AI169">
        <f>AND(IF(Metadata!I169="",FALSE,TRUE),exact(Metadata!I169,"human"))</f>
        <v>0</v>
      </c>
      <c r="AJ169">
        <f>AND(IF(Metadata!J169="",FALSE,ISNUMBER(VALUE(Metadata!J169))),Metadata!J169&gt;0)</f>
        <v>0</v>
      </c>
      <c r="AK169">
        <f>AND(IF(Metadata!K169="",FALSE,TRUE),exact(Metadata!K169,"cm"))</f>
        <v>0</v>
      </c>
      <c r="AL169">
        <f>AND(IF(Metadata!L169="",FALSE,TRUE),exact(Metadata!L169,"Homo sapiens"))</f>
        <v>0</v>
      </c>
      <c r="AM169">
        <f>AND(IF(Metadata!M169="",FALSE,TRUE),exact(Metadata!M169,"9606"))</f>
        <v>0</v>
      </c>
      <c r="AN169">
        <f>AND(IF(Metadata!N169="",FALSE,ISNUMBER(VALUE(Metadata!N169))),Metadata!N169&gt;0)</f>
        <v>0</v>
      </c>
      <c r="AO169">
        <f>AND(IF(Metadata!O169="",FALSE,TRUE),exact(Metadata!O169,"kg"))</f>
        <v>0</v>
      </c>
      <c r="AP169">
        <f>OR(AND(IF(Metadata!P169="",FALSE,TRUE),exact(Metadata!P169,"not provided")),IF(Metadata!P169="",FALSE,TRUE))</f>
        <v>0</v>
      </c>
      <c r="AQ169">
        <f>OR(AND(IF(Metadata!Q169="",FALSE,TRUE),exact(Metadata!Q169,"not provided")),IF(Metadata!Q169="",FALSE,TRUE))</f>
        <v>0</v>
      </c>
    </row>
    <row r="170" spans="1:43">
      <c r="A170" s="4">
        <f>IF(B170=" "," ",HYPERLINK(CONCATENATE("#metadata!",ADDRESS(INDEX($W$2:$W$1001,MATCH(ROWS($U$2:U170),$U$2:$U$1001,0),0),2)),INDEX($Z$2:$Z$1001,MATCH(ROWS($U$2:U170),$U$2:$U$1001,0),0)))</f>
        <v>0</v>
      </c>
      <c r="B170" s="5">
        <f>IF(OR(INDEX($V$2:$V$1001,MATCH(ROWS($U$2:U170),$U$2:$U$1001,0),1)&gt;=100000,INDEX($AB$1005:$AQ$1005,1,MATCH(COLUMNS($AB$1006:AB1006),$AB$1006:$AQ$1006,0))&gt;=100000), " ",IF(INDEX($AB$2:$AQ$1001,MATCH(ROWS($U$2:U170),$U$2:$U$1001,0),MATCH(COLUMNS($AB$1006:AB1006),$AB$1006:$AQ$1006,0)), HYPERLINK("#",""), HYPERLINK(CONCATENATE("#Metadata!", ADDRESS(INDEX($W$2:$W$1001,MATCH(ROWS($U$2:U170),$U$2:$U$1001,0),0), INDEX($AB$1004:$AQ$1004,1,MATCH(COLUMNS($AB$1006:AB1006),$AB$1006:$AQ$1006,0)))),"Fix")))</f>
        <v>0</v>
      </c>
      <c r="C170" s="5">
        <f>IF(OR(INDEX($V$2:$V$1001,MATCH(ROWS($U$2:U170),$U$2:$U$1001,0),1)&gt;=100000,INDEX($AB$1005:$AQ$1005,1,MATCH(COLUMNS($AB$1006:AC1006),$AB$1006:$AQ$1006,0))&gt;=100000), " ",IF(INDEX($AB$2:$AQ$1001,MATCH(ROWS($U$2:U170),$U$2:$U$1001,0),MATCH(COLUMNS($AB$1006:AC1006),$AB$1006:$AQ$1006,0)), HYPERLINK("#",""), HYPERLINK(CONCATENATE("#Metadata!", ADDRESS(INDEX($W$2:$W$1001,MATCH(ROWS($U$2:U170),$U$2:$U$1001,0),0), INDEX($AB$1004:$AQ$1004,1,MATCH(COLUMNS($AB$1006:AC1006),$AB$1006:$AQ$1006,0)))),"Fix")))</f>
        <v>0</v>
      </c>
      <c r="D170" s="5">
        <f>IF(OR(INDEX($V$2:$V$1001,MATCH(ROWS($U$2:U170),$U$2:$U$1001,0),1)&gt;=100000,INDEX($AB$1005:$AQ$1005,1,MATCH(COLUMNS($AB$1006:AD1006),$AB$1006:$AQ$1006,0))&gt;=100000), " ",IF(INDEX($AB$2:$AQ$1001,MATCH(ROWS($U$2:U170),$U$2:$U$1001,0),MATCH(COLUMNS($AB$1006:AD1006),$AB$1006:$AQ$1006,0)), HYPERLINK("#",""), HYPERLINK(CONCATENATE("#Metadata!", ADDRESS(INDEX($W$2:$W$1001,MATCH(ROWS($U$2:U170),$U$2:$U$1001,0),0), INDEX($AB$1004:$AQ$1004,1,MATCH(COLUMNS($AB$1006:AD1006),$AB$1006:$AQ$1006,0)))),"Fix")))</f>
        <v>0</v>
      </c>
      <c r="E170" s="5">
        <f>IF(OR(INDEX($V$2:$V$1001,MATCH(ROWS($U$2:U170),$U$2:$U$1001,0),1)&gt;=100000,INDEX($AB$1005:$AQ$1005,1,MATCH(COLUMNS($AB$1006:AE1006),$AB$1006:$AQ$1006,0))&gt;=100000), " ",IF(INDEX($AB$2:$AQ$1001,MATCH(ROWS($U$2:U170),$U$2:$U$1001,0),MATCH(COLUMNS($AB$1006:AE1006),$AB$1006:$AQ$1006,0)), HYPERLINK("#",""), HYPERLINK(CONCATENATE("#Metadata!", ADDRESS(INDEX($W$2:$W$1001,MATCH(ROWS($U$2:U170),$U$2:$U$1001,0),0), INDEX($AB$1004:$AQ$1004,1,MATCH(COLUMNS($AB$1006:AE1006),$AB$1006:$AQ$1006,0)))),"Fix")))</f>
        <v>0</v>
      </c>
      <c r="F170" s="5">
        <f>IF(OR(INDEX($V$2:$V$1001,MATCH(ROWS($U$2:U170),$U$2:$U$1001,0),1)&gt;=100000,INDEX($AB$1005:$AQ$1005,1,MATCH(COLUMNS($AB$1006:AF1006),$AB$1006:$AQ$1006,0))&gt;=100000), " ",IF(INDEX($AB$2:$AQ$1001,MATCH(ROWS($U$2:U170),$U$2:$U$1001,0),MATCH(COLUMNS($AB$1006:AF1006),$AB$1006:$AQ$1006,0)), HYPERLINK("#",""), HYPERLINK(CONCATENATE("#Metadata!", ADDRESS(INDEX($W$2:$W$1001,MATCH(ROWS($U$2:U170),$U$2:$U$1001,0),0), INDEX($AB$1004:$AQ$1004,1,MATCH(COLUMNS($AB$1006:AF1006),$AB$1006:$AQ$1006,0)))),"Fix")))</f>
        <v>0</v>
      </c>
      <c r="G170" s="5">
        <f>IF(OR(INDEX($V$2:$V$1001,MATCH(ROWS($U$2:U170),$U$2:$U$1001,0),1)&gt;=100000,INDEX($AB$1005:$AQ$1005,1,MATCH(COLUMNS($AB$1006:AG1006),$AB$1006:$AQ$1006,0))&gt;=100000), " ",IF(INDEX($AB$2:$AQ$1001,MATCH(ROWS($U$2:U170),$U$2:$U$1001,0),MATCH(COLUMNS($AB$1006:AG1006),$AB$1006:$AQ$1006,0)), HYPERLINK("#",""), HYPERLINK(CONCATENATE("#Metadata!", ADDRESS(INDEX($W$2:$W$1001,MATCH(ROWS($U$2:U170),$U$2:$U$1001,0),0), INDEX($AB$1004:$AQ$1004,1,MATCH(COLUMNS($AB$1006:AG1006),$AB$1006:$AQ$1006,0)))),"Fix")))</f>
        <v>0</v>
      </c>
      <c r="H170" s="5">
        <f>IF(OR(INDEX($V$2:$V$1001,MATCH(ROWS($U$2:U170),$U$2:$U$1001,0),1)&gt;=100000,INDEX($AB$1005:$AQ$1005,1,MATCH(COLUMNS($AB$1006:AH1006),$AB$1006:$AQ$1006,0))&gt;=100000), " ",IF(INDEX($AB$2:$AQ$1001,MATCH(ROWS($U$2:U170),$U$2:$U$1001,0),MATCH(COLUMNS($AB$1006:AH1006),$AB$1006:$AQ$1006,0)), HYPERLINK("#",""), HYPERLINK(CONCATENATE("#Metadata!", ADDRESS(INDEX($W$2:$W$1001,MATCH(ROWS($U$2:U170),$U$2:$U$1001,0),0), INDEX($AB$1004:$AQ$1004,1,MATCH(COLUMNS($AB$1006:AH1006),$AB$1006:$AQ$1006,0)))),"Fix")))</f>
        <v>0</v>
      </c>
      <c r="I170" s="5">
        <f>IF(OR(INDEX($V$2:$V$1001,MATCH(ROWS($U$2:U170),$U$2:$U$1001,0),1)&gt;=100000,INDEX($AB$1005:$AQ$1005,1,MATCH(COLUMNS($AB$1006:AI1006),$AB$1006:$AQ$1006,0))&gt;=100000), " ",IF(INDEX($AB$2:$AQ$1001,MATCH(ROWS($U$2:U170),$U$2:$U$1001,0),MATCH(COLUMNS($AB$1006:AI1006),$AB$1006:$AQ$1006,0)), HYPERLINK("#",""), HYPERLINK(CONCATENATE("#Metadata!", ADDRESS(INDEX($W$2:$W$1001,MATCH(ROWS($U$2:U170),$U$2:$U$1001,0),0), INDEX($AB$1004:$AQ$1004,1,MATCH(COLUMNS($AB$1006:AI1006),$AB$1006:$AQ$1006,0)))),"Fix")))</f>
        <v>0</v>
      </c>
      <c r="J170" s="5">
        <f>IF(OR(INDEX($V$2:$V$1001,MATCH(ROWS($U$2:U170),$U$2:$U$1001,0),1)&gt;=100000,INDEX($AB$1005:$AQ$1005,1,MATCH(COLUMNS($AB$1006:AJ1006),$AB$1006:$AQ$1006,0))&gt;=100000), " ",IF(INDEX($AB$2:$AQ$1001,MATCH(ROWS($U$2:U170),$U$2:$U$1001,0),MATCH(COLUMNS($AB$1006:AJ1006),$AB$1006:$AQ$1006,0)), HYPERLINK("#",""), HYPERLINK(CONCATENATE("#Metadata!", ADDRESS(INDEX($W$2:$W$1001,MATCH(ROWS($U$2:U170),$U$2:$U$1001,0),0), INDEX($AB$1004:$AQ$1004,1,MATCH(COLUMNS($AB$1006:AJ1006),$AB$1006:$AQ$1006,0)))),"Fix")))</f>
        <v>0</v>
      </c>
      <c r="K170" s="5">
        <f>IF(OR(INDEX($V$2:$V$1001,MATCH(ROWS($U$2:U170),$U$2:$U$1001,0),1)&gt;=100000,INDEX($AB$1005:$AQ$1005,1,MATCH(COLUMNS($AB$1006:AK1006),$AB$1006:$AQ$1006,0))&gt;=100000), " ",IF(INDEX($AB$2:$AQ$1001,MATCH(ROWS($U$2:U170),$U$2:$U$1001,0),MATCH(COLUMNS($AB$1006:AK1006),$AB$1006:$AQ$1006,0)), HYPERLINK("#",""), HYPERLINK(CONCATENATE("#Metadata!", ADDRESS(INDEX($W$2:$W$1001,MATCH(ROWS($U$2:U170),$U$2:$U$1001,0),0), INDEX($AB$1004:$AQ$1004,1,MATCH(COLUMNS($AB$1006:AK1006),$AB$1006:$AQ$1006,0)))),"Fix")))</f>
        <v>0</v>
      </c>
      <c r="L170" s="5">
        <f>IF(OR(INDEX($V$2:$V$1001,MATCH(ROWS($U$2:U170),$U$2:$U$1001,0),1)&gt;=100000,INDEX($AB$1005:$AQ$1005,1,MATCH(COLUMNS($AB$1006:AL1006),$AB$1006:$AQ$1006,0))&gt;=100000), " ",IF(INDEX($AB$2:$AQ$1001,MATCH(ROWS($U$2:U170),$U$2:$U$1001,0),MATCH(COLUMNS($AB$1006:AL1006),$AB$1006:$AQ$1006,0)), HYPERLINK("#",""), HYPERLINK(CONCATENATE("#Metadata!", ADDRESS(INDEX($W$2:$W$1001,MATCH(ROWS($U$2:U170),$U$2:$U$1001,0),0), INDEX($AB$1004:$AQ$1004,1,MATCH(COLUMNS($AB$1006:AL1006),$AB$1006:$AQ$1006,0)))),"Fix")))</f>
        <v>0</v>
      </c>
      <c r="M170" s="5">
        <f>IF(OR(INDEX($V$2:$V$1001,MATCH(ROWS($U$2:U170),$U$2:$U$1001,0),1)&gt;=100000,INDEX($AB$1005:$AQ$1005,1,MATCH(COLUMNS($AB$1006:AM1006),$AB$1006:$AQ$1006,0))&gt;=100000), " ",IF(INDEX($AB$2:$AQ$1001,MATCH(ROWS($U$2:U170),$U$2:$U$1001,0),MATCH(COLUMNS($AB$1006:AM1006),$AB$1006:$AQ$1006,0)), HYPERLINK("#",""), HYPERLINK(CONCATENATE("#Metadata!", ADDRESS(INDEX($W$2:$W$1001,MATCH(ROWS($U$2:U170),$U$2:$U$1001,0),0), INDEX($AB$1004:$AQ$1004,1,MATCH(COLUMNS($AB$1006:AM1006),$AB$1006:$AQ$1006,0)))),"Fix")))</f>
        <v>0</v>
      </c>
      <c r="N170" s="5">
        <f>IF(OR(INDEX($V$2:$V$1001,MATCH(ROWS($U$2:U170),$U$2:$U$1001,0),1)&gt;=100000,INDEX($AB$1005:$AQ$1005,1,MATCH(COLUMNS($AB$1006:AN1006),$AB$1006:$AQ$1006,0))&gt;=100000), " ",IF(INDEX($AB$2:$AQ$1001,MATCH(ROWS($U$2:U170),$U$2:$U$1001,0),MATCH(COLUMNS($AB$1006:AN1006),$AB$1006:$AQ$1006,0)), HYPERLINK("#",""), HYPERLINK(CONCATENATE("#Metadata!", ADDRESS(INDEX($W$2:$W$1001,MATCH(ROWS($U$2:U170),$U$2:$U$1001,0),0), INDEX($AB$1004:$AQ$1004,1,MATCH(COLUMNS($AB$1006:AN1006),$AB$1006:$AQ$1006,0)))),"Fix")))</f>
        <v>0</v>
      </c>
      <c r="O170" s="5">
        <f>IF(OR(INDEX($V$2:$V$1001,MATCH(ROWS($U$2:U170),$U$2:$U$1001,0),1)&gt;=100000,INDEX($AB$1005:$AQ$1005,1,MATCH(COLUMNS($AB$1006:AO1006),$AB$1006:$AQ$1006,0))&gt;=100000), " ",IF(INDEX($AB$2:$AQ$1001,MATCH(ROWS($U$2:U170),$U$2:$U$1001,0),MATCH(COLUMNS($AB$1006:AO1006),$AB$1006:$AQ$1006,0)), HYPERLINK("#",""), HYPERLINK(CONCATENATE("#Metadata!", ADDRESS(INDEX($W$2:$W$1001,MATCH(ROWS($U$2:U170),$U$2:$U$1001,0),0), INDEX($AB$1004:$AQ$1004,1,MATCH(COLUMNS($AB$1006:AO1006),$AB$1006:$AQ$1006,0)))),"Fix")))</f>
        <v>0</v>
      </c>
      <c r="P170" s="5">
        <f>IF(OR(INDEX($V$2:$V$1001,MATCH(ROWS($U$2:U170),$U$2:$U$1001,0),1)&gt;=100000,INDEX($AB$1005:$AQ$1005,1,MATCH(COLUMNS($AB$1006:AP1006),$AB$1006:$AQ$1006,0))&gt;=100000), " ",IF(INDEX($AB$2:$AQ$1001,MATCH(ROWS($U$2:U170),$U$2:$U$1001,0),MATCH(COLUMNS($AB$1006:AP1006),$AB$1006:$AQ$1006,0)), HYPERLINK("#",""), HYPERLINK(CONCATENATE("#Metadata!", ADDRESS(INDEX($W$2:$W$1001,MATCH(ROWS($U$2:U170),$U$2:$U$1001,0),0), INDEX($AB$1004:$AQ$1004,1,MATCH(COLUMNS($AB$1006:AP1006),$AB$1006:$AQ$1006,0)))),"Fix")))</f>
        <v>0</v>
      </c>
      <c r="Q170" s="5">
        <f>IF(OR(INDEX($V$2:$V$1001,MATCH(ROWS($U$2:U170),$U$2:$U$1001,0),1)&gt;=100000,INDEX($AB$1005:$AQ$1005,1,MATCH(COLUMNS($AB$1006:AQ1006),$AB$1006:$AQ$1006,0))&gt;=100000), " ",IF(INDEX($AB$2:$AQ$1001,MATCH(ROWS($U$2:U170),$U$2:$U$1001,0),MATCH(COLUMNS($AB$1006:AQ1006),$AB$1006:$AQ$1006,0)), HYPERLINK("#",""), HYPERLINK(CONCATENATE("#Metadata!", ADDRESS(INDEX($W$2:$W$1001,MATCH(ROWS($U$2:U170),$U$2:$U$1001,0),0), INDEX($AB$1004:$AQ$1004,1,MATCH(COLUMNS($AB$1006:AQ1006),$AB$1006:$AQ$1006,0)))),"Fix")))</f>
        <v>0</v>
      </c>
      <c r="U170">
        <v>0</v>
      </c>
      <c r="V170">
        <v>0</v>
      </c>
      <c r="W170">
        <v>0</v>
      </c>
      <c r="X170">
        <f>IF(Y170,TRUE,AND(AB170:AQ170))</f>
        <v>0</v>
      </c>
      <c r="Y170">
        <f>COUNTBLANK(Metadata!B170:Q170)=COLUMNS(Metadata!B170:Q170)</f>
        <v>0</v>
      </c>
      <c r="Z170">
        <v>0</v>
      </c>
      <c r="AB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AC170">
        <f>AND(IF(Metadata!C170="",FALSE,TRUE),exact(Metadata!C170,"urban biome"))</f>
        <v>0</v>
      </c>
      <c r="AD170">
        <f>AND(IF(Metadata!D170="",FALSE,TRUE),exact(Metadata!D170,"human-associated habitat"))</f>
        <v>0</v>
      </c>
      <c r="AE170">
        <f>AND(IF(Metadata!E170="",FALSE,TRUE),OR(exact(Metadata!E170,"human-associated"),exact(Metadata!E170,"human-skin"),exact(Metadata!E170,"human-oral"),exact(Metadata!E170,"human-gut"),exact(Metadata!E170,"human-vaginal")))</f>
        <v>0</v>
      </c>
      <c r="AF170">
        <f>AND(IF(Metadata!F170="",FALSE,ISNUMBER(VALUE(Metadata!F170))),Metadata!F170&gt;0)</f>
        <v>0</v>
      </c>
      <c r="AG170">
        <f>AND(IF(Metadata!G170="",FALSE,TRUE),exact(Metadata!G170,"years"))</f>
        <v>0</v>
      </c>
      <c r="AH170">
        <f>OR(AND(IF(Metadata!H170="",FALSE,TRUE),OR(exact(Metadata!H170,"not applicable"),exact(Metadata!H170,"not collected"),exact(Metadata!H170,"not provided"),exact(Metadata!H170,"restricted access"))),AND(IF(Metadata!H170="",FALSE,ISNUMBER(VALUE(Metadata!H170))),Metadata!H170&gt;0))</f>
        <v>0</v>
      </c>
      <c r="AI170">
        <f>AND(IF(Metadata!I170="",FALSE,TRUE),exact(Metadata!I170,"human"))</f>
        <v>0</v>
      </c>
      <c r="AJ170">
        <f>AND(IF(Metadata!J170="",FALSE,ISNUMBER(VALUE(Metadata!J170))),Metadata!J170&gt;0)</f>
        <v>0</v>
      </c>
      <c r="AK170">
        <f>AND(IF(Metadata!K170="",FALSE,TRUE),exact(Metadata!K170,"cm"))</f>
        <v>0</v>
      </c>
      <c r="AL170">
        <f>AND(IF(Metadata!L170="",FALSE,TRUE),exact(Metadata!L170,"Homo sapiens"))</f>
        <v>0</v>
      </c>
      <c r="AM170">
        <f>AND(IF(Metadata!M170="",FALSE,TRUE),exact(Metadata!M170,"9606"))</f>
        <v>0</v>
      </c>
      <c r="AN170">
        <f>AND(IF(Metadata!N170="",FALSE,ISNUMBER(VALUE(Metadata!N170))),Metadata!N170&gt;0)</f>
        <v>0</v>
      </c>
      <c r="AO170">
        <f>AND(IF(Metadata!O170="",FALSE,TRUE),exact(Metadata!O170,"kg"))</f>
        <v>0</v>
      </c>
      <c r="AP170">
        <f>OR(AND(IF(Metadata!P170="",FALSE,TRUE),exact(Metadata!P170,"not provided")),IF(Metadata!P170="",FALSE,TRUE))</f>
        <v>0</v>
      </c>
      <c r="AQ170">
        <f>OR(AND(IF(Metadata!Q170="",FALSE,TRUE),exact(Metadata!Q170,"not provided")),IF(Metadata!Q170="",FALSE,TRUE))</f>
        <v>0</v>
      </c>
    </row>
    <row r="171" spans="1:43">
      <c r="A171" s="4">
        <f>IF(B171=" "," ",HYPERLINK(CONCATENATE("#metadata!",ADDRESS(INDEX($W$2:$W$1001,MATCH(ROWS($U$2:U171),$U$2:$U$1001,0),0),2)),INDEX($Z$2:$Z$1001,MATCH(ROWS($U$2:U171),$U$2:$U$1001,0),0)))</f>
        <v>0</v>
      </c>
      <c r="B171" s="5">
        <f>IF(OR(INDEX($V$2:$V$1001,MATCH(ROWS($U$2:U171),$U$2:$U$1001,0),1)&gt;=100000,INDEX($AB$1005:$AQ$1005,1,MATCH(COLUMNS($AB$1006:AB1006),$AB$1006:$AQ$1006,0))&gt;=100000), " ",IF(INDEX($AB$2:$AQ$1001,MATCH(ROWS($U$2:U171),$U$2:$U$1001,0),MATCH(COLUMNS($AB$1006:AB1006),$AB$1006:$AQ$1006,0)), HYPERLINK("#",""), HYPERLINK(CONCATENATE("#Metadata!", ADDRESS(INDEX($W$2:$W$1001,MATCH(ROWS($U$2:U171),$U$2:$U$1001,0),0), INDEX($AB$1004:$AQ$1004,1,MATCH(COLUMNS($AB$1006:AB1006),$AB$1006:$AQ$1006,0)))),"Fix")))</f>
        <v>0</v>
      </c>
      <c r="C171" s="5">
        <f>IF(OR(INDEX($V$2:$V$1001,MATCH(ROWS($U$2:U171),$U$2:$U$1001,0),1)&gt;=100000,INDEX($AB$1005:$AQ$1005,1,MATCH(COLUMNS($AB$1006:AC1006),$AB$1006:$AQ$1006,0))&gt;=100000), " ",IF(INDEX($AB$2:$AQ$1001,MATCH(ROWS($U$2:U171),$U$2:$U$1001,0),MATCH(COLUMNS($AB$1006:AC1006),$AB$1006:$AQ$1006,0)), HYPERLINK("#",""), HYPERLINK(CONCATENATE("#Metadata!", ADDRESS(INDEX($W$2:$W$1001,MATCH(ROWS($U$2:U171),$U$2:$U$1001,0),0), INDEX($AB$1004:$AQ$1004,1,MATCH(COLUMNS($AB$1006:AC1006),$AB$1006:$AQ$1006,0)))),"Fix")))</f>
        <v>0</v>
      </c>
      <c r="D171" s="5">
        <f>IF(OR(INDEX($V$2:$V$1001,MATCH(ROWS($U$2:U171),$U$2:$U$1001,0),1)&gt;=100000,INDEX($AB$1005:$AQ$1005,1,MATCH(COLUMNS($AB$1006:AD1006),$AB$1006:$AQ$1006,0))&gt;=100000), " ",IF(INDEX($AB$2:$AQ$1001,MATCH(ROWS($U$2:U171),$U$2:$U$1001,0),MATCH(COLUMNS($AB$1006:AD1006),$AB$1006:$AQ$1006,0)), HYPERLINK("#",""), HYPERLINK(CONCATENATE("#Metadata!", ADDRESS(INDEX($W$2:$W$1001,MATCH(ROWS($U$2:U171),$U$2:$U$1001,0),0), INDEX($AB$1004:$AQ$1004,1,MATCH(COLUMNS($AB$1006:AD1006),$AB$1006:$AQ$1006,0)))),"Fix")))</f>
        <v>0</v>
      </c>
      <c r="E171" s="5">
        <f>IF(OR(INDEX($V$2:$V$1001,MATCH(ROWS($U$2:U171),$U$2:$U$1001,0),1)&gt;=100000,INDEX($AB$1005:$AQ$1005,1,MATCH(COLUMNS($AB$1006:AE1006),$AB$1006:$AQ$1006,0))&gt;=100000), " ",IF(INDEX($AB$2:$AQ$1001,MATCH(ROWS($U$2:U171),$U$2:$U$1001,0),MATCH(COLUMNS($AB$1006:AE1006),$AB$1006:$AQ$1006,0)), HYPERLINK("#",""), HYPERLINK(CONCATENATE("#Metadata!", ADDRESS(INDEX($W$2:$W$1001,MATCH(ROWS($U$2:U171),$U$2:$U$1001,0),0), INDEX($AB$1004:$AQ$1004,1,MATCH(COLUMNS($AB$1006:AE1006),$AB$1006:$AQ$1006,0)))),"Fix")))</f>
        <v>0</v>
      </c>
      <c r="F171" s="5">
        <f>IF(OR(INDEX($V$2:$V$1001,MATCH(ROWS($U$2:U171),$U$2:$U$1001,0),1)&gt;=100000,INDEX($AB$1005:$AQ$1005,1,MATCH(COLUMNS($AB$1006:AF1006),$AB$1006:$AQ$1006,0))&gt;=100000), " ",IF(INDEX($AB$2:$AQ$1001,MATCH(ROWS($U$2:U171),$U$2:$U$1001,0),MATCH(COLUMNS($AB$1006:AF1006),$AB$1006:$AQ$1006,0)), HYPERLINK("#",""), HYPERLINK(CONCATENATE("#Metadata!", ADDRESS(INDEX($W$2:$W$1001,MATCH(ROWS($U$2:U171),$U$2:$U$1001,0),0), INDEX($AB$1004:$AQ$1004,1,MATCH(COLUMNS($AB$1006:AF1006),$AB$1006:$AQ$1006,0)))),"Fix")))</f>
        <v>0</v>
      </c>
      <c r="G171" s="5">
        <f>IF(OR(INDEX($V$2:$V$1001,MATCH(ROWS($U$2:U171),$U$2:$U$1001,0),1)&gt;=100000,INDEX($AB$1005:$AQ$1005,1,MATCH(COLUMNS($AB$1006:AG1006),$AB$1006:$AQ$1006,0))&gt;=100000), " ",IF(INDEX($AB$2:$AQ$1001,MATCH(ROWS($U$2:U171),$U$2:$U$1001,0),MATCH(COLUMNS($AB$1006:AG1006),$AB$1006:$AQ$1006,0)), HYPERLINK("#",""), HYPERLINK(CONCATENATE("#Metadata!", ADDRESS(INDEX($W$2:$W$1001,MATCH(ROWS($U$2:U171),$U$2:$U$1001,0),0), INDEX($AB$1004:$AQ$1004,1,MATCH(COLUMNS($AB$1006:AG1006),$AB$1006:$AQ$1006,0)))),"Fix")))</f>
        <v>0</v>
      </c>
      <c r="H171" s="5">
        <f>IF(OR(INDEX($V$2:$V$1001,MATCH(ROWS($U$2:U171),$U$2:$U$1001,0),1)&gt;=100000,INDEX($AB$1005:$AQ$1005,1,MATCH(COLUMNS($AB$1006:AH1006),$AB$1006:$AQ$1006,0))&gt;=100000), " ",IF(INDEX($AB$2:$AQ$1001,MATCH(ROWS($U$2:U171),$U$2:$U$1001,0),MATCH(COLUMNS($AB$1006:AH1006),$AB$1006:$AQ$1006,0)), HYPERLINK("#",""), HYPERLINK(CONCATENATE("#Metadata!", ADDRESS(INDEX($W$2:$W$1001,MATCH(ROWS($U$2:U171),$U$2:$U$1001,0),0), INDEX($AB$1004:$AQ$1004,1,MATCH(COLUMNS($AB$1006:AH1006),$AB$1006:$AQ$1006,0)))),"Fix")))</f>
        <v>0</v>
      </c>
      <c r="I171" s="5">
        <f>IF(OR(INDEX($V$2:$V$1001,MATCH(ROWS($U$2:U171),$U$2:$U$1001,0),1)&gt;=100000,INDEX($AB$1005:$AQ$1005,1,MATCH(COLUMNS($AB$1006:AI1006),$AB$1006:$AQ$1006,0))&gt;=100000), " ",IF(INDEX($AB$2:$AQ$1001,MATCH(ROWS($U$2:U171),$U$2:$U$1001,0),MATCH(COLUMNS($AB$1006:AI1006),$AB$1006:$AQ$1006,0)), HYPERLINK("#",""), HYPERLINK(CONCATENATE("#Metadata!", ADDRESS(INDEX($W$2:$W$1001,MATCH(ROWS($U$2:U171),$U$2:$U$1001,0),0), INDEX($AB$1004:$AQ$1004,1,MATCH(COLUMNS($AB$1006:AI1006),$AB$1006:$AQ$1006,0)))),"Fix")))</f>
        <v>0</v>
      </c>
      <c r="J171" s="5">
        <f>IF(OR(INDEX($V$2:$V$1001,MATCH(ROWS($U$2:U171),$U$2:$U$1001,0),1)&gt;=100000,INDEX($AB$1005:$AQ$1005,1,MATCH(COLUMNS($AB$1006:AJ1006),$AB$1006:$AQ$1006,0))&gt;=100000), " ",IF(INDEX($AB$2:$AQ$1001,MATCH(ROWS($U$2:U171),$U$2:$U$1001,0),MATCH(COLUMNS($AB$1006:AJ1006),$AB$1006:$AQ$1006,0)), HYPERLINK("#",""), HYPERLINK(CONCATENATE("#Metadata!", ADDRESS(INDEX($W$2:$W$1001,MATCH(ROWS($U$2:U171),$U$2:$U$1001,0),0), INDEX($AB$1004:$AQ$1004,1,MATCH(COLUMNS($AB$1006:AJ1006),$AB$1006:$AQ$1006,0)))),"Fix")))</f>
        <v>0</v>
      </c>
      <c r="K171" s="5">
        <f>IF(OR(INDEX($V$2:$V$1001,MATCH(ROWS($U$2:U171),$U$2:$U$1001,0),1)&gt;=100000,INDEX($AB$1005:$AQ$1005,1,MATCH(COLUMNS($AB$1006:AK1006),$AB$1006:$AQ$1006,0))&gt;=100000), " ",IF(INDEX($AB$2:$AQ$1001,MATCH(ROWS($U$2:U171),$U$2:$U$1001,0),MATCH(COLUMNS($AB$1006:AK1006),$AB$1006:$AQ$1006,0)), HYPERLINK("#",""), HYPERLINK(CONCATENATE("#Metadata!", ADDRESS(INDEX($W$2:$W$1001,MATCH(ROWS($U$2:U171),$U$2:$U$1001,0),0), INDEX($AB$1004:$AQ$1004,1,MATCH(COLUMNS($AB$1006:AK1006),$AB$1006:$AQ$1006,0)))),"Fix")))</f>
        <v>0</v>
      </c>
      <c r="L171" s="5">
        <f>IF(OR(INDEX($V$2:$V$1001,MATCH(ROWS($U$2:U171),$U$2:$U$1001,0),1)&gt;=100000,INDEX($AB$1005:$AQ$1005,1,MATCH(COLUMNS($AB$1006:AL1006),$AB$1006:$AQ$1006,0))&gt;=100000), " ",IF(INDEX($AB$2:$AQ$1001,MATCH(ROWS($U$2:U171),$U$2:$U$1001,0),MATCH(COLUMNS($AB$1006:AL1006),$AB$1006:$AQ$1006,0)), HYPERLINK("#",""), HYPERLINK(CONCATENATE("#Metadata!", ADDRESS(INDEX($W$2:$W$1001,MATCH(ROWS($U$2:U171),$U$2:$U$1001,0),0), INDEX($AB$1004:$AQ$1004,1,MATCH(COLUMNS($AB$1006:AL1006),$AB$1006:$AQ$1006,0)))),"Fix")))</f>
        <v>0</v>
      </c>
      <c r="M171" s="5">
        <f>IF(OR(INDEX($V$2:$V$1001,MATCH(ROWS($U$2:U171),$U$2:$U$1001,0),1)&gt;=100000,INDEX($AB$1005:$AQ$1005,1,MATCH(COLUMNS($AB$1006:AM1006),$AB$1006:$AQ$1006,0))&gt;=100000), " ",IF(INDEX($AB$2:$AQ$1001,MATCH(ROWS($U$2:U171),$U$2:$U$1001,0),MATCH(COLUMNS($AB$1006:AM1006),$AB$1006:$AQ$1006,0)), HYPERLINK("#",""), HYPERLINK(CONCATENATE("#Metadata!", ADDRESS(INDEX($W$2:$W$1001,MATCH(ROWS($U$2:U171),$U$2:$U$1001,0),0), INDEX($AB$1004:$AQ$1004,1,MATCH(COLUMNS($AB$1006:AM1006),$AB$1006:$AQ$1006,0)))),"Fix")))</f>
        <v>0</v>
      </c>
      <c r="N171" s="5">
        <f>IF(OR(INDEX($V$2:$V$1001,MATCH(ROWS($U$2:U171),$U$2:$U$1001,0),1)&gt;=100000,INDEX($AB$1005:$AQ$1005,1,MATCH(COLUMNS($AB$1006:AN1006),$AB$1006:$AQ$1006,0))&gt;=100000), " ",IF(INDEX($AB$2:$AQ$1001,MATCH(ROWS($U$2:U171),$U$2:$U$1001,0),MATCH(COLUMNS($AB$1006:AN1006),$AB$1006:$AQ$1006,0)), HYPERLINK("#",""), HYPERLINK(CONCATENATE("#Metadata!", ADDRESS(INDEX($W$2:$W$1001,MATCH(ROWS($U$2:U171),$U$2:$U$1001,0),0), INDEX($AB$1004:$AQ$1004,1,MATCH(COLUMNS($AB$1006:AN1006),$AB$1006:$AQ$1006,0)))),"Fix")))</f>
        <v>0</v>
      </c>
      <c r="O171" s="5">
        <f>IF(OR(INDEX($V$2:$V$1001,MATCH(ROWS($U$2:U171),$U$2:$U$1001,0),1)&gt;=100000,INDEX($AB$1005:$AQ$1005,1,MATCH(COLUMNS($AB$1006:AO1006),$AB$1006:$AQ$1006,0))&gt;=100000), " ",IF(INDEX($AB$2:$AQ$1001,MATCH(ROWS($U$2:U171),$U$2:$U$1001,0),MATCH(COLUMNS($AB$1006:AO1006),$AB$1006:$AQ$1006,0)), HYPERLINK("#",""), HYPERLINK(CONCATENATE("#Metadata!", ADDRESS(INDEX($W$2:$W$1001,MATCH(ROWS($U$2:U171),$U$2:$U$1001,0),0), INDEX($AB$1004:$AQ$1004,1,MATCH(COLUMNS($AB$1006:AO1006),$AB$1006:$AQ$1006,0)))),"Fix")))</f>
        <v>0</v>
      </c>
      <c r="P171" s="5">
        <f>IF(OR(INDEX($V$2:$V$1001,MATCH(ROWS($U$2:U171),$U$2:$U$1001,0),1)&gt;=100000,INDEX($AB$1005:$AQ$1005,1,MATCH(COLUMNS($AB$1006:AP1006),$AB$1006:$AQ$1006,0))&gt;=100000), " ",IF(INDEX($AB$2:$AQ$1001,MATCH(ROWS($U$2:U171),$U$2:$U$1001,0),MATCH(COLUMNS($AB$1006:AP1006),$AB$1006:$AQ$1006,0)), HYPERLINK("#",""), HYPERLINK(CONCATENATE("#Metadata!", ADDRESS(INDEX($W$2:$W$1001,MATCH(ROWS($U$2:U171),$U$2:$U$1001,0),0), INDEX($AB$1004:$AQ$1004,1,MATCH(COLUMNS($AB$1006:AP1006),$AB$1006:$AQ$1006,0)))),"Fix")))</f>
        <v>0</v>
      </c>
      <c r="Q171" s="5">
        <f>IF(OR(INDEX($V$2:$V$1001,MATCH(ROWS($U$2:U171),$U$2:$U$1001,0),1)&gt;=100000,INDEX($AB$1005:$AQ$1005,1,MATCH(COLUMNS($AB$1006:AQ1006),$AB$1006:$AQ$1006,0))&gt;=100000), " ",IF(INDEX($AB$2:$AQ$1001,MATCH(ROWS($U$2:U171),$U$2:$U$1001,0),MATCH(COLUMNS($AB$1006:AQ1006),$AB$1006:$AQ$1006,0)), HYPERLINK("#",""), HYPERLINK(CONCATENATE("#Metadata!", ADDRESS(INDEX($W$2:$W$1001,MATCH(ROWS($U$2:U171),$U$2:$U$1001,0),0), INDEX($AB$1004:$AQ$1004,1,MATCH(COLUMNS($AB$1006:AQ1006),$AB$1006:$AQ$1006,0)))),"Fix")))</f>
        <v>0</v>
      </c>
      <c r="U171">
        <v>0</v>
      </c>
      <c r="V171">
        <v>0</v>
      </c>
      <c r="W171">
        <v>0</v>
      </c>
      <c r="X171">
        <f>IF(Y171,TRUE,AND(AB171:AQ171))</f>
        <v>0</v>
      </c>
      <c r="Y171">
        <f>COUNTBLANK(Metadata!B171:Q171)=COLUMNS(Metadata!B171:Q171)</f>
        <v>0</v>
      </c>
      <c r="Z171">
        <v>0</v>
      </c>
      <c r="AB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AC171">
        <f>AND(IF(Metadata!C171="",FALSE,TRUE),exact(Metadata!C171,"urban biome"))</f>
        <v>0</v>
      </c>
      <c r="AD171">
        <f>AND(IF(Metadata!D171="",FALSE,TRUE),exact(Metadata!D171,"human-associated habitat"))</f>
        <v>0</v>
      </c>
      <c r="AE171">
        <f>AND(IF(Metadata!E171="",FALSE,TRUE),OR(exact(Metadata!E171,"human-associated"),exact(Metadata!E171,"human-skin"),exact(Metadata!E171,"human-oral"),exact(Metadata!E171,"human-gut"),exact(Metadata!E171,"human-vaginal")))</f>
        <v>0</v>
      </c>
      <c r="AF171">
        <f>AND(IF(Metadata!F171="",FALSE,ISNUMBER(VALUE(Metadata!F171))),Metadata!F171&gt;0)</f>
        <v>0</v>
      </c>
      <c r="AG171">
        <f>AND(IF(Metadata!G171="",FALSE,TRUE),exact(Metadata!G171,"years"))</f>
        <v>0</v>
      </c>
      <c r="AH171">
        <f>OR(AND(IF(Metadata!H171="",FALSE,TRUE),OR(exact(Metadata!H171,"not applicable"),exact(Metadata!H171,"not collected"),exact(Metadata!H171,"not provided"),exact(Metadata!H171,"restricted access"))),AND(IF(Metadata!H171="",FALSE,ISNUMBER(VALUE(Metadata!H171))),Metadata!H171&gt;0))</f>
        <v>0</v>
      </c>
      <c r="AI171">
        <f>AND(IF(Metadata!I171="",FALSE,TRUE),exact(Metadata!I171,"human"))</f>
        <v>0</v>
      </c>
      <c r="AJ171">
        <f>AND(IF(Metadata!J171="",FALSE,ISNUMBER(VALUE(Metadata!J171))),Metadata!J171&gt;0)</f>
        <v>0</v>
      </c>
      <c r="AK171">
        <f>AND(IF(Metadata!K171="",FALSE,TRUE),exact(Metadata!K171,"cm"))</f>
        <v>0</v>
      </c>
      <c r="AL171">
        <f>AND(IF(Metadata!L171="",FALSE,TRUE),exact(Metadata!L171,"Homo sapiens"))</f>
        <v>0</v>
      </c>
      <c r="AM171">
        <f>AND(IF(Metadata!M171="",FALSE,TRUE),exact(Metadata!M171,"9606"))</f>
        <v>0</v>
      </c>
      <c r="AN171">
        <f>AND(IF(Metadata!N171="",FALSE,ISNUMBER(VALUE(Metadata!N171))),Metadata!N171&gt;0)</f>
        <v>0</v>
      </c>
      <c r="AO171">
        <f>AND(IF(Metadata!O171="",FALSE,TRUE),exact(Metadata!O171,"kg"))</f>
        <v>0</v>
      </c>
      <c r="AP171">
        <f>OR(AND(IF(Metadata!P171="",FALSE,TRUE),exact(Metadata!P171,"not provided")),IF(Metadata!P171="",FALSE,TRUE))</f>
        <v>0</v>
      </c>
      <c r="AQ171">
        <f>OR(AND(IF(Metadata!Q171="",FALSE,TRUE),exact(Metadata!Q171,"not provided")),IF(Metadata!Q171="",FALSE,TRUE))</f>
        <v>0</v>
      </c>
    </row>
    <row r="172" spans="1:43">
      <c r="A172" s="4">
        <f>IF(B172=" "," ",HYPERLINK(CONCATENATE("#metadata!",ADDRESS(INDEX($W$2:$W$1001,MATCH(ROWS($U$2:U172),$U$2:$U$1001,0),0),2)),INDEX($Z$2:$Z$1001,MATCH(ROWS($U$2:U172),$U$2:$U$1001,0),0)))</f>
        <v>0</v>
      </c>
      <c r="B172" s="5">
        <f>IF(OR(INDEX($V$2:$V$1001,MATCH(ROWS($U$2:U172),$U$2:$U$1001,0),1)&gt;=100000,INDEX($AB$1005:$AQ$1005,1,MATCH(COLUMNS($AB$1006:AB1006),$AB$1006:$AQ$1006,0))&gt;=100000), " ",IF(INDEX($AB$2:$AQ$1001,MATCH(ROWS($U$2:U172),$U$2:$U$1001,0),MATCH(COLUMNS($AB$1006:AB1006),$AB$1006:$AQ$1006,0)), HYPERLINK("#",""), HYPERLINK(CONCATENATE("#Metadata!", ADDRESS(INDEX($W$2:$W$1001,MATCH(ROWS($U$2:U172),$U$2:$U$1001,0),0), INDEX($AB$1004:$AQ$1004,1,MATCH(COLUMNS($AB$1006:AB1006),$AB$1006:$AQ$1006,0)))),"Fix")))</f>
        <v>0</v>
      </c>
      <c r="C172" s="5">
        <f>IF(OR(INDEX($V$2:$V$1001,MATCH(ROWS($U$2:U172),$U$2:$U$1001,0),1)&gt;=100000,INDEX($AB$1005:$AQ$1005,1,MATCH(COLUMNS($AB$1006:AC1006),$AB$1006:$AQ$1006,0))&gt;=100000), " ",IF(INDEX($AB$2:$AQ$1001,MATCH(ROWS($U$2:U172),$U$2:$U$1001,0),MATCH(COLUMNS($AB$1006:AC1006),$AB$1006:$AQ$1006,0)), HYPERLINK("#",""), HYPERLINK(CONCATENATE("#Metadata!", ADDRESS(INDEX($W$2:$W$1001,MATCH(ROWS($U$2:U172),$U$2:$U$1001,0),0), INDEX($AB$1004:$AQ$1004,1,MATCH(COLUMNS($AB$1006:AC1006),$AB$1006:$AQ$1006,0)))),"Fix")))</f>
        <v>0</v>
      </c>
      <c r="D172" s="5">
        <f>IF(OR(INDEX($V$2:$V$1001,MATCH(ROWS($U$2:U172),$U$2:$U$1001,0),1)&gt;=100000,INDEX($AB$1005:$AQ$1005,1,MATCH(COLUMNS($AB$1006:AD1006),$AB$1006:$AQ$1006,0))&gt;=100000), " ",IF(INDEX($AB$2:$AQ$1001,MATCH(ROWS($U$2:U172),$U$2:$U$1001,0),MATCH(COLUMNS($AB$1006:AD1006),$AB$1006:$AQ$1006,0)), HYPERLINK("#",""), HYPERLINK(CONCATENATE("#Metadata!", ADDRESS(INDEX($W$2:$W$1001,MATCH(ROWS($U$2:U172),$U$2:$U$1001,0),0), INDEX($AB$1004:$AQ$1004,1,MATCH(COLUMNS($AB$1006:AD1006),$AB$1006:$AQ$1006,0)))),"Fix")))</f>
        <v>0</v>
      </c>
      <c r="E172" s="5">
        <f>IF(OR(INDEX($V$2:$V$1001,MATCH(ROWS($U$2:U172),$U$2:$U$1001,0),1)&gt;=100000,INDEX($AB$1005:$AQ$1005,1,MATCH(COLUMNS($AB$1006:AE1006),$AB$1006:$AQ$1006,0))&gt;=100000), " ",IF(INDEX($AB$2:$AQ$1001,MATCH(ROWS($U$2:U172),$U$2:$U$1001,0),MATCH(COLUMNS($AB$1006:AE1006),$AB$1006:$AQ$1006,0)), HYPERLINK("#",""), HYPERLINK(CONCATENATE("#Metadata!", ADDRESS(INDEX($W$2:$W$1001,MATCH(ROWS($U$2:U172),$U$2:$U$1001,0),0), INDEX($AB$1004:$AQ$1004,1,MATCH(COLUMNS($AB$1006:AE1006),$AB$1006:$AQ$1006,0)))),"Fix")))</f>
        <v>0</v>
      </c>
      <c r="F172" s="5">
        <f>IF(OR(INDEX($V$2:$V$1001,MATCH(ROWS($U$2:U172),$U$2:$U$1001,0),1)&gt;=100000,INDEX($AB$1005:$AQ$1005,1,MATCH(COLUMNS($AB$1006:AF1006),$AB$1006:$AQ$1006,0))&gt;=100000), " ",IF(INDEX($AB$2:$AQ$1001,MATCH(ROWS($U$2:U172),$U$2:$U$1001,0),MATCH(COLUMNS($AB$1006:AF1006),$AB$1006:$AQ$1006,0)), HYPERLINK("#",""), HYPERLINK(CONCATENATE("#Metadata!", ADDRESS(INDEX($W$2:$W$1001,MATCH(ROWS($U$2:U172),$U$2:$U$1001,0),0), INDEX($AB$1004:$AQ$1004,1,MATCH(COLUMNS($AB$1006:AF1006),$AB$1006:$AQ$1006,0)))),"Fix")))</f>
        <v>0</v>
      </c>
      <c r="G172" s="5">
        <f>IF(OR(INDEX($V$2:$V$1001,MATCH(ROWS($U$2:U172),$U$2:$U$1001,0),1)&gt;=100000,INDEX($AB$1005:$AQ$1005,1,MATCH(COLUMNS($AB$1006:AG1006),$AB$1006:$AQ$1006,0))&gt;=100000), " ",IF(INDEX($AB$2:$AQ$1001,MATCH(ROWS($U$2:U172),$U$2:$U$1001,0),MATCH(COLUMNS($AB$1006:AG1006),$AB$1006:$AQ$1006,0)), HYPERLINK("#",""), HYPERLINK(CONCATENATE("#Metadata!", ADDRESS(INDEX($W$2:$W$1001,MATCH(ROWS($U$2:U172),$U$2:$U$1001,0),0), INDEX($AB$1004:$AQ$1004,1,MATCH(COLUMNS($AB$1006:AG1006),$AB$1006:$AQ$1006,0)))),"Fix")))</f>
        <v>0</v>
      </c>
      <c r="H172" s="5">
        <f>IF(OR(INDEX($V$2:$V$1001,MATCH(ROWS($U$2:U172),$U$2:$U$1001,0),1)&gt;=100000,INDEX($AB$1005:$AQ$1005,1,MATCH(COLUMNS($AB$1006:AH1006),$AB$1006:$AQ$1006,0))&gt;=100000), " ",IF(INDEX($AB$2:$AQ$1001,MATCH(ROWS($U$2:U172),$U$2:$U$1001,0),MATCH(COLUMNS($AB$1006:AH1006),$AB$1006:$AQ$1006,0)), HYPERLINK("#",""), HYPERLINK(CONCATENATE("#Metadata!", ADDRESS(INDEX($W$2:$W$1001,MATCH(ROWS($U$2:U172),$U$2:$U$1001,0),0), INDEX($AB$1004:$AQ$1004,1,MATCH(COLUMNS($AB$1006:AH1006),$AB$1006:$AQ$1006,0)))),"Fix")))</f>
        <v>0</v>
      </c>
      <c r="I172" s="5">
        <f>IF(OR(INDEX($V$2:$V$1001,MATCH(ROWS($U$2:U172),$U$2:$U$1001,0),1)&gt;=100000,INDEX($AB$1005:$AQ$1005,1,MATCH(COLUMNS($AB$1006:AI1006),$AB$1006:$AQ$1006,0))&gt;=100000), " ",IF(INDEX($AB$2:$AQ$1001,MATCH(ROWS($U$2:U172),$U$2:$U$1001,0),MATCH(COLUMNS($AB$1006:AI1006),$AB$1006:$AQ$1006,0)), HYPERLINK("#",""), HYPERLINK(CONCATENATE("#Metadata!", ADDRESS(INDEX($W$2:$W$1001,MATCH(ROWS($U$2:U172),$U$2:$U$1001,0),0), INDEX($AB$1004:$AQ$1004,1,MATCH(COLUMNS($AB$1006:AI1006),$AB$1006:$AQ$1006,0)))),"Fix")))</f>
        <v>0</v>
      </c>
      <c r="J172" s="5">
        <f>IF(OR(INDEX($V$2:$V$1001,MATCH(ROWS($U$2:U172),$U$2:$U$1001,0),1)&gt;=100000,INDEX($AB$1005:$AQ$1005,1,MATCH(COLUMNS($AB$1006:AJ1006),$AB$1006:$AQ$1006,0))&gt;=100000), " ",IF(INDEX($AB$2:$AQ$1001,MATCH(ROWS($U$2:U172),$U$2:$U$1001,0),MATCH(COLUMNS($AB$1006:AJ1006),$AB$1006:$AQ$1006,0)), HYPERLINK("#",""), HYPERLINK(CONCATENATE("#Metadata!", ADDRESS(INDEX($W$2:$W$1001,MATCH(ROWS($U$2:U172),$U$2:$U$1001,0),0), INDEX($AB$1004:$AQ$1004,1,MATCH(COLUMNS($AB$1006:AJ1006),$AB$1006:$AQ$1006,0)))),"Fix")))</f>
        <v>0</v>
      </c>
      <c r="K172" s="5">
        <f>IF(OR(INDEX($V$2:$V$1001,MATCH(ROWS($U$2:U172),$U$2:$U$1001,0),1)&gt;=100000,INDEX($AB$1005:$AQ$1005,1,MATCH(COLUMNS($AB$1006:AK1006),$AB$1006:$AQ$1006,0))&gt;=100000), " ",IF(INDEX($AB$2:$AQ$1001,MATCH(ROWS($U$2:U172),$U$2:$U$1001,0),MATCH(COLUMNS($AB$1006:AK1006),$AB$1006:$AQ$1006,0)), HYPERLINK("#",""), HYPERLINK(CONCATENATE("#Metadata!", ADDRESS(INDEX($W$2:$W$1001,MATCH(ROWS($U$2:U172),$U$2:$U$1001,0),0), INDEX($AB$1004:$AQ$1004,1,MATCH(COLUMNS($AB$1006:AK1006),$AB$1006:$AQ$1006,0)))),"Fix")))</f>
        <v>0</v>
      </c>
      <c r="L172" s="5">
        <f>IF(OR(INDEX($V$2:$V$1001,MATCH(ROWS($U$2:U172),$U$2:$U$1001,0),1)&gt;=100000,INDEX($AB$1005:$AQ$1005,1,MATCH(COLUMNS($AB$1006:AL1006),$AB$1006:$AQ$1006,0))&gt;=100000), " ",IF(INDEX($AB$2:$AQ$1001,MATCH(ROWS($U$2:U172),$U$2:$U$1001,0),MATCH(COLUMNS($AB$1006:AL1006),$AB$1006:$AQ$1006,0)), HYPERLINK("#",""), HYPERLINK(CONCATENATE("#Metadata!", ADDRESS(INDEX($W$2:$W$1001,MATCH(ROWS($U$2:U172),$U$2:$U$1001,0),0), INDEX($AB$1004:$AQ$1004,1,MATCH(COLUMNS($AB$1006:AL1006),$AB$1006:$AQ$1006,0)))),"Fix")))</f>
        <v>0</v>
      </c>
      <c r="M172" s="5">
        <f>IF(OR(INDEX($V$2:$V$1001,MATCH(ROWS($U$2:U172),$U$2:$U$1001,0),1)&gt;=100000,INDEX($AB$1005:$AQ$1005,1,MATCH(COLUMNS($AB$1006:AM1006),$AB$1006:$AQ$1006,0))&gt;=100000), " ",IF(INDEX($AB$2:$AQ$1001,MATCH(ROWS($U$2:U172),$U$2:$U$1001,0),MATCH(COLUMNS($AB$1006:AM1006),$AB$1006:$AQ$1006,0)), HYPERLINK("#",""), HYPERLINK(CONCATENATE("#Metadata!", ADDRESS(INDEX($W$2:$W$1001,MATCH(ROWS($U$2:U172),$U$2:$U$1001,0),0), INDEX($AB$1004:$AQ$1004,1,MATCH(COLUMNS($AB$1006:AM1006),$AB$1006:$AQ$1006,0)))),"Fix")))</f>
        <v>0</v>
      </c>
      <c r="N172" s="5">
        <f>IF(OR(INDEX($V$2:$V$1001,MATCH(ROWS($U$2:U172),$U$2:$U$1001,0),1)&gt;=100000,INDEX($AB$1005:$AQ$1005,1,MATCH(COLUMNS($AB$1006:AN1006),$AB$1006:$AQ$1006,0))&gt;=100000), " ",IF(INDEX($AB$2:$AQ$1001,MATCH(ROWS($U$2:U172),$U$2:$U$1001,0),MATCH(COLUMNS($AB$1006:AN1006),$AB$1006:$AQ$1006,0)), HYPERLINK("#",""), HYPERLINK(CONCATENATE("#Metadata!", ADDRESS(INDEX($W$2:$W$1001,MATCH(ROWS($U$2:U172),$U$2:$U$1001,0),0), INDEX($AB$1004:$AQ$1004,1,MATCH(COLUMNS($AB$1006:AN1006),$AB$1006:$AQ$1006,0)))),"Fix")))</f>
        <v>0</v>
      </c>
      <c r="O172" s="5">
        <f>IF(OR(INDEX($V$2:$V$1001,MATCH(ROWS($U$2:U172),$U$2:$U$1001,0),1)&gt;=100000,INDEX($AB$1005:$AQ$1005,1,MATCH(COLUMNS($AB$1006:AO1006),$AB$1006:$AQ$1006,0))&gt;=100000), " ",IF(INDEX($AB$2:$AQ$1001,MATCH(ROWS($U$2:U172),$U$2:$U$1001,0),MATCH(COLUMNS($AB$1006:AO1006),$AB$1006:$AQ$1006,0)), HYPERLINK("#",""), HYPERLINK(CONCATENATE("#Metadata!", ADDRESS(INDEX($W$2:$W$1001,MATCH(ROWS($U$2:U172),$U$2:$U$1001,0),0), INDEX($AB$1004:$AQ$1004,1,MATCH(COLUMNS($AB$1006:AO1006),$AB$1006:$AQ$1006,0)))),"Fix")))</f>
        <v>0</v>
      </c>
      <c r="P172" s="5">
        <f>IF(OR(INDEX($V$2:$V$1001,MATCH(ROWS($U$2:U172),$U$2:$U$1001,0),1)&gt;=100000,INDEX($AB$1005:$AQ$1005,1,MATCH(COLUMNS($AB$1006:AP1006),$AB$1006:$AQ$1006,0))&gt;=100000), " ",IF(INDEX($AB$2:$AQ$1001,MATCH(ROWS($U$2:U172),$U$2:$U$1001,0),MATCH(COLUMNS($AB$1006:AP1006),$AB$1006:$AQ$1006,0)), HYPERLINK("#",""), HYPERLINK(CONCATENATE("#Metadata!", ADDRESS(INDEX($W$2:$W$1001,MATCH(ROWS($U$2:U172),$U$2:$U$1001,0),0), INDEX($AB$1004:$AQ$1004,1,MATCH(COLUMNS($AB$1006:AP1006),$AB$1006:$AQ$1006,0)))),"Fix")))</f>
        <v>0</v>
      </c>
      <c r="Q172" s="5">
        <f>IF(OR(INDEX($V$2:$V$1001,MATCH(ROWS($U$2:U172),$U$2:$U$1001,0),1)&gt;=100000,INDEX($AB$1005:$AQ$1005,1,MATCH(COLUMNS($AB$1006:AQ1006),$AB$1006:$AQ$1006,0))&gt;=100000), " ",IF(INDEX($AB$2:$AQ$1001,MATCH(ROWS($U$2:U172),$U$2:$U$1001,0),MATCH(COLUMNS($AB$1006:AQ1006),$AB$1006:$AQ$1006,0)), HYPERLINK("#",""), HYPERLINK(CONCATENATE("#Metadata!", ADDRESS(INDEX($W$2:$W$1001,MATCH(ROWS($U$2:U172),$U$2:$U$1001,0),0), INDEX($AB$1004:$AQ$1004,1,MATCH(COLUMNS($AB$1006:AQ1006),$AB$1006:$AQ$1006,0)))),"Fix")))</f>
        <v>0</v>
      </c>
      <c r="U172">
        <v>0</v>
      </c>
      <c r="V172">
        <v>0</v>
      </c>
      <c r="W172">
        <v>0</v>
      </c>
      <c r="X172">
        <f>IF(Y172,TRUE,AND(AB172:AQ172))</f>
        <v>0</v>
      </c>
      <c r="Y172">
        <f>COUNTBLANK(Metadata!B172:Q172)=COLUMNS(Metadata!B172:Q172)</f>
        <v>0</v>
      </c>
      <c r="Z172">
        <v>0</v>
      </c>
      <c r="AB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AC172">
        <f>AND(IF(Metadata!C172="",FALSE,TRUE),exact(Metadata!C172,"urban biome"))</f>
        <v>0</v>
      </c>
      <c r="AD172">
        <f>AND(IF(Metadata!D172="",FALSE,TRUE),exact(Metadata!D172,"human-associated habitat"))</f>
        <v>0</v>
      </c>
      <c r="AE172">
        <f>AND(IF(Metadata!E172="",FALSE,TRUE),OR(exact(Metadata!E172,"human-associated"),exact(Metadata!E172,"human-skin"),exact(Metadata!E172,"human-oral"),exact(Metadata!E172,"human-gut"),exact(Metadata!E172,"human-vaginal")))</f>
        <v>0</v>
      </c>
      <c r="AF172">
        <f>AND(IF(Metadata!F172="",FALSE,ISNUMBER(VALUE(Metadata!F172))),Metadata!F172&gt;0)</f>
        <v>0</v>
      </c>
      <c r="AG172">
        <f>AND(IF(Metadata!G172="",FALSE,TRUE),exact(Metadata!G172,"years"))</f>
        <v>0</v>
      </c>
      <c r="AH172">
        <f>OR(AND(IF(Metadata!H172="",FALSE,TRUE),OR(exact(Metadata!H172,"not applicable"),exact(Metadata!H172,"not collected"),exact(Metadata!H172,"not provided"),exact(Metadata!H172,"restricted access"))),AND(IF(Metadata!H172="",FALSE,ISNUMBER(VALUE(Metadata!H172))),Metadata!H172&gt;0))</f>
        <v>0</v>
      </c>
      <c r="AI172">
        <f>AND(IF(Metadata!I172="",FALSE,TRUE),exact(Metadata!I172,"human"))</f>
        <v>0</v>
      </c>
      <c r="AJ172">
        <f>AND(IF(Metadata!J172="",FALSE,ISNUMBER(VALUE(Metadata!J172))),Metadata!J172&gt;0)</f>
        <v>0</v>
      </c>
      <c r="AK172">
        <f>AND(IF(Metadata!K172="",FALSE,TRUE),exact(Metadata!K172,"cm"))</f>
        <v>0</v>
      </c>
      <c r="AL172">
        <f>AND(IF(Metadata!L172="",FALSE,TRUE),exact(Metadata!L172,"Homo sapiens"))</f>
        <v>0</v>
      </c>
      <c r="AM172">
        <f>AND(IF(Metadata!M172="",FALSE,TRUE),exact(Metadata!M172,"9606"))</f>
        <v>0</v>
      </c>
      <c r="AN172">
        <f>AND(IF(Metadata!N172="",FALSE,ISNUMBER(VALUE(Metadata!N172))),Metadata!N172&gt;0)</f>
        <v>0</v>
      </c>
      <c r="AO172">
        <f>AND(IF(Metadata!O172="",FALSE,TRUE),exact(Metadata!O172,"kg"))</f>
        <v>0</v>
      </c>
      <c r="AP172">
        <f>OR(AND(IF(Metadata!P172="",FALSE,TRUE),exact(Metadata!P172,"not provided")),IF(Metadata!P172="",FALSE,TRUE))</f>
        <v>0</v>
      </c>
      <c r="AQ172">
        <f>OR(AND(IF(Metadata!Q172="",FALSE,TRUE),exact(Metadata!Q172,"not provided")),IF(Metadata!Q172="",FALSE,TRUE))</f>
        <v>0</v>
      </c>
    </row>
    <row r="173" spans="1:43">
      <c r="A173" s="4">
        <f>IF(B173=" "," ",HYPERLINK(CONCATENATE("#metadata!",ADDRESS(INDEX($W$2:$W$1001,MATCH(ROWS($U$2:U173),$U$2:$U$1001,0),0),2)),INDEX($Z$2:$Z$1001,MATCH(ROWS($U$2:U173),$U$2:$U$1001,0),0)))</f>
        <v>0</v>
      </c>
      <c r="B173" s="5">
        <f>IF(OR(INDEX($V$2:$V$1001,MATCH(ROWS($U$2:U173),$U$2:$U$1001,0),1)&gt;=100000,INDEX($AB$1005:$AQ$1005,1,MATCH(COLUMNS($AB$1006:AB1006),$AB$1006:$AQ$1006,0))&gt;=100000), " ",IF(INDEX($AB$2:$AQ$1001,MATCH(ROWS($U$2:U173),$U$2:$U$1001,0),MATCH(COLUMNS($AB$1006:AB1006),$AB$1006:$AQ$1006,0)), HYPERLINK("#",""), HYPERLINK(CONCATENATE("#Metadata!", ADDRESS(INDEX($W$2:$W$1001,MATCH(ROWS($U$2:U173),$U$2:$U$1001,0),0), INDEX($AB$1004:$AQ$1004,1,MATCH(COLUMNS($AB$1006:AB1006),$AB$1006:$AQ$1006,0)))),"Fix")))</f>
        <v>0</v>
      </c>
      <c r="C173" s="5">
        <f>IF(OR(INDEX($V$2:$V$1001,MATCH(ROWS($U$2:U173),$U$2:$U$1001,0),1)&gt;=100000,INDEX($AB$1005:$AQ$1005,1,MATCH(COLUMNS($AB$1006:AC1006),$AB$1006:$AQ$1006,0))&gt;=100000), " ",IF(INDEX($AB$2:$AQ$1001,MATCH(ROWS($U$2:U173),$U$2:$U$1001,0),MATCH(COLUMNS($AB$1006:AC1006),$AB$1006:$AQ$1006,0)), HYPERLINK("#",""), HYPERLINK(CONCATENATE("#Metadata!", ADDRESS(INDEX($W$2:$W$1001,MATCH(ROWS($U$2:U173),$U$2:$U$1001,0),0), INDEX($AB$1004:$AQ$1004,1,MATCH(COLUMNS($AB$1006:AC1006),$AB$1006:$AQ$1006,0)))),"Fix")))</f>
        <v>0</v>
      </c>
      <c r="D173" s="5">
        <f>IF(OR(INDEX($V$2:$V$1001,MATCH(ROWS($U$2:U173),$U$2:$U$1001,0),1)&gt;=100000,INDEX($AB$1005:$AQ$1005,1,MATCH(COLUMNS($AB$1006:AD1006),$AB$1006:$AQ$1006,0))&gt;=100000), " ",IF(INDEX($AB$2:$AQ$1001,MATCH(ROWS($U$2:U173),$U$2:$U$1001,0),MATCH(COLUMNS($AB$1006:AD1006),$AB$1006:$AQ$1006,0)), HYPERLINK("#",""), HYPERLINK(CONCATENATE("#Metadata!", ADDRESS(INDEX($W$2:$W$1001,MATCH(ROWS($U$2:U173),$U$2:$U$1001,0),0), INDEX($AB$1004:$AQ$1004,1,MATCH(COLUMNS($AB$1006:AD1006),$AB$1006:$AQ$1006,0)))),"Fix")))</f>
        <v>0</v>
      </c>
      <c r="E173" s="5">
        <f>IF(OR(INDEX($V$2:$V$1001,MATCH(ROWS($U$2:U173),$U$2:$U$1001,0),1)&gt;=100000,INDEX($AB$1005:$AQ$1005,1,MATCH(COLUMNS($AB$1006:AE1006),$AB$1006:$AQ$1006,0))&gt;=100000), " ",IF(INDEX($AB$2:$AQ$1001,MATCH(ROWS($U$2:U173),$U$2:$U$1001,0),MATCH(COLUMNS($AB$1006:AE1006),$AB$1006:$AQ$1006,0)), HYPERLINK("#",""), HYPERLINK(CONCATENATE("#Metadata!", ADDRESS(INDEX($W$2:$W$1001,MATCH(ROWS($U$2:U173),$U$2:$U$1001,0),0), INDEX($AB$1004:$AQ$1004,1,MATCH(COLUMNS($AB$1006:AE1006),$AB$1006:$AQ$1006,0)))),"Fix")))</f>
        <v>0</v>
      </c>
      <c r="F173" s="5">
        <f>IF(OR(INDEX($V$2:$V$1001,MATCH(ROWS($U$2:U173),$U$2:$U$1001,0),1)&gt;=100000,INDEX($AB$1005:$AQ$1005,1,MATCH(COLUMNS($AB$1006:AF1006),$AB$1006:$AQ$1006,0))&gt;=100000), " ",IF(INDEX($AB$2:$AQ$1001,MATCH(ROWS($U$2:U173),$U$2:$U$1001,0),MATCH(COLUMNS($AB$1006:AF1006),$AB$1006:$AQ$1006,0)), HYPERLINK("#",""), HYPERLINK(CONCATENATE("#Metadata!", ADDRESS(INDEX($W$2:$W$1001,MATCH(ROWS($U$2:U173),$U$2:$U$1001,0),0), INDEX($AB$1004:$AQ$1004,1,MATCH(COLUMNS($AB$1006:AF1006),$AB$1006:$AQ$1006,0)))),"Fix")))</f>
        <v>0</v>
      </c>
      <c r="G173" s="5">
        <f>IF(OR(INDEX($V$2:$V$1001,MATCH(ROWS($U$2:U173),$U$2:$U$1001,0),1)&gt;=100000,INDEX($AB$1005:$AQ$1005,1,MATCH(COLUMNS($AB$1006:AG1006),$AB$1006:$AQ$1006,0))&gt;=100000), " ",IF(INDEX($AB$2:$AQ$1001,MATCH(ROWS($U$2:U173),$U$2:$U$1001,0),MATCH(COLUMNS($AB$1006:AG1006),$AB$1006:$AQ$1006,0)), HYPERLINK("#",""), HYPERLINK(CONCATENATE("#Metadata!", ADDRESS(INDEX($W$2:$W$1001,MATCH(ROWS($U$2:U173),$U$2:$U$1001,0),0), INDEX($AB$1004:$AQ$1004,1,MATCH(COLUMNS($AB$1006:AG1006),$AB$1006:$AQ$1006,0)))),"Fix")))</f>
        <v>0</v>
      </c>
      <c r="H173" s="5">
        <f>IF(OR(INDEX($V$2:$V$1001,MATCH(ROWS($U$2:U173),$U$2:$U$1001,0),1)&gt;=100000,INDEX($AB$1005:$AQ$1005,1,MATCH(COLUMNS($AB$1006:AH1006),$AB$1006:$AQ$1006,0))&gt;=100000), " ",IF(INDEX($AB$2:$AQ$1001,MATCH(ROWS($U$2:U173),$U$2:$U$1001,0),MATCH(COLUMNS($AB$1006:AH1006),$AB$1006:$AQ$1006,0)), HYPERLINK("#",""), HYPERLINK(CONCATENATE("#Metadata!", ADDRESS(INDEX($W$2:$W$1001,MATCH(ROWS($U$2:U173),$U$2:$U$1001,0),0), INDEX($AB$1004:$AQ$1004,1,MATCH(COLUMNS($AB$1006:AH1006),$AB$1006:$AQ$1006,0)))),"Fix")))</f>
        <v>0</v>
      </c>
      <c r="I173" s="5">
        <f>IF(OR(INDEX($V$2:$V$1001,MATCH(ROWS($U$2:U173),$U$2:$U$1001,0),1)&gt;=100000,INDEX($AB$1005:$AQ$1005,1,MATCH(COLUMNS($AB$1006:AI1006),$AB$1006:$AQ$1006,0))&gt;=100000), " ",IF(INDEX($AB$2:$AQ$1001,MATCH(ROWS($U$2:U173),$U$2:$U$1001,0),MATCH(COLUMNS($AB$1006:AI1006),$AB$1006:$AQ$1006,0)), HYPERLINK("#",""), HYPERLINK(CONCATENATE("#Metadata!", ADDRESS(INDEX($W$2:$W$1001,MATCH(ROWS($U$2:U173),$U$2:$U$1001,0),0), INDEX($AB$1004:$AQ$1004,1,MATCH(COLUMNS($AB$1006:AI1006),$AB$1006:$AQ$1006,0)))),"Fix")))</f>
        <v>0</v>
      </c>
      <c r="J173" s="5">
        <f>IF(OR(INDEX($V$2:$V$1001,MATCH(ROWS($U$2:U173),$U$2:$U$1001,0),1)&gt;=100000,INDEX($AB$1005:$AQ$1005,1,MATCH(COLUMNS($AB$1006:AJ1006),$AB$1006:$AQ$1006,0))&gt;=100000), " ",IF(INDEX($AB$2:$AQ$1001,MATCH(ROWS($U$2:U173),$U$2:$U$1001,0),MATCH(COLUMNS($AB$1006:AJ1006),$AB$1006:$AQ$1006,0)), HYPERLINK("#",""), HYPERLINK(CONCATENATE("#Metadata!", ADDRESS(INDEX($W$2:$W$1001,MATCH(ROWS($U$2:U173),$U$2:$U$1001,0),0), INDEX($AB$1004:$AQ$1004,1,MATCH(COLUMNS($AB$1006:AJ1006),$AB$1006:$AQ$1006,0)))),"Fix")))</f>
        <v>0</v>
      </c>
      <c r="K173" s="5">
        <f>IF(OR(INDEX($V$2:$V$1001,MATCH(ROWS($U$2:U173),$U$2:$U$1001,0),1)&gt;=100000,INDEX($AB$1005:$AQ$1005,1,MATCH(COLUMNS($AB$1006:AK1006),$AB$1006:$AQ$1006,0))&gt;=100000), " ",IF(INDEX($AB$2:$AQ$1001,MATCH(ROWS($U$2:U173),$U$2:$U$1001,0),MATCH(COLUMNS($AB$1006:AK1006),$AB$1006:$AQ$1006,0)), HYPERLINK("#",""), HYPERLINK(CONCATENATE("#Metadata!", ADDRESS(INDEX($W$2:$W$1001,MATCH(ROWS($U$2:U173),$U$2:$U$1001,0),0), INDEX($AB$1004:$AQ$1004,1,MATCH(COLUMNS($AB$1006:AK1006),$AB$1006:$AQ$1006,0)))),"Fix")))</f>
        <v>0</v>
      </c>
      <c r="L173" s="5">
        <f>IF(OR(INDEX($V$2:$V$1001,MATCH(ROWS($U$2:U173),$U$2:$U$1001,0),1)&gt;=100000,INDEX($AB$1005:$AQ$1005,1,MATCH(COLUMNS($AB$1006:AL1006),$AB$1006:$AQ$1006,0))&gt;=100000), " ",IF(INDEX($AB$2:$AQ$1001,MATCH(ROWS($U$2:U173),$U$2:$U$1001,0),MATCH(COLUMNS($AB$1006:AL1006),$AB$1006:$AQ$1006,0)), HYPERLINK("#",""), HYPERLINK(CONCATENATE("#Metadata!", ADDRESS(INDEX($W$2:$W$1001,MATCH(ROWS($U$2:U173),$U$2:$U$1001,0),0), INDEX($AB$1004:$AQ$1004,1,MATCH(COLUMNS($AB$1006:AL1006),$AB$1006:$AQ$1006,0)))),"Fix")))</f>
        <v>0</v>
      </c>
      <c r="M173" s="5">
        <f>IF(OR(INDEX($V$2:$V$1001,MATCH(ROWS($U$2:U173),$U$2:$U$1001,0),1)&gt;=100000,INDEX($AB$1005:$AQ$1005,1,MATCH(COLUMNS($AB$1006:AM1006),$AB$1006:$AQ$1006,0))&gt;=100000), " ",IF(INDEX($AB$2:$AQ$1001,MATCH(ROWS($U$2:U173),$U$2:$U$1001,0),MATCH(COLUMNS($AB$1006:AM1006),$AB$1006:$AQ$1006,0)), HYPERLINK("#",""), HYPERLINK(CONCATENATE("#Metadata!", ADDRESS(INDEX($W$2:$W$1001,MATCH(ROWS($U$2:U173),$U$2:$U$1001,0),0), INDEX($AB$1004:$AQ$1004,1,MATCH(COLUMNS($AB$1006:AM1006),$AB$1006:$AQ$1006,0)))),"Fix")))</f>
        <v>0</v>
      </c>
      <c r="N173" s="5">
        <f>IF(OR(INDEX($V$2:$V$1001,MATCH(ROWS($U$2:U173),$U$2:$U$1001,0),1)&gt;=100000,INDEX($AB$1005:$AQ$1005,1,MATCH(COLUMNS($AB$1006:AN1006),$AB$1006:$AQ$1006,0))&gt;=100000), " ",IF(INDEX($AB$2:$AQ$1001,MATCH(ROWS($U$2:U173),$U$2:$U$1001,0),MATCH(COLUMNS($AB$1006:AN1006),$AB$1006:$AQ$1006,0)), HYPERLINK("#",""), HYPERLINK(CONCATENATE("#Metadata!", ADDRESS(INDEX($W$2:$W$1001,MATCH(ROWS($U$2:U173),$U$2:$U$1001,0),0), INDEX($AB$1004:$AQ$1004,1,MATCH(COLUMNS($AB$1006:AN1006),$AB$1006:$AQ$1006,0)))),"Fix")))</f>
        <v>0</v>
      </c>
      <c r="O173" s="5">
        <f>IF(OR(INDEX($V$2:$V$1001,MATCH(ROWS($U$2:U173),$U$2:$U$1001,0),1)&gt;=100000,INDEX($AB$1005:$AQ$1005,1,MATCH(COLUMNS($AB$1006:AO1006),$AB$1006:$AQ$1006,0))&gt;=100000), " ",IF(INDEX($AB$2:$AQ$1001,MATCH(ROWS($U$2:U173),$U$2:$U$1001,0),MATCH(COLUMNS($AB$1006:AO1006),$AB$1006:$AQ$1006,0)), HYPERLINK("#",""), HYPERLINK(CONCATENATE("#Metadata!", ADDRESS(INDEX($W$2:$W$1001,MATCH(ROWS($U$2:U173),$U$2:$U$1001,0),0), INDEX($AB$1004:$AQ$1004,1,MATCH(COLUMNS($AB$1006:AO1006),$AB$1006:$AQ$1006,0)))),"Fix")))</f>
        <v>0</v>
      </c>
      <c r="P173" s="5">
        <f>IF(OR(INDEX($V$2:$V$1001,MATCH(ROWS($U$2:U173),$U$2:$U$1001,0),1)&gt;=100000,INDEX($AB$1005:$AQ$1005,1,MATCH(COLUMNS($AB$1006:AP1006),$AB$1006:$AQ$1006,0))&gt;=100000), " ",IF(INDEX($AB$2:$AQ$1001,MATCH(ROWS($U$2:U173),$U$2:$U$1001,0),MATCH(COLUMNS($AB$1006:AP1006),$AB$1006:$AQ$1006,0)), HYPERLINK("#",""), HYPERLINK(CONCATENATE("#Metadata!", ADDRESS(INDEX($W$2:$W$1001,MATCH(ROWS($U$2:U173),$U$2:$U$1001,0),0), INDEX($AB$1004:$AQ$1004,1,MATCH(COLUMNS($AB$1006:AP1006),$AB$1006:$AQ$1006,0)))),"Fix")))</f>
        <v>0</v>
      </c>
      <c r="Q173" s="5">
        <f>IF(OR(INDEX($V$2:$V$1001,MATCH(ROWS($U$2:U173),$U$2:$U$1001,0),1)&gt;=100000,INDEX($AB$1005:$AQ$1005,1,MATCH(COLUMNS($AB$1006:AQ1006),$AB$1006:$AQ$1006,0))&gt;=100000), " ",IF(INDEX($AB$2:$AQ$1001,MATCH(ROWS($U$2:U173),$U$2:$U$1001,0),MATCH(COLUMNS($AB$1006:AQ1006),$AB$1006:$AQ$1006,0)), HYPERLINK("#",""), HYPERLINK(CONCATENATE("#Metadata!", ADDRESS(INDEX($W$2:$W$1001,MATCH(ROWS($U$2:U173),$U$2:$U$1001,0),0), INDEX($AB$1004:$AQ$1004,1,MATCH(COLUMNS($AB$1006:AQ1006),$AB$1006:$AQ$1006,0)))),"Fix")))</f>
        <v>0</v>
      </c>
      <c r="U173">
        <v>0</v>
      </c>
      <c r="V173">
        <v>0</v>
      </c>
      <c r="W173">
        <v>0</v>
      </c>
      <c r="X173">
        <f>IF(Y173,TRUE,AND(AB173:AQ173))</f>
        <v>0</v>
      </c>
      <c r="Y173">
        <f>COUNTBLANK(Metadata!B173:Q173)=COLUMNS(Metadata!B173:Q173)</f>
        <v>0</v>
      </c>
      <c r="Z173">
        <v>0</v>
      </c>
      <c r="AB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AC173">
        <f>AND(IF(Metadata!C173="",FALSE,TRUE),exact(Metadata!C173,"urban biome"))</f>
        <v>0</v>
      </c>
      <c r="AD173">
        <f>AND(IF(Metadata!D173="",FALSE,TRUE),exact(Metadata!D173,"human-associated habitat"))</f>
        <v>0</v>
      </c>
      <c r="AE173">
        <f>AND(IF(Metadata!E173="",FALSE,TRUE),OR(exact(Metadata!E173,"human-associated"),exact(Metadata!E173,"human-skin"),exact(Metadata!E173,"human-oral"),exact(Metadata!E173,"human-gut"),exact(Metadata!E173,"human-vaginal")))</f>
        <v>0</v>
      </c>
      <c r="AF173">
        <f>AND(IF(Metadata!F173="",FALSE,ISNUMBER(VALUE(Metadata!F173))),Metadata!F173&gt;0)</f>
        <v>0</v>
      </c>
      <c r="AG173">
        <f>AND(IF(Metadata!G173="",FALSE,TRUE),exact(Metadata!G173,"years"))</f>
        <v>0</v>
      </c>
      <c r="AH173">
        <f>OR(AND(IF(Metadata!H173="",FALSE,TRUE),OR(exact(Metadata!H173,"not applicable"),exact(Metadata!H173,"not collected"),exact(Metadata!H173,"not provided"),exact(Metadata!H173,"restricted access"))),AND(IF(Metadata!H173="",FALSE,ISNUMBER(VALUE(Metadata!H173))),Metadata!H173&gt;0))</f>
        <v>0</v>
      </c>
      <c r="AI173">
        <f>AND(IF(Metadata!I173="",FALSE,TRUE),exact(Metadata!I173,"human"))</f>
        <v>0</v>
      </c>
      <c r="AJ173">
        <f>AND(IF(Metadata!J173="",FALSE,ISNUMBER(VALUE(Metadata!J173))),Metadata!J173&gt;0)</f>
        <v>0</v>
      </c>
      <c r="AK173">
        <f>AND(IF(Metadata!K173="",FALSE,TRUE),exact(Metadata!K173,"cm"))</f>
        <v>0</v>
      </c>
      <c r="AL173">
        <f>AND(IF(Metadata!L173="",FALSE,TRUE),exact(Metadata!L173,"Homo sapiens"))</f>
        <v>0</v>
      </c>
      <c r="AM173">
        <f>AND(IF(Metadata!M173="",FALSE,TRUE),exact(Metadata!M173,"9606"))</f>
        <v>0</v>
      </c>
      <c r="AN173">
        <f>AND(IF(Metadata!N173="",FALSE,ISNUMBER(VALUE(Metadata!N173))),Metadata!N173&gt;0)</f>
        <v>0</v>
      </c>
      <c r="AO173">
        <f>AND(IF(Metadata!O173="",FALSE,TRUE),exact(Metadata!O173,"kg"))</f>
        <v>0</v>
      </c>
      <c r="AP173">
        <f>OR(AND(IF(Metadata!P173="",FALSE,TRUE),exact(Metadata!P173,"not provided")),IF(Metadata!P173="",FALSE,TRUE))</f>
        <v>0</v>
      </c>
      <c r="AQ173">
        <f>OR(AND(IF(Metadata!Q173="",FALSE,TRUE),exact(Metadata!Q173,"not provided")),IF(Metadata!Q173="",FALSE,TRUE))</f>
        <v>0</v>
      </c>
    </row>
    <row r="174" spans="1:43">
      <c r="A174" s="4">
        <f>IF(B174=" "," ",HYPERLINK(CONCATENATE("#metadata!",ADDRESS(INDEX($W$2:$W$1001,MATCH(ROWS($U$2:U174),$U$2:$U$1001,0),0),2)),INDEX($Z$2:$Z$1001,MATCH(ROWS($U$2:U174),$U$2:$U$1001,0),0)))</f>
        <v>0</v>
      </c>
      <c r="B174" s="5">
        <f>IF(OR(INDEX($V$2:$V$1001,MATCH(ROWS($U$2:U174),$U$2:$U$1001,0),1)&gt;=100000,INDEX($AB$1005:$AQ$1005,1,MATCH(COLUMNS($AB$1006:AB1006),$AB$1006:$AQ$1006,0))&gt;=100000), " ",IF(INDEX($AB$2:$AQ$1001,MATCH(ROWS($U$2:U174),$U$2:$U$1001,0),MATCH(COLUMNS($AB$1006:AB1006),$AB$1006:$AQ$1006,0)), HYPERLINK("#",""), HYPERLINK(CONCATENATE("#Metadata!", ADDRESS(INDEX($W$2:$W$1001,MATCH(ROWS($U$2:U174),$U$2:$U$1001,0),0), INDEX($AB$1004:$AQ$1004,1,MATCH(COLUMNS($AB$1006:AB1006),$AB$1006:$AQ$1006,0)))),"Fix")))</f>
        <v>0</v>
      </c>
      <c r="C174" s="5">
        <f>IF(OR(INDEX($V$2:$V$1001,MATCH(ROWS($U$2:U174),$U$2:$U$1001,0),1)&gt;=100000,INDEX($AB$1005:$AQ$1005,1,MATCH(COLUMNS($AB$1006:AC1006),$AB$1006:$AQ$1006,0))&gt;=100000), " ",IF(INDEX($AB$2:$AQ$1001,MATCH(ROWS($U$2:U174),$U$2:$U$1001,0),MATCH(COLUMNS($AB$1006:AC1006),$AB$1006:$AQ$1006,0)), HYPERLINK("#",""), HYPERLINK(CONCATENATE("#Metadata!", ADDRESS(INDEX($W$2:$W$1001,MATCH(ROWS($U$2:U174),$U$2:$U$1001,0),0), INDEX($AB$1004:$AQ$1004,1,MATCH(COLUMNS($AB$1006:AC1006),$AB$1006:$AQ$1006,0)))),"Fix")))</f>
        <v>0</v>
      </c>
      <c r="D174" s="5">
        <f>IF(OR(INDEX($V$2:$V$1001,MATCH(ROWS($U$2:U174),$U$2:$U$1001,0),1)&gt;=100000,INDEX($AB$1005:$AQ$1005,1,MATCH(COLUMNS($AB$1006:AD1006),$AB$1006:$AQ$1006,0))&gt;=100000), " ",IF(INDEX($AB$2:$AQ$1001,MATCH(ROWS($U$2:U174),$U$2:$U$1001,0),MATCH(COLUMNS($AB$1006:AD1006),$AB$1006:$AQ$1006,0)), HYPERLINK("#",""), HYPERLINK(CONCATENATE("#Metadata!", ADDRESS(INDEX($W$2:$W$1001,MATCH(ROWS($U$2:U174),$U$2:$U$1001,0),0), INDEX($AB$1004:$AQ$1004,1,MATCH(COLUMNS($AB$1006:AD1006),$AB$1006:$AQ$1006,0)))),"Fix")))</f>
        <v>0</v>
      </c>
      <c r="E174" s="5">
        <f>IF(OR(INDEX($V$2:$V$1001,MATCH(ROWS($U$2:U174),$U$2:$U$1001,0),1)&gt;=100000,INDEX($AB$1005:$AQ$1005,1,MATCH(COLUMNS($AB$1006:AE1006),$AB$1006:$AQ$1006,0))&gt;=100000), " ",IF(INDEX($AB$2:$AQ$1001,MATCH(ROWS($U$2:U174),$U$2:$U$1001,0),MATCH(COLUMNS($AB$1006:AE1006),$AB$1006:$AQ$1006,0)), HYPERLINK("#",""), HYPERLINK(CONCATENATE("#Metadata!", ADDRESS(INDEX($W$2:$W$1001,MATCH(ROWS($U$2:U174),$U$2:$U$1001,0),0), INDEX($AB$1004:$AQ$1004,1,MATCH(COLUMNS($AB$1006:AE1006),$AB$1006:$AQ$1006,0)))),"Fix")))</f>
        <v>0</v>
      </c>
      <c r="F174" s="5">
        <f>IF(OR(INDEX($V$2:$V$1001,MATCH(ROWS($U$2:U174),$U$2:$U$1001,0),1)&gt;=100000,INDEX($AB$1005:$AQ$1005,1,MATCH(COLUMNS($AB$1006:AF1006),$AB$1006:$AQ$1006,0))&gt;=100000), " ",IF(INDEX($AB$2:$AQ$1001,MATCH(ROWS($U$2:U174),$U$2:$U$1001,0),MATCH(COLUMNS($AB$1006:AF1006),$AB$1006:$AQ$1006,0)), HYPERLINK("#",""), HYPERLINK(CONCATENATE("#Metadata!", ADDRESS(INDEX($W$2:$W$1001,MATCH(ROWS($U$2:U174),$U$2:$U$1001,0),0), INDEX($AB$1004:$AQ$1004,1,MATCH(COLUMNS($AB$1006:AF1006),$AB$1006:$AQ$1006,0)))),"Fix")))</f>
        <v>0</v>
      </c>
      <c r="G174" s="5">
        <f>IF(OR(INDEX($V$2:$V$1001,MATCH(ROWS($U$2:U174),$U$2:$U$1001,0),1)&gt;=100000,INDEX($AB$1005:$AQ$1005,1,MATCH(COLUMNS($AB$1006:AG1006),$AB$1006:$AQ$1006,0))&gt;=100000), " ",IF(INDEX($AB$2:$AQ$1001,MATCH(ROWS($U$2:U174),$U$2:$U$1001,0),MATCH(COLUMNS($AB$1006:AG1006),$AB$1006:$AQ$1006,0)), HYPERLINK("#",""), HYPERLINK(CONCATENATE("#Metadata!", ADDRESS(INDEX($W$2:$W$1001,MATCH(ROWS($U$2:U174),$U$2:$U$1001,0),0), INDEX($AB$1004:$AQ$1004,1,MATCH(COLUMNS($AB$1006:AG1006),$AB$1006:$AQ$1006,0)))),"Fix")))</f>
        <v>0</v>
      </c>
      <c r="H174" s="5">
        <f>IF(OR(INDEX($V$2:$V$1001,MATCH(ROWS($U$2:U174),$U$2:$U$1001,0),1)&gt;=100000,INDEX($AB$1005:$AQ$1005,1,MATCH(COLUMNS($AB$1006:AH1006),$AB$1006:$AQ$1006,0))&gt;=100000), " ",IF(INDEX($AB$2:$AQ$1001,MATCH(ROWS($U$2:U174),$U$2:$U$1001,0),MATCH(COLUMNS($AB$1006:AH1006),$AB$1006:$AQ$1006,0)), HYPERLINK("#",""), HYPERLINK(CONCATENATE("#Metadata!", ADDRESS(INDEX($W$2:$W$1001,MATCH(ROWS($U$2:U174),$U$2:$U$1001,0),0), INDEX($AB$1004:$AQ$1004,1,MATCH(COLUMNS($AB$1006:AH1006),$AB$1006:$AQ$1006,0)))),"Fix")))</f>
        <v>0</v>
      </c>
      <c r="I174" s="5">
        <f>IF(OR(INDEX($V$2:$V$1001,MATCH(ROWS($U$2:U174),$U$2:$U$1001,0),1)&gt;=100000,INDEX($AB$1005:$AQ$1005,1,MATCH(COLUMNS($AB$1006:AI1006),$AB$1006:$AQ$1006,0))&gt;=100000), " ",IF(INDEX($AB$2:$AQ$1001,MATCH(ROWS($U$2:U174),$U$2:$U$1001,0),MATCH(COLUMNS($AB$1006:AI1006),$AB$1006:$AQ$1006,0)), HYPERLINK("#",""), HYPERLINK(CONCATENATE("#Metadata!", ADDRESS(INDEX($W$2:$W$1001,MATCH(ROWS($U$2:U174),$U$2:$U$1001,0),0), INDEX($AB$1004:$AQ$1004,1,MATCH(COLUMNS($AB$1006:AI1006),$AB$1006:$AQ$1006,0)))),"Fix")))</f>
        <v>0</v>
      </c>
      <c r="J174" s="5">
        <f>IF(OR(INDEX($V$2:$V$1001,MATCH(ROWS($U$2:U174),$U$2:$U$1001,0),1)&gt;=100000,INDEX($AB$1005:$AQ$1005,1,MATCH(COLUMNS($AB$1006:AJ1006),$AB$1006:$AQ$1006,0))&gt;=100000), " ",IF(INDEX($AB$2:$AQ$1001,MATCH(ROWS($U$2:U174),$U$2:$U$1001,0),MATCH(COLUMNS($AB$1006:AJ1006),$AB$1006:$AQ$1006,0)), HYPERLINK("#",""), HYPERLINK(CONCATENATE("#Metadata!", ADDRESS(INDEX($W$2:$W$1001,MATCH(ROWS($U$2:U174),$U$2:$U$1001,0),0), INDEX($AB$1004:$AQ$1004,1,MATCH(COLUMNS($AB$1006:AJ1006),$AB$1006:$AQ$1006,0)))),"Fix")))</f>
        <v>0</v>
      </c>
      <c r="K174" s="5">
        <f>IF(OR(INDEX($V$2:$V$1001,MATCH(ROWS($U$2:U174),$U$2:$U$1001,0),1)&gt;=100000,INDEX($AB$1005:$AQ$1005,1,MATCH(COLUMNS($AB$1006:AK1006),$AB$1006:$AQ$1006,0))&gt;=100000), " ",IF(INDEX($AB$2:$AQ$1001,MATCH(ROWS($U$2:U174),$U$2:$U$1001,0),MATCH(COLUMNS($AB$1006:AK1006),$AB$1006:$AQ$1006,0)), HYPERLINK("#",""), HYPERLINK(CONCATENATE("#Metadata!", ADDRESS(INDEX($W$2:$W$1001,MATCH(ROWS($U$2:U174),$U$2:$U$1001,0),0), INDEX($AB$1004:$AQ$1004,1,MATCH(COLUMNS($AB$1006:AK1006),$AB$1006:$AQ$1006,0)))),"Fix")))</f>
        <v>0</v>
      </c>
      <c r="L174" s="5">
        <f>IF(OR(INDEX($V$2:$V$1001,MATCH(ROWS($U$2:U174),$U$2:$U$1001,0),1)&gt;=100000,INDEX($AB$1005:$AQ$1005,1,MATCH(COLUMNS($AB$1006:AL1006),$AB$1006:$AQ$1006,0))&gt;=100000), " ",IF(INDEX($AB$2:$AQ$1001,MATCH(ROWS($U$2:U174),$U$2:$U$1001,0),MATCH(COLUMNS($AB$1006:AL1006),$AB$1006:$AQ$1006,0)), HYPERLINK("#",""), HYPERLINK(CONCATENATE("#Metadata!", ADDRESS(INDEX($W$2:$W$1001,MATCH(ROWS($U$2:U174),$U$2:$U$1001,0),0), INDEX($AB$1004:$AQ$1004,1,MATCH(COLUMNS($AB$1006:AL1006),$AB$1006:$AQ$1006,0)))),"Fix")))</f>
        <v>0</v>
      </c>
      <c r="M174" s="5">
        <f>IF(OR(INDEX($V$2:$V$1001,MATCH(ROWS($U$2:U174),$U$2:$U$1001,0),1)&gt;=100000,INDEX($AB$1005:$AQ$1005,1,MATCH(COLUMNS($AB$1006:AM1006),$AB$1006:$AQ$1006,0))&gt;=100000), " ",IF(INDEX($AB$2:$AQ$1001,MATCH(ROWS($U$2:U174),$U$2:$U$1001,0),MATCH(COLUMNS($AB$1006:AM1006),$AB$1006:$AQ$1006,0)), HYPERLINK("#",""), HYPERLINK(CONCATENATE("#Metadata!", ADDRESS(INDEX($W$2:$W$1001,MATCH(ROWS($U$2:U174),$U$2:$U$1001,0),0), INDEX($AB$1004:$AQ$1004,1,MATCH(COLUMNS($AB$1006:AM1006),$AB$1006:$AQ$1006,0)))),"Fix")))</f>
        <v>0</v>
      </c>
      <c r="N174" s="5">
        <f>IF(OR(INDEX($V$2:$V$1001,MATCH(ROWS($U$2:U174),$U$2:$U$1001,0),1)&gt;=100000,INDEX($AB$1005:$AQ$1005,1,MATCH(COLUMNS($AB$1006:AN1006),$AB$1006:$AQ$1006,0))&gt;=100000), " ",IF(INDEX($AB$2:$AQ$1001,MATCH(ROWS($U$2:U174),$U$2:$U$1001,0),MATCH(COLUMNS($AB$1006:AN1006),$AB$1006:$AQ$1006,0)), HYPERLINK("#",""), HYPERLINK(CONCATENATE("#Metadata!", ADDRESS(INDEX($W$2:$W$1001,MATCH(ROWS($U$2:U174),$U$2:$U$1001,0),0), INDEX($AB$1004:$AQ$1004,1,MATCH(COLUMNS($AB$1006:AN1006),$AB$1006:$AQ$1006,0)))),"Fix")))</f>
        <v>0</v>
      </c>
      <c r="O174" s="5">
        <f>IF(OR(INDEX($V$2:$V$1001,MATCH(ROWS($U$2:U174),$U$2:$U$1001,0),1)&gt;=100000,INDEX($AB$1005:$AQ$1005,1,MATCH(COLUMNS($AB$1006:AO1006),$AB$1006:$AQ$1006,0))&gt;=100000), " ",IF(INDEX($AB$2:$AQ$1001,MATCH(ROWS($U$2:U174),$U$2:$U$1001,0),MATCH(COLUMNS($AB$1006:AO1006),$AB$1006:$AQ$1006,0)), HYPERLINK("#",""), HYPERLINK(CONCATENATE("#Metadata!", ADDRESS(INDEX($W$2:$W$1001,MATCH(ROWS($U$2:U174),$U$2:$U$1001,0),0), INDEX($AB$1004:$AQ$1004,1,MATCH(COLUMNS($AB$1006:AO1006),$AB$1006:$AQ$1006,0)))),"Fix")))</f>
        <v>0</v>
      </c>
      <c r="P174" s="5">
        <f>IF(OR(INDEX($V$2:$V$1001,MATCH(ROWS($U$2:U174),$U$2:$U$1001,0),1)&gt;=100000,INDEX($AB$1005:$AQ$1005,1,MATCH(COLUMNS($AB$1006:AP1006),$AB$1006:$AQ$1006,0))&gt;=100000), " ",IF(INDEX($AB$2:$AQ$1001,MATCH(ROWS($U$2:U174),$U$2:$U$1001,0),MATCH(COLUMNS($AB$1006:AP1006),$AB$1006:$AQ$1006,0)), HYPERLINK("#",""), HYPERLINK(CONCATENATE("#Metadata!", ADDRESS(INDEX($W$2:$W$1001,MATCH(ROWS($U$2:U174),$U$2:$U$1001,0),0), INDEX($AB$1004:$AQ$1004,1,MATCH(COLUMNS($AB$1006:AP1006),$AB$1006:$AQ$1006,0)))),"Fix")))</f>
        <v>0</v>
      </c>
      <c r="Q174" s="5">
        <f>IF(OR(INDEX($V$2:$V$1001,MATCH(ROWS($U$2:U174),$U$2:$U$1001,0),1)&gt;=100000,INDEX($AB$1005:$AQ$1005,1,MATCH(COLUMNS($AB$1006:AQ1006),$AB$1006:$AQ$1006,0))&gt;=100000), " ",IF(INDEX($AB$2:$AQ$1001,MATCH(ROWS($U$2:U174),$U$2:$U$1001,0),MATCH(COLUMNS($AB$1006:AQ1006),$AB$1006:$AQ$1006,0)), HYPERLINK("#",""), HYPERLINK(CONCATENATE("#Metadata!", ADDRESS(INDEX($W$2:$W$1001,MATCH(ROWS($U$2:U174),$U$2:$U$1001,0),0), INDEX($AB$1004:$AQ$1004,1,MATCH(COLUMNS($AB$1006:AQ1006),$AB$1006:$AQ$1006,0)))),"Fix")))</f>
        <v>0</v>
      </c>
      <c r="U174">
        <v>0</v>
      </c>
      <c r="V174">
        <v>0</v>
      </c>
      <c r="W174">
        <v>0</v>
      </c>
      <c r="X174">
        <f>IF(Y174,TRUE,AND(AB174:AQ174))</f>
        <v>0</v>
      </c>
      <c r="Y174">
        <f>COUNTBLANK(Metadata!B174:Q174)=COLUMNS(Metadata!B174:Q174)</f>
        <v>0</v>
      </c>
      <c r="Z174">
        <v>0</v>
      </c>
      <c r="AB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AC174">
        <f>AND(IF(Metadata!C174="",FALSE,TRUE),exact(Metadata!C174,"urban biome"))</f>
        <v>0</v>
      </c>
      <c r="AD174">
        <f>AND(IF(Metadata!D174="",FALSE,TRUE),exact(Metadata!D174,"human-associated habitat"))</f>
        <v>0</v>
      </c>
      <c r="AE174">
        <f>AND(IF(Metadata!E174="",FALSE,TRUE),OR(exact(Metadata!E174,"human-associated"),exact(Metadata!E174,"human-skin"),exact(Metadata!E174,"human-oral"),exact(Metadata!E174,"human-gut"),exact(Metadata!E174,"human-vaginal")))</f>
        <v>0</v>
      </c>
      <c r="AF174">
        <f>AND(IF(Metadata!F174="",FALSE,ISNUMBER(VALUE(Metadata!F174))),Metadata!F174&gt;0)</f>
        <v>0</v>
      </c>
      <c r="AG174">
        <f>AND(IF(Metadata!G174="",FALSE,TRUE),exact(Metadata!G174,"years"))</f>
        <v>0</v>
      </c>
      <c r="AH174">
        <f>OR(AND(IF(Metadata!H174="",FALSE,TRUE),OR(exact(Metadata!H174,"not applicable"),exact(Metadata!H174,"not collected"),exact(Metadata!H174,"not provided"),exact(Metadata!H174,"restricted access"))),AND(IF(Metadata!H174="",FALSE,ISNUMBER(VALUE(Metadata!H174))),Metadata!H174&gt;0))</f>
        <v>0</v>
      </c>
      <c r="AI174">
        <f>AND(IF(Metadata!I174="",FALSE,TRUE),exact(Metadata!I174,"human"))</f>
        <v>0</v>
      </c>
      <c r="AJ174">
        <f>AND(IF(Metadata!J174="",FALSE,ISNUMBER(VALUE(Metadata!J174))),Metadata!J174&gt;0)</f>
        <v>0</v>
      </c>
      <c r="AK174">
        <f>AND(IF(Metadata!K174="",FALSE,TRUE),exact(Metadata!K174,"cm"))</f>
        <v>0</v>
      </c>
      <c r="AL174">
        <f>AND(IF(Metadata!L174="",FALSE,TRUE),exact(Metadata!L174,"Homo sapiens"))</f>
        <v>0</v>
      </c>
      <c r="AM174">
        <f>AND(IF(Metadata!M174="",FALSE,TRUE),exact(Metadata!M174,"9606"))</f>
        <v>0</v>
      </c>
      <c r="AN174">
        <f>AND(IF(Metadata!N174="",FALSE,ISNUMBER(VALUE(Metadata!N174))),Metadata!N174&gt;0)</f>
        <v>0</v>
      </c>
      <c r="AO174">
        <f>AND(IF(Metadata!O174="",FALSE,TRUE),exact(Metadata!O174,"kg"))</f>
        <v>0</v>
      </c>
      <c r="AP174">
        <f>OR(AND(IF(Metadata!P174="",FALSE,TRUE),exact(Metadata!P174,"not provided")),IF(Metadata!P174="",FALSE,TRUE))</f>
        <v>0</v>
      </c>
      <c r="AQ174">
        <f>OR(AND(IF(Metadata!Q174="",FALSE,TRUE),exact(Metadata!Q174,"not provided")),IF(Metadata!Q174="",FALSE,TRUE))</f>
        <v>0</v>
      </c>
    </row>
    <row r="175" spans="1:43">
      <c r="A175" s="4">
        <f>IF(B175=" "," ",HYPERLINK(CONCATENATE("#metadata!",ADDRESS(INDEX($W$2:$W$1001,MATCH(ROWS($U$2:U175),$U$2:$U$1001,0),0),2)),INDEX($Z$2:$Z$1001,MATCH(ROWS($U$2:U175),$U$2:$U$1001,0),0)))</f>
        <v>0</v>
      </c>
      <c r="B175" s="5">
        <f>IF(OR(INDEX($V$2:$V$1001,MATCH(ROWS($U$2:U175),$U$2:$U$1001,0),1)&gt;=100000,INDEX($AB$1005:$AQ$1005,1,MATCH(COLUMNS($AB$1006:AB1006),$AB$1006:$AQ$1006,0))&gt;=100000), " ",IF(INDEX($AB$2:$AQ$1001,MATCH(ROWS($U$2:U175),$U$2:$U$1001,0),MATCH(COLUMNS($AB$1006:AB1006),$AB$1006:$AQ$1006,0)), HYPERLINK("#",""), HYPERLINK(CONCATENATE("#Metadata!", ADDRESS(INDEX($W$2:$W$1001,MATCH(ROWS($U$2:U175),$U$2:$U$1001,0),0), INDEX($AB$1004:$AQ$1004,1,MATCH(COLUMNS($AB$1006:AB1006),$AB$1006:$AQ$1006,0)))),"Fix")))</f>
        <v>0</v>
      </c>
      <c r="C175" s="5">
        <f>IF(OR(INDEX($V$2:$V$1001,MATCH(ROWS($U$2:U175),$U$2:$U$1001,0),1)&gt;=100000,INDEX($AB$1005:$AQ$1005,1,MATCH(COLUMNS($AB$1006:AC1006),$AB$1006:$AQ$1006,0))&gt;=100000), " ",IF(INDEX($AB$2:$AQ$1001,MATCH(ROWS($U$2:U175),$U$2:$U$1001,0),MATCH(COLUMNS($AB$1006:AC1006),$AB$1006:$AQ$1006,0)), HYPERLINK("#",""), HYPERLINK(CONCATENATE("#Metadata!", ADDRESS(INDEX($W$2:$W$1001,MATCH(ROWS($U$2:U175),$U$2:$U$1001,0),0), INDEX($AB$1004:$AQ$1004,1,MATCH(COLUMNS($AB$1006:AC1006),$AB$1006:$AQ$1006,0)))),"Fix")))</f>
        <v>0</v>
      </c>
      <c r="D175" s="5">
        <f>IF(OR(INDEX($V$2:$V$1001,MATCH(ROWS($U$2:U175),$U$2:$U$1001,0),1)&gt;=100000,INDEX($AB$1005:$AQ$1005,1,MATCH(COLUMNS($AB$1006:AD1006),$AB$1006:$AQ$1006,0))&gt;=100000), " ",IF(INDEX($AB$2:$AQ$1001,MATCH(ROWS($U$2:U175),$U$2:$U$1001,0),MATCH(COLUMNS($AB$1006:AD1006),$AB$1006:$AQ$1006,0)), HYPERLINK("#",""), HYPERLINK(CONCATENATE("#Metadata!", ADDRESS(INDEX($W$2:$W$1001,MATCH(ROWS($U$2:U175),$U$2:$U$1001,0),0), INDEX($AB$1004:$AQ$1004,1,MATCH(COLUMNS($AB$1006:AD1006),$AB$1006:$AQ$1006,0)))),"Fix")))</f>
        <v>0</v>
      </c>
      <c r="E175" s="5">
        <f>IF(OR(INDEX($V$2:$V$1001,MATCH(ROWS($U$2:U175),$U$2:$U$1001,0),1)&gt;=100000,INDEX($AB$1005:$AQ$1005,1,MATCH(COLUMNS($AB$1006:AE1006),$AB$1006:$AQ$1006,0))&gt;=100000), " ",IF(INDEX($AB$2:$AQ$1001,MATCH(ROWS($U$2:U175),$U$2:$U$1001,0),MATCH(COLUMNS($AB$1006:AE1006),$AB$1006:$AQ$1006,0)), HYPERLINK("#",""), HYPERLINK(CONCATENATE("#Metadata!", ADDRESS(INDEX($W$2:$W$1001,MATCH(ROWS($U$2:U175),$U$2:$U$1001,0),0), INDEX($AB$1004:$AQ$1004,1,MATCH(COLUMNS($AB$1006:AE1006),$AB$1006:$AQ$1006,0)))),"Fix")))</f>
        <v>0</v>
      </c>
      <c r="F175" s="5">
        <f>IF(OR(INDEX($V$2:$V$1001,MATCH(ROWS($U$2:U175),$U$2:$U$1001,0),1)&gt;=100000,INDEX($AB$1005:$AQ$1005,1,MATCH(COLUMNS($AB$1006:AF1006),$AB$1006:$AQ$1006,0))&gt;=100000), " ",IF(INDEX($AB$2:$AQ$1001,MATCH(ROWS($U$2:U175),$U$2:$U$1001,0),MATCH(COLUMNS($AB$1006:AF1006),$AB$1006:$AQ$1006,0)), HYPERLINK("#",""), HYPERLINK(CONCATENATE("#Metadata!", ADDRESS(INDEX($W$2:$W$1001,MATCH(ROWS($U$2:U175),$U$2:$U$1001,0),0), INDEX($AB$1004:$AQ$1004,1,MATCH(COLUMNS($AB$1006:AF1006),$AB$1006:$AQ$1006,0)))),"Fix")))</f>
        <v>0</v>
      </c>
      <c r="G175" s="5">
        <f>IF(OR(INDEX($V$2:$V$1001,MATCH(ROWS($U$2:U175),$U$2:$U$1001,0),1)&gt;=100000,INDEX($AB$1005:$AQ$1005,1,MATCH(COLUMNS($AB$1006:AG1006),$AB$1006:$AQ$1006,0))&gt;=100000), " ",IF(INDEX($AB$2:$AQ$1001,MATCH(ROWS($U$2:U175),$U$2:$U$1001,0),MATCH(COLUMNS($AB$1006:AG1006),$AB$1006:$AQ$1006,0)), HYPERLINK("#",""), HYPERLINK(CONCATENATE("#Metadata!", ADDRESS(INDEX($W$2:$W$1001,MATCH(ROWS($U$2:U175),$U$2:$U$1001,0),0), INDEX($AB$1004:$AQ$1004,1,MATCH(COLUMNS($AB$1006:AG1006),$AB$1006:$AQ$1006,0)))),"Fix")))</f>
        <v>0</v>
      </c>
      <c r="H175" s="5">
        <f>IF(OR(INDEX($V$2:$V$1001,MATCH(ROWS($U$2:U175),$U$2:$U$1001,0),1)&gt;=100000,INDEX($AB$1005:$AQ$1005,1,MATCH(COLUMNS($AB$1006:AH1006),$AB$1006:$AQ$1006,0))&gt;=100000), " ",IF(INDEX($AB$2:$AQ$1001,MATCH(ROWS($U$2:U175),$U$2:$U$1001,0),MATCH(COLUMNS($AB$1006:AH1006),$AB$1006:$AQ$1006,0)), HYPERLINK("#",""), HYPERLINK(CONCATENATE("#Metadata!", ADDRESS(INDEX($W$2:$W$1001,MATCH(ROWS($U$2:U175),$U$2:$U$1001,0),0), INDEX($AB$1004:$AQ$1004,1,MATCH(COLUMNS($AB$1006:AH1006),$AB$1006:$AQ$1006,0)))),"Fix")))</f>
        <v>0</v>
      </c>
      <c r="I175" s="5">
        <f>IF(OR(INDEX($V$2:$V$1001,MATCH(ROWS($U$2:U175),$U$2:$U$1001,0),1)&gt;=100000,INDEX($AB$1005:$AQ$1005,1,MATCH(COLUMNS($AB$1006:AI1006),$AB$1006:$AQ$1006,0))&gt;=100000), " ",IF(INDEX($AB$2:$AQ$1001,MATCH(ROWS($U$2:U175),$U$2:$U$1001,0),MATCH(COLUMNS($AB$1006:AI1006),$AB$1006:$AQ$1006,0)), HYPERLINK("#",""), HYPERLINK(CONCATENATE("#Metadata!", ADDRESS(INDEX($W$2:$W$1001,MATCH(ROWS($U$2:U175),$U$2:$U$1001,0),0), INDEX($AB$1004:$AQ$1004,1,MATCH(COLUMNS($AB$1006:AI1006),$AB$1006:$AQ$1006,0)))),"Fix")))</f>
        <v>0</v>
      </c>
      <c r="J175" s="5">
        <f>IF(OR(INDEX($V$2:$V$1001,MATCH(ROWS($U$2:U175),$U$2:$U$1001,0),1)&gt;=100000,INDEX($AB$1005:$AQ$1005,1,MATCH(COLUMNS($AB$1006:AJ1006),$AB$1006:$AQ$1006,0))&gt;=100000), " ",IF(INDEX($AB$2:$AQ$1001,MATCH(ROWS($U$2:U175),$U$2:$U$1001,0),MATCH(COLUMNS($AB$1006:AJ1006),$AB$1006:$AQ$1006,0)), HYPERLINK("#",""), HYPERLINK(CONCATENATE("#Metadata!", ADDRESS(INDEX($W$2:$W$1001,MATCH(ROWS($U$2:U175),$U$2:$U$1001,0),0), INDEX($AB$1004:$AQ$1004,1,MATCH(COLUMNS($AB$1006:AJ1006),$AB$1006:$AQ$1006,0)))),"Fix")))</f>
        <v>0</v>
      </c>
      <c r="K175" s="5">
        <f>IF(OR(INDEX($V$2:$V$1001,MATCH(ROWS($U$2:U175),$U$2:$U$1001,0),1)&gt;=100000,INDEX($AB$1005:$AQ$1005,1,MATCH(COLUMNS($AB$1006:AK1006),$AB$1006:$AQ$1006,0))&gt;=100000), " ",IF(INDEX($AB$2:$AQ$1001,MATCH(ROWS($U$2:U175),$U$2:$U$1001,0),MATCH(COLUMNS($AB$1006:AK1006),$AB$1006:$AQ$1006,0)), HYPERLINK("#",""), HYPERLINK(CONCATENATE("#Metadata!", ADDRESS(INDEX($W$2:$W$1001,MATCH(ROWS($U$2:U175),$U$2:$U$1001,0),0), INDEX($AB$1004:$AQ$1004,1,MATCH(COLUMNS($AB$1006:AK1006),$AB$1006:$AQ$1006,0)))),"Fix")))</f>
        <v>0</v>
      </c>
      <c r="L175" s="5">
        <f>IF(OR(INDEX($V$2:$V$1001,MATCH(ROWS($U$2:U175),$U$2:$U$1001,0),1)&gt;=100000,INDEX($AB$1005:$AQ$1005,1,MATCH(COLUMNS($AB$1006:AL1006),$AB$1006:$AQ$1006,0))&gt;=100000), " ",IF(INDEX($AB$2:$AQ$1001,MATCH(ROWS($U$2:U175),$U$2:$U$1001,0),MATCH(COLUMNS($AB$1006:AL1006),$AB$1006:$AQ$1006,0)), HYPERLINK("#",""), HYPERLINK(CONCATENATE("#Metadata!", ADDRESS(INDEX($W$2:$W$1001,MATCH(ROWS($U$2:U175),$U$2:$U$1001,0),0), INDEX($AB$1004:$AQ$1004,1,MATCH(COLUMNS($AB$1006:AL1006),$AB$1006:$AQ$1006,0)))),"Fix")))</f>
        <v>0</v>
      </c>
      <c r="M175" s="5">
        <f>IF(OR(INDEX($V$2:$V$1001,MATCH(ROWS($U$2:U175),$U$2:$U$1001,0),1)&gt;=100000,INDEX($AB$1005:$AQ$1005,1,MATCH(COLUMNS($AB$1006:AM1006),$AB$1006:$AQ$1006,0))&gt;=100000), " ",IF(INDEX($AB$2:$AQ$1001,MATCH(ROWS($U$2:U175),$U$2:$U$1001,0),MATCH(COLUMNS($AB$1006:AM1006),$AB$1006:$AQ$1006,0)), HYPERLINK("#",""), HYPERLINK(CONCATENATE("#Metadata!", ADDRESS(INDEX($W$2:$W$1001,MATCH(ROWS($U$2:U175),$U$2:$U$1001,0),0), INDEX($AB$1004:$AQ$1004,1,MATCH(COLUMNS($AB$1006:AM1006),$AB$1006:$AQ$1006,0)))),"Fix")))</f>
        <v>0</v>
      </c>
      <c r="N175" s="5">
        <f>IF(OR(INDEX($V$2:$V$1001,MATCH(ROWS($U$2:U175),$U$2:$U$1001,0),1)&gt;=100000,INDEX($AB$1005:$AQ$1005,1,MATCH(COLUMNS($AB$1006:AN1006),$AB$1006:$AQ$1006,0))&gt;=100000), " ",IF(INDEX($AB$2:$AQ$1001,MATCH(ROWS($U$2:U175),$U$2:$U$1001,0),MATCH(COLUMNS($AB$1006:AN1006),$AB$1006:$AQ$1006,0)), HYPERLINK("#",""), HYPERLINK(CONCATENATE("#Metadata!", ADDRESS(INDEX($W$2:$W$1001,MATCH(ROWS($U$2:U175),$U$2:$U$1001,0),0), INDEX($AB$1004:$AQ$1004,1,MATCH(COLUMNS($AB$1006:AN1006),$AB$1006:$AQ$1006,0)))),"Fix")))</f>
        <v>0</v>
      </c>
      <c r="O175" s="5">
        <f>IF(OR(INDEX($V$2:$V$1001,MATCH(ROWS($U$2:U175),$U$2:$U$1001,0),1)&gt;=100000,INDEX($AB$1005:$AQ$1005,1,MATCH(COLUMNS($AB$1006:AO1006),$AB$1006:$AQ$1006,0))&gt;=100000), " ",IF(INDEX($AB$2:$AQ$1001,MATCH(ROWS($U$2:U175),$U$2:$U$1001,0),MATCH(COLUMNS($AB$1006:AO1006),$AB$1006:$AQ$1006,0)), HYPERLINK("#",""), HYPERLINK(CONCATENATE("#Metadata!", ADDRESS(INDEX($W$2:$W$1001,MATCH(ROWS($U$2:U175),$U$2:$U$1001,0),0), INDEX($AB$1004:$AQ$1004,1,MATCH(COLUMNS($AB$1006:AO1006),$AB$1006:$AQ$1006,0)))),"Fix")))</f>
        <v>0</v>
      </c>
      <c r="P175" s="5">
        <f>IF(OR(INDEX($V$2:$V$1001,MATCH(ROWS($U$2:U175),$U$2:$U$1001,0),1)&gt;=100000,INDEX($AB$1005:$AQ$1005,1,MATCH(COLUMNS($AB$1006:AP1006),$AB$1006:$AQ$1006,0))&gt;=100000), " ",IF(INDEX($AB$2:$AQ$1001,MATCH(ROWS($U$2:U175),$U$2:$U$1001,0),MATCH(COLUMNS($AB$1006:AP1006),$AB$1006:$AQ$1006,0)), HYPERLINK("#",""), HYPERLINK(CONCATENATE("#Metadata!", ADDRESS(INDEX($W$2:$W$1001,MATCH(ROWS($U$2:U175),$U$2:$U$1001,0),0), INDEX($AB$1004:$AQ$1004,1,MATCH(COLUMNS($AB$1006:AP1006),$AB$1006:$AQ$1006,0)))),"Fix")))</f>
        <v>0</v>
      </c>
      <c r="Q175" s="5">
        <f>IF(OR(INDEX($V$2:$V$1001,MATCH(ROWS($U$2:U175),$U$2:$U$1001,0),1)&gt;=100000,INDEX($AB$1005:$AQ$1005,1,MATCH(COLUMNS($AB$1006:AQ1006),$AB$1006:$AQ$1006,0))&gt;=100000), " ",IF(INDEX($AB$2:$AQ$1001,MATCH(ROWS($U$2:U175),$U$2:$U$1001,0),MATCH(COLUMNS($AB$1006:AQ1006),$AB$1006:$AQ$1006,0)), HYPERLINK("#",""), HYPERLINK(CONCATENATE("#Metadata!", ADDRESS(INDEX($W$2:$W$1001,MATCH(ROWS($U$2:U175),$U$2:$U$1001,0),0), INDEX($AB$1004:$AQ$1004,1,MATCH(COLUMNS($AB$1006:AQ1006),$AB$1006:$AQ$1006,0)))),"Fix")))</f>
        <v>0</v>
      </c>
      <c r="U175">
        <v>0</v>
      </c>
      <c r="V175">
        <v>0</v>
      </c>
      <c r="W175">
        <v>0</v>
      </c>
      <c r="X175">
        <f>IF(Y175,TRUE,AND(AB175:AQ175))</f>
        <v>0</v>
      </c>
      <c r="Y175">
        <f>COUNTBLANK(Metadata!B175:Q175)=COLUMNS(Metadata!B175:Q175)</f>
        <v>0</v>
      </c>
      <c r="Z175">
        <v>0</v>
      </c>
      <c r="AB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AC175">
        <f>AND(IF(Metadata!C175="",FALSE,TRUE),exact(Metadata!C175,"urban biome"))</f>
        <v>0</v>
      </c>
      <c r="AD175">
        <f>AND(IF(Metadata!D175="",FALSE,TRUE),exact(Metadata!D175,"human-associated habitat"))</f>
        <v>0</v>
      </c>
      <c r="AE175">
        <f>AND(IF(Metadata!E175="",FALSE,TRUE),OR(exact(Metadata!E175,"human-associated"),exact(Metadata!E175,"human-skin"),exact(Metadata!E175,"human-oral"),exact(Metadata!E175,"human-gut"),exact(Metadata!E175,"human-vaginal")))</f>
        <v>0</v>
      </c>
      <c r="AF175">
        <f>AND(IF(Metadata!F175="",FALSE,ISNUMBER(VALUE(Metadata!F175))),Metadata!F175&gt;0)</f>
        <v>0</v>
      </c>
      <c r="AG175">
        <f>AND(IF(Metadata!G175="",FALSE,TRUE),exact(Metadata!G175,"years"))</f>
        <v>0</v>
      </c>
      <c r="AH175">
        <f>OR(AND(IF(Metadata!H175="",FALSE,TRUE),OR(exact(Metadata!H175,"not applicable"),exact(Metadata!H175,"not collected"),exact(Metadata!H175,"not provided"),exact(Metadata!H175,"restricted access"))),AND(IF(Metadata!H175="",FALSE,ISNUMBER(VALUE(Metadata!H175))),Metadata!H175&gt;0))</f>
        <v>0</v>
      </c>
      <c r="AI175">
        <f>AND(IF(Metadata!I175="",FALSE,TRUE),exact(Metadata!I175,"human"))</f>
        <v>0</v>
      </c>
      <c r="AJ175">
        <f>AND(IF(Metadata!J175="",FALSE,ISNUMBER(VALUE(Metadata!J175))),Metadata!J175&gt;0)</f>
        <v>0</v>
      </c>
      <c r="AK175">
        <f>AND(IF(Metadata!K175="",FALSE,TRUE),exact(Metadata!K175,"cm"))</f>
        <v>0</v>
      </c>
      <c r="AL175">
        <f>AND(IF(Metadata!L175="",FALSE,TRUE),exact(Metadata!L175,"Homo sapiens"))</f>
        <v>0</v>
      </c>
      <c r="AM175">
        <f>AND(IF(Metadata!M175="",FALSE,TRUE),exact(Metadata!M175,"9606"))</f>
        <v>0</v>
      </c>
      <c r="AN175">
        <f>AND(IF(Metadata!N175="",FALSE,ISNUMBER(VALUE(Metadata!N175))),Metadata!N175&gt;0)</f>
        <v>0</v>
      </c>
      <c r="AO175">
        <f>AND(IF(Metadata!O175="",FALSE,TRUE),exact(Metadata!O175,"kg"))</f>
        <v>0</v>
      </c>
      <c r="AP175">
        <f>OR(AND(IF(Metadata!P175="",FALSE,TRUE),exact(Metadata!P175,"not provided")),IF(Metadata!P175="",FALSE,TRUE))</f>
        <v>0</v>
      </c>
      <c r="AQ175">
        <f>OR(AND(IF(Metadata!Q175="",FALSE,TRUE),exact(Metadata!Q175,"not provided")),IF(Metadata!Q175="",FALSE,TRUE))</f>
        <v>0</v>
      </c>
    </row>
    <row r="176" spans="1:43">
      <c r="A176" s="4">
        <f>IF(B176=" "," ",HYPERLINK(CONCATENATE("#metadata!",ADDRESS(INDEX($W$2:$W$1001,MATCH(ROWS($U$2:U176),$U$2:$U$1001,0),0),2)),INDEX($Z$2:$Z$1001,MATCH(ROWS($U$2:U176),$U$2:$U$1001,0),0)))</f>
        <v>0</v>
      </c>
      <c r="B176" s="5">
        <f>IF(OR(INDEX($V$2:$V$1001,MATCH(ROWS($U$2:U176),$U$2:$U$1001,0),1)&gt;=100000,INDEX($AB$1005:$AQ$1005,1,MATCH(COLUMNS($AB$1006:AB1006),$AB$1006:$AQ$1006,0))&gt;=100000), " ",IF(INDEX($AB$2:$AQ$1001,MATCH(ROWS($U$2:U176),$U$2:$U$1001,0),MATCH(COLUMNS($AB$1006:AB1006),$AB$1006:$AQ$1006,0)), HYPERLINK("#",""), HYPERLINK(CONCATENATE("#Metadata!", ADDRESS(INDEX($W$2:$W$1001,MATCH(ROWS($U$2:U176),$U$2:$U$1001,0),0), INDEX($AB$1004:$AQ$1004,1,MATCH(COLUMNS($AB$1006:AB1006),$AB$1006:$AQ$1006,0)))),"Fix")))</f>
        <v>0</v>
      </c>
      <c r="C176" s="5">
        <f>IF(OR(INDEX($V$2:$V$1001,MATCH(ROWS($U$2:U176),$U$2:$U$1001,0),1)&gt;=100000,INDEX($AB$1005:$AQ$1005,1,MATCH(COLUMNS($AB$1006:AC1006),$AB$1006:$AQ$1006,0))&gt;=100000), " ",IF(INDEX($AB$2:$AQ$1001,MATCH(ROWS($U$2:U176),$U$2:$U$1001,0),MATCH(COLUMNS($AB$1006:AC1006),$AB$1006:$AQ$1006,0)), HYPERLINK("#",""), HYPERLINK(CONCATENATE("#Metadata!", ADDRESS(INDEX($W$2:$W$1001,MATCH(ROWS($U$2:U176),$U$2:$U$1001,0),0), INDEX($AB$1004:$AQ$1004,1,MATCH(COLUMNS($AB$1006:AC1006),$AB$1006:$AQ$1006,0)))),"Fix")))</f>
        <v>0</v>
      </c>
      <c r="D176" s="5">
        <f>IF(OR(INDEX($V$2:$V$1001,MATCH(ROWS($U$2:U176),$U$2:$U$1001,0),1)&gt;=100000,INDEX($AB$1005:$AQ$1005,1,MATCH(COLUMNS($AB$1006:AD1006),$AB$1006:$AQ$1006,0))&gt;=100000), " ",IF(INDEX($AB$2:$AQ$1001,MATCH(ROWS($U$2:U176),$U$2:$U$1001,0),MATCH(COLUMNS($AB$1006:AD1006),$AB$1006:$AQ$1006,0)), HYPERLINK("#",""), HYPERLINK(CONCATENATE("#Metadata!", ADDRESS(INDEX($W$2:$W$1001,MATCH(ROWS($U$2:U176),$U$2:$U$1001,0),0), INDEX($AB$1004:$AQ$1004,1,MATCH(COLUMNS($AB$1006:AD1006),$AB$1006:$AQ$1006,0)))),"Fix")))</f>
        <v>0</v>
      </c>
      <c r="E176" s="5">
        <f>IF(OR(INDEX($V$2:$V$1001,MATCH(ROWS($U$2:U176),$U$2:$U$1001,0),1)&gt;=100000,INDEX($AB$1005:$AQ$1005,1,MATCH(COLUMNS($AB$1006:AE1006),$AB$1006:$AQ$1006,0))&gt;=100000), " ",IF(INDEX($AB$2:$AQ$1001,MATCH(ROWS($U$2:U176),$U$2:$U$1001,0),MATCH(COLUMNS($AB$1006:AE1006),$AB$1006:$AQ$1006,0)), HYPERLINK("#",""), HYPERLINK(CONCATENATE("#Metadata!", ADDRESS(INDEX($W$2:$W$1001,MATCH(ROWS($U$2:U176),$U$2:$U$1001,0),0), INDEX($AB$1004:$AQ$1004,1,MATCH(COLUMNS($AB$1006:AE1006),$AB$1006:$AQ$1006,0)))),"Fix")))</f>
        <v>0</v>
      </c>
      <c r="F176" s="5">
        <f>IF(OR(INDEX($V$2:$V$1001,MATCH(ROWS($U$2:U176),$U$2:$U$1001,0),1)&gt;=100000,INDEX($AB$1005:$AQ$1005,1,MATCH(COLUMNS($AB$1006:AF1006),$AB$1006:$AQ$1006,0))&gt;=100000), " ",IF(INDEX($AB$2:$AQ$1001,MATCH(ROWS($U$2:U176),$U$2:$U$1001,0),MATCH(COLUMNS($AB$1006:AF1006),$AB$1006:$AQ$1006,0)), HYPERLINK("#",""), HYPERLINK(CONCATENATE("#Metadata!", ADDRESS(INDEX($W$2:$W$1001,MATCH(ROWS($U$2:U176),$U$2:$U$1001,0),0), INDEX($AB$1004:$AQ$1004,1,MATCH(COLUMNS($AB$1006:AF1006),$AB$1006:$AQ$1006,0)))),"Fix")))</f>
        <v>0</v>
      </c>
      <c r="G176" s="5">
        <f>IF(OR(INDEX($V$2:$V$1001,MATCH(ROWS($U$2:U176),$U$2:$U$1001,0),1)&gt;=100000,INDEX($AB$1005:$AQ$1005,1,MATCH(COLUMNS($AB$1006:AG1006),$AB$1006:$AQ$1006,0))&gt;=100000), " ",IF(INDEX($AB$2:$AQ$1001,MATCH(ROWS($U$2:U176),$U$2:$U$1001,0),MATCH(COLUMNS($AB$1006:AG1006),$AB$1006:$AQ$1006,0)), HYPERLINK("#",""), HYPERLINK(CONCATENATE("#Metadata!", ADDRESS(INDEX($W$2:$W$1001,MATCH(ROWS($U$2:U176),$U$2:$U$1001,0),0), INDEX($AB$1004:$AQ$1004,1,MATCH(COLUMNS($AB$1006:AG1006),$AB$1006:$AQ$1006,0)))),"Fix")))</f>
        <v>0</v>
      </c>
      <c r="H176" s="5">
        <f>IF(OR(INDEX($V$2:$V$1001,MATCH(ROWS($U$2:U176),$U$2:$U$1001,0),1)&gt;=100000,INDEX($AB$1005:$AQ$1005,1,MATCH(COLUMNS($AB$1006:AH1006),$AB$1006:$AQ$1006,0))&gt;=100000), " ",IF(INDEX($AB$2:$AQ$1001,MATCH(ROWS($U$2:U176),$U$2:$U$1001,0),MATCH(COLUMNS($AB$1006:AH1006),$AB$1006:$AQ$1006,0)), HYPERLINK("#",""), HYPERLINK(CONCATENATE("#Metadata!", ADDRESS(INDEX($W$2:$W$1001,MATCH(ROWS($U$2:U176),$U$2:$U$1001,0),0), INDEX($AB$1004:$AQ$1004,1,MATCH(COLUMNS($AB$1006:AH1006),$AB$1006:$AQ$1006,0)))),"Fix")))</f>
        <v>0</v>
      </c>
      <c r="I176" s="5">
        <f>IF(OR(INDEX($V$2:$V$1001,MATCH(ROWS($U$2:U176),$U$2:$U$1001,0),1)&gt;=100000,INDEX($AB$1005:$AQ$1005,1,MATCH(COLUMNS($AB$1006:AI1006),$AB$1006:$AQ$1006,0))&gt;=100000), " ",IF(INDEX($AB$2:$AQ$1001,MATCH(ROWS($U$2:U176),$U$2:$U$1001,0),MATCH(COLUMNS($AB$1006:AI1006),$AB$1006:$AQ$1006,0)), HYPERLINK("#",""), HYPERLINK(CONCATENATE("#Metadata!", ADDRESS(INDEX($W$2:$W$1001,MATCH(ROWS($U$2:U176),$U$2:$U$1001,0),0), INDEX($AB$1004:$AQ$1004,1,MATCH(COLUMNS($AB$1006:AI1006),$AB$1006:$AQ$1006,0)))),"Fix")))</f>
        <v>0</v>
      </c>
      <c r="J176" s="5">
        <f>IF(OR(INDEX($V$2:$V$1001,MATCH(ROWS($U$2:U176),$U$2:$U$1001,0),1)&gt;=100000,INDEX($AB$1005:$AQ$1005,1,MATCH(COLUMNS($AB$1006:AJ1006),$AB$1006:$AQ$1006,0))&gt;=100000), " ",IF(INDEX($AB$2:$AQ$1001,MATCH(ROWS($U$2:U176),$U$2:$U$1001,0),MATCH(COLUMNS($AB$1006:AJ1006),$AB$1006:$AQ$1006,0)), HYPERLINK("#",""), HYPERLINK(CONCATENATE("#Metadata!", ADDRESS(INDEX($W$2:$W$1001,MATCH(ROWS($U$2:U176),$U$2:$U$1001,0),0), INDEX($AB$1004:$AQ$1004,1,MATCH(COLUMNS($AB$1006:AJ1006),$AB$1006:$AQ$1006,0)))),"Fix")))</f>
        <v>0</v>
      </c>
      <c r="K176" s="5">
        <f>IF(OR(INDEX($V$2:$V$1001,MATCH(ROWS($U$2:U176),$U$2:$U$1001,0),1)&gt;=100000,INDEX($AB$1005:$AQ$1005,1,MATCH(COLUMNS($AB$1006:AK1006),$AB$1006:$AQ$1006,0))&gt;=100000), " ",IF(INDEX($AB$2:$AQ$1001,MATCH(ROWS($U$2:U176),$U$2:$U$1001,0),MATCH(COLUMNS($AB$1006:AK1006),$AB$1006:$AQ$1006,0)), HYPERLINK("#",""), HYPERLINK(CONCATENATE("#Metadata!", ADDRESS(INDEX($W$2:$W$1001,MATCH(ROWS($U$2:U176),$U$2:$U$1001,0),0), INDEX($AB$1004:$AQ$1004,1,MATCH(COLUMNS($AB$1006:AK1006),$AB$1006:$AQ$1006,0)))),"Fix")))</f>
        <v>0</v>
      </c>
      <c r="L176" s="5">
        <f>IF(OR(INDEX($V$2:$V$1001,MATCH(ROWS($U$2:U176),$U$2:$U$1001,0),1)&gt;=100000,INDEX($AB$1005:$AQ$1005,1,MATCH(COLUMNS($AB$1006:AL1006),$AB$1006:$AQ$1006,0))&gt;=100000), " ",IF(INDEX($AB$2:$AQ$1001,MATCH(ROWS($U$2:U176),$U$2:$U$1001,0),MATCH(COLUMNS($AB$1006:AL1006),$AB$1006:$AQ$1006,0)), HYPERLINK("#",""), HYPERLINK(CONCATENATE("#Metadata!", ADDRESS(INDEX($W$2:$W$1001,MATCH(ROWS($U$2:U176),$U$2:$U$1001,0),0), INDEX($AB$1004:$AQ$1004,1,MATCH(COLUMNS($AB$1006:AL1006),$AB$1006:$AQ$1006,0)))),"Fix")))</f>
        <v>0</v>
      </c>
      <c r="M176" s="5">
        <f>IF(OR(INDEX($V$2:$V$1001,MATCH(ROWS($U$2:U176),$U$2:$U$1001,0),1)&gt;=100000,INDEX($AB$1005:$AQ$1005,1,MATCH(COLUMNS($AB$1006:AM1006),$AB$1006:$AQ$1006,0))&gt;=100000), " ",IF(INDEX($AB$2:$AQ$1001,MATCH(ROWS($U$2:U176),$U$2:$U$1001,0),MATCH(COLUMNS($AB$1006:AM1006),$AB$1006:$AQ$1006,0)), HYPERLINK("#",""), HYPERLINK(CONCATENATE("#Metadata!", ADDRESS(INDEX($W$2:$W$1001,MATCH(ROWS($U$2:U176),$U$2:$U$1001,0),0), INDEX($AB$1004:$AQ$1004,1,MATCH(COLUMNS($AB$1006:AM1006),$AB$1006:$AQ$1006,0)))),"Fix")))</f>
        <v>0</v>
      </c>
      <c r="N176" s="5">
        <f>IF(OR(INDEX($V$2:$V$1001,MATCH(ROWS($U$2:U176),$U$2:$U$1001,0),1)&gt;=100000,INDEX($AB$1005:$AQ$1005,1,MATCH(COLUMNS($AB$1006:AN1006),$AB$1006:$AQ$1006,0))&gt;=100000), " ",IF(INDEX($AB$2:$AQ$1001,MATCH(ROWS($U$2:U176),$U$2:$U$1001,0),MATCH(COLUMNS($AB$1006:AN1006),$AB$1006:$AQ$1006,0)), HYPERLINK("#",""), HYPERLINK(CONCATENATE("#Metadata!", ADDRESS(INDEX($W$2:$W$1001,MATCH(ROWS($U$2:U176),$U$2:$U$1001,0),0), INDEX($AB$1004:$AQ$1004,1,MATCH(COLUMNS($AB$1006:AN1006),$AB$1006:$AQ$1006,0)))),"Fix")))</f>
        <v>0</v>
      </c>
      <c r="O176" s="5">
        <f>IF(OR(INDEX($V$2:$V$1001,MATCH(ROWS($U$2:U176),$U$2:$U$1001,0),1)&gt;=100000,INDEX($AB$1005:$AQ$1005,1,MATCH(COLUMNS($AB$1006:AO1006),$AB$1006:$AQ$1006,0))&gt;=100000), " ",IF(INDEX($AB$2:$AQ$1001,MATCH(ROWS($U$2:U176),$U$2:$U$1001,0),MATCH(COLUMNS($AB$1006:AO1006),$AB$1006:$AQ$1006,0)), HYPERLINK("#",""), HYPERLINK(CONCATENATE("#Metadata!", ADDRESS(INDEX($W$2:$W$1001,MATCH(ROWS($U$2:U176),$U$2:$U$1001,0),0), INDEX($AB$1004:$AQ$1004,1,MATCH(COLUMNS($AB$1006:AO1006),$AB$1006:$AQ$1006,0)))),"Fix")))</f>
        <v>0</v>
      </c>
      <c r="P176" s="5">
        <f>IF(OR(INDEX($V$2:$V$1001,MATCH(ROWS($U$2:U176),$U$2:$U$1001,0),1)&gt;=100000,INDEX($AB$1005:$AQ$1005,1,MATCH(COLUMNS($AB$1006:AP1006),$AB$1006:$AQ$1006,0))&gt;=100000), " ",IF(INDEX($AB$2:$AQ$1001,MATCH(ROWS($U$2:U176),$U$2:$U$1001,0),MATCH(COLUMNS($AB$1006:AP1006),$AB$1006:$AQ$1006,0)), HYPERLINK("#",""), HYPERLINK(CONCATENATE("#Metadata!", ADDRESS(INDEX($W$2:$W$1001,MATCH(ROWS($U$2:U176),$U$2:$U$1001,0),0), INDEX($AB$1004:$AQ$1004,1,MATCH(COLUMNS($AB$1006:AP1006),$AB$1006:$AQ$1006,0)))),"Fix")))</f>
        <v>0</v>
      </c>
      <c r="Q176" s="5">
        <f>IF(OR(INDEX($V$2:$V$1001,MATCH(ROWS($U$2:U176),$U$2:$U$1001,0),1)&gt;=100000,INDEX($AB$1005:$AQ$1005,1,MATCH(COLUMNS($AB$1006:AQ1006),$AB$1006:$AQ$1006,0))&gt;=100000), " ",IF(INDEX($AB$2:$AQ$1001,MATCH(ROWS($U$2:U176),$U$2:$U$1001,0),MATCH(COLUMNS($AB$1006:AQ1006),$AB$1006:$AQ$1006,0)), HYPERLINK("#",""), HYPERLINK(CONCATENATE("#Metadata!", ADDRESS(INDEX($W$2:$W$1001,MATCH(ROWS($U$2:U176),$U$2:$U$1001,0),0), INDEX($AB$1004:$AQ$1004,1,MATCH(COLUMNS($AB$1006:AQ1006),$AB$1006:$AQ$1006,0)))),"Fix")))</f>
        <v>0</v>
      </c>
      <c r="U176">
        <v>0</v>
      </c>
      <c r="V176">
        <v>0</v>
      </c>
      <c r="W176">
        <v>0</v>
      </c>
      <c r="X176">
        <f>IF(Y176,TRUE,AND(AB176:AQ176))</f>
        <v>0</v>
      </c>
      <c r="Y176">
        <f>COUNTBLANK(Metadata!B176:Q176)=COLUMNS(Metadata!B176:Q176)</f>
        <v>0</v>
      </c>
      <c r="Z176">
        <v>0</v>
      </c>
      <c r="AB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AC176">
        <f>AND(IF(Metadata!C176="",FALSE,TRUE),exact(Metadata!C176,"urban biome"))</f>
        <v>0</v>
      </c>
      <c r="AD176">
        <f>AND(IF(Metadata!D176="",FALSE,TRUE),exact(Metadata!D176,"human-associated habitat"))</f>
        <v>0</v>
      </c>
      <c r="AE176">
        <f>AND(IF(Metadata!E176="",FALSE,TRUE),OR(exact(Metadata!E176,"human-associated"),exact(Metadata!E176,"human-skin"),exact(Metadata!E176,"human-oral"),exact(Metadata!E176,"human-gut"),exact(Metadata!E176,"human-vaginal")))</f>
        <v>0</v>
      </c>
      <c r="AF176">
        <f>AND(IF(Metadata!F176="",FALSE,ISNUMBER(VALUE(Metadata!F176))),Metadata!F176&gt;0)</f>
        <v>0</v>
      </c>
      <c r="AG176">
        <f>AND(IF(Metadata!G176="",FALSE,TRUE),exact(Metadata!G176,"years"))</f>
        <v>0</v>
      </c>
      <c r="AH176">
        <f>OR(AND(IF(Metadata!H176="",FALSE,TRUE),OR(exact(Metadata!H176,"not applicable"),exact(Metadata!H176,"not collected"),exact(Metadata!H176,"not provided"),exact(Metadata!H176,"restricted access"))),AND(IF(Metadata!H176="",FALSE,ISNUMBER(VALUE(Metadata!H176))),Metadata!H176&gt;0))</f>
        <v>0</v>
      </c>
      <c r="AI176">
        <f>AND(IF(Metadata!I176="",FALSE,TRUE),exact(Metadata!I176,"human"))</f>
        <v>0</v>
      </c>
      <c r="AJ176">
        <f>AND(IF(Metadata!J176="",FALSE,ISNUMBER(VALUE(Metadata!J176))),Metadata!J176&gt;0)</f>
        <v>0</v>
      </c>
      <c r="AK176">
        <f>AND(IF(Metadata!K176="",FALSE,TRUE),exact(Metadata!K176,"cm"))</f>
        <v>0</v>
      </c>
      <c r="AL176">
        <f>AND(IF(Metadata!L176="",FALSE,TRUE),exact(Metadata!L176,"Homo sapiens"))</f>
        <v>0</v>
      </c>
      <c r="AM176">
        <f>AND(IF(Metadata!M176="",FALSE,TRUE),exact(Metadata!M176,"9606"))</f>
        <v>0</v>
      </c>
      <c r="AN176">
        <f>AND(IF(Metadata!N176="",FALSE,ISNUMBER(VALUE(Metadata!N176))),Metadata!N176&gt;0)</f>
        <v>0</v>
      </c>
      <c r="AO176">
        <f>AND(IF(Metadata!O176="",FALSE,TRUE),exact(Metadata!O176,"kg"))</f>
        <v>0</v>
      </c>
      <c r="AP176">
        <f>OR(AND(IF(Metadata!P176="",FALSE,TRUE),exact(Metadata!P176,"not provided")),IF(Metadata!P176="",FALSE,TRUE))</f>
        <v>0</v>
      </c>
      <c r="AQ176">
        <f>OR(AND(IF(Metadata!Q176="",FALSE,TRUE),exact(Metadata!Q176,"not provided")),IF(Metadata!Q176="",FALSE,TRUE))</f>
        <v>0</v>
      </c>
    </row>
    <row r="177" spans="1:43">
      <c r="A177" s="4">
        <f>IF(B177=" "," ",HYPERLINK(CONCATENATE("#metadata!",ADDRESS(INDEX($W$2:$W$1001,MATCH(ROWS($U$2:U177),$U$2:$U$1001,0),0),2)),INDEX($Z$2:$Z$1001,MATCH(ROWS($U$2:U177),$U$2:$U$1001,0),0)))</f>
        <v>0</v>
      </c>
      <c r="B177" s="5">
        <f>IF(OR(INDEX($V$2:$V$1001,MATCH(ROWS($U$2:U177),$U$2:$U$1001,0),1)&gt;=100000,INDEX($AB$1005:$AQ$1005,1,MATCH(COLUMNS($AB$1006:AB1006),$AB$1006:$AQ$1006,0))&gt;=100000), " ",IF(INDEX($AB$2:$AQ$1001,MATCH(ROWS($U$2:U177),$U$2:$U$1001,0),MATCH(COLUMNS($AB$1006:AB1006),$AB$1006:$AQ$1006,0)), HYPERLINK("#",""), HYPERLINK(CONCATENATE("#Metadata!", ADDRESS(INDEX($W$2:$W$1001,MATCH(ROWS($U$2:U177),$U$2:$U$1001,0),0), INDEX($AB$1004:$AQ$1004,1,MATCH(COLUMNS($AB$1006:AB1006),$AB$1006:$AQ$1006,0)))),"Fix")))</f>
        <v>0</v>
      </c>
      <c r="C177" s="5">
        <f>IF(OR(INDEX($V$2:$V$1001,MATCH(ROWS($U$2:U177),$U$2:$U$1001,0),1)&gt;=100000,INDEX($AB$1005:$AQ$1005,1,MATCH(COLUMNS($AB$1006:AC1006),$AB$1006:$AQ$1006,0))&gt;=100000), " ",IF(INDEX($AB$2:$AQ$1001,MATCH(ROWS($U$2:U177),$U$2:$U$1001,0),MATCH(COLUMNS($AB$1006:AC1006),$AB$1006:$AQ$1006,0)), HYPERLINK("#",""), HYPERLINK(CONCATENATE("#Metadata!", ADDRESS(INDEX($W$2:$W$1001,MATCH(ROWS($U$2:U177),$U$2:$U$1001,0),0), INDEX($AB$1004:$AQ$1004,1,MATCH(COLUMNS($AB$1006:AC1006),$AB$1006:$AQ$1006,0)))),"Fix")))</f>
        <v>0</v>
      </c>
      <c r="D177" s="5">
        <f>IF(OR(INDEX($V$2:$V$1001,MATCH(ROWS($U$2:U177),$U$2:$U$1001,0),1)&gt;=100000,INDEX($AB$1005:$AQ$1005,1,MATCH(COLUMNS($AB$1006:AD1006),$AB$1006:$AQ$1006,0))&gt;=100000), " ",IF(INDEX($AB$2:$AQ$1001,MATCH(ROWS($U$2:U177),$U$2:$U$1001,0),MATCH(COLUMNS($AB$1006:AD1006),$AB$1006:$AQ$1006,0)), HYPERLINK("#",""), HYPERLINK(CONCATENATE("#Metadata!", ADDRESS(INDEX($W$2:$W$1001,MATCH(ROWS($U$2:U177),$U$2:$U$1001,0),0), INDEX($AB$1004:$AQ$1004,1,MATCH(COLUMNS($AB$1006:AD1006),$AB$1006:$AQ$1006,0)))),"Fix")))</f>
        <v>0</v>
      </c>
      <c r="E177" s="5">
        <f>IF(OR(INDEX($V$2:$V$1001,MATCH(ROWS($U$2:U177),$U$2:$U$1001,0),1)&gt;=100000,INDEX($AB$1005:$AQ$1005,1,MATCH(COLUMNS($AB$1006:AE1006),$AB$1006:$AQ$1006,0))&gt;=100000), " ",IF(INDEX($AB$2:$AQ$1001,MATCH(ROWS($U$2:U177),$U$2:$U$1001,0),MATCH(COLUMNS($AB$1006:AE1006),$AB$1006:$AQ$1006,0)), HYPERLINK("#",""), HYPERLINK(CONCATENATE("#Metadata!", ADDRESS(INDEX($W$2:$W$1001,MATCH(ROWS($U$2:U177),$U$2:$U$1001,0),0), INDEX($AB$1004:$AQ$1004,1,MATCH(COLUMNS($AB$1006:AE1006),$AB$1006:$AQ$1006,0)))),"Fix")))</f>
        <v>0</v>
      </c>
      <c r="F177" s="5">
        <f>IF(OR(INDEX($V$2:$V$1001,MATCH(ROWS($U$2:U177),$U$2:$U$1001,0),1)&gt;=100000,INDEX($AB$1005:$AQ$1005,1,MATCH(COLUMNS($AB$1006:AF1006),$AB$1006:$AQ$1006,0))&gt;=100000), " ",IF(INDEX($AB$2:$AQ$1001,MATCH(ROWS($U$2:U177),$U$2:$U$1001,0),MATCH(COLUMNS($AB$1006:AF1006),$AB$1006:$AQ$1006,0)), HYPERLINK("#",""), HYPERLINK(CONCATENATE("#Metadata!", ADDRESS(INDEX($W$2:$W$1001,MATCH(ROWS($U$2:U177),$U$2:$U$1001,0),0), INDEX($AB$1004:$AQ$1004,1,MATCH(COLUMNS($AB$1006:AF1006),$AB$1006:$AQ$1006,0)))),"Fix")))</f>
        <v>0</v>
      </c>
      <c r="G177" s="5">
        <f>IF(OR(INDEX($V$2:$V$1001,MATCH(ROWS($U$2:U177),$U$2:$U$1001,0),1)&gt;=100000,INDEX($AB$1005:$AQ$1005,1,MATCH(COLUMNS($AB$1006:AG1006),$AB$1006:$AQ$1006,0))&gt;=100000), " ",IF(INDEX($AB$2:$AQ$1001,MATCH(ROWS($U$2:U177),$U$2:$U$1001,0),MATCH(COLUMNS($AB$1006:AG1006),$AB$1006:$AQ$1006,0)), HYPERLINK("#",""), HYPERLINK(CONCATENATE("#Metadata!", ADDRESS(INDEX($W$2:$W$1001,MATCH(ROWS($U$2:U177),$U$2:$U$1001,0),0), INDEX($AB$1004:$AQ$1004,1,MATCH(COLUMNS($AB$1006:AG1006),$AB$1006:$AQ$1006,0)))),"Fix")))</f>
        <v>0</v>
      </c>
      <c r="H177" s="5">
        <f>IF(OR(INDEX($V$2:$V$1001,MATCH(ROWS($U$2:U177),$U$2:$U$1001,0),1)&gt;=100000,INDEX($AB$1005:$AQ$1005,1,MATCH(COLUMNS($AB$1006:AH1006),$AB$1006:$AQ$1006,0))&gt;=100000), " ",IF(INDEX($AB$2:$AQ$1001,MATCH(ROWS($U$2:U177),$U$2:$U$1001,0),MATCH(COLUMNS($AB$1006:AH1006),$AB$1006:$AQ$1006,0)), HYPERLINK("#",""), HYPERLINK(CONCATENATE("#Metadata!", ADDRESS(INDEX($W$2:$W$1001,MATCH(ROWS($U$2:U177),$U$2:$U$1001,0),0), INDEX($AB$1004:$AQ$1004,1,MATCH(COLUMNS($AB$1006:AH1006),$AB$1006:$AQ$1006,0)))),"Fix")))</f>
        <v>0</v>
      </c>
      <c r="I177" s="5">
        <f>IF(OR(INDEX($V$2:$V$1001,MATCH(ROWS($U$2:U177),$U$2:$U$1001,0),1)&gt;=100000,INDEX($AB$1005:$AQ$1005,1,MATCH(COLUMNS($AB$1006:AI1006),$AB$1006:$AQ$1006,0))&gt;=100000), " ",IF(INDEX($AB$2:$AQ$1001,MATCH(ROWS($U$2:U177),$U$2:$U$1001,0),MATCH(COLUMNS($AB$1006:AI1006),$AB$1006:$AQ$1006,0)), HYPERLINK("#",""), HYPERLINK(CONCATENATE("#Metadata!", ADDRESS(INDEX($W$2:$W$1001,MATCH(ROWS($U$2:U177),$U$2:$U$1001,0),0), INDEX($AB$1004:$AQ$1004,1,MATCH(COLUMNS($AB$1006:AI1006),$AB$1006:$AQ$1006,0)))),"Fix")))</f>
        <v>0</v>
      </c>
      <c r="J177" s="5">
        <f>IF(OR(INDEX($V$2:$V$1001,MATCH(ROWS($U$2:U177),$U$2:$U$1001,0),1)&gt;=100000,INDEX($AB$1005:$AQ$1005,1,MATCH(COLUMNS($AB$1006:AJ1006),$AB$1006:$AQ$1006,0))&gt;=100000), " ",IF(INDEX($AB$2:$AQ$1001,MATCH(ROWS($U$2:U177),$U$2:$U$1001,0),MATCH(COLUMNS($AB$1006:AJ1006),$AB$1006:$AQ$1006,0)), HYPERLINK("#",""), HYPERLINK(CONCATENATE("#Metadata!", ADDRESS(INDEX($W$2:$W$1001,MATCH(ROWS($U$2:U177),$U$2:$U$1001,0),0), INDEX($AB$1004:$AQ$1004,1,MATCH(COLUMNS($AB$1006:AJ1006),$AB$1006:$AQ$1006,0)))),"Fix")))</f>
        <v>0</v>
      </c>
      <c r="K177" s="5">
        <f>IF(OR(INDEX($V$2:$V$1001,MATCH(ROWS($U$2:U177),$U$2:$U$1001,0),1)&gt;=100000,INDEX($AB$1005:$AQ$1005,1,MATCH(COLUMNS($AB$1006:AK1006),$AB$1006:$AQ$1006,0))&gt;=100000), " ",IF(INDEX($AB$2:$AQ$1001,MATCH(ROWS($U$2:U177),$U$2:$U$1001,0),MATCH(COLUMNS($AB$1006:AK1006),$AB$1006:$AQ$1006,0)), HYPERLINK("#",""), HYPERLINK(CONCATENATE("#Metadata!", ADDRESS(INDEX($W$2:$W$1001,MATCH(ROWS($U$2:U177),$U$2:$U$1001,0),0), INDEX($AB$1004:$AQ$1004,1,MATCH(COLUMNS($AB$1006:AK1006),$AB$1006:$AQ$1006,0)))),"Fix")))</f>
        <v>0</v>
      </c>
      <c r="L177" s="5">
        <f>IF(OR(INDEX($V$2:$V$1001,MATCH(ROWS($U$2:U177),$U$2:$U$1001,0),1)&gt;=100000,INDEX($AB$1005:$AQ$1005,1,MATCH(COLUMNS($AB$1006:AL1006),$AB$1006:$AQ$1006,0))&gt;=100000), " ",IF(INDEX($AB$2:$AQ$1001,MATCH(ROWS($U$2:U177),$U$2:$U$1001,0),MATCH(COLUMNS($AB$1006:AL1006),$AB$1006:$AQ$1006,0)), HYPERLINK("#",""), HYPERLINK(CONCATENATE("#Metadata!", ADDRESS(INDEX($W$2:$W$1001,MATCH(ROWS($U$2:U177),$U$2:$U$1001,0),0), INDEX($AB$1004:$AQ$1004,1,MATCH(COLUMNS($AB$1006:AL1006),$AB$1006:$AQ$1006,0)))),"Fix")))</f>
        <v>0</v>
      </c>
      <c r="M177" s="5">
        <f>IF(OR(INDEX($V$2:$V$1001,MATCH(ROWS($U$2:U177),$U$2:$U$1001,0),1)&gt;=100000,INDEX($AB$1005:$AQ$1005,1,MATCH(COLUMNS($AB$1006:AM1006),$AB$1006:$AQ$1006,0))&gt;=100000), " ",IF(INDEX($AB$2:$AQ$1001,MATCH(ROWS($U$2:U177),$U$2:$U$1001,0),MATCH(COLUMNS($AB$1006:AM1006),$AB$1006:$AQ$1006,0)), HYPERLINK("#",""), HYPERLINK(CONCATENATE("#Metadata!", ADDRESS(INDEX($W$2:$W$1001,MATCH(ROWS($U$2:U177),$U$2:$U$1001,0),0), INDEX($AB$1004:$AQ$1004,1,MATCH(COLUMNS($AB$1006:AM1006),$AB$1006:$AQ$1006,0)))),"Fix")))</f>
        <v>0</v>
      </c>
      <c r="N177" s="5">
        <f>IF(OR(INDEX($V$2:$V$1001,MATCH(ROWS($U$2:U177),$U$2:$U$1001,0),1)&gt;=100000,INDEX($AB$1005:$AQ$1005,1,MATCH(COLUMNS($AB$1006:AN1006),$AB$1006:$AQ$1006,0))&gt;=100000), " ",IF(INDEX($AB$2:$AQ$1001,MATCH(ROWS($U$2:U177),$U$2:$U$1001,0),MATCH(COLUMNS($AB$1006:AN1006),$AB$1006:$AQ$1006,0)), HYPERLINK("#",""), HYPERLINK(CONCATENATE("#Metadata!", ADDRESS(INDEX($W$2:$W$1001,MATCH(ROWS($U$2:U177),$U$2:$U$1001,0),0), INDEX($AB$1004:$AQ$1004,1,MATCH(COLUMNS($AB$1006:AN1006),$AB$1006:$AQ$1006,0)))),"Fix")))</f>
        <v>0</v>
      </c>
      <c r="O177" s="5">
        <f>IF(OR(INDEX($V$2:$V$1001,MATCH(ROWS($U$2:U177),$U$2:$U$1001,0),1)&gt;=100000,INDEX($AB$1005:$AQ$1005,1,MATCH(COLUMNS($AB$1006:AO1006),$AB$1006:$AQ$1006,0))&gt;=100000), " ",IF(INDEX($AB$2:$AQ$1001,MATCH(ROWS($U$2:U177),$U$2:$U$1001,0),MATCH(COLUMNS($AB$1006:AO1006),$AB$1006:$AQ$1006,0)), HYPERLINK("#",""), HYPERLINK(CONCATENATE("#Metadata!", ADDRESS(INDEX($W$2:$W$1001,MATCH(ROWS($U$2:U177),$U$2:$U$1001,0),0), INDEX($AB$1004:$AQ$1004,1,MATCH(COLUMNS($AB$1006:AO1006),$AB$1006:$AQ$1006,0)))),"Fix")))</f>
        <v>0</v>
      </c>
      <c r="P177" s="5">
        <f>IF(OR(INDEX($V$2:$V$1001,MATCH(ROWS($U$2:U177),$U$2:$U$1001,0),1)&gt;=100000,INDEX($AB$1005:$AQ$1005,1,MATCH(COLUMNS($AB$1006:AP1006),$AB$1006:$AQ$1006,0))&gt;=100000), " ",IF(INDEX($AB$2:$AQ$1001,MATCH(ROWS($U$2:U177),$U$2:$U$1001,0),MATCH(COLUMNS($AB$1006:AP1006),$AB$1006:$AQ$1006,0)), HYPERLINK("#",""), HYPERLINK(CONCATENATE("#Metadata!", ADDRESS(INDEX($W$2:$W$1001,MATCH(ROWS($U$2:U177),$U$2:$U$1001,0),0), INDEX($AB$1004:$AQ$1004,1,MATCH(COLUMNS($AB$1006:AP1006),$AB$1006:$AQ$1006,0)))),"Fix")))</f>
        <v>0</v>
      </c>
      <c r="Q177" s="5">
        <f>IF(OR(INDEX($V$2:$V$1001,MATCH(ROWS($U$2:U177),$U$2:$U$1001,0),1)&gt;=100000,INDEX($AB$1005:$AQ$1005,1,MATCH(COLUMNS($AB$1006:AQ1006),$AB$1006:$AQ$1006,0))&gt;=100000), " ",IF(INDEX($AB$2:$AQ$1001,MATCH(ROWS($U$2:U177),$U$2:$U$1001,0),MATCH(COLUMNS($AB$1006:AQ1006),$AB$1006:$AQ$1006,0)), HYPERLINK("#",""), HYPERLINK(CONCATENATE("#Metadata!", ADDRESS(INDEX($W$2:$W$1001,MATCH(ROWS($U$2:U177),$U$2:$U$1001,0),0), INDEX($AB$1004:$AQ$1004,1,MATCH(COLUMNS($AB$1006:AQ1006),$AB$1006:$AQ$1006,0)))),"Fix")))</f>
        <v>0</v>
      </c>
      <c r="U177">
        <v>0</v>
      </c>
      <c r="V177">
        <v>0</v>
      </c>
      <c r="W177">
        <v>0</v>
      </c>
      <c r="X177">
        <f>IF(Y177,TRUE,AND(AB177:AQ177))</f>
        <v>0</v>
      </c>
      <c r="Y177">
        <f>COUNTBLANK(Metadata!B177:Q177)=COLUMNS(Metadata!B177:Q177)</f>
        <v>0</v>
      </c>
      <c r="Z177">
        <v>0</v>
      </c>
      <c r="AB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AC177">
        <f>AND(IF(Metadata!C177="",FALSE,TRUE),exact(Metadata!C177,"urban biome"))</f>
        <v>0</v>
      </c>
      <c r="AD177">
        <f>AND(IF(Metadata!D177="",FALSE,TRUE),exact(Metadata!D177,"human-associated habitat"))</f>
        <v>0</v>
      </c>
      <c r="AE177">
        <f>AND(IF(Metadata!E177="",FALSE,TRUE),OR(exact(Metadata!E177,"human-associated"),exact(Metadata!E177,"human-skin"),exact(Metadata!E177,"human-oral"),exact(Metadata!E177,"human-gut"),exact(Metadata!E177,"human-vaginal")))</f>
        <v>0</v>
      </c>
      <c r="AF177">
        <f>AND(IF(Metadata!F177="",FALSE,ISNUMBER(VALUE(Metadata!F177))),Metadata!F177&gt;0)</f>
        <v>0</v>
      </c>
      <c r="AG177">
        <f>AND(IF(Metadata!G177="",FALSE,TRUE),exact(Metadata!G177,"years"))</f>
        <v>0</v>
      </c>
      <c r="AH177">
        <f>OR(AND(IF(Metadata!H177="",FALSE,TRUE),OR(exact(Metadata!H177,"not applicable"),exact(Metadata!H177,"not collected"),exact(Metadata!H177,"not provided"),exact(Metadata!H177,"restricted access"))),AND(IF(Metadata!H177="",FALSE,ISNUMBER(VALUE(Metadata!H177))),Metadata!H177&gt;0))</f>
        <v>0</v>
      </c>
      <c r="AI177">
        <f>AND(IF(Metadata!I177="",FALSE,TRUE),exact(Metadata!I177,"human"))</f>
        <v>0</v>
      </c>
      <c r="AJ177">
        <f>AND(IF(Metadata!J177="",FALSE,ISNUMBER(VALUE(Metadata!J177))),Metadata!J177&gt;0)</f>
        <v>0</v>
      </c>
      <c r="AK177">
        <f>AND(IF(Metadata!K177="",FALSE,TRUE),exact(Metadata!K177,"cm"))</f>
        <v>0</v>
      </c>
      <c r="AL177">
        <f>AND(IF(Metadata!L177="",FALSE,TRUE),exact(Metadata!L177,"Homo sapiens"))</f>
        <v>0</v>
      </c>
      <c r="AM177">
        <f>AND(IF(Metadata!M177="",FALSE,TRUE),exact(Metadata!M177,"9606"))</f>
        <v>0</v>
      </c>
      <c r="AN177">
        <f>AND(IF(Metadata!N177="",FALSE,ISNUMBER(VALUE(Metadata!N177))),Metadata!N177&gt;0)</f>
        <v>0</v>
      </c>
      <c r="AO177">
        <f>AND(IF(Metadata!O177="",FALSE,TRUE),exact(Metadata!O177,"kg"))</f>
        <v>0</v>
      </c>
      <c r="AP177">
        <f>OR(AND(IF(Metadata!P177="",FALSE,TRUE),exact(Metadata!P177,"not provided")),IF(Metadata!P177="",FALSE,TRUE))</f>
        <v>0</v>
      </c>
      <c r="AQ177">
        <f>OR(AND(IF(Metadata!Q177="",FALSE,TRUE),exact(Metadata!Q177,"not provided")),IF(Metadata!Q177="",FALSE,TRUE))</f>
        <v>0</v>
      </c>
    </row>
    <row r="178" spans="1:43">
      <c r="A178" s="4">
        <f>IF(B178=" "," ",HYPERLINK(CONCATENATE("#metadata!",ADDRESS(INDEX($W$2:$W$1001,MATCH(ROWS($U$2:U178),$U$2:$U$1001,0),0),2)),INDEX($Z$2:$Z$1001,MATCH(ROWS($U$2:U178),$U$2:$U$1001,0),0)))</f>
        <v>0</v>
      </c>
      <c r="B178" s="5">
        <f>IF(OR(INDEX($V$2:$V$1001,MATCH(ROWS($U$2:U178),$U$2:$U$1001,0),1)&gt;=100000,INDEX($AB$1005:$AQ$1005,1,MATCH(COLUMNS($AB$1006:AB1006),$AB$1006:$AQ$1006,0))&gt;=100000), " ",IF(INDEX($AB$2:$AQ$1001,MATCH(ROWS($U$2:U178),$U$2:$U$1001,0),MATCH(COLUMNS($AB$1006:AB1006),$AB$1006:$AQ$1006,0)), HYPERLINK("#",""), HYPERLINK(CONCATENATE("#Metadata!", ADDRESS(INDEX($W$2:$W$1001,MATCH(ROWS($U$2:U178),$U$2:$U$1001,0),0), INDEX($AB$1004:$AQ$1004,1,MATCH(COLUMNS($AB$1006:AB1006),$AB$1006:$AQ$1006,0)))),"Fix")))</f>
        <v>0</v>
      </c>
      <c r="C178" s="5">
        <f>IF(OR(INDEX($V$2:$V$1001,MATCH(ROWS($U$2:U178),$U$2:$U$1001,0),1)&gt;=100000,INDEX($AB$1005:$AQ$1005,1,MATCH(COLUMNS($AB$1006:AC1006),$AB$1006:$AQ$1006,0))&gt;=100000), " ",IF(INDEX($AB$2:$AQ$1001,MATCH(ROWS($U$2:U178),$U$2:$U$1001,0),MATCH(COLUMNS($AB$1006:AC1006),$AB$1006:$AQ$1006,0)), HYPERLINK("#",""), HYPERLINK(CONCATENATE("#Metadata!", ADDRESS(INDEX($W$2:$W$1001,MATCH(ROWS($U$2:U178),$U$2:$U$1001,0),0), INDEX($AB$1004:$AQ$1004,1,MATCH(COLUMNS($AB$1006:AC1006),$AB$1006:$AQ$1006,0)))),"Fix")))</f>
        <v>0</v>
      </c>
      <c r="D178" s="5">
        <f>IF(OR(INDEX($V$2:$V$1001,MATCH(ROWS($U$2:U178),$U$2:$U$1001,0),1)&gt;=100000,INDEX($AB$1005:$AQ$1005,1,MATCH(COLUMNS($AB$1006:AD1006),$AB$1006:$AQ$1006,0))&gt;=100000), " ",IF(INDEX($AB$2:$AQ$1001,MATCH(ROWS($U$2:U178),$U$2:$U$1001,0),MATCH(COLUMNS($AB$1006:AD1006),$AB$1006:$AQ$1006,0)), HYPERLINK("#",""), HYPERLINK(CONCATENATE("#Metadata!", ADDRESS(INDEX($W$2:$W$1001,MATCH(ROWS($U$2:U178),$U$2:$U$1001,0),0), INDEX($AB$1004:$AQ$1004,1,MATCH(COLUMNS($AB$1006:AD1006),$AB$1006:$AQ$1006,0)))),"Fix")))</f>
        <v>0</v>
      </c>
      <c r="E178" s="5">
        <f>IF(OR(INDEX($V$2:$V$1001,MATCH(ROWS($U$2:U178),$U$2:$U$1001,0),1)&gt;=100000,INDEX($AB$1005:$AQ$1005,1,MATCH(COLUMNS($AB$1006:AE1006),$AB$1006:$AQ$1006,0))&gt;=100000), " ",IF(INDEX($AB$2:$AQ$1001,MATCH(ROWS($U$2:U178),$U$2:$U$1001,0),MATCH(COLUMNS($AB$1006:AE1006),$AB$1006:$AQ$1006,0)), HYPERLINK("#",""), HYPERLINK(CONCATENATE("#Metadata!", ADDRESS(INDEX($W$2:$W$1001,MATCH(ROWS($U$2:U178),$U$2:$U$1001,0),0), INDEX($AB$1004:$AQ$1004,1,MATCH(COLUMNS($AB$1006:AE1006),$AB$1006:$AQ$1006,0)))),"Fix")))</f>
        <v>0</v>
      </c>
      <c r="F178" s="5">
        <f>IF(OR(INDEX($V$2:$V$1001,MATCH(ROWS($U$2:U178),$U$2:$U$1001,0),1)&gt;=100000,INDEX($AB$1005:$AQ$1005,1,MATCH(COLUMNS($AB$1006:AF1006),$AB$1006:$AQ$1006,0))&gt;=100000), " ",IF(INDEX($AB$2:$AQ$1001,MATCH(ROWS($U$2:U178),$U$2:$U$1001,0),MATCH(COLUMNS($AB$1006:AF1006),$AB$1006:$AQ$1006,0)), HYPERLINK("#",""), HYPERLINK(CONCATENATE("#Metadata!", ADDRESS(INDEX($W$2:$W$1001,MATCH(ROWS($U$2:U178),$U$2:$U$1001,0),0), INDEX($AB$1004:$AQ$1004,1,MATCH(COLUMNS($AB$1006:AF1006),$AB$1006:$AQ$1006,0)))),"Fix")))</f>
        <v>0</v>
      </c>
      <c r="G178" s="5">
        <f>IF(OR(INDEX($V$2:$V$1001,MATCH(ROWS($U$2:U178),$U$2:$U$1001,0),1)&gt;=100000,INDEX($AB$1005:$AQ$1005,1,MATCH(COLUMNS($AB$1006:AG1006),$AB$1006:$AQ$1006,0))&gt;=100000), " ",IF(INDEX($AB$2:$AQ$1001,MATCH(ROWS($U$2:U178),$U$2:$U$1001,0),MATCH(COLUMNS($AB$1006:AG1006),$AB$1006:$AQ$1006,0)), HYPERLINK("#",""), HYPERLINK(CONCATENATE("#Metadata!", ADDRESS(INDEX($W$2:$W$1001,MATCH(ROWS($U$2:U178),$U$2:$U$1001,0),0), INDEX($AB$1004:$AQ$1004,1,MATCH(COLUMNS($AB$1006:AG1006),$AB$1006:$AQ$1006,0)))),"Fix")))</f>
        <v>0</v>
      </c>
      <c r="H178" s="5">
        <f>IF(OR(INDEX($V$2:$V$1001,MATCH(ROWS($U$2:U178),$U$2:$U$1001,0),1)&gt;=100000,INDEX($AB$1005:$AQ$1005,1,MATCH(COLUMNS($AB$1006:AH1006),$AB$1006:$AQ$1006,0))&gt;=100000), " ",IF(INDEX($AB$2:$AQ$1001,MATCH(ROWS($U$2:U178),$U$2:$U$1001,0),MATCH(COLUMNS($AB$1006:AH1006),$AB$1006:$AQ$1006,0)), HYPERLINK("#",""), HYPERLINK(CONCATENATE("#Metadata!", ADDRESS(INDEX($W$2:$W$1001,MATCH(ROWS($U$2:U178),$U$2:$U$1001,0),0), INDEX($AB$1004:$AQ$1004,1,MATCH(COLUMNS($AB$1006:AH1006),$AB$1006:$AQ$1006,0)))),"Fix")))</f>
        <v>0</v>
      </c>
      <c r="I178" s="5">
        <f>IF(OR(INDEX($V$2:$V$1001,MATCH(ROWS($U$2:U178),$U$2:$U$1001,0),1)&gt;=100000,INDEX($AB$1005:$AQ$1005,1,MATCH(COLUMNS($AB$1006:AI1006),$AB$1006:$AQ$1006,0))&gt;=100000), " ",IF(INDEX($AB$2:$AQ$1001,MATCH(ROWS($U$2:U178),$U$2:$U$1001,0),MATCH(COLUMNS($AB$1006:AI1006),$AB$1006:$AQ$1006,0)), HYPERLINK("#",""), HYPERLINK(CONCATENATE("#Metadata!", ADDRESS(INDEX($W$2:$W$1001,MATCH(ROWS($U$2:U178),$U$2:$U$1001,0),0), INDEX($AB$1004:$AQ$1004,1,MATCH(COLUMNS($AB$1006:AI1006),$AB$1006:$AQ$1006,0)))),"Fix")))</f>
        <v>0</v>
      </c>
      <c r="J178" s="5">
        <f>IF(OR(INDEX($V$2:$V$1001,MATCH(ROWS($U$2:U178),$U$2:$U$1001,0),1)&gt;=100000,INDEX($AB$1005:$AQ$1005,1,MATCH(COLUMNS($AB$1006:AJ1006),$AB$1006:$AQ$1006,0))&gt;=100000), " ",IF(INDEX($AB$2:$AQ$1001,MATCH(ROWS($U$2:U178),$U$2:$U$1001,0),MATCH(COLUMNS($AB$1006:AJ1006),$AB$1006:$AQ$1006,0)), HYPERLINK("#",""), HYPERLINK(CONCATENATE("#Metadata!", ADDRESS(INDEX($W$2:$W$1001,MATCH(ROWS($U$2:U178),$U$2:$U$1001,0),0), INDEX($AB$1004:$AQ$1004,1,MATCH(COLUMNS($AB$1006:AJ1006),$AB$1006:$AQ$1006,0)))),"Fix")))</f>
        <v>0</v>
      </c>
      <c r="K178" s="5">
        <f>IF(OR(INDEX($V$2:$V$1001,MATCH(ROWS($U$2:U178),$U$2:$U$1001,0),1)&gt;=100000,INDEX($AB$1005:$AQ$1005,1,MATCH(COLUMNS($AB$1006:AK1006),$AB$1006:$AQ$1006,0))&gt;=100000), " ",IF(INDEX($AB$2:$AQ$1001,MATCH(ROWS($U$2:U178),$U$2:$U$1001,0),MATCH(COLUMNS($AB$1006:AK1006),$AB$1006:$AQ$1006,0)), HYPERLINK("#",""), HYPERLINK(CONCATENATE("#Metadata!", ADDRESS(INDEX($W$2:$W$1001,MATCH(ROWS($U$2:U178),$U$2:$U$1001,0),0), INDEX($AB$1004:$AQ$1004,1,MATCH(COLUMNS($AB$1006:AK1006),$AB$1006:$AQ$1006,0)))),"Fix")))</f>
        <v>0</v>
      </c>
      <c r="L178" s="5">
        <f>IF(OR(INDEX($V$2:$V$1001,MATCH(ROWS($U$2:U178),$U$2:$U$1001,0),1)&gt;=100000,INDEX($AB$1005:$AQ$1005,1,MATCH(COLUMNS($AB$1006:AL1006),$AB$1006:$AQ$1006,0))&gt;=100000), " ",IF(INDEX($AB$2:$AQ$1001,MATCH(ROWS($U$2:U178),$U$2:$U$1001,0),MATCH(COLUMNS($AB$1006:AL1006),$AB$1006:$AQ$1006,0)), HYPERLINK("#",""), HYPERLINK(CONCATENATE("#Metadata!", ADDRESS(INDEX($W$2:$W$1001,MATCH(ROWS($U$2:U178),$U$2:$U$1001,0),0), INDEX($AB$1004:$AQ$1004,1,MATCH(COLUMNS($AB$1006:AL1006),$AB$1006:$AQ$1006,0)))),"Fix")))</f>
        <v>0</v>
      </c>
      <c r="M178" s="5">
        <f>IF(OR(INDEX($V$2:$V$1001,MATCH(ROWS($U$2:U178),$U$2:$U$1001,0),1)&gt;=100000,INDEX($AB$1005:$AQ$1005,1,MATCH(COLUMNS($AB$1006:AM1006),$AB$1006:$AQ$1006,0))&gt;=100000), " ",IF(INDEX($AB$2:$AQ$1001,MATCH(ROWS($U$2:U178),$U$2:$U$1001,0),MATCH(COLUMNS($AB$1006:AM1006),$AB$1006:$AQ$1006,0)), HYPERLINK("#",""), HYPERLINK(CONCATENATE("#Metadata!", ADDRESS(INDEX($W$2:$W$1001,MATCH(ROWS($U$2:U178),$U$2:$U$1001,0),0), INDEX($AB$1004:$AQ$1004,1,MATCH(COLUMNS($AB$1006:AM1006),$AB$1006:$AQ$1006,0)))),"Fix")))</f>
        <v>0</v>
      </c>
      <c r="N178" s="5">
        <f>IF(OR(INDEX($V$2:$V$1001,MATCH(ROWS($U$2:U178),$U$2:$U$1001,0),1)&gt;=100000,INDEX($AB$1005:$AQ$1005,1,MATCH(COLUMNS($AB$1006:AN1006),$AB$1006:$AQ$1006,0))&gt;=100000), " ",IF(INDEX($AB$2:$AQ$1001,MATCH(ROWS($U$2:U178),$U$2:$U$1001,0),MATCH(COLUMNS($AB$1006:AN1006),$AB$1006:$AQ$1006,0)), HYPERLINK("#",""), HYPERLINK(CONCATENATE("#Metadata!", ADDRESS(INDEX($W$2:$W$1001,MATCH(ROWS($U$2:U178),$U$2:$U$1001,0),0), INDEX($AB$1004:$AQ$1004,1,MATCH(COLUMNS($AB$1006:AN1006),$AB$1006:$AQ$1006,0)))),"Fix")))</f>
        <v>0</v>
      </c>
      <c r="O178" s="5">
        <f>IF(OR(INDEX($V$2:$V$1001,MATCH(ROWS($U$2:U178),$U$2:$U$1001,0),1)&gt;=100000,INDEX($AB$1005:$AQ$1005,1,MATCH(COLUMNS($AB$1006:AO1006),$AB$1006:$AQ$1006,0))&gt;=100000), " ",IF(INDEX($AB$2:$AQ$1001,MATCH(ROWS($U$2:U178),$U$2:$U$1001,0),MATCH(COLUMNS($AB$1006:AO1006),$AB$1006:$AQ$1006,0)), HYPERLINK("#",""), HYPERLINK(CONCATENATE("#Metadata!", ADDRESS(INDEX($W$2:$W$1001,MATCH(ROWS($U$2:U178),$U$2:$U$1001,0),0), INDEX($AB$1004:$AQ$1004,1,MATCH(COLUMNS($AB$1006:AO1006),$AB$1006:$AQ$1006,0)))),"Fix")))</f>
        <v>0</v>
      </c>
      <c r="P178" s="5">
        <f>IF(OR(INDEX($V$2:$V$1001,MATCH(ROWS($U$2:U178),$U$2:$U$1001,0),1)&gt;=100000,INDEX($AB$1005:$AQ$1005,1,MATCH(COLUMNS($AB$1006:AP1006),$AB$1006:$AQ$1006,0))&gt;=100000), " ",IF(INDEX($AB$2:$AQ$1001,MATCH(ROWS($U$2:U178),$U$2:$U$1001,0),MATCH(COLUMNS($AB$1006:AP1006),$AB$1006:$AQ$1006,0)), HYPERLINK("#",""), HYPERLINK(CONCATENATE("#Metadata!", ADDRESS(INDEX($W$2:$W$1001,MATCH(ROWS($U$2:U178),$U$2:$U$1001,0),0), INDEX($AB$1004:$AQ$1004,1,MATCH(COLUMNS($AB$1006:AP1006),$AB$1006:$AQ$1006,0)))),"Fix")))</f>
        <v>0</v>
      </c>
      <c r="Q178" s="5">
        <f>IF(OR(INDEX($V$2:$V$1001,MATCH(ROWS($U$2:U178),$U$2:$U$1001,0),1)&gt;=100000,INDEX($AB$1005:$AQ$1005,1,MATCH(COLUMNS($AB$1006:AQ1006),$AB$1006:$AQ$1006,0))&gt;=100000), " ",IF(INDEX($AB$2:$AQ$1001,MATCH(ROWS($U$2:U178),$U$2:$U$1001,0),MATCH(COLUMNS($AB$1006:AQ1006),$AB$1006:$AQ$1006,0)), HYPERLINK("#",""), HYPERLINK(CONCATENATE("#Metadata!", ADDRESS(INDEX($W$2:$W$1001,MATCH(ROWS($U$2:U178),$U$2:$U$1001,0),0), INDEX($AB$1004:$AQ$1004,1,MATCH(COLUMNS($AB$1006:AQ1006),$AB$1006:$AQ$1006,0)))),"Fix")))</f>
        <v>0</v>
      </c>
      <c r="U178">
        <v>0</v>
      </c>
      <c r="V178">
        <v>0</v>
      </c>
      <c r="W178">
        <v>0</v>
      </c>
      <c r="X178">
        <f>IF(Y178,TRUE,AND(AB178:AQ178))</f>
        <v>0</v>
      </c>
      <c r="Y178">
        <f>COUNTBLANK(Metadata!B178:Q178)=COLUMNS(Metadata!B178:Q178)</f>
        <v>0</v>
      </c>
      <c r="Z178">
        <v>0</v>
      </c>
      <c r="AB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AC178">
        <f>AND(IF(Metadata!C178="",FALSE,TRUE),exact(Metadata!C178,"urban biome"))</f>
        <v>0</v>
      </c>
      <c r="AD178">
        <f>AND(IF(Metadata!D178="",FALSE,TRUE),exact(Metadata!D178,"human-associated habitat"))</f>
        <v>0</v>
      </c>
      <c r="AE178">
        <f>AND(IF(Metadata!E178="",FALSE,TRUE),OR(exact(Metadata!E178,"human-associated"),exact(Metadata!E178,"human-skin"),exact(Metadata!E178,"human-oral"),exact(Metadata!E178,"human-gut"),exact(Metadata!E178,"human-vaginal")))</f>
        <v>0</v>
      </c>
      <c r="AF178">
        <f>AND(IF(Metadata!F178="",FALSE,ISNUMBER(VALUE(Metadata!F178))),Metadata!F178&gt;0)</f>
        <v>0</v>
      </c>
      <c r="AG178">
        <f>AND(IF(Metadata!G178="",FALSE,TRUE),exact(Metadata!G178,"years"))</f>
        <v>0</v>
      </c>
      <c r="AH178">
        <f>OR(AND(IF(Metadata!H178="",FALSE,TRUE),OR(exact(Metadata!H178,"not applicable"),exact(Metadata!H178,"not collected"),exact(Metadata!H178,"not provided"),exact(Metadata!H178,"restricted access"))),AND(IF(Metadata!H178="",FALSE,ISNUMBER(VALUE(Metadata!H178))),Metadata!H178&gt;0))</f>
        <v>0</v>
      </c>
      <c r="AI178">
        <f>AND(IF(Metadata!I178="",FALSE,TRUE),exact(Metadata!I178,"human"))</f>
        <v>0</v>
      </c>
      <c r="AJ178">
        <f>AND(IF(Metadata!J178="",FALSE,ISNUMBER(VALUE(Metadata!J178))),Metadata!J178&gt;0)</f>
        <v>0</v>
      </c>
      <c r="AK178">
        <f>AND(IF(Metadata!K178="",FALSE,TRUE),exact(Metadata!K178,"cm"))</f>
        <v>0</v>
      </c>
      <c r="AL178">
        <f>AND(IF(Metadata!L178="",FALSE,TRUE),exact(Metadata!L178,"Homo sapiens"))</f>
        <v>0</v>
      </c>
      <c r="AM178">
        <f>AND(IF(Metadata!M178="",FALSE,TRUE),exact(Metadata!M178,"9606"))</f>
        <v>0</v>
      </c>
      <c r="AN178">
        <f>AND(IF(Metadata!N178="",FALSE,ISNUMBER(VALUE(Metadata!N178))),Metadata!N178&gt;0)</f>
        <v>0</v>
      </c>
      <c r="AO178">
        <f>AND(IF(Metadata!O178="",FALSE,TRUE),exact(Metadata!O178,"kg"))</f>
        <v>0</v>
      </c>
      <c r="AP178">
        <f>OR(AND(IF(Metadata!P178="",FALSE,TRUE),exact(Metadata!P178,"not provided")),IF(Metadata!P178="",FALSE,TRUE))</f>
        <v>0</v>
      </c>
      <c r="AQ178">
        <f>OR(AND(IF(Metadata!Q178="",FALSE,TRUE),exact(Metadata!Q178,"not provided")),IF(Metadata!Q178="",FALSE,TRUE))</f>
        <v>0</v>
      </c>
    </row>
    <row r="179" spans="1:43">
      <c r="A179" s="4">
        <f>IF(B179=" "," ",HYPERLINK(CONCATENATE("#metadata!",ADDRESS(INDEX($W$2:$W$1001,MATCH(ROWS($U$2:U179),$U$2:$U$1001,0),0),2)),INDEX($Z$2:$Z$1001,MATCH(ROWS($U$2:U179),$U$2:$U$1001,0),0)))</f>
        <v>0</v>
      </c>
      <c r="B179" s="5">
        <f>IF(OR(INDEX($V$2:$V$1001,MATCH(ROWS($U$2:U179),$U$2:$U$1001,0),1)&gt;=100000,INDEX($AB$1005:$AQ$1005,1,MATCH(COLUMNS($AB$1006:AB1006),$AB$1006:$AQ$1006,0))&gt;=100000), " ",IF(INDEX($AB$2:$AQ$1001,MATCH(ROWS($U$2:U179),$U$2:$U$1001,0),MATCH(COLUMNS($AB$1006:AB1006),$AB$1006:$AQ$1006,0)), HYPERLINK("#",""), HYPERLINK(CONCATENATE("#Metadata!", ADDRESS(INDEX($W$2:$W$1001,MATCH(ROWS($U$2:U179),$U$2:$U$1001,0),0), INDEX($AB$1004:$AQ$1004,1,MATCH(COLUMNS($AB$1006:AB1006),$AB$1006:$AQ$1006,0)))),"Fix")))</f>
        <v>0</v>
      </c>
      <c r="C179" s="5">
        <f>IF(OR(INDEX($V$2:$V$1001,MATCH(ROWS($U$2:U179),$U$2:$U$1001,0),1)&gt;=100000,INDEX($AB$1005:$AQ$1005,1,MATCH(COLUMNS($AB$1006:AC1006),$AB$1006:$AQ$1006,0))&gt;=100000), " ",IF(INDEX($AB$2:$AQ$1001,MATCH(ROWS($U$2:U179),$U$2:$U$1001,0),MATCH(COLUMNS($AB$1006:AC1006),$AB$1006:$AQ$1006,0)), HYPERLINK("#",""), HYPERLINK(CONCATENATE("#Metadata!", ADDRESS(INDEX($W$2:$W$1001,MATCH(ROWS($U$2:U179),$U$2:$U$1001,0),0), INDEX($AB$1004:$AQ$1004,1,MATCH(COLUMNS($AB$1006:AC1006),$AB$1006:$AQ$1006,0)))),"Fix")))</f>
        <v>0</v>
      </c>
      <c r="D179" s="5">
        <f>IF(OR(INDEX($V$2:$V$1001,MATCH(ROWS($U$2:U179),$U$2:$U$1001,0),1)&gt;=100000,INDEX($AB$1005:$AQ$1005,1,MATCH(COLUMNS($AB$1006:AD1006),$AB$1006:$AQ$1006,0))&gt;=100000), " ",IF(INDEX($AB$2:$AQ$1001,MATCH(ROWS($U$2:U179),$U$2:$U$1001,0),MATCH(COLUMNS($AB$1006:AD1006),$AB$1006:$AQ$1006,0)), HYPERLINK("#",""), HYPERLINK(CONCATENATE("#Metadata!", ADDRESS(INDEX($W$2:$W$1001,MATCH(ROWS($U$2:U179),$U$2:$U$1001,0),0), INDEX($AB$1004:$AQ$1004,1,MATCH(COLUMNS($AB$1006:AD1006),$AB$1006:$AQ$1006,0)))),"Fix")))</f>
        <v>0</v>
      </c>
      <c r="E179" s="5">
        <f>IF(OR(INDEX($V$2:$V$1001,MATCH(ROWS($U$2:U179),$U$2:$U$1001,0),1)&gt;=100000,INDEX($AB$1005:$AQ$1005,1,MATCH(COLUMNS($AB$1006:AE1006),$AB$1006:$AQ$1006,0))&gt;=100000), " ",IF(INDEX($AB$2:$AQ$1001,MATCH(ROWS($U$2:U179),$U$2:$U$1001,0),MATCH(COLUMNS($AB$1006:AE1006),$AB$1006:$AQ$1006,0)), HYPERLINK("#",""), HYPERLINK(CONCATENATE("#Metadata!", ADDRESS(INDEX($W$2:$W$1001,MATCH(ROWS($U$2:U179),$U$2:$U$1001,0),0), INDEX($AB$1004:$AQ$1004,1,MATCH(COLUMNS($AB$1006:AE1006),$AB$1006:$AQ$1006,0)))),"Fix")))</f>
        <v>0</v>
      </c>
      <c r="F179" s="5">
        <f>IF(OR(INDEX($V$2:$V$1001,MATCH(ROWS($U$2:U179),$U$2:$U$1001,0),1)&gt;=100000,INDEX($AB$1005:$AQ$1005,1,MATCH(COLUMNS($AB$1006:AF1006),$AB$1006:$AQ$1006,0))&gt;=100000), " ",IF(INDEX($AB$2:$AQ$1001,MATCH(ROWS($U$2:U179),$U$2:$U$1001,0),MATCH(COLUMNS($AB$1006:AF1006),$AB$1006:$AQ$1006,0)), HYPERLINK("#",""), HYPERLINK(CONCATENATE("#Metadata!", ADDRESS(INDEX($W$2:$W$1001,MATCH(ROWS($U$2:U179),$U$2:$U$1001,0),0), INDEX($AB$1004:$AQ$1004,1,MATCH(COLUMNS($AB$1006:AF1006),$AB$1006:$AQ$1006,0)))),"Fix")))</f>
        <v>0</v>
      </c>
      <c r="G179" s="5">
        <f>IF(OR(INDEX($V$2:$V$1001,MATCH(ROWS($U$2:U179),$U$2:$U$1001,0),1)&gt;=100000,INDEX($AB$1005:$AQ$1005,1,MATCH(COLUMNS($AB$1006:AG1006),$AB$1006:$AQ$1006,0))&gt;=100000), " ",IF(INDEX($AB$2:$AQ$1001,MATCH(ROWS($U$2:U179),$U$2:$U$1001,0),MATCH(COLUMNS($AB$1006:AG1006),$AB$1006:$AQ$1006,0)), HYPERLINK("#",""), HYPERLINK(CONCATENATE("#Metadata!", ADDRESS(INDEX($W$2:$W$1001,MATCH(ROWS($U$2:U179),$U$2:$U$1001,0),0), INDEX($AB$1004:$AQ$1004,1,MATCH(COLUMNS($AB$1006:AG1006),$AB$1006:$AQ$1006,0)))),"Fix")))</f>
        <v>0</v>
      </c>
      <c r="H179" s="5">
        <f>IF(OR(INDEX($V$2:$V$1001,MATCH(ROWS($U$2:U179),$U$2:$U$1001,0),1)&gt;=100000,INDEX($AB$1005:$AQ$1005,1,MATCH(COLUMNS($AB$1006:AH1006),$AB$1006:$AQ$1006,0))&gt;=100000), " ",IF(INDEX($AB$2:$AQ$1001,MATCH(ROWS($U$2:U179),$U$2:$U$1001,0),MATCH(COLUMNS($AB$1006:AH1006),$AB$1006:$AQ$1006,0)), HYPERLINK("#",""), HYPERLINK(CONCATENATE("#Metadata!", ADDRESS(INDEX($W$2:$W$1001,MATCH(ROWS($U$2:U179),$U$2:$U$1001,0),0), INDEX($AB$1004:$AQ$1004,1,MATCH(COLUMNS($AB$1006:AH1006),$AB$1006:$AQ$1006,0)))),"Fix")))</f>
        <v>0</v>
      </c>
      <c r="I179" s="5">
        <f>IF(OR(INDEX($V$2:$V$1001,MATCH(ROWS($U$2:U179),$U$2:$U$1001,0),1)&gt;=100000,INDEX($AB$1005:$AQ$1005,1,MATCH(COLUMNS($AB$1006:AI1006),$AB$1006:$AQ$1006,0))&gt;=100000), " ",IF(INDEX($AB$2:$AQ$1001,MATCH(ROWS($U$2:U179),$U$2:$U$1001,0),MATCH(COLUMNS($AB$1006:AI1006),$AB$1006:$AQ$1006,0)), HYPERLINK("#",""), HYPERLINK(CONCATENATE("#Metadata!", ADDRESS(INDEX($W$2:$W$1001,MATCH(ROWS($U$2:U179),$U$2:$U$1001,0),0), INDEX($AB$1004:$AQ$1004,1,MATCH(COLUMNS($AB$1006:AI1006),$AB$1006:$AQ$1006,0)))),"Fix")))</f>
        <v>0</v>
      </c>
      <c r="J179" s="5">
        <f>IF(OR(INDEX($V$2:$V$1001,MATCH(ROWS($U$2:U179),$U$2:$U$1001,0),1)&gt;=100000,INDEX($AB$1005:$AQ$1005,1,MATCH(COLUMNS($AB$1006:AJ1006),$AB$1006:$AQ$1006,0))&gt;=100000), " ",IF(INDEX($AB$2:$AQ$1001,MATCH(ROWS($U$2:U179),$U$2:$U$1001,0),MATCH(COLUMNS($AB$1006:AJ1006),$AB$1006:$AQ$1006,0)), HYPERLINK("#",""), HYPERLINK(CONCATENATE("#Metadata!", ADDRESS(INDEX($W$2:$W$1001,MATCH(ROWS($U$2:U179),$U$2:$U$1001,0),0), INDEX($AB$1004:$AQ$1004,1,MATCH(COLUMNS($AB$1006:AJ1006),$AB$1006:$AQ$1006,0)))),"Fix")))</f>
        <v>0</v>
      </c>
      <c r="K179" s="5">
        <f>IF(OR(INDEX($V$2:$V$1001,MATCH(ROWS($U$2:U179),$U$2:$U$1001,0),1)&gt;=100000,INDEX($AB$1005:$AQ$1005,1,MATCH(COLUMNS($AB$1006:AK1006),$AB$1006:$AQ$1006,0))&gt;=100000), " ",IF(INDEX($AB$2:$AQ$1001,MATCH(ROWS($U$2:U179),$U$2:$U$1001,0),MATCH(COLUMNS($AB$1006:AK1006),$AB$1006:$AQ$1006,0)), HYPERLINK("#",""), HYPERLINK(CONCATENATE("#Metadata!", ADDRESS(INDEX($W$2:$W$1001,MATCH(ROWS($U$2:U179),$U$2:$U$1001,0),0), INDEX($AB$1004:$AQ$1004,1,MATCH(COLUMNS($AB$1006:AK1006),$AB$1006:$AQ$1006,0)))),"Fix")))</f>
        <v>0</v>
      </c>
      <c r="L179" s="5">
        <f>IF(OR(INDEX($V$2:$V$1001,MATCH(ROWS($U$2:U179),$U$2:$U$1001,0),1)&gt;=100000,INDEX($AB$1005:$AQ$1005,1,MATCH(COLUMNS($AB$1006:AL1006),$AB$1006:$AQ$1006,0))&gt;=100000), " ",IF(INDEX($AB$2:$AQ$1001,MATCH(ROWS($U$2:U179),$U$2:$U$1001,0),MATCH(COLUMNS($AB$1006:AL1006),$AB$1006:$AQ$1006,0)), HYPERLINK("#",""), HYPERLINK(CONCATENATE("#Metadata!", ADDRESS(INDEX($W$2:$W$1001,MATCH(ROWS($U$2:U179),$U$2:$U$1001,0),0), INDEX($AB$1004:$AQ$1004,1,MATCH(COLUMNS($AB$1006:AL1006),$AB$1006:$AQ$1006,0)))),"Fix")))</f>
        <v>0</v>
      </c>
      <c r="M179" s="5">
        <f>IF(OR(INDEX($V$2:$V$1001,MATCH(ROWS($U$2:U179),$U$2:$U$1001,0),1)&gt;=100000,INDEX($AB$1005:$AQ$1005,1,MATCH(COLUMNS($AB$1006:AM1006),$AB$1006:$AQ$1006,0))&gt;=100000), " ",IF(INDEX($AB$2:$AQ$1001,MATCH(ROWS($U$2:U179),$U$2:$U$1001,0),MATCH(COLUMNS($AB$1006:AM1006),$AB$1006:$AQ$1006,0)), HYPERLINK("#",""), HYPERLINK(CONCATENATE("#Metadata!", ADDRESS(INDEX($W$2:$W$1001,MATCH(ROWS($U$2:U179),$U$2:$U$1001,0),0), INDEX($AB$1004:$AQ$1004,1,MATCH(COLUMNS($AB$1006:AM1006),$AB$1006:$AQ$1006,0)))),"Fix")))</f>
        <v>0</v>
      </c>
      <c r="N179" s="5">
        <f>IF(OR(INDEX($V$2:$V$1001,MATCH(ROWS($U$2:U179),$U$2:$U$1001,0),1)&gt;=100000,INDEX($AB$1005:$AQ$1005,1,MATCH(COLUMNS($AB$1006:AN1006),$AB$1006:$AQ$1006,0))&gt;=100000), " ",IF(INDEX($AB$2:$AQ$1001,MATCH(ROWS($U$2:U179),$U$2:$U$1001,0),MATCH(COLUMNS($AB$1006:AN1006),$AB$1006:$AQ$1006,0)), HYPERLINK("#",""), HYPERLINK(CONCATENATE("#Metadata!", ADDRESS(INDEX($W$2:$W$1001,MATCH(ROWS($U$2:U179),$U$2:$U$1001,0),0), INDEX($AB$1004:$AQ$1004,1,MATCH(COLUMNS($AB$1006:AN1006),$AB$1006:$AQ$1006,0)))),"Fix")))</f>
        <v>0</v>
      </c>
      <c r="O179" s="5">
        <f>IF(OR(INDEX($V$2:$V$1001,MATCH(ROWS($U$2:U179),$U$2:$U$1001,0),1)&gt;=100000,INDEX($AB$1005:$AQ$1005,1,MATCH(COLUMNS($AB$1006:AO1006),$AB$1006:$AQ$1006,0))&gt;=100000), " ",IF(INDEX($AB$2:$AQ$1001,MATCH(ROWS($U$2:U179),$U$2:$U$1001,0),MATCH(COLUMNS($AB$1006:AO1006),$AB$1006:$AQ$1006,0)), HYPERLINK("#",""), HYPERLINK(CONCATENATE("#Metadata!", ADDRESS(INDEX($W$2:$W$1001,MATCH(ROWS($U$2:U179),$U$2:$U$1001,0),0), INDEX($AB$1004:$AQ$1004,1,MATCH(COLUMNS($AB$1006:AO1006),$AB$1006:$AQ$1006,0)))),"Fix")))</f>
        <v>0</v>
      </c>
      <c r="P179" s="5">
        <f>IF(OR(INDEX($V$2:$V$1001,MATCH(ROWS($U$2:U179),$U$2:$U$1001,0),1)&gt;=100000,INDEX($AB$1005:$AQ$1005,1,MATCH(COLUMNS($AB$1006:AP1006),$AB$1006:$AQ$1006,0))&gt;=100000), " ",IF(INDEX($AB$2:$AQ$1001,MATCH(ROWS($U$2:U179),$U$2:$U$1001,0),MATCH(COLUMNS($AB$1006:AP1006),$AB$1006:$AQ$1006,0)), HYPERLINK("#",""), HYPERLINK(CONCATENATE("#Metadata!", ADDRESS(INDEX($W$2:$W$1001,MATCH(ROWS($U$2:U179),$U$2:$U$1001,0),0), INDEX($AB$1004:$AQ$1004,1,MATCH(COLUMNS($AB$1006:AP1006),$AB$1006:$AQ$1006,0)))),"Fix")))</f>
        <v>0</v>
      </c>
      <c r="Q179" s="5">
        <f>IF(OR(INDEX($V$2:$V$1001,MATCH(ROWS($U$2:U179),$U$2:$U$1001,0),1)&gt;=100000,INDEX($AB$1005:$AQ$1005,1,MATCH(COLUMNS($AB$1006:AQ1006),$AB$1006:$AQ$1006,0))&gt;=100000), " ",IF(INDEX($AB$2:$AQ$1001,MATCH(ROWS($U$2:U179),$U$2:$U$1001,0),MATCH(COLUMNS($AB$1006:AQ1006),$AB$1006:$AQ$1006,0)), HYPERLINK("#",""), HYPERLINK(CONCATENATE("#Metadata!", ADDRESS(INDEX($W$2:$W$1001,MATCH(ROWS($U$2:U179),$U$2:$U$1001,0),0), INDEX($AB$1004:$AQ$1004,1,MATCH(COLUMNS($AB$1006:AQ1006),$AB$1006:$AQ$1006,0)))),"Fix")))</f>
        <v>0</v>
      </c>
      <c r="U179">
        <v>0</v>
      </c>
      <c r="V179">
        <v>0</v>
      </c>
      <c r="W179">
        <v>0</v>
      </c>
      <c r="X179">
        <f>IF(Y179,TRUE,AND(AB179:AQ179))</f>
        <v>0</v>
      </c>
      <c r="Y179">
        <f>COUNTBLANK(Metadata!B179:Q179)=COLUMNS(Metadata!B179:Q179)</f>
        <v>0</v>
      </c>
      <c r="Z179">
        <v>0</v>
      </c>
      <c r="AB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AC179">
        <f>AND(IF(Metadata!C179="",FALSE,TRUE),exact(Metadata!C179,"urban biome"))</f>
        <v>0</v>
      </c>
      <c r="AD179">
        <f>AND(IF(Metadata!D179="",FALSE,TRUE),exact(Metadata!D179,"human-associated habitat"))</f>
        <v>0</v>
      </c>
      <c r="AE179">
        <f>AND(IF(Metadata!E179="",FALSE,TRUE),OR(exact(Metadata!E179,"human-associated"),exact(Metadata!E179,"human-skin"),exact(Metadata!E179,"human-oral"),exact(Metadata!E179,"human-gut"),exact(Metadata!E179,"human-vaginal")))</f>
        <v>0</v>
      </c>
      <c r="AF179">
        <f>AND(IF(Metadata!F179="",FALSE,ISNUMBER(VALUE(Metadata!F179))),Metadata!F179&gt;0)</f>
        <v>0</v>
      </c>
      <c r="AG179">
        <f>AND(IF(Metadata!G179="",FALSE,TRUE),exact(Metadata!G179,"years"))</f>
        <v>0</v>
      </c>
      <c r="AH179">
        <f>OR(AND(IF(Metadata!H179="",FALSE,TRUE),OR(exact(Metadata!H179,"not applicable"),exact(Metadata!H179,"not collected"),exact(Metadata!H179,"not provided"),exact(Metadata!H179,"restricted access"))),AND(IF(Metadata!H179="",FALSE,ISNUMBER(VALUE(Metadata!H179))),Metadata!H179&gt;0))</f>
        <v>0</v>
      </c>
      <c r="AI179">
        <f>AND(IF(Metadata!I179="",FALSE,TRUE),exact(Metadata!I179,"human"))</f>
        <v>0</v>
      </c>
      <c r="AJ179">
        <f>AND(IF(Metadata!J179="",FALSE,ISNUMBER(VALUE(Metadata!J179))),Metadata!J179&gt;0)</f>
        <v>0</v>
      </c>
      <c r="AK179">
        <f>AND(IF(Metadata!K179="",FALSE,TRUE),exact(Metadata!K179,"cm"))</f>
        <v>0</v>
      </c>
      <c r="AL179">
        <f>AND(IF(Metadata!L179="",FALSE,TRUE),exact(Metadata!L179,"Homo sapiens"))</f>
        <v>0</v>
      </c>
      <c r="AM179">
        <f>AND(IF(Metadata!M179="",FALSE,TRUE),exact(Metadata!M179,"9606"))</f>
        <v>0</v>
      </c>
      <c r="AN179">
        <f>AND(IF(Metadata!N179="",FALSE,ISNUMBER(VALUE(Metadata!N179))),Metadata!N179&gt;0)</f>
        <v>0</v>
      </c>
      <c r="AO179">
        <f>AND(IF(Metadata!O179="",FALSE,TRUE),exact(Metadata!O179,"kg"))</f>
        <v>0</v>
      </c>
      <c r="AP179">
        <f>OR(AND(IF(Metadata!P179="",FALSE,TRUE),exact(Metadata!P179,"not provided")),IF(Metadata!P179="",FALSE,TRUE))</f>
        <v>0</v>
      </c>
      <c r="AQ179">
        <f>OR(AND(IF(Metadata!Q179="",FALSE,TRUE),exact(Metadata!Q179,"not provided")),IF(Metadata!Q179="",FALSE,TRUE))</f>
        <v>0</v>
      </c>
    </row>
    <row r="180" spans="1:43">
      <c r="A180" s="4">
        <f>IF(B180=" "," ",HYPERLINK(CONCATENATE("#metadata!",ADDRESS(INDEX($W$2:$W$1001,MATCH(ROWS($U$2:U180),$U$2:$U$1001,0),0),2)),INDEX($Z$2:$Z$1001,MATCH(ROWS($U$2:U180),$U$2:$U$1001,0),0)))</f>
        <v>0</v>
      </c>
      <c r="B180" s="5">
        <f>IF(OR(INDEX($V$2:$V$1001,MATCH(ROWS($U$2:U180),$U$2:$U$1001,0),1)&gt;=100000,INDEX($AB$1005:$AQ$1005,1,MATCH(COLUMNS($AB$1006:AB1006),$AB$1006:$AQ$1006,0))&gt;=100000), " ",IF(INDEX($AB$2:$AQ$1001,MATCH(ROWS($U$2:U180),$U$2:$U$1001,0),MATCH(COLUMNS($AB$1006:AB1006),$AB$1006:$AQ$1006,0)), HYPERLINK("#",""), HYPERLINK(CONCATENATE("#Metadata!", ADDRESS(INDEX($W$2:$W$1001,MATCH(ROWS($U$2:U180),$U$2:$U$1001,0),0), INDEX($AB$1004:$AQ$1004,1,MATCH(COLUMNS($AB$1006:AB1006),$AB$1006:$AQ$1006,0)))),"Fix")))</f>
        <v>0</v>
      </c>
      <c r="C180" s="5">
        <f>IF(OR(INDEX($V$2:$V$1001,MATCH(ROWS($U$2:U180),$U$2:$U$1001,0),1)&gt;=100000,INDEX($AB$1005:$AQ$1005,1,MATCH(COLUMNS($AB$1006:AC1006),$AB$1006:$AQ$1006,0))&gt;=100000), " ",IF(INDEX($AB$2:$AQ$1001,MATCH(ROWS($U$2:U180),$U$2:$U$1001,0),MATCH(COLUMNS($AB$1006:AC1006),$AB$1006:$AQ$1006,0)), HYPERLINK("#",""), HYPERLINK(CONCATENATE("#Metadata!", ADDRESS(INDEX($W$2:$W$1001,MATCH(ROWS($U$2:U180),$U$2:$U$1001,0),0), INDEX($AB$1004:$AQ$1004,1,MATCH(COLUMNS($AB$1006:AC1006),$AB$1006:$AQ$1006,0)))),"Fix")))</f>
        <v>0</v>
      </c>
      <c r="D180" s="5">
        <f>IF(OR(INDEX($V$2:$V$1001,MATCH(ROWS($U$2:U180),$U$2:$U$1001,0),1)&gt;=100000,INDEX($AB$1005:$AQ$1005,1,MATCH(COLUMNS($AB$1006:AD1006),$AB$1006:$AQ$1006,0))&gt;=100000), " ",IF(INDEX($AB$2:$AQ$1001,MATCH(ROWS($U$2:U180),$U$2:$U$1001,0),MATCH(COLUMNS($AB$1006:AD1006),$AB$1006:$AQ$1006,0)), HYPERLINK("#",""), HYPERLINK(CONCATENATE("#Metadata!", ADDRESS(INDEX($W$2:$W$1001,MATCH(ROWS($U$2:U180),$U$2:$U$1001,0),0), INDEX($AB$1004:$AQ$1004,1,MATCH(COLUMNS($AB$1006:AD1006),$AB$1006:$AQ$1006,0)))),"Fix")))</f>
        <v>0</v>
      </c>
      <c r="E180" s="5">
        <f>IF(OR(INDEX($V$2:$V$1001,MATCH(ROWS($U$2:U180),$U$2:$U$1001,0),1)&gt;=100000,INDEX($AB$1005:$AQ$1005,1,MATCH(COLUMNS($AB$1006:AE1006),$AB$1006:$AQ$1006,0))&gt;=100000), " ",IF(INDEX($AB$2:$AQ$1001,MATCH(ROWS($U$2:U180),$U$2:$U$1001,0),MATCH(COLUMNS($AB$1006:AE1006),$AB$1006:$AQ$1006,0)), HYPERLINK("#",""), HYPERLINK(CONCATENATE("#Metadata!", ADDRESS(INDEX($W$2:$W$1001,MATCH(ROWS($U$2:U180),$U$2:$U$1001,0),0), INDEX($AB$1004:$AQ$1004,1,MATCH(COLUMNS($AB$1006:AE1006),$AB$1006:$AQ$1006,0)))),"Fix")))</f>
        <v>0</v>
      </c>
      <c r="F180" s="5">
        <f>IF(OR(INDEX($V$2:$V$1001,MATCH(ROWS($U$2:U180),$U$2:$U$1001,0),1)&gt;=100000,INDEX($AB$1005:$AQ$1005,1,MATCH(COLUMNS($AB$1006:AF1006),$AB$1006:$AQ$1006,0))&gt;=100000), " ",IF(INDEX($AB$2:$AQ$1001,MATCH(ROWS($U$2:U180),$U$2:$U$1001,0),MATCH(COLUMNS($AB$1006:AF1006),$AB$1006:$AQ$1006,0)), HYPERLINK("#",""), HYPERLINK(CONCATENATE("#Metadata!", ADDRESS(INDEX($W$2:$W$1001,MATCH(ROWS($U$2:U180),$U$2:$U$1001,0),0), INDEX($AB$1004:$AQ$1004,1,MATCH(COLUMNS($AB$1006:AF1006),$AB$1006:$AQ$1006,0)))),"Fix")))</f>
        <v>0</v>
      </c>
      <c r="G180" s="5">
        <f>IF(OR(INDEX($V$2:$V$1001,MATCH(ROWS($U$2:U180),$U$2:$U$1001,0),1)&gt;=100000,INDEX($AB$1005:$AQ$1005,1,MATCH(COLUMNS($AB$1006:AG1006),$AB$1006:$AQ$1006,0))&gt;=100000), " ",IF(INDEX($AB$2:$AQ$1001,MATCH(ROWS($U$2:U180),$U$2:$U$1001,0),MATCH(COLUMNS($AB$1006:AG1006),$AB$1006:$AQ$1006,0)), HYPERLINK("#",""), HYPERLINK(CONCATENATE("#Metadata!", ADDRESS(INDEX($W$2:$W$1001,MATCH(ROWS($U$2:U180),$U$2:$U$1001,0),0), INDEX($AB$1004:$AQ$1004,1,MATCH(COLUMNS($AB$1006:AG1006),$AB$1006:$AQ$1006,0)))),"Fix")))</f>
        <v>0</v>
      </c>
      <c r="H180" s="5">
        <f>IF(OR(INDEX($V$2:$V$1001,MATCH(ROWS($U$2:U180),$U$2:$U$1001,0),1)&gt;=100000,INDEX($AB$1005:$AQ$1005,1,MATCH(COLUMNS($AB$1006:AH1006),$AB$1006:$AQ$1006,0))&gt;=100000), " ",IF(INDEX($AB$2:$AQ$1001,MATCH(ROWS($U$2:U180),$U$2:$U$1001,0),MATCH(COLUMNS($AB$1006:AH1006),$AB$1006:$AQ$1006,0)), HYPERLINK("#",""), HYPERLINK(CONCATENATE("#Metadata!", ADDRESS(INDEX($W$2:$W$1001,MATCH(ROWS($U$2:U180),$U$2:$U$1001,0),0), INDEX($AB$1004:$AQ$1004,1,MATCH(COLUMNS($AB$1006:AH1006),$AB$1006:$AQ$1006,0)))),"Fix")))</f>
        <v>0</v>
      </c>
      <c r="I180" s="5">
        <f>IF(OR(INDEX($V$2:$V$1001,MATCH(ROWS($U$2:U180),$U$2:$U$1001,0),1)&gt;=100000,INDEX($AB$1005:$AQ$1005,1,MATCH(COLUMNS($AB$1006:AI1006),$AB$1006:$AQ$1006,0))&gt;=100000), " ",IF(INDEX($AB$2:$AQ$1001,MATCH(ROWS($U$2:U180),$U$2:$U$1001,0),MATCH(COLUMNS($AB$1006:AI1006),$AB$1006:$AQ$1006,0)), HYPERLINK("#",""), HYPERLINK(CONCATENATE("#Metadata!", ADDRESS(INDEX($W$2:$W$1001,MATCH(ROWS($U$2:U180),$U$2:$U$1001,0),0), INDEX($AB$1004:$AQ$1004,1,MATCH(COLUMNS($AB$1006:AI1006),$AB$1006:$AQ$1006,0)))),"Fix")))</f>
        <v>0</v>
      </c>
      <c r="J180" s="5">
        <f>IF(OR(INDEX($V$2:$V$1001,MATCH(ROWS($U$2:U180),$U$2:$U$1001,0),1)&gt;=100000,INDEX($AB$1005:$AQ$1005,1,MATCH(COLUMNS($AB$1006:AJ1006),$AB$1006:$AQ$1006,0))&gt;=100000), " ",IF(INDEX($AB$2:$AQ$1001,MATCH(ROWS($U$2:U180),$U$2:$U$1001,0),MATCH(COLUMNS($AB$1006:AJ1006),$AB$1006:$AQ$1006,0)), HYPERLINK("#",""), HYPERLINK(CONCATENATE("#Metadata!", ADDRESS(INDEX($W$2:$W$1001,MATCH(ROWS($U$2:U180),$U$2:$U$1001,0),0), INDEX($AB$1004:$AQ$1004,1,MATCH(COLUMNS($AB$1006:AJ1006),$AB$1006:$AQ$1006,0)))),"Fix")))</f>
        <v>0</v>
      </c>
      <c r="K180" s="5">
        <f>IF(OR(INDEX($V$2:$V$1001,MATCH(ROWS($U$2:U180),$U$2:$U$1001,0),1)&gt;=100000,INDEX($AB$1005:$AQ$1005,1,MATCH(COLUMNS($AB$1006:AK1006),$AB$1006:$AQ$1006,0))&gt;=100000), " ",IF(INDEX($AB$2:$AQ$1001,MATCH(ROWS($U$2:U180),$U$2:$U$1001,0),MATCH(COLUMNS($AB$1006:AK1006),$AB$1006:$AQ$1006,0)), HYPERLINK("#",""), HYPERLINK(CONCATENATE("#Metadata!", ADDRESS(INDEX($W$2:$W$1001,MATCH(ROWS($U$2:U180),$U$2:$U$1001,0),0), INDEX($AB$1004:$AQ$1004,1,MATCH(COLUMNS($AB$1006:AK1006),$AB$1006:$AQ$1006,0)))),"Fix")))</f>
        <v>0</v>
      </c>
      <c r="L180" s="5">
        <f>IF(OR(INDEX($V$2:$V$1001,MATCH(ROWS($U$2:U180),$U$2:$U$1001,0),1)&gt;=100000,INDEX($AB$1005:$AQ$1005,1,MATCH(COLUMNS($AB$1006:AL1006),$AB$1006:$AQ$1006,0))&gt;=100000), " ",IF(INDEX($AB$2:$AQ$1001,MATCH(ROWS($U$2:U180),$U$2:$U$1001,0),MATCH(COLUMNS($AB$1006:AL1006),$AB$1006:$AQ$1006,0)), HYPERLINK("#",""), HYPERLINK(CONCATENATE("#Metadata!", ADDRESS(INDEX($W$2:$W$1001,MATCH(ROWS($U$2:U180),$U$2:$U$1001,0),0), INDEX($AB$1004:$AQ$1004,1,MATCH(COLUMNS($AB$1006:AL1006),$AB$1006:$AQ$1006,0)))),"Fix")))</f>
        <v>0</v>
      </c>
      <c r="M180" s="5">
        <f>IF(OR(INDEX($V$2:$V$1001,MATCH(ROWS($U$2:U180),$U$2:$U$1001,0),1)&gt;=100000,INDEX($AB$1005:$AQ$1005,1,MATCH(COLUMNS($AB$1006:AM1006),$AB$1006:$AQ$1006,0))&gt;=100000), " ",IF(INDEX($AB$2:$AQ$1001,MATCH(ROWS($U$2:U180),$U$2:$U$1001,0),MATCH(COLUMNS($AB$1006:AM1006),$AB$1006:$AQ$1006,0)), HYPERLINK("#",""), HYPERLINK(CONCATENATE("#Metadata!", ADDRESS(INDEX($W$2:$W$1001,MATCH(ROWS($U$2:U180),$U$2:$U$1001,0),0), INDEX($AB$1004:$AQ$1004,1,MATCH(COLUMNS($AB$1006:AM1006),$AB$1006:$AQ$1006,0)))),"Fix")))</f>
        <v>0</v>
      </c>
      <c r="N180" s="5">
        <f>IF(OR(INDEX($V$2:$V$1001,MATCH(ROWS($U$2:U180),$U$2:$U$1001,0),1)&gt;=100000,INDEX($AB$1005:$AQ$1005,1,MATCH(COLUMNS($AB$1006:AN1006),$AB$1006:$AQ$1006,0))&gt;=100000), " ",IF(INDEX($AB$2:$AQ$1001,MATCH(ROWS($U$2:U180),$U$2:$U$1001,0),MATCH(COLUMNS($AB$1006:AN1006),$AB$1006:$AQ$1006,0)), HYPERLINK("#",""), HYPERLINK(CONCATENATE("#Metadata!", ADDRESS(INDEX($W$2:$W$1001,MATCH(ROWS($U$2:U180),$U$2:$U$1001,0),0), INDEX($AB$1004:$AQ$1004,1,MATCH(COLUMNS($AB$1006:AN1006),$AB$1006:$AQ$1006,0)))),"Fix")))</f>
        <v>0</v>
      </c>
      <c r="O180" s="5">
        <f>IF(OR(INDEX($V$2:$V$1001,MATCH(ROWS($U$2:U180),$U$2:$U$1001,0),1)&gt;=100000,INDEX($AB$1005:$AQ$1005,1,MATCH(COLUMNS($AB$1006:AO1006),$AB$1006:$AQ$1006,0))&gt;=100000), " ",IF(INDEX($AB$2:$AQ$1001,MATCH(ROWS($U$2:U180),$U$2:$U$1001,0),MATCH(COLUMNS($AB$1006:AO1006),$AB$1006:$AQ$1006,0)), HYPERLINK("#",""), HYPERLINK(CONCATENATE("#Metadata!", ADDRESS(INDEX($W$2:$W$1001,MATCH(ROWS($U$2:U180),$U$2:$U$1001,0),0), INDEX($AB$1004:$AQ$1004,1,MATCH(COLUMNS($AB$1006:AO1006),$AB$1006:$AQ$1006,0)))),"Fix")))</f>
        <v>0</v>
      </c>
      <c r="P180" s="5">
        <f>IF(OR(INDEX($V$2:$V$1001,MATCH(ROWS($U$2:U180),$U$2:$U$1001,0),1)&gt;=100000,INDEX($AB$1005:$AQ$1005,1,MATCH(COLUMNS($AB$1006:AP1006),$AB$1006:$AQ$1006,0))&gt;=100000), " ",IF(INDEX($AB$2:$AQ$1001,MATCH(ROWS($U$2:U180),$U$2:$U$1001,0),MATCH(COLUMNS($AB$1006:AP1006),$AB$1006:$AQ$1006,0)), HYPERLINK("#",""), HYPERLINK(CONCATENATE("#Metadata!", ADDRESS(INDEX($W$2:$W$1001,MATCH(ROWS($U$2:U180),$U$2:$U$1001,0),0), INDEX($AB$1004:$AQ$1004,1,MATCH(COLUMNS($AB$1006:AP1006),$AB$1006:$AQ$1006,0)))),"Fix")))</f>
        <v>0</v>
      </c>
      <c r="Q180" s="5">
        <f>IF(OR(INDEX($V$2:$V$1001,MATCH(ROWS($U$2:U180),$U$2:$U$1001,0),1)&gt;=100000,INDEX($AB$1005:$AQ$1005,1,MATCH(COLUMNS($AB$1006:AQ1006),$AB$1006:$AQ$1006,0))&gt;=100000), " ",IF(INDEX($AB$2:$AQ$1001,MATCH(ROWS($U$2:U180),$U$2:$U$1001,0),MATCH(COLUMNS($AB$1006:AQ1006),$AB$1006:$AQ$1006,0)), HYPERLINK("#",""), HYPERLINK(CONCATENATE("#Metadata!", ADDRESS(INDEX($W$2:$W$1001,MATCH(ROWS($U$2:U180),$U$2:$U$1001,0),0), INDEX($AB$1004:$AQ$1004,1,MATCH(COLUMNS($AB$1006:AQ1006),$AB$1006:$AQ$1006,0)))),"Fix")))</f>
        <v>0</v>
      </c>
      <c r="U180">
        <v>0</v>
      </c>
      <c r="V180">
        <v>0</v>
      </c>
      <c r="W180">
        <v>0</v>
      </c>
      <c r="X180">
        <f>IF(Y180,TRUE,AND(AB180:AQ180))</f>
        <v>0</v>
      </c>
      <c r="Y180">
        <f>COUNTBLANK(Metadata!B180:Q180)=COLUMNS(Metadata!B180:Q180)</f>
        <v>0</v>
      </c>
      <c r="Z180">
        <v>0</v>
      </c>
      <c r="AB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AC180">
        <f>AND(IF(Metadata!C180="",FALSE,TRUE),exact(Metadata!C180,"urban biome"))</f>
        <v>0</v>
      </c>
      <c r="AD180">
        <f>AND(IF(Metadata!D180="",FALSE,TRUE),exact(Metadata!D180,"human-associated habitat"))</f>
        <v>0</v>
      </c>
      <c r="AE180">
        <f>AND(IF(Metadata!E180="",FALSE,TRUE),OR(exact(Metadata!E180,"human-associated"),exact(Metadata!E180,"human-skin"),exact(Metadata!E180,"human-oral"),exact(Metadata!E180,"human-gut"),exact(Metadata!E180,"human-vaginal")))</f>
        <v>0</v>
      </c>
      <c r="AF180">
        <f>AND(IF(Metadata!F180="",FALSE,ISNUMBER(VALUE(Metadata!F180))),Metadata!F180&gt;0)</f>
        <v>0</v>
      </c>
      <c r="AG180">
        <f>AND(IF(Metadata!G180="",FALSE,TRUE),exact(Metadata!G180,"years"))</f>
        <v>0</v>
      </c>
      <c r="AH180">
        <f>OR(AND(IF(Metadata!H180="",FALSE,TRUE),OR(exact(Metadata!H180,"not applicable"),exact(Metadata!H180,"not collected"),exact(Metadata!H180,"not provided"),exact(Metadata!H180,"restricted access"))),AND(IF(Metadata!H180="",FALSE,ISNUMBER(VALUE(Metadata!H180))),Metadata!H180&gt;0))</f>
        <v>0</v>
      </c>
      <c r="AI180">
        <f>AND(IF(Metadata!I180="",FALSE,TRUE),exact(Metadata!I180,"human"))</f>
        <v>0</v>
      </c>
      <c r="AJ180">
        <f>AND(IF(Metadata!J180="",FALSE,ISNUMBER(VALUE(Metadata!J180))),Metadata!J180&gt;0)</f>
        <v>0</v>
      </c>
      <c r="AK180">
        <f>AND(IF(Metadata!K180="",FALSE,TRUE),exact(Metadata!K180,"cm"))</f>
        <v>0</v>
      </c>
      <c r="AL180">
        <f>AND(IF(Metadata!L180="",FALSE,TRUE),exact(Metadata!L180,"Homo sapiens"))</f>
        <v>0</v>
      </c>
      <c r="AM180">
        <f>AND(IF(Metadata!M180="",FALSE,TRUE),exact(Metadata!M180,"9606"))</f>
        <v>0</v>
      </c>
      <c r="AN180">
        <f>AND(IF(Metadata!N180="",FALSE,ISNUMBER(VALUE(Metadata!N180))),Metadata!N180&gt;0)</f>
        <v>0</v>
      </c>
      <c r="AO180">
        <f>AND(IF(Metadata!O180="",FALSE,TRUE),exact(Metadata!O180,"kg"))</f>
        <v>0</v>
      </c>
      <c r="AP180">
        <f>OR(AND(IF(Metadata!P180="",FALSE,TRUE),exact(Metadata!P180,"not provided")),IF(Metadata!P180="",FALSE,TRUE))</f>
        <v>0</v>
      </c>
      <c r="AQ180">
        <f>OR(AND(IF(Metadata!Q180="",FALSE,TRUE),exact(Metadata!Q180,"not provided")),IF(Metadata!Q180="",FALSE,TRUE))</f>
        <v>0</v>
      </c>
    </row>
    <row r="181" spans="1:43">
      <c r="A181" s="4">
        <f>IF(B181=" "," ",HYPERLINK(CONCATENATE("#metadata!",ADDRESS(INDEX($W$2:$W$1001,MATCH(ROWS($U$2:U181),$U$2:$U$1001,0),0),2)),INDEX($Z$2:$Z$1001,MATCH(ROWS($U$2:U181),$U$2:$U$1001,0),0)))</f>
        <v>0</v>
      </c>
      <c r="B181" s="5">
        <f>IF(OR(INDEX($V$2:$V$1001,MATCH(ROWS($U$2:U181),$U$2:$U$1001,0),1)&gt;=100000,INDEX($AB$1005:$AQ$1005,1,MATCH(COLUMNS($AB$1006:AB1006),$AB$1006:$AQ$1006,0))&gt;=100000), " ",IF(INDEX($AB$2:$AQ$1001,MATCH(ROWS($U$2:U181),$U$2:$U$1001,0),MATCH(COLUMNS($AB$1006:AB1006),$AB$1006:$AQ$1006,0)), HYPERLINK("#",""), HYPERLINK(CONCATENATE("#Metadata!", ADDRESS(INDEX($W$2:$W$1001,MATCH(ROWS($U$2:U181),$U$2:$U$1001,0),0), INDEX($AB$1004:$AQ$1004,1,MATCH(COLUMNS($AB$1006:AB1006),$AB$1006:$AQ$1006,0)))),"Fix")))</f>
        <v>0</v>
      </c>
      <c r="C181" s="5">
        <f>IF(OR(INDEX($V$2:$V$1001,MATCH(ROWS($U$2:U181),$U$2:$U$1001,0),1)&gt;=100000,INDEX($AB$1005:$AQ$1005,1,MATCH(COLUMNS($AB$1006:AC1006),$AB$1006:$AQ$1006,0))&gt;=100000), " ",IF(INDEX($AB$2:$AQ$1001,MATCH(ROWS($U$2:U181),$U$2:$U$1001,0),MATCH(COLUMNS($AB$1006:AC1006),$AB$1006:$AQ$1006,0)), HYPERLINK("#",""), HYPERLINK(CONCATENATE("#Metadata!", ADDRESS(INDEX($W$2:$W$1001,MATCH(ROWS($U$2:U181),$U$2:$U$1001,0),0), INDEX($AB$1004:$AQ$1004,1,MATCH(COLUMNS($AB$1006:AC1006),$AB$1006:$AQ$1006,0)))),"Fix")))</f>
        <v>0</v>
      </c>
      <c r="D181" s="5">
        <f>IF(OR(INDEX($V$2:$V$1001,MATCH(ROWS($U$2:U181),$U$2:$U$1001,0),1)&gt;=100000,INDEX($AB$1005:$AQ$1005,1,MATCH(COLUMNS($AB$1006:AD1006),$AB$1006:$AQ$1006,0))&gt;=100000), " ",IF(INDEX($AB$2:$AQ$1001,MATCH(ROWS($U$2:U181),$U$2:$U$1001,0),MATCH(COLUMNS($AB$1006:AD1006),$AB$1006:$AQ$1006,0)), HYPERLINK("#",""), HYPERLINK(CONCATENATE("#Metadata!", ADDRESS(INDEX($W$2:$W$1001,MATCH(ROWS($U$2:U181),$U$2:$U$1001,0),0), INDEX($AB$1004:$AQ$1004,1,MATCH(COLUMNS($AB$1006:AD1006),$AB$1006:$AQ$1006,0)))),"Fix")))</f>
        <v>0</v>
      </c>
      <c r="E181" s="5">
        <f>IF(OR(INDEX($V$2:$V$1001,MATCH(ROWS($U$2:U181),$U$2:$U$1001,0),1)&gt;=100000,INDEX($AB$1005:$AQ$1005,1,MATCH(COLUMNS($AB$1006:AE1006),$AB$1006:$AQ$1006,0))&gt;=100000), " ",IF(INDEX($AB$2:$AQ$1001,MATCH(ROWS($U$2:U181),$U$2:$U$1001,0),MATCH(COLUMNS($AB$1006:AE1006),$AB$1006:$AQ$1006,0)), HYPERLINK("#",""), HYPERLINK(CONCATENATE("#Metadata!", ADDRESS(INDEX($W$2:$W$1001,MATCH(ROWS($U$2:U181),$U$2:$U$1001,0),0), INDEX($AB$1004:$AQ$1004,1,MATCH(COLUMNS($AB$1006:AE1006),$AB$1006:$AQ$1006,0)))),"Fix")))</f>
        <v>0</v>
      </c>
      <c r="F181" s="5">
        <f>IF(OR(INDEX($V$2:$V$1001,MATCH(ROWS($U$2:U181),$U$2:$U$1001,0),1)&gt;=100000,INDEX($AB$1005:$AQ$1005,1,MATCH(COLUMNS($AB$1006:AF1006),$AB$1006:$AQ$1006,0))&gt;=100000), " ",IF(INDEX($AB$2:$AQ$1001,MATCH(ROWS($U$2:U181),$U$2:$U$1001,0),MATCH(COLUMNS($AB$1006:AF1006),$AB$1006:$AQ$1006,0)), HYPERLINK("#",""), HYPERLINK(CONCATENATE("#Metadata!", ADDRESS(INDEX($W$2:$W$1001,MATCH(ROWS($U$2:U181),$U$2:$U$1001,0),0), INDEX($AB$1004:$AQ$1004,1,MATCH(COLUMNS($AB$1006:AF1006),$AB$1006:$AQ$1006,0)))),"Fix")))</f>
        <v>0</v>
      </c>
      <c r="G181" s="5">
        <f>IF(OR(INDEX($V$2:$V$1001,MATCH(ROWS($U$2:U181),$U$2:$U$1001,0),1)&gt;=100000,INDEX($AB$1005:$AQ$1005,1,MATCH(COLUMNS($AB$1006:AG1006),$AB$1006:$AQ$1006,0))&gt;=100000), " ",IF(INDEX($AB$2:$AQ$1001,MATCH(ROWS($U$2:U181),$U$2:$U$1001,0),MATCH(COLUMNS($AB$1006:AG1006),$AB$1006:$AQ$1006,0)), HYPERLINK("#",""), HYPERLINK(CONCATENATE("#Metadata!", ADDRESS(INDEX($W$2:$W$1001,MATCH(ROWS($U$2:U181),$U$2:$U$1001,0),0), INDEX($AB$1004:$AQ$1004,1,MATCH(COLUMNS($AB$1006:AG1006),$AB$1006:$AQ$1006,0)))),"Fix")))</f>
        <v>0</v>
      </c>
      <c r="H181" s="5">
        <f>IF(OR(INDEX($V$2:$V$1001,MATCH(ROWS($U$2:U181),$U$2:$U$1001,0),1)&gt;=100000,INDEX($AB$1005:$AQ$1005,1,MATCH(COLUMNS($AB$1006:AH1006),$AB$1006:$AQ$1006,0))&gt;=100000), " ",IF(INDEX($AB$2:$AQ$1001,MATCH(ROWS($U$2:U181),$U$2:$U$1001,0),MATCH(COLUMNS($AB$1006:AH1006),$AB$1006:$AQ$1006,0)), HYPERLINK("#",""), HYPERLINK(CONCATENATE("#Metadata!", ADDRESS(INDEX($W$2:$W$1001,MATCH(ROWS($U$2:U181),$U$2:$U$1001,0),0), INDEX($AB$1004:$AQ$1004,1,MATCH(COLUMNS($AB$1006:AH1006),$AB$1006:$AQ$1006,0)))),"Fix")))</f>
        <v>0</v>
      </c>
      <c r="I181" s="5">
        <f>IF(OR(INDEX($V$2:$V$1001,MATCH(ROWS($U$2:U181),$U$2:$U$1001,0),1)&gt;=100000,INDEX($AB$1005:$AQ$1005,1,MATCH(COLUMNS($AB$1006:AI1006),$AB$1006:$AQ$1006,0))&gt;=100000), " ",IF(INDEX($AB$2:$AQ$1001,MATCH(ROWS($U$2:U181),$U$2:$U$1001,0),MATCH(COLUMNS($AB$1006:AI1006),$AB$1006:$AQ$1006,0)), HYPERLINK("#",""), HYPERLINK(CONCATENATE("#Metadata!", ADDRESS(INDEX($W$2:$W$1001,MATCH(ROWS($U$2:U181),$U$2:$U$1001,0),0), INDEX($AB$1004:$AQ$1004,1,MATCH(COLUMNS($AB$1006:AI1006),$AB$1006:$AQ$1006,0)))),"Fix")))</f>
        <v>0</v>
      </c>
      <c r="J181" s="5">
        <f>IF(OR(INDEX($V$2:$V$1001,MATCH(ROWS($U$2:U181),$U$2:$U$1001,0),1)&gt;=100000,INDEX($AB$1005:$AQ$1005,1,MATCH(COLUMNS($AB$1006:AJ1006),$AB$1006:$AQ$1006,0))&gt;=100000), " ",IF(INDEX($AB$2:$AQ$1001,MATCH(ROWS($U$2:U181),$U$2:$U$1001,0),MATCH(COLUMNS($AB$1006:AJ1006),$AB$1006:$AQ$1006,0)), HYPERLINK("#",""), HYPERLINK(CONCATENATE("#Metadata!", ADDRESS(INDEX($W$2:$W$1001,MATCH(ROWS($U$2:U181),$U$2:$U$1001,0),0), INDEX($AB$1004:$AQ$1004,1,MATCH(COLUMNS($AB$1006:AJ1006),$AB$1006:$AQ$1006,0)))),"Fix")))</f>
        <v>0</v>
      </c>
      <c r="K181" s="5">
        <f>IF(OR(INDEX($V$2:$V$1001,MATCH(ROWS($U$2:U181),$U$2:$U$1001,0),1)&gt;=100000,INDEX($AB$1005:$AQ$1005,1,MATCH(COLUMNS($AB$1006:AK1006),$AB$1006:$AQ$1006,0))&gt;=100000), " ",IF(INDEX($AB$2:$AQ$1001,MATCH(ROWS($U$2:U181),$U$2:$U$1001,0),MATCH(COLUMNS($AB$1006:AK1006),$AB$1006:$AQ$1006,0)), HYPERLINK("#",""), HYPERLINK(CONCATENATE("#Metadata!", ADDRESS(INDEX($W$2:$W$1001,MATCH(ROWS($U$2:U181),$U$2:$U$1001,0),0), INDEX($AB$1004:$AQ$1004,1,MATCH(COLUMNS($AB$1006:AK1006),$AB$1006:$AQ$1006,0)))),"Fix")))</f>
        <v>0</v>
      </c>
      <c r="L181" s="5">
        <f>IF(OR(INDEX($V$2:$V$1001,MATCH(ROWS($U$2:U181),$U$2:$U$1001,0),1)&gt;=100000,INDEX($AB$1005:$AQ$1005,1,MATCH(COLUMNS($AB$1006:AL1006),$AB$1006:$AQ$1006,0))&gt;=100000), " ",IF(INDEX($AB$2:$AQ$1001,MATCH(ROWS($U$2:U181),$U$2:$U$1001,0),MATCH(COLUMNS($AB$1006:AL1006),$AB$1006:$AQ$1006,0)), HYPERLINK("#",""), HYPERLINK(CONCATENATE("#Metadata!", ADDRESS(INDEX($W$2:$W$1001,MATCH(ROWS($U$2:U181),$U$2:$U$1001,0),0), INDEX($AB$1004:$AQ$1004,1,MATCH(COLUMNS($AB$1006:AL1006),$AB$1006:$AQ$1006,0)))),"Fix")))</f>
        <v>0</v>
      </c>
      <c r="M181" s="5">
        <f>IF(OR(INDEX($V$2:$V$1001,MATCH(ROWS($U$2:U181),$U$2:$U$1001,0),1)&gt;=100000,INDEX($AB$1005:$AQ$1005,1,MATCH(COLUMNS($AB$1006:AM1006),$AB$1006:$AQ$1006,0))&gt;=100000), " ",IF(INDEX($AB$2:$AQ$1001,MATCH(ROWS($U$2:U181),$U$2:$U$1001,0),MATCH(COLUMNS($AB$1006:AM1006),$AB$1006:$AQ$1006,0)), HYPERLINK("#",""), HYPERLINK(CONCATENATE("#Metadata!", ADDRESS(INDEX($W$2:$W$1001,MATCH(ROWS($U$2:U181),$U$2:$U$1001,0),0), INDEX($AB$1004:$AQ$1004,1,MATCH(COLUMNS($AB$1006:AM1006),$AB$1006:$AQ$1006,0)))),"Fix")))</f>
        <v>0</v>
      </c>
      <c r="N181" s="5">
        <f>IF(OR(INDEX($V$2:$V$1001,MATCH(ROWS($U$2:U181),$U$2:$U$1001,0),1)&gt;=100000,INDEX($AB$1005:$AQ$1005,1,MATCH(COLUMNS($AB$1006:AN1006),$AB$1006:$AQ$1006,0))&gt;=100000), " ",IF(INDEX($AB$2:$AQ$1001,MATCH(ROWS($U$2:U181),$U$2:$U$1001,0),MATCH(COLUMNS($AB$1006:AN1006),$AB$1006:$AQ$1006,0)), HYPERLINK("#",""), HYPERLINK(CONCATENATE("#Metadata!", ADDRESS(INDEX($W$2:$W$1001,MATCH(ROWS($U$2:U181),$U$2:$U$1001,0),0), INDEX($AB$1004:$AQ$1004,1,MATCH(COLUMNS($AB$1006:AN1006),$AB$1006:$AQ$1006,0)))),"Fix")))</f>
        <v>0</v>
      </c>
      <c r="O181" s="5">
        <f>IF(OR(INDEX($V$2:$V$1001,MATCH(ROWS($U$2:U181),$U$2:$U$1001,0),1)&gt;=100000,INDEX($AB$1005:$AQ$1005,1,MATCH(COLUMNS($AB$1006:AO1006),$AB$1006:$AQ$1006,0))&gt;=100000), " ",IF(INDEX($AB$2:$AQ$1001,MATCH(ROWS($U$2:U181),$U$2:$U$1001,0),MATCH(COLUMNS($AB$1006:AO1006),$AB$1006:$AQ$1006,0)), HYPERLINK("#",""), HYPERLINK(CONCATENATE("#Metadata!", ADDRESS(INDEX($W$2:$W$1001,MATCH(ROWS($U$2:U181),$U$2:$U$1001,0),0), INDEX($AB$1004:$AQ$1004,1,MATCH(COLUMNS($AB$1006:AO1006),$AB$1006:$AQ$1006,0)))),"Fix")))</f>
        <v>0</v>
      </c>
      <c r="P181" s="5">
        <f>IF(OR(INDEX($V$2:$V$1001,MATCH(ROWS($U$2:U181),$U$2:$U$1001,0),1)&gt;=100000,INDEX($AB$1005:$AQ$1005,1,MATCH(COLUMNS($AB$1006:AP1006),$AB$1006:$AQ$1006,0))&gt;=100000), " ",IF(INDEX($AB$2:$AQ$1001,MATCH(ROWS($U$2:U181),$U$2:$U$1001,0),MATCH(COLUMNS($AB$1006:AP1006),$AB$1006:$AQ$1006,0)), HYPERLINK("#",""), HYPERLINK(CONCATENATE("#Metadata!", ADDRESS(INDEX($W$2:$W$1001,MATCH(ROWS($U$2:U181),$U$2:$U$1001,0),0), INDEX($AB$1004:$AQ$1004,1,MATCH(COLUMNS($AB$1006:AP1006),$AB$1006:$AQ$1006,0)))),"Fix")))</f>
        <v>0</v>
      </c>
      <c r="Q181" s="5">
        <f>IF(OR(INDEX($V$2:$V$1001,MATCH(ROWS($U$2:U181),$U$2:$U$1001,0),1)&gt;=100000,INDEX($AB$1005:$AQ$1005,1,MATCH(COLUMNS($AB$1006:AQ1006),$AB$1006:$AQ$1006,0))&gt;=100000), " ",IF(INDEX($AB$2:$AQ$1001,MATCH(ROWS($U$2:U181),$U$2:$U$1001,0),MATCH(COLUMNS($AB$1006:AQ1006),$AB$1006:$AQ$1006,0)), HYPERLINK("#",""), HYPERLINK(CONCATENATE("#Metadata!", ADDRESS(INDEX($W$2:$W$1001,MATCH(ROWS($U$2:U181),$U$2:$U$1001,0),0), INDEX($AB$1004:$AQ$1004,1,MATCH(COLUMNS($AB$1006:AQ1006),$AB$1006:$AQ$1006,0)))),"Fix")))</f>
        <v>0</v>
      </c>
      <c r="U181">
        <v>0</v>
      </c>
      <c r="V181">
        <v>0</v>
      </c>
      <c r="W181">
        <v>0</v>
      </c>
      <c r="X181">
        <f>IF(Y181,TRUE,AND(AB181:AQ181))</f>
        <v>0</v>
      </c>
      <c r="Y181">
        <f>COUNTBLANK(Metadata!B181:Q181)=COLUMNS(Metadata!B181:Q181)</f>
        <v>0</v>
      </c>
      <c r="Z181">
        <v>0</v>
      </c>
      <c r="AB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AC181">
        <f>AND(IF(Metadata!C181="",FALSE,TRUE),exact(Metadata!C181,"urban biome"))</f>
        <v>0</v>
      </c>
      <c r="AD181">
        <f>AND(IF(Metadata!D181="",FALSE,TRUE),exact(Metadata!D181,"human-associated habitat"))</f>
        <v>0</v>
      </c>
      <c r="AE181">
        <f>AND(IF(Metadata!E181="",FALSE,TRUE),OR(exact(Metadata!E181,"human-associated"),exact(Metadata!E181,"human-skin"),exact(Metadata!E181,"human-oral"),exact(Metadata!E181,"human-gut"),exact(Metadata!E181,"human-vaginal")))</f>
        <v>0</v>
      </c>
      <c r="AF181">
        <f>AND(IF(Metadata!F181="",FALSE,ISNUMBER(VALUE(Metadata!F181))),Metadata!F181&gt;0)</f>
        <v>0</v>
      </c>
      <c r="AG181">
        <f>AND(IF(Metadata!G181="",FALSE,TRUE),exact(Metadata!G181,"years"))</f>
        <v>0</v>
      </c>
      <c r="AH181">
        <f>OR(AND(IF(Metadata!H181="",FALSE,TRUE),OR(exact(Metadata!H181,"not applicable"),exact(Metadata!H181,"not collected"),exact(Metadata!H181,"not provided"),exact(Metadata!H181,"restricted access"))),AND(IF(Metadata!H181="",FALSE,ISNUMBER(VALUE(Metadata!H181))),Metadata!H181&gt;0))</f>
        <v>0</v>
      </c>
      <c r="AI181">
        <f>AND(IF(Metadata!I181="",FALSE,TRUE),exact(Metadata!I181,"human"))</f>
        <v>0</v>
      </c>
      <c r="AJ181">
        <f>AND(IF(Metadata!J181="",FALSE,ISNUMBER(VALUE(Metadata!J181))),Metadata!J181&gt;0)</f>
        <v>0</v>
      </c>
      <c r="AK181">
        <f>AND(IF(Metadata!K181="",FALSE,TRUE),exact(Metadata!K181,"cm"))</f>
        <v>0</v>
      </c>
      <c r="AL181">
        <f>AND(IF(Metadata!L181="",FALSE,TRUE),exact(Metadata!L181,"Homo sapiens"))</f>
        <v>0</v>
      </c>
      <c r="AM181">
        <f>AND(IF(Metadata!M181="",FALSE,TRUE),exact(Metadata!M181,"9606"))</f>
        <v>0</v>
      </c>
      <c r="AN181">
        <f>AND(IF(Metadata!N181="",FALSE,ISNUMBER(VALUE(Metadata!N181))),Metadata!N181&gt;0)</f>
        <v>0</v>
      </c>
      <c r="AO181">
        <f>AND(IF(Metadata!O181="",FALSE,TRUE),exact(Metadata!O181,"kg"))</f>
        <v>0</v>
      </c>
      <c r="AP181">
        <f>OR(AND(IF(Metadata!P181="",FALSE,TRUE),exact(Metadata!P181,"not provided")),IF(Metadata!P181="",FALSE,TRUE))</f>
        <v>0</v>
      </c>
      <c r="AQ181">
        <f>OR(AND(IF(Metadata!Q181="",FALSE,TRUE),exact(Metadata!Q181,"not provided")),IF(Metadata!Q181="",FALSE,TRUE))</f>
        <v>0</v>
      </c>
    </row>
    <row r="182" spans="1:43">
      <c r="A182" s="4">
        <f>IF(B182=" "," ",HYPERLINK(CONCATENATE("#metadata!",ADDRESS(INDEX($W$2:$W$1001,MATCH(ROWS($U$2:U182),$U$2:$U$1001,0),0),2)),INDEX($Z$2:$Z$1001,MATCH(ROWS($U$2:U182),$U$2:$U$1001,0),0)))</f>
        <v>0</v>
      </c>
      <c r="B182" s="5">
        <f>IF(OR(INDEX($V$2:$V$1001,MATCH(ROWS($U$2:U182),$U$2:$U$1001,0),1)&gt;=100000,INDEX($AB$1005:$AQ$1005,1,MATCH(COLUMNS($AB$1006:AB1006),$AB$1006:$AQ$1006,0))&gt;=100000), " ",IF(INDEX($AB$2:$AQ$1001,MATCH(ROWS($U$2:U182),$U$2:$U$1001,0),MATCH(COLUMNS($AB$1006:AB1006),$AB$1006:$AQ$1006,0)), HYPERLINK("#",""), HYPERLINK(CONCATENATE("#Metadata!", ADDRESS(INDEX($W$2:$W$1001,MATCH(ROWS($U$2:U182),$U$2:$U$1001,0),0), INDEX($AB$1004:$AQ$1004,1,MATCH(COLUMNS($AB$1006:AB1006),$AB$1006:$AQ$1006,0)))),"Fix")))</f>
        <v>0</v>
      </c>
      <c r="C182" s="5">
        <f>IF(OR(INDEX($V$2:$V$1001,MATCH(ROWS($U$2:U182),$U$2:$U$1001,0),1)&gt;=100000,INDEX($AB$1005:$AQ$1005,1,MATCH(COLUMNS($AB$1006:AC1006),$AB$1006:$AQ$1006,0))&gt;=100000), " ",IF(INDEX($AB$2:$AQ$1001,MATCH(ROWS($U$2:U182),$U$2:$U$1001,0),MATCH(COLUMNS($AB$1006:AC1006),$AB$1006:$AQ$1006,0)), HYPERLINK("#",""), HYPERLINK(CONCATENATE("#Metadata!", ADDRESS(INDEX($W$2:$W$1001,MATCH(ROWS($U$2:U182),$U$2:$U$1001,0),0), INDEX($AB$1004:$AQ$1004,1,MATCH(COLUMNS($AB$1006:AC1006),$AB$1006:$AQ$1006,0)))),"Fix")))</f>
        <v>0</v>
      </c>
      <c r="D182" s="5">
        <f>IF(OR(INDEX($V$2:$V$1001,MATCH(ROWS($U$2:U182),$U$2:$U$1001,0),1)&gt;=100000,INDEX($AB$1005:$AQ$1005,1,MATCH(COLUMNS($AB$1006:AD1006),$AB$1006:$AQ$1006,0))&gt;=100000), " ",IF(INDEX($AB$2:$AQ$1001,MATCH(ROWS($U$2:U182),$U$2:$U$1001,0),MATCH(COLUMNS($AB$1006:AD1006),$AB$1006:$AQ$1006,0)), HYPERLINK("#",""), HYPERLINK(CONCATENATE("#Metadata!", ADDRESS(INDEX($W$2:$W$1001,MATCH(ROWS($U$2:U182),$U$2:$U$1001,0),0), INDEX($AB$1004:$AQ$1004,1,MATCH(COLUMNS($AB$1006:AD1006),$AB$1006:$AQ$1006,0)))),"Fix")))</f>
        <v>0</v>
      </c>
      <c r="E182" s="5">
        <f>IF(OR(INDEX($V$2:$V$1001,MATCH(ROWS($U$2:U182),$U$2:$U$1001,0),1)&gt;=100000,INDEX($AB$1005:$AQ$1005,1,MATCH(COLUMNS($AB$1006:AE1006),$AB$1006:$AQ$1006,0))&gt;=100000), " ",IF(INDEX($AB$2:$AQ$1001,MATCH(ROWS($U$2:U182),$U$2:$U$1001,0),MATCH(COLUMNS($AB$1006:AE1006),$AB$1006:$AQ$1006,0)), HYPERLINK("#",""), HYPERLINK(CONCATENATE("#Metadata!", ADDRESS(INDEX($W$2:$W$1001,MATCH(ROWS($U$2:U182),$U$2:$U$1001,0),0), INDEX($AB$1004:$AQ$1004,1,MATCH(COLUMNS($AB$1006:AE1006),$AB$1006:$AQ$1006,0)))),"Fix")))</f>
        <v>0</v>
      </c>
      <c r="F182" s="5">
        <f>IF(OR(INDEX($V$2:$V$1001,MATCH(ROWS($U$2:U182),$U$2:$U$1001,0),1)&gt;=100000,INDEX($AB$1005:$AQ$1005,1,MATCH(COLUMNS($AB$1006:AF1006),$AB$1006:$AQ$1006,0))&gt;=100000), " ",IF(INDEX($AB$2:$AQ$1001,MATCH(ROWS($U$2:U182),$U$2:$U$1001,0),MATCH(COLUMNS($AB$1006:AF1006),$AB$1006:$AQ$1006,0)), HYPERLINK("#",""), HYPERLINK(CONCATENATE("#Metadata!", ADDRESS(INDEX($W$2:$W$1001,MATCH(ROWS($U$2:U182),$U$2:$U$1001,0),0), INDEX($AB$1004:$AQ$1004,1,MATCH(COLUMNS($AB$1006:AF1006),$AB$1006:$AQ$1006,0)))),"Fix")))</f>
        <v>0</v>
      </c>
      <c r="G182" s="5">
        <f>IF(OR(INDEX($V$2:$V$1001,MATCH(ROWS($U$2:U182),$U$2:$U$1001,0),1)&gt;=100000,INDEX($AB$1005:$AQ$1005,1,MATCH(COLUMNS($AB$1006:AG1006),$AB$1006:$AQ$1006,0))&gt;=100000), " ",IF(INDEX($AB$2:$AQ$1001,MATCH(ROWS($U$2:U182),$U$2:$U$1001,0),MATCH(COLUMNS($AB$1006:AG1006),$AB$1006:$AQ$1006,0)), HYPERLINK("#",""), HYPERLINK(CONCATENATE("#Metadata!", ADDRESS(INDEX($W$2:$W$1001,MATCH(ROWS($U$2:U182),$U$2:$U$1001,0),0), INDEX($AB$1004:$AQ$1004,1,MATCH(COLUMNS($AB$1006:AG1006),$AB$1006:$AQ$1006,0)))),"Fix")))</f>
        <v>0</v>
      </c>
      <c r="H182" s="5">
        <f>IF(OR(INDEX($V$2:$V$1001,MATCH(ROWS($U$2:U182),$U$2:$U$1001,0),1)&gt;=100000,INDEX($AB$1005:$AQ$1005,1,MATCH(COLUMNS($AB$1006:AH1006),$AB$1006:$AQ$1006,0))&gt;=100000), " ",IF(INDEX($AB$2:$AQ$1001,MATCH(ROWS($U$2:U182),$U$2:$U$1001,0),MATCH(COLUMNS($AB$1006:AH1006),$AB$1006:$AQ$1006,0)), HYPERLINK("#",""), HYPERLINK(CONCATENATE("#Metadata!", ADDRESS(INDEX($W$2:$W$1001,MATCH(ROWS($U$2:U182),$U$2:$U$1001,0),0), INDEX($AB$1004:$AQ$1004,1,MATCH(COLUMNS($AB$1006:AH1006),$AB$1006:$AQ$1006,0)))),"Fix")))</f>
        <v>0</v>
      </c>
      <c r="I182" s="5">
        <f>IF(OR(INDEX($V$2:$V$1001,MATCH(ROWS($U$2:U182),$U$2:$U$1001,0),1)&gt;=100000,INDEX($AB$1005:$AQ$1005,1,MATCH(COLUMNS($AB$1006:AI1006),$AB$1006:$AQ$1006,0))&gt;=100000), " ",IF(INDEX($AB$2:$AQ$1001,MATCH(ROWS($U$2:U182),$U$2:$U$1001,0),MATCH(COLUMNS($AB$1006:AI1006),$AB$1006:$AQ$1006,0)), HYPERLINK("#",""), HYPERLINK(CONCATENATE("#Metadata!", ADDRESS(INDEX($W$2:$W$1001,MATCH(ROWS($U$2:U182),$U$2:$U$1001,0),0), INDEX($AB$1004:$AQ$1004,1,MATCH(COLUMNS($AB$1006:AI1006),$AB$1006:$AQ$1006,0)))),"Fix")))</f>
        <v>0</v>
      </c>
      <c r="J182" s="5">
        <f>IF(OR(INDEX($V$2:$V$1001,MATCH(ROWS($U$2:U182),$U$2:$U$1001,0),1)&gt;=100000,INDEX($AB$1005:$AQ$1005,1,MATCH(COLUMNS($AB$1006:AJ1006),$AB$1006:$AQ$1006,0))&gt;=100000), " ",IF(INDEX($AB$2:$AQ$1001,MATCH(ROWS($U$2:U182),$U$2:$U$1001,0),MATCH(COLUMNS($AB$1006:AJ1006),$AB$1006:$AQ$1006,0)), HYPERLINK("#",""), HYPERLINK(CONCATENATE("#Metadata!", ADDRESS(INDEX($W$2:$W$1001,MATCH(ROWS($U$2:U182),$U$2:$U$1001,0),0), INDEX($AB$1004:$AQ$1004,1,MATCH(COLUMNS($AB$1006:AJ1006),$AB$1006:$AQ$1006,0)))),"Fix")))</f>
        <v>0</v>
      </c>
      <c r="K182" s="5">
        <f>IF(OR(INDEX($V$2:$V$1001,MATCH(ROWS($U$2:U182),$U$2:$U$1001,0),1)&gt;=100000,INDEX($AB$1005:$AQ$1005,1,MATCH(COLUMNS($AB$1006:AK1006),$AB$1006:$AQ$1006,0))&gt;=100000), " ",IF(INDEX($AB$2:$AQ$1001,MATCH(ROWS($U$2:U182),$U$2:$U$1001,0),MATCH(COLUMNS($AB$1006:AK1006),$AB$1006:$AQ$1006,0)), HYPERLINK("#",""), HYPERLINK(CONCATENATE("#Metadata!", ADDRESS(INDEX($W$2:$W$1001,MATCH(ROWS($U$2:U182),$U$2:$U$1001,0),0), INDEX($AB$1004:$AQ$1004,1,MATCH(COLUMNS($AB$1006:AK1006),$AB$1006:$AQ$1006,0)))),"Fix")))</f>
        <v>0</v>
      </c>
      <c r="L182" s="5">
        <f>IF(OR(INDEX($V$2:$V$1001,MATCH(ROWS($U$2:U182),$U$2:$U$1001,0),1)&gt;=100000,INDEX($AB$1005:$AQ$1005,1,MATCH(COLUMNS($AB$1006:AL1006),$AB$1006:$AQ$1006,0))&gt;=100000), " ",IF(INDEX($AB$2:$AQ$1001,MATCH(ROWS($U$2:U182),$U$2:$U$1001,0),MATCH(COLUMNS($AB$1006:AL1006),$AB$1006:$AQ$1006,0)), HYPERLINK("#",""), HYPERLINK(CONCATENATE("#Metadata!", ADDRESS(INDEX($W$2:$W$1001,MATCH(ROWS($U$2:U182),$U$2:$U$1001,0),0), INDEX($AB$1004:$AQ$1004,1,MATCH(COLUMNS($AB$1006:AL1006),$AB$1006:$AQ$1006,0)))),"Fix")))</f>
        <v>0</v>
      </c>
      <c r="M182" s="5">
        <f>IF(OR(INDEX($V$2:$V$1001,MATCH(ROWS($U$2:U182),$U$2:$U$1001,0),1)&gt;=100000,INDEX($AB$1005:$AQ$1005,1,MATCH(COLUMNS($AB$1006:AM1006),$AB$1006:$AQ$1006,0))&gt;=100000), " ",IF(INDEX($AB$2:$AQ$1001,MATCH(ROWS($U$2:U182),$U$2:$U$1001,0),MATCH(COLUMNS($AB$1006:AM1006),$AB$1006:$AQ$1006,0)), HYPERLINK("#",""), HYPERLINK(CONCATENATE("#Metadata!", ADDRESS(INDEX($W$2:$W$1001,MATCH(ROWS($U$2:U182),$U$2:$U$1001,0),0), INDEX($AB$1004:$AQ$1004,1,MATCH(COLUMNS($AB$1006:AM1006),$AB$1006:$AQ$1006,0)))),"Fix")))</f>
        <v>0</v>
      </c>
      <c r="N182" s="5">
        <f>IF(OR(INDEX($V$2:$V$1001,MATCH(ROWS($U$2:U182),$U$2:$U$1001,0),1)&gt;=100000,INDEX($AB$1005:$AQ$1005,1,MATCH(COLUMNS($AB$1006:AN1006),$AB$1006:$AQ$1006,0))&gt;=100000), " ",IF(INDEX($AB$2:$AQ$1001,MATCH(ROWS($U$2:U182),$U$2:$U$1001,0),MATCH(COLUMNS($AB$1006:AN1006),$AB$1006:$AQ$1006,0)), HYPERLINK("#",""), HYPERLINK(CONCATENATE("#Metadata!", ADDRESS(INDEX($W$2:$W$1001,MATCH(ROWS($U$2:U182),$U$2:$U$1001,0),0), INDEX($AB$1004:$AQ$1004,1,MATCH(COLUMNS($AB$1006:AN1006),$AB$1006:$AQ$1006,0)))),"Fix")))</f>
        <v>0</v>
      </c>
      <c r="O182" s="5">
        <f>IF(OR(INDEX($V$2:$V$1001,MATCH(ROWS($U$2:U182),$U$2:$U$1001,0),1)&gt;=100000,INDEX($AB$1005:$AQ$1005,1,MATCH(COLUMNS($AB$1006:AO1006),$AB$1006:$AQ$1006,0))&gt;=100000), " ",IF(INDEX($AB$2:$AQ$1001,MATCH(ROWS($U$2:U182),$U$2:$U$1001,0),MATCH(COLUMNS($AB$1006:AO1006),$AB$1006:$AQ$1006,0)), HYPERLINK("#",""), HYPERLINK(CONCATENATE("#Metadata!", ADDRESS(INDEX($W$2:$W$1001,MATCH(ROWS($U$2:U182),$U$2:$U$1001,0),0), INDEX($AB$1004:$AQ$1004,1,MATCH(COLUMNS($AB$1006:AO1006),$AB$1006:$AQ$1006,0)))),"Fix")))</f>
        <v>0</v>
      </c>
      <c r="P182" s="5">
        <f>IF(OR(INDEX($V$2:$V$1001,MATCH(ROWS($U$2:U182),$U$2:$U$1001,0),1)&gt;=100000,INDEX($AB$1005:$AQ$1005,1,MATCH(COLUMNS($AB$1006:AP1006),$AB$1006:$AQ$1006,0))&gt;=100000), " ",IF(INDEX($AB$2:$AQ$1001,MATCH(ROWS($U$2:U182),$U$2:$U$1001,0),MATCH(COLUMNS($AB$1006:AP1006),$AB$1006:$AQ$1006,0)), HYPERLINK("#",""), HYPERLINK(CONCATENATE("#Metadata!", ADDRESS(INDEX($W$2:$W$1001,MATCH(ROWS($U$2:U182),$U$2:$U$1001,0),0), INDEX($AB$1004:$AQ$1004,1,MATCH(COLUMNS($AB$1006:AP1006),$AB$1006:$AQ$1006,0)))),"Fix")))</f>
        <v>0</v>
      </c>
      <c r="Q182" s="5">
        <f>IF(OR(INDEX($V$2:$V$1001,MATCH(ROWS($U$2:U182),$U$2:$U$1001,0),1)&gt;=100000,INDEX($AB$1005:$AQ$1005,1,MATCH(COLUMNS($AB$1006:AQ1006),$AB$1006:$AQ$1006,0))&gt;=100000), " ",IF(INDEX($AB$2:$AQ$1001,MATCH(ROWS($U$2:U182),$U$2:$U$1001,0),MATCH(COLUMNS($AB$1006:AQ1006),$AB$1006:$AQ$1006,0)), HYPERLINK("#",""), HYPERLINK(CONCATENATE("#Metadata!", ADDRESS(INDEX($W$2:$W$1001,MATCH(ROWS($U$2:U182),$U$2:$U$1001,0),0), INDEX($AB$1004:$AQ$1004,1,MATCH(COLUMNS($AB$1006:AQ1006),$AB$1006:$AQ$1006,0)))),"Fix")))</f>
        <v>0</v>
      </c>
      <c r="U182">
        <v>0</v>
      </c>
      <c r="V182">
        <v>0</v>
      </c>
      <c r="W182">
        <v>0</v>
      </c>
      <c r="X182">
        <f>IF(Y182,TRUE,AND(AB182:AQ182))</f>
        <v>0</v>
      </c>
      <c r="Y182">
        <f>COUNTBLANK(Metadata!B182:Q182)=COLUMNS(Metadata!B182:Q182)</f>
        <v>0</v>
      </c>
      <c r="Z182">
        <v>0</v>
      </c>
      <c r="AB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AC182">
        <f>AND(IF(Metadata!C182="",FALSE,TRUE),exact(Metadata!C182,"urban biome"))</f>
        <v>0</v>
      </c>
      <c r="AD182">
        <f>AND(IF(Metadata!D182="",FALSE,TRUE),exact(Metadata!D182,"human-associated habitat"))</f>
        <v>0</v>
      </c>
      <c r="AE182">
        <f>AND(IF(Metadata!E182="",FALSE,TRUE),OR(exact(Metadata!E182,"human-associated"),exact(Metadata!E182,"human-skin"),exact(Metadata!E182,"human-oral"),exact(Metadata!E182,"human-gut"),exact(Metadata!E182,"human-vaginal")))</f>
        <v>0</v>
      </c>
      <c r="AF182">
        <f>AND(IF(Metadata!F182="",FALSE,ISNUMBER(VALUE(Metadata!F182))),Metadata!F182&gt;0)</f>
        <v>0</v>
      </c>
      <c r="AG182">
        <f>AND(IF(Metadata!G182="",FALSE,TRUE),exact(Metadata!G182,"years"))</f>
        <v>0</v>
      </c>
      <c r="AH182">
        <f>OR(AND(IF(Metadata!H182="",FALSE,TRUE),OR(exact(Metadata!H182,"not applicable"),exact(Metadata!H182,"not collected"),exact(Metadata!H182,"not provided"),exact(Metadata!H182,"restricted access"))),AND(IF(Metadata!H182="",FALSE,ISNUMBER(VALUE(Metadata!H182))),Metadata!H182&gt;0))</f>
        <v>0</v>
      </c>
      <c r="AI182">
        <f>AND(IF(Metadata!I182="",FALSE,TRUE),exact(Metadata!I182,"human"))</f>
        <v>0</v>
      </c>
      <c r="AJ182">
        <f>AND(IF(Metadata!J182="",FALSE,ISNUMBER(VALUE(Metadata!J182))),Metadata!J182&gt;0)</f>
        <v>0</v>
      </c>
      <c r="AK182">
        <f>AND(IF(Metadata!K182="",FALSE,TRUE),exact(Metadata!K182,"cm"))</f>
        <v>0</v>
      </c>
      <c r="AL182">
        <f>AND(IF(Metadata!L182="",FALSE,TRUE),exact(Metadata!L182,"Homo sapiens"))</f>
        <v>0</v>
      </c>
      <c r="AM182">
        <f>AND(IF(Metadata!M182="",FALSE,TRUE),exact(Metadata!M182,"9606"))</f>
        <v>0</v>
      </c>
      <c r="AN182">
        <f>AND(IF(Metadata!N182="",FALSE,ISNUMBER(VALUE(Metadata!N182))),Metadata!N182&gt;0)</f>
        <v>0</v>
      </c>
      <c r="AO182">
        <f>AND(IF(Metadata!O182="",FALSE,TRUE),exact(Metadata!O182,"kg"))</f>
        <v>0</v>
      </c>
      <c r="AP182">
        <f>OR(AND(IF(Metadata!P182="",FALSE,TRUE),exact(Metadata!P182,"not provided")),IF(Metadata!P182="",FALSE,TRUE))</f>
        <v>0</v>
      </c>
      <c r="AQ182">
        <f>OR(AND(IF(Metadata!Q182="",FALSE,TRUE),exact(Metadata!Q182,"not provided")),IF(Metadata!Q182="",FALSE,TRUE))</f>
        <v>0</v>
      </c>
    </row>
    <row r="183" spans="1:43">
      <c r="A183" s="4">
        <f>IF(B183=" "," ",HYPERLINK(CONCATENATE("#metadata!",ADDRESS(INDEX($W$2:$W$1001,MATCH(ROWS($U$2:U183),$U$2:$U$1001,0),0),2)),INDEX($Z$2:$Z$1001,MATCH(ROWS($U$2:U183),$U$2:$U$1001,0),0)))</f>
        <v>0</v>
      </c>
      <c r="B183" s="5">
        <f>IF(OR(INDEX($V$2:$V$1001,MATCH(ROWS($U$2:U183),$U$2:$U$1001,0),1)&gt;=100000,INDEX($AB$1005:$AQ$1005,1,MATCH(COLUMNS($AB$1006:AB1006),$AB$1006:$AQ$1006,0))&gt;=100000), " ",IF(INDEX($AB$2:$AQ$1001,MATCH(ROWS($U$2:U183),$U$2:$U$1001,0),MATCH(COLUMNS($AB$1006:AB1006),$AB$1006:$AQ$1006,0)), HYPERLINK("#",""), HYPERLINK(CONCATENATE("#Metadata!", ADDRESS(INDEX($W$2:$W$1001,MATCH(ROWS($U$2:U183),$U$2:$U$1001,0),0), INDEX($AB$1004:$AQ$1004,1,MATCH(COLUMNS($AB$1006:AB1006),$AB$1006:$AQ$1006,0)))),"Fix")))</f>
        <v>0</v>
      </c>
      <c r="C183" s="5">
        <f>IF(OR(INDEX($V$2:$V$1001,MATCH(ROWS($U$2:U183),$U$2:$U$1001,0),1)&gt;=100000,INDEX($AB$1005:$AQ$1005,1,MATCH(COLUMNS($AB$1006:AC1006),$AB$1006:$AQ$1006,0))&gt;=100000), " ",IF(INDEX($AB$2:$AQ$1001,MATCH(ROWS($U$2:U183),$U$2:$U$1001,0),MATCH(COLUMNS($AB$1006:AC1006),$AB$1006:$AQ$1006,0)), HYPERLINK("#",""), HYPERLINK(CONCATENATE("#Metadata!", ADDRESS(INDEX($W$2:$W$1001,MATCH(ROWS($U$2:U183),$U$2:$U$1001,0),0), INDEX($AB$1004:$AQ$1004,1,MATCH(COLUMNS($AB$1006:AC1006),$AB$1006:$AQ$1006,0)))),"Fix")))</f>
        <v>0</v>
      </c>
      <c r="D183" s="5">
        <f>IF(OR(INDEX($V$2:$V$1001,MATCH(ROWS($U$2:U183),$U$2:$U$1001,0),1)&gt;=100000,INDEX($AB$1005:$AQ$1005,1,MATCH(COLUMNS($AB$1006:AD1006),$AB$1006:$AQ$1006,0))&gt;=100000), " ",IF(INDEX($AB$2:$AQ$1001,MATCH(ROWS($U$2:U183),$U$2:$U$1001,0),MATCH(COLUMNS($AB$1006:AD1006),$AB$1006:$AQ$1006,0)), HYPERLINK("#",""), HYPERLINK(CONCATENATE("#Metadata!", ADDRESS(INDEX($W$2:$W$1001,MATCH(ROWS($U$2:U183),$U$2:$U$1001,0),0), INDEX($AB$1004:$AQ$1004,1,MATCH(COLUMNS($AB$1006:AD1006),$AB$1006:$AQ$1006,0)))),"Fix")))</f>
        <v>0</v>
      </c>
      <c r="E183" s="5">
        <f>IF(OR(INDEX($V$2:$V$1001,MATCH(ROWS($U$2:U183),$U$2:$U$1001,0),1)&gt;=100000,INDEX($AB$1005:$AQ$1005,1,MATCH(COLUMNS($AB$1006:AE1006),$AB$1006:$AQ$1006,0))&gt;=100000), " ",IF(INDEX($AB$2:$AQ$1001,MATCH(ROWS($U$2:U183),$U$2:$U$1001,0),MATCH(COLUMNS($AB$1006:AE1006),$AB$1006:$AQ$1006,0)), HYPERLINK("#",""), HYPERLINK(CONCATENATE("#Metadata!", ADDRESS(INDEX($W$2:$W$1001,MATCH(ROWS($U$2:U183),$U$2:$U$1001,0),0), INDEX($AB$1004:$AQ$1004,1,MATCH(COLUMNS($AB$1006:AE1006),$AB$1006:$AQ$1006,0)))),"Fix")))</f>
        <v>0</v>
      </c>
      <c r="F183" s="5">
        <f>IF(OR(INDEX($V$2:$V$1001,MATCH(ROWS($U$2:U183),$U$2:$U$1001,0),1)&gt;=100000,INDEX($AB$1005:$AQ$1005,1,MATCH(COLUMNS($AB$1006:AF1006),$AB$1006:$AQ$1006,0))&gt;=100000), " ",IF(INDEX($AB$2:$AQ$1001,MATCH(ROWS($U$2:U183),$U$2:$U$1001,0),MATCH(COLUMNS($AB$1006:AF1006),$AB$1006:$AQ$1006,0)), HYPERLINK("#",""), HYPERLINK(CONCATENATE("#Metadata!", ADDRESS(INDEX($W$2:$W$1001,MATCH(ROWS($U$2:U183),$U$2:$U$1001,0),0), INDEX($AB$1004:$AQ$1004,1,MATCH(COLUMNS($AB$1006:AF1006),$AB$1006:$AQ$1006,0)))),"Fix")))</f>
        <v>0</v>
      </c>
      <c r="G183" s="5">
        <f>IF(OR(INDEX($V$2:$V$1001,MATCH(ROWS($U$2:U183),$U$2:$U$1001,0),1)&gt;=100000,INDEX($AB$1005:$AQ$1005,1,MATCH(COLUMNS($AB$1006:AG1006),$AB$1006:$AQ$1006,0))&gt;=100000), " ",IF(INDEX($AB$2:$AQ$1001,MATCH(ROWS($U$2:U183),$U$2:$U$1001,0),MATCH(COLUMNS($AB$1006:AG1006),$AB$1006:$AQ$1006,0)), HYPERLINK("#",""), HYPERLINK(CONCATENATE("#Metadata!", ADDRESS(INDEX($W$2:$W$1001,MATCH(ROWS($U$2:U183),$U$2:$U$1001,0),0), INDEX($AB$1004:$AQ$1004,1,MATCH(COLUMNS($AB$1006:AG1006),$AB$1006:$AQ$1006,0)))),"Fix")))</f>
        <v>0</v>
      </c>
      <c r="H183" s="5">
        <f>IF(OR(INDEX($V$2:$V$1001,MATCH(ROWS($U$2:U183),$U$2:$U$1001,0),1)&gt;=100000,INDEX($AB$1005:$AQ$1005,1,MATCH(COLUMNS($AB$1006:AH1006),$AB$1006:$AQ$1006,0))&gt;=100000), " ",IF(INDEX($AB$2:$AQ$1001,MATCH(ROWS($U$2:U183),$U$2:$U$1001,0),MATCH(COLUMNS($AB$1006:AH1006),$AB$1006:$AQ$1006,0)), HYPERLINK("#",""), HYPERLINK(CONCATENATE("#Metadata!", ADDRESS(INDEX($W$2:$W$1001,MATCH(ROWS($U$2:U183),$U$2:$U$1001,0),0), INDEX($AB$1004:$AQ$1004,1,MATCH(COLUMNS($AB$1006:AH1006),$AB$1006:$AQ$1006,0)))),"Fix")))</f>
        <v>0</v>
      </c>
      <c r="I183" s="5">
        <f>IF(OR(INDEX($V$2:$V$1001,MATCH(ROWS($U$2:U183),$U$2:$U$1001,0),1)&gt;=100000,INDEX($AB$1005:$AQ$1005,1,MATCH(COLUMNS($AB$1006:AI1006),$AB$1006:$AQ$1006,0))&gt;=100000), " ",IF(INDEX($AB$2:$AQ$1001,MATCH(ROWS($U$2:U183),$U$2:$U$1001,0),MATCH(COLUMNS($AB$1006:AI1006),$AB$1006:$AQ$1006,0)), HYPERLINK("#",""), HYPERLINK(CONCATENATE("#Metadata!", ADDRESS(INDEX($W$2:$W$1001,MATCH(ROWS($U$2:U183),$U$2:$U$1001,0),0), INDEX($AB$1004:$AQ$1004,1,MATCH(COLUMNS($AB$1006:AI1006),$AB$1006:$AQ$1006,0)))),"Fix")))</f>
        <v>0</v>
      </c>
      <c r="J183" s="5">
        <f>IF(OR(INDEX($V$2:$V$1001,MATCH(ROWS($U$2:U183),$U$2:$U$1001,0),1)&gt;=100000,INDEX($AB$1005:$AQ$1005,1,MATCH(COLUMNS($AB$1006:AJ1006),$AB$1006:$AQ$1006,0))&gt;=100000), " ",IF(INDEX($AB$2:$AQ$1001,MATCH(ROWS($U$2:U183),$U$2:$U$1001,0),MATCH(COLUMNS($AB$1006:AJ1006),$AB$1006:$AQ$1006,0)), HYPERLINK("#",""), HYPERLINK(CONCATENATE("#Metadata!", ADDRESS(INDEX($W$2:$W$1001,MATCH(ROWS($U$2:U183),$U$2:$U$1001,0),0), INDEX($AB$1004:$AQ$1004,1,MATCH(COLUMNS($AB$1006:AJ1006),$AB$1006:$AQ$1006,0)))),"Fix")))</f>
        <v>0</v>
      </c>
      <c r="K183" s="5">
        <f>IF(OR(INDEX($V$2:$V$1001,MATCH(ROWS($U$2:U183),$U$2:$U$1001,0),1)&gt;=100000,INDEX($AB$1005:$AQ$1005,1,MATCH(COLUMNS($AB$1006:AK1006),$AB$1006:$AQ$1006,0))&gt;=100000), " ",IF(INDEX($AB$2:$AQ$1001,MATCH(ROWS($U$2:U183),$U$2:$U$1001,0),MATCH(COLUMNS($AB$1006:AK1006),$AB$1006:$AQ$1006,0)), HYPERLINK("#",""), HYPERLINK(CONCATENATE("#Metadata!", ADDRESS(INDEX($W$2:$W$1001,MATCH(ROWS($U$2:U183),$U$2:$U$1001,0),0), INDEX($AB$1004:$AQ$1004,1,MATCH(COLUMNS($AB$1006:AK1006),$AB$1006:$AQ$1006,0)))),"Fix")))</f>
        <v>0</v>
      </c>
      <c r="L183" s="5">
        <f>IF(OR(INDEX($V$2:$V$1001,MATCH(ROWS($U$2:U183),$U$2:$U$1001,0),1)&gt;=100000,INDEX($AB$1005:$AQ$1005,1,MATCH(COLUMNS($AB$1006:AL1006),$AB$1006:$AQ$1006,0))&gt;=100000), " ",IF(INDEX($AB$2:$AQ$1001,MATCH(ROWS($U$2:U183),$U$2:$U$1001,0),MATCH(COLUMNS($AB$1006:AL1006),$AB$1006:$AQ$1006,0)), HYPERLINK("#",""), HYPERLINK(CONCATENATE("#Metadata!", ADDRESS(INDEX($W$2:$W$1001,MATCH(ROWS($U$2:U183),$U$2:$U$1001,0),0), INDEX($AB$1004:$AQ$1004,1,MATCH(COLUMNS($AB$1006:AL1006),$AB$1006:$AQ$1006,0)))),"Fix")))</f>
        <v>0</v>
      </c>
      <c r="M183" s="5">
        <f>IF(OR(INDEX($V$2:$V$1001,MATCH(ROWS($U$2:U183),$U$2:$U$1001,0),1)&gt;=100000,INDEX($AB$1005:$AQ$1005,1,MATCH(COLUMNS($AB$1006:AM1006),$AB$1006:$AQ$1006,0))&gt;=100000), " ",IF(INDEX($AB$2:$AQ$1001,MATCH(ROWS($U$2:U183),$U$2:$U$1001,0),MATCH(COLUMNS($AB$1006:AM1006),$AB$1006:$AQ$1006,0)), HYPERLINK("#",""), HYPERLINK(CONCATENATE("#Metadata!", ADDRESS(INDEX($W$2:$W$1001,MATCH(ROWS($U$2:U183),$U$2:$U$1001,0),0), INDEX($AB$1004:$AQ$1004,1,MATCH(COLUMNS($AB$1006:AM1006),$AB$1006:$AQ$1006,0)))),"Fix")))</f>
        <v>0</v>
      </c>
      <c r="N183" s="5">
        <f>IF(OR(INDEX($V$2:$V$1001,MATCH(ROWS($U$2:U183),$U$2:$U$1001,0),1)&gt;=100000,INDEX($AB$1005:$AQ$1005,1,MATCH(COLUMNS($AB$1006:AN1006),$AB$1006:$AQ$1006,0))&gt;=100000), " ",IF(INDEX($AB$2:$AQ$1001,MATCH(ROWS($U$2:U183),$U$2:$U$1001,0),MATCH(COLUMNS($AB$1006:AN1006),$AB$1006:$AQ$1006,0)), HYPERLINK("#",""), HYPERLINK(CONCATENATE("#Metadata!", ADDRESS(INDEX($W$2:$W$1001,MATCH(ROWS($U$2:U183),$U$2:$U$1001,0),0), INDEX($AB$1004:$AQ$1004,1,MATCH(COLUMNS($AB$1006:AN1006),$AB$1006:$AQ$1006,0)))),"Fix")))</f>
        <v>0</v>
      </c>
      <c r="O183" s="5">
        <f>IF(OR(INDEX($V$2:$V$1001,MATCH(ROWS($U$2:U183),$U$2:$U$1001,0),1)&gt;=100000,INDEX($AB$1005:$AQ$1005,1,MATCH(COLUMNS($AB$1006:AO1006),$AB$1006:$AQ$1006,0))&gt;=100000), " ",IF(INDEX($AB$2:$AQ$1001,MATCH(ROWS($U$2:U183),$U$2:$U$1001,0),MATCH(COLUMNS($AB$1006:AO1006),$AB$1006:$AQ$1006,0)), HYPERLINK("#",""), HYPERLINK(CONCATENATE("#Metadata!", ADDRESS(INDEX($W$2:$W$1001,MATCH(ROWS($U$2:U183),$U$2:$U$1001,0),0), INDEX($AB$1004:$AQ$1004,1,MATCH(COLUMNS($AB$1006:AO1006),$AB$1006:$AQ$1006,0)))),"Fix")))</f>
        <v>0</v>
      </c>
      <c r="P183" s="5">
        <f>IF(OR(INDEX($V$2:$V$1001,MATCH(ROWS($U$2:U183),$U$2:$U$1001,0),1)&gt;=100000,INDEX($AB$1005:$AQ$1005,1,MATCH(COLUMNS($AB$1006:AP1006),$AB$1006:$AQ$1006,0))&gt;=100000), " ",IF(INDEX($AB$2:$AQ$1001,MATCH(ROWS($U$2:U183),$U$2:$U$1001,0),MATCH(COLUMNS($AB$1006:AP1006),$AB$1006:$AQ$1006,0)), HYPERLINK("#",""), HYPERLINK(CONCATENATE("#Metadata!", ADDRESS(INDEX($W$2:$W$1001,MATCH(ROWS($U$2:U183),$U$2:$U$1001,0),0), INDEX($AB$1004:$AQ$1004,1,MATCH(COLUMNS($AB$1006:AP1006),$AB$1006:$AQ$1006,0)))),"Fix")))</f>
        <v>0</v>
      </c>
      <c r="Q183" s="5">
        <f>IF(OR(INDEX($V$2:$V$1001,MATCH(ROWS($U$2:U183),$U$2:$U$1001,0),1)&gt;=100000,INDEX($AB$1005:$AQ$1005,1,MATCH(COLUMNS($AB$1006:AQ1006),$AB$1006:$AQ$1006,0))&gt;=100000), " ",IF(INDEX($AB$2:$AQ$1001,MATCH(ROWS($U$2:U183),$U$2:$U$1001,0),MATCH(COLUMNS($AB$1006:AQ1006),$AB$1006:$AQ$1006,0)), HYPERLINK("#",""), HYPERLINK(CONCATENATE("#Metadata!", ADDRESS(INDEX($W$2:$W$1001,MATCH(ROWS($U$2:U183),$U$2:$U$1001,0),0), INDEX($AB$1004:$AQ$1004,1,MATCH(COLUMNS($AB$1006:AQ1006),$AB$1006:$AQ$1006,0)))),"Fix")))</f>
        <v>0</v>
      </c>
      <c r="U183">
        <v>0</v>
      </c>
      <c r="V183">
        <v>0</v>
      </c>
      <c r="W183">
        <v>0</v>
      </c>
      <c r="X183">
        <f>IF(Y183,TRUE,AND(AB183:AQ183))</f>
        <v>0</v>
      </c>
      <c r="Y183">
        <f>COUNTBLANK(Metadata!B183:Q183)=COLUMNS(Metadata!B183:Q183)</f>
        <v>0</v>
      </c>
      <c r="Z183">
        <v>0</v>
      </c>
      <c r="AB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AC183">
        <f>AND(IF(Metadata!C183="",FALSE,TRUE),exact(Metadata!C183,"urban biome"))</f>
        <v>0</v>
      </c>
      <c r="AD183">
        <f>AND(IF(Metadata!D183="",FALSE,TRUE),exact(Metadata!D183,"human-associated habitat"))</f>
        <v>0</v>
      </c>
      <c r="AE183">
        <f>AND(IF(Metadata!E183="",FALSE,TRUE),OR(exact(Metadata!E183,"human-associated"),exact(Metadata!E183,"human-skin"),exact(Metadata!E183,"human-oral"),exact(Metadata!E183,"human-gut"),exact(Metadata!E183,"human-vaginal")))</f>
        <v>0</v>
      </c>
      <c r="AF183">
        <f>AND(IF(Metadata!F183="",FALSE,ISNUMBER(VALUE(Metadata!F183))),Metadata!F183&gt;0)</f>
        <v>0</v>
      </c>
      <c r="AG183">
        <f>AND(IF(Metadata!G183="",FALSE,TRUE),exact(Metadata!G183,"years"))</f>
        <v>0</v>
      </c>
      <c r="AH183">
        <f>OR(AND(IF(Metadata!H183="",FALSE,TRUE),OR(exact(Metadata!H183,"not applicable"),exact(Metadata!H183,"not collected"),exact(Metadata!H183,"not provided"),exact(Metadata!H183,"restricted access"))),AND(IF(Metadata!H183="",FALSE,ISNUMBER(VALUE(Metadata!H183))),Metadata!H183&gt;0))</f>
        <v>0</v>
      </c>
      <c r="AI183">
        <f>AND(IF(Metadata!I183="",FALSE,TRUE),exact(Metadata!I183,"human"))</f>
        <v>0</v>
      </c>
      <c r="AJ183">
        <f>AND(IF(Metadata!J183="",FALSE,ISNUMBER(VALUE(Metadata!J183))),Metadata!J183&gt;0)</f>
        <v>0</v>
      </c>
      <c r="AK183">
        <f>AND(IF(Metadata!K183="",FALSE,TRUE),exact(Metadata!K183,"cm"))</f>
        <v>0</v>
      </c>
      <c r="AL183">
        <f>AND(IF(Metadata!L183="",FALSE,TRUE),exact(Metadata!L183,"Homo sapiens"))</f>
        <v>0</v>
      </c>
      <c r="AM183">
        <f>AND(IF(Metadata!M183="",FALSE,TRUE),exact(Metadata!M183,"9606"))</f>
        <v>0</v>
      </c>
      <c r="AN183">
        <f>AND(IF(Metadata!N183="",FALSE,ISNUMBER(VALUE(Metadata!N183))),Metadata!N183&gt;0)</f>
        <v>0</v>
      </c>
      <c r="AO183">
        <f>AND(IF(Metadata!O183="",FALSE,TRUE),exact(Metadata!O183,"kg"))</f>
        <v>0</v>
      </c>
      <c r="AP183">
        <f>OR(AND(IF(Metadata!P183="",FALSE,TRUE),exact(Metadata!P183,"not provided")),IF(Metadata!P183="",FALSE,TRUE))</f>
        <v>0</v>
      </c>
      <c r="AQ183">
        <f>OR(AND(IF(Metadata!Q183="",FALSE,TRUE),exact(Metadata!Q183,"not provided")),IF(Metadata!Q183="",FALSE,TRUE))</f>
        <v>0</v>
      </c>
    </row>
    <row r="184" spans="1:43">
      <c r="A184" s="4">
        <f>IF(B184=" "," ",HYPERLINK(CONCATENATE("#metadata!",ADDRESS(INDEX($W$2:$W$1001,MATCH(ROWS($U$2:U184),$U$2:$U$1001,0),0),2)),INDEX($Z$2:$Z$1001,MATCH(ROWS($U$2:U184),$U$2:$U$1001,0),0)))</f>
        <v>0</v>
      </c>
      <c r="B184" s="5">
        <f>IF(OR(INDEX($V$2:$V$1001,MATCH(ROWS($U$2:U184),$U$2:$U$1001,0),1)&gt;=100000,INDEX($AB$1005:$AQ$1005,1,MATCH(COLUMNS($AB$1006:AB1006),$AB$1006:$AQ$1006,0))&gt;=100000), " ",IF(INDEX($AB$2:$AQ$1001,MATCH(ROWS($U$2:U184),$U$2:$U$1001,0),MATCH(COLUMNS($AB$1006:AB1006),$AB$1006:$AQ$1006,0)), HYPERLINK("#",""), HYPERLINK(CONCATENATE("#Metadata!", ADDRESS(INDEX($W$2:$W$1001,MATCH(ROWS($U$2:U184),$U$2:$U$1001,0),0), INDEX($AB$1004:$AQ$1004,1,MATCH(COLUMNS($AB$1006:AB1006),$AB$1006:$AQ$1006,0)))),"Fix")))</f>
        <v>0</v>
      </c>
      <c r="C184" s="5">
        <f>IF(OR(INDEX($V$2:$V$1001,MATCH(ROWS($U$2:U184),$U$2:$U$1001,0),1)&gt;=100000,INDEX($AB$1005:$AQ$1005,1,MATCH(COLUMNS($AB$1006:AC1006),$AB$1006:$AQ$1006,0))&gt;=100000), " ",IF(INDEX($AB$2:$AQ$1001,MATCH(ROWS($U$2:U184),$U$2:$U$1001,0),MATCH(COLUMNS($AB$1006:AC1006),$AB$1006:$AQ$1006,0)), HYPERLINK("#",""), HYPERLINK(CONCATENATE("#Metadata!", ADDRESS(INDEX($W$2:$W$1001,MATCH(ROWS($U$2:U184),$U$2:$U$1001,0),0), INDEX($AB$1004:$AQ$1004,1,MATCH(COLUMNS($AB$1006:AC1006),$AB$1006:$AQ$1006,0)))),"Fix")))</f>
        <v>0</v>
      </c>
      <c r="D184" s="5">
        <f>IF(OR(INDEX($V$2:$V$1001,MATCH(ROWS($U$2:U184),$U$2:$U$1001,0),1)&gt;=100000,INDEX($AB$1005:$AQ$1005,1,MATCH(COLUMNS($AB$1006:AD1006),$AB$1006:$AQ$1006,0))&gt;=100000), " ",IF(INDEX($AB$2:$AQ$1001,MATCH(ROWS($U$2:U184),$U$2:$U$1001,0),MATCH(COLUMNS($AB$1006:AD1006),$AB$1006:$AQ$1006,0)), HYPERLINK("#",""), HYPERLINK(CONCATENATE("#Metadata!", ADDRESS(INDEX($W$2:$W$1001,MATCH(ROWS($U$2:U184),$U$2:$U$1001,0),0), INDEX($AB$1004:$AQ$1004,1,MATCH(COLUMNS($AB$1006:AD1006),$AB$1006:$AQ$1006,0)))),"Fix")))</f>
        <v>0</v>
      </c>
      <c r="E184" s="5">
        <f>IF(OR(INDEX($V$2:$V$1001,MATCH(ROWS($U$2:U184),$U$2:$U$1001,0),1)&gt;=100000,INDEX($AB$1005:$AQ$1005,1,MATCH(COLUMNS($AB$1006:AE1006),$AB$1006:$AQ$1006,0))&gt;=100000), " ",IF(INDEX($AB$2:$AQ$1001,MATCH(ROWS($U$2:U184),$U$2:$U$1001,0),MATCH(COLUMNS($AB$1006:AE1006),$AB$1006:$AQ$1006,0)), HYPERLINK("#",""), HYPERLINK(CONCATENATE("#Metadata!", ADDRESS(INDEX($W$2:$W$1001,MATCH(ROWS($U$2:U184),$U$2:$U$1001,0),0), INDEX($AB$1004:$AQ$1004,1,MATCH(COLUMNS($AB$1006:AE1006),$AB$1006:$AQ$1006,0)))),"Fix")))</f>
        <v>0</v>
      </c>
      <c r="F184" s="5">
        <f>IF(OR(INDEX($V$2:$V$1001,MATCH(ROWS($U$2:U184),$U$2:$U$1001,0),1)&gt;=100000,INDEX($AB$1005:$AQ$1005,1,MATCH(COLUMNS($AB$1006:AF1006),$AB$1006:$AQ$1006,0))&gt;=100000), " ",IF(INDEX($AB$2:$AQ$1001,MATCH(ROWS($U$2:U184),$U$2:$U$1001,0),MATCH(COLUMNS($AB$1006:AF1006),$AB$1006:$AQ$1006,0)), HYPERLINK("#",""), HYPERLINK(CONCATENATE("#Metadata!", ADDRESS(INDEX($W$2:$W$1001,MATCH(ROWS($U$2:U184),$U$2:$U$1001,0),0), INDEX($AB$1004:$AQ$1004,1,MATCH(COLUMNS($AB$1006:AF1006),$AB$1006:$AQ$1006,0)))),"Fix")))</f>
        <v>0</v>
      </c>
      <c r="G184" s="5">
        <f>IF(OR(INDEX($V$2:$V$1001,MATCH(ROWS($U$2:U184),$U$2:$U$1001,0),1)&gt;=100000,INDEX($AB$1005:$AQ$1005,1,MATCH(COLUMNS($AB$1006:AG1006),$AB$1006:$AQ$1006,0))&gt;=100000), " ",IF(INDEX($AB$2:$AQ$1001,MATCH(ROWS($U$2:U184),$U$2:$U$1001,0),MATCH(COLUMNS($AB$1006:AG1006),$AB$1006:$AQ$1006,0)), HYPERLINK("#",""), HYPERLINK(CONCATENATE("#Metadata!", ADDRESS(INDEX($W$2:$W$1001,MATCH(ROWS($U$2:U184),$U$2:$U$1001,0),0), INDEX($AB$1004:$AQ$1004,1,MATCH(COLUMNS($AB$1006:AG1006),$AB$1006:$AQ$1006,0)))),"Fix")))</f>
        <v>0</v>
      </c>
      <c r="H184" s="5">
        <f>IF(OR(INDEX($V$2:$V$1001,MATCH(ROWS($U$2:U184),$U$2:$U$1001,0),1)&gt;=100000,INDEX($AB$1005:$AQ$1005,1,MATCH(COLUMNS($AB$1006:AH1006),$AB$1006:$AQ$1006,0))&gt;=100000), " ",IF(INDEX($AB$2:$AQ$1001,MATCH(ROWS($U$2:U184),$U$2:$U$1001,0),MATCH(COLUMNS($AB$1006:AH1006),$AB$1006:$AQ$1006,0)), HYPERLINK("#",""), HYPERLINK(CONCATENATE("#Metadata!", ADDRESS(INDEX($W$2:$W$1001,MATCH(ROWS($U$2:U184),$U$2:$U$1001,0),0), INDEX($AB$1004:$AQ$1004,1,MATCH(COLUMNS($AB$1006:AH1006),$AB$1006:$AQ$1006,0)))),"Fix")))</f>
        <v>0</v>
      </c>
      <c r="I184" s="5">
        <f>IF(OR(INDEX($V$2:$V$1001,MATCH(ROWS($U$2:U184),$U$2:$U$1001,0),1)&gt;=100000,INDEX($AB$1005:$AQ$1005,1,MATCH(COLUMNS($AB$1006:AI1006),$AB$1006:$AQ$1006,0))&gt;=100000), " ",IF(INDEX($AB$2:$AQ$1001,MATCH(ROWS($U$2:U184),$U$2:$U$1001,0),MATCH(COLUMNS($AB$1006:AI1006),$AB$1006:$AQ$1006,0)), HYPERLINK("#",""), HYPERLINK(CONCATENATE("#Metadata!", ADDRESS(INDEX($W$2:$W$1001,MATCH(ROWS($U$2:U184),$U$2:$U$1001,0),0), INDEX($AB$1004:$AQ$1004,1,MATCH(COLUMNS($AB$1006:AI1006),$AB$1006:$AQ$1006,0)))),"Fix")))</f>
        <v>0</v>
      </c>
      <c r="J184" s="5">
        <f>IF(OR(INDEX($V$2:$V$1001,MATCH(ROWS($U$2:U184),$U$2:$U$1001,0),1)&gt;=100000,INDEX($AB$1005:$AQ$1005,1,MATCH(COLUMNS($AB$1006:AJ1006),$AB$1006:$AQ$1006,0))&gt;=100000), " ",IF(INDEX($AB$2:$AQ$1001,MATCH(ROWS($U$2:U184),$U$2:$U$1001,0),MATCH(COLUMNS($AB$1006:AJ1006),$AB$1006:$AQ$1006,0)), HYPERLINK("#",""), HYPERLINK(CONCATENATE("#Metadata!", ADDRESS(INDEX($W$2:$W$1001,MATCH(ROWS($U$2:U184),$U$2:$U$1001,0),0), INDEX($AB$1004:$AQ$1004,1,MATCH(COLUMNS($AB$1006:AJ1006),$AB$1006:$AQ$1006,0)))),"Fix")))</f>
        <v>0</v>
      </c>
      <c r="K184" s="5">
        <f>IF(OR(INDEX($V$2:$V$1001,MATCH(ROWS($U$2:U184),$U$2:$U$1001,0),1)&gt;=100000,INDEX($AB$1005:$AQ$1005,1,MATCH(COLUMNS($AB$1006:AK1006),$AB$1006:$AQ$1006,0))&gt;=100000), " ",IF(INDEX($AB$2:$AQ$1001,MATCH(ROWS($U$2:U184),$U$2:$U$1001,0),MATCH(COLUMNS($AB$1006:AK1006),$AB$1006:$AQ$1006,0)), HYPERLINK("#",""), HYPERLINK(CONCATENATE("#Metadata!", ADDRESS(INDEX($W$2:$W$1001,MATCH(ROWS($U$2:U184),$U$2:$U$1001,0),0), INDEX($AB$1004:$AQ$1004,1,MATCH(COLUMNS($AB$1006:AK1006),$AB$1006:$AQ$1006,0)))),"Fix")))</f>
        <v>0</v>
      </c>
      <c r="L184" s="5">
        <f>IF(OR(INDEX($V$2:$V$1001,MATCH(ROWS($U$2:U184),$U$2:$U$1001,0),1)&gt;=100000,INDEX($AB$1005:$AQ$1005,1,MATCH(COLUMNS($AB$1006:AL1006),$AB$1006:$AQ$1006,0))&gt;=100000), " ",IF(INDEX($AB$2:$AQ$1001,MATCH(ROWS($U$2:U184),$U$2:$U$1001,0),MATCH(COLUMNS($AB$1006:AL1006),$AB$1006:$AQ$1006,0)), HYPERLINK("#",""), HYPERLINK(CONCATENATE("#Metadata!", ADDRESS(INDEX($W$2:$W$1001,MATCH(ROWS($U$2:U184),$U$2:$U$1001,0),0), INDEX($AB$1004:$AQ$1004,1,MATCH(COLUMNS($AB$1006:AL1006),$AB$1006:$AQ$1006,0)))),"Fix")))</f>
        <v>0</v>
      </c>
      <c r="M184" s="5">
        <f>IF(OR(INDEX($V$2:$V$1001,MATCH(ROWS($U$2:U184),$U$2:$U$1001,0),1)&gt;=100000,INDEX($AB$1005:$AQ$1005,1,MATCH(COLUMNS($AB$1006:AM1006),$AB$1006:$AQ$1006,0))&gt;=100000), " ",IF(INDEX($AB$2:$AQ$1001,MATCH(ROWS($U$2:U184),$U$2:$U$1001,0),MATCH(COLUMNS($AB$1006:AM1006),$AB$1006:$AQ$1006,0)), HYPERLINK("#",""), HYPERLINK(CONCATENATE("#Metadata!", ADDRESS(INDEX($W$2:$W$1001,MATCH(ROWS($U$2:U184),$U$2:$U$1001,0),0), INDEX($AB$1004:$AQ$1004,1,MATCH(COLUMNS($AB$1006:AM1006),$AB$1006:$AQ$1006,0)))),"Fix")))</f>
        <v>0</v>
      </c>
      <c r="N184" s="5">
        <f>IF(OR(INDEX($V$2:$V$1001,MATCH(ROWS($U$2:U184),$U$2:$U$1001,0),1)&gt;=100000,INDEX($AB$1005:$AQ$1005,1,MATCH(COLUMNS($AB$1006:AN1006),$AB$1006:$AQ$1006,0))&gt;=100000), " ",IF(INDEX($AB$2:$AQ$1001,MATCH(ROWS($U$2:U184),$U$2:$U$1001,0),MATCH(COLUMNS($AB$1006:AN1006),$AB$1006:$AQ$1006,0)), HYPERLINK("#",""), HYPERLINK(CONCATENATE("#Metadata!", ADDRESS(INDEX($W$2:$W$1001,MATCH(ROWS($U$2:U184),$U$2:$U$1001,0),0), INDEX($AB$1004:$AQ$1004,1,MATCH(COLUMNS($AB$1006:AN1006),$AB$1006:$AQ$1006,0)))),"Fix")))</f>
        <v>0</v>
      </c>
      <c r="O184" s="5">
        <f>IF(OR(INDEX($V$2:$V$1001,MATCH(ROWS($U$2:U184),$U$2:$U$1001,0),1)&gt;=100000,INDEX($AB$1005:$AQ$1005,1,MATCH(COLUMNS($AB$1006:AO1006),$AB$1006:$AQ$1006,0))&gt;=100000), " ",IF(INDEX($AB$2:$AQ$1001,MATCH(ROWS($U$2:U184),$U$2:$U$1001,0),MATCH(COLUMNS($AB$1006:AO1006),$AB$1006:$AQ$1006,0)), HYPERLINK("#",""), HYPERLINK(CONCATENATE("#Metadata!", ADDRESS(INDEX($W$2:$W$1001,MATCH(ROWS($U$2:U184),$U$2:$U$1001,0),0), INDEX($AB$1004:$AQ$1004,1,MATCH(COLUMNS($AB$1006:AO1006),$AB$1006:$AQ$1006,0)))),"Fix")))</f>
        <v>0</v>
      </c>
      <c r="P184" s="5">
        <f>IF(OR(INDEX($V$2:$V$1001,MATCH(ROWS($U$2:U184),$U$2:$U$1001,0),1)&gt;=100000,INDEX($AB$1005:$AQ$1005,1,MATCH(COLUMNS($AB$1006:AP1006),$AB$1006:$AQ$1006,0))&gt;=100000), " ",IF(INDEX($AB$2:$AQ$1001,MATCH(ROWS($U$2:U184),$U$2:$U$1001,0),MATCH(COLUMNS($AB$1006:AP1006),$AB$1006:$AQ$1006,0)), HYPERLINK("#",""), HYPERLINK(CONCATENATE("#Metadata!", ADDRESS(INDEX($W$2:$W$1001,MATCH(ROWS($U$2:U184),$U$2:$U$1001,0),0), INDEX($AB$1004:$AQ$1004,1,MATCH(COLUMNS($AB$1006:AP1006),$AB$1006:$AQ$1006,0)))),"Fix")))</f>
        <v>0</v>
      </c>
      <c r="Q184" s="5">
        <f>IF(OR(INDEX($V$2:$V$1001,MATCH(ROWS($U$2:U184),$U$2:$U$1001,0),1)&gt;=100000,INDEX($AB$1005:$AQ$1005,1,MATCH(COLUMNS($AB$1006:AQ1006),$AB$1006:$AQ$1006,0))&gt;=100000), " ",IF(INDEX($AB$2:$AQ$1001,MATCH(ROWS($U$2:U184),$U$2:$U$1001,0),MATCH(COLUMNS($AB$1006:AQ1006),$AB$1006:$AQ$1006,0)), HYPERLINK("#",""), HYPERLINK(CONCATENATE("#Metadata!", ADDRESS(INDEX($W$2:$W$1001,MATCH(ROWS($U$2:U184),$U$2:$U$1001,0),0), INDEX($AB$1004:$AQ$1004,1,MATCH(COLUMNS($AB$1006:AQ1006),$AB$1006:$AQ$1006,0)))),"Fix")))</f>
        <v>0</v>
      </c>
      <c r="U184">
        <v>0</v>
      </c>
      <c r="V184">
        <v>0</v>
      </c>
      <c r="W184">
        <v>0</v>
      </c>
      <c r="X184">
        <f>IF(Y184,TRUE,AND(AB184:AQ184))</f>
        <v>0</v>
      </c>
      <c r="Y184">
        <f>COUNTBLANK(Metadata!B184:Q184)=COLUMNS(Metadata!B184:Q184)</f>
        <v>0</v>
      </c>
      <c r="Z184">
        <v>0</v>
      </c>
      <c r="AB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AC184">
        <f>AND(IF(Metadata!C184="",FALSE,TRUE),exact(Metadata!C184,"urban biome"))</f>
        <v>0</v>
      </c>
      <c r="AD184">
        <f>AND(IF(Metadata!D184="",FALSE,TRUE),exact(Metadata!D184,"human-associated habitat"))</f>
        <v>0</v>
      </c>
      <c r="AE184">
        <f>AND(IF(Metadata!E184="",FALSE,TRUE),OR(exact(Metadata!E184,"human-associated"),exact(Metadata!E184,"human-skin"),exact(Metadata!E184,"human-oral"),exact(Metadata!E184,"human-gut"),exact(Metadata!E184,"human-vaginal")))</f>
        <v>0</v>
      </c>
      <c r="AF184">
        <f>AND(IF(Metadata!F184="",FALSE,ISNUMBER(VALUE(Metadata!F184))),Metadata!F184&gt;0)</f>
        <v>0</v>
      </c>
      <c r="AG184">
        <f>AND(IF(Metadata!G184="",FALSE,TRUE),exact(Metadata!G184,"years"))</f>
        <v>0</v>
      </c>
      <c r="AH184">
        <f>OR(AND(IF(Metadata!H184="",FALSE,TRUE),OR(exact(Metadata!H184,"not applicable"),exact(Metadata!H184,"not collected"),exact(Metadata!H184,"not provided"),exact(Metadata!H184,"restricted access"))),AND(IF(Metadata!H184="",FALSE,ISNUMBER(VALUE(Metadata!H184))),Metadata!H184&gt;0))</f>
        <v>0</v>
      </c>
      <c r="AI184">
        <f>AND(IF(Metadata!I184="",FALSE,TRUE),exact(Metadata!I184,"human"))</f>
        <v>0</v>
      </c>
      <c r="AJ184">
        <f>AND(IF(Metadata!J184="",FALSE,ISNUMBER(VALUE(Metadata!J184))),Metadata!J184&gt;0)</f>
        <v>0</v>
      </c>
      <c r="AK184">
        <f>AND(IF(Metadata!K184="",FALSE,TRUE),exact(Metadata!K184,"cm"))</f>
        <v>0</v>
      </c>
      <c r="AL184">
        <f>AND(IF(Metadata!L184="",FALSE,TRUE),exact(Metadata!L184,"Homo sapiens"))</f>
        <v>0</v>
      </c>
      <c r="AM184">
        <f>AND(IF(Metadata!M184="",FALSE,TRUE),exact(Metadata!M184,"9606"))</f>
        <v>0</v>
      </c>
      <c r="AN184">
        <f>AND(IF(Metadata!N184="",FALSE,ISNUMBER(VALUE(Metadata!N184))),Metadata!N184&gt;0)</f>
        <v>0</v>
      </c>
      <c r="AO184">
        <f>AND(IF(Metadata!O184="",FALSE,TRUE),exact(Metadata!O184,"kg"))</f>
        <v>0</v>
      </c>
      <c r="AP184">
        <f>OR(AND(IF(Metadata!P184="",FALSE,TRUE),exact(Metadata!P184,"not provided")),IF(Metadata!P184="",FALSE,TRUE))</f>
        <v>0</v>
      </c>
      <c r="AQ184">
        <f>OR(AND(IF(Metadata!Q184="",FALSE,TRUE),exact(Metadata!Q184,"not provided")),IF(Metadata!Q184="",FALSE,TRUE))</f>
        <v>0</v>
      </c>
    </row>
    <row r="185" spans="1:43">
      <c r="A185" s="4">
        <f>IF(B185=" "," ",HYPERLINK(CONCATENATE("#metadata!",ADDRESS(INDEX($W$2:$W$1001,MATCH(ROWS($U$2:U185),$U$2:$U$1001,0),0),2)),INDEX($Z$2:$Z$1001,MATCH(ROWS($U$2:U185),$U$2:$U$1001,0),0)))</f>
        <v>0</v>
      </c>
      <c r="B185" s="5">
        <f>IF(OR(INDEX($V$2:$V$1001,MATCH(ROWS($U$2:U185),$U$2:$U$1001,0),1)&gt;=100000,INDEX($AB$1005:$AQ$1005,1,MATCH(COLUMNS($AB$1006:AB1006),$AB$1006:$AQ$1006,0))&gt;=100000), " ",IF(INDEX($AB$2:$AQ$1001,MATCH(ROWS($U$2:U185),$U$2:$U$1001,0),MATCH(COLUMNS($AB$1006:AB1006),$AB$1006:$AQ$1006,0)), HYPERLINK("#",""), HYPERLINK(CONCATENATE("#Metadata!", ADDRESS(INDEX($W$2:$W$1001,MATCH(ROWS($U$2:U185),$U$2:$U$1001,0),0), INDEX($AB$1004:$AQ$1004,1,MATCH(COLUMNS($AB$1006:AB1006),$AB$1006:$AQ$1006,0)))),"Fix")))</f>
        <v>0</v>
      </c>
      <c r="C185" s="5">
        <f>IF(OR(INDEX($V$2:$V$1001,MATCH(ROWS($U$2:U185),$U$2:$U$1001,0),1)&gt;=100000,INDEX($AB$1005:$AQ$1005,1,MATCH(COLUMNS($AB$1006:AC1006),$AB$1006:$AQ$1006,0))&gt;=100000), " ",IF(INDEX($AB$2:$AQ$1001,MATCH(ROWS($U$2:U185),$U$2:$U$1001,0),MATCH(COLUMNS($AB$1006:AC1006),$AB$1006:$AQ$1006,0)), HYPERLINK("#",""), HYPERLINK(CONCATENATE("#Metadata!", ADDRESS(INDEX($W$2:$W$1001,MATCH(ROWS($U$2:U185),$U$2:$U$1001,0),0), INDEX($AB$1004:$AQ$1004,1,MATCH(COLUMNS($AB$1006:AC1006),$AB$1006:$AQ$1006,0)))),"Fix")))</f>
        <v>0</v>
      </c>
      <c r="D185" s="5">
        <f>IF(OR(INDEX($V$2:$V$1001,MATCH(ROWS($U$2:U185),$U$2:$U$1001,0),1)&gt;=100000,INDEX($AB$1005:$AQ$1005,1,MATCH(COLUMNS($AB$1006:AD1006),$AB$1006:$AQ$1006,0))&gt;=100000), " ",IF(INDEX($AB$2:$AQ$1001,MATCH(ROWS($U$2:U185),$U$2:$U$1001,0),MATCH(COLUMNS($AB$1006:AD1006),$AB$1006:$AQ$1006,0)), HYPERLINK("#",""), HYPERLINK(CONCATENATE("#Metadata!", ADDRESS(INDEX($W$2:$W$1001,MATCH(ROWS($U$2:U185),$U$2:$U$1001,0),0), INDEX($AB$1004:$AQ$1004,1,MATCH(COLUMNS($AB$1006:AD1006),$AB$1006:$AQ$1006,0)))),"Fix")))</f>
        <v>0</v>
      </c>
      <c r="E185" s="5">
        <f>IF(OR(INDEX($V$2:$V$1001,MATCH(ROWS($U$2:U185),$U$2:$U$1001,0),1)&gt;=100000,INDEX($AB$1005:$AQ$1005,1,MATCH(COLUMNS($AB$1006:AE1006),$AB$1006:$AQ$1006,0))&gt;=100000), " ",IF(INDEX($AB$2:$AQ$1001,MATCH(ROWS($U$2:U185),$U$2:$U$1001,0),MATCH(COLUMNS($AB$1006:AE1006),$AB$1006:$AQ$1006,0)), HYPERLINK("#",""), HYPERLINK(CONCATENATE("#Metadata!", ADDRESS(INDEX($W$2:$W$1001,MATCH(ROWS($U$2:U185),$U$2:$U$1001,0),0), INDEX($AB$1004:$AQ$1004,1,MATCH(COLUMNS($AB$1006:AE1006),$AB$1006:$AQ$1006,0)))),"Fix")))</f>
        <v>0</v>
      </c>
      <c r="F185" s="5">
        <f>IF(OR(INDEX($V$2:$V$1001,MATCH(ROWS($U$2:U185),$U$2:$U$1001,0),1)&gt;=100000,INDEX($AB$1005:$AQ$1005,1,MATCH(COLUMNS($AB$1006:AF1006),$AB$1006:$AQ$1006,0))&gt;=100000), " ",IF(INDEX($AB$2:$AQ$1001,MATCH(ROWS($U$2:U185),$U$2:$U$1001,0),MATCH(COLUMNS($AB$1006:AF1006),$AB$1006:$AQ$1006,0)), HYPERLINK("#",""), HYPERLINK(CONCATENATE("#Metadata!", ADDRESS(INDEX($W$2:$W$1001,MATCH(ROWS($U$2:U185),$U$2:$U$1001,0),0), INDEX($AB$1004:$AQ$1004,1,MATCH(COLUMNS($AB$1006:AF1006),$AB$1006:$AQ$1006,0)))),"Fix")))</f>
        <v>0</v>
      </c>
      <c r="G185" s="5">
        <f>IF(OR(INDEX($V$2:$V$1001,MATCH(ROWS($U$2:U185),$U$2:$U$1001,0),1)&gt;=100000,INDEX($AB$1005:$AQ$1005,1,MATCH(COLUMNS($AB$1006:AG1006),$AB$1006:$AQ$1006,0))&gt;=100000), " ",IF(INDEX($AB$2:$AQ$1001,MATCH(ROWS($U$2:U185),$U$2:$U$1001,0),MATCH(COLUMNS($AB$1006:AG1006),$AB$1006:$AQ$1006,0)), HYPERLINK("#",""), HYPERLINK(CONCATENATE("#Metadata!", ADDRESS(INDEX($W$2:$W$1001,MATCH(ROWS($U$2:U185),$U$2:$U$1001,0),0), INDEX($AB$1004:$AQ$1004,1,MATCH(COLUMNS($AB$1006:AG1006),$AB$1006:$AQ$1006,0)))),"Fix")))</f>
        <v>0</v>
      </c>
      <c r="H185" s="5">
        <f>IF(OR(INDEX($V$2:$V$1001,MATCH(ROWS($U$2:U185),$U$2:$U$1001,0),1)&gt;=100000,INDEX($AB$1005:$AQ$1005,1,MATCH(COLUMNS($AB$1006:AH1006),$AB$1006:$AQ$1006,0))&gt;=100000), " ",IF(INDEX($AB$2:$AQ$1001,MATCH(ROWS($U$2:U185),$U$2:$U$1001,0),MATCH(COLUMNS($AB$1006:AH1006),$AB$1006:$AQ$1006,0)), HYPERLINK("#",""), HYPERLINK(CONCATENATE("#Metadata!", ADDRESS(INDEX($W$2:$W$1001,MATCH(ROWS($U$2:U185),$U$2:$U$1001,0),0), INDEX($AB$1004:$AQ$1004,1,MATCH(COLUMNS($AB$1006:AH1006),$AB$1006:$AQ$1006,0)))),"Fix")))</f>
        <v>0</v>
      </c>
      <c r="I185" s="5">
        <f>IF(OR(INDEX($V$2:$V$1001,MATCH(ROWS($U$2:U185),$U$2:$U$1001,0),1)&gt;=100000,INDEX($AB$1005:$AQ$1005,1,MATCH(COLUMNS($AB$1006:AI1006),$AB$1006:$AQ$1006,0))&gt;=100000), " ",IF(INDEX($AB$2:$AQ$1001,MATCH(ROWS($U$2:U185),$U$2:$U$1001,0),MATCH(COLUMNS($AB$1006:AI1006),$AB$1006:$AQ$1006,0)), HYPERLINK("#",""), HYPERLINK(CONCATENATE("#Metadata!", ADDRESS(INDEX($W$2:$W$1001,MATCH(ROWS($U$2:U185),$U$2:$U$1001,0),0), INDEX($AB$1004:$AQ$1004,1,MATCH(COLUMNS($AB$1006:AI1006),$AB$1006:$AQ$1006,0)))),"Fix")))</f>
        <v>0</v>
      </c>
      <c r="J185" s="5">
        <f>IF(OR(INDEX($V$2:$V$1001,MATCH(ROWS($U$2:U185),$U$2:$U$1001,0),1)&gt;=100000,INDEX($AB$1005:$AQ$1005,1,MATCH(COLUMNS($AB$1006:AJ1006),$AB$1006:$AQ$1006,0))&gt;=100000), " ",IF(INDEX($AB$2:$AQ$1001,MATCH(ROWS($U$2:U185),$U$2:$U$1001,0),MATCH(COLUMNS($AB$1006:AJ1006),$AB$1006:$AQ$1006,0)), HYPERLINK("#",""), HYPERLINK(CONCATENATE("#Metadata!", ADDRESS(INDEX($W$2:$W$1001,MATCH(ROWS($U$2:U185),$U$2:$U$1001,0),0), INDEX($AB$1004:$AQ$1004,1,MATCH(COLUMNS($AB$1006:AJ1006),$AB$1006:$AQ$1006,0)))),"Fix")))</f>
        <v>0</v>
      </c>
      <c r="K185" s="5">
        <f>IF(OR(INDEX($V$2:$V$1001,MATCH(ROWS($U$2:U185),$U$2:$U$1001,0),1)&gt;=100000,INDEX($AB$1005:$AQ$1005,1,MATCH(COLUMNS($AB$1006:AK1006),$AB$1006:$AQ$1006,0))&gt;=100000), " ",IF(INDEX($AB$2:$AQ$1001,MATCH(ROWS($U$2:U185),$U$2:$U$1001,0),MATCH(COLUMNS($AB$1006:AK1006),$AB$1006:$AQ$1006,0)), HYPERLINK("#",""), HYPERLINK(CONCATENATE("#Metadata!", ADDRESS(INDEX($W$2:$W$1001,MATCH(ROWS($U$2:U185),$U$2:$U$1001,0),0), INDEX($AB$1004:$AQ$1004,1,MATCH(COLUMNS($AB$1006:AK1006),$AB$1006:$AQ$1006,0)))),"Fix")))</f>
        <v>0</v>
      </c>
      <c r="L185" s="5">
        <f>IF(OR(INDEX($V$2:$V$1001,MATCH(ROWS($U$2:U185),$U$2:$U$1001,0),1)&gt;=100000,INDEX($AB$1005:$AQ$1005,1,MATCH(COLUMNS($AB$1006:AL1006),$AB$1006:$AQ$1006,0))&gt;=100000), " ",IF(INDEX($AB$2:$AQ$1001,MATCH(ROWS($U$2:U185),$U$2:$U$1001,0),MATCH(COLUMNS($AB$1006:AL1006),$AB$1006:$AQ$1006,0)), HYPERLINK("#",""), HYPERLINK(CONCATENATE("#Metadata!", ADDRESS(INDEX($W$2:$W$1001,MATCH(ROWS($U$2:U185),$U$2:$U$1001,0),0), INDEX($AB$1004:$AQ$1004,1,MATCH(COLUMNS($AB$1006:AL1006),$AB$1006:$AQ$1006,0)))),"Fix")))</f>
        <v>0</v>
      </c>
      <c r="M185" s="5">
        <f>IF(OR(INDEX($V$2:$V$1001,MATCH(ROWS($U$2:U185),$U$2:$U$1001,0),1)&gt;=100000,INDEX($AB$1005:$AQ$1005,1,MATCH(COLUMNS($AB$1006:AM1006),$AB$1006:$AQ$1006,0))&gt;=100000), " ",IF(INDEX($AB$2:$AQ$1001,MATCH(ROWS($U$2:U185),$U$2:$U$1001,0),MATCH(COLUMNS($AB$1006:AM1006),$AB$1006:$AQ$1006,0)), HYPERLINK("#",""), HYPERLINK(CONCATENATE("#Metadata!", ADDRESS(INDEX($W$2:$W$1001,MATCH(ROWS($U$2:U185),$U$2:$U$1001,0),0), INDEX($AB$1004:$AQ$1004,1,MATCH(COLUMNS($AB$1006:AM1006),$AB$1006:$AQ$1006,0)))),"Fix")))</f>
        <v>0</v>
      </c>
      <c r="N185" s="5">
        <f>IF(OR(INDEX($V$2:$V$1001,MATCH(ROWS($U$2:U185),$U$2:$U$1001,0),1)&gt;=100000,INDEX($AB$1005:$AQ$1005,1,MATCH(COLUMNS($AB$1006:AN1006),$AB$1006:$AQ$1006,0))&gt;=100000), " ",IF(INDEX($AB$2:$AQ$1001,MATCH(ROWS($U$2:U185),$U$2:$U$1001,0),MATCH(COLUMNS($AB$1006:AN1006),$AB$1006:$AQ$1006,0)), HYPERLINK("#",""), HYPERLINK(CONCATENATE("#Metadata!", ADDRESS(INDEX($W$2:$W$1001,MATCH(ROWS($U$2:U185),$U$2:$U$1001,0),0), INDEX($AB$1004:$AQ$1004,1,MATCH(COLUMNS($AB$1006:AN1006),$AB$1006:$AQ$1006,0)))),"Fix")))</f>
        <v>0</v>
      </c>
      <c r="O185" s="5">
        <f>IF(OR(INDEX($V$2:$V$1001,MATCH(ROWS($U$2:U185),$U$2:$U$1001,0),1)&gt;=100000,INDEX($AB$1005:$AQ$1005,1,MATCH(COLUMNS($AB$1006:AO1006),$AB$1006:$AQ$1006,0))&gt;=100000), " ",IF(INDEX($AB$2:$AQ$1001,MATCH(ROWS($U$2:U185),$U$2:$U$1001,0),MATCH(COLUMNS($AB$1006:AO1006),$AB$1006:$AQ$1006,0)), HYPERLINK("#",""), HYPERLINK(CONCATENATE("#Metadata!", ADDRESS(INDEX($W$2:$W$1001,MATCH(ROWS($U$2:U185),$U$2:$U$1001,0),0), INDEX($AB$1004:$AQ$1004,1,MATCH(COLUMNS($AB$1006:AO1006),$AB$1006:$AQ$1006,0)))),"Fix")))</f>
        <v>0</v>
      </c>
      <c r="P185" s="5">
        <f>IF(OR(INDEX($V$2:$V$1001,MATCH(ROWS($U$2:U185),$U$2:$U$1001,0),1)&gt;=100000,INDEX($AB$1005:$AQ$1005,1,MATCH(COLUMNS($AB$1006:AP1006),$AB$1006:$AQ$1006,0))&gt;=100000), " ",IF(INDEX($AB$2:$AQ$1001,MATCH(ROWS($U$2:U185),$U$2:$U$1001,0),MATCH(COLUMNS($AB$1006:AP1006),$AB$1006:$AQ$1006,0)), HYPERLINK("#",""), HYPERLINK(CONCATENATE("#Metadata!", ADDRESS(INDEX($W$2:$W$1001,MATCH(ROWS($U$2:U185),$U$2:$U$1001,0),0), INDEX($AB$1004:$AQ$1004,1,MATCH(COLUMNS($AB$1006:AP1006),$AB$1006:$AQ$1006,0)))),"Fix")))</f>
        <v>0</v>
      </c>
      <c r="Q185" s="5">
        <f>IF(OR(INDEX($V$2:$V$1001,MATCH(ROWS($U$2:U185),$U$2:$U$1001,0),1)&gt;=100000,INDEX($AB$1005:$AQ$1005,1,MATCH(COLUMNS($AB$1006:AQ1006),$AB$1006:$AQ$1006,0))&gt;=100000), " ",IF(INDEX($AB$2:$AQ$1001,MATCH(ROWS($U$2:U185),$U$2:$U$1001,0),MATCH(COLUMNS($AB$1006:AQ1006),$AB$1006:$AQ$1006,0)), HYPERLINK("#",""), HYPERLINK(CONCATENATE("#Metadata!", ADDRESS(INDEX($W$2:$W$1001,MATCH(ROWS($U$2:U185),$U$2:$U$1001,0),0), INDEX($AB$1004:$AQ$1004,1,MATCH(COLUMNS($AB$1006:AQ1006),$AB$1006:$AQ$1006,0)))),"Fix")))</f>
        <v>0</v>
      </c>
      <c r="U185">
        <v>0</v>
      </c>
      <c r="V185">
        <v>0</v>
      </c>
      <c r="W185">
        <v>0</v>
      </c>
      <c r="X185">
        <f>IF(Y185,TRUE,AND(AB185:AQ185))</f>
        <v>0</v>
      </c>
      <c r="Y185">
        <f>COUNTBLANK(Metadata!B185:Q185)=COLUMNS(Metadata!B185:Q185)</f>
        <v>0</v>
      </c>
      <c r="Z185">
        <v>0</v>
      </c>
      <c r="AB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AC185">
        <f>AND(IF(Metadata!C185="",FALSE,TRUE),exact(Metadata!C185,"urban biome"))</f>
        <v>0</v>
      </c>
      <c r="AD185">
        <f>AND(IF(Metadata!D185="",FALSE,TRUE),exact(Metadata!D185,"human-associated habitat"))</f>
        <v>0</v>
      </c>
      <c r="AE185">
        <f>AND(IF(Metadata!E185="",FALSE,TRUE),OR(exact(Metadata!E185,"human-associated"),exact(Metadata!E185,"human-skin"),exact(Metadata!E185,"human-oral"),exact(Metadata!E185,"human-gut"),exact(Metadata!E185,"human-vaginal")))</f>
        <v>0</v>
      </c>
      <c r="AF185">
        <f>AND(IF(Metadata!F185="",FALSE,ISNUMBER(VALUE(Metadata!F185))),Metadata!F185&gt;0)</f>
        <v>0</v>
      </c>
      <c r="AG185">
        <f>AND(IF(Metadata!G185="",FALSE,TRUE),exact(Metadata!G185,"years"))</f>
        <v>0</v>
      </c>
      <c r="AH185">
        <f>OR(AND(IF(Metadata!H185="",FALSE,TRUE),OR(exact(Metadata!H185,"not applicable"),exact(Metadata!H185,"not collected"),exact(Metadata!H185,"not provided"),exact(Metadata!H185,"restricted access"))),AND(IF(Metadata!H185="",FALSE,ISNUMBER(VALUE(Metadata!H185))),Metadata!H185&gt;0))</f>
        <v>0</v>
      </c>
      <c r="AI185">
        <f>AND(IF(Metadata!I185="",FALSE,TRUE),exact(Metadata!I185,"human"))</f>
        <v>0</v>
      </c>
      <c r="AJ185">
        <f>AND(IF(Metadata!J185="",FALSE,ISNUMBER(VALUE(Metadata!J185))),Metadata!J185&gt;0)</f>
        <v>0</v>
      </c>
      <c r="AK185">
        <f>AND(IF(Metadata!K185="",FALSE,TRUE),exact(Metadata!K185,"cm"))</f>
        <v>0</v>
      </c>
      <c r="AL185">
        <f>AND(IF(Metadata!L185="",FALSE,TRUE),exact(Metadata!L185,"Homo sapiens"))</f>
        <v>0</v>
      </c>
      <c r="AM185">
        <f>AND(IF(Metadata!M185="",FALSE,TRUE),exact(Metadata!M185,"9606"))</f>
        <v>0</v>
      </c>
      <c r="AN185">
        <f>AND(IF(Metadata!N185="",FALSE,ISNUMBER(VALUE(Metadata!N185))),Metadata!N185&gt;0)</f>
        <v>0</v>
      </c>
      <c r="AO185">
        <f>AND(IF(Metadata!O185="",FALSE,TRUE),exact(Metadata!O185,"kg"))</f>
        <v>0</v>
      </c>
      <c r="AP185">
        <f>OR(AND(IF(Metadata!P185="",FALSE,TRUE),exact(Metadata!P185,"not provided")),IF(Metadata!P185="",FALSE,TRUE))</f>
        <v>0</v>
      </c>
      <c r="AQ185">
        <f>OR(AND(IF(Metadata!Q185="",FALSE,TRUE),exact(Metadata!Q185,"not provided")),IF(Metadata!Q185="",FALSE,TRUE))</f>
        <v>0</v>
      </c>
    </row>
    <row r="186" spans="1:43">
      <c r="A186" s="4">
        <f>IF(B186=" "," ",HYPERLINK(CONCATENATE("#metadata!",ADDRESS(INDEX($W$2:$W$1001,MATCH(ROWS($U$2:U186),$U$2:$U$1001,0),0),2)),INDEX($Z$2:$Z$1001,MATCH(ROWS($U$2:U186),$U$2:$U$1001,0),0)))</f>
        <v>0</v>
      </c>
      <c r="B186" s="5">
        <f>IF(OR(INDEX($V$2:$V$1001,MATCH(ROWS($U$2:U186),$U$2:$U$1001,0),1)&gt;=100000,INDEX($AB$1005:$AQ$1005,1,MATCH(COLUMNS($AB$1006:AB1006),$AB$1006:$AQ$1006,0))&gt;=100000), " ",IF(INDEX($AB$2:$AQ$1001,MATCH(ROWS($U$2:U186),$U$2:$U$1001,0),MATCH(COLUMNS($AB$1006:AB1006),$AB$1006:$AQ$1006,0)), HYPERLINK("#",""), HYPERLINK(CONCATENATE("#Metadata!", ADDRESS(INDEX($W$2:$W$1001,MATCH(ROWS($U$2:U186),$U$2:$U$1001,0),0), INDEX($AB$1004:$AQ$1004,1,MATCH(COLUMNS($AB$1006:AB1006),$AB$1006:$AQ$1006,0)))),"Fix")))</f>
        <v>0</v>
      </c>
      <c r="C186" s="5">
        <f>IF(OR(INDEX($V$2:$V$1001,MATCH(ROWS($U$2:U186),$U$2:$U$1001,0),1)&gt;=100000,INDEX($AB$1005:$AQ$1005,1,MATCH(COLUMNS($AB$1006:AC1006),$AB$1006:$AQ$1006,0))&gt;=100000), " ",IF(INDEX($AB$2:$AQ$1001,MATCH(ROWS($U$2:U186),$U$2:$U$1001,0),MATCH(COLUMNS($AB$1006:AC1006),$AB$1006:$AQ$1006,0)), HYPERLINK("#",""), HYPERLINK(CONCATENATE("#Metadata!", ADDRESS(INDEX($W$2:$W$1001,MATCH(ROWS($U$2:U186),$U$2:$U$1001,0),0), INDEX($AB$1004:$AQ$1004,1,MATCH(COLUMNS($AB$1006:AC1006),$AB$1006:$AQ$1006,0)))),"Fix")))</f>
        <v>0</v>
      </c>
      <c r="D186" s="5">
        <f>IF(OR(INDEX($V$2:$V$1001,MATCH(ROWS($U$2:U186),$U$2:$U$1001,0),1)&gt;=100000,INDEX($AB$1005:$AQ$1005,1,MATCH(COLUMNS($AB$1006:AD1006),$AB$1006:$AQ$1006,0))&gt;=100000), " ",IF(INDEX($AB$2:$AQ$1001,MATCH(ROWS($U$2:U186),$U$2:$U$1001,0),MATCH(COLUMNS($AB$1006:AD1006),$AB$1006:$AQ$1006,0)), HYPERLINK("#",""), HYPERLINK(CONCATENATE("#Metadata!", ADDRESS(INDEX($W$2:$W$1001,MATCH(ROWS($U$2:U186),$U$2:$U$1001,0),0), INDEX($AB$1004:$AQ$1004,1,MATCH(COLUMNS($AB$1006:AD1006),$AB$1006:$AQ$1006,0)))),"Fix")))</f>
        <v>0</v>
      </c>
      <c r="E186" s="5">
        <f>IF(OR(INDEX($V$2:$V$1001,MATCH(ROWS($U$2:U186),$U$2:$U$1001,0),1)&gt;=100000,INDEX($AB$1005:$AQ$1005,1,MATCH(COLUMNS($AB$1006:AE1006),$AB$1006:$AQ$1006,0))&gt;=100000), " ",IF(INDEX($AB$2:$AQ$1001,MATCH(ROWS($U$2:U186),$U$2:$U$1001,0),MATCH(COLUMNS($AB$1006:AE1006),$AB$1006:$AQ$1006,0)), HYPERLINK("#",""), HYPERLINK(CONCATENATE("#Metadata!", ADDRESS(INDEX($W$2:$W$1001,MATCH(ROWS($U$2:U186),$U$2:$U$1001,0),0), INDEX($AB$1004:$AQ$1004,1,MATCH(COLUMNS($AB$1006:AE1006),$AB$1006:$AQ$1006,0)))),"Fix")))</f>
        <v>0</v>
      </c>
      <c r="F186" s="5">
        <f>IF(OR(INDEX($V$2:$V$1001,MATCH(ROWS($U$2:U186),$U$2:$U$1001,0),1)&gt;=100000,INDEX($AB$1005:$AQ$1005,1,MATCH(COLUMNS($AB$1006:AF1006),$AB$1006:$AQ$1006,0))&gt;=100000), " ",IF(INDEX($AB$2:$AQ$1001,MATCH(ROWS($U$2:U186),$U$2:$U$1001,0),MATCH(COLUMNS($AB$1006:AF1006),$AB$1006:$AQ$1006,0)), HYPERLINK("#",""), HYPERLINK(CONCATENATE("#Metadata!", ADDRESS(INDEX($W$2:$W$1001,MATCH(ROWS($U$2:U186),$U$2:$U$1001,0),0), INDEX($AB$1004:$AQ$1004,1,MATCH(COLUMNS($AB$1006:AF1006),$AB$1006:$AQ$1006,0)))),"Fix")))</f>
        <v>0</v>
      </c>
      <c r="G186" s="5">
        <f>IF(OR(INDEX($V$2:$V$1001,MATCH(ROWS($U$2:U186),$U$2:$U$1001,0),1)&gt;=100000,INDEX($AB$1005:$AQ$1005,1,MATCH(COLUMNS($AB$1006:AG1006),$AB$1006:$AQ$1006,0))&gt;=100000), " ",IF(INDEX($AB$2:$AQ$1001,MATCH(ROWS($U$2:U186),$U$2:$U$1001,0),MATCH(COLUMNS($AB$1006:AG1006),$AB$1006:$AQ$1006,0)), HYPERLINK("#",""), HYPERLINK(CONCATENATE("#Metadata!", ADDRESS(INDEX($W$2:$W$1001,MATCH(ROWS($U$2:U186),$U$2:$U$1001,0),0), INDEX($AB$1004:$AQ$1004,1,MATCH(COLUMNS($AB$1006:AG1006),$AB$1006:$AQ$1006,0)))),"Fix")))</f>
        <v>0</v>
      </c>
      <c r="H186" s="5">
        <f>IF(OR(INDEX($V$2:$V$1001,MATCH(ROWS($U$2:U186),$U$2:$U$1001,0),1)&gt;=100000,INDEX($AB$1005:$AQ$1005,1,MATCH(COLUMNS($AB$1006:AH1006),$AB$1006:$AQ$1006,0))&gt;=100000), " ",IF(INDEX($AB$2:$AQ$1001,MATCH(ROWS($U$2:U186),$U$2:$U$1001,0),MATCH(COLUMNS($AB$1006:AH1006),$AB$1006:$AQ$1006,0)), HYPERLINK("#",""), HYPERLINK(CONCATENATE("#Metadata!", ADDRESS(INDEX($W$2:$W$1001,MATCH(ROWS($U$2:U186),$U$2:$U$1001,0),0), INDEX($AB$1004:$AQ$1004,1,MATCH(COLUMNS($AB$1006:AH1006),$AB$1006:$AQ$1006,0)))),"Fix")))</f>
        <v>0</v>
      </c>
      <c r="I186" s="5">
        <f>IF(OR(INDEX($V$2:$V$1001,MATCH(ROWS($U$2:U186),$U$2:$U$1001,0),1)&gt;=100000,INDEX($AB$1005:$AQ$1005,1,MATCH(COLUMNS($AB$1006:AI1006),$AB$1006:$AQ$1006,0))&gt;=100000), " ",IF(INDEX($AB$2:$AQ$1001,MATCH(ROWS($U$2:U186),$U$2:$U$1001,0),MATCH(COLUMNS($AB$1006:AI1006),$AB$1006:$AQ$1006,0)), HYPERLINK("#",""), HYPERLINK(CONCATENATE("#Metadata!", ADDRESS(INDEX($W$2:$W$1001,MATCH(ROWS($U$2:U186),$U$2:$U$1001,0),0), INDEX($AB$1004:$AQ$1004,1,MATCH(COLUMNS($AB$1006:AI1006),$AB$1006:$AQ$1006,0)))),"Fix")))</f>
        <v>0</v>
      </c>
      <c r="J186" s="5">
        <f>IF(OR(INDEX($V$2:$V$1001,MATCH(ROWS($U$2:U186),$U$2:$U$1001,0),1)&gt;=100000,INDEX($AB$1005:$AQ$1005,1,MATCH(COLUMNS($AB$1006:AJ1006),$AB$1006:$AQ$1006,0))&gt;=100000), " ",IF(INDEX($AB$2:$AQ$1001,MATCH(ROWS($U$2:U186),$U$2:$U$1001,0),MATCH(COLUMNS($AB$1006:AJ1006),$AB$1006:$AQ$1006,0)), HYPERLINK("#",""), HYPERLINK(CONCATENATE("#Metadata!", ADDRESS(INDEX($W$2:$W$1001,MATCH(ROWS($U$2:U186),$U$2:$U$1001,0),0), INDEX($AB$1004:$AQ$1004,1,MATCH(COLUMNS($AB$1006:AJ1006),$AB$1006:$AQ$1006,0)))),"Fix")))</f>
        <v>0</v>
      </c>
      <c r="K186" s="5">
        <f>IF(OR(INDEX($V$2:$V$1001,MATCH(ROWS($U$2:U186),$U$2:$U$1001,0),1)&gt;=100000,INDEX($AB$1005:$AQ$1005,1,MATCH(COLUMNS($AB$1006:AK1006),$AB$1006:$AQ$1006,0))&gt;=100000), " ",IF(INDEX($AB$2:$AQ$1001,MATCH(ROWS($U$2:U186),$U$2:$U$1001,0),MATCH(COLUMNS($AB$1006:AK1006),$AB$1006:$AQ$1006,0)), HYPERLINK("#",""), HYPERLINK(CONCATENATE("#Metadata!", ADDRESS(INDEX($W$2:$W$1001,MATCH(ROWS($U$2:U186),$U$2:$U$1001,0),0), INDEX($AB$1004:$AQ$1004,1,MATCH(COLUMNS($AB$1006:AK1006),$AB$1006:$AQ$1006,0)))),"Fix")))</f>
        <v>0</v>
      </c>
      <c r="L186" s="5">
        <f>IF(OR(INDEX($V$2:$V$1001,MATCH(ROWS($U$2:U186),$U$2:$U$1001,0),1)&gt;=100000,INDEX($AB$1005:$AQ$1005,1,MATCH(COLUMNS($AB$1006:AL1006),$AB$1006:$AQ$1006,0))&gt;=100000), " ",IF(INDEX($AB$2:$AQ$1001,MATCH(ROWS($U$2:U186),$U$2:$U$1001,0),MATCH(COLUMNS($AB$1006:AL1006),$AB$1006:$AQ$1006,0)), HYPERLINK("#",""), HYPERLINK(CONCATENATE("#Metadata!", ADDRESS(INDEX($W$2:$W$1001,MATCH(ROWS($U$2:U186),$U$2:$U$1001,0),0), INDEX($AB$1004:$AQ$1004,1,MATCH(COLUMNS($AB$1006:AL1006),$AB$1006:$AQ$1006,0)))),"Fix")))</f>
        <v>0</v>
      </c>
      <c r="M186" s="5">
        <f>IF(OR(INDEX($V$2:$V$1001,MATCH(ROWS($U$2:U186),$U$2:$U$1001,0),1)&gt;=100000,INDEX($AB$1005:$AQ$1005,1,MATCH(COLUMNS($AB$1006:AM1006),$AB$1006:$AQ$1006,0))&gt;=100000), " ",IF(INDEX($AB$2:$AQ$1001,MATCH(ROWS($U$2:U186),$U$2:$U$1001,0),MATCH(COLUMNS($AB$1006:AM1006),$AB$1006:$AQ$1006,0)), HYPERLINK("#",""), HYPERLINK(CONCATENATE("#Metadata!", ADDRESS(INDEX($W$2:$W$1001,MATCH(ROWS($U$2:U186),$U$2:$U$1001,0),0), INDEX($AB$1004:$AQ$1004,1,MATCH(COLUMNS($AB$1006:AM1006),$AB$1006:$AQ$1006,0)))),"Fix")))</f>
        <v>0</v>
      </c>
      <c r="N186" s="5">
        <f>IF(OR(INDEX($V$2:$V$1001,MATCH(ROWS($U$2:U186),$U$2:$U$1001,0),1)&gt;=100000,INDEX($AB$1005:$AQ$1005,1,MATCH(COLUMNS($AB$1006:AN1006),$AB$1006:$AQ$1006,0))&gt;=100000), " ",IF(INDEX($AB$2:$AQ$1001,MATCH(ROWS($U$2:U186),$U$2:$U$1001,0),MATCH(COLUMNS($AB$1006:AN1006),$AB$1006:$AQ$1006,0)), HYPERLINK("#",""), HYPERLINK(CONCATENATE("#Metadata!", ADDRESS(INDEX($W$2:$W$1001,MATCH(ROWS($U$2:U186),$U$2:$U$1001,0),0), INDEX($AB$1004:$AQ$1004,1,MATCH(COLUMNS($AB$1006:AN1006),$AB$1006:$AQ$1006,0)))),"Fix")))</f>
        <v>0</v>
      </c>
      <c r="O186" s="5">
        <f>IF(OR(INDEX($V$2:$V$1001,MATCH(ROWS($U$2:U186),$U$2:$U$1001,0),1)&gt;=100000,INDEX($AB$1005:$AQ$1005,1,MATCH(COLUMNS($AB$1006:AO1006),$AB$1006:$AQ$1006,0))&gt;=100000), " ",IF(INDEX($AB$2:$AQ$1001,MATCH(ROWS($U$2:U186),$U$2:$U$1001,0),MATCH(COLUMNS($AB$1006:AO1006),$AB$1006:$AQ$1006,0)), HYPERLINK("#",""), HYPERLINK(CONCATENATE("#Metadata!", ADDRESS(INDEX($W$2:$W$1001,MATCH(ROWS($U$2:U186),$U$2:$U$1001,0),0), INDEX($AB$1004:$AQ$1004,1,MATCH(COLUMNS($AB$1006:AO1006),$AB$1006:$AQ$1006,0)))),"Fix")))</f>
        <v>0</v>
      </c>
      <c r="P186" s="5">
        <f>IF(OR(INDEX($V$2:$V$1001,MATCH(ROWS($U$2:U186),$U$2:$U$1001,0),1)&gt;=100000,INDEX($AB$1005:$AQ$1005,1,MATCH(COLUMNS($AB$1006:AP1006),$AB$1006:$AQ$1006,0))&gt;=100000), " ",IF(INDEX($AB$2:$AQ$1001,MATCH(ROWS($U$2:U186),$U$2:$U$1001,0),MATCH(COLUMNS($AB$1006:AP1006),$AB$1006:$AQ$1006,0)), HYPERLINK("#",""), HYPERLINK(CONCATENATE("#Metadata!", ADDRESS(INDEX($W$2:$W$1001,MATCH(ROWS($U$2:U186),$U$2:$U$1001,0),0), INDEX($AB$1004:$AQ$1004,1,MATCH(COLUMNS($AB$1006:AP1006),$AB$1006:$AQ$1006,0)))),"Fix")))</f>
        <v>0</v>
      </c>
      <c r="Q186" s="5">
        <f>IF(OR(INDEX($V$2:$V$1001,MATCH(ROWS($U$2:U186),$U$2:$U$1001,0),1)&gt;=100000,INDEX($AB$1005:$AQ$1005,1,MATCH(COLUMNS($AB$1006:AQ1006),$AB$1006:$AQ$1006,0))&gt;=100000), " ",IF(INDEX($AB$2:$AQ$1001,MATCH(ROWS($U$2:U186),$U$2:$U$1001,0),MATCH(COLUMNS($AB$1006:AQ1006),$AB$1006:$AQ$1006,0)), HYPERLINK("#",""), HYPERLINK(CONCATENATE("#Metadata!", ADDRESS(INDEX($W$2:$W$1001,MATCH(ROWS($U$2:U186),$U$2:$U$1001,0),0), INDEX($AB$1004:$AQ$1004,1,MATCH(COLUMNS($AB$1006:AQ1006),$AB$1006:$AQ$1006,0)))),"Fix")))</f>
        <v>0</v>
      </c>
      <c r="U186">
        <v>0</v>
      </c>
      <c r="V186">
        <v>0</v>
      </c>
      <c r="W186">
        <v>0</v>
      </c>
      <c r="X186">
        <f>IF(Y186,TRUE,AND(AB186:AQ186))</f>
        <v>0</v>
      </c>
      <c r="Y186">
        <f>COUNTBLANK(Metadata!B186:Q186)=COLUMNS(Metadata!B186:Q186)</f>
        <v>0</v>
      </c>
      <c r="Z186">
        <v>0</v>
      </c>
      <c r="AB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AC186">
        <f>AND(IF(Metadata!C186="",FALSE,TRUE),exact(Metadata!C186,"urban biome"))</f>
        <v>0</v>
      </c>
      <c r="AD186">
        <f>AND(IF(Metadata!D186="",FALSE,TRUE),exact(Metadata!D186,"human-associated habitat"))</f>
        <v>0</v>
      </c>
      <c r="AE186">
        <f>AND(IF(Metadata!E186="",FALSE,TRUE),OR(exact(Metadata!E186,"human-associated"),exact(Metadata!E186,"human-skin"),exact(Metadata!E186,"human-oral"),exact(Metadata!E186,"human-gut"),exact(Metadata!E186,"human-vaginal")))</f>
        <v>0</v>
      </c>
      <c r="AF186">
        <f>AND(IF(Metadata!F186="",FALSE,ISNUMBER(VALUE(Metadata!F186))),Metadata!F186&gt;0)</f>
        <v>0</v>
      </c>
      <c r="AG186">
        <f>AND(IF(Metadata!G186="",FALSE,TRUE),exact(Metadata!G186,"years"))</f>
        <v>0</v>
      </c>
      <c r="AH186">
        <f>OR(AND(IF(Metadata!H186="",FALSE,TRUE),OR(exact(Metadata!H186,"not applicable"),exact(Metadata!H186,"not collected"),exact(Metadata!H186,"not provided"),exact(Metadata!H186,"restricted access"))),AND(IF(Metadata!H186="",FALSE,ISNUMBER(VALUE(Metadata!H186))),Metadata!H186&gt;0))</f>
        <v>0</v>
      </c>
      <c r="AI186">
        <f>AND(IF(Metadata!I186="",FALSE,TRUE),exact(Metadata!I186,"human"))</f>
        <v>0</v>
      </c>
      <c r="AJ186">
        <f>AND(IF(Metadata!J186="",FALSE,ISNUMBER(VALUE(Metadata!J186))),Metadata!J186&gt;0)</f>
        <v>0</v>
      </c>
      <c r="AK186">
        <f>AND(IF(Metadata!K186="",FALSE,TRUE),exact(Metadata!K186,"cm"))</f>
        <v>0</v>
      </c>
      <c r="AL186">
        <f>AND(IF(Metadata!L186="",FALSE,TRUE),exact(Metadata!L186,"Homo sapiens"))</f>
        <v>0</v>
      </c>
      <c r="AM186">
        <f>AND(IF(Metadata!M186="",FALSE,TRUE),exact(Metadata!M186,"9606"))</f>
        <v>0</v>
      </c>
      <c r="AN186">
        <f>AND(IF(Metadata!N186="",FALSE,ISNUMBER(VALUE(Metadata!N186))),Metadata!N186&gt;0)</f>
        <v>0</v>
      </c>
      <c r="AO186">
        <f>AND(IF(Metadata!O186="",FALSE,TRUE),exact(Metadata!O186,"kg"))</f>
        <v>0</v>
      </c>
      <c r="AP186">
        <f>OR(AND(IF(Metadata!P186="",FALSE,TRUE),exact(Metadata!P186,"not provided")),IF(Metadata!P186="",FALSE,TRUE))</f>
        <v>0</v>
      </c>
      <c r="AQ186">
        <f>OR(AND(IF(Metadata!Q186="",FALSE,TRUE),exact(Metadata!Q186,"not provided")),IF(Metadata!Q186="",FALSE,TRUE))</f>
        <v>0</v>
      </c>
    </row>
    <row r="187" spans="1:43">
      <c r="A187" s="4">
        <f>IF(B187=" "," ",HYPERLINK(CONCATENATE("#metadata!",ADDRESS(INDEX($W$2:$W$1001,MATCH(ROWS($U$2:U187),$U$2:$U$1001,0),0),2)),INDEX($Z$2:$Z$1001,MATCH(ROWS($U$2:U187),$U$2:$U$1001,0),0)))</f>
        <v>0</v>
      </c>
      <c r="B187" s="5">
        <f>IF(OR(INDEX($V$2:$V$1001,MATCH(ROWS($U$2:U187),$U$2:$U$1001,0),1)&gt;=100000,INDEX($AB$1005:$AQ$1005,1,MATCH(COLUMNS($AB$1006:AB1006),$AB$1006:$AQ$1006,0))&gt;=100000), " ",IF(INDEX($AB$2:$AQ$1001,MATCH(ROWS($U$2:U187),$U$2:$U$1001,0),MATCH(COLUMNS($AB$1006:AB1006),$AB$1006:$AQ$1006,0)), HYPERLINK("#",""), HYPERLINK(CONCATENATE("#Metadata!", ADDRESS(INDEX($W$2:$W$1001,MATCH(ROWS($U$2:U187),$U$2:$U$1001,0),0), INDEX($AB$1004:$AQ$1004,1,MATCH(COLUMNS($AB$1006:AB1006),$AB$1006:$AQ$1006,0)))),"Fix")))</f>
        <v>0</v>
      </c>
      <c r="C187" s="5">
        <f>IF(OR(INDEX($V$2:$V$1001,MATCH(ROWS($U$2:U187),$U$2:$U$1001,0),1)&gt;=100000,INDEX($AB$1005:$AQ$1005,1,MATCH(COLUMNS($AB$1006:AC1006),$AB$1006:$AQ$1006,0))&gt;=100000), " ",IF(INDEX($AB$2:$AQ$1001,MATCH(ROWS($U$2:U187),$U$2:$U$1001,0),MATCH(COLUMNS($AB$1006:AC1006),$AB$1006:$AQ$1006,0)), HYPERLINK("#",""), HYPERLINK(CONCATENATE("#Metadata!", ADDRESS(INDEX($W$2:$W$1001,MATCH(ROWS($U$2:U187),$U$2:$U$1001,0),0), INDEX($AB$1004:$AQ$1004,1,MATCH(COLUMNS($AB$1006:AC1006),$AB$1006:$AQ$1006,0)))),"Fix")))</f>
        <v>0</v>
      </c>
      <c r="D187" s="5">
        <f>IF(OR(INDEX($V$2:$V$1001,MATCH(ROWS($U$2:U187),$U$2:$U$1001,0),1)&gt;=100000,INDEX($AB$1005:$AQ$1005,1,MATCH(COLUMNS($AB$1006:AD1006),$AB$1006:$AQ$1006,0))&gt;=100000), " ",IF(INDEX($AB$2:$AQ$1001,MATCH(ROWS($U$2:U187),$U$2:$U$1001,0),MATCH(COLUMNS($AB$1006:AD1006),$AB$1006:$AQ$1006,0)), HYPERLINK("#",""), HYPERLINK(CONCATENATE("#Metadata!", ADDRESS(INDEX($W$2:$W$1001,MATCH(ROWS($U$2:U187),$U$2:$U$1001,0),0), INDEX($AB$1004:$AQ$1004,1,MATCH(COLUMNS($AB$1006:AD1006),$AB$1006:$AQ$1006,0)))),"Fix")))</f>
        <v>0</v>
      </c>
      <c r="E187" s="5">
        <f>IF(OR(INDEX($V$2:$V$1001,MATCH(ROWS($U$2:U187),$U$2:$U$1001,0),1)&gt;=100000,INDEX($AB$1005:$AQ$1005,1,MATCH(COLUMNS($AB$1006:AE1006),$AB$1006:$AQ$1006,0))&gt;=100000), " ",IF(INDEX($AB$2:$AQ$1001,MATCH(ROWS($U$2:U187),$U$2:$U$1001,0),MATCH(COLUMNS($AB$1006:AE1006),$AB$1006:$AQ$1006,0)), HYPERLINK("#",""), HYPERLINK(CONCATENATE("#Metadata!", ADDRESS(INDEX($W$2:$W$1001,MATCH(ROWS($U$2:U187),$U$2:$U$1001,0),0), INDEX($AB$1004:$AQ$1004,1,MATCH(COLUMNS($AB$1006:AE1006),$AB$1006:$AQ$1006,0)))),"Fix")))</f>
        <v>0</v>
      </c>
      <c r="F187" s="5">
        <f>IF(OR(INDEX($V$2:$V$1001,MATCH(ROWS($U$2:U187),$U$2:$U$1001,0),1)&gt;=100000,INDEX($AB$1005:$AQ$1005,1,MATCH(COLUMNS($AB$1006:AF1006),$AB$1006:$AQ$1006,0))&gt;=100000), " ",IF(INDEX($AB$2:$AQ$1001,MATCH(ROWS($U$2:U187),$U$2:$U$1001,0),MATCH(COLUMNS($AB$1006:AF1006),$AB$1006:$AQ$1006,0)), HYPERLINK("#",""), HYPERLINK(CONCATENATE("#Metadata!", ADDRESS(INDEX($W$2:$W$1001,MATCH(ROWS($U$2:U187),$U$2:$U$1001,0),0), INDEX($AB$1004:$AQ$1004,1,MATCH(COLUMNS($AB$1006:AF1006),$AB$1006:$AQ$1006,0)))),"Fix")))</f>
        <v>0</v>
      </c>
      <c r="G187" s="5">
        <f>IF(OR(INDEX($V$2:$V$1001,MATCH(ROWS($U$2:U187),$U$2:$U$1001,0),1)&gt;=100000,INDEX($AB$1005:$AQ$1005,1,MATCH(COLUMNS($AB$1006:AG1006),$AB$1006:$AQ$1006,0))&gt;=100000), " ",IF(INDEX($AB$2:$AQ$1001,MATCH(ROWS($U$2:U187),$U$2:$U$1001,0),MATCH(COLUMNS($AB$1006:AG1006),$AB$1006:$AQ$1006,0)), HYPERLINK("#",""), HYPERLINK(CONCATENATE("#Metadata!", ADDRESS(INDEX($W$2:$W$1001,MATCH(ROWS($U$2:U187),$U$2:$U$1001,0),0), INDEX($AB$1004:$AQ$1004,1,MATCH(COLUMNS($AB$1006:AG1006),$AB$1006:$AQ$1006,0)))),"Fix")))</f>
        <v>0</v>
      </c>
      <c r="H187" s="5">
        <f>IF(OR(INDEX($V$2:$V$1001,MATCH(ROWS($U$2:U187),$U$2:$U$1001,0),1)&gt;=100000,INDEX($AB$1005:$AQ$1005,1,MATCH(COLUMNS($AB$1006:AH1006),$AB$1006:$AQ$1006,0))&gt;=100000), " ",IF(INDEX($AB$2:$AQ$1001,MATCH(ROWS($U$2:U187),$U$2:$U$1001,0),MATCH(COLUMNS($AB$1006:AH1006),$AB$1006:$AQ$1006,0)), HYPERLINK("#",""), HYPERLINK(CONCATENATE("#Metadata!", ADDRESS(INDEX($W$2:$W$1001,MATCH(ROWS($U$2:U187),$U$2:$U$1001,0),0), INDEX($AB$1004:$AQ$1004,1,MATCH(COLUMNS($AB$1006:AH1006),$AB$1006:$AQ$1006,0)))),"Fix")))</f>
        <v>0</v>
      </c>
      <c r="I187" s="5">
        <f>IF(OR(INDEX($V$2:$V$1001,MATCH(ROWS($U$2:U187),$U$2:$U$1001,0),1)&gt;=100000,INDEX($AB$1005:$AQ$1005,1,MATCH(COLUMNS($AB$1006:AI1006),$AB$1006:$AQ$1006,0))&gt;=100000), " ",IF(INDEX($AB$2:$AQ$1001,MATCH(ROWS($U$2:U187),$U$2:$U$1001,0),MATCH(COLUMNS($AB$1006:AI1006),$AB$1006:$AQ$1006,0)), HYPERLINK("#",""), HYPERLINK(CONCATENATE("#Metadata!", ADDRESS(INDEX($W$2:$W$1001,MATCH(ROWS($U$2:U187),$U$2:$U$1001,0),0), INDEX($AB$1004:$AQ$1004,1,MATCH(COLUMNS($AB$1006:AI1006),$AB$1006:$AQ$1006,0)))),"Fix")))</f>
        <v>0</v>
      </c>
      <c r="J187" s="5">
        <f>IF(OR(INDEX($V$2:$V$1001,MATCH(ROWS($U$2:U187),$U$2:$U$1001,0),1)&gt;=100000,INDEX($AB$1005:$AQ$1005,1,MATCH(COLUMNS($AB$1006:AJ1006),$AB$1006:$AQ$1006,0))&gt;=100000), " ",IF(INDEX($AB$2:$AQ$1001,MATCH(ROWS($U$2:U187),$U$2:$U$1001,0),MATCH(COLUMNS($AB$1006:AJ1006),$AB$1006:$AQ$1006,0)), HYPERLINK("#",""), HYPERLINK(CONCATENATE("#Metadata!", ADDRESS(INDEX($W$2:$W$1001,MATCH(ROWS($U$2:U187),$U$2:$U$1001,0),0), INDEX($AB$1004:$AQ$1004,1,MATCH(COLUMNS($AB$1006:AJ1006),$AB$1006:$AQ$1006,0)))),"Fix")))</f>
        <v>0</v>
      </c>
      <c r="K187" s="5">
        <f>IF(OR(INDEX($V$2:$V$1001,MATCH(ROWS($U$2:U187),$U$2:$U$1001,0),1)&gt;=100000,INDEX($AB$1005:$AQ$1005,1,MATCH(COLUMNS($AB$1006:AK1006),$AB$1006:$AQ$1006,0))&gt;=100000), " ",IF(INDEX($AB$2:$AQ$1001,MATCH(ROWS($U$2:U187),$U$2:$U$1001,0),MATCH(COLUMNS($AB$1006:AK1006),$AB$1006:$AQ$1006,0)), HYPERLINK("#",""), HYPERLINK(CONCATENATE("#Metadata!", ADDRESS(INDEX($W$2:$W$1001,MATCH(ROWS($U$2:U187),$U$2:$U$1001,0),0), INDEX($AB$1004:$AQ$1004,1,MATCH(COLUMNS($AB$1006:AK1006),$AB$1006:$AQ$1006,0)))),"Fix")))</f>
        <v>0</v>
      </c>
      <c r="L187" s="5">
        <f>IF(OR(INDEX($V$2:$V$1001,MATCH(ROWS($U$2:U187),$U$2:$U$1001,0),1)&gt;=100000,INDEX($AB$1005:$AQ$1005,1,MATCH(COLUMNS($AB$1006:AL1006),$AB$1006:$AQ$1006,0))&gt;=100000), " ",IF(INDEX($AB$2:$AQ$1001,MATCH(ROWS($U$2:U187),$U$2:$U$1001,0),MATCH(COLUMNS($AB$1006:AL1006),$AB$1006:$AQ$1006,0)), HYPERLINK("#",""), HYPERLINK(CONCATENATE("#Metadata!", ADDRESS(INDEX($W$2:$W$1001,MATCH(ROWS($U$2:U187),$U$2:$U$1001,0),0), INDEX($AB$1004:$AQ$1004,1,MATCH(COLUMNS($AB$1006:AL1006),$AB$1006:$AQ$1006,0)))),"Fix")))</f>
        <v>0</v>
      </c>
      <c r="M187" s="5">
        <f>IF(OR(INDEX($V$2:$V$1001,MATCH(ROWS($U$2:U187),$U$2:$U$1001,0),1)&gt;=100000,INDEX($AB$1005:$AQ$1005,1,MATCH(COLUMNS($AB$1006:AM1006),$AB$1006:$AQ$1006,0))&gt;=100000), " ",IF(INDEX($AB$2:$AQ$1001,MATCH(ROWS($U$2:U187),$U$2:$U$1001,0),MATCH(COLUMNS($AB$1006:AM1006),$AB$1006:$AQ$1006,0)), HYPERLINK("#",""), HYPERLINK(CONCATENATE("#Metadata!", ADDRESS(INDEX($W$2:$W$1001,MATCH(ROWS($U$2:U187),$U$2:$U$1001,0),0), INDEX($AB$1004:$AQ$1004,1,MATCH(COLUMNS($AB$1006:AM1006),$AB$1006:$AQ$1006,0)))),"Fix")))</f>
        <v>0</v>
      </c>
      <c r="N187" s="5">
        <f>IF(OR(INDEX($V$2:$V$1001,MATCH(ROWS($U$2:U187),$U$2:$U$1001,0),1)&gt;=100000,INDEX($AB$1005:$AQ$1005,1,MATCH(COLUMNS($AB$1006:AN1006),$AB$1006:$AQ$1006,0))&gt;=100000), " ",IF(INDEX($AB$2:$AQ$1001,MATCH(ROWS($U$2:U187),$U$2:$U$1001,0),MATCH(COLUMNS($AB$1006:AN1006),$AB$1006:$AQ$1006,0)), HYPERLINK("#",""), HYPERLINK(CONCATENATE("#Metadata!", ADDRESS(INDEX($W$2:$W$1001,MATCH(ROWS($U$2:U187),$U$2:$U$1001,0),0), INDEX($AB$1004:$AQ$1004,1,MATCH(COLUMNS($AB$1006:AN1006),$AB$1006:$AQ$1006,0)))),"Fix")))</f>
        <v>0</v>
      </c>
      <c r="O187" s="5">
        <f>IF(OR(INDEX($V$2:$V$1001,MATCH(ROWS($U$2:U187),$U$2:$U$1001,0),1)&gt;=100000,INDEX($AB$1005:$AQ$1005,1,MATCH(COLUMNS($AB$1006:AO1006),$AB$1006:$AQ$1006,0))&gt;=100000), " ",IF(INDEX($AB$2:$AQ$1001,MATCH(ROWS($U$2:U187),$U$2:$U$1001,0),MATCH(COLUMNS($AB$1006:AO1006),$AB$1006:$AQ$1006,0)), HYPERLINK("#",""), HYPERLINK(CONCATENATE("#Metadata!", ADDRESS(INDEX($W$2:$W$1001,MATCH(ROWS($U$2:U187),$U$2:$U$1001,0),0), INDEX($AB$1004:$AQ$1004,1,MATCH(COLUMNS($AB$1006:AO1006),$AB$1006:$AQ$1006,0)))),"Fix")))</f>
        <v>0</v>
      </c>
      <c r="P187" s="5">
        <f>IF(OR(INDEX($V$2:$V$1001,MATCH(ROWS($U$2:U187),$U$2:$U$1001,0),1)&gt;=100000,INDEX($AB$1005:$AQ$1005,1,MATCH(COLUMNS($AB$1006:AP1006),$AB$1006:$AQ$1006,0))&gt;=100000), " ",IF(INDEX($AB$2:$AQ$1001,MATCH(ROWS($U$2:U187),$U$2:$U$1001,0),MATCH(COLUMNS($AB$1006:AP1006),$AB$1006:$AQ$1006,0)), HYPERLINK("#",""), HYPERLINK(CONCATENATE("#Metadata!", ADDRESS(INDEX($W$2:$W$1001,MATCH(ROWS($U$2:U187),$U$2:$U$1001,0),0), INDEX($AB$1004:$AQ$1004,1,MATCH(COLUMNS($AB$1006:AP1006),$AB$1006:$AQ$1006,0)))),"Fix")))</f>
        <v>0</v>
      </c>
      <c r="Q187" s="5">
        <f>IF(OR(INDEX($V$2:$V$1001,MATCH(ROWS($U$2:U187),$U$2:$U$1001,0),1)&gt;=100000,INDEX($AB$1005:$AQ$1005,1,MATCH(COLUMNS($AB$1006:AQ1006),$AB$1006:$AQ$1006,0))&gt;=100000), " ",IF(INDEX($AB$2:$AQ$1001,MATCH(ROWS($U$2:U187),$U$2:$U$1001,0),MATCH(COLUMNS($AB$1006:AQ1006),$AB$1006:$AQ$1006,0)), HYPERLINK("#",""), HYPERLINK(CONCATENATE("#Metadata!", ADDRESS(INDEX($W$2:$W$1001,MATCH(ROWS($U$2:U187),$U$2:$U$1001,0),0), INDEX($AB$1004:$AQ$1004,1,MATCH(COLUMNS($AB$1006:AQ1006),$AB$1006:$AQ$1006,0)))),"Fix")))</f>
        <v>0</v>
      </c>
      <c r="U187">
        <v>0</v>
      </c>
      <c r="V187">
        <v>0</v>
      </c>
      <c r="W187">
        <v>0</v>
      </c>
      <c r="X187">
        <f>IF(Y187,TRUE,AND(AB187:AQ187))</f>
        <v>0</v>
      </c>
      <c r="Y187">
        <f>COUNTBLANK(Metadata!B187:Q187)=COLUMNS(Metadata!B187:Q187)</f>
        <v>0</v>
      </c>
      <c r="Z187">
        <v>0</v>
      </c>
      <c r="AB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AC187">
        <f>AND(IF(Metadata!C187="",FALSE,TRUE),exact(Metadata!C187,"urban biome"))</f>
        <v>0</v>
      </c>
      <c r="AD187">
        <f>AND(IF(Metadata!D187="",FALSE,TRUE),exact(Metadata!D187,"human-associated habitat"))</f>
        <v>0</v>
      </c>
      <c r="AE187">
        <f>AND(IF(Metadata!E187="",FALSE,TRUE),OR(exact(Metadata!E187,"human-associated"),exact(Metadata!E187,"human-skin"),exact(Metadata!E187,"human-oral"),exact(Metadata!E187,"human-gut"),exact(Metadata!E187,"human-vaginal")))</f>
        <v>0</v>
      </c>
      <c r="AF187">
        <f>AND(IF(Metadata!F187="",FALSE,ISNUMBER(VALUE(Metadata!F187))),Metadata!F187&gt;0)</f>
        <v>0</v>
      </c>
      <c r="AG187">
        <f>AND(IF(Metadata!G187="",FALSE,TRUE),exact(Metadata!G187,"years"))</f>
        <v>0</v>
      </c>
      <c r="AH187">
        <f>OR(AND(IF(Metadata!H187="",FALSE,TRUE),OR(exact(Metadata!H187,"not applicable"),exact(Metadata!H187,"not collected"),exact(Metadata!H187,"not provided"),exact(Metadata!H187,"restricted access"))),AND(IF(Metadata!H187="",FALSE,ISNUMBER(VALUE(Metadata!H187))),Metadata!H187&gt;0))</f>
        <v>0</v>
      </c>
      <c r="AI187">
        <f>AND(IF(Metadata!I187="",FALSE,TRUE),exact(Metadata!I187,"human"))</f>
        <v>0</v>
      </c>
      <c r="AJ187">
        <f>AND(IF(Metadata!J187="",FALSE,ISNUMBER(VALUE(Metadata!J187))),Metadata!J187&gt;0)</f>
        <v>0</v>
      </c>
      <c r="AK187">
        <f>AND(IF(Metadata!K187="",FALSE,TRUE),exact(Metadata!K187,"cm"))</f>
        <v>0</v>
      </c>
      <c r="AL187">
        <f>AND(IF(Metadata!L187="",FALSE,TRUE),exact(Metadata!L187,"Homo sapiens"))</f>
        <v>0</v>
      </c>
      <c r="AM187">
        <f>AND(IF(Metadata!M187="",FALSE,TRUE),exact(Metadata!M187,"9606"))</f>
        <v>0</v>
      </c>
      <c r="AN187">
        <f>AND(IF(Metadata!N187="",FALSE,ISNUMBER(VALUE(Metadata!N187))),Metadata!N187&gt;0)</f>
        <v>0</v>
      </c>
      <c r="AO187">
        <f>AND(IF(Metadata!O187="",FALSE,TRUE),exact(Metadata!O187,"kg"))</f>
        <v>0</v>
      </c>
      <c r="AP187">
        <f>OR(AND(IF(Metadata!P187="",FALSE,TRUE),exact(Metadata!P187,"not provided")),IF(Metadata!P187="",FALSE,TRUE))</f>
        <v>0</v>
      </c>
      <c r="AQ187">
        <f>OR(AND(IF(Metadata!Q187="",FALSE,TRUE),exact(Metadata!Q187,"not provided")),IF(Metadata!Q187="",FALSE,TRUE))</f>
        <v>0</v>
      </c>
    </row>
    <row r="188" spans="1:43">
      <c r="A188" s="4">
        <f>IF(B188=" "," ",HYPERLINK(CONCATENATE("#metadata!",ADDRESS(INDEX($W$2:$W$1001,MATCH(ROWS($U$2:U188),$U$2:$U$1001,0),0),2)),INDEX($Z$2:$Z$1001,MATCH(ROWS($U$2:U188),$U$2:$U$1001,0),0)))</f>
        <v>0</v>
      </c>
      <c r="B188" s="5">
        <f>IF(OR(INDEX($V$2:$V$1001,MATCH(ROWS($U$2:U188),$U$2:$U$1001,0),1)&gt;=100000,INDEX($AB$1005:$AQ$1005,1,MATCH(COLUMNS($AB$1006:AB1006),$AB$1006:$AQ$1006,0))&gt;=100000), " ",IF(INDEX($AB$2:$AQ$1001,MATCH(ROWS($U$2:U188),$U$2:$U$1001,0),MATCH(COLUMNS($AB$1006:AB1006),$AB$1006:$AQ$1006,0)), HYPERLINK("#",""), HYPERLINK(CONCATENATE("#Metadata!", ADDRESS(INDEX($W$2:$W$1001,MATCH(ROWS($U$2:U188),$U$2:$U$1001,0),0), INDEX($AB$1004:$AQ$1004,1,MATCH(COLUMNS($AB$1006:AB1006),$AB$1006:$AQ$1006,0)))),"Fix")))</f>
        <v>0</v>
      </c>
      <c r="C188" s="5">
        <f>IF(OR(INDEX($V$2:$V$1001,MATCH(ROWS($U$2:U188),$U$2:$U$1001,0),1)&gt;=100000,INDEX($AB$1005:$AQ$1005,1,MATCH(COLUMNS($AB$1006:AC1006),$AB$1006:$AQ$1006,0))&gt;=100000), " ",IF(INDEX($AB$2:$AQ$1001,MATCH(ROWS($U$2:U188),$U$2:$U$1001,0),MATCH(COLUMNS($AB$1006:AC1006),$AB$1006:$AQ$1006,0)), HYPERLINK("#",""), HYPERLINK(CONCATENATE("#Metadata!", ADDRESS(INDEX($W$2:$W$1001,MATCH(ROWS($U$2:U188),$U$2:$U$1001,0),0), INDEX($AB$1004:$AQ$1004,1,MATCH(COLUMNS($AB$1006:AC1006),$AB$1006:$AQ$1006,0)))),"Fix")))</f>
        <v>0</v>
      </c>
      <c r="D188" s="5">
        <f>IF(OR(INDEX($V$2:$V$1001,MATCH(ROWS($U$2:U188),$U$2:$U$1001,0),1)&gt;=100000,INDEX($AB$1005:$AQ$1005,1,MATCH(COLUMNS($AB$1006:AD1006),$AB$1006:$AQ$1006,0))&gt;=100000), " ",IF(INDEX($AB$2:$AQ$1001,MATCH(ROWS($U$2:U188),$U$2:$U$1001,0),MATCH(COLUMNS($AB$1006:AD1006),$AB$1006:$AQ$1006,0)), HYPERLINK("#",""), HYPERLINK(CONCATENATE("#Metadata!", ADDRESS(INDEX($W$2:$W$1001,MATCH(ROWS($U$2:U188),$U$2:$U$1001,0),0), INDEX($AB$1004:$AQ$1004,1,MATCH(COLUMNS($AB$1006:AD1006),$AB$1006:$AQ$1006,0)))),"Fix")))</f>
        <v>0</v>
      </c>
      <c r="E188" s="5">
        <f>IF(OR(INDEX($V$2:$V$1001,MATCH(ROWS($U$2:U188),$U$2:$U$1001,0),1)&gt;=100000,INDEX($AB$1005:$AQ$1005,1,MATCH(COLUMNS($AB$1006:AE1006),$AB$1006:$AQ$1006,0))&gt;=100000), " ",IF(INDEX($AB$2:$AQ$1001,MATCH(ROWS($U$2:U188),$U$2:$U$1001,0),MATCH(COLUMNS($AB$1006:AE1006),$AB$1006:$AQ$1006,0)), HYPERLINK("#",""), HYPERLINK(CONCATENATE("#Metadata!", ADDRESS(INDEX($W$2:$W$1001,MATCH(ROWS($U$2:U188),$U$2:$U$1001,0),0), INDEX($AB$1004:$AQ$1004,1,MATCH(COLUMNS($AB$1006:AE1006),$AB$1006:$AQ$1006,0)))),"Fix")))</f>
        <v>0</v>
      </c>
      <c r="F188" s="5">
        <f>IF(OR(INDEX($V$2:$V$1001,MATCH(ROWS($U$2:U188),$U$2:$U$1001,0),1)&gt;=100000,INDEX($AB$1005:$AQ$1005,1,MATCH(COLUMNS($AB$1006:AF1006),$AB$1006:$AQ$1006,0))&gt;=100000), " ",IF(INDEX($AB$2:$AQ$1001,MATCH(ROWS($U$2:U188),$U$2:$U$1001,0),MATCH(COLUMNS($AB$1006:AF1006),$AB$1006:$AQ$1006,0)), HYPERLINK("#",""), HYPERLINK(CONCATENATE("#Metadata!", ADDRESS(INDEX($W$2:$W$1001,MATCH(ROWS($U$2:U188),$U$2:$U$1001,0),0), INDEX($AB$1004:$AQ$1004,1,MATCH(COLUMNS($AB$1006:AF1006),$AB$1006:$AQ$1006,0)))),"Fix")))</f>
        <v>0</v>
      </c>
      <c r="G188" s="5">
        <f>IF(OR(INDEX($V$2:$V$1001,MATCH(ROWS($U$2:U188),$U$2:$U$1001,0),1)&gt;=100000,INDEX($AB$1005:$AQ$1005,1,MATCH(COLUMNS($AB$1006:AG1006),$AB$1006:$AQ$1006,0))&gt;=100000), " ",IF(INDEX($AB$2:$AQ$1001,MATCH(ROWS($U$2:U188),$U$2:$U$1001,0),MATCH(COLUMNS($AB$1006:AG1006),$AB$1006:$AQ$1006,0)), HYPERLINK("#",""), HYPERLINK(CONCATENATE("#Metadata!", ADDRESS(INDEX($W$2:$W$1001,MATCH(ROWS($U$2:U188),$U$2:$U$1001,0),0), INDEX($AB$1004:$AQ$1004,1,MATCH(COLUMNS($AB$1006:AG1006),$AB$1006:$AQ$1006,0)))),"Fix")))</f>
        <v>0</v>
      </c>
      <c r="H188" s="5">
        <f>IF(OR(INDEX($V$2:$V$1001,MATCH(ROWS($U$2:U188),$U$2:$U$1001,0),1)&gt;=100000,INDEX($AB$1005:$AQ$1005,1,MATCH(COLUMNS($AB$1006:AH1006),$AB$1006:$AQ$1006,0))&gt;=100000), " ",IF(INDEX($AB$2:$AQ$1001,MATCH(ROWS($U$2:U188),$U$2:$U$1001,0),MATCH(COLUMNS($AB$1006:AH1006),$AB$1006:$AQ$1006,0)), HYPERLINK("#",""), HYPERLINK(CONCATENATE("#Metadata!", ADDRESS(INDEX($W$2:$W$1001,MATCH(ROWS($U$2:U188),$U$2:$U$1001,0),0), INDEX($AB$1004:$AQ$1004,1,MATCH(COLUMNS($AB$1006:AH1006),$AB$1006:$AQ$1006,0)))),"Fix")))</f>
        <v>0</v>
      </c>
      <c r="I188" s="5">
        <f>IF(OR(INDEX($V$2:$V$1001,MATCH(ROWS($U$2:U188),$U$2:$U$1001,0),1)&gt;=100000,INDEX($AB$1005:$AQ$1005,1,MATCH(COLUMNS($AB$1006:AI1006),$AB$1006:$AQ$1006,0))&gt;=100000), " ",IF(INDEX($AB$2:$AQ$1001,MATCH(ROWS($U$2:U188),$U$2:$U$1001,0),MATCH(COLUMNS($AB$1006:AI1006),$AB$1006:$AQ$1006,0)), HYPERLINK("#",""), HYPERLINK(CONCATENATE("#Metadata!", ADDRESS(INDEX($W$2:$W$1001,MATCH(ROWS($U$2:U188),$U$2:$U$1001,0),0), INDEX($AB$1004:$AQ$1004,1,MATCH(COLUMNS($AB$1006:AI1006),$AB$1006:$AQ$1006,0)))),"Fix")))</f>
        <v>0</v>
      </c>
      <c r="J188" s="5">
        <f>IF(OR(INDEX($V$2:$V$1001,MATCH(ROWS($U$2:U188),$U$2:$U$1001,0),1)&gt;=100000,INDEX($AB$1005:$AQ$1005,1,MATCH(COLUMNS($AB$1006:AJ1006),$AB$1006:$AQ$1006,0))&gt;=100000), " ",IF(INDEX($AB$2:$AQ$1001,MATCH(ROWS($U$2:U188),$U$2:$U$1001,0),MATCH(COLUMNS($AB$1006:AJ1006),$AB$1006:$AQ$1006,0)), HYPERLINK("#",""), HYPERLINK(CONCATENATE("#Metadata!", ADDRESS(INDEX($W$2:$W$1001,MATCH(ROWS($U$2:U188),$U$2:$U$1001,0),0), INDEX($AB$1004:$AQ$1004,1,MATCH(COLUMNS($AB$1006:AJ1006),$AB$1006:$AQ$1006,0)))),"Fix")))</f>
        <v>0</v>
      </c>
      <c r="K188" s="5">
        <f>IF(OR(INDEX($V$2:$V$1001,MATCH(ROWS($U$2:U188),$U$2:$U$1001,0),1)&gt;=100000,INDEX($AB$1005:$AQ$1005,1,MATCH(COLUMNS($AB$1006:AK1006),$AB$1006:$AQ$1006,0))&gt;=100000), " ",IF(INDEX($AB$2:$AQ$1001,MATCH(ROWS($U$2:U188),$U$2:$U$1001,0),MATCH(COLUMNS($AB$1006:AK1006),$AB$1006:$AQ$1006,0)), HYPERLINK("#",""), HYPERLINK(CONCATENATE("#Metadata!", ADDRESS(INDEX($W$2:$W$1001,MATCH(ROWS($U$2:U188),$U$2:$U$1001,0),0), INDEX($AB$1004:$AQ$1004,1,MATCH(COLUMNS($AB$1006:AK1006),$AB$1006:$AQ$1006,0)))),"Fix")))</f>
        <v>0</v>
      </c>
      <c r="L188" s="5">
        <f>IF(OR(INDEX($V$2:$V$1001,MATCH(ROWS($U$2:U188),$U$2:$U$1001,0),1)&gt;=100000,INDEX($AB$1005:$AQ$1005,1,MATCH(COLUMNS($AB$1006:AL1006),$AB$1006:$AQ$1006,0))&gt;=100000), " ",IF(INDEX($AB$2:$AQ$1001,MATCH(ROWS($U$2:U188),$U$2:$U$1001,0),MATCH(COLUMNS($AB$1006:AL1006),$AB$1006:$AQ$1006,0)), HYPERLINK("#",""), HYPERLINK(CONCATENATE("#Metadata!", ADDRESS(INDEX($W$2:$W$1001,MATCH(ROWS($U$2:U188),$U$2:$U$1001,0),0), INDEX($AB$1004:$AQ$1004,1,MATCH(COLUMNS($AB$1006:AL1006),$AB$1006:$AQ$1006,0)))),"Fix")))</f>
        <v>0</v>
      </c>
      <c r="M188" s="5">
        <f>IF(OR(INDEX($V$2:$V$1001,MATCH(ROWS($U$2:U188),$U$2:$U$1001,0),1)&gt;=100000,INDEX($AB$1005:$AQ$1005,1,MATCH(COLUMNS($AB$1006:AM1006),$AB$1006:$AQ$1006,0))&gt;=100000), " ",IF(INDEX($AB$2:$AQ$1001,MATCH(ROWS($U$2:U188),$U$2:$U$1001,0),MATCH(COLUMNS($AB$1006:AM1006),$AB$1006:$AQ$1006,0)), HYPERLINK("#",""), HYPERLINK(CONCATENATE("#Metadata!", ADDRESS(INDEX($W$2:$W$1001,MATCH(ROWS($U$2:U188),$U$2:$U$1001,0),0), INDEX($AB$1004:$AQ$1004,1,MATCH(COLUMNS($AB$1006:AM1006),$AB$1006:$AQ$1006,0)))),"Fix")))</f>
        <v>0</v>
      </c>
      <c r="N188" s="5">
        <f>IF(OR(INDEX($V$2:$V$1001,MATCH(ROWS($U$2:U188),$U$2:$U$1001,0),1)&gt;=100000,INDEX($AB$1005:$AQ$1005,1,MATCH(COLUMNS($AB$1006:AN1006),$AB$1006:$AQ$1006,0))&gt;=100000), " ",IF(INDEX($AB$2:$AQ$1001,MATCH(ROWS($U$2:U188),$U$2:$U$1001,0),MATCH(COLUMNS($AB$1006:AN1006),$AB$1006:$AQ$1006,0)), HYPERLINK("#",""), HYPERLINK(CONCATENATE("#Metadata!", ADDRESS(INDEX($W$2:$W$1001,MATCH(ROWS($U$2:U188),$U$2:$U$1001,0),0), INDEX($AB$1004:$AQ$1004,1,MATCH(COLUMNS($AB$1006:AN1006),$AB$1006:$AQ$1006,0)))),"Fix")))</f>
        <v>0</v>
      </c>
      <c r="O188" s="5">
        <f>IF(OR(INDEX($V$2:$V$1001,MATCH(ROWS($U$2:U188),$U$2:$U$1001,0),1)&gt;=100000,INDEX($AB$1005:$AQ$1005,1,MATCH(COLUMNS($AB$1006:AO1006),$AB$1006:$AQ$1006,0))&gt;=100000), " ",IF(INDEX($AB$2:$AQ$1001,MATCH(ROWS($U$2:U188),$U$2:$U$1001,0),MATCH(COLUMNS($AB$1006:AO1006),$AB$1006:$AQ$1006,0)), HYPERLINK("#",""), HYPERLINK(CONCATENATE("#Metadata!", ADDRESS(INDEX($W$2:$W$1001,MATCH(ROWS($U$2:U188),$U$2:$U$1001,0),0), INDEX($AB$1004:$AQ$1004,1,MATCH(COLUMNS($AB$1006:AO1006),$AB$1006:$AQ$1006,0)))),"Fix")))</f>
        <v>0</v>
      </c>
      <c r="P188" s="5">
        <f>IF(OR(INDEX($V$2:$V$1001,MATCH(ROWS($U$2:U188),$U$2:$U$1001,0),1)&gt;=100000,INDEX($AB$1005:$AQ$1005,1,MATCH(COLUMNS($AB$1006:AP1006),$AB$1006:$AQ$1006,0))&gt;=100000), " ",IF(INDEX($AB$2:$AQ$1001,MATCH(ROWS($U$2:U188),$U$2:$U$1001,0),MATCH(COLUMNS($AB$1006:AP1006),$AB$1006:$AQ$1006,0)), HYPERLINK("#",""), HYPERLINK(CONCATENATE("#Metadata!", ADDRESS(INDEX($W$2:$W$1001,MATCH(ROWS($U$2:U188),$U$2:$U$1001,0),0), INDEX($AB$1004:$AQ$1004,1,MATCH(COLUMNS($AB$1006:AP1006),$AB$1006:$AQ$1006,0)))),"Fix")))</f>
        <v>0</v>
      </c>
      <c r="Q188" s="5">
        <f>IF(OR(INDEX($V$2:$V$1001,MATCH(ROWS($U$2:U188),$U$2:$U$1001,0),1)&gt;=100000,INDEX($AB$1005:$AQ$1005,1,MATCH(COLUMNS($AB$1006:AQ1006),$AB$1006:$AQ$1006,0))&gt;=100000), " ",IF(INDEX($AB$2:$AQ$1001,MATCH(ROWS($U$2:U188),$U$2:$U$1001,0),MATCH(COLUMNS($AB$1006:AQ1006),$AB$1006:$AQ$1006,0)), HYPERLINK("#",""), HYPERLINK(CONCATENATE("#Metadata!", ADDRESS(INDEX($W$2:$W$1001,MATCH(ROWS($U$2:U188),$U$2:$U$1001,0),0), INDEX($AB$1004:$AQ$1004,1,MATCH(COLUMNS($AB$1006:AQ1006),$AB$1006:$AQ$1006,0)))),"Fix")))</f>
        <v>0</v>
      </c>
      <c r="U188">
        <v>0</v>
      </c>
      <c r="V188">
        <v>0</v>
      </c>
      <c r="W188">
        <v>0</v>
      </c>
      <c r="X188">
        <f>IF(Y188,TRUE,AND(AB188:AQ188))</f>
        <v>0</v>
      </c>
      <c r="Y188">
        <f>COUNTBLANK(Metadata!B188:Q188)=COLUMNS(Metadata!B188:Q188)</f>
        <v>0</v>
      </c>
      <c r="Z188">
        <v>0</v>
      </c>
      <c r="AB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AC188">
        <f>AND(IF(Metadata!C188="",FALSE,TRUE),exact(Metadata!C188,"urban biome"))</f>
        <v>0</v>
      </c>
      <c r="AD188">
        <f>AND(IF(Metadata!D188="",FALSE,TRUE),exact(Metadata!D188,"human-associated habitat"))</f>
        <v>0</v>
      </c>
      <c r="AE188">
        <f>AND(IF(Metadata!E188="",FALSE,TRUE),OR(exact(Metadata!E188,"human-associated"),exact(Metadata!E188,"human-skin"),exact(Metadata!E188,"human-oral"),exact(Metadata!E188,"human-gut"),exact(Metadata!E188,"human-vaginal")))</f>
        <v>0</v>
      </c>
      <c r="AF188">
        <f>AND(IF(Metadata!F188="",FALSE,ISNUMBER(VALUE(Metadata!F188))),Metadata!F188&gt;0)</f>
        <v>0</v>
      </c>
      <c r="AG188">
        <f>AND(IF(Metadata!G188="",FALSE,TRUE),exact(Metadata!G188,"years"))</f>
        <v>0</v>
      </c>
      <c r="AH188">
        <f>OR(AND(IF(Metadata!H188="",FALSE,TRUE),OR(exact(Metadata!H188,"not applicable"),exact(Metadata!H188,"not collected"),exact(Metadata!H188,"not provided"),exact(Metadata!H188,"restricted access"))),AND(IF(Metadata!H188="",FALSE,ISNUMBER(VALUE(Metadata!H188))),Metadata!H188&gt;0))</f>
        <v>0</v>
      </c>
      <c r="AI188">
        <f>AND(IF(Metadata!I188="",FALSE,TRUE),exact(Metadata!I188,"human"))</f>
        <v>0</v>
      </c>
      <c r="AJ188">
        <f>AND(IF(Metadata!J188="",FALSE,ISNUMBER(VALUE(Metadata!J188))),Metadata!J188&gt;0)</f>
        <v>0</v>
      </c>
      <c r="AK188">
        <f>AND(IF(Metadata!K188="",FALSE,TRUE),exact(Metadata!K188,"cm"))</f>
        <v>0</v>
      </c>
      <c r="AL188">
        <f>AND(IF(Metadata!L188="",FALSE,TRUE),exact(Metadata!L188,"Homo sapiens"))</f>
        <v>0</v>
      </c>
      <c r="AM188">
        <f>AND(IF(Metadata!M188="",FALSE,TRUE),exact(Metadata!M188,"9606"))</f>
        <v>0</v>
      </c>
      <c r="AN188">
        <f>AND(IF(Metadata!N188="",FALSE,ISNUMBER(VALUE(Metadata!N188))),Metadata!N188&gt;0)</f>
        <v>0</v>
      </c>
      <c r="AO188">
        <f>AND(IF(Metadata!O188="",FALSE,TRUE),exact(Metadata!O188,"kg"))</f>
        <v>0</v>
      </c>
      <c r="AP188">
        <f>OR(AND(IF(Metadata!P188="",FALSE,TRUE),exact(Metadata!P188,"not provided")),IF(Metadata!P188="",FALSE,TRUE))</f>
        <v>0</v>
      </c>
      <c r="AQ188">
        <f>OR(AND(IF(Metadata!Q188="",FALSE,TRUE),exact(Metadata!Q188,"not provided")),IF(Metadata!Q188="",FALSE,TRUE))</f>
        <v>0</v>
      </c>
    </row>
    <row r="189" spans="1:43">
      <c r="A189" s="4">
        <f>IF(B189=" "," ",HYPERLINK(CONCATENATE("#metadata!",ADDRESS(INDEX($W$2:$W$1001,MATCH(ROWS($U$2:U189),$U$2:$U$1001,0),0),2)),INDEX($Z$2:$Z$1001,MATCH(ROWS($U$2:U189),$U$2:$U$1001,0),0)))</f>
        <v>0</v>
      </c>
      <c r="B189" s="5">
        <f>IF(OR(INDEX($V$2:$V$1001,MATCH(ROWS($U$2:U189),$U$2:$U$1001,0),1)&gt;=100000,INDEX($AB$1005:$AQ$1005,1,MATCH(COLUMNS($AB$1006:AB1006),$AB$1006:$AQ$1006,0))&gt;=100000), " ",IF(INDEX($AB$2:$AQ$1001,MATCH(ROWS($U$2:U189),$U$2:$U$1001,0),MATCH(COLUMNS($AB$1006:AB1006),$AB$1006:$AQ$1006,0)), HYPERLINK("#",""), HYPERLINK(CONCATENATE("#Metadata!", ADDRESS(INDEX($W$2:$W$1001,MATCH(ROWS($U$2:U189),$U$2:$U$1001,0),0), INDEX($AB$1004:$AQ$1004,1,MATCH(COLUMNS($AB$1006:AB1006),$AB$1006:$AQ$1006,0)))),"Fix")))</f>
        <v>0</v>
      </c>
      <c r="C189" s="5">
        <f>IF(OR(INDEX($V$2:$V$1001,MATCH(ROWS($U$2:U189),$U$2:$U$1001,0),1)&gt;=100000,INDEX($AB$1005:$AQ$1005,1,MATCH(COLUMNS($AB$1006:AC1006),$AB$1006:$AQ$1006,0))&gt;=100000), " ",IF(INDEX($AB$2:$AQ$1001,MATCH(ROWS($U$2:U189),$U$2:$U$1001,0),MATCH(COLUMNS($AB$1006:AC1006),$AB$1006:$AQ$1006,0)), HYPERLINK("#",""), HYPERLINK(CONCATENATE("#Metadata!", ADDRESS(INDEX($W$2:$W$1001,MATCH(ROWS($U$2:U189),$U$2:$U$1001,0),0), INDEX($AB$1004:$AQ$1004,1,MATCH(COLUMNS($AB$1006:AC1006),$AB$1006:$AQ$1006,0)))),"Fix")))</f>
        <v>0</v>
      </c>
      <c r="D189" s="5">
        <f>IF(OR(INDEX($V$2:$V$1001,MATCH(ROWS($U$2:U189),$U$2:$U$1001,0),1)&gt;=100000,INDEX($AB$1005:$AQ$1005,1,MATCH(COLUMNS($AB$1006:AD1006),$AB$1006:$AQ$1006,0))&gt;=100000), " ",IF(INDEX($AB$2:$AQ$1001,MATCH(ROWS($U$2:U189),$U$2:$U$1001,0),MATCH(COLUMNS($AB$1006:AD1006),$AB$1006:$AQ$1006,0)), HYPERLINK("#",""), HYPERLINK(CONCATENATE("#Metadata!", ADDRESS(INDEX($W$2:$W$1001,MATCH(ROWS($U$2:U189),$U$2:$U$1001,0),0), INDEX($AB$1004:$AQ$1004,1,MATCH(COLUMNS($AB$1006:AD1006),$AB$1006:$AQ$1006,0)))),"Fix")))</f>
        <v>0</v>
      </c>
      <c r="E189" s="5">
        <f>IF(OR(INDEX($V$2:$V$1001,MATCH(ROWS($U$2:U189),$U$2:$U$1001,0),1)&gt;=100000,INDEX($AB$1005:$AQ$1005,1,MATCH(COLUMNS($AB$1006:AE1006),$AB$1006:$AQ$1006,0))&gt;=100000), " ",IF(INDEX($AB$2:$AQ$1001,MATCH(ROWS($U$2:U189),$U$2:$U$1001,0),MATCH(COLUMNS($AB$1006:AE1006),$AB$1006:$AQ$1006,0)), HYPERLINK("#",""), HYPERLINK(CONCATENATE("#Metadata!", ADDRESS(INDEX($W$2:$W$1001,MATCH(ROWS($U$2:U189),$U$2:$U$1001,0),0), INDEX($AB$1004:$AQ$1004,1,MATCH(COLUMNS($AB$1006:AE1006),$AB$1006:$AQ$1006,0)))),"Fix")))</f>
        <v>0</v>
      </c>
      <c r="F189" s="5">
        <f>IF(OR(INDEX($V$2:$V$1001,MATCH(ROWS($U$2:U189),$U$2:$U$1001,0),1)&gt;=100000,INDEX($AB$1005:$AQ$1005,1,MATCH(COLUMNS($AB$1006:AF1006),$AB$1006:$AQ$1006,0))&gt;=100000), " ",IF(INDEX($AB$2:$AQ$1001,MATCH(ROWS($U$2:U189),$U$2:$U$1001,0),MATCH(COLUMNS($AB$1006:AF1006),$AB$1006:$AQ$1006,0)), HYPERLINK("#",""), HYPERLINK(CONCATENATE("#Metadata!", ADDRESS(INDEX($W$2:$W$1001,MATCH(ROWS($U$2:U189),$U$2:$U$1001,0),0), INDEX($AB$1004:$AQ$1004,1,MATCH(COLUMNS($AB$1006:AF1006),$AB$1006:$AQ$1006,0)))),"Fix")))</f>
        <v>0</v>
      </c>
      <c r="G189" s="5">
        <f>IF(OR(INDEX($V$2:$V$1001,MATCH(ROWS($U$2:U189),$U$2:$U$1001,0),1)&gt;=100000,INDEX($AB$1005:$AQ$1005,1,MATCH(COLUMNS($AB$1006:AG1006),$AB$1006:$AQ$1006,0))&gt;=100000), " ",IF(INDEX($AB$2:$AQ$1001,MATCH(ROWS($U$2:U189),$U$2:$U$1001,0),MATCH(COLUMNS($AB$1006:AG1006),$AB$1006:$AQ$1006,0)), HYPERLINK("#",""), HYPERLINK(CONCATENATE("#Metadata!", ADDRESS(INDEX($W$2:$W$1001,MATCH(ROWS($U$2:U189),$U$2:$U$1001,0),0), INDEX($AB$1004:$AQ$1004,1,MATCH(COLUMNS($AB$1006:AG1006),$AB$1006:$AQ$1006,0)))),"Fix")))</f>
        <v>0</v>
      </c>
      <c r="H189" s="5">
        <f>IF(OR(INDEX($V$2:$V$1001,MATCH(ROWS($U$2:U189),$U$2:$U$1001,0),1)&gt;=100000,INDEX($AB$1005:$AQ$1005,1,MATCH(COLUMNS($AB$1006:AH1006),$AB$1006:$AQ$1006,0))&gt;=100000), " ",IF(INDEX($AB$2:$AQ$1001,MATCH(ROWS($U$2:U189),$U$2:$U$1001,0),MATCH(COLUMNS($AB$1006:AH1006),$AB$1006:$AQ$1006,0)), HYPERLINK("#",""), HYPERLINK(CONCATENATE("#Metadata!", ADDRESS(INDEX($W$2:$W$1001,MATCH(ROWS($U$2:U189),$U$2:$U$1001,0),0), INDEX($AB$1004:$AQ$1004,1,MATCH(COLUMNS($AB$1006:AH1006),$AB$1006:$AQ$1006,0)))),"Fix")))</f>
        <v>0</v>
      </c>
      <c r="I189" s="5">
        <f>IF(OR(INDEX($V$2:$V$1001,MATCH(ROWS($U$2:U189),$U$2:$U$1001,0),1)&gt;=100000,INDEX($AB$1005:$AQ$1005,1,MATCH(COLUMNS($AB$1006:AI1006),$AB$1006:$AQ$1006,0))&gt;=100000), " ",IF(INDEX($AB$2:$AQ$1001,MATCH(ROWS($U$2:U189),$U$2:$U$1001,0),MATCH(COLUMNS($AB$1006:AI1006),$AB$1006:$AQ$1006,0)), HYPERLINK("#",""), HYPERLINK(CONCATENATE("#Metadata!", ADDRESS(INDEX($W$2:$W$1001,MATCH(ROWS($U$2:U189),$U$2:$U$1001,0),0), INDEX($AB$1004:$AQ$1004,1,MATCH(COLUMNS($AB$1006:AI1006),$AB$1006:$AQ$1006,0)))),"Fix")))</f>
        <v>0</v>
      </c>
      <c r="J189" s="5">
        <f>IF(OR(INDEX($V$2:$V$1001,MATCH(ROWS($U$2:U189),$U$2:$U$1001,0),1)&gt;=100000,INDEX($AB$1005:$AQ$1005,1,MATCH(COLUMNS($AB$1006:AJ1006),$AB$1006:$AQ$1006,0))&gt;=100000), " ",IF(INDEX($AB$2:$AQ$1001,MATCH(ROWS($U$2:U189),$U$2:$U$1001,0),MATCH(COLUMNS($AB$1006:AJ1006),$AB$1006:$AQ$1006,0)), HYPERLINK("#",""), HYPERLINK(CONCATENATE("#Metadata!", ADDRESS(INDEX($W$2:$W$1001,MATCH(ROWS($U$2:U189),$U$2:$U$1001,0),0), INDEX($AB$1004:$AQ$1004,1,MATCH(COLUMNS($AB$1006:AJ1006),$AB$1006:$AQ$1006,0)))),"Fix")))</f>
        <v>0</v>
      </c>
      <c r="K189" s="5">
        <f>IF(OR(INDEX($V$2:$V$1001,MATCH(ROWS($U$2:U189),$U$2:$U$1001,0),1)&gt;=100000,INDEX($AB$1005:$AQ$1005,1,MATCH(COLUMNS($AB$1006:AK1006),$AB$1006:$AQ$1006,0))&gt;=100000), " ",IF(INDEX($AB$2:$AQ$1001,MATCH(ROWS($U$2:U189),$U$2:$U$1001,0),MATCH(COLUMNS($AB$1006:AK1006),$AB$1006:$AQ$1006,0)), HYPERLINK("#",""), HYPERLINK(CONCATENATE("#Metadata!", ADDRESS(INDEX($W$2:$W$1001,MATCH(ROWS($U$2:U189),$U$2:$U$1001,0),0), INDEX($AB$1004:$AQ$1004,1,MATCH(COLUMNS($AB$1006:AK1006),$AB$1006:$AQ$1006,0)))),"Fix")))</f>
        <v>0</v>
      </c>
      <c r="L189" s="5">
        <f>IF(OR(INDEX($V$2:$V$1001,MATCH(ROWS($U$2:U189),$U$2:$U$1001,0),1)&gt;=100000,INDEX($AB$1005:$AQ$1005,1,MATCH(COLUMNS($AB$1006:AL1006),$AB$1006:$AQ$1006,0))&gt;=100000), " ",IF(INDEX($AB$2:$AQ$1001,MATCH(ROWS($U$2:U189),$U$2:$U$1001,0),MATCH(COLUMNS($AB$1006:AL1006),$AB$1006:$AQ$1006,0)), HYPERLINK("#",""), HYPERLINK(CONCATENATE("#Metadata!", ADDRESS(INDEX($W$2:$W$1001,MATCH(ROWS($U$2:U189),$U$2:$U$1001,0),0), INDEX($AB$1004:$AQ$1004,1,MATCH(COLUMNS($AB$1006:AL1006),$AB$1006:$AQ$1006,0)))),"Fix")))</f>
        <v>0</v>
      </c>
      <c r="M189" s="5">
        <f>IF(OR(INDEX($V$2:$V$1001,MATCH(ROWS($U$2:U189),$U$2:$U$1001,0),1)&gt;=100000,INDEX($AB$1005:$AQ$1005,1,MATCH(COLUMNS($AB$1006:AM1006),$AB$1006:$AQ$1006,0))&gt;=100000), " ",IF(INDEX($AB$2:$AQ$1001,MATCH(ROWS($U$2:U189),$U$2:$U$1001,0),MATCH(COLUMNS($AB$1006:AM1006),$AB$1006:$AQ$1006,0)), HYPERLINK("#",""), HYPERLINK(CONCATENATE("#Metadata!", ADDRESS(INDEX($W$2:$W$1001,MATCH(ROWS($U$2:U189),$U$2:$U$1001,0),0), INDEX($AB$1004:$AQ$1004,1,MATCH(COLUMNS($AB$1006:AM1006),$AB$1006:$AQ$1006,0)))),"Fix")))</f>
        <v>0</v>
      </c>
      <c r="N189" s="5">
        <f>IF(OR(INDEX($V$2:$V$1001,MATCH(ROWS($U$2:U189),$U$2:$U$1001,0),1)&gt;=100000,INDEX($AB$1005:$AQ$1005,1,MATCH(COLUMNS($AB$1006:AN1006),$AB$1006:$AQ$1006,0))&gt;=100000), " ",IF(INDEX($AB$2:$AQ$1001,MATCH(ROWS($U$2:U189),$U$2:$U$1001,0),MATCH(COLUMNS($AB$1006:AN1006),$AB$1006:$AQ$1006,0)), HYPERLINK("#",""), HYPERLINK(CONCATENATE("#Metadata!", ADDRESS(INDEX($W$2:$W$1001,MATCH(ROWS($U$2:U189),$U$2:$U$1001,0),0), INDEX($AB$1004:$AQ$1004,1,MATCH(COLUMNS($AB$1006:AN1006),$AB$1006:$AQ$1006,0)))),"Fix")))</f>
        <v>0</v>
      </c>
      <c r="O189" s="5">
        <f>IF(OR(INDEX($V$2:$V$1001,MATCH(ROWS($U$2:U189),$U$2:$U$1001,0),1)&gt;=100000,INDEX($AB$1005:$AQ$1005,1,MATCH(COLUMNS($AB$1006:AO1006),$AB$1006:$AQ$1006,0))&gt;=100000), " ",IF(INDEX($AB$2:$AQ$1001,MATCH(ROWS($U$2:U189),$U$2:$U$1001,0),MATCH(COLUMNS($AB$1006:AO1006),$AB$1006:$AQ$1006,0)), HYPERLINK("#",""), HYPERLINK(CONCATENATE("#Metadata!", ADDRESS(INDEX($W$2:$W$1001,MATCH(ROWS($U$2:U189),$U$2:$U$1001,0),0), INDEX($AB$1004:$AQ$1004,1,MATCH(COLUMNS($AB$1006:AO1006),$AB$1006:$AQ$1006,0)))),"Fix")))</f>
        <v>0</v>
      </c>
      <c r="P189" s="5">
        <f>IF(OR(INDEX($V$2:$V$1001,MATCH(ROWS($U$2:U189),$U$2:$U$1001,0),1)&gt;=100000,INDEX($AB$1005:$AQ$1005,1,MATCH(COLUMNS($AB$1006:AP1006),$AB$1006:$AQ$1006,0))&gt;=100000), " ",IF(INDEX($AB$2:$AQ$1001,MATCH(ROWS($U$2:U189),$U$2:$U$1001,0),MATCH(COLUMNS($AB$1006:AP1006),$AB$1006:$AQ$1006,0)), HYPERLINK("#",""), HYPERLINK(CONCATENATE("#Metadata!", ADDRESS(INDEX($W$2:$W$1001,MATCH(ROWS($U$2:U189),$U$2:$U$1001,0),0), INDEX($AB$1004:$AQ$1004,1,MATCH(COLUMNS($AB$1006:AP1006),$AB$1006:$AQ$1006,0)))),"Fix")))</f>
        <v>0</v>
      </c>
      <c r="Q189" s="5">
        <f>IF(OR(INDEX($V$2:$V$1001,MATCH(ROWS($U$2:U189),$U$2:$U$1001,0),1)&gt;=100000,INDEX($AB$1005:$AQ$1005,1,MATCH(COLUMNS($AB$1006:AQ1006),$AB$1006:$AQ$1006,0))&gt;=100000), " ",IF(INDEX($AB$2:$AQ$1001,MATCH(ROWS($U$2:U189),$U$2:$U$1001,0),MATCH(COLUMNS($AB$1006:AQ1006),$AB$1006:$AQ$1006,0)), HYPERLINK("#",""), HYPERLINK(CONCATENATE("#Metadata!", ADDRESS(INDEX($W$2:$W$1001,MATCH(ROWS($U$2:U189),$U$2:$U$1001,0),0), INDEX($AB$1004:$AQ$1004,1,MATCH(COLUMNS($AB$1006:AQ1006),$AB$1006:$AQ$1006,0)))),"Fix")))</f>
        <v>0</v>
      </c>
      <c r="U189">
        <v>0</v>
      </c>
      <c r="V189">
        <v>0</v>
      </c>
      <c r="W189">
        <v>0</v>
      </c>
      <c r="X189">
        <f>IF(Y189,TRUE,AND(AB189:AQ189))</f>
        <v>0</v>
      </c>
      <c r="Y189">
        <f>COUNTBLANK(Metadata!B189:Q189)=COLUMNS(Metadata!B189:Q189)</f>
        <v>0</v>
      </c>
      <c r="Z189">
        <v>0</v>
      </c>
      <c r="AB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AC189">
        <f>AND(IF(Metadata!C189="",FALSE,TRUE),exact(Metadata!C189,"urban biome"))</f>
        <v>0</v>
      </c>
      <c r="AD189">
        <f>AND(IF(Metadata!D189="",FALSE,TRUE),exact(Metadata!D189,"human-associated habitat"))</f>
        <v>0</v>
      </c>
      <c r="AE189">
        <f>AND(IF(Metadata!E189="",FALSE,TRUE),OR(exact(Metadata!E189,"human-associated"),exact(Metadata!E189,"human-skin"),exact(Metadata!E189,"human-oral"),exact(Metadata!E189,"human-gut"),exact(Metadata!E189,"human-vaginal")))</f>
        <v>0</v>
      </c>
      <c r="AF189">
        <f>AND(IF(Metadata!F189="",FALSE,ISNUMBER(VALUE(Metadata!F189))),Metadata!F189&gt;0)</f>
        <v>0</v>
      </c>
      <c r="AG189">
        <f>AND(IF(Metadata!G189="",FALSE,TRUE),exact(Metadata!G189,"years"))</f>
        <v>0</v>
      </c>
      <c r="AH189">
        <f>OR(AND(IF(Metadata!H189="",FALSE,TRUE),OR(exact(Metadata!H189,"not applicable"),exact(Metadata!H189,"not collected"),exact(Metadata!H189,"not provided"),exact(Metadata!H189,"restricted access"))),AND(IF(Metadata!H189="",FALSE,ISNUMBER(VALUE(Metadata!H189))),Metadata!H189&gt;0))</f>
        <v>0</v>
      </c>
      <c r="AI189">
        <f>AND(IF(Metadata!I189="",FALSE,TRUE),exact(Metadata!I189,"human"))</f>
        <v>0</v>
      </c>
      <c r="AJ189">
        <f>AND(IF(Metadata!J189="",FALSE,ISNUMBER(VALUE(Metadata!J189))),Metadata!J189&gt;0)</f>
        <v>0</v>
      </c>
      <c r="AK189">
        <f>AND(IF(Metadata!K189="",FALSE,TRUE),exact(Metadata!K189,"cm"))</f>
        <v>0</v>
      </c>
      <c r="AL189">
        <f>AND(IF(Metadata!L189="",FALSE,TRUE),exact(Metadata!L189,"Homo sapiens"))</f>
        <v>0</v>
      </c>
      <c r="AM189">
        <f>AND(IF(Metadata!M189="",FALSE,TRUE),exact(Metadata!M189,"9606"))</f>
        <v>0</v>
      </c>
      <c r="AN189">
        <f>AND(IF(Metadata!N189="",FALSE,ISNUMBER(VALUE(Metadata!N189))),Metadata!N189&gt;0)</f>
        <v>0</v>
      </c>
      <c r="AO189">
        <f>AND(IF(Metadata!O189="",FALSE,TRUE),exact(Metadata!O189,"kg"))</f>
        <v>0</v>
      </c>
      <c r="AP189">
        <f>OR(AND(IF(Metadata!P189="",FALSE,TRUE),exact(Metadata!P189,"not provided")),IF(Metadata!P189="",FALSE,TRUE))</f>
        <v>0</v>
      </c>
      <c r="AQ189">
        <f>OR(AND(IF(Metadata!Q189="",FALSE,TRUE),exact(Metadata!Q189,"not provided")),IF(Metadata!Q189="",FALSE,TRUE))</f>
        <v>0</v>
      </c>
    </row>
    <row r="190" spans="1:43">
      <c r="A190" s="4">
        <f>IF(B190=" "," ",HYPERLINK(CONCATENATE("#metadata!",ADDRESS(INDEX($W$2:$W$1001,MATCH(ROWS($U$2:U190),$U$2:$U$1001,0),0),2)),INDEX($Z$2:$Z$1001,MATCH(ROWS($U$2:U190),$U$2:$U$1001,0),0)))</f>
        <v>0</v>
      </c>
      <c r="B190" s="5">
        <f>IF(OR(INDEX($V$2:$V$1001,MATCH(ROWS($U$2:U190),$U$2:$U$1001,0),1)&gt;=100000,INDEX($AB$1005:$AQ$1005,1,MATCH(COLUMNS($AB$1006:AB1006),$AB$1006:$AQ$1006,0))&gt;=100000), " ",IF(INDEX($AB$2:$AQ$1001,MATCH(ROWS($U$2:U190),$U$2:$U$1001,0),MATCH(COLUMNS($AB$1006:AB1006),$AB$1006:$AQ$1006,0)), HYPERLINK("#",""), HYPERLINK(CONCATENATE("#Metadata!", ADDRESS(INDEX($W$2:$W$1001,MATCH(ROWS($U$2:U190),$U$2:$U$1001,0),0), INDEX($AB$1004:$AQ$1004,1,MATCH(COLUMNS($AB$1006:AB1006),$AB$1006:$AQ$1006,0)))),"Fix")))</f>
        <v>0</v>
      </c>
      <c r="C190" s="5">
        <f>IF(OR(INDEX($V$2:$V$1001,MATCH(ROWS($U$2:U190),$U$2:$U$1001,0),1)&gt;=100000,INDEX($AB$1005:$AQ$1005,1,MATCH(COLUMNS($AB$1006:AC1006),$AB$1006:$AQ$1006,0))&gt;=100000), " ",IF(INDEX($AB$2:$AQ$1001,MATCH(ROWS($U$2:U190),$U$2:$U$1001,0),MATCH(COLUMNS($AB$1006:AC1006),$AB$1006:$AQ$1006,0)), HYPERLINK("#",""), HYPERLINK(CONCATENATE("#Metadata!", ADDRESS(INDEX($W$2:$W$1001,MATCH(ROWS($U$2:U190),$U$2:$U$1001,0),0), INDEX($AB$1004:$AQ$1004,1,MATCH(COLUMNS($AB$1006:AC1006),$AB$1006:$AQ$1006,0)))),"Fix")))</f>
        <v>0</v>
      </c>
      <c r="D190" s="5">
        <f>IF(OR(INDEX($V$2:$V$1001,MATCH(ROWS($U$2:U190),$U$2:$U$1001,0),1)&gt;=100000,INDEX($AB$1005:$AQ$1005,1,MATCH(COLUMNS($AB$1006:AD1006),$AB$1006:$AQ$1006,0))&gt;=100000), " ",IF(INDEX($AB$2:$AQ$1001,MATCH(ROWS($U$2:U190),$U$2:$U$1001,0),MATCH(COLUMNS($AB$1006:AD1006),$AB$1006:$AQ$1006,0)), HYPERLINK("#",""), HYPERLINK(CONCATENATE("#Metadata!", ADDRESS(INDEX($W$2:$W$1001,MATCH(ROWS($U$2:U190),$U$2:$U$1001,0),0), INDEX($AB$1004:$AQ$1004,1,MATCH(COLUMNS($AB$1006:AD1006),$AB$1006:$AQ$1006,0)))),"Fix")))</f>
        <v>0</v>
      </c>
      <c r="E190" s="5">
        <f>IF(OR(INDEX($V$2:$V$1001,MATCH(ROWS($U$2:U190),$U$2:$U$1001,0),1)&gt;=100000,INDEX($AB$1005:$AQ$1005,1,MATCH(COLUMNS($AB$1006:AE1006),$AB$1006:$AQ$1006,0))&gt;=100000), " ",IF(INDEX($AB$2:$AQ$1001,MATCH(ROWS($U$2:U190),$U$2:$U$1001,0),MATCH(COLUMNS($AB$1006:AE1006),$AB$1006:$AQ$1006,0)), HYPERLINK("#",""), HYPERLINK(CONCATENATE("#Metadata!", ADDRESS(INDEX($W$2:$W$1001,MATCH(ROWS($U$2:U190),$U$2:$U$1001,0),0), INDEX($AB$1004:$AQ$1004,1,MATCH(COLUMNS($AB$1006:AE1006),$AB$1006:$AQ$1006,0)))),"Fix")))</f>
        <v>0</v>
      </c>
      <c r="F190" s="5">
        <f>IF(OR(INDEX($V$2:$V$1001,MATCH(ROWS($U$2:U190),$U$2:$U$1001,0),1)&gt;=100000,INDEX($AB$1005:$AQ$1005,1,MATCH(COLUMNS($AB$1006:AF1006),$AB$1006:$AQ$1006,0))&gt;=100000), " ",IF(INDEX($AB$2:$AQ$1001,MATCH(ROWS($U$2:U190),$U$2:$U$1001,0),MATCH(COLUMNS($AB$1006:AF1006),$AB$1006:$AQ$1006,0)), HYPERLINK("#",""), HYPERLINK(CONCATENATE("#Metadata!", ADDRESS(INDEX($W$2:$W$1001,MATCH(ROWS($U$2:U190),$U$2:$U$1001,0),0), INDEX($AB$1004:$AQ$1004,1,MATCH(COLUMNS($AB$1006:AF1006),$AB$1006:$AQ$1006,0)))),"Fix")))</f>
        <v>0</v>
      </c>
      <c r="G190" s="5">
        <f>IF(OR(INDEX($V$2:$V$1001,MATCH(ROWS($U$2:U190),$U$2:$U$1001,0),1)&gt;=100000,INDEX($AB$1005:$AQ$1005,1,MATCH(COLUMNS($AB$1006:AG1006),$AB$1006:$AQ$1006,0))&gt;=100000), " ",IF(INDEX($AB$2:$AQ$1001,MATCH(ROWS($U$2:U190),$U$2:$U$1001,0),MATCH(COLUMNS($AB$1006:AG1006),$AB$1006:$AQ$1006,0)), HYPERLINK("#",""), HYPERLINK(CONCATENATE("#Metadata!", ADDRESS(INDEX($W$2:$W$1001,MATCH(ROWS($U$2:U190),$U$2:$U$1001,0),0), INDEX($AB$1004:$AQ$1004,1,MATCH(COLUMNS($AB$1006:AG1006),$AB$1006:$AQ$1006,0)))),"Fix")))</f>
        <v>0</v>
      </c>
      <c r="H190" s="5">
        <f>IF(OR(INDEX($V$2:$V$1001,MATCH(ROWS($U$2:U190),$U$2:$U$1001,0),1)&gt;=100000,INDEX($AB$1005:$AQ$1005,1,MATCH(COLUMNS($AB$1006:AH1006),$AB$1006:$AQ$1006,0))&gt;=100000), " ",IF(INDEX($AB$2:$AQ$1001,MATCH(ROWS($U$2:U190),$U$2:$U$1001,0),MATCH(COLUMNS($AB$1006:AH1006),$AB$1006:$AQ$1006,0)), HYPERLINK("#",""), HYPERLINK(CONCATENATE("#Metadata!", ADDRESS(INDEX($W$2:$W$1001,MATCH(ROWS($U$2:U190),$U$2:$U$1001,0),0), INDEX($AB$1004:$AQ$1004,1,MATCH(COLUMNS($AB$1006:AH1006),$AB$1006:$AQ$1006,0)))),"Fix")))</f>
        <v>0</v>
      </c>
      <c r="I190" s="5">
        <f>IF(OR(INDEX($V$2:$V$1001,MATCH(ROWS($U$2:U190),$U$2:$U$1001,0),1)&gt;=100000,INDEX($AB$1005:$AQ$1005,1,MATCH(COLUMNS($AB$1006:AI1006),$AB$1006:$AQ$1006,0))&gt;=100000), " ",IF(INDEX($AB$2:$AQ$1001,MATCH(ROWS($U$2:U190),$U$2:$U$1001,0),MATCH(COLUMNS($AB$1006:AI1006),$AB$1006:$AQ$1006,0)), HYPERLINK("#",""), HYPERLINK(CONCATENATE("#Metadata!", ADDRESS(INDEX($W$2:$W$1001,MATCH(ROWS($U$2:U190),$U$2:$U$1001,0),0), INDEX($AB$1004:$AQ$1004,1,MATCH(COLUMNS($AB$1006:AI1006),$AB$1006:$AQ$1006,0)))),"Fix")))</f>
        <v>0</v>
      </c>
      <c r="J190" s="5">
        <f>IF(OR(INDEX($V$2:$V$1001,MATCH(ROWS($U$2:U190),$U$2:$U$1001,0),1)&gt;=100000,INDEX($AB$1005:$AQ$1005,1,MATCH(COLUMNS($AB$1006:AJ1006),$AB$1006:$AQ$1006,0))&gt;=100000), " ",IF(INDEX($AB$2:$AQ$1001,MATCH(ROWS($U$2:U190),$U$2:$U$1001,0),MATCH(COLUMNS($AB$1006:AJ1006),$AB$1006:$AQ$1006,0)), HYPERLINK("#",""), HYPERLINK(CONCATENATE("#Metadata!", ADDRESS(INDEX($W$2:$W$1001,MATCH(ROWS($U$2:U190),$U$2:$U$1001,0),0), INDEX($AB$1004:$AQ$1004,1,MATCH(COLUMNS($AB$1006:AJ1006),$AB$1006:$AQ$1006,0)))),"Fix")))</f>
        <v>0</v>
      </c>
      <c r="K190" s="5">
        <f>IF(OR(INDEX($V$2:$V$1001,MATCH(ROWS($U$2:U190),$U$2:$U$1001,0),1)&gt;=100000,INDEX($AB$1005:$AQ$1005,1,MATCH(COLUMNS($AB$1006:AK1006),$AB$1006:$AQ$1006,0))&gt;=100000), " ",IF(INDEX($AB$2:$AQ$1001,MATCH(ROWS($U$2:U190),$U$2:$U$1001,0),MATCH(COLUMNS($AB$1006:AK1006),$AB$1006:$AQ$1006,0)), HYPERLINK("#",""), HYPERLINK(CONCATENATE("#Metadata!", ADDRESS(INDEX($W$2:$W$1001,MATCH(ROWS($U$2:U190),$U$2:$U$1001,0),0), INDEX($AB$1004:$AQ$1004,1,MATCH(COLUMNS($AB$1006:AK1006),$AB$1006:$AQ$1006,0)))),"Fix")))</f>
        <v>0</v>
      </c>
      <c r="L190" s="5">
        <f>IF(OR(INDEX($V$2:$V$1001,MATCH(ROWS($U$2:U190),$U$2:$U$1001,0),1)&gt;=100000,INDEX($AB$1005:$AQ$1005,1,MATCH(COLUMNS($AB$1006:AL1006),$AB$1006:$AQ$1006,0))&gt;=100000), " ",IF(INDEX($AB$2:$AQ$1001,MATCH(ROWS($U$2:U190),$U$2:$U$1001,0),MATCH(COLUMNS($AB$1006:AL1006),$AB$1006:$AQ$1006,0)), HYPERLINK("#",""), HYPERLINK(CONCATENATE("#Metadata!", ADDRESS(INDEX($W$2:$W$1001,MATCH(ROWS($U$2:U190),$U$2:$U$1001,0),0), INDEX($AB$1004:$AQ$1004,1,MATCH(COLUMNS($AB$1006:AL1006),$AB$1006:$AQ$1006,0)))),"Fix")))</f>
        <v>0</v>
      </c>
      <c r="M190" s="5">
        <f>IF(OR(INDEX($V$2:$V$1001,MATCH(ROWS($U$2:U190),$U$2:$U$1001,0),1)&gt;=100000,INDEX($AB$1005:$AQ$1005,1,MATCH(COLUMNS($AB$1006:AM1006),$AB$1006:$AQ$1006,0))&gt;=100000), " ",IF(INDEX($AB$2:$AQ$1001,MATCH(ROWS($U$2:U190),$U$2:$U$1001,0),MATCH(COLUMNS($AB$1006:AM1006),$AB$1006:$AQ$1006,0)), HYPERLINK("#",""), HYPERLINK(CONCATENATE("#Metadata!", ADDRESS(INDEX($W$2:$W$1001,MATCH(ROWS($U$2:U190),$U$2:$U$1001,0),0), INDEX($AB$1004:$AQ$1004,1,MATCH(COLUMNS($AB$1006:AM1006),$AB$1006:$AQ$1006,0)))),"Fix")))</f>
        <v>0</v>
      </c>
      <c r="N190" s="5">
        <f>IF(OR(INDEX($V$2:$V$1001,MATCH(ROWS($U$2:U190),$U$2:$U$1001,0),1)&gt;=100000,INDEX($AB$1005:$AQ$1005,1,MATCH(COLUMNS($AB$1006:AN1006),$AB$1006:$AQ$1006,0))&gt;=100000), " ",IF(INDEX($AB$2:$AQ$1001,MATCH(ROWS($U$2:U190),$U$2:$U$1001,0),MATCH(COLUMNS($AB$1006:AN1006),$AB$1006:$AQ$1006,0)), HYPERLINK("#",""), HYPERLINK(CONCATENATE("#Metadata!", ADDRESS(INDEX($W$2:$W$1001,MATCH(ROWS($U$2:U190),$U$2:$U$1001,0),0), INDEX($AB$1004:$AQ$1004,1,MATCH(COLUMNS($AB$1006:AN1006),$AB$1006:$AQ$1006,0)))),"Fix")))</f>
        <v>0</v>
      </c>
      <c r="O190" s="5">
        <f>IF(OR(INDEX($V$2:$V$1001,MATCH(ROWS($U$2:U190),$U$2:$U$1001,0),1)&gt;=100000,INDEX($AB$1005:$AQ$1005,1,MATCH(COLUMNS($AB$1006:AO1006),$AB$1006:$AQ$1006,0))&gt;=100000), " ",IF(INDEX($AB$2:$AQ$1001,MATCH(ROWS($U$2:U190),$U$2:$U$1001,0),MATCH(COLUMNS($AB$1006:AO1006),$AB$1006:$AQ$1006,0)), HYPERLINK("#",""), HYPERLINK(CONCATENATE("#Metadata!", ADDRESS(INDEX($W$2:$W$1001,MATCH(ROWS($U$2:U190),$U$2:$U$1001,0),0), INDEX($AB$1004:$AQ$1004,1,MATCH(COLUMNS($AB$1006:AO1006),$AB$1006:$AQ$1006,0)))),"Fix")))</f>
        <v>0</v>
      </c>
      <c r="P190" s="5">
        <f>IF(OR(INDEX($V$2:$V$1001,MATCH(ROWS($U$2:U190),$U$2:$U$1001,0),1)&gt;=100000,INDEX($AB$1005:$AQ$1005,1,MATCH(COLUMNS($AB$1006:AP1006),$AB$1006:$AQ$1006,0))&gt;=100000), " ",IF(INDEX($AB$2:$AQ$1001,MATCH(ROWS($U$2:U190),$U$2:$U$1001,0),MATCH(COLUMNS($AB$1006:AP1006),$AB$1006:$AQ$1006,0)), HYPERLINK("#",""), HYPERLINK(CONCATENATE("#Metadata!", ADDRESS(INDEX($W$2:$W$1001,MATCH(ROWS($U$2:U190),$U$2:$U$1001,0),0), INDEX($AB$1004:$AQ$1004,1,MATCH(COLUMNS($AB$1006:AP1006),$AB$1006:$AQ$1006,0)))),"Fix")))</f>
        <v>0</v>
      </c>
      <c r="Q190" s="5">
        <f>IF(OR(INDEX($V$2:$V$1001,MATCH(ROWS($U$2:U190),$U$2:$U$1001,0),1)&gt;=100000,INDEX($AB$1005:$AQ$1005,1,MATCH(COLUMNS($AB$1006:AQ1006),$AB$1006:$AQ$1006,0))&gt;=100000), " ",IF(INDEX($AB$2:$AQ$1001,MATCH(ROWS($U$2:U190),$U$2:$U$1001,0),MATCH(COLUMNS($AB$1006:AQ1006),$AB$1006:$AQ$1006,0)), HYPERLINK("#",""), HYPERLINK(CONCATENATE("#Metadata!", ADDRESS(INDEX($W$2:$W$1001,MATCH(ROWS($U$2:U190),$U$2:$U$1001,0),0), INDEX($AB$1004:$AQ$1004,1,MATCH(COLUMNS($AB$1006:AQ1006),$AB$1006:$AQ$1006,0)))),"Fix")))</f>
        <v>0</v>
      </c>
      <c r="U190">
        <v>0</v>
      </c>
      <c r="V190">
        <v>0</v>
      </c>
      <c r="W190">
        <v>0</v>
      </c>
      <c r="X190">
        <f>IF(Y190,TRUE,AND(AB190:AQ190))</f>
        <v>0</v>
      </c>
      <c r="Y190">
        <f>COUNTBLANK(Metadata!B190:Q190)=COLUMNS(Metadata!B190:Q190)</f>
        <v>0</v>
      </c>
      <c r="Z190">
        <v>0</v>
      </c>
      <c r="AB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AC190">
        <f>AND(IF(Metadata!C190="",FALSE,TRUE),exact(Metadata!C190,"urban biome"))</f>
        <v>0</v>
      </c>
      <c r="AD190">
        <f>AND(IF(Metadata!D190="",FALSE,TRUE),exact(Metadata!D190,"human-associated habitat"))</f>
        <v>0</v>
      </c>
      <c r="AE190">
        <f>AND(IF(Metadata!E190="",FALSE,TRUE),OR(exact(Metadata!E190,"human-associated"),exact(Metadata!E190,"human-skin"),exact(Metadata!E190,"human-oral"),exact(Metadata!E190,"human-gut"),exact(Metadata!E190,"human-vaginal")))</f>
        <v>0</v>
      </c>
      <c r="AF190">
        <f>AND(IF(Metadata!F190="",FALSE,ISNUMBER(VALUE(Metadata!F190))),Metadata!F190&gt;0)</f>
        <v>0</v>
      </c>
      <c r="AG190">
        <f>AND(IF(Metadata!G190="",FALSE,TRUE),exact(Metadata!G190,"years"))</f>
        <v>0</v>
      </c>
      <c r="AH190">
        <f>OR(AND(IF(Metadata!H190="",FALSE,TRUE),OR(exact(Metadata!H190,"not applicable"),exact(Metadata!H190,"not collected"),exact(Metadata!H190,"not provided"),exact(Metadata!H190,"restricted access"))),AND(IF(Metadata!H190="",FALSE,ISNUMBER(VALUE(Metadata!H190))),Metadata!H190&gt;0))</f>
        <v>0</v>
      </c>
      <c r="AI190">
        <f>AND(IF(Metadata!I190="",FALSE,TRUE),exact(Metadata!I190,"human"))</f>
        <v>0</v>
      </c>
      <c r="AJ190">
        <f>AND(IF(Metadata!J190="",FALSE,ISNUMBER(VALUE(Metadata!J190))),Metadata!J190&gt;0)</f>
        <v>0</v>
      </c>
      <c r="AK190">
        <f>AND(IF(Metadata!K190="",FALSE,TRUE),exact(Metadata!K190,"cm"))</f>
        <v>0</v>
      </c>
      <c r="AL190">
        <f>AND(IF(Metadata!L190="",FALSE,TRUE),exact(Metadata!L190,"Homo sapiens"))</f>
        <v>0</v>
      </c>
      <c r="AM190">
        <f>AND(IF(Metadata!M190="",FALSE,TRUE),exact(Metadata!M190,"9606"))</f>
        <v>0</v>
      </c>
      <c r="AN190">
        <f>AND(IF(Metadata!N190="",FALSE,ISNUMBER(VALUE(Metadata!N190))),Metadata!N190&gt;0)</f>
        <v>0</v>
      </c>
      <c r="AO190">
        <f>AND(IF(Metadata!O190="",FALSE,TRUE),exact(Metadata!O190,"kg"))</f>
        <v>0</v>
      </c>
      <c r="AP190">
        <f>OR(AND(IF(Metadata!P190="",FALSE,TRUE),exact(Metadata!P190,"not provided")),IF(Metadata!P190="",FALSE,TRUE))</f>
        <v>0</v>
      </c>
      <c r="AQ190">
        <f>OR(AND(IF(Metadata!Q190="",FALSE,TRUE),exact(Metadata!Q190,"not provided")),IF(Metadata!Q190="",FALSE,TRUE))</f>
        <v>0</v>
      </c>
    </row>
    <row r="191" spans="1:43">
      <c r="A191" s="4">
        <f>IF(B191=" "," ",HYPERLINK(CONCATENATE("#metadata!",ADDRESS(INDEX($W$2:$W$1001,MATCH(ROWS($U$2:U191),$U$2:$U$1001,0),0),2)),INDEX($Z$2:$Z$1001,MATCH(ROWS($U$2:U191),$U$2:$U$1001,0),0)))</f>
        <v>0</v>
      </c>
      <c r="B191" s="5">
        <f>IF(OR(INDEX($V$2:$V$1001,MATCH(ROWS($U$2:U191),$U$2:$U$1001,0),1)&gt;=100000,INDEX($AB$1005:$AQ$1005,1,MATCH(COLUMNS($AB$1006:AB1006),$AB$1006:$AQ$1006,0))&gt;=100000), " ",IF(INDEX($AB$2:$AQ$1001,MATCH(ROWS($U$2:U191),$U$2:$U$1001,0),MATCH(COLUMNS($AB$1006:AB1006),$AB$1006:$AQ$1006,0)), HYPERLINK("#",""), HYPERLINK(CONCATENATE("#Metadata!", ADDRESS(INDEX($W$2:$W$1001,MATCH(ROWS($U$2:U191),$U$2:$U$1001,0),0), INDEX($AB$1004:$AQ$1004,1,MATCH(COLUMNS($AB$1006:AB1006),$AB$1006:$AQ$1006,0)))),"Fix")))</f>
        <v>0</v>
      </c>
      <c r="C191" s="5">
        <f>IF(OR(INDEX($V$2:$V$1001,MATCH(ROWS($U$2:U191),$U$2:$U$1001,0),1)&gt;=100000,INDEX($AB$1005:$AQ$1005,1,MATCH(COLUMNS($AB$1006:AC1006),$AB$1006:$AQ$1006,0))&gt;=100000), " ",IF(INDEX($AB$2:$AQ$1001,MATCH(ROWS($U$2:U191),$U$2:$U$1001,0),MATCH(COLUMNS($AB$1006:AC1006),$AB$1006:$AQ$1006,0)), HYPERLINK("#",""), HYPERLINK(CONCATENATE("#Metadata!", ADDRESS(INDEX($W$2:$W$1001,MATCH(ROWS($U$2:U191),$U$2:$U$1001,0),0), INDEX($AB$1004:$AQ$1004,1,MATCH(COLUMNS($AB$1006:AC1006),$AB$1006:$AQ$1006,0)))),"Fix")))</f>
        <v>0</v>
      </c>
      <c r="D191" s="5">
        <f>IF(OR(INDEX($V$2:$V$1001,MATCH(ROWS($U$2:U191),$U$2:$U$1001,0),1)&gt;=100000,INDEX($AB$1005:$AQ$1005,1,MATCH(COLUMNS($AB$1006:AD1006),$AB$1006:$AQ$1006,0))&gt;=100000), " ",IF(INDEX($AB$2:$AQ$1001,MATCH(ROWS($U$2:U191),$U$2:$U$1001,0),MATCH(COLUMNS($AB$1006:AD1006),$AB$1006:$AQ$1006,0)), HYPERLINK("#",""), HYPERLINK(CONCATENATE("#Metadata!", ADDRESS(INDEX($W$2:$W$1001,MATCH(ROWS($U$2:U191),$U$2:$U$1001,0),0), INDEX($AB$1004:$AQ$1004,1,MATCH(COLUMNS($AB$1006:AD1006),$AB$1006:$AQ$1006,0)))),"Fix")))</f>
        <v>0</v>
      </c>
      <c r="E191" s="5">
        <f>IF(OR(INDEX($V$2:$V$1001,MATCH(ROWS($U$2:U191),$U$2:$U$1001,0),1)&gt;=100000,INDEX($AB$1005:$AQ$1005,1,MATCH(COLUMNS($AB$1006:AE1006),$AB$1006:$AQ$1006,0))&gt;=100000), " ",IF(INDEX($AB$2:$AQ$1001,MATCH(ROWS($U$2:U191),$U$2:$U$1001,0),MATCH(COLUMNS($AB$1006:AE1006),$AB$1006:$AQ$1006,0)), HYPERLINK("#",""), HYPERLINK(CONCATENATE("#Metadata!", ADDRESS(INDEX($W$2:$W$1001,MATCH(ROWS($U$2:U191),$U$2:$U$1001,0),0), INDEX($AB$1004:$AQ$1004,1,MATCH(COLUMNS($AB$1006:AE1006),$AB$1006:$AQ$1006,0)))),"Fix")))</f>
        <v>0</v>
      </c>
      <c r="F191" s="5">
        <f>IF(OR(INDEX($V$2:$V$1001,MATCH(ROWS($U$2:U191),$U$2:$U$1001,0),1)&gt;=100000,INDEX($AB$1005:$AQ$1005,1,MATCH(COLUMNS($AB$1006:AF1006),$AB$1006:$AQ$1006,0))&gt;=100000), " ",IF(INDEX($AB$2:$AQ$1001,MATCH(ROWS($U$2:U191),$U$2:$U$1001,0),MATCH(COLUMNS($AB$1006:AF1006),$AB$1006:$AQ$1006,0)), HYPERLINK("#",""), HYPERLINK(CONCATENATE("#Metadata!", ADDRESS(INDEX($W$2:$W$1001,MATCH(ROWS($U$2:U191),$U$2:$U$1001,0),0), INDEX($AB$1004:$AQ$1004,1,MATCH(COLUMNS($AB$1006:AF1006),$AB$1006:$AQ$1006,0)))),"Fix")))</f>
        <v>0</v>
      </c>
      <c r="G191" s="5">
        <f>IF(OR(INDEX($V$2:$V$1001,MATCH(ROWS($U$2:U191),$U$2:$U$1001,0),1)&gt;=100000,INDEX($AB$1005:$AQ$1005,1,MATCH(COLUMNS($AB$1006:AG1006),$AB$1006:$AQ$1006,0))&gt;=100000), " ",IF(INDEX($AB$2:$AQ$1001,MATCH(ROWS($U$2:U191),$U$2:$U$1001,0),MATCH(COLUMNS($AB$1006:AG1006),$AB$1006:$AQ$1006,0)), HYPERLINK("#",""), HYPERLINK(CONCATENATE("#Metadata!", ADDRESS(INDEX($W$2:$W$1001,MATCH(ROWS($U$2:U191),$U$2:$U$1001,0),0), INDEX($AB$1004:$AQ$1004,1,MATCH(COLUMNS($AB$1006:AG1006),$AB$1006:$AQ$1006,0)))),"Fix")))</f>
        <v>0</v>
      </c>
      <c r="H191" s="5">
        <f>IF(OR(INDEX($V$2:$V$1001,MATCH(ROWS($U$2:U191),$U$2:$U$1001,0),1)&gt;=100000,INDEX($AB$1005:$AQ$1005,1,MATCH(COLUMNS($AB$1006:AH1006),$AB$1006:$AQ$1006,0))&gt;=100000), " ",IF(INDEX($AB$2:$AQ$1001,MATCH(ROWS($U$2:U191),$U$2:$U$1001,0),MATCH(COLUMNS($AB$1006:AH1006),$AB$1006:$AQ$1006,0)), HYPERLINK("#",""), HYPERLINK(CONCATENATE("#Metadata!", ADDRESS(INDEX($W$2:$W$1001,MATCH(ROWS($U$2:U191),$U$2:$U$1001,0),0), INDEX($AB$1004:$AQ$1004,1,MATCH(COLUMNS($AB$1006:AH1006),$AB$1006:$AQ$1006,0)))),"Fix")))</f>
        <v>0</v>
      </c>
      <c r="I191" s="5">
        <f>IF(OR(INDEX($V$2:$V$1001,MATCH(ROWS($U$2:U191),$U$2:$U$1001,0),1)&gt;=100000,INDEX($AB$1005:$AQ$1005,1,MATCH(COLUMNS($AB$1006:AI1006),$AB$1006:$AQ$1006,0))&gt;=100000), " ",IF(INDEX($AB$2:$AQ$1001,MATCH(ROWS($U$2:U191),$U$2:$U$1001,0),MATCH(COLUMNS($AB$1006:AI1006),$AB$1006:$AQ$1006,0)), HYPERLINK("#",""), HYPERLINK(CONCATENATE("#Metadata!", ADDRESS(INDEX($W$2:$W$1001,MATCH(ROWS($U$2:U191),$U$2:$U$1001,0),0), INDEX($AB$1004:$AQ$1004,1,MATCH(COLUMNS($AB$1006:AI1006),$AB$1006:$AQ$1006,0)))),"Fix")))</f>
        <v>0</v>
      </c>
      <c r="J191" s="5">
        <f>IF(OR(INDEX($V$2:$V$1001,MATCH(ROWS($U$2:U191),$U$2:$U$1001,0),1)&gt;=100000,INDEX($AB$1005:$AQ$1005,1,MATCH(COLUMNS($AB$1006:AJ1006),$AB$1006:$AQ$1006,0))&gt;=100000), " ",IF(INDEX($AB$2:$AQ$1001,MATCH(ROWS($U$2:U191),$U$2:$U$1001,0),MATCH(COLUMNS($AB$1006:AJ1006),$AB$1006:$AQ$1006,0)), HYPERLINK("#",""), HYPERLINK(CONCATENATE("#Metadata!", ADDRESS(INDEX($W$2:$W$1001,MATCH(ROWS($U$2:U191),$U$2:$U$1001,0),0), INDEX($AB$1004:$AQ$1004,1,MATCH(COLUMNS($AB$1006:AJ1006),$AB$1006:$AQ$1006,0)))),"Fix")))</f>
        <v>0</v>
      </c>
      <c r="K191" s="5">
        <f>IF(OR(INDEX($V$2:$V$1001,MATCH(ROWS($U$2:U191),$U$2:$U$1001,0),1)&gt;=100000,INDEX($AB$1005:$AQ$1005,1,MATCH(COLUMNS($AB$1006:AK1006),$AB$1006:$AQ$1006,0))&gt;=100000), " ",IF(INDEX($AB$2:$AQ$1001,MATCH(ROWS($U$2:U191),$U$2:$U$1001,0),MATCH(COLUMNS($AB$1006:AK1006),$AB$1006:$AQ$1006,0)), HYPERLINK("#",""), HYPERLINK(CONCATENATE("#Metadata!", ADDRESS(INDEX($W$2:$W$1001,MATCH(ROWS($U$2:U191),$U$2:$U$1001,0),0), INDEX($AB$1004:$AQ$1004,1,MATCH(COLUMNS($AB$1006:AK1006),$AB$1006:$AQ$1006,0)))),"Fix")))</f>
        <v>0</v>
      </c>
      <c r="L191" s="5">
        <f>IF(OR(INDEX($V$2:$V$1001,MATCH(ROWS($U$2:U191),$U$2:$U$1001,0),1)&gt;=100000,INDEX($AB$1005:$AQ$1005,1,MATCH(COLUMNS($AB$1006:AL1006),$AB$1006:$AQ$1006,0))&gt;=100000), " ",IF(INDEX($AB$2:$AQ$1001,MATCH(ROWS($U$2:U191),$U$2:$U$1001,0),MATCH(COLUMNS($AB$1006:AL1006),$AB$1006:$AQ$1006,0)), HYPERLINK("#",""), HYPERLINK(CONCATENATE("#Metadata!", ADDRESS(INDEX($W$2:$W$1001,MATCH(ROWS($U$2:U191),$U$2:$U$1001,0),0), INDEX($AB$1004:$AQ$1004,1,MATCH(COLUMNS($AB$1006:AL1006),$AB$1006:$AQ$1006,0)))),"Fix")))</f>
        <v>0</v>
      </c>
      <c r="M191" s="5">
        <f>IF(OR(INDEX($V$2:$V$1001,MATCH(ROWS($U$2:U191),$U$2:$U$1001,0),1)&gt;=100000,INDEX($AB$1005:$AQ$1005,1,MATCH(COLUMNS($AB$1006:AM1006),$AB$1006:$AQ$1006,0))&gt;=100000), " ",IF(INDEX($AB$2:$AQ$1001,MATCH(ROWS($U$2:U191),$U$2:$U$1001,0),MATCH(COLUMNS($AB$1006:AM1006),$AB$1006:$AQ$1006,0)), HYPERLINK("#",""), HYPERLINK(CONCATENATE("#Metadata!", ADDRESS(INDEX($W$2:$W$1001,MATCH(ROWS($U$2:U191),$U$2:$U$1001,0),0), INDEX($AB$1004:$AQ$1004,1,MATCH(COLUMNS($AB$1006:AM1006),$AB$1006:$AQ$1006,0)))),"Fix")))</f>
        <v>0</v>
      </c>
      <c r="N191" s="5">
        <f>IF(OR(INDEX($V$2:$V$1001,MATCH(ROWS($U$2:U191),$U$2:$U$1001,0),1)&gt;=100000,INDEX($AB$1005:$AQ$1005,1,MATCH(COLUMNS($AB$1006:AN1006),$AB$1006:$AQ$1006,0))&gt;=100000), " ",IF(INDEX($AB$2:$AQ$1001,MATCH(ROWS($U$2:U191),$U$2:$U$1001,0),MATCH(COLUMNS($AB$1006:AN1006),$AB$1006:$AQ$1006,0)), HYPERLINK("#",""), HYPERLINK(CONCATENATE("#Metadata!", ADDRESS(INDEX($W$2:$W$1001,MATCH(ROWS($U$2:U191),$U$2:$U$1001,0),0), INDEX($AB$1004:$AQ$1004,1,MATCH(COLUMNS($AB$1006:AN1006),$AB$1006:$AQ$1006,0)))),"Fix")))</f>
        <v>0</v>
      </c>
      <c r="O191" s="5">
        <f>IF(OR(INDEX($V$2:$V$1001,MATCH(ROWS($U$2:U191),$U$2:$U$1001,0),1)&gt;=100000,INDEX($AB$1005:$AQ$1005,1,MATCH(COLUMNS($AB$1006:AO1006),$AB$1006:$AQ$1006,0))&gt;=100000), " ",IF(INDEX($AB$2:$AQ$1001,MATCH(ROWS($U$2:U191),$U$2:$U$1001,0),MATCH(COLUMNS($AB$1006:AO1006),$AB$1006:$AQ$1006,0)), HYPERLINK("#",""), HYPERLINK(CONCATENATE("#Metadata!", ADDRESS(INDEX($W$2:$W$1001,MATCH(ROWS($U$2:U191),$U$2:$U$1001,0),0), INDEX($AB$1004:$AQ$1004,1,MATCH(COLUMNS($AB$1006:AO1006),$AB$1006:$AQ$1006,0)))),"Fix")))</f>
        <v>0</v>
      </c>
      <c r="P191" s="5">
        <f>IF(OR(INDEX($V$2:$V$1001,MATCH(ROWS($U$2:U191),$U$2:$U$1001,0),1)&gt;=100000,INDEX($AB$1005:$AQ$1005,1,MATCH(COLUMNS($AB$1006:AP1006),$AB$1006:$AQ$1006,0))&gt;=100000), " ",IF(INDEX($AB$2:$AQ$1001,MATCH(ROWS($U$2:U191),$U$2:$U$1001,0),MATCH(COLUMNS($AB$1006:AP1006),$AB$1006:$AQ$1006,0)), HYPERLINK("#",""), HYPERLINK(CONCATENATE("#Metadata!", ADDRESS(INDEX($W$2:$W$1001,MATCH(ROWS($U$2:U191),$U$2:$U$1001,0),0), INDEX($AB$1004:$AQ$1004,1,MATCH(COLUMNS($AB$1006:AP1006),$AB$1006:$AQ$1006,0)))),"Fix")))</f>
        <v>0</v>
      </c>
      <c r="Q191" s="5">
        <f>IF(OR(INDEX($V$2:$V$1001,MATCH(ROWS($U$2:U191),$U$2:$U$1001,0),1)&gt;=100000,INDEX($AB$1005:$AQ$1005,1,MATCH(COLUMNS($AB$1006:AQ1006),$AB$1006:$AQ$1006,0))&gt;=100000), " ",IF(INDEX($AB$2:$AQ$1001,MATCH(ROWS($U$2:U191),$U$2:$U$1001,0),MATCH(COLUMNS($AB$1006:AQ1006),$AB$1006:$AQ$1006,0)), HYPERLINK("#",""), HYPERLINK(CONCATENATE("#Metadata!", ADDRESS(INDEX($W$2:$W$1001,MATCH(ROWS($U$2:U191),$U$2:$U$1001,0),0), INDEX($AB$1004:$AQ$1004,1,MATCH(COLUMNS($AB$1006:AQ1006),$AB$1006:$AQ$1006,0)))),"Fix")))</f>
        <v>0</v>
      </c>
      <c r="U191">
        <v>0</v>
      </c>
      <c r="V191">
        <v>0</v>
      </c>
      <c r="W191">
        <v>0</v>
      </c>
      <c r="X191">
        <f>IF(Y191,TRUE,AND(AB191:AQ191))</f>
        <v>0</v>
      </c>
      <c r="Y191">
        <f>COUNTBLANK(Metadata!B191:Q191)=COLUMNS(Metadata!B191:Q191)</f>
        <v>0</v>
      </c>
      <c r="Z191">
        <v>0</v>
      </c>
      <c r="AB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AC191">
        <f>AND(IF(Metadata!C191="",FALSE,TRUE),exact(Metadata!C191,"urban biome"))</f>
        <v>0</v>
      </c>
      <c r="AD191">
        <f>AND(IF(Metadata!D191="",FALSE,TRUE),exact(Metadata!D191,"human-associated habitat"))</f>
        <v>0</v>
      </c>
      <c r="AE191">
        <f>AND(IF(Metadata!E191="",FALSE,TRUE),OR(exact(Metadata!E191,"human-associated"),exact(Metadata!E191,"human-skin"),exact(Metadata!E191,"human-oral"),exact(Metadata!E191,"human-gut"),exact(Metadata!E191,"human-vaginal")))</f>
        <v>0</v>
      </c>
      <c r="AF191">
        <f>AND(IF(Metadata!F191="",FALSE,ISNUMBER(VALUE(Metadata!F191))),Metadata!F191&gt;0)</f>
        <v>0</v>
      </c>
      <c r="AG191">
        <f>AND(IF(Metadata!G191="",FALSE,TRUE),exact(Metadata!G191,"years"))</f>
        <v>0</v>
      </c>
      <c r="AH191">
        <f>OR(AND(IF(Metadata!H191="",FALSE,TRUE),OR(exact(Metadata!H191,"not applicable"),exact(Metadata!H191,"not collected"),exact(Metadata!H191,"not provided"),exact(Metadata!H191,"restricted access"))),AND(IF(Metadata!H191="",FALSE,ISNUMBER(VALUE(Metadata!H191))),Metadata!H191&gt;0))</f>
        <v>0</v>
      </c>
      <c r="AI191">
        <f>AND(IF(Metadata!I191="",FALSE,TRUE),exact(Metadata!I191,"human"))</f>
        <v>0</v>
      </c>
      <c r="AJ191">
        <f>AND(IF(Metadata!J191="",FALSE,ISNUMBER(VALUE(Metadata!J191))),Metadata!J191&gt;0)</f>
        <v>0</v>
      </c>
      <c r="AK191">
        <f>AND(IF(Metadata!K191="",FALSE,TRUE),exact(Metadata!K191,"cm"))</f>
        <v>0</v>
      </c>
      <c r="AL191">
        <f>AND(IF(Metadata!L191="",FALSE,TRUE),exact(Metadata!L191,"Homo sapiens"))</f>
        <v>0</v>
      </c>
      <c r="AM191">
        <f>AND(IF(Metadata!M191="",FALSE,TRUE),exact(Metadata!M191,"9606"))</f>
        <v>0</v>
      </c>
      <c r="AN191">
        <f>AND(IF(Metadata!N191="",FALSE,ISNUMBER(VALUE(Metadata!N191))),Metadata!N191&gt;0)</f>
        <v>0</v>
      </c>
      <c r="AO191">
        <f>AND(IF(Metadata!O191="",FALSE,TRUE),exact(Metadata!O191,"kg"))</f>
        <v>0</v>
      </c>
      <c r="AP191">
        <f>OR(AND(IF(Metadata!P191="",FALSE,TRUE),exact(Metadata!P191,"not provided")),IF(Metadata!P191="",FALSE,TRUE))</f>
        <v>0</v>
      </c>
      <c r="AQ191">
        <f>OR(AND(IF(Metadata!Q191="",FALSE,TRUE),exact(Metadata!Q191,"not provided")),IF(Metadata!Q191="",FALSE,TRUE))</f>
        <v>0</v>
      </c>
    </row>
    <row r="192" spans="1:43">
      <c r="A192" s="4">
        <f>IF(B192=" "," ",HYPERLINK(CONCATENATE("#metadata!",ADDRESS(INDEX($W$2:$W$1001,MATCH(ROWS($U$2:U192),$U$2:$U$1001,0),0),2)),INDEX($Z$2:$Z$1001,MATCH(ROWS($U$2:U192),$U$2:$U$1001,0),0)))</f>
        <v>0</v>
      </c>
      <c r="B192" s="5">
        <f>IF(OR(INDEX($V$2:$V$1001,MATCH(ROWS($U$2:U192),$U$2:$U$1001,0),1)&gt;=100000,INDEX($AB$1005:$AQ$1005,1,MATCH(COLUMNS($AB$1006:AB1006),$AB$1006:$AQ$1006,0))&gt;=100000), " ",IF(INDEX($AB$2:$AQ$1001,MATCH(ROWS($U$2:U192),$U$2:$U$1001,0),MATCH(COLUMNS($AB$1006:AB1006),$AB$1006:$AQ$1006,0)), HYPERLINK("#",""), HYPERLINK(CONCATENATE("#Metadata!", ADDRESS(INDEX($W$2:$W$1001,MATCH(ROWS($U$2:U192),$U$2:$U$1001,0),0), INDEX($AB$1004:$AQ$1004,1,MATCH(COLUMNS($AB$1006:AB1006),$AB$1006:$AQ$1006,0)))),"Fix")))</f>
        <v>0</v>
      </c>
      <c r="C192" s="5">
        <f>IF(OR(INDEX($V$2:$V$1001,MATCH(ROWS($U$2:U192),$U$2:$U$1001,0),1)&gt;=100000,INDEX($AB$1005:$AQ$1005,1,MATCH(COLUMNS($AB$1006:AC1006),$AB$1006:$AQ$1006,0))&gt;=100000), " ",IF(INDEX($AB$2:$AQ$1001,MATCH(ROWS($U$2:U192),$U$2:$U$1001,0),MATCH(COLUMNS($AB$1006:AC1006),$AB$1006:$AQ$1006,0)), HYPERLINK("#",""), HYPERLINK(CONCATENATE("#Metadata!", ADDRESS(INDEX($W$2:$W$1001,MATCH(ROWS($U$2:U192),$U$2:$U$1001,0),0), INDEX($AB$1004:$AQ$1004,1,MATCH(COLUMNS($AB$1006:AC1006),$AB$1006:$AQ$1006,0)))),"Fix")))</f>
        <v>0</v>
      </c>
      <c r="D192" s="5">
        <f>IF(OR(INDEX($V$2:$V$1001,MATCH(ROWS($U$2:U192),$U$2:$U$1001,0),1)&gt;=100000,INDEX($AB$1005:$AQ$1005,1,MATCH(COLUMNS($AB$1006:AD1006),$AB$1006:$AQ$1006,0))&gt;=100000), " ",IF(INDEX($AB$2:$AQ$1001,MATCH(ROWS($U$2:U192),$U$2:$U$1001,0),MATCH(COLUMNS($AB$1006:AD1006),$AB$1006:$AQ$1006,0)), HYPERLINK("#",""), HYPERLINK(CONCATENATE("#Metadata!", ADDRESS(INDEX($W$2:$W$1001,MATCH(ROWS($U$2:U192),$U$2:$U$1001,0),0), INDEX($AB$1004:$AQ$1004,1,MATCH(COLUMNS($AB$1006:AD1006),$AB$1006:$AQ$1006,0)))),"Fix")))</f>
        <v>0</v>
      </c>
      <c r="E192" s="5">
        <f>IF(OR(INDEX($V$2:$V$1001,MATCH(ROWS($U$2:U192),$U$2:$U$1001,0),1)&gt;=100000,INDEX($AB$1005:$AQ$1005,1,MATCH(COLUMNS($AB$1006:AE1006),$AB$1006:$AQ$1006,0))&gt;=100000), " ",IF(INDEX($AB$2:$AQ$1001,MATCH(ROWS($U$2:U192),$U$2:$U$1001,0),MATCH(COLUMNS($AB$1006:AE1006),$AB$1006:$AQ$1006,0)), HYPERLINK("#",""), HYPERLINK(CONCATENATE("#Metadata!", ADDRESS(INDEX($W$2:$W$1001,MATCH(ROWS($U$2:U192),$U$2:$U$1001,0),0), INDEX($AB$1004:$AQ$1004,1,MATCH(COLUMNS($AB$1006:AE1006),$AB$1006:$AQ$1006,0)))),"Fix")))</f>
        <v>0</v>
      </c>
      <c r="F192" s="5">
        <f>IF(OR(INDEX($V$2:$V$1001,MATCH(ROWS($U$2:U192),$U$2:$U$1001,0),1)&gt;=100000,INDEX($AB$1005:$AQ$1005,1,MATCH(COLUMNS($AB$1006:AF1006),$AB$1006:$AQ$1006,0))&gt;=100000), " ",IF(INDEX($AB$2:$AQ$1001,MATCH(ROWS($U$2:U192),$U$2:$U$1001,0),MATCH(COLUMNS($AB$1006:AF1006),$AB$1006:$AQ$1006,0)), HYPERLINK("#",""), HYPERLINK(CONCATENATE("#Metadata!", ADDRESS(INDEX($W$2:$W$1001,MATCH(ROWS($U$2:U192),$U$2:$U$1001,0),0), INDEX($AB$1004:$AQ$1004,1,MATCH(COLUMNS($AB$1006:AF1006),$AB$1006:$AQ$1006,0)))),"Fix")))</f>
        <v>0</v>
      </c>
      <c r="G192" s="5">
        <f>IF(OR(INDEX($V$2:$V$1001,MATCH(ROWS($U$2:U192),$U$2:$U$1001,0),1)&gt;=100000,INDEX($AB$1005:$AQ$1005,1,MATCH(COLUMNS($AB$1006:AG1006),$AB$1006:$AQ$1006,0))&gt;=100000), " ",IF(INDEX($AB$2:$AQ$1001,MATCH(ROWS($U$2:U192),$U$2:$U$1001,0),MATCH(COLUMNS($AB$1006:AG1006),$AB$1006:$AQ$1006,0)), HYPERLINK("#",""), HYPERLINK(CONCATENATE("#Metadata!", ADDRESS(INDEX($W$2:$W$1001,MATCH(ROWS($U$2:U192),$U$2:$U$1001,0),0), INDEX($AB$1004:$AQ$1004,1,MATCH(COLUMNS($AB$1006:AG1006),$AB$1006:$AQ$1006,0)))),"Fix")))</f>
        <v>0</v>
      </c>
      <c r="H192" s="5">
        <f>IF(OR(INDEX($V$2:$V$1001,MATCH(ROWS($U$2:U192),$U$2:$U$1001,0),1)&gt;=100000,INDEX($AB$1005:$AQ$1005,1,MATCH(COLUMNS($AB$1006:AH1006),$AB$1006:$AQ$1006,0))&gt;=100000), " ",IF(INDEX($AB$2:$AQ$1001,MATCH(ROWS($U$2:U192),$U$2:$U$1001,0),MATCH(COLUMNS($AB$1006:AH1006),$AB$1006:$AQ$1006,0)), HYPERLINK("#",""), HYPERLINK(CONCATENATE("#Metadata!", ADDRESS(INDEX($W$2:$W$1001,MATCH(ROWS($U$2:U192),$U$2:$U$1001,0),0), INDEX($AB$1004:$AQ$1004,1,MATCH(COLUMNS($AB$1006:AH1006),$AB$1006:$AQ$1006,0)))),"Fix")))</f>
        <v>0</v>
      </c>
      <c r="I192" s="5">
        <f>IF(OR(INDEX($V$2:$V$1001,MATCH(ROWS($U$2:U192),$U$2:$U$1001,0),1)&gt;=100000,INDEX($AB$1005:$AQ$1005,1,MATCH(COLUMNS($AB$1006:AI1006),$AB$1006:$AQ$1006,0))&gt;=100000), " ",IF(INDEX($AB$2:$AQ$1001,MATCH(ROWS($U$2:U192),$U$2:$U$1001,0),MATCH(COLUMNS($AB$1006:AI1006),$AB$1006:$AQ$1006,0)), HYPERLINK("#",""), HYPERLINK(CONCATENATE("#Metadata!", ADDRESS(INDEX($W$2:$W$1001,MATCH(ROWS($U$2:U192),$U$2:$U$1001,0),0), INDEX($AB$1004:$AQ$1004,1,MATCH(COLUMNS($AB$1006:AI1006),$AB$1006:$AQ$1006,0)))),"Fix")))</f>
        <v>0</v>
      </c>
      <c r="J192" s="5">
        <f>IF(OR(INDEX($V$2:$V$1001,MATCH(ROWS($U$2:U192),$U$2:$U$1001,0),1)&gt;=100000,INDEX($AB$1005:$AQ$1005,1,MATCH(COLUMNS($AB$1006:AJ1006),$AB$1006:$AQ$1006,0))&gt;=100000), " ",IF(INDEX($AB$2:$AQ$1001,MATCH(ROWS($U$2:U192),$U$2:$U$1001,0),MATCH(COLUMNS($AB$1006:AJ1006),$AB$1006:$AQ$1006,0)), HYPERLINK("#",""), HYPERLINK(CONCATENATE("#Metadata!", ADDRESS(INDEX($W$2:$W$1001,MATCH(ROWS($U$2:U192),$U$2:$U$1001,0),0), INDEX($AB$1004:$AQ$1004,1,MATCH(COLUMNS($AB$1006:AJ1006),$AB$1006:$AQ$1006,0)))),"Fix")))</f>
        <v>0</v>
      </c>
      <c r="K192" s="5">
        <f>IF(OR(INDEX($V$2:$V$1001,MATCH(ROWS($U$2:U192),$U$2:$U$1001,0),1)&gt;=100000,INDEX($AB$1005:$AQ$1005,1,MATCH(COLUMNS($AB$1006:AK1006),$AB$1006:$AQ$1006,0))&gt;=100000), " ",IF(INDEX($AB$2:$AQ$1001,MATCH(ROWS($U$2:U192),$U$2:$U$1001,0),MATCH(COLUMNS($AB$1006:AK1006),$AB$1006:$AQ$1006,0)), HYPERLINK("#",""), HYPERLINK(CONCATENATE("#Metadata!", ADDRESS(INDEX($W$2:$W$1001,MATCH(ROWS($U$2:U192),$U$2:$U$1001,0),0), INDEX($AB$1004:$AQ$1004,1,MATCH(COLUMNS($AB$1006:AK1006),$AB$1006:$AQ$1006,0)))),"Fix")))</f>
        <v>0</v>
      </c>
      <c r="L192" s="5">
        <f>IF(OR(INDEX($V$2:$V$1001,MATCH(ROWS($U$2:U192),$U$2:$U$1001,0),1)&gt;=100000,INDEX($AB$1005:$AQ$1005,1,MATCH(COLUMNS($AB$1006:AL1006),$AB$1006:$AQ$1006,0))&gt;=100000), " ",IF(INDEX($AB$2:$AQ$1001,MATCH(ROWS($U$2:U192),$U$2:$U$1001,0),MATCH(COLUMNS($AB$1006:AL1006),$AB$1006:$AQ$1006,0)), HYPERLINK("#",""), HYPERLINK(CONCATENATE("#Metadata!", ADDRESS(INDEX($W$2:$W$1001,MATCH(ROWS($U$2:U192),$U$2:$U$1001,0),0), INDEX($AB$1004:$AQ$1004,1,MATCH(COLUMNS($AB$1006:AL1006),$AB$1006:$AQ$1006,0)))),"Fix")))</f>
        <v>0</v>
      </c>
      <c r="M192" s="5">
        <f>IF(OR(INDEX($V$2:$V$1001,MATCH(ROWS($U$2:U192),$U$2:$U$1001,0),1)&gt;=100000,INDEX($AB$1005:$AQ$1005,1,MATCH(COLUMNS($AB$1006:AM1006),$AB$1006:$AQ$1006,0))&gt;=100000), " ",IF(INDEX($AB$2:$AQ$1001,MATCH(ROWS($U$2:U192),$U$2:$U$1001,0),MATCH(COLUMNS($AB$1006:AM1006),$AB$1006:$AQ$1006,0)), HYPERLINK("#",""), HYPERLINK(CONCATENATE("#Metadata!", ADDRESS(INDEX($W$2:$W$1001,MATCH(ROWS($U$2:U192),$U$2:$U$1001,0),0), INDEX($AB$1004:$AQ$1004,1,MATCH(COLUMNS($AB$1006:AM1006),$AB$1006:$AQ$1006,0)))),"Fix")))</f>
        <v>0</v>
      </c>
      <c r="N192" s="5">
        <f>IF(OR(INDEX($V$2:$V$1001,MATCH(ROWS($U$2:U192),$U$2:$U$1001,0),1)&gt;=100000,INDEX($AB$1005:$AQ$1005,1,MATCH(COLUMNS($AB$1006:AN1006),$AB$1006:$AQ$1006,0))&gt;=100000), " ",IF(INDEX($AB$2:$AQ$1001,MATCH(ROWS($U$2:U192),$U$2:$U$1001,0),MATCH(COLUMNS($AB$1006:AN1006),$AB$1006:$AQ$1006,0)), HYPERLINK("#",""), HYPERLINK(CONCATENATE("#Metadata!", ADDRESS(INDEX($W$2:$W$1001,MATCH(ROWS($U$2:U192),$U$2:$U$1001,0),0), INDEX($AB$1004:$AQ$1004,1,MATCH(COLUMNS($AB$1006:AN1006),$AB$1006:$AQ$1006,0)))),"Fix")))</f>
        <v>0</v>
      </c>
      <c r="O192" s="5">
        <f>IF(OR(INDEX($V$2:$V$1001,MATCH(ROWS($U$2:U192),$U$2:$U$1001,0),1)&gt;=100000,INDEX($AB$1005:$AQ$1005,1,MATCH(COLUMNS($AB$1006:AO1006),$AB$1006:$AQ$1006,0))&gt;=100000), " ",IF(INDEX($AB$2:$AQ$1001,MATCH(ROWS($U$2:U192),$U$2:$U$1001,0),MATCH(COLUMNS($AB$1006:AO1006),$AB$1006:$AQ$1006,0)), HYPERLINK("#",""), HYPERLINK(CONCATENATE("#Metadata!", ADDRESS(INDEX($W$2:$W$1001,MATCH(ROWS($U$2:U192),$U$2:$U$1001,0),0), INDEX($AB$1004:$AQ$1004,1,MATCH(COLUMNS($AB$1006:AO1006),$AB$1006:$AQ$1006,0)))),"Fix")))</f>
        <v>0</v>
      </c>
      <c r="P192" s="5">
        <f>IF(OR(INDEX($V$2:$V$1001,MATCH(ROWS($U$2:U192),$U$2:$U$1001,0),1)&gt;=100000,INDEX($AB$1005:$AQ$1005,1,MATCH(COLUMNS($AB$1006:AP1006),$AB$1006:$AQ$1006,0))&gt;=100000), " ",IF(INDEX($AB$2:$AQ$1001,MATCH(ROWS($U$2:U192),$U$2:$U$1001,0),MATCH(COLUMNS($AB$1006:AP1006),$AB$1006:$AQ$1006,0)), HYPERLINK("#",""), HYPERLINK(CONCATENATE("#Metadata!", ADDRESS(INDEX($W$2:$W$1001,MATCH(ROWS($U$2:U192),$U$2:$U$1001,0),0), INDEX($AB$1004:$AQ$1004,1,MATCH(COLUMNS($AB$1006:AP1006),$AB$1006:$AQ$1006,0)))),"Fix")))</f>
        <v>0</v>
      </c>
      <c r="Q192" s="5">
        <f>IF(OR(INDEX($V$2:$V$1001,MATCH(ROWS($U$2:U192),$U$2:$U$1001,0),1)&gt;=100000,INDEX($AB$1005:$AQ$1005,1,MATCH(COLUMNS($AB$1006:AQ1006),$AB$1006:$AQ$1006,0))&gt;=100000), " ",IF(INDEX($AB$2:$AQ$1001,MATCH(ROWS($U$2:U192),$U$2:$U$1001,0),MATCH(COLUMNS($AB$1006:AQ1006),$AB$1006:$AQ$1006,0)), HYPERLINK("#",""), HYPERLINK(CONCATENATE("#Metadata!", ADDRESS(INDEX($W$2:$W$1001,MATCH(ROWS($U$2:U192),$U$2:$U$1001,0),0), INDEX($AB$1004:$AQ$1004,1,MATCH(COLUMNS($AB$1006:AQ1006),$AB$1006:$AQ$1006,0)))),"Fix")))</f>
        <v>0</v>
      </c>
      <c r="U192">
        <v>0</v>
      </c>
      <c r="V192">
        <v>0</v>
      </c>
      <c r="W192">
        <v>0</v>
      </c>
      <c r="X192">
        <f>IF(Y192,TRUE,AND(AB192:AQ192))</f>
        <v>0</v>
      </c>
      <c r="Y192">
        <f>COUNTBLANK(Metadata!B192:Q192)=COLUMNS(Metadata!B192:Q192)</f>
        <v>0</v>
      </c>
      <c r="Z192">
        <v>0</v>
      </c>
      <c r="AB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AC192">
        <f>AND(IF(Metadata!C192="",FALSE,TRUE),exact(Metadata!C192,"urban biome"))</f>
        <v>0</v>
      </c>
      <c r="AD192">
        <f>AND(IF(Metadata!D192="",FALSE,TRUE),exact(Metadata!D192,"human-associated habitat"))</f>
        <v>0</v>
      </c>
      <c r="AE192">
        <f>AND(IF(Metadata!E192="",FALSE,TRUE),OR(exact(Metadata!E192,"human-associated"),exact(Metadata!E192,"human-skin"),exact(Metadata!E192,"human-oral"),exact(Metadata!E192,"human-gut"),exact(Metadata!E192,"human-vaginal")))</f>
        <v>0</v>
      </c>
      <c r="AF192">
        <f>AND(IF(Metadata!F192="",FALSE,ISNUMBER(VALUE(Metadata!F192))),Metadata!F192&gt;0)</f>
        <v>0</v>
      </c>
      <c r="AG192">
        <f>AND(IF(Metadata!G192="",FALSE,TRUE),exact(Metadata!G192,"years"))</f>
        <v>0</v>
      </c>
      <c r="AH192">
        <f>OR(AND(IF(Metadata!H192="",FALSE,TRUE),OR(exact(Metadata!H192,"not applicable"),exact(Metadata!H192,"not collected"),exact(Metadata!H192,"not provided"),exact(Metadata!H192,"restricted access"))),AND(IF(Metadata!H192="",FALSE,ISNUMBER(VALUE(Metadata!H192))),Metadata!H192&gt;0))</f>
        <v>0</v>
      </c>
      <c r="AI192">
        <f>AND(IF(Metadata!I192="",FALSE,TRUE),exact(Metadata!I192,"human"))</f>
        <v>0</v>
      </c>
      <c r="AJ192">
        <f>AND(IF(Metadata!J192="",FALSE,ISNUMBER(VALUE(Metadata!J192))),Metadata!J192&gt;0)</f>
        <v>0</v>
      </c>
      <c r="AK192">
        <f>AND(IF(Metadata!K192="",FALSE,TRUE),exact(Metadata!K192,"cm"))</f>
        <v>0</v>
      </c>
      <c r="AL192">
        <f>AND(IF(Metadata!L192="",FALSE,TRUE),exact(Metadata!L192,"Homo sapiens"))</f>
        <v>0</v>
      </c>
      <c r="AM192">
        <f>AND(IF(Metadata!M192="",FALSE,TRUE),exact(Metadata!M192,"9606"))</f>
        <v>0</v>
      </c>
      <c r="AN192">
        <f>AND(IF(Metadata!N192="",FALSE,ISNUMBER(VALUE(Metadata!N192))),Metadata!N192&gt;0)</f>
        <v>0</v>
      </c>
      <c r="AO192">
        <f>AND(IF(Metadata!O192="",FALSE,TRUE),exact(Metadata!O192,"kg"))</f>
        <v>0</v>
      </c>
      <c r="AP192">
        <f>OR(AND(IF(Metadata!P192="",FALSE,TRUE),exact(Metadata!P192,"not provided")),IF(Metadata!P192="",FALSE,TRUE))</f>
        <v>0</v>
      </c>
      <c r="AQ192">
        <f>OR(AND(IF(Metadata!Q192="",FALSE,TRUE),exact(Metadata!Q192,"not provided")),IF(Metadata!Q192="",FALSE,TRUE))</f>
        <v>0</v>
      </c>
    </row>
    <row r="193" spans="1:43">
      <c r="A193" s="4">
        <f>IF(B193=" "," ",HYPERLINK(CONCATENATE("#metadata!",ADDRESS(INDEX($W$2:$W$1001,MATCH(ROWS($U$2:U193),$U$2:$U$1001,0),0),2)),INDEX($Z$2:$Z$1001,MATCH(ROWS($U$2:U193),$U$2:$U$1001,0),0)))</f>
        <v>0</v>
      </c>
      <c r="B193" s="5">
        <f>IF(OR(INDEX($V$2:$V$1001,MATCH(ROWS($U$2:U193),$U$2:$U$1001,0),1)&gt;=100000,INDEX($AB$1005:$AQ$1005,1,MATCH(COLUMNS($AB$1006:AB1006),$AB$1006:$AQ$1006,0))&gt;=100000), " ",IF(INDEX($AB$2:$AQ$1001,MATCH(ROWS($U$2:U193),$U$2:$U$1001,0),MATCH(COLUMNS($AB$1006:AB1006),$AB$1006:$AQ$1006,0)), HYPERLINK("#",""), HYPERLINK(CONCATENATE("#Metadata!", ADDRESS(INDEX($W$2:$W$1001,MATCH(ROWS($U$2:U193),$U$2:$U$1001,0),0), INDEX($AB$1004:$AQ$1004,1,MATCH(COLUMNS($AB$1006:AB1006),$AB$1006:$AQ$1006,0)))),"Fix")))</f>
        <v>0</v>
      </c>
      <c r="C193" s="5">
        <f>IF(OR(INDEX($V$2:$V$1001,MATCH(ROWS($U$2:U193),$U$2:$U$1001,0),1)&gt;=100000,INDEX($AB$1005:$AQ$1005,1,MATCH(COLUMNS($AB$1006:AC1006),$AB$1006:$AQ$1006,0))&gt;=100000), " ",IF(INDEX($AB$2:$AQ$1001,MATCH(ROWS($U$2:U193),$U$2:$U$1001,0),MATCH(COLUMNS($AB$1006:AC1006),$AB$1006:$AQ$1006,0)), HYPERLINK("#",""), HYPERLINK(CONCATENATE("#Metadata!", ADDRESS(INDEX($W$2:$W$1001,MATCH(ROWS($U$2:U193),$U$2:$U$1001,0),0), INDEX($AB$1004:$AQ$1004,1,MATCH(COLUMNS($AB$1006:AC1006),$AB$1006:$AQ$1006,0)))),"Fix")))</f>
        <v>0</v>
      </c>
      <c r="D193" s="5">
        <f>IF(OR(INDEX($V$2:$V$1001,MATCH(ROWS($U$2:U193),$U$2:$U$1001,0),1)&gt;=100000,INDEX($AB$1005:$AQ$1005,1,MATCH(COLUMNS($AB$1006:AD1006),$AB$1006:$AQ$1006,0))&gt;=100000), " ",IF(INDEX($AB$2:$AQ$1001,MATCH(ROWS($U$2:U193),$U$2:$U$1001,0),MATCH(COLUMNS($AB$1006:AD1006),$AB$1006:$AQ$1006,0)), HYPERLINK("#",""), HYPERLINK(CONCATENATE("#Metadata!", ADDRESS(INDEX($W$2:$W$1001,MATCH(ROWS($U$2:U193),$U$2:$U$1001,0),0), INDEX($AB$1004:$AQ$1004,1,MATCH(COLUMNS($AB$1006:AD1006),$AB$1006:$AQ$1006,0)))),"Fix")))</f>
        <v>0</v>
      </c>
      <c r="E193" s="5">
        <f>IF(OR(INDEX($V$2:$V$1001,MATCH(ROWS($U$2:U193),$U$2:$U$1001,0),1)&gt;=100000,INDEX($AB$1005:$AQ$1005,1,MATCH(COLUMNS($AB$1006:AE1006),$AB$1006:$AQ$1006,0))&gt;=100000), " ",IF(INDEX($AB$2:$AQ$1001,MATCH(ROWS($U$2:U193),$U$2:$U$1001,0),MATCH(COLUMNS($AB$1006:AE1006),$AB$1006:$AQ$1006,0)), HYPERLINK("#",""), HYPERLINK(CONCATENATE("#Metadata!", ADDRESS(INDEX($W$2:$W$1001,MATCH(ROWS($U$2:U193),$U$2:$U$1001,0),0), INDEX($AB$1004:$AQ$1004,1,MATCH(COLUMNS($AB$1006:AE1006),$AB$1006:$AQ$1006,0)))),"Fix")))</f>
        <v>0</v>
      </c>
      <c r="F193" s="5">
        <f>IF(OR(INDEX($V$2:$V$1001,MATCH(ROWS($U$2:U193),$U$2:$U$1001,0),1)&gt;=100000,INDEX($AB$1005:$AQ$1005,1,MATCH(COLUMNS($AB$1006:AF1006),$AB$1006:$AQ$1006,0))&gt;=100000), " ",IF(INDEX($AB$2:$AQ$1001,MATCH(ROWS($U$2:U193),$U$2:$U$1001,0),MATCH(COLUMNS($AB$1006:AF1006),$AB$1006:$AQ$1006,0)), HYPERLINK("#",""), HYPERLINK(CONCATENATE("#Metadata!", ADDRESS(INDEX($W$2:$W$1001,MATCH(ROWS($U$2:U193),$U$2:$U$1001,0),0), INDEX($AB$1004:$AQ$1004,1,MATCH(COLUMNS($AB$1006:AF1006),$AB$1006:$AQ$1006,0)))),"Fix")))</f>
        <v>0</v>
      </c>
      <c r="G193" s="5">
        <f>IF(OR(INDEX($V$2:$V$1001,MATCH(ROWS($U$2:U193),$U$2:$U$1001,0),1)&gt;=100000,INDEX($AB$1005:$AQ$1005,1,MATCH(COLUMNS($AB$1006:AG1006),$AB$1006:$AQ$1006,0))&gt;=100000), " ",IF(INDEX($AB$2:$AQ$1001,MATCH(ROWS($U$2:U193),$U$2:$U$1001,0),MATCH(COLUMNS($AB$1006:AG1006),$AB$1006:$AQ$1006,0)), HYPERLINK("#",""), HYPERLINK(CONCATENATE("#Metadata!", ADDRESS(INDEX($W$2:$W$1001,MATCH(ROWS($U$2:U193),$U$2:$U$1001,0),0), INDEX($AB$1004:$AQ$1004,1,MATCH(COLUMNS($AB$1006:AG1006),$AB$1006:$AQ$1006,0)))),"Fix")))</f>
        <v>0</v>
      </c>
      <c r="H193" s="5">
        <f>IF(OR(INDEX($V$2:$V$1001,MATCH(ROWS($U$2:U193),$U$2:$U$1001,0),1)&gt;=100000,INDEX($AB$1005:$AQ$1005,1,MATCH(COLUMNS($AB$1006:AH1006),$AB$1006:$AQ$1006,0))&gt;=100000), " ",IF(INDEX($AB$2:$AQ$1001,MATCH(ROWS($U$2:U193),$U$2:$U$1001,0),MATCH(COLUMNS($AB$1006:AH1006),$AB$1006:$AQ$1006,0)), HYPERLINK("#",""), HYPERLINK(CONCATENATE("#Metadata!", ADDRESS(INDEX($W$2:$W$1001,MATCH(ROWS($U$2:U193),$U$2:$U$1001,0),0), INDEX($AB$1004:$AQ$1004,1,MATCH(COLUMNS($AB$1006:AH1006),$AB$1006:$AQ$1006,0)))),"Fix")))</f>
        <v>0</v>
      </c>
      <c r="I193" s="5">
        <f>IF(OR(INDEX($V$2:$V$1001,MATCH(ROWS($U$2:U193),$U$2:$U$1001,0),1)&gt;=100000,INDEX($AB$1005:$AQ$1005,1,MATCH(COLUMNS($AB$1006:AI1006),$AB$1006:$AQ$1006,0))&gt;=100000), " ",IF(INDEX($AB$2:$AQ$1001,MATCH(ROWS($U$2:U193),$U$2:$U$1001,0),MATCH(COLUMNS($AB$1006:AI1006),$AB$1006:$AQ$1006,0)), HYPERLINK("#",""), HYPERLINK(CONCATENATE("#Metadata!", ADDRESS(INDEX($W$2:$W$1001,MATCH(ROWS($U$2:U193),$U$2:$U$1001,0),0), INDEX($AB$1004:$AQ$1004,1,MATCH(COLUMNS($AB$1006:AI1006),$AB$1006:$AQ$1006,0)))),"Fix")))</f>
        <v>0</v>
      </c>
      <c r="J193" s="5">
        <f>IF(OR(INDEX($V$2:$V$1001,MATCH(ROWS($U$2:U193),$U$2:$U$1001,0),1)&gt;=100000,INDEX($AB$1005:$AQ$1005,1,MATCH(COLUMNS($AB$1006:AJ1006),$AB$1006:$AQ$1006,0))&gt;=100000), " ",IF(INDEX($AB$2:$AQ$1001,MATCH(ROWS($U$2:U193),$U$2:$U$1001,0),MATCH(COLUMNS($AB$1006:AJ1006),$AB$1006:$AQ$1006,0)), HYPERLINK("#",""), HYPERLINK(CONCATENATE("#Metadata!", ADDRESS(INDEX($W$2:$W$1001,MATCH(ROWS($U$2:U193),$U$2:$U$1001,0),0), INDEX($AB$1004:$AQ$1004,1,MATCH(COLUMNS($AB$1006:AJ1006),$AB$1006:$AQ$1006,0)))),"Fix")))</f>
        <v>0</v>
      </c>
      <c r="K193" s="5">
        <f>IF(OR(INDEX($V$2:$V$1001,MATCH(ROWS($U$2:U193),$U$2:$U$1001,0),1)&gt;=100000,INDEX($AB$1005:$AQ$1005,1,MATCH(COLUMNS($AB$1006:AK1006),$AB$1006:$AQ$1006,0))&gt;=100000), " ",IF(INDEX($AB$2:$AQ$1001,MATCH(ROWS($U$2:U193),$U$2:$U$1001,0),MATCH(COLUMNS($AB$1006:AK1006),$AB$1006:$AQ$1006,0)), HYPERLINK("#",""), HYPERLINK(CONCATENATE("#Metadata!", ADDRESS(INDEX($W$2:$W$1001,MATCH(ROWS($U$2:U193),$U$2:$U$1001,0),0), INDEX($AB$1004:$AQ$1004,1,MATCH(COLUMNS($AB$1006:AK1006),$AB$1006:$AQ$1006,0)))),"Fix")))</f>
        <v>0</v>
      </c>
      <c r="L193" s="5">
        <f>IF(OR(INDEX($V$2:$V$1001,MATCH(ROWS($U$2:U193),$U$2:$U$1001,0),1)&gt;=100000,INDEX($AB$1005:$AQ$1005,1,MATCH(COLUMNS($AB$1006:AL1006),$AB$1006:$AQ$1006,0))&gt;=100000), " ",IF(INDEX($AB$2:$AQ$1001,MATCH(ROWS($U$2:U193),$U$2:$U$1001,0),MATCH(COLUMNS($AB$1006:AL1006),$AB$1006:$AQ$1006,0)), HYPERLINK("#",""), HYPERLINK(CONCATENATE("#Metadata!", ADDRESS(INDEX($W$2:$W$1001,MATCH(ROWS($U$2:U193),$U$2:$U$1001,0),0), INDEX($AB$1004:$AQ$1004,1,MATCH(COLUMNS($AB$1006:AL1006),$AB$1006:$AQ$1006,0)))),"Fix")))</f>
        <v>0</v>
      </c>
      <c r="M193" s="5">
        <f>IF(OR(INDEX($V$2:$V$1001,MATCH(ROWS($U$2:U193),$U$2:$U$1001,0),1)&gt;=100000,INDEX($AB$1005:$AQ$1005,1,MATCH(COLUMNS($AB$1006:AM1006),$AB$1006:$AQ$1006,0))&gt;=100000), " ",IF(INDEX($AB$2:$AQ$1001,MATCH(ROWS($U$2:U193),$U$2:$U$1001,0),MATCH(COLUMNS($AB$1006:AM1006),$AB$1006:$AQ$1006,0)), HYPERLINK("#",""), HYPERLINK(CONCATENATE("#Metadata!", ADDRESS(INDEX($W$2:$W$1001,MATCH(ROWS($U$2:U193),$U$2:$U$1001,0),0), INDEX($AB$1004:$AQ$1004,1,MATCH(COLUMNS($AB$1006:AM1006),$AB$1006:$AQ$1006,0)))),"Fix")))</f>
        <v>0</v>
      </c>
      <c r="N193" s="5">
        <f>IF(OR(INDEX($V$2:$V$1001,MATCH(ROWS($U$2:U193),$U$2:$U$1001,0),1)&gt;=100000,INDEX($AB$1005:$AQ$1005,1,MATCH(COLUMNS($AB$1006:AN1006),$AB$1006:$AQ$1006,0))&gt;=100000), " ",IF(INDEX($AB$2:$AQ$1001,MATCH(ROWS($U$2:U193),$U$2:$U$1001,0),MATCH(COLUMNS($AB$1006:AN1006),$AB$1006:$AQ$1006,0)), HYPERLINK("#",""), HYPERLINK(CONCATENATE("#Metadata!", ADDRESS(INDEX($W$2:$W$1001,MATCH(ROWS($U$2:U193),$U$2:$U$1001,0),0), INDEX($AB$1004:$AQ$1004,1,MATCH(COLUMNS($AB$1006:AN1006),$AB$1006:$AQ$1006,0)))),"Fix")))</f>
        <v>0</v>
      </c>
      <c r="O193" s="5">
        <f>IF(OR(INDEX($V$2:$V$1001,MATCH(ROWS($U$2:U193),$U$2:$U$1001,0),1)&gt;=100000,INDEX($AB$1005:$AQ$1005,1,MATCH(COLUMNS($AB$1006:AO1006),$AB$1006:$AQ$1006,0))&gt;=100000), " ",IF(INDEX($AB$2:$AQ$1001,MATCH(ROWS($U$2:U193),$U$2:$U$1001,0),MATCH(COLUMNS($AB$1006:AO1006),$AB$1006:$AQ$1006,0)), HYPERLINK("#",""), HYPERLINK(CONCATENATE("#Metadata!", ADDRESS(INDEX($W$2:$W$1001,MATCH(ROWS($U$2:U193),$U$2:$U$1001,0),0), INDEX($AB$1004:$AQ$1004,1,MATCH(COLUMNS($AB$1006:AO1006),$AB$1006:$AQ$1006,0)))),"Fix")))</f>
        <v>0</v>
      </c>
      <c r="P193" s="5">
        <f>IF(OR(INDEX($V$2:$V$1001,MATCH(ROWS($U$2:U193),$U$2:$U$1001,0),1)&gt;=100000,INDEX($AB$1005:$AQ$1005,1,MATCH(COLUMNS($AB$1006:AP1006),$AB$1006:$AQ$1006,0))&gt;=100000), " ",IF(INDEX($AB$2:$AQ$1001,MATCH(ROWS($U$2:U193),$U$2:$U$1001,0),MATCH(COLUMNS($AB$1006:AP1006),$AB$1006:$AQ$1006,0)), HYPERLINK("#",""), HYPERLINK(CONCATENATE("#Metadata!", ADDRESS(INDEX($W$2:$W$1001,MATCH(ROWS($U$2:U193),$U$2:$U$1001,0),0), INDEX($AB$1004:$AQ$1004,1,MATCH(COLUMNS($AB$1006:AP1006),$AB$1006:$AQ$1006,0)))),"Fix")))</f>
        <v>0</v>
      </c>
      <c r="Q193" s="5">
        <f>IF(OR(INDEX($V$2:$V$1001,MATCH(ROWS($U$2:U193),$U$2:$U$1001,0),1)&gt;=100000,INDEX($AB$1005:$AQ$1005,1,MATCH(COLUMNS($AB$1006:AQ1006),$AB$1006:$AQ$1006,0))&gt;=100000), " ",IF(INDEX($AB$2:$AQ$1001,MATCH(ROWS($U$2:U193),$U$2:$U$1001,0),MATCH(COLUMNS($AB$1006:AQ1006),$AB$1006:$AQ$1006,0)), HYPERLINK("#",""), HYPERLINK(CONCATENATE("#Metadata!", ADDRESS(INDEX($W$2:$W$1001,MATCH(ROWS($U$2:U193),$U$2:$U$1001,0),0), INDEX($AB$1004:$AQ$1004,1,MATCH(COLUMNS($AB$1006:AQ1006),$AB$1006:$AQ$1006,0)))),"Fix")))</f>
        <v>0</v>
      </c>
      <c r="U193">
        <v>0</v>
      </c>
      <c r="V193">
        <v>0</v>
      </c>
      <c r="W193">
        <v>0</v>
      </c>
      <c r="X193">
        <f>IF(Y193,TRUE,AND(AB193:AQ193))</f>
        <v>0</v>
      </c>
      <c r="Y193">
        <f>COUNTBLANK(Metadata!B193:Q193)=COLUMNS(Metadata!B193:Q193)</f>
        <v>0</v>
      </c>
      <c r="Z193">
        <v>0</v>
      </c>
      <c r="AB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AC193">
        <f>AND(IF(Metadata!C193="",FALSE,TRUE),exact(Metadata!C193,"urban biome"))</f>
        <v>0</v>
      </c>
      <c r="AD193">
        <f>AND(IF(Metadata!D193="",FALSE,TRUE),exact(Metadata!D193,"human-associated habitat"))</f>
        <v>0</v>
      </c>
      <c r="AE193">
        <f>AND(IF(Metadata!E193="",FALSE,TRUE),OR(exact(Metadata!E193,"human-associated"),exact(Metadata!E193,"human-skin"),exact(Metadata!E193,"human-oral"),exact(Metadata!E193,"human-gut"),exact(Metadata!E193,"human-vaginal")))</f>
        <v>0</v>
      </c>
      <c r="AF193">
        <f>AND(IF(Metadata!F193="",FALSE,ISNUMBER(VALUE(Metadata!F193))),Metadata!F193&gt;0)</f>
        <v>0</v>
      </c>
      <c r="AG193">
        <f>AND(IF(Metadata!G193="",FALSE,TRUE),exact(Metadata!G193,"years"))</f>
        <v>0</v>
      </c>
      <c r="AH193">
        <f>OR(AND(IF(Metadata!H193="",FALSE,TRUE),OR(exact(Metadata!H193,"not applicable"),exact(Metadata!H193,"not collected"),exact(Metadata!H193,"not provided"),exact(Metadata!H193,"restricted access"))),AND(IF(Metadata!H193="",FALSE,ISNUMBER(VALUE(Metadata!H193))),Metadata!H193&gt;0))</f>
        <v>0</v>
      </c>
      <c r="AI193">
        <f>AND(IF(Metadata!I193="",FALSE,TRUE),exact(Metadata!I193,"human"))</f>
        <v>0</v>
      </c>
      <c r="AJ193">
        <f>AND(IF(Metadata!J193="",FALSE,ISNUMBER(VALUE(Metadata!J193))),Metadata!J193&gt;0)</f>
        <v>0</v>
      </c>
      <c r="AK193">
        <f>AND(IF(Metadata!K193="",FALSE,TRUE),exact(Metadata!K193,"cm"))</f>
        <v>0</v>
      </c>
      <c r="AL193">
        <f>AND(IF(Metadata!L193="",FALSE,TRUE),exact(Metadata!L193,"Homo sapiens"))</f>
        <v>0</v>
      </c>
      <c r="AM193">
        <f>AND(IF(Metadata!M193="",FALSE,TRUE),exact(Metadata!M193,"9606"))</f>
        <v>0</v>
      </c>
      <c r="AN193">
        <f>AND(IF(Metadata!N193="",FALSE,ISNUMBER(VALUE(Metadata!N193))),Metadata!N193&gt;0)</f>
        <v>0</v>
      </c>
      <c r="AO193">
        <f>AND(IF(Metadata!O193="",FALSE,TRUE),exact(Metadata!O193,"kg"))</f>
        <v>0</v>
      </c>
      <c r="AP193">
        <f>OR(AND(IF(Metadata!P193="",FALSE,TRUE),exact(Metadata!P193,"not provided")),IF(Metadata!P193="",FALSE,TRUE))</f>
        <v>0</v>
      </c>
      <c r="AQ193">
        <f>OR(AND(IF(Metadata!Q193="",FALSE,TRUE),exact(Metadata!Q193,"not provided")),IF(Metadata!Q193="",FALSE,TRUE))</f>
        <v>0</v>
      </c>
    </row>
    <row r="194" spans="1:43">
      <c r="A194" s="4">
        <f>IF(B194=" "," ",HYPERLINK(CONCATENATE("#metadata!",ADDRESS(INDEX($W$2:$W$1001,MATCH(ROWS($U$2:U194),$U$2:$U$1001,0),0),2)),INDEX($Z$2:$Z$1001,MATCH(ROWS($U$2:U194),$U$2:$U$1001,0),0)))</f>
        <v>0</v>
      </c>
      <c r="B194" s="5">
        <f>IF(OR(INDEX($V$2:$V$1001,MATCH(ROWS($U$2:U194),$U$2:$U$1001,0),1)&gt;=100000,INDEX($AB$1005:$AQ$1005,1,MATCH(COLUMNS($AB$1006:AB1006),$AB$1006:$AQ$1006,0))&gt;=100000), " ",IF(INDEX($AB$2:$AQ$1001,MATCH(ROWS($U$2:U194),$U$2:$U$1001,0),MATCH(COLUMNS($AB$1006:AB1006),$AB$1006:$AQ$1006,0)), HYPERLINK("#",""), HYPERLINK(CONCATENATE("#Metadata!", ADDRESS(INDEX($W$2:$W$1001,MATCH(ROWS($U$2:U194),$U$2:$U$1001,0),0), INDEX($AB$1004:$AQ$1004,1,MATCH(COLUMNS($AB$1006:AB1006),$AB$1006:$AQ$1006,0)))),"Fix")))</f>
        <v>0</v>
      </c>
      <c r="C194" s="5">
        <f>IF(OR(INDEX($V$2:$V$1001,MATCH(ROWS($U$2:U194),$U$2:$U$1001,0),1)&gt;=100000,INDEX($AB$1005:$AQ$1005,1,MATCH(COLUMNS($AB$1006:AC1006),$AB$1006:$AQ$1006,0))&gt;=100000), " ",IF(INDEX($AB$2:$AQ$1001,MATCH(ROWS($U$2:U194),$U$2:$U$1001,0),MATCH(COLUMNS($AB$1006:AC1006),$AB$1006:$AQ$1006,0)), HYPERLINK("#",""), HYPERLINK(CONCATENATE("#Metadata!", ADDRESS(INDEX($W$2:$W$1001,MATCH(ROWS($U$2:U194),$U$2:$U$1001,0),0), INDEX($AB$1004:$AQ$1004,1,MATCH(COLUMNS($AB$1006:AC1006),$AB$1006:$AQ$1006,0)))),"Fix")))</f>
        <v>0</v>
      </c>
      <c r="D194" s="5">
        <f>IF(OR(INDEX($V$2:$V$1001,MATCH(ROWS($U$2:U194),$U$2:$U$1001,0),1)&gt;=100000,INDEX($AB$1005:$AQ$1005,1,MATCH(COLUMNS($AB$1006:AD1006),$AB$1006:$AQ$1006,0))&gt;=100000), " ",IF(INDEX($AB$2:$AQ$1001,MATCH(ROWS($U$2:U194),$U$2:$U$1001,0),MATCH(COLUMNS($AB$1006:AD1006),$AB$1006:$AQ$1006,0)), HYPERLINK("#",""), HYPERLINK(CONCATENATE("#Metadata!", ADDRESS(INDEX($W$2:$W$1001,MATCH(ROWS($U$2:U194),$U$2:$U$1001,0),0), INDEX($AB$1004:$AQ$1004,1,MATCH(COLUMNS($AB$1006:AD1006),$AB$1006:$AQ$1006,0)))),"Fix")))</f>
        <v>0</v>
      </c>
      <c r="E194" s="5">
        <f>IF(OR(INDEX($V$2:$V$1001,MATCH(ROWS($U$2:U194),$U$2:$U$1001,0),1)&gt;=100000,INDEX($AB$1005:$AQ$1005,1,MATCH(COLUMNS($AB$1006:AE1006),$AB$1006:$AQ$1006,0))&gt;=100000), " ",IF(INDEX($AB$2:$AQ$1001,MATCH(ROWS($U$2:U194),$U$2:$U$1001,0),MATCH(COLUMNS($AB$1006:AE1006),$AB$1006:$AQ$1006,0)), HYPERLINK("#",""), HYPERLINK(CONCATENATE("#Metadata!", ADDRESS(INDEX($W$2:$W$1001,MATCH(ROWS($U$2:U194),$U$2:$U$1001,0),0), INDEX($AB$1004:$AQ$1004,1,MATCH(COLUMNS($AB$1006:AE1006),$AB$1006:$AQ$1006,0)))),"Fix")))</f>
        <v>0</v>
      </c>
      <c r="F194" s="5">
        <f>IF(OR(INDEX($V$2:$V$1001,MATCH(ROWS($U$2:U194),$U$2:$U$1001,0),1)&gt;=100000,INDEX($AB$1005:$AQ$1005,1,MATCH(COLUMNS($AB$1006:AF1006),$AB$1006:$AQ$1006,0))&gt;=100000), " ",IF(INDEX($AB$2:$AQ$1001,MATCH(ROWS($U$2:U194),$U$2:$U$1001,0),MATCH(COLUMNS($AB$1006:AF1006),$AB$1006:$AQ$1006,0)), HYPERLINK("#",""), HYPERLINK(CONCATENATE("#Metadata!", ADDRESS(INDEX($W$2:$W$1001,MATCH(ROWS($U$2:U194),$U$2:$U$1001,0),0), INDEX($AB$1004:$AQ$1004,1,MATCH(COLUMNS($AB$1006:AF1006),$AB$1006:$AQ$1006,0)))),"Fix")))</f>
        <v>0</v>
      </c>
      <c r="G194" s="5">
        <f>IF(OR(INDEX($V$2:$V$1001,MATCH(ROWS($U$2:U194),$U$2:$U$1001,0),1)&gt;=100000,INDEX($AB$1005:$AQ$1005,1,MATCH(COLUMNS($AB$1006:AG1006),$AB$1006:$AQ$1006,0))&gt;=100000), " ",IF(INDEX($AB$2:$AQ$1001,MATCH(ROWS($U$2:U194),$U$2:$U$1001,0),MATCH(COLUMNS($AB$1006:AG1006),$AB$1006:$AQ$1006,0)), HYPERLINK("#",""), HYPERLINK(CONCATENATE("#Metadata!", ADDRESS(INDEX($W$2:$W$1001,MATCH(ROWS($U$2:U194),$U$2:$U$1001,0),0), INDEX($AB$1004:$AQ$1004,1,MATCH(COLUMNS($AB$1006:AG1006),$AB$1006:$AQ$1006,0)))),"Fix")))</f>
        <v>0</v>
      </c>
      <c r="H194" s="5">
        <f>IF(OR(INDEX($V$2:$V$1001,MATCH(ROWS($U$2:U194),$U$2:$U$1001,0),1)&gt;=100000,INDEX($AB$1005:$AQ$1005,1,MATCH(COLUMNS($AB$1006:AH1006),$AB$1006:$AQ$1006,0))&gt;=100000), " ",IF(INDEX($AB$2:$AQ$1001,MATCH(ROWS($U$2:U194),$U$2:$U$1001,0),MATCH(COLUMNS($AB$1006:AH1006),$AB$1006:$AQ$1006,0)), HYPERLINK("#",""), HYPERLINK(CONCATENATE("#Metadata!", ADDRESS(INDEX($W$2:$W$1001,MATCH(ROWS($U$2:U194),$U$2:$U$1001,0),0), INDEX($AB$1004:$AQ$1004,1,MATCH(COLUMNS($AB$1006:AH1006),$AB$1006:$AQ$1006,0)))),"Fix")))</f>
        <v>0</v>
      </c>
      <c r="I194" s="5">
        <f>IF(OR(INDEX($V$2:$V$1001,MATCH(ROWS($U$2:U194),$U$2:$U$1001,0),1)&gt;=100000,INDEX($AB$1005:$AQ$1005,1,MATCH(COLUMNS($AB$1006:AI1006),$AB$1006:$AQ$1006,0))&gt;=100000), " ",IF(INDEX($AB$2:$AQ$1001,MATCH(ROWS($U$2:U194),$U$2:$U$1001,0),MATCH(COLUMNS($AB$1006:AI1006),$AB$1006:$AQ$1006,0)), HYPERLINK("#",""), HYPERLINK(CONCATENATE("#Metadata!", ADDRESS(INDEX($W$2:$W$1001,MATCH(ROWS($U$2:U194),$U$2:$U$1001,0),0), INDEX($AB$1004:$AQ$1004,1,MATCH(COLUMNS($AB$1006:AI1006),$AB$1006:$AQ$1006,0)))),"Fix")))</f>
        <v>0</v>
      </c>
      <c r="J194" s="5">
        <f>IF(OR(INDEX($V$2:$V$1001,MATCH(ROWS($U$2:U194),$U$2:$U$1001,0),1)&gt;=100000,INDEX($AB$1005:$AQ$1005,1,MATCH(COLUMNS($AB$1006:AJ1006),$AB$1006:$AQ$1006,0))&gt;=100000), " ",IF(INDEX($AB$2:$AQ$1001,MATCH(ROWS($U$2:U194),$U$2:$U$1001,0),MATCH(COLUMNS($AB$1006:AJ1006),$AB$1006:$AQ$1006,0)), HYPERLINK("#",""), HYPERLINK(CONCATENATE("#Metadata!", ADDRESS(INDEX($W$2:$W$1001,MATCH(ROWS($U$2:U194),$U$2:$U$1001,0),0), INDEX($AB$1004:$AQ$1004,1,MATCH(COLUMNS($AB$1006:AJ1006),$AB$1006:$AQ$1006,0)))),"Fix")))</f>
        <v>0</v>
      </c>
      <c r="K194" s="5">
        <f>IF(OR(INDEX($V$2:$V$1001,MATCH(ROWS($U$2:U194),$U$2:$U$1001,0),1)&gt;=100000,INDEX($AB$1005:$AQ$1005,1,MATCH(COLUMNS($AB$1006:AK1006),$AB$1006:$AQ$1006,0))&gt;=100000), " ",IF(INDEX($AB$2:$AQ$1001,MATCH(ROWS($U$2:U194),$U$2:$U$1001,0),MATCH(COLUMNS($AB$1006:AK1006),$AB$1006:$AQ$1006,0)), HYPERLINK("#",""), HYPERLINK(CONCATENATE("#Metadata!", ADDRESS(INDEX($W$2:$W$1001,MATCH(ROWS($U$2:U194),$U$2:$U$1001,0),0), INDEX($AB$1004:$AQ$1004,1,MATCH(COLUMNS($AB$1006:AK1006),$AB$1006:$AQ$1006,0)))),"Fix")))</f>
        <v>0</v>
      </c>
      <c r="L194" s="5">
        <f>IF(OR(INDEX($V$2:$V$1001,MATCH(ROWS($U$2:U194),$U$2:$U$1001,0),1)&gt;=100000,INDEX($AB$1005:$AQ$1005,1,MATCH(COLUMNS($AB$1006:AL1006),$AB$1006:$AQ$1006,0))&gt;=100000), " ",IF(INDEX($AB$2:$AQ$1001,MATCH(ROWS($U$2:U194),$U$2:$U$1001,0),MATCH(COLUMNS($AB$1006:AL1006),$AB$1006:$AQ$1006,0)), HYPERLINK("#",""), HYPERLINK(CONCATENATE("#Metadata!", ADDRESS(INDEX($W$2:$W$1001,MATCH(ROWS($U$2:U194),$U$2:$U$1001,0),0), INDEX($AB$1004:$AQ$1004,1,MATCH(COLUMNS($AB$1006:AL1006),$AB$1006:$AQ$1006,0)))),"Fix")))</f>
        <v>0</v>
      </c>
      <c r="M194" s="5">
        <f>IF(OR(INDEX($V$2:$V$1001,MATCH(ROWS($U$2:U194),$U$2:$U$1001,0),1)&gt;=100000,INDEX($AB$1005:$AQ$1005,1,MATCH(COLUMNS($AB$1006:AM1006),$AB$1006:$AQ$1006,0))&gt;=100000), " ",IF(INDEX($AB$2:$AQ$1001,MATCH(ROWS($U$2:U194),$U$2:$U$1001,0),MATCH(COLUMNS($AB$1006:AM1006),$AB$1006:$AQ$1006,0)), HYPERLINK("#",""), HYPERLINK(CONCATENATE("#Metadata!", ADDRESS(INDEX($W$2:$W$1001,MATCH(ROWS($U$2:U194),$U$2:$U$1001,0),0), INDEX($AB$1004:$AQ$1004,1,MATCH(COLUMNS($AB$1006:AM1006),$AB$1006:$AQ$1006,0)))),"Fix")))</f>
        <v>0</v>
      </c>
      <c r="N194" s="5">
        <f>IF(OR(INDEX($V$2:$V$1001,MATCH(ROWS($U$2:U194),$U$2:$U$1001,0),1)&gt;=100000,INDEX($AB$1005:$AQ$1005,1,MATCH(COLUMNS($AB$1006:AN1006),$AB$1006:$AQ$1006,0))&gt;=100000), " ",IF(INDEX($AB$2:$AQ$1001,MATCH(ROWS($U$2:U194),$U$2:$U$1001,0),MATCH(COLUMNS($AB$1006:AN1006),$AB$1006:$AQ$1006,0)), HYPERLINK("#",""), HYPERLINK(CONCATENATE("#Metadata!", ADDRESS(INDEX($W$2:$W$1001,MATCH(ROWS($U$2:U194),$U$2:$U$1001,0),0), INDEX($AB$1004:$AQ$1004,1,MATCH(COLUMNS($AB$1006:AN1006),$AB$1006:$AQ$1006,0)))),"Fix")))</f>
        <v>0</v>
      </c>
      <c r="O194" s="5">
        <f>IF(OR(INDEX($V$2:$V$1001,MATCH(ROWS($U$2:U194),$U$2:$U$1001,0),1)&gt;=100000,INDEX($AB$1005:$AQ$1005,1,MATCH(COLUMNS($AB$1006:AO1006),$AB$1006:$AQ$1006,0))&gt;=100000), " ",IF(INDEX($AB$2:$AQ$1001,MATCH(ROWS($U$2:U194),$U$2:$U$1001,0),MATCH(COLUMNS($AB$1006:AO1006),$AB$1006:$AQ$1006,0)), HYPERLINK("#",""), HYPERLINK(CONCATENATE("#Metadata!", ADDRESS(INDEX($W$2:$W$1001,MATCH(ROWS($U$2:U194),$U$2:$U$1001,0),0), INDEX($AB$1004:$AQ$1004,1,MATCH(COLUMNS($AB$1006:AO1006),$AB$1006:$AQ$1006,0)))),"Fix")))</f>
        <v>0</v>
      </c>
      <c r="P194" s="5">
        <f>IF(OR(INDEX($V$2:$V$1001,MATCH(ROWS($U$2:U194),$U$2:$U$1001,0),1)&gt;=100000,INDEX($AB$1005:$AQ$1005,1,MATCH(COLUMNS($AB$1006:AP1006),$AB$1006:$AQ$1006,0))&gt;=100000), " ",IF(INDEX($AB$2:$AQ$1001,MATCH(ROWS($U$2:U194),$U$2:$U$1001,0),MATCH(COLUMNS($AB$1006:AP1006),$AB$1006:$AQ$1006,0)), HYPERLINK("#",""), HYPERLINK(CONCATENATE("#Metadata!", ADDRESS(INDEX($W$2:$W$1001,MATCH(ROWS($U$2:U194),$U$2:$U$1001,0),0), INDEX($AB$1004:$AQ$1004,1,MATCH(COLUMNS($AB$1006:AP1006),$AB$1006:$AQ$1006,0)))),"Fix")))</f>
        <v>0</v>
      </c>
      <c r="Q194" s="5">
        <f>IF(OR(INDEX($V$2:$V$1001,MATCH(ROWS($U$2:U194),$U$2:$U$1001,0),1)&gt;=100000,INDEX($AB$1005:$AQ$1005,1,MATCH(COLUMNS($AB$1006:AQ1006),$AB$1006:$AQ$1006,0))&gt;=100000), " ",IF(INDEX($AB$2:$AQ$1001,MATCH(ROWS($U$2:U194),$U$2:$U$1001,0),MATCH(COLUMNS($AB$1006:AQ1006),$AB$1006:$AQ$1006,0)), HYPERLINK("#",""), HYPERLINK(CONCATENATE("#Metadata!", ADDRESS(INDEX($W$2:$W$1001,MATCH(ROWS($U$2:U194),$U$2:$U$1001,0),0), INDEX($AB$1004:$AQ$1004,1,MATCH(COLUMNS($AB$1006:AQ1006),$AB$1006:$AQ$1006,0)))),"Fix")))</f>
        <v>0</v>
      </c>
      <c r="U194">
        <v>0</v>
      </c>
      <c r="V194">
        <v>0</v>
      </c>
      <c r="W194">
        <v>0</v>
      </c>
      <c r="X194">
        <f>IF(Y194,TRUE,AND(AB194:AQ194))</f>
        <v>0</v>
      </c>
      <c r="Y194">
        <f>COUNTBLANK(Metadata!B194:Q194)=COLUMNS(Metadata!B194:Q194)</f>
        <v>0</v>
      </c>
      <c r="Z194">
        <v>0</v>
      </c>
      <c r="AB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AC194">
        <f>AND(IF(Metadata!C194="",FALSE,TRUE),exact(Metadata!C194,"urban biome"))</f>
        <v>0</v>
      </c>
      <c r="AD194">
        <f>AND(IF(Metadata!D194="",FALSE,TRUE),exact(Metadata!D194,"human-associated habitat"))</f>
        <v>0</v>
      </c>
      <c r="AE194">
        <f>AND(IF(Metadata!E194="",FALSE,TRUE),OR(exact(Metadata!E194,"human-associated"),exact(Metadata!E194,"human-skin"),exact(Metadata!E194,"human-oral"),exact(Metadata!E194,"human-gut"),exact(Metadata!E194,"human-vaginal")))</f>
        <v>0</v>
      </c>
      <c r="AF194">
        <f>AND(IF(Metadata!F194="",FALSE,ISNUMBER(VALUE(Metadata!F194))),Metadata!F194&gt;0)</f>
        <v>0</v>
      </c>
      <c r="AG194">
        <f>AND(IF(Metadata!G194="",FALSE,TRUE),exact(Metadata!G194,"years"))</f>
        <v>0</v>
      </c>
      <c r="AH194">
        <f>OR(AND(IF(Metadata!H194="",FALSE,TRUE),OR(exact(Metadata!H194,"not applicable"),exact(Metadata!H194,"not collected"),exact(Metadata!H194,"not provided"),exact(Metadata!H194,"restricted access"))),AND(IF(Metadata!H194="",FALSE,ISNUMBER(VALUE(Metadata!H194))),Metadata!H194&gt;0))</f>
        <v>0</v>
      </c>
      <c r="AI194">
        <f>AND(IF(Metadata!I194="",FALSE,TRUE),exact(Metadata!I194,"human"))</f>
        <v>0</v>
      </c>
      <c r="AJ194">
        <f>AND(IF(Metadata!J194="",FALSE,ISNUMBER(VALUE(Metadata!J194))),Metadata!J194&gt;0)</f>
        <v>0</v>
      </c>
      <c r="AK194">
        <f>AND(IF(Metadata!K194="",FALSE,TRUE),exact(Metadata!K194,"cm"))</f>
        <v>0</v>
      </c>
      <c r="AL194">
        <f>AND(IF(Metadata!L194="",FALSE,TRUE),exact(Metadata!L194,"Homo sapiens"))</f>
        <v>0</v>
      </c>
      <c r="AM194">
        <f>AND(IF(Metadata!M194="",FALSE,TRUE),exact(Metadata!M194,"9606"))</f>
        <v>0</v>
      </c>
      <c r="AN194">
        <f>AND(IF(Metadata!N194="",FALSE,ISNUMBER(VALUE(Metadata!N194))),Metadata!N194&gt;0)</f>
        <v>0</v>
      </c>
      <c r="AO194">
        <f>AND(IF(Metadata!O194="",FALSE,TRUE),exact(Metadata!O194,"kg"))</f>
        <v>0</v>
      </c>
      <c r="AP194">
        <f>OR(AND(IF(Metadata!P194="",FALSE,TRUE),exact(Metadata!P194,"not provided")),IF(Metadata!P194="",FALSE,TRUE))</f>
        <v>0</v>
      </c>
      <c r="AQ194">
        <f>OR(AND(IF(Metadata!Q194="",FALSE,TRUE),exact(Metadata!Q194,"not provided")),IF(Metadata!Q194="",FALSE,TRUE))</f>
        <v>0</v>
      </c>
    </row>
    <row r="195" spans="1:43">
      <c r="A195" s="4">
        <f>IF(B195=" "," ",HYPERLINK(CONCATENATE("#metadata!",ADDRESS(INDEX($W$2:$W$1001,MATCH(ROWS($U$2:U195),$U$2:$U$1001,0),0),2)),INDEX($Z$2:$Z$1001,MATCH(ROWS($U$2:U195),$U$2:$U$1001,0),0)))</f>
        <v>0</v>
      </c>
      <c r="B195" s="5">
        <f>IF(OR(INDEX($V$2:$V$1001,MATCH(ROWS($U$2:U195),$U$2:$U$1001,0),1)&gt;=100000,INDEX($AB$1005:$AQ$1005,1,MATCH(COLUMNS($AB$1006:AB1006),$AB$1006:$AQ$1006,0))&gt;=100000), " ",IF(INDEX($AB$2:$AQ$1001,MATCH(ROWS($U$2:U195),$U$2:$U$1001,0),MATCH(COLUMNS($AB$1006:AB1006),$AB$1006:$AQ$1006,0)), HYPERLINK("#",""), HYPERLINK(CONCATENATE("#Metadata!", ADDRESS(INDEX($W$2:$W$1001,MATCH(ROWS($U$2:U195),$U$2:$U$1001,0),0), INDEX($AB$1004:$AQ$1004,1,MATCH(COLUMNS($AB$1006:AB1006),$AB$1006:$AQ$1006,0)))),"Fix")))</f>
        <v>0</v>
      </c>
      <c r="C195" s="5">
        <f>IF(OR(INDEX($V$2:$V$1001,MATCH(ROWS($U$2:U195),$U$2:$U$1001,0),1)&gt;=100000,INDEX($AB$1005:$AQ$1005,1,MATCH(COLUMNS($AB$1006:AC1006),$AB$1006:$AQ$1006,0))&gt;=100000), " ",IF(INDEX($AB$2:$AQ$1001,MATCH(ROWS($U$2:U195),$U$2:$U$1001,0),MATCH(COLUMNS($AB$1006:AC1006),$AB$1006:$AQ$1006,0)), HYPERLINK("#",""), HYPERLINK(CONCATENATE("#Metadata!", ADDRESS(INDEX($W$2:$W$1001,MATCH(ROWS($U$2:U195),$U$2:$U$1001,0),0), INDEX($AB$1004:$AQ$1004,1,MATCH(COLUMNS($AB$1006:AC1006),$AB$1006:$AQ$1006,0)))),"Fix")))</f>
        <v>0</v>
      </c>
      <c r="D195" s="5">
        <f>IF(OR(INDEX($V$2:$V$1001,MATCH(ROWS($U$2:U195),$U$2:$U$1001,0),1)&gt;=100000,INDEX($AB$1005:$AQ$1005,1,MATCH(COLUMNS($AB$1006:AD1006),$AB$1006:$AQ$1006,0))&gt;=100000), " ",IF(INDEX($AB$2:$AQ$1001,MATCH(ROWS($U$2:U195),$U$2:$U$1001,0),MATCH(COLUMNS($AB$1006:AD1006),$AB$1006:$AQ$1006,0)), HYPERLINK("#",""), HYPERLINK(CONCATENATE("#Metadata!", ADDRESS(INDEX($W$2:$W$1001,MATCH(ROWS($U$2:U195),$U$2:$U$1001,0),0), INDEX($AB$1004:$AQ$1004,1,MATCH(COLUMNS($AB$1006:AD1006),$AB$1006:$AQ$1006,0)))),"Fix")))</f>
        <v>0</v>
      </c>
      <c r="E195" s="5">
        <f>IF(OR(INDEX($V$2:$V$1001,MATCH(ROWS($U$2:U195),$U$2:$U$1001,0),1)&gt;=100000,INDEX($AB$1005:$AQ$1005,1,MATCH(COLUMNS($AB$1006:AE1006),$AB$1006:$AQ$1006,0))&gt;=100000), " ",IF(INDEX($AB$2:$AQ$1001,MATCH(ROWS($U$2:U195),$U$2:$U$1001,0),MATCH(COLUMNS($AB$1006:AE1006),$AB$1006:$AQ$1006,0)), HYPERLINK("#",""), HYPERLINK(CONCATENATE("#Metadata!", ADDRESS(INDEX($W$2:$W$1001,MATCH(ROWS($U$2:U195),$U$2:$U$1001,0),0), INDEX($AB$1004:$AQ$1004,1,MATCH(COLUMNS($AB$1006:AE1006),$AB$1006:$AQ$1006,0)))),"Fix")))</f>
        <v>0</v>
      </c>
      <c r="F195" s="5">
        <f>IF(OR(INDEX($V$2:$V$1001,MATCH(ROWS($U$2:U195),$U$2:$U$1001,0),1)&gt;=100000,INDEX($AB$1005:$AQ$1005,1,MATCH(COLUMNS($AB$1006:AF1006),$AB$1006:$AQ$1006,0))&gt;=100000), " ",IF(INDEX($AB$2:$AQ$1001,MATCH(ROWS($U$2:U195),$U$2:$U$1001,0),MATCH(COLUMNS($AB$1006:AF1006),$AB$1006:$AQ$1006,0)), HYPERLINK("#",""), HYPERLINK(CONCATENATE("#Metadata!", ADDRESS(INDEX($W$2:$W$1001,MATCH(ROWS($U$2:U195),$U$2:$U$1001,0),0), INDEX($AB$1004:$AQ$1004,1,MATCH(COLUMNS($AB$1006:AF1006),$AB$1006:$AQ$1006,0)))),"Fix")))</f>
        <v>0</v>
      </c>
      <c r="G195" s="5">
        <f>IF(OR(INDEX($V$2:$V$1001,MATCH(ROWS($U$2:U195),$U$2:$U$1001,0),1)&gt;=100000,INDEX($AB$1005:$AQ$1005,1,MATCH(COLUMNS($AB$1006:AG1006),$AB$1006:$AQ$1006,0))&gt;=100000), " ",IF(INDEX($AB$2:$AQ$1001,MATCH(ROWS($U$2:U195),$U$2:$U$1001,0),MATCH(COLUMNS($AB$1006:AG1006),$AB$1006:$AQ$1006,0)), HYPERLINK("#",""), HYPERLINK(CONCATENATE("#Metadata!", ADDRESS(INDEX($W$2:$W$1001,MATCH(ROWS($U$2:U195),$U$2:$U$1001,0),0), INDEX($AB$1004:$AQ$1004,1,MATCH(COLUMNS($AB$1006:AG1006),$AB$1006:$AQ$1006,0)))),"Fix")))</f>
        <v>0</v>
      </c>
      <c r="H195" s="5">
        <f>IF(OR(INDEX($V$2:$V$1001,MATCH(ROWS($U$2:U195),$U$2:$U$1001,0),1)&gt;=100000,INDEX($AB$1005:$AQ$1005,1,MATCH(COLUMNS($AB$1006:AH1006),$AB$1006:$AQ$1006,0))&gt;=100000), " ",IF(INDEX($AB$2:$AQ$1001,MATCH(ROWS($U$2:U195),$U$2:$U$1001,0),MATCH(COLUMNS($AB$1006:AH1006),$AB$1006:$AQ$1006,0)), HYPERLINK("#",""), HYPERLINK(CONCATENATE("#Metadata!", ADDRESS(INDEX($W$2:$W$1001,MATCH(ROWS($U$2:U195),$U$2:$U$1001,0),0), INDEX($AB$1004:$AQ$1004,1,MATCH(COLUMNS($AB$1006:AH1006),$AB$1006:$AQ$1006,0)))),"Fix")))</f>
        <v>0</v>
      </c>
      <c r="I195" s="5">
        <f>IF(OR(INDEX($V$2:$V$1001,MATCH(ROWS($U$2:U195),$U$2:$U$1001,0),1)&gt;=100000,INDEX($AB$1005:$AQ$1005,1,MATCH(COLUMNS($AB$1006:AI1006),$AB$1006:$AQ$1006,0))&gt;=100000), " ",IF(INDEX($AB$2:$AQ$1001,MATCH(ROWS($U$2:U195),$U$2:$U$1001,0),MATCH(COLUMNS($AB$1006:AI1006),$AB$1006:$AQ$1006,0)), HYPERLINK("#",""), HYPERLINK(CONCATENATE("#Metadata!", ADDRESS(INDEX($W$2:$W$1001,MATCH(ROWS($U$2:U195),$U$2:$U$1001,0),0), INDEX($AB$1004:$AQ$1004,1,MATCH(COLUMNS($AB$1006:AI1006),$AB$1006:$AQ$1006,0)))),"Fix")))</f>
        <v>0</v>
      </c>
      <c r="J195" s="5">
        <f>IF(OR(INDEX($V$2:$V$1001,MATCH(ROWS($U$2:U195),$U$2:$U$1001,0),1)&gt;=100000,INDEX($AB$1005:$AQ$1005,1,MATCH(COLUMNS($AB$1006:AJ1006),$AB$1006:$AQ$1006,0))&gt;=100000), " ",IF(INDEX($AB$2:$AQ$1001,MATCH(ROWS($U$2:U195),$U$2:$U$1001,0),MATCH(COLUMNS($AB$1006:AJ1006),$AB$1006:$AQ$1006,0)), HYPERLINK("#",""), HYPERLINK(CONCATENATE("#Metadata!", ADDRESS(INDEX($W$2:$W$1001,MATCH(ROWS($U$2:U195),$U$2:$U$1001,0),0), INDEX($AB$1004:$AQ$1004,1,MATCH(COLUMNS($AB$1006:AJ1006),$AB$1006:$AQ$1006,0)))),"Fix")))</f>
        <v>0</v>
      </c>
      <c r="K195" s="5">
        <f>IF(OR(INDEX($V$2:$V$1001,MATCH(ROWS($U$2:U195),$U$2:$U$1001,0),1)&gt;=100000,INDEX($AB$1005:$AQ$1005,1,MATCH(COLUMNS($AB$1006:AK1006),$AB$1006:$AQ$1006,0))&gt;=100000), " ",IF(INDEX($AB$2:$AQ$1001,MATCH(ROWS($U$2:U195),$U$2:$U$1001,0),MATCH(COLUMNS($AB$1006:AK1006),$AB$1006:$AQ$1006,0)), HYPERLINK("#",""), HYPERLINK(CONCATENATE("#Metadata!", ADDRESS(INDEX($W$2:$W$1001,MATCH(ROWS($U$2:U195),$U$2:$U$1001,0),0), INDEX($AB$1004:$AQ$1004,1,MATCH(COLUMNS($AB$1006:AK1006),$AB$1006:$AQ$1006,0)))),"Fix")))</f>
        <v>0</v>
      </c>
      <c r="L195" s="5">
        <f>IF(OR(INDEX($V$2:$V$1001,MATCH(ROWS($U$2:U195),$U$2:$U$1001,0),1)&gt;=100000,INDEX($AB$1005:$AQ$1005,1,MATCH(COLUMNS($AB$1006:AL1006),$AB$1006:$AQ$1006,0))&gt;=100000), " ",IF(INDEX($AB$2:$AQ$1001,MATCH(ROWS($U$2:U195),$U$2:$U$1001,0),MATCH(COLUMNS($AB$1006:AL1006),$AB$1006:$AQ$1006,0)), HYPERLINK("#",""), HYPERLINK(CONCATENATE("#Metadata!", ADDRESS(INDEX($W$2:$W$1001,MATCH(ROWS($U$2:U195),$U$2:$U$1001,0),0), INDEX($AB$1004:$AQ$1004,1,MATCH(COLUMNS($AB$1006:AL1006),$AB$1006:$AQ$1006,0)))),"Fix")))</f>
        <v>0</v>
      </c>
      <c r="M195" s="5">
        <f>IF(OR(INDEX($V$2:$V$1001,MATCH(ROWS($U$2:U195),$U$2:$U$1001,0),1)&gt;=100000,INDEX($AB$1005:$AQ$1005,1,MATCH(COLUMNS($AB$1006:AM1006),$AB$1006:$AQ$1006,0))&gt;=100000), " ",IF(INDEX($AB$2:$AQ$1001,MATCH(ROWS($U$2:U195),$U$2:$U$1001,0),MATCH(COLUMNS($AB$1006:AM1006),$AB$1006:$AQ$1006,0)), HYPERLINK("#",""), HYPERLINK(CONCATENATE("#Metadata!", ADDRESS(INDEX($W$2:$W$1001,MATCH(ROWS($U$2:U195),$U$2:$U$1001,0),0), INDEX($AB$1004:$AQ$1004,1,MATCH(COLUMNS($AB$1006:AM1006),$AB$1006:$AQ$1006,0)))),"Fix")))</f>
        <v>0</v>
      </c>
      <c r="N195" s="5">
        <f>IF(OR(INDEX($V$2:$V$1001,MATCH(ROWS($U$2:U195),$U$2:$U$1001,0),1)&gt;=100000,INDEX($AB$1005:$AQ$1005,1,MATCH(COLUMNS($AB$1006:AN1006),$AB$1006:$AQ$1006,0))&gt;=100000), " ",IF(INDEX($AB$2:$AQ$1001,MATCH(ROWS($U$2:U195),$U$2:$U$1001,0),MATCH(COLUMNS($AB$1006:AN1006),$AB$1006:$AQ$1006,0)), HYPERLINK("#",""), HYPERLINK(CONCATENATE("#Metadata!", ADDRESS(INDEX($W$2:$W$1001,MATCH(ROWS($U$2:U195),$U$2:$U$1001,0),0), INDEX($AB$1004:$AQ$1004,1,MATCH(COLUMNS($AB$1006:AN1006),$AB$1006:$AQ$1006,0)))),"Fix")))</f>
        <v>0</v>
      </c>
      <c r="O195" s="5">
        <f>IF(OR(INDEX($V$2:$V$1001,MATCH(ROWS($U$2:U195),$U$2:$U$1001,0),1)&gt;=100000,INDEX($AB$1005:$AQ$1005,1,MATCH(COLUMNS($AB$1006:AO1006),$AB$1006:$AQ$1006,0))&gt;=100000), " ",IF(INDEX($AB$2:$AQ$1001,MATCH(ROWS($U$2:U195),$U$2:$U$1001,0),MATCH(COLUMNS($AB$1006:AO1006),$AB$1006:$AQ$1006,0)), HYPERLINK("#",""), HYPERLINK(CONCATENATE("#Metadata!", ADDRESS(INDEX($W$2:$W$1001,MATCH(ROWS($U$2:U195),$U$2:$U$1001,0),0), INDEX($AB$1004:$AQ$1004,1,MATCH(COLUMNS($AB$1006:AO1006),$AB$1006:$AQ$1006,0)))),"Fix")))</f>
        <v>0</v>
      </c>
      <c r="P195" s="5">
        <f>IF(OR(INDEX($V$2:$V$1001,MATCH(ROWS($U$2:U195),$U$2:$U$1001,0),1)&gt;=100000,INDEX($AB$1005:$AQ$1005,1,MATCH(COLUMNS($AB$1006:AP1006),$AB$1006:$AQ$1006,0))&gt;=100000), " ",IF(INDEX($AB$2:$AQ$1001,MATCH(ROWS($U$2:U195),$U$2:$U$1001,0),MATCH(COLUMNS($AB$1006:AP1006),$AB$1006:$AQ$1006,0)), HYPERLINK("#",""), HYPERLINK(CONCATENATE("#Metadata!", ADDRESS(INDEX($W$2:$W$1001,MATCH(ROWS($U$2:U195),$U$2:$U$1001,0),0), INDEX($AB$1004:$AQ$1004,1,MATCH(COLUMNS($AB$1006:AP1006),$AB$1006:$AQ$1006,0)))),"Fix")))</f>
        <v>0</v>
      </c>
      <c r="Q195" s="5">
        <f>IF(OR(INDEX($V$2:$V$1001,MATCH(ROWS($U$2:U195),$U$2:$U$1001,0),1)&gt;=100000,INDEX($AB$1005:$AQ$1005,1,MATCH(COLUMNS($AB$1006:AQ1006),$AB$1006:$AQ$1006,0))&gt;=100000), " ",IF(INDEX($AB$2:$AQ$1001,MATCH(ROWS($U$2:U195),$U$2:$U$1001,0),MATCH(COLUMNS($AB$1006:AQ1006),$AB$1006:$AQ$1006,0)), HYPERLINK("#",""), HYPERLINK(CONCATENATE("#Metadata!", ADDRESS(INDEX($W$2:$W$1001,MATCH(ROWS($U$2:U195),$U$2:$U$1001,0),0), INDEX($AB$1004:$AQ$1004,1,MATCH(COLUMNS($AB$1006:AQ1006),$AB$1006:$AQ$1006,0)))),"Fix")))</f>
        <v>0</v>
      </c>
      <c r="U195">
        <v>0</v>
      </c>
      <c r="V195">
        <v>0</v>
      </c>
      <c r="W195">
        <v>0</v>
      </c>
      <c r="X195">
        <f>IF(Y195,TRUE,AND(AB195:AQ195))</f>
        <v>0</v>
      </c>
      <c r="Y195">
        <f>COUNTBLANK(Metadata!B195:Q195)=COLUMNS(Metadata!B195:Q195)</f>
        <v>0</v>
      </c>
      <c r="Z195">
        <v>0</v>
      </c>
      <c r="AB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AC195">
        <f>AND(IF(Metadata!C195="",FALSE,TRUE),exact(Metadata!C195,"urban biome"))</f>
        <v>0</v>
      </c>
      <c r="AD195">
        <f>AND(IF(Metadata!D195="",FALSE,TRUE),exact(Metadata!D195,"human-associated habitat"))</f>
        <v>0</v>
      </c>
      <c r="AE195">
        <f>AND(IF(Metadata!E195="",FALSE,TRUE),OR(exact(Metadata!E195,"human-associated"),exact(Metadata!E195,"human-skin"),exact(Metadata!E195,"human-oral"),exact(Metadata!E195,"human-gut"),exact(Metadata!E195,"human-vaginal")))</f>
        <v>0</v>
      </c>
      <c r="AF195">
        <f>AND(IF(Metadata!F195="",FALSE,ISNUMBER(VALUE(Metadata!F195))),Metadata!F195&gt;0)</f>
        <v>0</v>
      </c>
      <c r="AG195">
        <f>AND(IF(Metadata!G195="",FALSE,TRUE),exact(Metadata!G195,"years"))</f>
        <v>0</v>
      </c>
      <c r="AH195">
        <f>OR(AND(IF(Metadata!H195="",FALSE,TRUE),OR(exact(Metadata!H195,"not applicable"),exact(Metadata!H195,"not collected"),exact(Metadata!H195,"not provided"),exact(Metadata!H195,"restricted access"))),AND(IF(Metadata!H195="",FALSE,ISNUMBER(VALUE(Metadata!H195))),Metadata!H195&gt;0))</f>
        <v>0</v>
      </c>
      <c r="AI195">
        <f>AND(IF(Metadata!I195="",FALSE,TRUE),exact(Metadata!I195,"human"))</f>
        <v>0</v>
      </c>
      <c r="AJ195">
        <f>AND(IF(Metadata!J195="",FALSE,ISNUMBER(VALUE(Metadata!J195))),Metadata!J195&gt;0)</f>
        <v>0</v>
      </c>
      <c r="AK195">
        <f>AND(IF(Metadata!K195="",FALSE,TRUE),exact(Metadata!K195,"cm"))</f>
        <v>0</v>
      </c>
      <c r="AL195">
        <f>AND(IF(Metadata!L195="",FALSE,TRUE),exact(Metadata!L195,"Homo sapiens"))</f>
        <v>0</v>
      </c>
      <c r="AM195">
        <f>AND(IF(Metadata!M195="",FALSE,TRUE),exact(Metadata!M195,"9606"))</f>
        <v>0</v>
      </c>
      <c r="AN195">
        <f>AND(IF(Metadata!N195="",FALSE,ISNUMBER(VALUE(Metadata!N195))),Metadata!N195&gt;0)</f>
        <v>0</v>
      </c>
      <c r="AO195">
        <f>AND(IF(Metadata!O195="",FALSE,TRUE),exact(Metadata!O195,"kg"))</f>
        <v>0</v>
      </c>
      <c r="AP195">
        <f>OR(AND(IF(Metadata!P195="",FALSE,TRUE),exact(Metadata!P195,"not provided")),IF(Metadata!P195="",FALSE,TRUE))</f>
        <v>0</v>
      </c>
      <c r="AQ195">
        <f>OR(AND(IF(Metadata!Q195="",FALSE,TRUE),exact(Metadata!Q195,"not provided")),IF(Metadata!Q195="",FALSE,TRUE))</f>
        <v>0</v>
      </c>
    </row>
    <row r="196" spans="1:43">
      <c r="A196" s="4">
        <f>IF(B196=" "," ",HYPERLINK(CONCATENATE("#metadata!",ADDRESS(INDEX($W$2:$W$1001,MATCH(ROWS($U$2:U196),$U$2:$U$1001,0),0),2)),INDEX($Z$2:$Z$1001,MATCH(ROWS($U$2:U196),$U$2:$U$1001,0),0)))</f>
        <v>0</v>
      </c>
      <c r="B196" s="5">
        <f>IF(OR(INDEX($V$2:$V$1001,MATCH(ROWS($U$2:U196),$U$2:$U$1001,0),1)&gt;=100000,INDEX($AB$1005:$AQ$1005,1,MATCH(COLUMNS($AB$1006:AB1006),$AB$1006:$AQ$1006,0))&gt;=100000), " ",IF(INDEX($AB$2:$AQ$1001,MATCH(ROWS($U$2:U196),$U$2:$U$1001,0),MATCH(COLUMNS($AB$1006:AB1006),$AB$1006:$AQ$1006,0)), HYPERLINK("#",""), HYPERLINK(CONCATENATE("#Metadata!", ADDRESS(INDEX($W$2:$W$1001,MATCH(ROWS($U$2:U196),$U$2:$U$1001,0),0), INDEX($AB$1004:$AQ$1004,1,MATCH(COLUMNS($AB$1006:AB1006),$AB$1006:$AQ$1006,0)))),"Fix")))</f>
        <v>0</v>
      </c>
      <c r="C196" s="5">
        <f>IF(OR(INDEX($V$2:$V$1001,MATCH(ROWS($U$2:U196),$U$2:$U$1001,0),1)&gt;=100000,INDEX($AB$1005:$AQ$1005,1,MATCH(COLUMNS($AB$1006:AC1006),$AB$1006:$AQ$1006,0))&gt;=100000), " ",IF(INDEX($AB$2:$AQ$1001,MATCH(ROWS($U$2:U196),$U$2:$U$1001,0),MATCH(COLUMNS($AB$1006:AC1006),$AB$1006:$AQ$1006,0)), HYPERLINK("#",""), HYPERLINK(CONCATENATE("#Metadata!", ADDRESS(INDEX($W$2:$W$1001,MATCH(ROWS($U$2:U196),$U$2:$U$1001,0),0), INDEX($AB$1004:$AQ$1004,1,MATCH(COLUMNS($AB$1006:AC1006),$AB$1006:$AQ$1006,0)))),"Fix")))</f>
        <v>0</v>
      </c>
      <c r="D196" s="5">
        <f>IF(OR(INDEX($V$2:$V$1001,MATCH(ROWS($U$2:U196),$U$2:$U$1001,0),1)&gt;=100000,INDEX($AB$1005:$AQ$1005,1,MATCH(COLUMNS($AB$1006:AD1006),$AB$1006:$AQ$1006,0))&gt;=100000), " ",IF(INDEX($AB$2:$AQ$1001,MATCH(ROWS($U$2:U196),$U$2:$U$1001,0),MATCH(COLUMNS($AB$1006:AD1006),$AB$1006:$AQ$1006,0)), HYPERLINK("#",""), HYPERLINK(CONCATENATE("#Metadata!", ADDRESS(INDEX($W$2:$W$1001,MATCH(ROWS($U$2:U196),$U$2:$U$1001,0),0), INDEX($AB$1004:$AQ$1004,1,MATCH(COLUMNS($AB$1006:AD1006),$AB$1006:$AQ$1006,0)))),"Fix")))</f>
        <v>0</v>
      </c>
      <c r="E196" s="5">
        <f>IF(OR(INDEX($V$2:$V$1001,MATCH(ROWS($U$2:U196),$U$2:$U$1001,0),1)&gt;=100000,INDEX($AB$1005:$AQ$1005,1,MATCH(COLUMNS($AB$1006:AE1006),$AB$1006:$AQ$1006,0))&gt;=100000), " ",IF(INDEX($AB$2:$AQ$1001,MATCH(ROWS($U$2:U196),$U$2:$U$1001,0),MATCH(COLUMNS($AB$1006:AE1006),$AB$1006:$AQ$1006,0)), HYPERLINK("#",""), HYPERLINK(CONCATENATE("#Metadata!", ADDRESS(INDEX($W$2:$W$1001,MATCH(ROWS($U$2:U196),$U$2:$U$1001,0),0), INDEX($AB$1004:$AQ$1004,1,MATCH(COLUMNS($AB$1006:AE1006),$AB$1006:$AQ$1006,0)))),"Fix")))</f>
        <v>0</v>
      </c>
      <c r="F196" s="5">
        <f>IF(OR(INDEX($V$2:$V$1001,MATCH(ROWS($U$2:U196),$U$2:$U$1001,0),1)&gt;=100000,INDEX($AB$1005:$AQ$1005,1,MATCH(COLUMNS($AB$1006:AF1006),$AB$1006:$AQ$1006,0))&gt;=100000), " ",IF(INDEX($AB$2:$AQ$1001,MATCH(ROWS($U$2:U196),$U$2:$U$1001,0),MATCH(COLUMNS($AB$1006:AF1006),$AB$1006:$AQ$1006,0)), HYPERLINK("#",""), HYPERLINK(CONCATENATE("#Metadata!", ADDRESS(INDEX($W$2:$W$1001,MATCH(ROWS($U$2:U196),$U$2:$U$1001,0),0), INDEX($AB$1004:$AQ$1004,1,MATCH(COLUMNS($AB$1006:AF1006),$AB$1006:$AQ$1006,0)))),"Fix")))</f>
        <v>0</v>
      </c>
      <c r="G196" s="5">
        <f>IF(OR(INDEX($V$2:$V$1001,MATCH(ROWS($U$2:U196),$U$2:$U$1001,0),1)&gt;=100000,INDEX($AB$1005:$AQ$1005,1,MATCH(COLUMNS($AB$1006:AG1006),$AB$1006:$AQ$1006,0))&gt;=100000), " ",IF(INDEX($AB$2:$AQ$1001,MATCH(ROWS($U$2:U196),$U$2:$U$1001,0),MATCH(COLUMNS($AB$1006:AG1006),$AB$1006:$AQ$1006,0)), HYPERLINK("#",""), HYPERLINK(CONCATENATE("#Metadata!", ADDRESS(INDEX($W$2:$W$1001,MATCH(ROWS($U$2:U196),$U$2:$U$1001,0),0), INDEX($AB$1004:$AQ$1004,1,MATCH(COLUMNS($AB$1006:AG1006),$AB$1006:$AQ$1006,0)))),"Fix")))</f>
        <v>0</v>
      </c>
      <c r="H196" s="5">
        <f>IF(OR(INDEX($V$2:$V$1001,MATCH(ROWS($U$2:U196),$U$2:$U$1001,0),1)&gt;=100000,INDEX($AB$1005:$AQ$1005,1,MATCH(COLUMNS($AB$1006:AH1006),$AB$1006:$AQ$1006,0))&gt;=100000), " ",IF(INDEX($AB$2:$AQ$1001,MATCH(ROWS($U$2:U196),$U$2:$U$1001,0),MATCH(COLUMNS($AB$1006:AH1006),$AB$1006:$AQ$1006,0)), HYPERLINK("#",""), HYPERLINK(CONCATENATE("#Metadata!", ADDRESS(INDEX($W$2:$W$1001,MATCH(ROWS($U$2:U196),$U$2:$U$1001,0),0), INDEX($AB$1004:$AQ$1004,1,MATCH(COLUMNS($AB$1006:AH1006),$AB$1006:$AQ$1006,0)))),"Fix")))</f>
        <v>0</v>
      </c>
      <c r="I196" s="5">
        <f>IF(OR(INDEX($V$2:$V$1001,MATCH(ROWS($U$2:U196),$U$2:$U$1001,0),1)&gt;=100000,INDEX($AB$1005:$AQ$1005,1,MATCH(COLUMNS($AB$1006:AI1006),$AB$1006:$AQ$1006,0))&gt;=100000), " ",IF(INDEX($AB$2:$AQ$1001,MATCH(ROWS($U$2:U196),$U$2:$U$1001,0),MATCH(COLUMNS($AB$1006:AI1006),$AB$1006:$AQ$1006,0)), HYPERLINK("#",""), HYPERLINK(CONCATENATE("#Metadata!", ADDRESS(INDEX($W$2:$W$1001,MATCH(ROWS($U$2:U196),$U$2:$U$1001,0),0), INDEX($AB$1004:$AQ$1004,1,MATCH(COLUMNS($AB$1006:AI1006),$AB$1006:$AQ$1006,0)))),"Fix")))</f>
        <v>0</v>
      </c>
      <c r="J196" s="5">
        <f>IF(OR(INDEX($V$2:$V$1001,MATCH(ROWS($U$2:U196),$U$2:$U$1001,0),1)&gt;=100000,INDEX($AB$1005:$AQ$1005,1,MATCH(COLUMNS($AB$1006:AJ1006),$AB$1006:$AQ$1006,0))&gt;=100000), " ",IF(INDEX($AB$2:$AQ$1001,MATCH(ROWS($U$2:U196),$U$2:$U$1001,0),MATCH(COLUMNS($AB$1006:AJ1006),$AB$1006:$AQ$1006,0)), HYPERLINK("#",""), HYPERLINK(CONCATENATE("#Metadata!", ADDRESS(INDEX($W$2:$W$1001,MATCH(ROWS($U$2:U196),$U$2:$U$1001,0),0), INDEX($AB$1004:$AQ$1004,1,MATCH(COLUMNS($AB$1006:AJ1006),$AB$1006:$AQ$1006,0)))),"Fix")))</f>
        <v>0</v>
      </c>
      <c r="K196" s="5">
        <f>IF(OR(INDEX($V$2:$V$1001,MATCH(ROWS($U$2:U196),$U$2:$U$1001,0),1)&gt;=100000,INDEX($AB$1005:$AQ$1005,1,MATCH(COLUMNS($AB$1006:AK1006),$AB$1006:$AQ$1006,0))&gt;=100000), " ",IF(INDEX($AB$2:$AQ$1001,MATCH(ROWS($U$2:U196),$U$2:$U$1001,0),MATCH(COLUMNS($AB$1006:AK1006),$AB$1006:$AQ$1006,0)), HYPERLINK("#",""), HYPERLINK(CONCATENATE("#Metadata!", ADDRESS(INDEX($W$2:$W$1001,MATCH(ROWS($U$2:U196),$U$2:$U$1001,0),0), INDEX($AB$1004:$AQ$1004,1,MATCH(COLUMNS($AB$1006:AK1006),$AB$1006:$AQ$1006,0)))),"Fix")))</f>
        <v>0</v>
      </c>
      <c r="L196" s="5">
        <f>IF(OR(INDEX($V$2:$V$1001,MATCH(ROWS($U$2:U196),$U$2:$U$1001,0),1)&gt;=100000,INDEX($AB$1005:$AQ$1005,1,MATCH(COLUMNS($AB$1006:AL1006),$AB$1006:$AQ$1006,0))&gt;=100000), " ",IF(INDEX($AB$2:$AQ$1001,MATCH(ROWS($U$2:U196),$U$2:$U$1001,0),MATCH(COLUMNS($AB$1006:AL1006),$AB$1006:$AQ$1006,0)), HYPERLINK("#",""), HYPERLINK(CONCATENATE("#Metadata!", ADDRESS(INDEX($W$2:$W$1001,MATCH(ROWS($U$2:U196),$U$2:$U$1001,0),0), INDEX($AB$1004:$AQ$1004,1,MATCH(COLUMNS($AB$1006:AL1006),$AB$1006:$AQ$1006,0)))),"Fix")))</f>
        <v>0</v>
      </c>
      <c r="M196" s="5">
        <f>IF(OR(INDEX($V$2:$V$1001,MATCH(ROWS($U$2:U196),$U$2:$U$1001,0),1)&gt;=100000,INDEX($AB$1005:$AQ$1005,1,MATCH(COLUMNS($AB$1006:AM1006),$AB$1006:$AQ$1006,0))&gt;=100000), " ",IF(INDEX($AB$2:$AQ$1001,MATCH(ROWS($U$2:U196),$U$2:$U$1001,0),MATCH(COLUMNS($AB$1006:AM1006),$AB$1006:$AQ$1006,0)), HYPERLINK("#",""), HYPERLINK(CONCATENATE("#Metadata!", ADDRESS(INDEX($W$2:$W$1001,MATCH(ROWS($U$2:U196),$U$2:$U$1001,0),0), INDEX($AB$1004:$AQ$1004,1,MATCH(COLUMNS($AB$1006:AM1006),$AB$1006:$AQ$1006,0)))),"Fix")))</f>
        <v>0</v>
      </c>
      <c r="N196" s="5">
        <f>IF(OR(INDEX($V$2:$V$1001,MATCH(ROWS($U$2:U196),$U$2:$U$1001,0),1)&gt;=100000,INDEX($AB$1005:$AQ$1005,1,MATCH(COLUMNS($AB$1006:AN1006),$AB$1006:$AQ$1006,0))&gt;=100000), " ",IF(INDEX($AB$2:$AQ$1001,MATCH(ROWS($U$2:U196),$U$2:$U$1001,0),MATCH(COLUMNS($AB$1006:AN1006),$AB$1006:$AQ$1006,0)), HYPERLINK("#",""), HYPERLINK(CONCATENATE("#Metadata!", ADDRESS(INDEX($W$2:$W$1001,MATCH(ROWS($U$2:U196),$U$2:$U$1001,0),0), INDEX($AB$1004:$AQ$1004,1,MATCH(COLUMNS($AB$1006:AN1006),$AB$1006:$AQ$1006,0)))),"Fix")))</f>
        <v>0</v>
      </c>
      <c r="O196" s="5">
        <f>IF(OR(INDEX($V$2:$V$1001,MATCH(ROWS($U$2:U196),$U$2:$U$1001,0),1)&gt;=100000,INDEX($AB$1005:$AQ$1005,1,MATCH(COLUMNS($AB$1006:AO1006),$AB$1006:$AQ$1006,0))&gt;=100000), " ",IF(INDEX($AB$2:$AQ$1001,MATCH(ROWS($U$2:U196),$U$2:$U$1001,0),MATCH(COLUMNS($AB$1006:AO1006),$AB$1006:$AQ$1006,0)), HYPERLINK("#",""), HYPERLINK(CONCATENATE("#Metadata!", ADDRESS(INDEX($W$2:$W$1001,MATCH(ROWS($U$2:U196),$U$2:$U$1001,0),0), INDEX($AB$1004:$AQ$1004,1,MATCH(COLUMNS($AB$1006:AO1006),$AB$1006:$AQ$1006,0)))),"Fix")))</f>
        <v>0</v>
      </c>
      <c r="P196" s="5">
        <f>IF(OR(INDEX($V$2:$V$1001,MATCH(ROWS($U$2:U196),$U$2:$U$1001,0),1)&gt;=100000,INDEX($AB$1005:$AQ$1005,1,MATCH(COLUMNS($AB$1006:AP1006),$AB$1006:$AQ$1006,0))&gt;=100000), " ",IF(INDEX($AB$2:$AQ$1001,MATCH(ROWS($U$2:U196),$U$2:$U$1001,0),MATCH(COLUMNS($AB$1006:AP1006),$AB$1006:$AQ$1006,0)), HYPERLINK("#",""), HYPERLINK(CONCATENATE("#Metadata!", ADDRESS(INDEX($W$2:$W$1001,MATCH(ROWS($U$2:U196),$U$2:$U$1001,0),0), INDEX($AB$1004:$AQ$1004,1,MATCH(COLUMNS($AB$1006:AP1006),$AB$1006:$AQ$1006,0)))),"Fix")))</f>
        <v>0</v>
      </c>
      <c r="Q196" s="5">
        <f>IF(OR(INDEX($V$2:$V$1001,MATCH(ROWS($U$2:U196),$U$2:$U$1001,0),1)&gt;=100000,INDEX($AB$1005:$AQ$1005,1,MATCH(COLUMNS($AB$1006:AQ1006),$AB$1006:$AQ$1006,0))&gt;=100000), " ",IF(INDEX($AB$2:$AQ$1001,MATCH(ROWS($U$2:U196),$U$2:$U$1001,0),MATCH(COLUMNS($AB$1006:AQ1006),$AB$1006:$AQ$1006,0)), HYPERLINK("#",""), HYPERLINK(CONCATENATE("#Metadata!", ADDRESS(INDEX($W$2:$W$1001,MATCH(ROWS($U$2:U196),$U$2:$U$1001,0),0), INDEX($AB$1004:$AQ$1004,1,MATCH(COLUMNS($AB$1006:AQ1006),$AB$1006:$AQ$1006,0)))),"Fix")))</f>
        <v>0</v>
      </c>
      <c r="U196">
        <v>0</v>
      </c>
      <c r="V196">
        <v>0</v>
      </c>
      <c r="W196">
        <v>0</v>
      </c>
      <c r="X196">
        <f>IF(Y196,TRUE,AND(AB196:AQ196))</f>
        <v>0</v>
      </c>
      <c r="Y196">
        <f>COUNTBLANK(Metadata!B196:Q196)=COLUMNS(Metadata!B196:Q196)</f>
        <v>0</v>
      </c>
      <c r="Z196">
        <v>0</v>
      </c>
      <c r="AB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AC196">
        <f>AND(IF(Metadata!C196="",FALSE,TRUE),exact(Metadata!C196,"urban biome"))</f>
        <v>0</v>
      </c>
      <c r="AD196">
        <f>AND(IF(Metadata!D196="",FALSE,TRUE),exact(Metadata!D196,"human-associated habitat"))</f>
        <v>0</v>
      </c>
      <c r="AE196">
        <f>AND(IF(Metadata!E196="",FALSE,TRUE),OR(exact(Metadata!E196,"human-associated"),exact(Metadata!E196,"human-skin"),exact(Metadata!E196,"human-oral"),exact(Metadata!E196,"human-gut"),exact(Metadata!E196,"human-vaginal")))</f>
        <v>0</v>
      </c>
      <c r="AF196">
        <f>AND(IF(Metadata!F196="",FALSE,ISNUMBER(VALUE(Metadata!F196))),Metadata!F196&gt;0)</f>
        <v>0</v>
      </c>
      <c r="AG196">
        <f>AND(IF(Metadata!G196="",FALSE,TRUE),exact(Metadata!G196,"years"))</f>
        <v>0</v>
      </c>
      <c r="AH196">
        <f>OR(AND(IF(Metadata!H196="",FALSE,TRUE),OR(exact(Metadata!H196,"not applicable"),exact(Metadata!H196,"not collected"),exact(Metadata!H196,"not provided"),exact(Metadata!H196,"restricted access"))),AND(IF(Metadata!H196="",FALSE,ISNUMBER(VALUE(Metadata!H196))),Metadata!H196&gt;0))</f>
        <v>0</v>
      </c>
      <c r="AI196">
        <f>AND(IF(Metadata!I196="",FALSE,TRUE),exact(Metadata!I196,"human"))</f>
        <v>0</v>
      </c>
      <c r="AJ196">
        <f>AND(IF(Metadata!J196="",FALSE,ISNUMBER(VALUE(Metadata!J196))),Metadata!J196&gt;0)</f>
        <v>0</v>
      </c>
      <c r="AK196">
        <f>AND(IF(Metadata!K196="",FALSE,TRUE),exact(Metadata!K196,"cm"))</f>
        <v>0</v>
      </c>
      <c r="AL196">
        <f>AND(IF(Metadata!L196="",FALSE,TRUE),exact(Metadata!L196,"Homo sapiens"))</f>
        <v>0</v>
      </c>
      <c r="AM196">
        <f>AND(IF(Metadata!M196="",FALSE,TRUE),exact(Metadata!M196,"9606"))</f>
        <v>0</v>
      </c>
      <c r="AN196">
        <f>AND(IF(Metadata!N196="",FALSE,ISNUMBER(VALUE(Metadata!N196))),Metadata!N196&gt;0)</f>
        <v>0</v>
      </c>
      <c r="AO196">
        <f>AND(IF(Metadata!O196="",FALSE,TRUE),exact(Metadata!O196,"kg"))</f>
        <v>0</v>
      </c>
      <c r="AP196">
        <f>OR(AND(IF(Metadata!P196="",FALSE,TRUE),exact(Metadata!P196,"not provided")),IF(Metadata!P196="",FALSE,TRUE))</f>
        <v>0</v>
      </c>
      <c r="AQ196">
        <f>OR(AND(IF(Metadata!Q196="",FALSE,TRUE),exact(Metadata!Q196,"not provided")),IF(Metadata!Q196="",FALSE,TRUE))</f>
        <v>0</v>
      </c>
    </row>
    <row r="197" spans="1:43">
      <c r="A197" s="4">
        <f>IF(B197=" "," ",HYPERLINK(CONCATENATE("#metadata!",ADDRESS(INDEX($W$2:$W$1001,MATCH(ROWS($U$2:U197),$U$2:$U$1001,0),0),2)),INDEX($Z$2:$Z$1001,MATCH(ROWS($U$2:U197),$U$2:$U$1001,0),0)))</f>
        <v>0</v>
      </c>
      <c r="B197" s="5">
        <f>IF(OR(INDEX($V$2:$V$1001,MATCH(ROWS($U$2:U197),$U$2:$U$1001,0),1)&gt;=100000,INDEX($AB$1005:$AQ$1005,1,MATCH(COLUMNS($AB$1006:AB1006),$AB$1006:$AQ$1006,0))&gt;=100000), " ",IF(INDEX($AB$2:$AQ$1001,MATCH(ROWS($U$2:U197),$U$2:$U$1001,0),MATCH(COLUMNS($AB$1006:AB1006),$AB$1006:$AQ$1006,0)), HYPERLINK("#",""), HYPERLINK(CONCATENATE("#Metadata!", ADDRESS(INDEX($W$2:$W$1001,MATCH(ROWS($U$2:U197),$U$2:$U$1001,0),0), INDEX($AB$1004:$AQ$1004,1,MATCH(COLUMNS($AB$1006:AB1006),$AB$1006:$AQ$1006,0)))),"Fix")))</f>
        <v>0</v>
      </c>
      <c r="C197" s="5">
        <f>IF(OR(INDEX($V$2:$V$1001,MATCH(ROWS($U$2:U197),$U$2:$U$1001,0),1)&gt;=100000,INDEX($AB$1005:$AQ$1005,1,MATCH(COLUMNS($AB$1006:AC1006),$AB$1006:$AQ$1006,0))&gt;=100000), " ",IF(INDEX($AB$2:$AQ$1001,MATCH(ROWS($U$2:U197),$U$2:$U$1001,0),MATCH(COLUMNS($AB$1006:AC1006),$AB$1006:$AQ$1006,0)), HYPERLINK("#",""), HYPERLINK(CONCATENATE("#Metadata!", ADDRESS(INDEX($W$2:$W$1001,MATCH(ROWS($U$2:U197),$U$2:$U$1001,0),0), INDEX($AB$1004:$AQ$1004,1,MATCH(COLUMNS($AB$1006:AC1006),$AB$1006:$AQ$1006,0)))),"Fix")))</f>
        <v>0</v>
      </c>
      <c r="D197" s="5">
        <f>IF(OR(INDEX($V$2:$V$1001,MATCH(ROWS($U$2:U197),$U$2:$U$1001,0),1)&gt;=100000,INDEX($AB$1005:$AQ$1005,1,MATCH(COLUMNS($AB$1006:AD1006),$AB$1006:$AQ$1006,0))&gt;=100000), " ",IF(INDEX($AB$2:$AQ$1001,MATCH(ROWS($U$2:U197),$U$2:$U$1001,0),MATCH(COLUMNS($AB$1006:AD1006),$AB$1006:$AQ$1006,0)), HYPERLINK("#",""), HYPERLINK(CONCATENATE("#Metadata!", ADDRESS(INDEX($W$2:$W$1001,MATCH(ROWS($U$2:U197),$U$2:$U$1001,0),0), INDEX($AB$1004:$AQ$1004,1,MATCH(COLUMNS($AB$1006:AD1006),$AB$1006:$AQ$1006,0)))),"Fix")))</f>
        <v>0</v>
      </c>
      <c r="E197" s="5">
        <f>IF(OR(INDEX($V$2:$V$1001,MATCH(ROWS($U$2:U197),$U$2:$U$1001,0),1)&gt;=100000,INDEX($AB$1005:$AQ$1005,1,MATCH(COLUMNS($AB$1006:AE1006),$AB$1006:$AQ$1006,0))&gt;=100000), " ",IF(INDEX($AB$2:$AQ$1001,MATCH(ROWS($U$2:U197),$U$2:$U$1001,0),MATCH(COLUMNS($AB$1006:AE1006),$AB$1006:$AQ$1006,0)), HYPERLINK("#",""), HYPERLINK(CONCATENATE("#Metadata!", ADDRESS(INDEX($W$2:$W$1001,MATCH(ROWS($U$2:U197),$U$2:$U$1001,0),0), INDEX($AB$1004:$AQ$1004,1,MATCH(COLUMNS($AB$1006:AE1006),$AB$1006:$AQ$1006,0)))),"Fix")))</f>
        <v>0</v>
      </c>
      <c r="F197" s="5">
        <f>IF(OR(INDEX($V$2:$V$1001,MATCH(ROWS($U$2:U197),$U$2:$U$1001,0),1)&gt;=100000,INDEX($AB$1005:$AQ$1005,1,MATCH(COLUMNS($AB$1006:AF1006),$AB$1006:$AQ$1006,0))&gt;=100000), " ",IF(INDEX($AB$2:$AQ$1001,MATCH(ROWS($U$2:U197),$U$2:$U$1001,0),MATCH(COLUMNS($AB$1006:AF1006),$AB$1006:$AQ$1006,0)), HYPERLINK("#",""), HYPERLINK(CONCATENATE("#Metadata!", ADDRESS(INDEX($W$2:$W$1001,MATCH(ROWS($U$2:U197),$U$2:$U$1001,0),0), INDEX($AB$1004:$AQ$1004,1,MATCH(COLUMNS($AB$1006:AF1006),$AB$1006:$AQ$1006,0)))),"Fix")))</f>
        <v>0</v>
      </c>
      <c r="G197" s="5">
        <f>IF(OR(INDEX($V$2:$V$1001,MATCH(ROWS($U$2:U197),$U$2:$U$1001,0),1)&gt;=100000,INDEX($AB$1005:$AQ$1005,1,MATCH(COLUMNS($AB$1006:AG1006),$AB$1006:$AQ$1006,0))&gt;=100000), " ",IF(INDEX($AB$2:$AQ$1001,MATCH(ROWS($U$2:U197),$U$2:$U$1001,0),MATCH(COLUMNS($AB$1006:AG1006),$AB$1006:$AQ$1006,0)), HYPERLINK("#",""), HYPERLINK(CONCATENATE("#Metadata!", ADDRESS(INDEX($W$2:$W$1001,MATCH(ROWS($U$2:U197),$U$2:$U$1001,0),0), INDEX($AB$1004:$AQ$1004,1,MATCH(COLUMNS($AB$1006:AG1006),$AB$1006:$AQ$1006,0)))),"Fix")))</f>
        <v>0</v>
      </c>
      <c r="H197" s="5">
        <f>IF(OR(INDEX($V$2:$V$1001,MATCH(ROWS($U$2:U197),$U$2:$U$1001,0),1)&gt;=100000,INDEX($AB$1005:$AQ$1005,1,MATCH(COLUMNS($AB$1006:AH1006),$AB$1006:$AQ$1006,0))&gt;=100000), " ",IF(INDEX($AB$2:$AQ$1001,MATCH(ROWS($U$2:U197),$U$2:$U$1001,0),MATCH(COLUMNS($AB$1006:AH1006),$AB$1006:$AQ$1006,0)), HYPERLINK("#",""), HYPERLINK(CONCATENATE("#Metadata!", ADDRESS(INDEX($W$2:$W$1001,MATCH(ROWS($U$2:U197),$U$2:$U$1001,0),0), INDEX($AB$1004:$AQ$1004,1,MATCH(COLUMNS($AB$1006:AH1006),$AB$1006:$AQ$1006,0)))),"Fix")))</f>
        <v>0</v>
      </c>
      <c r="I197" s="5">
        <f>IF(OR(INDEX($V$2:$V$1001,MATCH(ROWS($U$2:U197),$U$2:$U$1001,0),1)&gt;=100000,INDEX($AB$1005:$AQ$1005,1,MATCH(COLUMNS($AB$1006:AI1006),$AB$1006:$AQ$1006,0))&gt;=100000), " ",IF(INDEX($AB$2:$AQ$1001,MATCH(ROWS($U$2:U197),$U$2:$U$1001,0),MATCH(COLUMNS($AB$1006:AI1006),$AB$1006:$AQ$1006,0)), HYPERLINK("#",""), HYPERLINK(CONCATENATE("#Metadata!", ADDRESS(INDEX($W$2:$W$1001,MATCH(ROWS($U$2:U197),$U$2:$U$1001,0),0), INDEX($AB$1004:$AQ$1004,1,MATCH(COLUMNS($AB$1006:AI1006),$AB$1006:$AQ$1006,0)))),"Fix")))</f>
        <v>0</v>
      </c>
      <c r="J197" s="5">
        <f>IF(OR(INDEX($V$2:$V$1001,MATCH(ROWS($U$2:U197),$U$2:$U$1001,0),1)&gt;=100000,INDEX($AB$1005:$AQ$1005,1,MATCH(COLUMNS($AB$1006:AJ1006),$AB$1006:$AQ$1006,0))&gt;=100000), " ",IF(INDEX($AB$2:$AQ$1001,MATCH(ROWS($U$2:U197),$U$2:$U$1001,0),MATCH(COLUMNS($AB$1006:AJ1006),$AB$1006:$AQ$1006,0)), HYPERLINK("#",""), HYPERLINK(CONCATENATE("#Metadata!", ADDRESS(INDEX($W$2:$W$1001,MATCH(ROWS($U$2:U197),$U$2:$U$1001,0),0), INDEX($AB$1004:$AQ$1004,1,MATCH(COLUMNS($AB$1006:AJ1006),$AB$1006:$AQ$1006,0)))),"Fix")))</f>
        <v>0</v>
      </c>
      <c r="K197" s="5">
        <f>IF(OR(INDEX($V$2:$V$1001,MATCH(ROWS($U$2:U197),$U$2:$U$1001,0),1)&gt;=100000,INDEX($AB$1005:$AQ$1005,1,MATCH(COLUMNS($AB$1006:AK1006),$AB$1006:$AQ$1006,0))&gt;=100000), " ",IF(INDEX($AB$2:$AQ$1001,MATCH(ROWS($U$2:U197),$U$2:$U$1001,0),MATCH(COLUMNS($AB$1006:AK1006),$AB$1006:$AQ$1006,0)), HYPERLINK("#",""), HYPERLINK(CONCATENATE("#Metadata!", ADDRESS(INDEX($W$2:$W$1001,MATCH(ROWS($U$2:U197),$U$2:$U$1001,0),0), INDEX($AB$1004:$AQ$1004,1,MATCH(COLUMNS($AB$1006:AK1006),$AB$1006:$AQ$1006,0)))),"Fix")))</f>
        <v>0</v>
      </c>
      <c r="L197" s="5">
        <f>IF(OR(INDEX($V$2:$V$1001,MATCH(ROWS($U$2:U197),$U$2:$U$1001,0),1)&gt;=100000,INDEX($AB$1005:$AQ$1005,1,MATCH(COLUMNS($AB$1006:AL1006),$AB$1006:$AQ$1006,0))&gt;=100000), " ",IF(INDEX($AB$2:$AQ$1001,MATCH(ROWS($U$2:U197),$U$2:$U$1001,0),MATCH(COLUMNS($AB$1006:AL1006),$AB$1006:$AQ$1006,0)), HYPERLINK("#",""), HYPERLINK(CONCATENATE("#Metadata!", ADDRESS(INDEX($W$2:$W$1001,MATCH(ROWS($U$2:U197),$U$2:$U$1001,0),0), INDEX($AB$1004:$AQ$1004,1,MATCH(COLUMNS($AB$1006:AL1006),$AB$1006:$AQ$1006,0)))),"Fix")))</f>
        <v>0</v>
      </c>
      <c r="M197" s="5">
        <f>IF(OR(INDEX($V$2:$V$1001,MATCH(ROWS($U$2:U197),$U$2:$U$1001,0),1)&gt;=100000,INDEX($AB$1005:$AQ$1005,1,MATCH(COLUMNS($AB$1006:AM1006),$AB$1006:$AQ$1006,0))&gt;=100000), " ",IF(INDEX($AB$2:$AQ$1001,MATCH(ROWS($U$2:U197),$U$2:$U$1001,0),MATCH(COLUMNS($AB$1006:AM1006),$AB$1006:$AQ$1006,0)), HYPERLINK("#",""), HYPERLINK(CONCATENATE("#Metadata!", ADDRESS(INDEX($W$2:$W$1001,MATCH(ROWS($U$2:U197),$U$2:$U$1001,0),0), INDEX($AB$1004:$AQ$1004,1,MATCH(COLUMNS($AB$1006:AM1006),$AB$1006:$AQ$1006,0)))),"Fix")))</f>
        <v>0</v>
      </c>
      <c r="N197" s="5">
        <f>IF(OR(INDEX($V$2:$V$1001,MATCH(ROWS($U$2:U197),$U$2:$U$1001,0),1)&gt;=100000,INDEX($AB$1005:$AQ$1005,1,MATCH(COLUMNS($AB$1006:AN1006),$AB$1006:$AQ$1006,0))&gt;=100000), " ",IF(INDEX($AB$2:$AQ$1001,MATCH(ROWS($U$2:U197),$U$2:$U$1001,0),MATCH(COLUMNS($AB$1006:AN1006),$AB$1006:$AQ$1006,0)), HYPERLINK("#",""), HYPERLINK(CONCATENATE("#Metadata!", ADDRESS(INDEX($W$2:$W$1001,MATCH(ROWS($U$2:U197),$U$2:$U$1001,0),0), INDEX($AB$1004:$AQ$1004,1,MATCH(COLUMNS($AB$1006:AN1006),$AB$1006:$AQ$1006,0)))),"Fix")))</f>
        <v>0</v>
      </c>
      <c r="O197" s="5">
        <f>IF(OR(INDEX($V$2:$V$1001,MATCH(ROWS($U$2:U197),$U$2:$U$1001,0),1)&gt;=100000,INDEX($AB$1005:$AQ$1005,1,MATCH(COLUMNS($AB$1006:AO1006),$AB$1006:$AQ$1006,0))&gt;=100000), " ",IF(INDEX($AB$2:$AQ$1001,MATCH(ROWS($U$2:U197),$U$2:$U$1001,0),MATCH(COLUMNS($AB$1006:AO1006),$AB$1006:$AQ$1006,0)), HYPERLINK("#",""), HYPERLINK(CONCATENATE("#Metadata!", ADDRESS(INDEX($W$2:$W$1001,MATCH(ROWS($U$2:U197),$U$2:$U$1001,0),0), INDEX($AB$1004:$AQ$1004,1,MATCH(COLUMNS($AB$1006:AO1006),$AB$1006:$AQ$1006,0)))),"Fix")))</f>
        <v>0</v>
      </c>
      <c r="P197" s="5">
        <f>IF(OR(INDEX($V$2:$V$1001,MATCH(ROWS($U$2:U197),$U$2:$U$1001,0),1)&gt;=100000,INDEX($AB$1005:$AQ$1005,1,MATCH(COLUMNS($AB$1006:AP1006),$AB$1006:$AQ$1006,0))&gt;=100000), " ",IF(INDEX($AB$2:$AQ$1001,MATCH(ROWS($U$2:U197),$U$2:$U$1001,0),MATCH(COLUMNS($AB$1006:AP1006),$AB$1006:$AQ$1006,0)), HYPERLINK("#",""), HYPERLINK(CONCATENATE("#Metadata!", ADDRESS(INDEX($W$2:$W$1001,MATCH(ROWS($U$2:U197),$U$2:$U$1001,0),0), INDEX($AB$1004:$AQ$1004,1,MATCH(COLUMNS($AB$1006:AP1006),$AB$1006:$AQ$1006,0)))),"Fix")))</f>
        <v>0</v>
      </c>
      <c r="Q197" s="5">
        <f>IF(OR(INDEX($V$2:$V$1001,MATCH(ROWS($U$2:U197),$U$2:$U$1001,0),1)&gt;=100000,INDEX($AB$1005:$AQ$1005,1,MATCH(COLUMNS($AB$1006:AQ1006),$AB$1006:$AQ$1006,0))&gt;=100000), " ",IF(INDEX($AB$2:$AQ$1001,MATCH(ROWS($U$2:U197),$U$2:$U$1001,0),MATCH(COLUMNS($AB$1006:AQ1006),$AB$1006:$AQ$1006,0)), HYPERLINK("#",""), HYPERLINK(CONCATENATE("#Metadata!", ADDRESS(INDEX($W$2:$W$1001,MATCH(ROWS($U$2:U197),$U$2:$U$1001,0),0), INDEX($AB$1004:$AQ$1004,1,MATCH(COLUMNS($AB$1006:AQ1006),$AB$1006:$AQ$1006,0)))),"Fix")))</f>
        <v>0</v>
      </c>
      <c r="U197">
        <v>0</v>
      </c>
      <c r="V197">
        <v>0</v>
      </c>
      <c r="W197">
        <v>0</v>
      </c>
      <c r="X197">
        <f>IF(Y197,TRUE,AND(AB197:AQ197))</f>
        <v>0</v>
      </c>
      <c r="Y197">
        <f>COUNTBLANK(Metadata!B197:Q197)=COLUMNS(Metadata!B197:Q197)</f>
        <v>0</v>
      </c>
      <c r="Z197">
        <v>0</v>
      </c>
      <c r="AB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AC197">
        <f>AND(IF(Metadata!C197="",FALSE,TRUE),exact(Metadata!C197,"urban biome"))</f>
        <v>0</v>
      </c>
      <c r="AD197">
        <f>AND(IF(Metadata!D197="",FALSE,TRUE),exact(Metadata!D197,"human-associated habitat"))</f>
        <v>0</v>
      </c>
      <c r="AE197">
        <f>AND(IF(Metadata!E197="",FALSE,TRUE),OR(exact(Metadata!E197,"human-associated"),exact(Metadata!E197,"human-skin"),exact(Metadata!E197,"human-oral"),exact(Metadata!E197,"human-gut"),exact(Metadata!E197,"human-vaginal")))</f>
        <v>0</v>
      </c>
      <c r="AF197">
        <f>AND(IF(Metadata!F197="",FALSE,ISNUMBER(VALUE(Metadata!F197))),Metadata!F197&gt;0)</f>
        <v>0</v>
      </c>
      <c r="AG197">
        <f>AND(IF(Metadata!G197="",FALSE,TRUE),exact(Metadata!G197,"years"))</f>
        <v>0</v>
      </c>
      <c r="AH197">
        <f>OR(AND(IF(Metadata!H197="",FALSE,TRUE),OR(exact(Metadata!H197,"not applicable"),exact(Metadata!H197,"not collected"),exact(Metadata!H197,"not provided"),exact(Metadata!H197,"restricted access"))),AND(IF(Metadata!H197="",FALSE,ISNUMBER(VALUE(Metadata!H197))),Metadata!H197&gt;0))</f>
        <v>0</v>
      </c>
      <c r="AI197">
        <f>AND(IF(Metadata!I197="",FALSE,TRUE),exact(Metadata!I197,"human"))</f>
        <v>0</v>
      </c>
      <c r="AJ197">
        <f>AND(IF(Metadata!J197="",FALSE,ISNUMBER(VALUE(Metadata!J197))),Metadata!J197&gt;0)</f>
        <v>0</v>
      </c>
      <c r="AK197">
        <f>AND(IF(Metadata!K197="",FALSE,TRUE),exact(Metadata!K197,"cm"))</f>
        <v>0</v>
      </c>
      <c r="AL197">
        <f>AND(IF(Metadata!L197="",FALSE,TRUE),exact(Metadata!L197,"Homo sapiens"))</f>
        <v>0</v>
      </c>
      <c r="AM197">
        <f>AND(IF(Metadata!M197="",FALSE,TRUE),exact(Metadata!M197,"9606"))</f>
        <v>0</v>
      </c>
      <c r="AN197">
        <f>AND(IF(Metadata!N197="",FALSE,ISNUMBER(VALUE(Metadata!N197))),Metadata!N197&gt;0)</f>
        <v>0</v>
      </c>
      <c r="AO197">
        <f>AND(IF(Metadata!O197="",FALSE,TRUE),exact(Metadata!O197,"kg"))</f>
        <v>0</v>
      </c>
      <c r="AP197">
        <f>OR(AND(IF(Metadata!P197="",FALSE,TRUE),exact(Metadata!P197,"not provided")),IF(Metadata!P197="",FALSE,TRUE))</f>
        <v>0</v>
      </c>
      <c r="AQ197">
        <f>OR(AND(IF(Metadata!Q197="",FALSE,TRUE),exact(Metadata!Q197,"not provided")),IF(Metadata!Q197="",FALSE,TRUE))</f>
        <v>0</v>
      </c>
    </row>
    <row r="198" spans="1:43">
      <c r="A198" s="4">
        <f>IF(B198=" "," ",HYPERLINK(CONCATENATE("#metadata!",ADDRESS(INDEX($W$2:$W$1001,MATCH(ROWS($U$2:U198),$U$2:$U$1001,0),0),2)),INDEX($Z$2:$Z$1001,MATCH(ROWS($U$2:U198),$U$2:$U$1001,0),0)))</f>
        <v>0</v>
      </c>
      <c r="B198" s="5">
        <f>IF(OR(INDEX($V$2:$V$1001,MATCH(ROWS($U$2:U198),$U$2:$U$1001,0),1)&gt;=100000,INDEX($AB$1005:$AQ$1005,1,MATCH(COLUMNS($AB$1006:AB1006),$AB$1006:$AQ$1006,0))&gt;=100000), " ",IF(INDEX($AB$2:$AQ$1001,MATCH(ROWS($U$2:U198),$U$2:$U$1001,0),MATCH(COLUMNS($AB$1006:AB1006),$AB$1006:$AQ$1006,0)), HYPERLINK("#",""), HYPERLINK(CONCATENATE("#Metadata!", ADDRESS(INDEX($W$2:$W$1001,MATCH(ROWS($U$2:U198),$U$2:$U$1001,0),0), INDEX($AB$1004:$AQ$1004,1,MATCH(COLUMNS($AB$1006:AB1006),$AB$1006:$AQ$1006,0)))),"Fix")))</f>
        <v>0</v>
      </c>
      <c r="C198" s="5">
        <f>IF(OR(INDEX($V$2:$V$1001,MATCH(ROWS($U$2:U198),$U$2:$U$1001,0),1)&gt;=100000,INDEX($AB$1005:$AQ$1005,1,MATCH(COLUMNS($AB$1006:AC1006),$AB$1006:$AQ$1006,0))&gt;=100000), " ",IF(INDEX($AB$2:$AQ$1001,MATCH(ROWS($U$2:U198),$U$2:$U$1001,0),MATCH(COLUMNS($AB$1006:AC1006),$AB$1006:$AQ$1006,0)), HYPERLINK("#",""), HYPERLINK(CONCATENATE("#Metadata!", ADDRESS(INDEX($W$2:$W$1001,MATCH(ROWS($U$2:U198),$U$2:$U$1001,0),0), INDEX($AB$1004:$AQ$1004,1,MATCH(COLUMNS($AB$1006:AC1006),$AB$1006:$AQ$1006,0)))),"Fix")))</f>
        <v>0</v>
      </c>
      <c r="D198" s="5">
        <f>IF(OR(INDEX($V$2:$V$1001,MATCH(ROWS($U$2:U198),$U$2:$U$1001,0),1)&gt;=100000,INDEX($AB$1005:$AQ$1005,1,MATCH(COLUMNS($AB$1006:AD1006),$AB$1006:$AQ$1006,0))&gt;=100000), " ",IF(INDEX($AB$2:$AQ$1001,MATCH(ROWS($U$2:U198),$U$2:$U$1001,0),MATCH(COLUMNS($AB$1006:AD1006),$AB$1006:$AQ$1006,0)), HYPERLINK("#",""), HYPERLINK(CONCATENATE("#Metadata!", ADDRESS(INDEX($W$2:$W$1001,MATCH(ROWS($U$2:U198),$U$2:$U$1001,0),0), INDEX($AB$1004:$AQ$1004,1,MATCH(COLUMNS($AB$1006:AD1006),$AB$1006:$AQ$1006,0)))),"Fix")))</f>
        <v>0</v>
      </c>
      <c r="E198" s="5">
        <f>IF(OR(INDEX($V$2:$V$1001,MATCH(ROWS($U$2:U198),$U$2:$U$1001,0),1)&gt;=100000,INDEX($AB$1005:$AQ$1005,1,MATCH(COLUMNS($AB$1006:AE1006),$AB$1006:$AQ$1006,0))&gt;=100000), " ",IF(INDEX($AB$2:$AQ$1001,MATCH(ROWS($U$2:U198),$U$2:$U$1001,0),MATCH(COLUMNS($AB$1006:AE1006),$AB$1006:$AQ$1006,0)), HYPERLINK("#",""), HYPERLINK(CONCATENATE("#Metadata!", ADDRESS(INDEX($W$2:$W$1001,MATCH(ROWS($U$2:U198),$U$2:$U$1001,0),0), INDEX($AB$1004:$AQ$1004,1,MATCH(COLUMNS($AB$1006:AE1006),$AB$1006:$AQ$1006,0)))),"Fix")))</f>
        <v>0</v>
      </c>
      <c r="F198" s="5">
        <f>IF(OR(INDEX($V$2:$V$1001,MATCH(ROWS($U$2:U198),$U$2:$U$1001,0),1)&gt;=100000,INDEX($AB$1005:$AQ$1005,1,MATCH(COLUMNS($AB$1006:AF1006),$AB$1006:$AQ$1006,0))&gt;=100000), " ",IF(INDEX($AB$2:$AQ$1001,MATCH(ROWS($U$2:U198),$U$2:$U$1001,0),MATCH(COLUMNS($AB$1006:AF1006),$AB$1006:$AQ$1006,0)), HYPERLINK("#",""), HYPERLINK(CONCATENATE("#Metadata!", ADDRESS(INDEX($W$2:$W$1001,MATCH(ROWS($U$2:U198),$U$2:$U$1001,0),0), INDEX($AB$1004:$AQ$1004,1,MATCH(COLUMNS($AB$1006:AF1006),$AB$1006:$AQ$1006,0)))),"Fix")))</f>
        <v>0</v>
      </c>
      <c r="G198" s="5">
        <f>IF(OR(INDEX($V$2:$V$1001,MATCH(ROWS($U$2:U198),$U$2:$U$1001,0),1)&gt;=100000,INDEX($AB$1005:$AQ$1005,1,MATCH(COLUMNS($AB$1006:AG1006),$AB$1006:$AQ$1006,0))&gt;=100000), " ",IF(INDEX($AB$2:$AQ$1001,MATCH(ROWS($U$2:U198),$U$2:$U$1001,0),MATCH(COLUMNS($AB$1006:AG1006),$AB$1006:$AQ$1006,0)), HYPERLINK("#",""), HYPERLINK(CONCATENATE("#Metadata!", ADDRESS(INDEX($W$2:$W$1001,MATCH(ROWS($U$2:U198),$U$2:$U$1001,0),0), INDEX($AB$1004:$AQ$1004,1,MATCH(COLUMNS($AB$1006:AG1006),$AB$1006:$AQ$1006,0)))),"Fix")))</f>
        <v>0</v>
      </c>
      <c r="H198" s="5">
        <f>IF(OR(INDEX($V$2:$V$1001,MATCH(ROWS($U$2:U198),$U$2:$U$1001,0),1)&gt;=100000,INDEX($AB$1005:$AQ$1005,1,MATCH(COLUMNS($AB$1006:AH1006),$AB$1006:$AQ$1006,0))&gt;=100000), " ",IF(INDEX($AB$2:$AQ$1001,MATCH(ROWS($U$2:U198),$U$2:$U$1001,0),MATCH(COLUMNS($AB$1006:AH1006),$AB$1006:$AQ$1006,0)), HYPERLINK("#",""), HYPERLINK(CONCATENATE("#Metadata!", ADDRESS(INDEX($W$2:$W$1001,MATCH(ROWS($U$2:U198),$U$2:$U$1001,0),0), INDEX($AB$1004:$AQ$1004,1,MATCH(COLUMNS($AB$1006:AH1006),$AB$1006:$AQ$1006,0)))),"Fix")))</f>
        <v>0</v>
      </c>
      <c r="I198" s="5">
        <f>IF(OR(INDEX($V$2:$V$1001,MATCH(ROWS($U$2:U198),$U$2:$U$1001,0),1)&gt;=100000,INDEX($AB$1005:$AQ$1005,1,MATCH(COLUMNS($AB$1006:AI1006),$AB$1006:$AQ$1006,0))&gt;=100000), " ",IF(INDEX($AB$2:$AQ$1001,MATCH(ROWS($U$2:U198),$U$2:$U$1001,0),MATCH(COLUMNS($AB$1006:AI1006),$AB$1006:$AQ$1006,0)), HYPERLINK("#",""), HYPERLINK(CONCATENATE("#Metadata!", ADDRESS(INDEX($W$2:$W$1001,MATCH(ROWS($U$2:U198),$U$2:$U$1001,0),0), INDEX($AB$1004:$AQ$1004,1,MATCH(COLUMNS($AB$1006:AI1006),$AB$1006:$AQ$1006,0)))),"Fix")))</f>
        <v>0</v>
      </c>
      <c r="J198" s="5">
        <f>IF(OR(INDEX($V$2:$V$1001,MATCH(ROWS($U$2:U198),$U$2:$U$1001,0),1)&gt;=100000,INDEX($AB$1005:$AQ$1005,1,MATCH(COLUMNS($AB$1006:AJ1006),$AB$1006:$AQ$1006,0))&gt;=100000), " ",IF(INDEX($AB$2:$AQ$1001,MATCH(ROWS($U$2:U198),$U$2:$U$1001,0),MATCH(COLUMNS($AB$1006:AJ1006),$AB$1006:$AQ$1006,0)), HYPERLINK("#",""), HYPERLINK(CONCATENATE("#Metadata!", ADDRESS(INDEX($W$2:$W$1001,MATCH(ROWS($U$2:U198),$U$2:$U$1001,0),0), INDEX($AB$1004:$AQ$1004,1,MATCH(COLUMNS($AB$1006:AJ1006),$AB$1006:$AQ$1006,0)))),"Fix")))</f>
        <v>0</v>
      </c>
      <c r="K198" s="5">
        <f>IF(OR(INDEX($V$2:$V$1001,MATCH(ROWS($U$2:U198),$U$2:$U$1001,0),1)&gt;=100000,INDEX($AB$1005:$AQ$1005,1,MATCH(COLUMNS($AB$1006:AK1006),$AB$1006:$AQ$1006,0))&gt;=100000), " ",IF(INDEX($AB$2:$AQ$1001,MATCH(ROWS($U$2:U198),$U$2:$U$1001,0),MATCH(COLUMNS($AB$1006:AK1006),$AB$1006:$AQ$1006,0)), HYPERLINK("#",""), HYPERLINK(CONCATENATE("#Metadata!", ADDRESS(INDEX($W$2:$W$1001,MATCH(ROWS($U$2:U198),$U$2:$U$1001,0),0), INDEX($AB$1004:$AQ$1004,1,MATCH(COLUMNS($AB$1006:AK1006),$AB$1006:$AQ$1006,0)))),"Fix")))</f>
        <v>0</v>
      </c>
      <c r="L198" s="5">
        <f>IF(OR(INDEX($V$2:$V$1001,MATCH(ROWS($U$2:U198),$U$2:$U$1001,0),1)&gt;=100000,INDEX($AB$1005:$AQ$1005,1,MATCH(COLUMNS($AB$1006:AL1006),$AB$1006:$AQ$1006,0))&gt;=100000), " ",IF(INDEX($AB$2:$AQ$1001,MATCH(ROWS($U$2:U198),$U$2:$U$1001,0),MATCH(COLUMNS($AB$1006:AL1006),$AB$1006:$AQ$1006,0)), HYPERLINK("#",""), HYPERLINK(CONCATENATE("#Metadata!", ADDRESS(INDEX($W$2:$W$1001,MATCH(ROWS($U$2:U198),$U$2:$U$1001,0),0), INDEX($AB$1004:$AQ$1004,1,MATCH(COLUMNS($AB$1006:AL1006),$AB$1006:$AQ$1006,0)))),"Fix")))</f>
        <v>0</v>
      </c>
      <c r="M198" s="5">
        <f>IF(OR(INDEX($V$2:$V$1001,MATCH(ROWS($U$2:U198),$U$2:$U$1001,0),1)&gt;=100000,INDEX($AB$1005:$AQ$1005,1,MATCH(COLUMNS($AB$1006:AM1006),$AB$1006:$AQ$1006,0))&gt;=100000), " ",IF(INDEX($AB$2:$AQ$1001,MATCH(ROWS($U$2:U198),$U$2:$U$1001,0),MATCH(COLUMNS($AB$1006:AM1006),$AB$1006:$AQ$1006,0)), HYPERLINK("#",""), HYPERLINK(CONCATENATE("#Metadata!", ADDRESS(INDEX($W$2:$W$1001,MATCH(ROWS($U$2:U198),$U$2:$U$1001,0),0), INDEX($AB$1004:$AQ$1004,1,MATCH(COLUMNS($AB$1006:AM1006),$AB$1006:$AQ$1006,0)))),"Fix")))</f>
        <v>0</v>
      </c>
      <c r="N198" s="5">
        <f>IF(OR(INDEX($V$2:$V$1001,MATCH(ROWS($U$2:U198),$U$2:$U$1001,0),1)&gt;=100000,INDEX($AB$1005:$AQ$1005,1,MATCH(COLUMNS($AB$1006:AN1006),$AB$1006:$AQ$1006,0))&gt;=100000), " ",IF(INDEX($AB$2:$AQ$1001,MATCH(ROWS($U$2:U198),$U$2:$U$1001,0),MATCH(COLUMNS($AB$1006:AN1006),$AB$1006:$AQ$1006,0)), HYPERLINK("#",""), HYPERLINK(CONCATENATE("#Metadata!", ADDRESS(INDEX($W$2:$W$1001,MATCH(ROWS($U$2:U198),$U$2:$U$1001,0),0), INDEX($AB$1004:$AQ$1004,1,MATCH(COLUMNS($AB$1006:AN1006),$AB$1006:$AQ$1006,0)))),"Fix")))</f>
        <v>0</v>
      </c>
      <c r="O198" s="5">
        <f>IF(OR(INDEX($V$2:$V$1001,MATCH(ROWS($U$2:U198),$U$2:$U$1001,0),1)&gt;=100000,INDEX($AB$1005:$AQ$1005,1,MATCH(COLUMNS($AB$1006:AO1006),$AB$1006:$AQ$1006,0))&gt;=100000), " ",IF(INDEX($AB$2:$AQ$1001,MATCH(ROWS($U$2:U198),$U$2:$U$1001,0),MATCH(COLUMNS($AB$1006:AO1006),$AB$1006:$AQ$1006,0)), HYPERLINK("#",""), HYPERLINK(CONCATENATE("#Metadata!", ADDRESS(INDEX($W$2:$W$1001,MATCH(ROWS($U$2:U198),$U$2:$U$1001,0),0), INDEX($AB$1004:$AQ$1004,1,MATCH(COLUMNS($AB$1006:AO1006),$AB$1006:$AQ$1006,0)))),"Fix")))</f>
        <v>0</v>
      </c>
      <c r="P198" s="5">
        <f>IF(OR(INDEX($V$2:$V$1001,MATCH(ROWS($U$2:U198),$U$2:$U$1001,0),1)&gt;=100000,INDEX($AB$1005:$AQ$1005,1,MATCH(COLUMNS($AB$1006:AP1006),$AB$1006:$AQ$1006,0))&gt;=100000), " ",IF(INDEX($AB$2:$AQ$1001,MATCH(ROWS($U$2:U198),$U$2:$U$1001,0),MATCH(COLUMNS($AB$1006:AP1006),$AB$1006:$AQ$1006,0)), HYPERLINK("#",""), HYPERLINK(CONCATENATE("#Metadata!", ADDRESS(INDEX($W$2:$W$1001,MATCH(ROWS($U$2:U198),$U$2:$U$1001,0),0), INDEX($AB$1004:$AQ$1004,1,MATCH(COLUMNS($AB$1006:AP1006),$AB$1006:$AQ$1006,0)))),"Fix")))</f>
        <v>0</v>
      </c>
      <c r="Q198" s="5">
        <f>IF(OR(INDEX($V$2:$V$1001,MATCH(ROWS($U$2:U198),$U$2:$U$1001,0),1)&gt;=100000,INDEX($AB$1005:$AQ$1005,1,MATCH(COLUMNS($AB$1006:AQ1006),$AB$1006:$AQ$1006,0))&gt;=100000), " ",IF(INDEX($AB$2:$AQ$1001,MATCH(ROWS($U$2:U198),$U$2:$U$1001,0),MATCH(COLUMNS($AB$1006:AQ1006),$AB$1006:$AQ$1006,0)), HYPERLINK("#",""), HYPERLINK(CONCATENATE("#Metadata!", ADDRESS(INDEX($W$2:$W$1001,MATCH(ROWS($U$2:U198),$U$2:$U$1001,0),0), INDEX($AB$1004:$AQ$1004,1,MATCH(COLUMNS($AB$1006:AQ1006),$AB$1006:$AQ$1006,0)))),"Fix")))</f>
        <v>0</v>
      </c>
      <c r="U198">
        <v>0</v>
      </c>
      <c r="V198">
        <v>0</v>
      </c>
      <c r="W198">
        <v>0</v>
      </c>
      <c r="X198">
        <f>IF(Y198,TRUE,AND(AB198:AQ198))</f>
        <v>0</v>
      </c>
      <c r="Y198">
        <f>COUNTBLANK(Metadata!B198:Q198)=COLUMNS(Metadata!B198:Q198)</f>
        <v>0</v>
      </c>
      <c r="Z198">
        <v>0</v>
      </c>
      <c r="AB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AC198">
        <f>AND(IF(Metadata!C198="",FALSE,TRUE),exact(Metadata!C198,"urban biome"))</f>
        <v>0</v>
      </c>
      <c r="AD198">
        <f>AND(IF(Metadata!D198="",FALSE,TRUE),exact(Metadata!D198,"human-associated habitat"))</f>
        <v>0</v>
      </c>
      <c r="AE198">
        <f>AND(IF(Metadata!E198="",FALSE,TRUE),OR(exact(Metadata!E198,"human-associated"),exact(Metadata!E198,"human-skin"),exact(Metadata!E198,"human-oral"),exact(Metadata!E198,"human-gut"),exact(Metadata!E198,"human-vaginal")))</f>
        <v>0</v>
      </c>
      <c r="AF198">
        <f>AND(IF(Metadata!F198="",FALSE,ISNUMBER(VALUE(Metadata!F198))),Metadata!F198&gt;0)</f>
        <v>0</v>
      </c>
      <c r="AG198">
        <f>AND(IF(Metadata!G198="",FALSE,TRUE),exact(Metadata!G198,"years"))</f>
        <v>0</v>
      </c>
      <c r="AH198">
        <f>OR(AND(IF(Metadata!H198="",FALSE,TRUE),OR(exact(Metadata!H198,"not applicable"),exact(Metadata!H198,"not collected"),exact(Metadata!H198,"not provided"),exact(Metadata!H198,"restricted access"))),AND(IF(Metadata!H198="",FALSE,ISNUMBER(VALUE(Metadata!H198))),Metadata!H198&gt;0))</f>
        <v>0</v>
      </c>
      <c r="AI198">
        <f>AND(IF(Metadata!I198="",FALSE,TRUE),exact(Metadata!I198,"human"))</f>
        <v>0</v>
      </c>
      <c r="AJ198">
        <f>AND(IF(Metadata!J198="",FALSE,ISNUMBER(VALUE(Metadata!J198))),Metadata!J198&gt;0)</f>
        <v>0</v>
      </c>
      <c r="AK198">
        <f>AND(IF(Metadata!K198="",FALSE,TRUE),exact(Metadata!K198,"cm"))</f>
        <v>0</v>
      </c>
      <c r="AL198">
        <f>AND(IF(Metadata!L198="",FALSE,TRUE),exact(Metadata!L198,"Homo sapiens"))</f>
        <v>0</v>
      </c>
      <c r="AM198">
        <f>AND(IF(Metadata!M198="",FALSE,TRUE),exact(Metadata!M198,"9606"))</f>
        <v>0</v>
      </c>
      <c r="AN198">
        <f>AND(IF(Metadata!N198="",FALSE,ISNUMBER(VALUE(Metadata!N198))),Metadata!N198&gt;0)</f>
        <v>0</v>
      </c>
      <c r="AO198">
        <f>AND(IF(Metadata!O198="",FALSE,TRUE),exact(Metadata!O198,"kg"))</f>
        <v>0</v>
      </c>
      <c r="AP198">
        <f>OR(AND(IF(Metadata!P198="",FALSE,TRUE),exact(Metadata!P198,"not provided")),IF(Metadata!P198="",FALSE,TRUE))</f>
        <v>0</v>
      </c>
      <c r="AQ198">
        <f>OR(AND(IF(Metadata!Q198="",FALSE,TRUE),exact(Metadata!Q198,"not provided")),IF(Metadata!Q198="",FALSE,TRUE))</f>
        <v>0</v>
      </c>
    </row>
    <row r="199" spans="1:43">
      <c r="A199" s="4">
        <f>IF(B199=" "," ",HYPERLINK(CONCATENATE("#metadata!",ADDRESS(INDEX($W$2:$W$1001,MATCH(ROWS($U$2:U199),$U$2:$U$1001,0),0),2)),INDEX($Z$2:$Z$1001,MATCH(ROWS($U$2:U199),$U$2:$U$1001,0),0)))</f>
        <v>0</v>
      </c>
      <c r="B199" s="5">
        <f>IF(OR(INDEX($V$2:$V$1001,MATCH(ROWS($U$2:U199),$U$2:$U$1001,0),1)&gt;=100000,INDEX($AB$1005:$AQ$1005,1,MATCH(COLUMNS($AB$1006:AB1006),$AB$1006:$AQ$1006,0))&gt;=100000), " ",IF(INDEX($AB$2:$AQ$1001,MATCH(ROWS($U$2:U199),$U$2:$U$1001,0),MATCH(COLUMNS($AB$1006:AB1006),$AB$1006:$AQ$1006,0)), HYPERLINK("#",""), HYPERLINK(CONCATENATE("#Metadata!", ADDRESS(INDEX($W$2:$W$1001,MATCH(ROWS($U$2:U199),$U$2:$U$1001,0),0), INDEX($AB$1004:$AQ$1004,1,MATCH(COLUMNS($AB$1006:AB1006),$AB$1006:$AQ$1006,0)))),"Fix")))</f>
        <v>0</v>
      </c>
      <c r="C199" s="5">
        <f>IF(OR(INDEX($V$2:$V$1001,MATCH(ROWS($U$2:U199),$U$2:$U$1001,0),1)&gt;=100000,INDEX($AB$1005:$AQ$1005,1,MATCH(COLUMNS($AB$1006:AC1006),$AB$1006:$AQ$1006,0))&gt;=100000), " ",IF(INDEX($AB$2:$AQ$1001,MATCH(ROWS($U$2:U199),$U$2:$U$1001,0),MATCH(COLUMNS($AB$1006:AC1006),$AB$1006:$AQ$1006,0)), HYPERLINK("#",""), HYPERLINK(CONCATENATE("#Metadata!", ADDRESS(INDEX($W$2:$W$1001,MATCH(ROWS($U$2:U199),$U$2:$U$1001,0),0), INDEX($AB$1004:$AQ$1004,1,MATCH(COLUMNS($AB$1006:AC1006),$AB$1006:$AQ$1006,0)))),"Fix")))</f>
        <v>0</v>
      </c>
      <c r="D199" s="5">
        <f>IF(OR(INDEX($V$2:$V$1001,MATCH(ROWS($U$2:U199),$U$2:$U$1001,0),1)&gt;=100000,INDEX($AB$1005:$AQ$1005,1,MATCH(COLUMNS($AB$1006:AD1006),$AB$1006:$AQ$1006,0))&gt;=100000), " ",IF(INDEX($AB$2:$AQ$1001,MATCH(ROWS($U$2:U199),$U$2:$U$1001,0),MATCH(COLUMNS($AB$1006:AD1006),$AB$1006:$AQ$1006,0)), HYPERLINK("#",""), HYPERLINK(CONCATENATE("#Metadata!", ADDRESS(INDEX($W$2:$W$1001,MATCH(ROWS($U$2:U199),$U$2:$U$1001,0),0), INDEX($AB$1004:$AQ$1004,1,MATCH(COLUMNS($AB$1006:AD1006),$AB$1006:$AQ$1006,0)))),"Fix")))</f>
        <v>0</v>
      </c>
      <c r="E199" s="5">
        <f>IF(OR(INDEX($V$2:$V$1001,MATCH(ROWS($U$2:U199),$U$2:$U$1001,0),1)&gt;=100000,INDEX($AB$1005:$AQ$1005,1,MATCH(COLUMNS($AB$1006:AE1006),$AB$1006:$AQ$1006,0))&gt;=100000), " ",IF(INDEX($AB$2:$AQ$1001,MATCH(ROWS($U$2:U199),$U$2:$U$1001,0),MATCH(COLUMNS($AB$1006:AE1006),$AB$1006:$AQ$1006,0)), HYPERLINK("#",""), HYPERLINK(CONCATENATE("#Metadata!", ADDRESS(INDEX($W$2:$W$1001,MATCH(ROWS($U$2:U199),$U$2:$U$1001,0),0), INDEX($AB$1004:$AQ$1004,1,MATCH(COLUMNS($AB$1006:AE1006),$AB$1006:$AQ$1006,0)))),"Fix")))</f>
        <v>0</v>
      </c>
      <c r="F199" s="5">
        <f>IF(OR(INDEX($V$2:$V$1001,MATCH(ROWS($U$2:U199),$U$2:$U$1001,0),1)&gt;=100000,INDEX($AB$1005:$AQ$1005,1,MATCH(COLUMNS($AB$1006:AF1006),$AB$1006:$AQ$1006,0))&gt;=100000), " ",IF(INDEX($AB$2:$AQ$1001,MATCH(ROWS($U$2:U199),$U$2:$U$1001,0),MATCH(COLUMNS($AB$1006:AF1006),$AB$1006:$AQ$1006,0)), HYPERLINK("#",""), HYPERLINK(CONCATENATE("#Metadata!", ADDRESS(INDEX($W$2:$W$1001,MATCH(ROWS($U$2:U199),$U$2:$U$1001,0),0), INDEX($AB$1004:$AQ$1004,1,MATCH(COLUMNS($AB$1006:AF1006),$AB$1006:$AQ$1006,0)))),"Fix")))</f>
        <v>0</v>
      </c>
      <c r="G199" s="5">
        <f>IF(OR(INDEX($V$2:$V$1001,MATCH(ROWS($U$2:U199),$U$2:$U$1001,0),1)&gt;=100000,INDEX($AB$1005:$AQ$1005,1,MATCH(COLUMNS($AB$1006:AG1006),$AB$1006:$AQ$1006,0))&gt;=100000), " ",IF(INDEX($AB$2:$AQ$1001,MATCH(ROWS($U$2:U199),$U$2:$U$1001,0),MATCH(COLUMNS($AB$1006:AG1006),$AB$1006:$AQ$1006,0)), HYPERLINK("#",""), HYPERLINK(CONCATENATE("#Metadata!", ADDRESS(INDEX($W$2:$W$1001,MATCH(ROWS($U$2:U199),$U$2:$U$1001,0),0), INDEX($AB$1004:$AQ$1004,1,MATCH(COLUMNS($AB$1006:AG1006),$AB$1006:$AQ$1006,0)))),"Fix")))</f>
        <v>0</v>
      </c>
      <c r="H199" s="5">
        <f>IF(OR(INDEX($V$2:$V$1001,MATCH(ROWS($U$2:U199),$U$2:$U$1001,0),1)&gt;=100000,INDEX($AB$1005:$AQ$1005,1,MATCH(COLUMNS($AB$1006:AH1006),$AB$1006:$AQ$1006,0))&gt;=100000), " ",IF(INDEX($AB$2:$AQ$1001,MATCH(ROWS($U$2:U199),$U$2:$U$1001,0),MATCH(COLUMNS($AB$1006:AH1006),$AB$1006:$AQ$1006,0)), HYPERLINK("#",""), HYPERLINK(CONCATENATE("#Metadata!", ADDRESS(INDEX($W$2:$W$1001,MATCH(ROWS($U$2:U199),$U$2:$U$1001,0),0), INDEX($AB$1004:$AQ$1004,1,MATCH(COLUMNS($AB$1006:AH1006),$AB$1006:$AQ$1006,0)))),"Fix")))</f>
        <v>0</v>
      </c>
      <c r="I199" s="5">
        <f>IF(OR(INDEX($V$2:$V$1001,MATCH(ROWS($U$2:U199),$U$2:$U$1001,0),1)&gt;=100000,INDEX($AB$1005:$AQ$1005,1,MATCH(COLUMNS($AB$1006:AI1006),$AB$1006:$AQ$1006,0))&gt;=100000), " ",IF(INDEX($AB$2:$AQ$1001,MATCH(ROWS($U$2:U199),$U$2:$U$1001,0),MATCH(COLUMNS($AB$1006:AI1006),$AB$1006:$AQ$1006,0)), HYPERLINK("#",""), HYPERLINK(CONCATENATE("#Metadata!", ADDRESS(INDEX($W$2:$W$1001,MATCH(ROWS($U$2:U199),$U$2:$U$1001,0),0), INDEX($AB$1004:$AQ$1004,1,MATCH(COLUMNS($AB$1006:AI1006),$AB$1006:$AQ$1006,0)))),"Fix")))</f>
        <v>0</v>
      </c>
      <c r="J199" s="5">
        <f>IF(OR(INDEX($V$2:$V$1001,MATCH(ROWS($U$2:U199),$U$2:$U$1001,0),1)&gt;=100000,INDEX($AB$1005:$AQ$1005,1,MATCH(COLUMNS($AB$1006:AJ1006),$AB$1006:$AQ$1006,0))&gt;=100000), " ",IF(INDEX($AB$2:$AQ$1001,MATCH(ROWS($U$2:U199),$U$2:$U$1001,0),MATCH(COLUMNS($AB$1006:AJ1006),$AB$1006:$AQ$1006,0)), HYPERLINK("#",""), HYPERLINK(CONCATENATE("#Metadata!", ADDRESS(INDEX($W$2:$W$1001,MATCH(ROWS($U$2:U199),$U$2:$U$1001,0),0), INDEX($AB$1004:$AQ$1004,1,MATCH(COLUMNS($AB$1006:AJ1006),$AB$1006:$AQ$1006,0)))),"Fix")))</f>
        <v>0</v>
      </c>
      <c r="K199" s="5">
        <f>IF(OR(INDEX($V$2:$V$1001,MATCH(ROWS($U$2:U199),$U$2:$U$1001,0),1)&gt;=100000,INDEX($AB$1005:$AQ$1005,1,MATCH(COLUMNS($AB$1006:AK1006),$AB$1006:$AQ$1006,0))&gt;=100000), " ",IF(INDEX($AB$2:$AQ$1001,MATCH(ROWS($U$2:U199),$U$2:$U$1001,0),MATCH(COLUMNS($AB$1006:AK1006),$AB$1006:$AQ$1006,0)), HYPERLINK("#",""), HYPERLINK(CONCATENATE("#Metadata!", ADDRESS(INDEX($W$2:$W$1001,MATCH(ROWS($U$2:U199),$U$2:$U$1001,0),0), INDEX($AB$1004:$AQ$1004,1,MATCH(COLUMNS($AB$1006:AK1006),$AB$1006:$AQ$1006,0)))),"Fix")))</f>
        <v>0</v>
      </c>
      <c r="L199" s="5">
        <f>IF(OR(INDEX($V$2:$V$1001,MATCH(ROWS($U$2:U199),$U$2:$U$1001,0),1)&gt;=100000,INDEX($AB$1005:$AQ$1005,1,MATCH(COLUMNS($AB$1006:AL1006),$AB$1006:$AQ$1006,0))&gt;=100000), " ",IF(INDEX($AB$2:$AQ$1001,MATCH(ROWS($U$2:U199),$U$2:$U$1001,0),MATCH(COLUMNS($AB$1006:AL1006),$AB$1006:$AQ$1006,0)), HYPERLINK("#",""), HYPERLINK(CONCATENATE("#Metadata!", ADDRESS(INDEX($W$2:$W$1001,MATCH(ROWS($U$2:U199),$U$2:$U$1001,0),0), INDEX($AB$1004:$AQ$1004,1,MATCH(COLUMNS($AB$1006:AL1006),$AB$1006:$AQ$1006,0)))),"Fix")))</f>
        <v>0</v>
      </c>
      <c r="M199" s="5">
        <f>IF(OR(INDEX($V$2:$V$1001,MATCH(ROWS($U$2:U199),$U$2:$U$1001,0),1)&gt;=100000,INDEX($AB$1005:$AQ$1005,1,MATCH(COLUMNS($AB$1006:AM1006),$AB$1006:$AQ$1006,0))&gt;=100000), " ",IF(INDEX($AB$2:$AQ$1001,MATCH(ROWS($U$2:U199),$U$2:$U$1001,0),MATCH(COLUMNS($AB$1006:AM1006),$AB$1006:$AQ$1006,0)), HYPERLINK("#",""), HYPERLINK(CONCATENATE("#Metadata!", ADDRESS(INDEX($W$2:$W$1001,MATCH(ROWS($U$2:U199),$U$2:$U$1001,0),0), INDEX($AB$1004:$AQ$1004,1,MATCH(COLUMNS($AB$1006:AM1006),$AB$1006:$AQ$1006,0)))),"Fix")))</f>
        <v>0</v>
      </c>
      <c r="N199" s="5">
        <f>IF(OR(INDEX($V$2:$V$1001,MATCH(ROWS($U$2:U199),$U$2:$U$1001,0),1)&gt;=100000,INDEX($AB$1005:$AQ$1005,1,MATCH(COLUMNS($AB$1006:AN1006),$AB$1006:$AQ$1006,0))&gt;=100000), " ",IF(INDEX($AB$2:$AQ$1001,MATCH(ROWS($U$2:U199),$U$2:$U$1001,0),MATCH(COLUMNS($AB$1006:AN1006),$AB$1006:$AQ$1006,0)), HYPERLINK("#",""), HYPERLINK(CONCATENATE("#Metadata!", ADDRESS(INDEX($W$2:$W$1001,MATCH(ROWS($U$2:U199),$U$2:$U$1001,0),0), INDEX($AB$1004:$AQ$1004,1,MATCH(COLUMNS($AB$1006:AN1006),$AB$1006:$AQ$1006,0)))),"Fix")))</f>
        <v>0</v>
      </c>
      <c r="O199" s="5">
        <f>IF(OR(INDEX($V$2:$V$1001,MATCH(ROWS($U$2:U199),$U$2:$U$1001,0),1)&gt;=100000,INDEX($AB$1005:$AQ$1005,1,MATCH(COLUMNS($AB$1006:AO1006),$AB$1006:$AQ$1006,0))&gt;=100000), " ",IF(INDEX($AB$2:$AQ$1001,MATCH(ROWS($U$2:U199),$U$2:$U$1001,0),MATCH(COLUMNS($AB$1006:AO1006),$AB$1006:$AQ$1006,0)), HYPERLINK("#",""), HYPERLINK(CONCATENATE("#Metadata!", ADDRESS(INDEX($W$2:$W$1001,MATCH(ROWS($U$2:U199),$U$2:$U$1001,0),0), INDEX($AB$1004:$AQ$1004,1,MATCH(COLUMNS($AB$1006:AO1006),$AB$1006:$AQ$1006,0)))),"Fix")))</f>
        <v>0</v>
      </c>
      <c r="P199" s="5">
        <f>IF(OR(INDEX($V$2:$V$1001,MATCH(ROWS($U$2:U199),$U$2:$U$1001,0),1)&gt;=100000,INDEX($AB$1005:$AQ$1005,1,MATCH(COLUMNS($AB$1006:AP1006),$AB$1006:$AQ$1006,0))&gt;=100000), " ",IF(INDEX($AB$2:$AQ$1001,MATCH(ROWS($U$2:U199),$U$2:$U$1001,0),MATCH(COLUMNS($AB$1006:AP1006),$AB$1006:$AQ$1006,0)), HYPERLINK("#",""), HYPERLINK(CONCATENATE("#Metadata!", ADDRESS(INDEX($W$2:$W$1001,MATCH(ROWS($U$2:U199),$U$2:$U$1001,0),0), INDEX($AB$1004:$AQ$1004,1,MATCH(COLUMNS($AB$1006:AP1006),$AB$1006:$AQ$1006,0)))),"Fix")))</f>
        <v>0</v>
      </c>
      <c r="Q199" s="5">
        <f>IF(OR(INDEX($V$2:$V$1001,MATCH(ROWS($U$2:U199),$U$2:$U$1001,0),1)&gt;=100000,INDEX($AB$1005:$AQ$1005,1,MATCH(COLUMNS($AB$1006:AQ1006),$AB$1006:$AQ$1006,0))&gt;=100000), " ",IF(INDEX($AB$2:$AQ$1001,MATCH(ROWS($U$2:U199),$U$2:$U$1001,0),MATCH(COLUMNS($AB$1006:AQ1006),$AB$1006:$AQ$1006,0)), HYPERLINK("#",""), HYPERLINK(CONCATENATE("#Metadata!", ADDRESS(INDEX($W$2:$W$1001,MATCH(ROWS($U$2:U199),$U$2:$U$1001,0),0), INDEX($AB$1004:$AQ$1004,1,MATCH(COLUMNS($AB$1006:AQ1006),$AB$1006:$AQ$1006,0)))),"Fix")))</f>
        <v>0</v>
      </c>
      <c r="U199">
        <v>0</v>
      </c>
      <c r="V199">
        <v>0</v>
      </c>
      <c r="W199">
        <v>0</v>
      </c>
      <c r="X199">
        <f>IF(Y199,TRUE,AND(AB199:AQ199))</f>
        <v>0</v>
      </c>
      <c r="Y199">
        <f>COUNTBLANK(Metadata!B199:Q199)=COLUMNS(Metadata!B199:Q199)</f>
        <v>0</v>
      </c>
      <c r="Z199">
        <v>0</v>
      </c>
      <c r="AB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AC199">
        <f>AND(IF(Metadata!C199="",FALSE,TRUE),exact(Metadata!C199,"urban biome"))</f>
        <v>0</v>
      </c>
      <c r="AD199">
        <f>AND(IF(Metadata!D199="",FALSE,TRUE),exact(Metadata!D199,"human-associated habitat"))</f>
        <v>0</v>
      </c>
      <c r="AE199">
        <f>AND(IF(Metadata!E199="",FALSE,TRUE),OR(exact(Metadata!E199,"human-associated"),exact(Metadata!E199,"human-skin"),exact(Metadata!E199,"human-oral"),exact(Metadata!E199,"human-gut"),exact(Metadata!E199,"human-vaginal")))</f>
        <v>0</v>
      </c>
      <c r="AF199">
        <f>AND(IF(Metadata!F199="",FALSE,ISNUMBER(VALUE(Metadata!F199))),Metadata!F199&gt;0)</f>
        <v>0</v>
      </c>
      <c r="AG199">
        <f>AND(IF(Metadata!G199="",FALSE,TRUE),exact(Metadata!G199,"years"))</f>
        <v>0</v>
      </c>
      <c r="AH199">
        <f>OR(AND(IF(Metadata!H199="",FALSE,TRUE),OR(exact(Metadata!H199,"not applicable"),exact(Metadata!H199,"not collected"),exact(Metadata!H199,"not provided"),exact(Metadata!H199,"restricted access"))),AND(IF(Metadata!H199="",FALSE,ISNUMBER(VALUE(Metadata!H199))),Metadata!H199&gt;0))</f>
        <v>0</v>
      </c>
      <c r="AI199">
        <f>AND(IF(Metadata!I199="",FALSE,TRUE),exact(Metadata!I199,"human"))</f>
        <v>0</v>
      </c>
      <c r="AJ199">
        <f>AND(IF(Metadata!J199="",FALSE,ISNUMBER(VALUE(Metadata!J199))),Metadata!J199&gt;0)</f>
        <v>0</v>
      </c>
      <c r="AK199">
        <f>AND(IF(Metadata!K199="",FALSE,TRUE),exact(Metadata!K199,"cm"))</f>
        <v>0</v>
      </c>
      <c r="AL199">
        <f>AND(IF(Metadata!L199="",FALSE,TRUE),exact(Metadata!L199,"Homo sapiens"))</f>
        <v>0</v>
      </c>
      <c r="AM199">
        <f>AND(IF(Metadata!M199="",FALSE,TRUE),exact(Metadata!M199,"9606"))</f>
        <v>0</v>
      </c>
      <c r="AN199">
        <f>AND(IF(Metadata!N199="",FALSE,ISNUMBER(VALUE(Metadata!N199))),Metadata!N199&gt;0)</f>
        <v>0</v>
      </c>
      <c r="AO199">
        <f>AND(IF(Metadata!O199="",FALSE,TRUE),exact(Metadata!O199,"kg"))</f>
        <v>0</v>
      </c>
      <c r="AP199">
        <f>OR(AND(IF(Metadata!P199="",FALSE,TRUE),exact(Metadata!P199,"not provided")),IF(Metadata!P199="",FALSE,TRUE))</f>
        <v>0</v>
      </c>
      <c r="AQ199">
        <f>OR(AND(IF(Metadata!Q199="",FALSE,TRUE),exact(Metadata!Q199,"not provided")),IF(Metadata!Q199="",FALSE,TRUE))</f>
        <v>0</v>
      </c>
    </row>
    <row r="200" spans="1:43">
      <c r="A200" s="4">
        <f>IF(B200=" "," ",HYPERLINK(CONCATENATE("#metadata!",ADDRESS(INDEX($W$2:$W$1001,MATCH(ROWS($U$2:U200),$U$2:$U$1001,0),0),2)),INDEX($Z$2:$Z$1001,MATCH(ROWS($U$2:U200),$U$2:$U$1001,0),0)))</f>
        <v>0</v>
      </c>
      <c r="B200" s="5">
        <f>IF(OR(INDEX($V$2:$V$1001,MATCH(ROWS($U$2:U200),$U$2:$U$1001,0),1)&gt;=100000,INDEX($AB$1005:$AQ$1005,1,MATCH(COLUMNS($AB$1006:AB1006),$AB$1006:$AQ$1006,0))&gt;=100000), " ",IF(INDEX($AB$2:$AQ$1001,MATCH(ROWS($U$2:U200),$U$2:$U$1001,0),MATCH(COLUMNS($AB$1006:AB1006),$AB$1006:$AQ$1006,0)), HYPERLINK("#",""), HYPERLINK(CONCATENATE("#Metadata!", ADDRESS(INDEX($W$2:$W$1001,MATCH(ROWS($U$2:U200),$U$2:$U$1001,0),0), INDEX($AB$1004:$AQ$1004,1,MATCH(COLUMNS($AB$1006:AB1006),$AB$1006:$AQ$1006,0)))),"Fix")))</f>
        <v>0</v>
      </c>
      <c r="C200" s="5">
        <f>IF(OR(INDEX($V$2:$V$1001,MATCH(ROWS($U$2:U200),$U$2:$U$1001,0),1)&gt;=100000,INDEX($AB$1005:$AQ$1005,1,MATCH(COLUMNS($AB$1006:AC1006),$AB$1006:$AQ$1006,0))&gt;=100000), " ",IF(INDEX($AB$2:$AQ$1001,MATCH(ROWS($U$2:U200),$U$2:$U$1001,0),MATCH(COLUMNS($AB$1006:AC1006),$AB$1006:$AQ$1006,0)), HYPERLINK("#",""), HYPERLINK(CONCATENATE("#Metadata!", ADDRESS(INDEX($W$2:$W$1001,MATCH(ROWS($U$2:U200),$U$2:$U$1001,0),0), INDEX($AB$1004:$AQ$1004,1,MATCH(COLUMNS($AB$1006:AC1006),$AB$1006:$AQ$1006,0)))),"Fix")))</f>
        <v>0</v>
      </c>
      <c r="D200" s="5">
        <f>IF(OR(INDEX($V$2:$V$1001,MATCH(ROWS($U$2:U200),$U$2:$U$1001,0),1)&gt;=100000,INDEX($AB$1005:$AQ$1005,1,MATCH(COLUMNS($AB$1006:AD1006),$AB$1006:$AQ$1006,0))&gt;=100000), " ",IF(INDEX($AB$2:$AQ$1001,MATCH(ROWS($U$2:U200),$U$2:$U$1001,0),MATCH(COLUMNS($AB$1006:AD1006),$AB$1006:$AQ$1006,0)), HYPERLINK("#",""), HYPERLINK(CONCATENATE("#Metadata!", ADDRESS(INDEX($W$2:$W$1001,MATCH(ROWS($U$2:U200),$U$2:$U$1001,0),0), INDEX($AB$1004:$AQ$1004,1,MATCH(COLUMNS($AB$1006:AD1006),$AB$1006:$AQ$1006,0)))),"Fix")))</f>
        <v>0</v>
      </c>
      <c r="E200" s="5">
        <f>IF(OR(INDEX($V$2:$V$1001,MATCH(ROWS($U$2:U200),$U$2:$U$1001,0),1)&gt;=100000,INDEX($AB$1005:$AQ$1005,1,MATCH(COLUMNS($AB$1006:AE1006),$AB$1006:$AQ$1006,0))&gt;=100000), " ",IF(INDEX($AB$2:$AQ$1001,MATCH(ROWS($U$2:U200),$U$2:$U$1001,0),MATCH(COLUMNS($AB$1006:AE1006),$AB$1006:$AQ$1006,0)), HYPERLINK("#",""), HYPERLINK(CONCATENATE("#Metadata!", ADDRESS(INDEX($W$2:$W$1001,MATCH(ROWS($U$2:U200),$U$2:$U$1001,0),0), INDEX($AB$1004:$AQ$1004,1,MATCH(COLUMNS($AB$1006:AE1006),$AB$1006:$AQ$1006,0)))),"Fix")))</f>
        <v>0</v>
      </c>
      <c r="F200" s="5">
        <f>IF(OR(INDEX($V$2:$V$1001,MATCH(ROWS($U$2:U200),$U$2:$U$1001,0),1)&gt;=100000,INDEX($AB$1005:$AQ$1005,1,MATCH(COLUMNS($AB$1006:AF1006),$AB$1006:$AQ$1006,0))&gt;=100000), " ",IF(INDEX($AB$2:$AQ$1001,MATCH(ROWS($U$2:U200),$U$2:$U$1001,0),MATCH(COLUMNS($AB$1006:AF1006),$AB$1006:$AQ$1006,0)), HYPERLINK("#",""), HYPERLINK(CONCATENATE("#Metadata!", ADDRESS(INDEX($W$2:$W$1001,MATCH(ROWS($U$2:U200),$U$2:$U$1001,0),0), INDEX($AB$1004:$AQ$1004,1,MATCH(COLUMNS($AB$1006:AF1006),$AB$1006:$AQ$1006,0)))),"Fix")))</f>
        <v>0</v>
      </c>
      <c r="G200" s="5">
        <f>IF(OR(INDEX($V$2:$V$1001,MATCH(ROWS($U$2:U200),$U$2:$U$1001,0),1)&gt;=100000,INDEX($AB$1005:$AQ$1005,1,MATCH(COLUMNS($AB$1006:AG1006),$AB$1006:$AQ$1006,0))&gt;=100000), " ",IF(INDEX($AB$2:$AQ$1001,MATCH(ROWS($U$2:U200),$U$2:$U$1001,0),MATCH(COLUMNS($AB$1006:AG1006),$AB$1006:$AQ$1006,0)), HYPERLINK("#",""), HYPERLINK(CONCATENATE("#Metadata!", ADDRESS(INDEX($W$2:$W$1001,MATCH(ROWS($U$2:U200),$U$2:$U$1001,0),0), INDEX($AB$1004:$AQ$1004,1,MATCH(COLUMNS($AB$1006:AG1006),$AB$1006:$AQ$1006,0)))),"Fix")))</f>
        <v>0</v>
      </c>
      <c r="H200" s="5">
        <f>IF(OR(INDEX($V$2:$V$1001,MATCH(ROWS($U$2:U200),$U$2:$U$1001,0),1)&gt;=100000,INDEX($AB$1005:$AQ$1005,1,MATCH(COLUMNS($AB$1006:AH1006),$AB$1006:$AQ$1006,0))&gt;=100000), " ",IF(INDEX($AB$2:$AQ$1001,MATCH(ROWS($U$2:U200),$U$2:$U$1001,0),MATCH(COLUMNS($AB$1006:AH1006),$AB$1006:$AQ$1006,0)), HYPERLINK("#",""), HYPERLINK(CONCATENATE("#Metadata!", ADDRESS(INDEX($W$2:$W$1001,MATCH(ROWS($U$2:U200),$U$2:$U$1001,0),0), INDEX($AB$1004:$AQ$1004,1,MATCH(COLUMNS($AB$1006:AH1006),$AB$1006:$AQ$1006,0)))),"Fix")))</f>
        <v>0</v>
      </c>
      <c r="I200" s="5">
        <f>IF(OR(INDEX($V$2:$V$1001,MATCH(ROWS($U$2:U200),$U$2:$U$1001,0),1)&gt;=100000,INDEX($AB$1005:$AQ$1005,1,MATCH(COLUMNS($AB$1006:AI1006),$AB$1006:$AQ$1006,0))&gt;=100000), " ",IF(INDEX($AB$2:$AQ$1001,MATCH(ROWS($U$2:U200),$U$2:$U$1001,0),MATCH(COLUMNS($AB$1006:AI1006),$AB$1006:$AQ$1006,0)), HYPERLINK("#",""), HYPERLINK(CONCATENATE("#Metadata!", ADDRESS(INDEX($W$2:$W$1001,MATCH(ROWS($U$2:U200),$U$2:$U$1001,0),0), INDEX($AB$1004:$AQ$1004,1,MATCH(COLUMNS($AB$1006:AI1006),$AB$1006:$AQ$1006,0)))),"Fix")))</f>
        <v>0</v>
      </c>
      <c r="J200" s="5">
        <f>IF(OR(INDEX($V$2:$V$1001,MATCH(ROWS($U$2:U200),$U$2:$U$1001,0),1)&gt;=100000,INDEX($AB$1005:$AQ$1005,1,MATCH(COLUMNS($AB$1006:AJ1006),$AB$1006:$AQ$1006,0))&gt;=100000), " ",IF(INDEX($AB$2:$AQ$1001,MATCH(ROWS($U$2:U200),$U$2:$U$1001,0),MATCH(COLUMNS($AB$1006:AJ1006),$AB$1006:$AQ$1006,0)), HYPERLINK("#",""), HYPERLINK(CONCATENATE("#Metadata!", ADDRESS(INDEX($W$2:$W$1001,MATCH(ROWS($U$2:U200),$U$2:$U$1001,0),0), INDEX($AB$1004:$AQ$1004,1,MATCH(COLUMNS($AB$1006:AJ1006),$AB$1006:$AQ$1006,0)))),"Fix")))</f>
        <v>0</v>
      </c>
      <c r="K200" s="5">
        <f>IF(OR(INDEX($V$2:$V$1001,MATCH(ROWS($U$2:U200),$U$2:$U$1001,0),1)&gt;=100000,INDEX($AB$1005:$AQ$1005,1,MATCH(COLUMNS($AB$1006:AK1006),$AB$1006:$AQ$1006,0))&gt;=100000), " ",IF(INDEX($AB$2:$AQ$1001,MATCH(ROWS($U$2:U200),$U$2:$U$1001,0),MATCH(COLUMNS($AB$1006:AK1006),$AB$1006:$AQ$1006,0)), HYPERLINK("#",""), HYPERLINK(CONCATENATE("#Metadata!", ADDRESS(INDEX($W$2:$W$1001,MATCH(ROWS($U$2:U200),$U$2:$U$1001,0),0), INDEX($AB$1004:$AQ$1004,1,MATCH(COLUMNS($AB$1006:AK1006),$AB$1006:$AQ$1006,0)))),"Fix")))</f>
        <v>0</v>
      </c>
      <c r="L200" s="5">
        <f>IF(OR(INDEX($V$2:$V$1001,MATCH(ROWS($U$2:U200),$U$2:$U$1001,0),1)&gt;=100000,INDEX($AB$1005:$AQ$1005,1,MATCH(COLUMNS($AB$1006:AL1006),$AB$1006:$AQ$1006,0))&gt;=100000), " ",IF(INDEX($AB$2:$AQ$1001,MATCH(ROWS($U$2:U200),$U$2:$U$1001,0),MATCH(COLUMNS($AB$1006:AL1006),$AB$1006:$AQ$1006,0)), HYPERLINK("#",""), HYPERLINK(CONCATENATE("#Metadata!", ADDRESS(INDEX($W$2:$W$1001,MATCH(ROWS($U$2:U200),$U$2:$U$1001,0),0), INDEX($AB$1004:$AQ$1004,1,MATCH(COLUMNS($AB$1006:AL1006),$AB$1006:$AQ$1006,0)))),"Fix")))</f>
        <v>0</v>
      </c>
      <c r="M200" s="5">
        <f>IF(OR(INDEX($V$2:$V$1001,MATCH(ROWS($U$2:U200),$U$2:$U$1001,0),1)&gt;=100000,INDEX($AB$1005:$AQ$1005,1,MATCH(COLUMNS($AB$1006:AM1006),$AB$1006:$AQ$1006,0))&gt;=100000), " ",IF(INDEX($AB$2:$AQ$1001,MATCH(ROWS($U$2:U200),$U$2:$U$1001,0),MATCH(COLUMNS($AB$1006:AM1006),$AB$1006:$AQ$1006,0)), HYPERLINK("#",""), HYPERLINK(CONCATENATE("#Metadata!", ADDRESS(INDEX($W$2:$W$1001,MATCH(ROWS($U$2:U200),$U$2:$U$1001,0),0), INDEX($AB$1004:$AQ$1004,1,MATCH(COLUMNS($AB$1006:AM1006),$AB$1006:$AQ$1006,0)))),"Fix")))</f>
        <v>0</v>
      </c>
      <c r="N200" s="5">
        <f>IF(OR(INDEX($V$2:$V$1001,MATCH(ROWS($U$2:U200),$U$2:$U$1001,0),1)&gt;=100000,INDEX($AB$1005:$AQ$1005,1,MATCH(COLUMNS($AB$1006:AN1006),$AB$1006:$AQ$1006,0))&gt;=100000), " ",IF(INDEX($AB$2:$AQ$1001,MATCH(ROWS($U$2:U200),$U$2:$U$1001,0),MATCH(COLUMNS($AB$1006:AN1006),$AB$1006:$AQ$1006,0)), HYPERLINK("#",""), HYPERLINK(CONCATENATE("#Metadata!", ADDRESS(INDEX($W$2:$W$1001,MATCH(ROWS($U$2:U200),$U$2:$U$1001,0),0), INDEX($AB$1004:$AQ$1004,1,MATCH(COLUMNS($AB$1006:AN1006),$AB$1006:$AQ$1006,0)))),"Fix")))</f>
        <v>0</v>
      </c>
      <c r="O200" s="5">
        <f>IF(OR(INDEX($V$2:$V$1001,MATCH(ROWS($U$2:U200),$U$2:$U$1001,0),1)&gt;=100000,INDEX($AB$1005:$AQ$1005,1,MATCH(COLUMNS($AB$1006:AO1006),$AB$1006:$AQ$1006,0))&gt;=100000), " ",IF(INDEX($AB$2:$AQ$1001,MATCH(ROWS($U$2:U200),$U$2:$U$1001,0),MATCH(COLUMNS($AB$1006:AO1006),$AB$1006:$AQ$1006,0)), HYPERLINK("#",""), HYPERLINK(CONCATENATE("#Metadata!", ADDRESS(INDEX($W$2:$W$1001,MATCH(ROWS($U$2:U200),$U$2:$U$1001,0),0), INDEX($AB$1004:$AQ$1004,1,MATCH(COLUMNS($AB$1006:AO1006),$AB$1006:$AQ$1006,0)))),"Fix")))</f>
        <v>0</v>
      </c>
      <c r="P200" s="5">
        <f>IF(OR(INDEX($V$2:$V$1001,MATCH(ROWS($U$2:U200),$U$2:$U$1001,0),1)&gt;=100000,INDEX($AB$1005:$AQ$1005,1,MATCH(COLUMNS($AB$1006:AP1006),$AB$1006:$AQ$1006,0))&gt;=100000), " ",IF(INDEX($AB$2:$AQ$1001,MATCH(ROWS($U$2:U200),$U$2:$U$1001,0),MATCH(COLUMNS($AB$1006:AP1006),$AB$1006:$AQ$1006,0)), HYPERLINK("#",""), HYPERLINK(CONCATENATE("#Metadata!", ADDRESS(INDEX($W$2:$W$1001,MATCH(ROWS($U$2:U200),$U$2:$U$1001,0),0), INDEX($AB$1004:$AQ$1004,1,MATCH(COLUMNS($AB$1006:AP1006),$AB$1006:$AQ$1006,0)))),"Fix")))</f>
        <v>0</v>
      </c>
      <c r="Q200" s="5">
        <f>IF(OR(INDEX($V$2:$V$1001,MATCH(ROWS($U$2:U200),$U$2:$U$1001,0),1)&gt;=100000,INDEX($AB$1005:$AQ$1005,1,MATCH(COLUMNS($AB$1006:AQ1006),$AB$1006:$AQ$1006,0))&gt;=100000), " ",IF(INDEX($AB$2:$AQ$1001,MATCH(ROWS($U$2:U200),$U$2:$U$1001,0),MATCH(COLUMNS($AB$1006:AQ1006),$AB$1006:$AQ$1006,0)), HYPERLINK("#",""), HYPERLINK(CONCATENATE("#Metadata!", ADDRESS(INDEX($W$2:$W$1001,MATCH(ROWS($U$2:U200),$U$2:$U$1001,0),0), INDEX($AB$1004:$AQ$1004,1,MATCH(COLUMNS($AB$1006:AQ1006),$AB$1006:$AQ$1006,0)))),"Fix")))</f>
        <v>0</v>
      </c>
      <c r="U200">
        <v>0</v>
      </c>
      <c r="V200">
        <v>0</v>
      </c>
      <c r="W200">
        <v>0</v>
      </c>
      <c r="X200">
        <f>IF(Y200,TRUE,AND(AB200:AQ200))</f>
        <v>0</v>
      </c>
      <c r="Y200">
        <f>COUNTBLANK(Metadata!B200:Q200)=COLUMNS(Metadata!B200:Q200)</f>
        <v>0</v>
      </c>
      <c r="Z200">
        <v>0</v>
      </c>
      <c r="AB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AC200">
        <f>AND(IF(Metadata!C200="",FALSE,TRUE),exact(Metadata!C200,"urban biome"))</f>
        <v>0</v>
      </c>
      <c r="AD200">
        <f>AND(IF(Metadata!D200="",FALSE,TRUE),exact(Metadata!D200,"human-associated habitat"))</f>
        <v>0</v>
      </c>
      <c r="AE200">
        <f>AND(IF(Metadata!E200="",FALSE,TRUE),OR(exact(Metadata!E200,"human-associated"),exact(Metadata!E200,"human-skin"),exact(Metadata!E200,"human-oral"),exact(Metadata!E200,"human-gut"),exact(Metadata!E200,"human-vaginal")))</f>
        <v>0</v>
      </c>
      <c r="AF200">
        <f>AND(IF(Metadata!F200="",FALSE,ISNUMBER(VALUE(Metadata!F200))),Metadata!F200&gt;0)</f>
        <v>0</v>
      </c>
      <c r="AG200">
        <f>AND(IF(Metadata!G200="",FALSE,TRUE),exact(Metadata!G200,"years"))</f>
        <v>0</v>
      </c>
      <c r="AH200">
        <f>OR(AND(IF(Metadata!H200="",FALSE,TRUE),OR(exact(Metadata!H200,"not applicable"),exact(Metadata!H200,"not collected"),exact(Metadata!H200,"not provided"),exact(Metadata!H200,"restricted access"))),AND(IF(Metadata!H200="",FALSE,ISNUMBER(VALUE(Metadata!H200))),Metadata!H200&gt;0))</f>
        <v>0</v>
      </c>
      <c r="AI200">
        <f>AND(IF(Metadata!I200="",FALSE,TRUE),exact(Metadata!I200,"human"))</f>
        <v>0</v>
      </c>
      <c r="AJ200">
        <f>AND(IF(Metadata!J200="",FALSE,ISNUMBER(VALUE(Metadata!J200))),Metadata!J200&gt;0)</f>
        <v>0</v>
      </c>
      <c r="AK200">
        <f>AND(IF(Metadata!K200="",FALSE,TRUE),exact(Metadata!K200,"cm"))</f>
        <v>0</v>
      </c>
      <c r="AL200">
        <f>AND(IF(Metadata!L200="",FALSE,TRUE),exact(Metadata!L200,"Homo sapiens"))</f>
        <v>0</v>
      </c>
      <c r="AM200">
        <f>AND(IF(Metadata!M200="",FALSE,TRUE),exact(Metadata!M200,"9606"))</f>
        <v>0</v>
      </c>
      <c r="AN200">
        <f>AND(IF(Metadata!N200="",FALSE,ISNUMBER(VALUE(Metadata!N200))),Metadata!N200&gt;0)</f>
        <v>0</v>
      </c>
      <c r="AO200">
        <f>AND(IF(Metadata!O200="",FALSE,TRUE),exact(Metadata!O200,"kg"))</f>
        <v>0</v>
      </c>
      <c r="AP200">
        <f>OR(AND(IF(Metadata!P200="",FALSE,TRUE),exact(Metadata!P200,"not provided")),IF(Metadata!P200="",FALSE,TRUE))</f>
        <v>0</v>
      </c>
      <c r="AQ200">
        <f>OR(AND(IF(Metadata!Q200="",FALSE,TRUE),exact(Metadata!Q200,"not provided")),IF(Metadata!Q200="",FALSE,TRUE))</f>
        <v>0</v>
      </c>
    </row>
    <row r="201" spans="1:43">
      <c r="A201" s="4">
        <f>IF(B201=" "," ",HYPERLINK(CONCATENATE("#metadata!",ADDRESS(INDEX($W$2:$W$1001,MATCH(ROWS($U$2:U201),$U$2:$U$1001,0),0),2)),INDEX($Z$2:$Z$1001,MATCH(ROWS($U$2:U201),$U$2:$U$1001,0),0)))</f>
        <v>0</v>
      </c>
      <c r="B201" s="5">
        <f>IF(OR(INDEX($V$2:$V$1001,MATCH(ROWS($U$2:U201),$U$2:$U$1001,0),1)&gt;=100000,INDEX($AB$1005:$AQ$1005,1,MATCH(COLUMNS($AB$1006:AB1006),$AB$1006:$AQ$1006,0))&gt;=100000), " ",IF(INDEX($AB$2:$AQ$1001,MATCH(ROWS($U$2:U201),$U$2:$U$1001,0),MATCH(COLUMNS($AB$1006:AB1006),$AB$1006:$AQ$1006,0)), HYPERLINK("#",""), HYPERLINK(CONCATENATE("#Metadata!", ADDRESS(INDEX($W$2:$W$1001,MATCH(ROWS($U$2:U201),$U$2:$U$1001,0),0), INDEX($AB$1004:$AQ$1004,1,MATCH(COLUMNS($AB$1006:AB1006),$AB$1006:$AQ$1006,0)))),"Fix")))</f>
        <v>0</v>
      </c>
      <c r="C201" s="5">
        <f>IF(OR(INDEX($V$2:$V$1001,MATCH(ROWS($U$2:U201),$U$2:$U$1001,0),1)&gt;=100000,INDEX($AB$1005:$AQ$1005,1,MATCH(COLUMNS($AB$1006:AC1006),$AB$1006:$AQ$1006,0))&gt;=100000), " ",IF(INDEX($AB$2:$AQ$1001,MATCH(ROWS($U$2:U201),$U$2:$U$1001,0),MATCH(COLUMNS($AB$1006:AC1006),$AB$1006:$AQ$1006,0)), HYPERLINK("#",""), HYPERLINK(CONCATENATE("#Metadata!", ADDRESS(INDEX($W$2:$W$1001,MATCH(ROWS($U$2:U201),$U$2:$U$1001,0),0), INDEX($AB$1004:$AQ$1004,1,MATCH(COLUMNS($AB$1006:AC1006),$AB$1006:$AQ$1006,0)))),"Fix")))</f>
        <v>0</v>
      </c>
      <c r="D201" s="5">
        <f>IF(OR(INDEX($V$2:$V$1001,MATCH(ROWS($U$2:U201),$U$2:$U$1001,0),1)&gt;=100000,INDEX($AB$1005:$AQ$1005,1,MATCH(COLUMNS($AB$1006:AD1006),$AB$1006:$AQ$1006,0))&gt;=100000), " ",IF(INDEX($AB$2:$AQ$1001,MATCH(ROWS($U$2:U201),$U$2:$U$1001,0),MATCH(COLUMNS($AB$1006:AD1006),$AB$1006:$AQ$1006,0)), HYPERLINK("#",""), HYPERLINK(CONCATENATE("#Metadata!", ADDRESS(INDEX($W$2:$W$1001,MATCH(ROWS($U$2:U201),$U$2:$U$1001,0),0), INDEX($AB$1004:$AQ$1004,1,MATCH(COLUMNS($AB$1006:AD1006),$AB$1006:$AQ$1006,0)))),"Fix")))</f>
        <v>0</v>
      </c>
      <c r="E201" s="5">
        <f>IF(OR(INDEX($V$2:$V$1001,MATCH(ROWS($U$2:U201),$U$2:$U$1001,0),1)&gt;=100000,INDEX($AB$1005:$AQ$1005,1,MATCH(COLUMNS($AB$1006:AE1006),$AB$1006:$AQ$1006,0))&gt;=100000), " ",IF(INDEX($AB$2:$AQ$1001,MATCH(ROWS($U$2:U201),$U$2:$U$1001,0),MATCH(COLUMNS($AB$1006:AE1006),$AB$1006:$AQ$1006,0)), HYPERLINK("#",""), HYPERLINK(CONCATENATE("#Metadata!", ADDRESS(INDEX($W$2:$W$1001,MATCH(ROWS($U$2:U201),$U$2:$U$1001,0),0), INDEX($AB$1004:$AQ$1004,1,MATCH(COLUMNS($AB$1006:AE1006),$AB$1006:$AQ$1006,0)))),"Fix")))</f>
        <v>0</v>
      </c>
      <c r="F201" s="5">
        <f>IF(OR(INDEX($V$2:$V$1001,MATCH(ROWS($U$2:U201),$U$2:$U$1001,0),1)&gt;=100000,INDEX($AB$1005:$AQ$1005,1,MATCH(COLUMNS($AB$1006:AF1006),$AB$1006:$AQ$1006,0))&gt;=100000), " ",IF(INDEX($AB$2:$AQ$1001,MATCH(ROWS($U$2:U201),$U$2:$U$1001,0),MATCH(COLUMNS($AB$1006:AF1006),$AB$1006:$AQ$1006,0)), HYPERLINK("#",""), HYPERLINK(CONCATENATE("#Metadata!", ADDRESS(INDEX($W$2:$W$1001,MATCH(ROWS($U$2:U201),$U$2:$U$1001,0),0), INDEX($AB$1004:$AQ$1004,1,MATCH(COLUMNS($AB$1006:AF1006),$AB$1006:$AQ$1006,0)))),"Fix")))</f>
        <v>0</v>
      </c>
      <c r="G201" s="5">
        <f>IF(OR(INDEX($V$2:$V$1001,MATCH(ROWS($U$2:U201),$U$2:$U$1001,0),1)&gt;=100000,INDEX($AB$1005:$AQ$1005,1,MATCH(COLUMNS($AB$1006:AG1006),$AB$1006:$AQ$1006,0))&gt;=100000), " ",IF(INDEX($AB$2:$AQ$1001,MATCH(ROWS($U$2:U201),$U$2:$U$1001,0),MATCH(COLUMNS($AB$1006:AG1006),$AB$1006:$AQ$1006,0)), HYPERLINK("#",""), HYPERLINK(CONCATENATE("#Metadata!", ADDRESS(INDEX($W$2:$W$1001,MATCH(ROWS($U$2:U201),$U$2:$U$1001,0),0), INDEX($AB$1004:$AQ$1004,1,MATCH(COLUMNS($AB$1006:AG1006),$AB$1006:$AQ$1006,0)))),"Fix")))</f>
        <v>0</v>
      </c>
      <c r="H201" s="5">
        <f>IF(OR(INDEX($V$2:$V$1001,MATCH(ROWS($U$2:U201),$U$2:$U$1001,0),1)&gt;=100000,INDEX($AB$1005:$AQ$1005,1,MATCH(COLUMNS($AB$1006:AH1006),$AB$1006:$AQ$1006,0))&gt;=100000), " ",IF(INDEX($AB$2:$AQ$1001,MATCH(ROWS($U$2:U201),$U$2:$U$1001,0),MATCH(COLUMNS($AB$1006:AH1006),$AB$1006:$AQ$1006,0)), HYPERLINK("#",""), HYPERLINK(CONCATENATE("#Metadata!", ADDRESS(INDEX($W$2:$W$1001,MATCH(ROWS($U$2:U201),$U$2:$U$1001,0),0), INDEX($AB$1004:$AQ$1004,1,MATCH(COLUMNS($AB$1006:AH1006),$AB$1006:$AQ$1006,0)))),"Fix")))</f>
        <v>0</v>
      </c>
      <c r="I201" s="5">
        <f>IF(OR(INDEX($V$2:$V$1001,MATCH(ROWS($U$2:U201),$U$2:$U$1001,0),1)&gt;=100000,INDEX($AB$1005:$AQ$1005,1,MATCH(COLUMNS($AB$1006:AI1006),$AB$1006:$AQ$1006,0))&gt;=100000), " ",IF(INDEX($AB$2:$AQ$1001,MATCH(ROWS($U$2:U201),$U$2:$U$1001,0),MATCH(COLUMNS($AB$1006:AI1006),$AB$1006:$AQ$1006,0)), HYPERLINK("#",""), HYPERLINK(CONCATENATE("#Metadata!", ADDRESS(INDEX($W$2:$W$1001,MATCH(ROWS($U$2:U201),$U$2:$U$1001,0),0), INDEX($AB$1004:$AQ$1004,1,MATCH(COLUMNS($AB$1006:AI1006),$AB$1006:$AQ$1006,0)))),"Fix")))</f>
        <v>0</v>
      </c>
      <c r="J201" s="5">
        <f>IF(OR(INDEX($V$2:$V$1001,MATCH(ROWS($U$2:U201),$U$2:$U$1001,0),1)&gt;=100000,INDEX($AB$1005:$AQ$1005,1,MATCH(COLUMNS($AB$1006:AJ1006),$AB$1006:$AQ$1006,0))&gt;=100000), " ",IF(INDEX($AB$2:$AQ$1001,MATCH(ROWS($U$2:U201),$U$2:$U$1001,0),MATCH(COLUMNS($AB$1006:AJ1006),$AB$1006:$AQ$1006,0)), HYPERLINK("#",""), HYPERLINK(CONCATENATE("#Metadata!", ADDRESS(INDEX($W$2:$W$1001,MATCH(ROWS($U$2:U201),$U$2:$U$1001,0),0), INDEX($AB$1004:$AQ$1004,1,MATCH(COLUMNS($AB$1006:AJ1006),$AB$1006:$AQ$1006,0)))),"Fix")))</f>
        <v>0</v>
      </c>
      <c r="K201" s="5">
        <f>IF(OR(INDEX($V$2:$V$1001,MATCH(ROWS($U$2:U201),$U$2:$U$1001,0),1)&gt;=100000,INDEX($AB$1005:$AQ$1005,1,MATCH(COLUMNS($AB$1006:AK1006),$AB$1006:$AQ$1006,0))&gt;=100000), " ",IF(INDEX($AB$2:$AQ$1001,MATCH(ROWS($U$2:U201),$U$2:$U$1001,0),MATCH(COLUMNS($AB$1006:AK1006),$AB$1006:$AQ$1006,0)), HYPERLINK("#",""), HYPERLINK(CONCATENATE("#Metadata!", ADDRESS(INDEX($W$2:$W$1001,MATCH(ROWS($U$2:U201),$U$2:$U$1001,0),0), INDEX($AB$1004:$AQ$1004,1,MATCH(COLUMNS($AB$1006:AK1006),$AB$1006:$AQ$1006,0)))),"Fix")))</f>
        <v>0</v>
      </c>
      <c r="L201" s="5">
        <f>IF(OR(INDEX($V$2:$V$1001,MATCH(ROWS($U$2:U201),$U$2:$U$1001,0),1)&gt;=100000,INDEX($AB$1005:$AQ$1005,1,MATCH(COLUMNS($AB$1006:AL1006),$AB$1006:$AQ$1006,0))&gt;=100000), " ",IF(INDEX($AB$2:$AQ$1001,MATCH(ROWS($U$2:U201),$U$2:$U$1001,0),MATCH(COLUMNS($AB$1006:AL1006),$AB$1006:$AQ$1006,0)), HYPERLINK("#",""), HYPERLINK(CONCATENATE("#Metadata!", ADDRESS(INDEX($W$2:$W$1001,MATCH(ROWS($U$2:U201),$U$2:$U$1001,0),0), INDEX($AB$1004:$AQ$1004,1,MATCH(COLUMNS($AB$1006:AL1006),$AB$1006:$AQ$1006,0)))),"Fix")))</f>
        <v>0</v>
      </c>
      <c r="M201" s="5">
        <f>IF(OR(INDEX($V$2:$V$1001,MATCH(ROWS($U$2:U201),$U$2:$U$1001,0),1)&gt;=100000,INDEX($AB$1005:$AQ$1005,1,MATCH(COLUMNS($AB$1006:AM1006),$AB$1006:$AQ$1006,0))&gt;=100000), " ",IF(INDEX($AB$2:$AQ$1001,MATCH(ROWS($U$2:U201),$U$2:$U$1001,0),MATCH(COLUMNS($AB$1006:AM1006),$AB$1006:$AQ$1006,0)), HYPERLINK("#",""), HYPERLINK(CONCATENATE("#Metadata!", ADDRESS(INDEX($W$2:$W$1001,MATCH(ROWS($U$2:U201),$U$2:$U$1001,0),0), INDEX($AB$1004:$AQ$1004,1,MATCH(COLUMNS($AB$1006:AM1006),$AB$1006:$AQ$1006,0)))),"Fix")))</f>
        <v>0</v>
      </c>
      <c r="N201" s="5">
        <f>IF(OR(INDEX($V$2:$V$1001,MATCH(ROWS($U$2:U201),$U$2:$U$1001,0),1)&gt;=100000,INDEX($AB$1005:$AQ$1005,1,MATCH(COLUMNS($AB$1006:AN1006),$AB$1006:$AQ$1006,0))&gt;=100000), " ",IF(INDEX($AB$2:$AQ$1001,MATCH(ROWS($U$2:U201),$U$2:$U$1001,0),MATCH(COLUMNS($AB$1006:AN1006),$AB$1006:$AQ$1006,0)), HYPERLINK("#",""), HYPERLINK(CONCATENATE("#Metadata!", ADDRESS(INDEX($W$2:$W$1001,MATCH(ROWS($U$2:U201),$U$2:$U$1001,0),0), INDEX($AB$1004:$AQ$1004,1,MATCH(COLUMNS($AB$1006:AN1006),$AB$1006:$AQ$1006,0)))),"Fix")))</f>
        <v>0</v>
      </c>
      <c r="O201" s="5">
        <f>IF(OR(INDEX($V$2:$V$1001,MATCH(ROWS($U$2:U201),$U$2:$U$1001,0),1)&gt;=100000,INDEX($AB$1005:$AQ$1005,1,MATCH(COLUMNS($AB$1006:AO1006),$AB$1006:$AQ$1006,0))&gt;=100000), " ",IF(INDEX($AB$2:$AQ$1001,MATCH(ROWS($U$2:U201),$U$2:$U$1001,0),MATCH(COLUMNS($AB$1006:AO1006),$AB$1006:$AQ$1006,0)), HYPERLINK("#",""), HYPERLINK(CONCATENATE("#Metadata!", ADDRESS(INDEX($W$2:$W$1001,MATCH(ROWS($U$2:U201),$U$2:$U$1001,0),0), INDEX($AB$1004:$AQ$1004,1,MATCH(COLUMNS($AB$1006:AO1006),$AB$1006:$AQ$1006,0)))),"Fix")))</f>
        <v>0</v>
      </c>
      <c r="P201" s="5">
        <f>IF(OR(INDEX($V$2:$V$1001,MATCH(ROWS($U$2:U201),$U$2:$U$1001,0),1)&gt;=100000,INDEX($AB$1005:$AQ$1005,1,MATCH(COLUMNS($AB$1006:AP1006),$AB$1006:$AQ$1006,0))&gt;=100000), " ",IF(INDEX($AB$2:$AQ$1001,MATCH(ROWS($U$2:U201),$U$2:$U$1001,0),MATCH(COLUMNS($AB$1006:AP1006),$AB$1006:$AQ$1006,0)), HYPERLINK("#",""), HYPERLINK(CONCATENATE("#Metadata!", ADDRESS(INDEX($W$2:$W$1001,MATCH(ROWS($U$2:U201),$U$2:$U$1001,0),0), INDEX($AB$1004:$AQ$1004,1,MATCH(COLUMNS($AB$1006:AP1006),$AB$1006:$AQ$1006,0)))),"Fix")))</f>
        <v>0</v>
      </c>
      <c r="Q201" s="5">
        <f>IF(OR(INDEX($V$2:$V$1001,MATCH(ROWS($U$2:U201),$U$2:$U$1001,0),1)&gt;=100000,INDEX($AB$1005:$AQ$1005,1,MATCH(COLUMNS($AB$1006:AQ1006),$AB$1006:$AQ$1006,0))&gt;=100000), " ",IF(INDEX($AB$2:$AQ$1001,MATCH(ROWS($U$2:U201),$U$2:$U$1001,0),MATCH(COLUMNS($AB$1006:AQ1006),$AB$1006:$AQ$1006,0)), HYPERLINK("#",""), HYPERLINK(CONCATENATE("#Metadata!", ADDRESS(INDEX($W$2:$W$1001,MATCH(ROWS($U$2:U201),$U$2:$U$1001,0),0), INDEX($AB$1004:$AQ$1004,1,MATCH(COLUMNS($AB$1006:AQ1006),$AB$1006:$AQ$1006,0)))),"Fix")))</f>
        <v>0</v>
      </c>
      <c r="U201">
        <v>0</v>
      </c>
      <c r="V201">
        <v>0</v>
      </c>
      <c r="W201">
        <v>0</v>
      </c>
      <c r="X201">
        <f>IF(Y201,TRUE,AND(AB201:AQ201))</f>
        <v>0</v>
      </c>
      <c r="Y201">
        <f>COUNTBLANK(Metadata!B201:Q201)=COLUMNS(Metadata!B201:Q201)</f>
        <v>0</v>
      </c>
      <c r="Z201">
        <v>0</v>
      </c>
      <c r="AB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AC201">
        <f>AND(IF(Metadata!C201="",FALSE,TRUE),exact(Metadata!C201,"urban biome"))</f>
        <v>0</v>
      </c>
      <c r="AD201">
        <f>AND(IF(Metadata!D201="",FALSE,TRUE),exact(Metadata!D201,"human-associated habitat"))</f>
        <v>0</v>
      </c>
      <c r="AE201">
        <f>AND(IF(Metadata!E201="",FALSE,TRUE),OR(exact(Metadata!E201,"human-associated"),exact(Metadata!E201,"human-skin"),exact(Metadata!E201,"human-oral"),exact(Metadata!E201,"human-gut"),exact(Metadata!E201,"human-vaginal")))</f>
        <v>0</v>
      </c>
      <c r="AF201">
        <f>AND(IF(Metadata!F201="",FALSE,ISNUMBER(VALUE(Metadata!F201))),Metadata!F201&gt;0)</f>
        <v>0</v>
      </c>
      <c r="AG201">
        <f>AND(IF(Metadata!G201="",FALSE,TRUE),exact(Metadata!G201,"years"))</f>
        <v>0</v>
      </c>
      <c r="AH201">
        <f>OR(AND(IF(Metadata!H201="",FALSE,TRUE),OR(exact(Metadata!H201,"not applicable"),exact(Metadata!H201,"not collected"),exact(Metadata!H201,"not provided"),exact(Metadata!H201,"restricted access"))),AND(IF(Metadata!H201="",FALSE,ISNUMBER(VALUE(Metadata!H201))),Metadata!H201&gt;0))</f>
        <v>0</v>
      </c>
      <c r="AI201">
        <f>AND(IF(Metadata!I201="",FALSE,TRUE),exact(Metadata!I201,"human"))</f>
        <v>0</v>
      </c>
      <c r="AJ201">
        <f>AND(IF(Metadata!J201="",FALSE,ISNUMBER(VALUE(Metadata!J201))),Metadata!J201&gt;0)</f>
        <v>0</v>
      </c>
      <c r="AK201">
        <f>AND(IF(Metadata!K201="",FALSE,TRUE),exact(Metadata!K201,"cm"))</f>
        <v>0</v>
      </c>
      <c r="AL201">
        <f>AND(IF(Metadata!L201="",FALSE,TRUE),exact(Metadata!L201,"Homo sapiens"))</f>
        <v>0</v>
      </c>
      <c r="AM201">
        <f>AND(IF(Metadata!M201="",FALSE,TRUE),exact(Metadata!M201,"9606"))</f>
        <v>0</v>
      </c>
      <c r="AN201">
        <f>AND(IF(Metadata!N201="",FALSE,ISNUMBER(VALUE(Metadata!N201))),Metadata!N201&gt;0)</f>
        <v>0</v>
      </c>
      <c r="AO201">
        <f>AND(IF(Metadata!O201="",FALSE,TRUE),exact(Metadata!O201,"kg"))</f>
        <v>0</v>
      </c>
      <c r="AP201">
        <f>OR(AND(IF(Metadata!P201="",FALSE,TRUE),exact(Metadata!P201,"not provided")),IF(Metadata!P201="",FALSE,TRUE))</f>
        <v>0</v>
      </c>
      <c r="AQ201">
        <f>OR(AND(IF(Metadata!Q201="",FALSE,TRUE),exact(Metadata!Q201,"not provided")),IF(Metadata!Q201="",FALSE,TRUE))</f>
        <v>0</v>
      </c>
    </row>
    <row r="202" spans="1:43">
      <c r="A202" s="4">
        <f>IF(B202=" "," ",HYPERLINK(CONCATENATE("#metadata!",ADDRESS(INDEX($W$2:$W$1001,MATCH(ROWS($U$2:U202),$U$2:$U$1001,0),0),2)),INDEX($Z$2:$Z$1001,MATCH(ROWS($U$2:U202),$U$2:$U$1001,0),0)))</f>
        <v>0</v>
      </c>
      <c r="B202" s="5">
        <f>IF(OR(INDEX($V$2:$V$1001,MATCH(ROWS($U$2:U202),$U$2:$U$1001,0),1)&gt;=100000,INDEX($AB$1005:$AQ$1005,1,MATCH(COLUMNS($AB$1006:AB1006),$AB$1006:$AQ$1006,0))&gt;=100000), " ",IF(INDEX($AB$2:$AQ$1001,MATCH(ROWS($U$2:U202),$U$2:$U$1001,0),MATCH(COLUMNS($AB$1006:AB1006),$AB$1006:$AQ$1006,0)), HYPERLINK("#",""), HYPERLINK(CONCATENATE("#Metadata!", ADDRESS(INDEX($W$2:$W$1001,MATCH(ROWS($U$2:U202),$U$2:$U$1001,0),0), INDEX($AB$1004:$AQ$1004,1,MATCH(COLUMNS($AB$1006:AB1006),$AB$1006:$AQ$1006,0)))),"Fix")))</f>
        <v>0</v>
      </c>
      <c r="C202" s="5">
        <f>IF(OR(INDEX($V$2:$V$1001,MATCH(ROWS($U$2:U202),$U$2:$U$1001,0),1)&gt;=100000,INDEX($AB$1005:$AQ$1005,1,MATCH(COLUMNS($AB$1006:AC1006),$AB$1006:$AQ$1006,0))&gt;=100000), " ",IF(INDEX($AB$2:$AQ$1001,MATCH(ROWS($U$2:U202),$U$2:$U$1001,0),MATCH(COLUMNS($AB$1006:AC1006),$AB$1006:$AQ$1006,0)), HYPERLINK("#",""), HYPERLINK(CONCATENATE("#Metadata!", ADDRESS(INDEX($W$2:$W$1001,MATCH(ROWS($U$2:U202),$U$2:$U$1001,0),0), INDEX($AB$1004:$AQ$1004,1,MATCH(COLUMNS($AB$1006:AC1006),$AB$1006:$AQ$1006,0)))),"Fix")))</f>
        <v>0</v>
      </c>
      <c r="D202" s="5">
        <f>IF(OR(INDEX($V$2:$V$1001,MATCH(ROWS($U$2:U202),$U$2:$U$1001,0),1)&gt;=100000,INDEX($AB$1005:$AQ$1005,1,MATCH(COLUMNS($AB$1006:AD1006),$AB$1006:$AQ$1006,0))&gt;=100000), " ",IF(INDEX($AB$2:$AQ$1001,MATCH(ROWS($U$2:U202),$U$2:$U$1001,0),MATCH(COLUMNS($AB$1006:AD1006),$AB$1006:$AQ$1006,0)), HYPERLINK("#",""), HYPERLINK(CONCATENATE("#Metadata!", ADDRESS(INDEX($W$2:$W$1001,MATCH(ROWS($U$2:U202),$U$2:$U$1001,0),0), INDEX($AB$1004:$AQ$1004,1,MATCH(COLUMNS($AB$1006:AD1006),$AB$1006:$AQ$1006,0)))),"Fix")))</f>
        <v>0</v>
      </c>
      <c r="E202" s="5">
        <f>IF(OR(INDEX($V$2:$V$1001,MATCH(ROWS($U$2:U202),$U$2:$U$1001,0),1)&gt;=100000,INDEX($AB$1005:$AQ$1005,1,MATCH(COLUMNS($AB$1006:AE1006),$AB$1006:$AQ$1006,0))&gt;=100000), " ",IF(INDEX($AB$2:$AQ$1001,MATCH(ROWS($U$2:U202),$U$2:$U$1001,0),MATCH(COLUMNS($AB$1006:AE1006),$AB$1006:$AQ$1006,0)), HYPERLINK("#",""), HYPERLINK(CONCATENATE("#Metadata!", ADDRESS(INDEX($W$2:$W$1001,MATCH(ROWS($U$2:U202),$U$2:$U$1001,0),0), INDEX($AB$1004:$AQ$1004,1,MATCH(COLUMNS($AB$1006:AE1006),$AB$1006:$AQ$1006,0)))),"Fix")))</f>
        <v>0</v>
      </c>
      <c r="F202" s="5">
        <f>IF(OR(INDEX($V$2:$V$1001,MATCH(ROWS($U$2:U202),$U$2:$U$1001,0),1)&gt;=100000,INDEX($AB$1005:$AQ$1005,1,MATCH(COLUMNS($AB$1006:AF1006),$AB$1006:$AQ$1006,0))&gt;=100000), " ",IF(INDEX($AB$2:$AQ$1001,MATCH(ROWS($U$2:U202),$U$2:$U$1001,0),MATCH(COLUMNS($AB$1006:AF1006),$AB$1006:$AQ$1006,0)), HYPERLINK("#",""), HYPERLINK(CONCATENATE("#Metadata!", ADDRESS(INDEX($W$2:$W$1001,MATCH(ROWS($U$2:U202),$U$2:$U$1001,0),0), INDEX($AB$1004:$AQ$1004,1,MATCH(COLUMNS($AB$1006:AF1006),$AB$1006:$AQ$1006,0)))),"Fix")))</f>
        <v>0</v>
      </c>
      <c r="G202" s="5">
        <f>IF(OR(INDEX($V$2:$V$1001,MATCH(ROWS($U$2:U202),$U$2:$U$1001,0),1)&gt;=100000,INDEX($AB$1005:$AQ$1005,1,MATCH(COLUMNS($AB$1006:AG1006),$AB$1006:$AQ$1006,0))&gt;=100000), " ",IF(INDEX($AB$2:$AQ$1001,MATCH(ROWS($U$2:U202),$U$2:$U$1001,0),MATCH(COLUMNS($AB$1006:AG1006),$AB$1006:$AQ$1006,0)), HYPERLINK("#",""), HYPERLINK(CONCATENATE("#Metadata!", ADDRESS(INDEX($W$2:$W$1001,MATCH(ROWS($U$2:U202),$U$2:$U$1001,0),0), INDEX($AB$1004:$AQ$1004,1,MATCH(COLUMNS($AB$1006:AG1006),$AB$1006:$AQ$1006,0)))),"Fix")))</f>
        <v>0</v>
      </c>
      <c r="H202" s="5">
        <f>IF(OR(INDEX($V$2:$V$1001,MATCH(ROWS($U$2:U202),$U$2:$U$1001,0),1)&gt;=100000,INDEX($AB$1005:$AQ$1005,1,MATCH(COLUMNS($AB$1006:AH1006),$AB$1006:$AQ$1006,0))&gt;=100000), " ",IF(INDEX($AB$2:$AQ$1001,MATCH(ROWS($U$2:U202),$U$2:$U$1001,0),MATCH(COLUMNS($AB$1006:AH1006),$AB$1006:$AQ$1006,0)), HYPERLINK("#",""), HYPERLINK(CONCATENATE("#Metadata!", ADDRESS(INDEX($W$2:$W$1001,MATCH(ROWS($U$2:U202),$U$2:$U$1001,0),0), INDEX($AB$1004:$AQ$1004,1,MATCH(COLUMNS($AB$1006:AH1006),$AB$1006:$AQ$1006,0)))),"Fix")))</f>
        <v>0</v>
      </c>
      <c r="I202" s="5">
        <f>IF(OR(INDEX($V$2:$V$1001,MATCH(ROWS($U$2:U202),$U$2:$U$1001,0),1)&gt;=100000,INDEX($AB$1005:$AQ$1005,1,MATCH(COLUMNS($AB$1006:AI1006),$AB$1006:$AQ$1006,0))&gt;=100000), " ",IF(INDEX($AB$2:$AQ$1001,MATCH(ROWS($U$2:U202),$U$2:$U$1001,0),MATCH(COLUMNS($AB$1006:AI1006),$AB$1006:$AQ$1006,0)), HYPERLINK("#",""), HYPERLINK(CONCATENATE("#Metadata!", ADDRESS(INDEX($W$2:$W$1001,MATCH(ROWS($U$2:U202),$U$2:$U$1001,0),0), INDEX($AB$1004:$AQ$1004,1,MATCH(COLUMNS($AB$1006:AI1006),$AB$1006:$AQ$1006,0)))),"Fix")))</f>
        <v>0</v>
      </c>
      <c r="J202" s="5">
        <f>IF(OR(INDEX($V$2:$V$1001,MATCH(ROWS($U$2:U202),$U$2:$U$1001,0),1)&gt;=100000,INDEX($AB$1005:$AQ$1005,1,MATCH(COLUMNS($AB$1006:AJ1006),$AB$1006:$AQ$1006,0))&gt;=100000), " ",IF(INDEX($AB$2:$AQ$1001,MATCH(ROWS($U$2:U202),$U$2:$U$1001,0),MATCH(COLUMNS($AB$1006:AJ1006),$AB$1006:$AQ$1006,0)), HYPERLINK("#",""), HYPERLINK(CONCATENATE("#Metadata!", ADDRESS(INDEX($W$2:$W$1001,MATCH(ROWS($U$2:U202),$U$2:$U$1001,0),0), INDEX($AB$1004:$AQ$1004,1,MATCH(COLUMNS($AB$1006:AJ1006),$AB$1006:$AQ$1006,0)))),"Fix")))</f>
        <v>0</v>
      </c>
      <c r="K202" s="5">
        <f>IF(OR(INDEX($V$2:$V$1001,MATCH(ROWS($U$2:U202),$U$2:$U$1001,0),1)&gt;=100000,INDEX($AB$1005:$AQ$1005,1,MATCH(COLUMNS($AB$1006:AK1006),$AB$1006:$AQ$1006,0))&gt;=100000), " ",IF(INDEX($AB$2:$AQ$1001,MATCH(ROWS($U$2:U202),$U$2:$U$1001,0),MATCH(COLUMNS($AB$1006:AK1006),$AB$1006:$AQ$1006,0)), HYPERLINK("#",""), HYPERLINK(CONCATENATE("#Metadata!", ADDRESS(INDEX($W$2:$W$1001,MATCH(ROWS($U$2:U202),$U$2:$U$1001,0),0), INDEX($AB$1004:$AQ$1004,1,MATCH(COLUMNS($AB$1006:AK1006),$AB$1006:$AQ$1006,0)))),"Fix")))</f>
        <v>0</v>
      </c>
      <c r="L202" s="5">
        <f>IF(OR(INDEX($V$2:$V$1001,MATCH(ROWS($U$2:U202),$U$2:$U$1001,0),1)&gt;=100000,INDEX($AB$1005:$AQ$1005,1,MATCH(COLUMNS($AB$1006:AL1006),$AB$1006:$AQ$1006,0))&gt;=100000), " ",IF(INDEX($AB$2:$AQ$1001,MATCH(ROWS($U$2:U202),$U$2:$U$1001,0),MATCH(COLUMNS($AB$1006:AL1006),$AB$1006:$AQ$1006,0)), HYPERLINK("#",""), HYPERLINK(CONCATENATE("#Metadata!", ADDRESS(INDEX($W$2:$W$1001,MATCH(ROWS($U$2:U202),$U$2:$U$1001,0),0), INDEX($AB$1004:$AQ$1004,1,MATCH(COLUMNS($AB$1006:AL1006),$AB$1006:$AQ$1006,0)))),"Fix")))</f>
        <v>0</v>
      </c>
      <c r="M202" s="5">
        <f>IF(OR(INDEX($V$2:$V$1001,MATCH(ROWS($U$2:U202),$U$2:$U$1001,0),1)&gt;=100000,INDEX($AB$1005:$AQ$1005,1,MATCH(COLUMNS($AB$1006:AM1006),$AB$1006:$AQ$1006,0))&gt;=100000), " ",IF(INDEX($AB$2:$AQ$1001,MATCH(ROWS($U$2:U202),$U$2:$U$1001,0),MATCH(COLUMNS($AB$1006:AM1006),$AB$1006:$AQ$1006,0)), HYPERLINK("#",""), HYPERLINK(CONCATENATE("#Metadata!", ADDRESS(INDEX($W$2:$W$1001,MATCH(ROWS($U$2:U202),$U$2:$U$1001,0),0), INDEX($AB$1004:$AQ$1004,1,MATCH(COLUMNS($AB$1006:AM1006),$AB$1006:$AQ$1006,0)))),"Fix")))</f>
        <v>0</v>
      </c>
      <c r="N202" s="5">
        <f>IF(OR(INDEX($V$2:$V$1001,MATCH(ROWS($U$2:U202),$U$2:$U$1001,0),1)&gt;=100000,INDEX($AB$1005:$AQ$1005,1,MATCH(COLUMNS($AB$1006:AN1006),$AB$1006:$AQ$1006,0))&gt;=100000), " ",IF(INDEX($AB$2:$AQ$1001,MATCH(ROWS($U$2:U202),$U$2:$U$1001,0),MATCH(COLUMNS($AB$1006:AN1006),$AB$1006:$AQ$1006,0)), HYPERLINK("#",""), HYPERLINK(CONCATENATE("#Metadata!", ADDRESS(INDEX($W$2:$W$1001,MATCH(ROWS($U$2:U202),$U$2:$U$1001,0),0), INDEX($AB$1004:$AQ$1004,1,MATCH(COLUMNS($AB$1006:AN1006),$AB$1006:$AQ$1006,0)))),"Fix")))</f>
        <v>0</v>
      </c>
      <c r="O202" s="5">
        <f>IF(OR(INDEX($V$2:$V$1001,MATCH(ROWS($U$2:U202),$U$2:$U$1001,0),1)&gt;=100000,INDEX($AB$1005:$AQ$1005,1,MATCH(COLUMNS($AB$1006:AO1006),$AB$1006:$AQ$1006,0))&gt;=100000), " ",IF(INDEX($AB$2:$AQ$1001,MATCH(ROWS($U$2:U202),$U$2:$U$1001,0),MATCH(COLUMNS($AB$1006:AO1006),$AB$1006:$AQ$1006,0)), HYPERLINK("#",""), HYPERLINK(CONCATENATE("#Metadata!", ADDRESS(INDEX($W$2:$W$1001,MATCH(ROWS($U$2:U202),$U$2:$U$1001,0),0), INDEX($AB$1004:$AQ$1004,1,MATCH(COLUMNS($AB$1006:AO1006),$AB$1006:$AQ$1006,0)))),"Fix")))</f>
        <v>0</v>
      </c>
      <c r="P202" s="5">
        <f>IF(OR(INDEX($V$2:$V$1001,MATCH(ROWS($U$2:U202),$U$2:$U$1001,0),1)&gt;=100000,INDEX($AB$1005:$AQ$1005,1,MATCH(COLUMNS($AB$1006:AP1006),$AB$1006:$AQ$1006,0))&gt;=100000), " ",IF(INDEX($AB$2:$AQ$1001,MATCH(ROWS($U$2:U202),$U$2:$U$1001,0),MATCH(COLUMNS($AB$1006:AP1006),$AB$1006:$AQ$1006,0)), HYPERLINK("#",""), HYPERLINK(CONCATENATE("#Metadata!", ADDRESS(INDEX($W$2:$W$1001,MATCH(ROWS($U$2:U202),$U$2:$U$1001,0),0), INDEX($AB$1004:$AQ$1004,1,MATCH(COLUMNS($AB$1006:AP1006),$AB$1006:$AQ$1006,0)))),"Fix")))</f>
        <v>0</v>
      </c>
      <c r="Q202" s="5">
        <f>IF(OR(INDEX($V$2:$V$1001,MATCH(ROWS($U$2:U202),$U$2:$U$1001,0),1)&gt;=100000,INDEX($AB$1005:$AQ$1005,1,MATCH(COLUMNS($AB$1006:AQ1006),$AB$1006:$AQ$1006,0))&gt;=100000), " ",IF(INDEX($AB$2:$AQ$1001,MATCH(ROWS($U$2:U202),$U$2:$U$1001,0),MATCH(COLUMNS($AB$1006:AQ1006),$AB$1006:$AQ$1006,0)), HYPERLINK("#",""), HYPERLINK(CONCATENATE("#Metadata!", ADDRESS(INDEX($W$2:$W$1001,MATCH(ROWS($U$2:U202),$U$2:$U$1001,0),0), INDEX($AB$1004:$AQ$1004,1,MATCH(COLUMNS($AB$1006:AQ1006),$AB$1006:$AQ$1006,0)))),"Fix")))</f>
        <v>0</v>
      </c>
      <c r="U202">
        <v>0</v>
      </c>
      <c r="V202">
        <v>0</v>
      </c>
      <c r="W202">
        <v>0</v>
      </c>
      <c r="X202">
        <f>IF(Y202,TRUE,AND(AB202:AQ202))</f>
        <v>0</v>
      </c>
      <c r="Y202">
        <f>COUNTBLANK(Metadata!B202:Q202)=COLUMNS(Metadata!B202:Q202)</f>
        <v>0</v>
      </c>
      <c r="Z202">
        <v>0</v>
      </c>
      <c r="AB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AC202">
        <f>AND(IF(Metadata!C202="",FALSE,TRUE),exact(Metadata!C202,"urban biome"))</f>
        <v>0</v>
      </c>
      <c r="AD202">
        <f>AND(IF(Metadata!D202="",FALSE,TRUE),exact(Metadata!D202,"human-associated habitat"))</f>
        <v>0</v>
      </c>
      <c r="AE202">
        <f>AND(IF(Metadata!E202="",FALSE,TRUE),OR(exact(Metadata!E202,"human-associated"),exact(Metadata!E202,"human-skin"),exact(Metadata!E202,"human-oral"),exact(Metadata!E202,"human-gut"),exact(Metadata!E202,"human-vaginal")))</f>
        <v>0</v>
      </c>
      <c r="AF202">
        <f>AND(IF(Metadata!F202="",FALSE,ISNUMBER(VALUE(Metadata!F202))),Metadata!F202&gt;0)</f>
        <v>0</v>
      </c>
      <c r="AG202">
        <f>AND(IF(Metadata!G202="",FALSE,TRUE),exact(Metadata!G202,"years"))</f>
        <v>0</v>
      </c>
      <c r="AH202">
        <f>OR(AND(IF(Metadata!H202="",FALSE,TRUE),OR(exact(Metadata!H202,"not applicable"),exact(Metadata!H202,"not collected"),exact(Metadata!H202,"not provided"),exact(Metadata!H202,"restricted access"))),AND(IF(Metadata!H202="",FALSE,ISNUMBER(VALUE(Metadata!H202))),Metadata!H202&gt;0))</f>
        <v>0</v>
      </c>
      <c r="AI202">
        <f>AND(IF(Metadata!I202="",FALSE,TRUE),exact(Metadata!I202,"human"))</f>
        <v>0</v>
      </c>
      <c r="AJ202">
        <f>AND(IF(Metadata!J202="",FALSE,ISNUMBER(VALUE(Metadata!J202))),Metadata!J202&gt;0)</f>
        <v>0</v>
      </c>
      <c r="AK202">
        <f>AND(IF(Metadata!K202="",FALSE,TRUE),exact(Metadata!K202,"cm"))</f>
        <v>0</v>
      </c>
      <c r="AL202">
        <f>AND(IF(Metadata!L202="",FALSE,TRUE),exact(Metadata!L202,"Homo sapiens"))</f>
        <v>0</v>
      </c>
      <c r="AM202">
        <f>AND(IF(Metadata!M202="",FALSE,TRUE),exact(Metadata!M202,"9606"))</f>
        <v>0</v>
      </c>
      <c r="AN202">
        <f>AND(IF(Metadata!N202="",FALSE,ISNUMBER(VALUE(Metadata!N202))),Metadata!N202&gt;0)</f>
        <v>0</v>
      </c>
      <c r="AO202">
        <f>AND(IF(Metadata!O202="",FALSE,TRUE),exact(Metadata!O202,"kg"))</f>
        <v>0</v>
      </c>
      <c r="AP202">
        <f>OR(AND(IF(Metadata!P202="",FALSE,TRUE),exact(Metadata!P202,"not provided")),IF(Metadata!P202="",FALSE,TRUE))</f>
        <v>0</v>
      </c>
      <c r="AQ202">
        <f>OR(AND(IF(Metadata!Q202="",FALSE,TRUE),exact(Metadata!Q202,"not provided")),IF(Metadata!Q202="",FALSE,TRUE))</f>
        <v>0</v>
      </c>
    </row>
    <row r="203" spans="1:43">
      <c r="A203" s="4">
        <f>IF(B203=" "," ",HYPERLINK(CONCATENATE("#metadata!",ADDRESS(INDEX($W$2:$W$1001,MATCH(ROWS($U$2:U203),$U$2:$U$1001,0),0),2)),INDEX($Z$2:$Z$1001,MATCH(ROWS($U$2:U203),$U$2:$U$1001,0),0)))</f>
        <v>0</v>
      </c>
      <c r="B203" s="5">
        <f>IF(OR(INDEX($V$2:$V$1001,MATCH(ROWS($U$2:U203),$U$2:$U$1001,0),1)&gt;=100000,INDEX($AB$1005:$AQ$1005,1,MATCH(COLUMNS($AB$1006:AB1006),$AB$1006:$AQ$1006,0))&gt;=100000), " ",IF(INDEX($AB$2:$AQ$1001,MATCH(ROWS($U$2:U203),$U$2:$U$1001,0),MATCH(COLUMNS($AB$1006:AB1006),$AB$1006:$AQ$1006,0)), HYPERLINK("#",""), HYPERLINK(CONCATENATE("#Metadata!", ADDRESS(INDEX($W$2:$W$1001,MATCH(ROWS($U$2:U203),$U$2:$U$1001,0),0), INDEX($AB$1004:$AQ$1004,1,MATCH(COLUMNS($AB$1006:AB1006),$AB$1006:$AQ$1006,0)))),"Fix")))</f>
        <v>0</v>
      </c>
      <c r="C203" s="5">
        <f>IF(OR(INDEX($V$2:$V$1001,MATCH(ROWS($U$2:U203),$U$2:$U$1001,0),1)&gt;=100000,INDEX($AB$1005:$AQ$1005,1,MATCH(COLUMNS($AB$1006:AC1006),$AB$1006:$AQ$1006,0))&gt;=100000), " ",IF(INDEX($AB$2:$AQ$1001,MATCH(ROWS($U$2:U203),$U$2:$U$1001,0),MATCH(COLUMNS($AB$1006:AC1006),$AB$1006:$AQ$1006,0)), HYPERLINK("#",""), HYPERLINK(CONCATENATE("#Metadata!", ADDRESS(INDEX($W$2:$W$1001,MATCH(ROWS($U$2:U203),$U$2:$U$1001,0),0), INDEX($AB$1004:$AQ$1004,1,MATCH(COLUMNS($AB$1006:AC1006),$AB$1006:$AQ$1006,0)))),"Fix")))</f>
        <v>0</v>
      </c>
      <c r="D203" s="5">
        <f>IF(OR(INDEX($V$2:$V$1001,MATCH(ROWS($U$2:U203),$U$2:$U$1001,0),1)&gt;=100000,INDEX($AB$1005:$AQ$1005,1,MATCH(COLUMNS($AB$1006:AD1006),$AB$1006:$AQ$1006,0))&gt;=100000), " ",IF(INDEX($AB$2:$AQ$1001,MATCH(ROWS($U$2:U203),$U$2:$U$1001,0),MATCH(COLUMNS($AB$1006:AD1006),$AB$1006:$AQ$1006,0)), HYPERLINK("#",""), HYPERLINK(CONCATENATE("#Metadata!", ADDRESS(INDEX($W$2:$W$1001,MATCH(ROWS($U$2:U203),$U$2:$U$1001,0),0), INDEX($AB$1004:$AQ$1004,1,MATCH(COLUMNS($AB$1006:AD1006),$AB$1006:$AQ$1006,0)))),"Fix")))</f>
        <v>0</v>
      </c>
      <c r="E203" s="5">
        <f>IF(OR(INDEX($V$2:$V$1001,MATCH(ROWS($U$2:U203),$U$2:$U$1001,0),1)&gt;=100000,INDEX($AB$1005:$AQ$1005,1,MATCH(COLUMNS($AB$1006:AE1006),$AB$1006:$AQ$1006,0))&gt;=100000), " ",IF(INDEX($AB$2:$AQ$1001,MATCH(ROWS($U$2:U203),$U$2:$U$1001,0),MATCH(COLUMNS($AB$1006:AE1006),$AB$1006:$AQ$1006,0)), HYPERLINK("#",""), HYPERLINK(CONCATENATE("#Metadata!", ADDRESS(INDEX($W$2:$W$1001,MATCH(ROWS($U$2:U203),$U$2:$U$1001,0),0), INDEX($AB$1004:$AQ$1004,1,MATCH(COLUMNS($AB$1006:AE1006),$AB$1006:$AQ$1006,0)))),"Fix")))</f>
        <v>0</v>
      </c>
      <c r="F203" s="5">
        <f>IF(OR(INDEX($V$2:$V$1001,MATCH(ROWS($U$2:U203),$U$2:$U$1001,0),1)&gt;=100000,INDEX($AB$1005:$AQ$1005,1,MATCH(COLUMNS($AB$1006:AF1006),$AB$1006:$AQ$1006,0))&gt;=100000), " ",IF(INDEX($AB$2:$AQ$1001,MATCH(ROWS($U$2:U203),$U$2:$U$1001,0),MATCH(COLUMNS($AB$1006:AF1006),$AB$1006:$AQ$1006,0)), HYPERLINK("#",""), HYPERLINK(CONCATENATE("#Metadata!", ADDRESS(INDEX($W$2:$W$1001,MATCH(ROWS($U$2:U203),$U$2:$U$1001,0),0), INDEX($AB$1004:$AQ$1004,1,MATCH(COLUMNS($AB$1006:AF1006),$AB$1006:$AQ$1006,0)))),"Fix")))</f>
        <v>0</v>
      </c>
      <c r="G203" s="5">
        <f>IF(OR(INDEX($V$2:$V$1001,MATCH(ROWS($U$2:U203),$U$2:$U$1001,0),1)&gt;=100000,INDEX($AB$1005:$AQ$1005,1,MATCH(COLUMNS($AB$1006:AG1006),$AB$1006:$AQ$1006,0))&gt;=100000), " ",IF(INDEX($AB$2:$AQ$1001,MATCH(ROWS($U$2:U203),$U$2:$U$1001,0),MATCH(COLUMNS($AB$1006:AG1006),$AB$1006:$AQ$1006,0)), HYPERLINK("#",""), HYPERLINK(CONCATENATE("#Metadata!", ADDRESS(INDEX($W$2:$W$1001,MATCH(ROWS($U$2:U203),$U$2:$U$1001,0),0), INDEX($AB$1004:$AQ$1004,1,MATCH(COLUMNS($AB$1006:AG1006),$AB$1006:$AQ$1006,0)))),"Fix")))</f>
        <v>0</v>
      </c>
      <c r="H203" s="5">
        <f>IF(OR(INDEX($V$2:$V$1001,MATCH(ROWS($U$2:U203),$U$2:$U$1001,0),1)&gt;=100000,INDEX($AB$1005:$AQ$1005,1,MATCH(COLUMNS($AB$1006:AH1006),$AB$1006:$AQ$1006,0))&gt;=100000), " ",IF(INDEX($AB$2:$AQ$1001,MATCH(ROWS($U$2:U203),$U$2:$U$1001,0),MATCH(COLUMNS($AB$1006:AH1006),$AB$1006:$AQ$1006,0)), HYPERLINK("#",""), HYPERLINK(CONCATENATE("#Metadata!", ADDRESS(INDEX($W$2:$W$1001,MATCH(ROWS($U$2:U203),$U$2:$U$1001,0),0), INDEX($AB$1004:$AQ$1004,1,MATCH(COLUMNS($AB$1006:AH1006),$AB$1006:$AQ$1006,0)))),"Fix")))</f>
        <v>0</v>
      </c>
      <c r="I203" s="5">
        <f>IF(OR(INDEX($V$2:$V$1001,MATCH(ROWS($U$2:U203),$U$2:$U$1001,0),1)&gt;=100000,INDEX($AB$1005:$AQ$1005,1,MATCH(COLUMNS($AB$1006:AI1006),$AB$1006:$AQ$1006,0))&gt;=100000), " ",IF(INDEX($AB$2:$AQ$1001,MATCH(ROWS($U$2:U203),$U$2:$U$1001,0),MATCH(COLUMNS($AB$1006:AI1006),$AB$1006:$AQ$1006,0)), HYPERLINK("#",""), HYPERLINK(CONCATENATE("#Metadata!", ADDRESS(INDEX($W$2:$W$1001,MATCH(ROWS($U$2:U203),$U$2:$U$1001,0),0), INDEX($AB$1004:$AQ$1004,1,MATCH(COLUMNS($AB$1006:AI1006),$AB$1006:$AQ$1006,0)))),"Fix")))</f>
        <v>0</v>
      </c>
      <c r="J203" s="5">
        <f>IF(OR(INDEX($V$2:$V$1001,MATCH(ROWS($U$2:U203),$U$2:$U$1001,0),1)&gt;=100000,INDEX($AB$1005:$AQ$1005,1,MATCH(COLUMNS($AB$1006:AJ1006),$AB$1006:$AQ$1006,0))&gt;=100000), " ",IF(INDEX($AB$2:$AQ$1001,MATCH(ROWS($U$2:U203),$U$2:$U$1001,0),MATCH(COLUMNS($AB$1006:AJ1006),$AB$1006:$AQ$1006,0)), HYPERLINK("#",""), HYPERLINK(CONCATENATE("#Metadata!", ADDRESS(INDEX($W$2:$W$1001,MATCH(ROWS($U$2:U203),$U$2:$U$1001,0),0), INDEX($AB$1004:$AQ$1004,1,MATCH(COLUMNS($AB$1006:AJ1006),$AB$1006:$AQ$1006,0)))),"Fix")))</f>
        <v>0</v>
      </c>
      <c r="K203" s="5">
        <f>IF(OR(INDEX($V$2:$V$1001,MATCH(ROWS($U$2:U203),$U$2:$U$1001,0),1)&gt;=100000,INDEX($AB$1005:$AQ$1005,1,MATCH(COLUMNS($AB$1006:AK1006),$AB$1006:$AQ$1006,0))&gt;=100000), " ",IF(INDEX($AB$2:$AQ$1001,MATCH(ROWS($U$2:U203),$U$2:$U$1001,0),MATCH(COLUMNS($AB$1006:AK1006),$AB$1006:$AQ$1006,0)), HYPERLINK("#",""), HYPERLINK(CONCATENATE("#Metadata!", ADDRESS(INDEX($W$2:$W$1001,MATCH(ROWS($U$2:U203),$U$2:$U$1001,0),0), INDEX($AB$1004:$AQ$1004,1,MATCH(COLUMNS($AB$1006:AK1006),$AB$1006:$AQ$1006,0)))),"Fix")))</f>
        <v>0</v>
      </c>
      <c r="L203" s="5">
        <f>IF(OR(INDEX($V$2:$V$1001,MATCH(ROWS($U$2:U203),$U$2:$U$1001,0),1)&gt;=100000,INDEX($AB$1005:$AQ$1005,1,MATCH(COLUMNS($AB$1006:AL1006),$AB$1006:$AQ$1006,0))&gt;=100000), " ",IF(INDEX($AB$2:$AQ$1001,MATCH(ROWS($U$2:U203),$U$2:$U$1001,0),MATCH(COLUMNS($AB$1006:AL1006),$AB$1006:$AQ$1006,0)), HYPERLINK("#",""), HYPERLINK(CONCATENATE("#Metadata!", ADDRESS(INDEX($W$2:$W$1001,MATCH(ROWS($U$2:U203),$U$2:$U$1001,0),0), INDEX($AB$1004:$AQ$1004,1,MATCH(COLUMNS($AB$1006:AL1006),$AB$1006:$AQ$1006,0)))),"Fix")))</f>
        <v>0</v>
      </c>
      <c r="M203" s="5">
        <f>IF(OR(INDEX($V$2:$V$1001,MATCH(ROWS($U$2:U203),$U$2:$U$1001,0),1)&gt;=100000,INDEX($AB$1005:$AQ$1005,1,MATCH(COLUMNS($AB$1006:AM1006),$AB$1006:$AQ$1006,0))&gt;=100000), " ",IF(INDEX($AB$2:$AQ$1001,MATCH(ROWS($U$2:U203),$U$2:$U$1001,0),MATCH(COLUMNS($AB$1006:AM1006),$AB$1006:$AQ$1006,0)), HYPERLINK("#",""), HYPERLINK(CONCATENATE("#Metadata!", ADDRESS(INDEX($W$2:$W$1001,MATCH(ROWS($U$2:U203),$U$2:$U$1001,0),0), INDEX($AB$1004:$AQ$1004,1,MATCH(COLUMNS($AB$1006:AM1006),$AB$1006:$AQ$1006,0)))),"Fix")))</f>
        <v>0</v>
      </c>
      <c r="N203" s="5">
        <f>IF(OR(INDEX($V$2:$V$1001,MATCH(ROWS($U$2:U203),$U$2:$U$1001,0),1)&gt;=100000,INDEX($AB$1005:$AQ$1005,1,MATCH(COLUMNS($AB$1006:AN1006),$AB$1006:$AQ$1006,0))&gt;=100000), " ",IF(INDEX($AB$2:$AQ$1001,MATCH(ROWS($U$2:U203),$U$2:$U$1001,0),MATCH(COLUMNS($AB$1006:AN1006),$AB$1006:$AQ$1006,0)), HYPERLINK("#",""), HYPERLINK(CONCATENATE("#Metadata!", ADDRESS(INDEX($W$2:$W$1001,MATCH(ROWS($U$2:U203),$U$2:$U$1001,0),0), INDEX($AB$1004:$AQ$1004,1,MATCH(COLUMNS($AB$1006:AN1006),$AB$1006:$AQ$1006,0)))),"Fix")))</f>
        <v>0</v>
      </c>
      <c r="O203" s="5">
        <f>IF(OR(INDEX($V$2:$V$1001,MATCH(ROWS($U$2:U203),$U$2:$U$1001,0),1)&gt;=100000,INDEX($AB$1005:$AQ$1005,1,MATCH(COLUMNS($AB$1006:AO1006),$AB$1006:$AQ$1006,0))&gt;=100000), " ",IF(INDEX($AB$2:$AQ$1001,MATCH(ROWS($U$2:U203),$U$2:$U$1001,0),MATCH(COLUMNS($AB$1006:AO1006),$AB$1006:$AQ$1006,0)), HYPERLINK("#",""), HYPERLINK(CONCATENATE("#Metadata!", ADDRESS(INDEX($W$2:$W$1001,MATCH(ROWS($U$2:U203),$U$2:$U$1001,0),0), INDEX($AB$1004:$AQ$1004,1,MATCH(COLUMNS($AB$1006:AO1006),$AB$1006:$AQ$1006,0)))),"Fix")))</f>
        <v>0</v>
      </c>
      <c r="P203" s="5">
        <f>IF(OR(INDEX($V$2:$V$1001,MATCH(ROWS($U$2:U203),$U$2:$U$1001,0),1)&gt;=100000,INDEX($AB$1005:$AQ$1005,1,MATCH(COLUMNS($AB$1006:AP1006),$AB$1006:$AQ$1006,0))&gt;=100000), " ",IF(INDEX($AB$2:$AQ$1001,MATCH(ROWS($U$2:U203),$U$2:$U$1001,0),MATCH(COLUMNS($AB$1006:AP1006),$AB$1006:$AQ$1006,0)), HYPERLINK("#",""), HYPERLINK(CONCATENATE("#Metadata!", ADDRESS(INDEX($W$2:$W$1001,MATCH(ROWS($U$2:U203),$U$2:$U$1001,0),0), INDEX($AB$1004:$AQ$1004,1,MATCH(COLUMNS($AB$1006:AP1006),$AB$1006:$AQ$1006,0)))),"Fix")))</f>
        <v>0</v>
      </c>
      <c r="Q203" s="5">
        <f>IF(OR(INDEX($V$2:$V$1001,MATCH(ROWS($U$2:U203),$U$2:$U$1001,0),1)&gt;=100000,INDEX($AB$1005:$AQ$1005,1,MATCH(COLUMNS($AB$1006:AQ1006),$AB$1006:$AQ$1006,0))&gt;=100000), " ",IF(INDEX($AB$2:$AQ$1001,MATCH(ROWS($U$2:U203),$U$2:$U$1001,0),MATCH(COLUMNS($AB$1006:AQ1006),$AB$1006:$AQ$1006,0)), HYPERLINK("#",""), HYPERLINK(CONCATENATE("#Metadata!", ADDRESS(INDEX($W$2:$W$1001,MATCH(ROWS($U$2:U203),$U$2:$U$1001,0),0), INDEX($AB$1004:$AQ$1004,1,MATCH(COLUMNS($AB$1006:AQ1006),$AB$1006:$AQ$1006,0)))),"Fix")))</f>
        <v>0</v>
      </c>
      <c r="U203">
        <v>0</v>
      </c>
      <c r="V203">
        <v>0</v>
      </c>
      <c r="W203">
        <v>0</v>
      </c>
      <c r="X203">
        <f>IF(Y203,TRUE,AND(AB203:AQ203))</f>
        <v>0</v>
      </c>
      <c r="Y203">
        <f>COUNTBLANK(Metadata!B203:Q203)=COLUMNS(Metadata!B203:Q203)</f>
        <v>0</v>
      </c>
      <c r="Z203">
        <v>0</v>
      </c>
      <c r="AB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AC203">
        <f>AND(IF(Metadata!C203="",FALSE,TRUE),exact(Metadata!C203,"urban biome"))</f>
        <v>0</v>
      </c>
      <c r="AD203">
        <f>AND(IF(Metadata!D203="",FALSE,TRUE),exact(Metadata!D203,"human-associated habitat"))</f>
        <v>0</v>
      </c>
      <c r="AE203">
        <f>AND(IF(Metadata!E203="",FALSE,TRUE),OR(exact(Metadata!E203,"human-associated"),exact(Metadata!E203,"human-skin"),exact(Metadata!E203,"human-oral"),exact(Metadata!E203,"human-gut"),exact(Metadata!E203,"human-vaginal")))</f>
        <v>0</v>
      </c>
      <c r="AF203">
        <f>AND(IF(Metadata!F203="",FALSE,ISNUMBER(VALUE(Metadata!F203))),Metadata!F203&gt;0)</f>
        <v>0</v>
      </c>
      <c r="AG203">
        <f>AND(IF(Metadata!G203="",FALSE,TRUE),exact(Metadata!G203,"years"))</f>
        <v>0</v>
      </c>
      <c r="AH203">
        <f>OR(AND(IF(Metadata!H203="",FALSE,TRUE),OR(exact(Metadata!H203,"not applicable"),exact(Metadata!H203,"not collected"),exact(Metadata!H203,"not provided"),exact(Metadata!H203,"restricted access"))),AND(IF(Metadata!H203="",FALSE,ISNUMBER(VALUE(Metadata!H203))),Metadata!H203&gt;0))</f>
        <v>0</v>
      </c>
      <c r="AI203">
        <f>AND(IF(Metadata!I203="",FALSE,TRUE),exact(Metadata!I203,"human"))</f>
        <v>0</v>
      </c>
      <c r="AJ203">
        <f>AND(IF(Metadata!J203="",FALSE,ISNUMBER(VALUE(Metadata!J203))),Metadata!J203&gt;0)</f>
        <v>0</v>
      </c>
      <c r="AK203">
        <f>AND(IF(Metadata!K203="",FALSE,TRUE),exact(Metadata!K203,"cm"))</f>
        <v>0</v>
      </c>
      <c r="AL203">
        <f>AND(IF(Metadata!L203="",FALSE,TRUE),exact(Metadata!L203,"Homo sapiens"))</f>
        <v>0</v>
      </c>
      <c r="AM203">
        <f>AND(IF(Metadata!M203="",FALSE,TRUE),exact(Metadata!M203,"9606"))</f>
        <v>0</v>
      </c>
      <c r="AN203">
        <f>AND(IF(Metadata!N203="",FALSE,ISNUMBER(VALUE(Metadata!N203))),Metadata!N203&gt;0)</f>
        <v>0</v>
      </c>
      <c r="AO203">
        <f>AND(IF(Metadata!O203="",FALSE,TRUE),exact(Metadata!O203,"kg"))</f>
        <v>0</v>
      </c>
      <c r="AP203">
        <f>OR(AND(IF(Metadata!P203="",FALSE,TRUE),exact(Metadata!P203,"not provided")),IF(Metadata!P203="",FALSE,TRUE))</f>
        <v>0</v>
      </c>
      <c r="AQ203">
        <f>OR(AND(IF(Metadata!Q203="",FALSE,TRUE),exact(Metadata!Q203,"not provided")),IF(Metadata!Q203="",FALSE,TRUE))</f>
        <v>0</v>
      </c>
    </row>
    <row r="204" spans="1:43">
      <c r="A204" s="4">
        <f>IF(B204=" "," ",HYPERLINK(CONCATENATE("#metadata!",ADDRESS(INDEX($W$2:$W$1001,MATCH(ROWS($U$2:U204),$U$2:$U$1001,0),0),2)),INDEX($Z$2:$Z$1001,MATCH(ROWS($U$2:U204),$U$2:$U$1001,0),0)))</f>
        <v>0</v>
      </c>
      <c r="B204" s="5">
        <f>IF(OR(INDEX($V$2:$V$1001,MATCH(ROWS($U$2:U204),$U$2:$U$1001,0),1)&gt;=100000,INDEX($AB$1005:$AQ$1005,1,MATCH(COLUMNS($AB$1006:AB1006),$AB$1006:$AQ$1006,0))&gt;=100000), " ",IF(INDEX($AB$2:$AQ$1001,MATCH(ROWS($U$2:U204),$U$2:$U$1001,0),MATCH(COLUMNS($AB$1006:AB1006),$AB$1006:$AQ$1006,0)), HYPERLINK("#",""), HYPERLINK(CONCATENATE("#Metadata!", ADDRESS(INDEX($W$2:$W$1001,MATCH(ROWS($U$2:U204),$U$2:$U$1001,0),0), INDEX($AB$1004:$AQ$1004,1,MATCH(COLUMNS($AB$1006:AB1006),$AB$1006:$AQ$1006,0)))),"Fix")))</f>
        <v>0</v>
      </c>
      <c r="C204" s="5">
        <f>IF(OR(INDEX($V$2:$V$1001,MATCH(ROWS($U$2:U204),$U$2:$U$1001,0),1)&gt;=100000,INDEX($AB$1005:$AQ$1005,1,MATCH(COLUMNS($AB$1006:AC1006),$AB$1006:$AQ$1006,0))&gt;=100000), " ",IF(INDEX($AB$2:$AQ$1001,MATCH(ROWS($U$2:U204),$U$2:$U$1001,0),MATCH(COLUMNS($AB$1006:AC1006),$AB$1006:$AQ$1006,0)), HYPERLINK("#",""), HYPERLINK(CONCATENATE("#Metadata!", ADDRESS(INDEX($W$2:$W$1001,MATCH(ROWS($U$2:U204),$U$2:$U$1001,0),0), INDEX($AB$1004:$AQ$1004,1,MATCH(COLUMNS($AB$1006:AC1006),$AB$1006:$AQ$1006,0)))),"Fix")))</f>
        <v>0</v>
      </c>
      <c r="D204" s="5">
        <f>IF(OR(INDEX($V$2:$V$1001,MATCH(ROWS($U$2:U204),$U$2:$U$1001,0),1)&gt;=100000,INDEX($AB$1005:$AQ$1005,1,MATCH(COLUMNS($AB$1006:AD1006),$AB$1006:$AQ$1006,0))&gt;=100000), " ",IF(INDEX($AB$2:$AQ$1001,MATCH(ROWS($U$2:U204),$U$2:$U$1001,0),MATCH(COLUMNS($AB$1006:AD1006),$AB$1006:$AQ$1006,0)), HYPERLINK("#",""), HYPERLINK(CONCATENATE("#Metadata!", ADDRESS(INDEX($W$2:$W$1001,MATCH(ROWS($U$2:U204),$U$2:$U$1001,0),0), INDEX($AB$1004:$AQ$1004,1,MATCH(COLUMNS($AB$1006:AD1006),$AB$1006:$AQ$1006,0)))),"Fix")))</f>
        <v>0</v>
      </c>
      <c r="E204" s="5">
        <f>IF(OR(INDEX($V$2:$V$1001,MATCH(ROWS($U$2:U204),$U$2:$U$1001,0),1)&gt;=100000,INDEX($AB$1005:$AQ$1005,1,MATCH(COLUMNS($AB$1006:AE1006),$AB$1006:$AQ$1006,0))&gt;=100000), " ",IF(INDEX($AB$2:$AQ$1001,MATCH(ROWS($U$2:U204),$U$2:$U$1001,0),MATCH(COLUMNS($AB$1006:AE1006),$AB$1006:$AQ$1006,0)), HYPERLINK("#",""), HYPERLINK(CONCATENATE("#Metadata!", ADDRESS(INDEX($W$2:$W$1001,MATCH(ROWS($U$2:U204),$U$2:$U$1001,0),0), INDEX($AB$1004:$AQ$1004,1,MATCH(COLUMNS($AB$1006:AE1006),$AB$1006:$AQ$1006,0)))),"Fix")))</f>
        <v>0</v>
      </c>
      <c r="F204" s="5">
        <f>IF(OR(INDEX($V$2:$V$1001,MATCH(ROWS($U$2:U204),$U$2:$U$1001,0),1)&gt;=100000,INDEX($AB$1005:$AQ$1005,1,MATCH(COLUMNS($AB$1006:AF1006),$AB$1006:$AQ$1006,0))&gt;=100000), " ",IF(INDEX($AB$2:$AQ$1001,MATCH(ROWS($U$2:U204),$U$2:$U$1001,0),MATCH(COLUMNS($AB$1006:AF1006),$AB$1006:$AQ$1006,0)), HYPERLINK("#",""), HYPERLINK(CONCATENATE("#Metadata!", ADDRESS(INDEX($W$2:$W$1001,MATCH(ROWS($U$2:U204),$U$2:$U$1001,0),0), INDEX($AB$1004:$AQ$1004,1,MATCH(COLUMNS($AB$1006:AF1006),$AB$1006:$AQ$1006,0)))),"Fix")))</f>
        <v>0</v>
      </c>
      <c r="G204" s="5">
        <f>IF(OR(INDEX($V$2:$V$1001,MATCH(ROWS($U$2:U204),$U$2:$U$1001,0),1)&gt;=100000,INDEX($AB$1005:$AQ$1005,1,MATCH(COLUMNS($AB$1006:AG1006),$AB$1006:$AQ$1006,0))&gt;=100000), " ",IF(INDEX($AB$2:$AQ$1001,MATCH(ROWS($U$2:U204),$U$2:$U$1001,0),MATCH(COLUMNS($AB$1006:AG1006),$AB$1006:$AQ$1006,0)), HYPERLINK("#",""), HYPERLINK(CONCATENATE("#Metadata!", ADDRESS(INDEX($W$2:$W$1001,MATCH(ROWS($U$2:U204),$U$2:$U$1001,0),0), INDEX($AB$1004:$AQ$1004,1,MATCH(COLUMNS($AB$1006:AG1006),$AB$1006:$AQ$1006,0)))),"Fix")))</f>
        <v>0</v>
      </c>
      <c r="H204" s="5">
        <f>IF(OR(INDEX($V$2:$V$1001,MATCH(ROWS($U$2:U204),$U$2:$U$1001,0),1)&gt;=100000,INDEX($AB$1005:$AQ$1005,1,MATCH(COLUMNS($AB$1006:AH1006),$AB$1006:$AQ$1006,0))&gt;=100000), " ",IF(INDEX($AB$2:$AQ$1001,MATCH(ROWS($U$2:U204),$U$2:$U$1001,0),MATCH(COLUMNS($AB$1006:AH1006),$AB$1006:$AQ$1006,0)), HYPERLINK("#",""), HYPERLINK(CONCATENATE("#Metadata!", ADDRESS(INDEX($W$2:$W$1001,MATCH(ROWS($U$2:U204),$U$2:$U$1001,0),0), INDEX($AB$1004:$AQ$1004,1,MATCH(COLUMNS($AB$1006:AH1006),$AB$1006:$AQ$1006,0)))),"Fix")))</f>
        <v>0</v>
      </c>
      <c r="I204" s="5">
        <f>IF(OR(INDEX($V$2:$V$1001,MATCH(ROWS($U$2:U204),$U$2:$U$1001,0),1)&gt;=100000,INDEX($AB$1005:$AQ$1005,1,MATCH(COLUMNS($AB$1006:AI1006),$AB$1006:$AQ$1006,0))&gt;=100000), " ",IF(INDEX($AB$2:$AQ$1001,MATCH(ROWS($U$2:U204),$U$2:$U$1001,0),MATCH(COLUMNS($AB$1006:AI1006),$AB$1006:$AQ$1006,0)), HYPERLINK("#",""), HYPERLINK(CONCATENATE("#Metadata!", ADDRESS(INDEX($W$2:$W$1001,MATCH(ROWS($U$2:U204),$U$2:$U$1001,0),0), INDEX($AB$1004:$AQ$1004,1,MATCH(COLUMNS($AB$1006:AI1006),$AB$1006:$AQ$1006,0)))),"Fix")))</f>
        <v>0</v>
      </c>
      <c r="J204" s="5">
        <f>IF(OR(INDEX($V$2:$V$1001,MATCH(ROWS($U$2:U204),$U$2:$U$1001,0),1)&gt;=100000,INDEX($AB$1005:$AQ$1005,1,MATCH(COLUMNS($AB$1006:AJ1006),$AB$1006:$AQ$1006,0))&gt;=100000), " ",IF(INDEX($AB$2:$AQ$1001,MATCH(ROWS($U$2:U204),$U$2:$U$1001,0),MATCH(COLUMNS($AB$1006:AJ1006),$AB$1006:$AQ$1006,0)), HYPERLINK("#",""), HYPERLINK(CONCATENATE("#Metadata!", ADDRESS(INDEX($W$2:$W$1001,MATCH(ROWS($U$2:U204),$U$2:$U$1001,0),0), INDEX($AB$1004:$AQ$1004,1,MATCH(COLUMNS($AB$1006:AJ1006),$AB$1006:$AQ$1006,0)))),"Fix")))</f>
        <v>0</v>
      </c>
      <c r="K204" s="5">
        <f>IF(OR(INDEX($V$2:$V$1001,MATCH(ROWS($U$2:U204),$U$2:$U$1001,0),1)&gt;=100000,INDEX($AB$1005:$AQ$1005,1,MATCH(COLUMNS($AB$1006:AK1006),$AB$1006:$AQ$1006,0))&gt;=100000), " ",IF(INDEX($AB$2:$AQ$1001,MATCH(ROWS($U$2:U204),$U$2:$U$1001,0),MATCH(COLUMNS($AB$1006:AK1006),$AB$1006:$AQ$1006,0)), HYPERLINK("#",""), HYPERLINK(CONCATENATE("#Metadata!", ADDRESS(INDEX($W$2:$W$1001,MATCH(ROWS($U$2:U204),$U$2:$U$1001,0),0), INDEX($AB$1004:$AQ$1004,1,MATCH(COLUMNS($AB$1006:AK1006),$AB$1006:$AQ$1006,0)))),"Fix")))</f>
        <v>0</v>
      </c>
      <c r="L204" s="5">
        <f>IF(OR(INDEX($V$2:$V$1001,MATCH(ROWS($U$2:U204),$U$2:$U$1001,0),1)&gt;=100000,INDEX($AB$1005:$AQ$1005,1,MATCH(COLUMNS($AB$1006:AL1006),$AB$1006:$AQ$1006,0))&gt;=100000), " ",IF(INDEX($AB$2:$AQ$1001,MATCH(ROWS($U$2:U204),$U$2:$U$1001,0),MATCH(COLUMNS($AB$1006:AL1006),$AB$1006:$AQ$1006,0)), HYPERLINK("#",""), HYPERLINK(CONCATENATE("#Metadata!", ADDRESS(INDEX($W$2:$W$1001,MATCH(ROWS($U$2:U204),$U$2:$U$1001,0),0), INDEX($AB$1004:$AQ$1004,1,MATCH(COLUMNS($AB$1006:AL1006),$AB$1006:$AQ$1006,0)))),"Fix")))</f>
        <v>0</v>
      </c>
      <c r="M204" s="5">
        <f>IF(OR(INDEX($V$2:$V$1001,MATCH(ROWS($U$2:U204),$U$2:$U$1001,0),1)&gt;=100000,INDEX($AB$1005:$AQ$1005,1,MATCH(COLUMNS($AB$1006:AM1006),$AB$1006:$AQ$1006,0))&gt;=100000), " ",IF(INDEX($AB$2:$AQ$1001,MATCH(ROWS($U$2:U204),$U$2:$U$1001,0),MATCH(COLUMNS($AB$1006:AM1006),$AB$1006:$AQ$1006,0)), HYPERLINK("#",""), HYPERLINK(CONCATENATE("#Metadata!", ADDRESS(INDEX($W$2:$W$1001,MATCH(ROWS($U$2:U204),$U$2:$U$1001,0),0), INDEX($AB$1004:$AQ$1004,1,MATCH(COLUMNS($AB$1006:AM1006),$AB$1006:$AQ$1006,0)))),"Fix")))</f>
        <v>0</v>
      </c>
      <c r="N204" s="5">
        <f>IF(OR(INDEX($V$2:$V$1001,MATCH(ROWS($U$2:U204),$U$2:$U$1001,0),1)&gt;=100000,INDEX($AB$1005:$AQ$1005,1,MATCH(COLUMNS($AB$1006:AN1006),$AB$1006:$AQ$1006,0))&gt;=100000), " ",IF(INDEX($AB$2:$AQ$1001,MATCH(ROWS($U$2:U204),$U$2:$U$1001,0),MATCH(COLUMNS($AB$1006:AN1006),$AB$1006:$AQ$1006,0)), HYPERLINK("#",""), HYPERLINK(CONCATENATE("#Metadata!", ADDRESS(INDEX($W$2:$W$1001,MATCH(ROWS($U$2:U204),$U$2:$U$1001,0),0), INDEX($AB$1004:$AQ$1004,1,MATCH(COLUMNS($AB$1006:AN1006),$AB$1006:$AQ$1006,0)))),"Fix")))</f>
        <v>0</v>
      </c>
      <c r="O204" s="5">
        <f>IF(OR(INDEX($V$2:$V$1001,MATCH(ROWS($U$2:U204),$U$2:$U$1001,0),1)&gt;=100000,INDEX($AB$1005:$AQ$1005,1,MATCH(COLUMNS($AB$1006:AO1006),$AB$1006:$AQ$1006,0))&gt;=100000), " ",IF(INDEX($AB$2:$AQ$1001,MATCH(ROWS($U$2:U204),$U$2:$U$1001,0),MATCH(COLUMNS($AB$1006:AO1006),$AB$1006:$AQ$1006,0)), HYPERLINK("#",""), HYPERLINK(CONCATENATE("#Metadata!", ADDRESS(INDEX($W$2:$W$1001,MATCH(ROWS($U$2:U204),$U$2:$U$1001,0),0), INDEX($AB$1004:$AQ$1004,1,MATCH(COLUMNS($AB$1006:AO1006),$AB$1006:$AQ$1006,0)))),"Fix")))</f>
        <v>0</v>
      </c>
      <c r="P204" s="5">
        <f>IF(OR(INDEX($V$2:$V$1001,MATCH(ROWS($U$2:U204),$U$2:$U$1001,0),1)&gt;=100000,INDEX($AB$1005:$AQ$1005,1,MATCH(COLUMNS($AB$1006:AP1006),$AB$1006:$AQ$1006,0))&gt;=100000), " ",IF(INDEX($AB$2:$AQ$1001,MATCH(ROWS($U$2:U204),$U$2:$U$1001,0),MATCH(COLUMNS($AB$1006:AP1006),$AB$1006:$AQ$1006,0)), HYPERLINK("#",""), HYPERLINK(CONCATENATE("#Metadata!", ADDRESS(INDEX($W$2:$W$1001,MATCH(ROWS($U$2:U204),$U$2:$U$1001,0),0), INDEX($AB$1004:$AQ$1004,1,MATCH(COLUMNS($AB$1006:AP1006),$AB$1006:$AQ$1006,0)))),"Fix")))</f>
        <v>0</v>
      </c>
      <c r="Q204" s="5">
        <f>IF(OR(INDEX($V$2:$V$1001,MATCH(ROWS($U$2:U204),$U$2:$U$1001,0),1)&gt;=100000,INDEX($AB$1005:$AQ$1005,1,MATCH(COLUMNS($AB$1006:AQ1006),$AB$1006:$AQ$1006,0))&gt;=100000), " ",IF(INDEX($AB$2:$AQ$1001,MATCH(ROWS($U$2:U204),$U$2:$U$1001,0),MATCH(COLUMNS($AB$1006:AQ1006),$AB$1006:$AQ$1006,0)), HYPERLINK("#",""), HYPERLINK(CONCATENATE("#Metadata!", ADDRESS(INDEX($W$2:$W$1001,MATCH(ROWS($U$2:U204),$U$2:$U$1001,0),0), INDEX($AB$1004:$AQ$1004,1,MATCH(COLUMNS($AB$1006:AQ1006),$AB$1006:$AQ$1006,0)))),"Fix")))</f>
        <v>0</v>
      </c>
      <c r="U204">
        <v>0</v>
      </c>
      <c r="V204">
        <v>0</v>
      </c>
      <c r="W204">
        <v>0</v>
      </c>
      <c r="X204">
        <f>IF(Y204,TRUE,AND(AB204:AQ204))</f>
        <v>0</v>
      </c>
      <c r="Y204">
        <f>COUNTBLANK(Metadata!B204:Q204)=COLUMNS(Metadata!B204:Q204)</f>
        <v>0</v>
      </c>
      <c r="Z204">
        <v>0</v>
      </c>
      <c r="AB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AC204">
        <f>AND(IF(Metadata!C204="",FALSE,TRUE),exact(Metadata!C204,"urban biome"))</f>
        <v>0</v>
      </c>
      <c r="AD204">
        <f>AND(IF(Metadata!D204="",FALSE,TRUE),exact(Metadata!D204,"human-associated habitat"))</f>
        <v>0</v>
      </c>
      <c r="AE204">
        <f>AND(IF(Metadata!E204="",FALSE,TRUE),OR(exact(Metadata!E204,"human-associated"),exact(Metadata!E204,"human-skin"),exact(Metadata!E204,"human-oral"),exact(Metadata!E204,"human-gut"),exact(Metadata!E204,"human-vaginal")))</f>
        <v>0</v>
      </c>
      <c r="AF204">
        <f>AND(IF(Metadata!F204="",FALSE,ISNUMBER(VALUE(Metadata!F204))),Metadata!F204&gt;0)</f>
        <v>0</v>
      </c>
      <c r="AG204">
        <f>AND(IF(Metadata!G204="",FALSE,TRUE),exact(Metadata!G204,"years"))</f>
        <v>0</v>
      </c>
      <c r="AH204">
        <f>OR(AND(IF(Metadata!H204="",FALSE,TRUE),OR(exact(Metadata!H204,"not applicable"),exact(Metadata!H204,"not collected"),exact(Metadata!H204,"not provided"),exact(Metadata!H204,"restricted access"))),AND(IF(Metadata!H204="",FALSE,ISNUMBER(VALUE(Metadata!H204))),Metadata!H204&gt;0))</f>
        <v>0</v>
      </c>
      <c r="AI204">
        <f>AND(IF(Metadata!I204="",FALSE,TRUE),exact(Metadata!I204,"human"))</f>
        <v>0</v>
      </c>
      <c r="AJ204">
        <f>AND(IF(Metadata!J204="",FALSE,ISNUMBER(VALUE(Metadata!J204))),Metadata!J204&gt;0)</f>
        <v>0</v>
      </c>
      <c r="AK204">
        <f>AND(IF(Metadata!K204="",FALSE,TRUE),exact(Metadata!K204,"cm"))</f>
        <v>0</v>
      </c>
      <c r="AL204">
        <f>AND(IF(Metadata!L204="",FALSE,TRUE),exact(Metadata!L204,"Homo sapiens"))</f>
        <v>0</v>
      </c>
      <c r="AM204">
        <f>AND(IF(Metadata!M204="",FALSE,TRUE),exact(Metadata!M204,"9606"))</f>
        <v>0</v>
      </c>
      <c r="AN204">
        <f>AND(IF(Metadata!N204="",FALSE,ISNUMBER(VALUE(Metadata!N204))),Metadata!N204&gt;0)</f>
        <v>0</v>
      </c>
      <c r="AO204">
        <f>AND(IF(Metadata!O204="",FALSE,TRUE),exact(Metadata!O204,"kg"))</f>
        <v>0</v>
      </c>
      <c r="AP204">
        <f>OR(AND(IF(Metadata!P204="",FALSE,TRUE),exact(Metadata!P204,"not provided")),IF(Metadata!P204="",FALSE,TRUE))</f>
        <v>0</v>
      </c>
      <c r="AQ204">
        <f>OR(AND(IF(Metadata!Q204="",FALSE,TRUE),exact(Metadata!Q204,"not provided")),IF(Metadata!Q204="",FALSE,TRUE))</f>
        <v>0</v>
      </c>
    </row>
    <row r="205" spans="1:43">
      <c r="A205" s="4">
        <f>IF(B205=" "," ",HYPERLINK(CONCATENATE("#metadata!",ADDRESS(INDEX($W$2:$W$1001,MATCH(ROWS($U$2:U205),$U$2:$U$1001,0),0),2)),INDEX($Z$2:$Z$1001,MATCH(ROWS($U$2:U205),$U$2:$U$1001,0),0)))</f>
        <v>0</v>
      </c>
      <c r="B205" s="5">
        <f>IF(OR(INDEX($V$2:$V$1001,MATCH(ROWS($U$2:U205),$U$2:$U$1001,0),1)&gt;=100000,INDEX($AB$1005:$AQ$1005,1,MATCH(COLUMNS($AB$1006:AB1006),$AB$1006:$AQ$1006,0))&gt;=100000), " ",IF(INDEX($AB$2:$AQ$1001,MATCH(ROWS($U$2:U205),$U$2:$U$1001,0),MATCH(COLUMNS($AB$1006:AB1006),$AB$1006:$AQ$1006,0)), HYPERLINK("#",""), HYPERLINK(CONCATENATE("#Metadata!", ADDRESS(INDEX($W$2:$W$1001,MATCH(ROWS($U$2:U205),$U$2:$U$1001,0),0), INDEX($AB$1004:$AQ$1004,1,MATCH(COLUMNS($AB$1006:AB1006),$AB$1006:$AQ$1006,0)))),"Fix")))</f>
        <v>0</v>
      </c>
      <c r="C205" s="5">
        <f>IF(OR(INDEX($V$2:$V$1001,MATCH(ROWS($U$2:U205),$U$2:$U$1001,0),1)&gt;=100000,INDEX($AB$1005:$AQ$1005,1,MATCH(COLUMNS($AB$1006:AC1006),$AB$1006:$AQ$1006,0))&gt;=100000), " ",IF(INDEX($AB$2:$AQ$1001,MATCH(ROWS($U$2:U205),$U$2:$U$1001,0),MATCH(COLUMNS($AB$1006:AC1006),$AB$1006:$AQ$1006,0)), HYPERLINK("#",""), HYPERLINK(CONCATENATE("#Metadata!", ADDRESS(INDEX($W$2:$W$1001,MATCH(ROWS($U$2:U205),$U$2:$U$1001,0),0), INDEX($AB$1004:$AQ$1004,1,MATCH(COLUMNS($AB$1006:AC1006),$AB$1006:$AQ$1006,0)))),"Fix")))</f>
        <v>0</v>
      </c>
      <c r="D205" s="5">
        <f>IF(OR(INDEX($V$2:$V$1001,MATCH(ROWS($U$2:U205),$U$2:$U$1001,0),1)&gt;=100000,INDEX($AB$1005:$AQ$1005,1,MATCH(COLUMNS($AB$1006:AD1006),$AB$1006:$AQ$1006,0))&gt;=100000), " ",IF(INDEX($AB$2:$AQ$1001,MATCH(ROWS($U$2:U205),$U$2:$U$1001,0),MATCH(COLUMNS($AB$1006:AD1006),$AB$1006:$AQ$1006,0)), HYPERLINK("#",""), HYPERLINK(CONCATENATE("#Metadata!", ADDRESS(INDEX($W$2:$W$1001,MATCH(ROWS($U$2:U205),$U$2:$U$1001,0),0), INDEX($AB$1004:$AQ$1004,1,MATCH(COLUMNS($AB$1006:AD1006),$AB$1006:$AQ$1006,0)))),"Fix")))</f>
        <v>0</v>
      </c>
      <c r="E205" s="5">
        <f>IF(OR(INDEX($V$2:$V$1001,MATCH(ROWS($U$2:U205),$U$2:$U$1001,0),1)&gt;=100000,INDEX($AB$1005:$AQ$1005,1,MATCH(COLUMNS($AB$1006:AE1006),$AB$1006:$AQ$1006,0))&gt;=100000), " ",IF(INDEX($AB$2:$AQ$1001,MATCH(ROWS($U$2:U205),$U$2:$U$1001,0),MATCH(COLUMNS($AB$1006:AE1006),$AB$1006:$AQ$1006,0)), HYPERLINK("#",""), HYPERLINK(CONCATENATE("#Metadata!", ADDRESS(INDEX($W$2:$W$1001,MATCH(ROWS($U$2:U205),$U$2:$U$1001,0),0), INDEX($AB$1004:$AQ$1004,1,MATCH(COLUMNS($AB$1006:AE1006),$AB$1006:$AQ$1006,0)))),"Fix")))</f>
        <v>0</v>
      </c>
      <c r="F205" s="5">
        <f>IF(OR(INDEX($V$2:$V$1001,MATCH(ROWS($U$2:U205),$U$2:$U$1001,0),1)&gt;=100000,INDEX($AB$1005:$AQ$1005,1,MATCH(COLUMNS($AB$1006:AF1006),$AB$1006:$AQ$1006,0))&gt;=100000), " ",IF(INDEX($AB$2:$AQ$1001,MATCH(ROWS($U$2:U205),$U$2:$U$1001,0),MATCH(COLUMNS($AB$1006:AF1006),$AB$1006:$AQ$1006,0)), HYPERLINK("#",""), HYPERLINK(CONCATENATE("#Metadata!", ADDRESS(INDEX($W$2:$W$1001,MATCH(ROWS($U$2:U205),$U$2:$U$1001,0),0), INDEX($AB$1004:$AQ$1004,1,MATCH(COLUMNS($AB$1006:AF1006),$AB$1006:$AQ$1006,0)))),"Fix")))</f>
        <v>0</v>
      </c>
      <c r="G205" s="5">
        <f>IF(OR(INDEX($V$2:$V$1001,MATCH(ROWS($U$2:U205),$U$2:$U$1001,0),1)&gt;=100000,INDEX($AB$1005:$AQ$1005,1,MATCH(COLUMNS($AB$1006:AG1006),$AB$1006:$AQ$1006,0))&gt;=100000), " ",IF(INDEX($AB$2:$AQ$1001,MATCH(ROWS($U$2:U205),$U$2:$U$1001,0),MATCH(COLUMNS($AB$1006:AG1006),$AB$1006:$AQ$1006,0)), HYPERLINK("#",""), HYPERLINK(CONCATENATE("#Metadata!", ADDRESS(INDEX($W$2:$W$1001,MATCH(ROWS($U$2:U205),$U$2:$U$1001,0),0), INDEX($AB$1004:$AQ$1004,1,MATCH(COLUMNS($AB$1006:AG1006),$AB$1006:$AQ$1006,0)))),"Fix")))</f>
        <v>0</v>
      </c>
      <c r="H205" s="5">
        <f>IF(OR(INDEX($V$2:$V$1001,MATCH(ROWS($U$2:U205),$U$2:$U$1001,0),1)&gt;=100000,INDEX($AB$1005:$AQ$1005,1,MATCH(COLUMNS($AB$1006:AH1006),$AB$1006:$AQ$1006,0))&gt;=100000), " ",IF(INDEX($AB$2:$AQ$1001,MATCH(ROWS($U$2:U205),$U$2:$U$1001,0),MATCH(COLUMNS($AB$1006:AH1006),$AB$1006:$AQ$1006,0)), HYPERLINK("#",""), HYPERLINK(CONCATENATE("#Metadata!", ADDRESS(INDEX($W$2:$W$1001,MATCH(ROWS($U$2:U205),$U$2:$U$1001,0),0), INDEX($AB$1004:$AQ$1004,1,MATCH(COLUMNS($AB$1006:AH1006),$AB$1006:$AQ$1006,0)))),"Fix")))</f>
        <v>0</v>
      </c>
      <c r="I205" s="5">
        <f>IF(OR(INDEX($V$2:$V$1001,MATCH(ROWS($U$2:U205),$U$2:$U$1001,0),1)&gt;=100000,INDEX($AB$1005:$AQ$1005,1,MATCH(COLUMNS($AB$1006:AI1006),$AB$1006:$AQ$1006,0))&gt;=100000), " ",IF(INDEX($AB$2:$AQ$1001,MATCH(ROWS($U$2:U205),$U$2:$U$1001,0),MATCH(COLUMNS($AB$1006:AI1006),$AB$1006:$AQ$1006,0)), HYPERLINK("#",""), HYPERLINK(CONCATENATE("#Metadata!", ADDRESS(INDEX($W$2:$W$1001,MATCH(ROWS($U$2:U205),$U$2:$U$1001,0),0), INDEX($AB$1004:$AQ$1004,1,MATCH(COLUMNS($AB$1006:AI1006),$AB$1006:$AQ$1006,0)))),"Fix")))</f>
        <v>0</v>
      </c>
      <c r="J205" s="5">
        <f>IF(OR(INDEX($V$2:$V$1001,MATCH(ROWS($U$2:U205),$U$2:$U$1001,0),1)&gt;=100000,INDEX($AB$1005:$AQ$1005,1,MATCH(COLUMNS($AB$1006:AJ1006),$AB$1006:$AQ$1006,0))&gt;=100000), " ",IF(INDEX($AB$2:$AQ$1001,MATCH(ROWS($U$2:U205),$U$2:$U$1001,0),MATCH(COLUMNS($AB$1006:AJ1006),$AB$1006:$AQ$1006,0)), HYPERLINK("#",""), HYPERLINK(CONCATENATE("#Metadata!", ADDRESS(INDEX($W$2:$W$1001,MATCH(ROWS($U$2:U205),$U$2:$U$1001,0),0), INDEX($AB$1004:$AQ$1004,1,MATCH(COLUMNS($AB$1006:AJ1006),$AB$1006:$AQ$1006,0)))),"Fix")))</f>
        <v>0</v>
      </c>
      <c r="K205" s="5">
        <f>IF(OR(INDEX($V$2:$V$1001,MATCH(ROWS($U$2:U205),$U$2:$U$1001,0),1)&gt;=100000,INDEX($AB$1005:$AQ$1005,1,MATCH(COLUMNS($AB$1006:AK1006),$AB$1006:$AQ$1006,0))&gt;=100000), " ",IF(INDEX($AB$2:$AQ$1001,MATCH(ROWS($U$2:U205),$U$2:$U$1001,0),MATCH(COLUMNS($AB$1006:AK1006),$AB$1006:$AQ$1006,0)), HYPERLINK("#",""), HYPERLINK(CONCATENATE("#Metadata!", ADDRESS(INDEX($W$2:$W$1001,MATCH(ROWS($U$2:U205),$U$2:$U$1001,0),0), INDEX($AB$1004:$AQ$1004,1,MATCH(COLUMNS($AB$1006:AK1006),$AB$1006:$AQ$1006,0)))),"Fix")))</f>
        <v>0</v>
      </c>
      <c r="L205" s="5">
        <f>IF(OR(INDEX($V$2:$V$1001,MATCH(ROWS($U$2:U205),$U$2:$U$1001,0),1)&gt;=100000,INDEX($AB$1005:$AQ$1005,1,MATCH(COLUMNS($AB$1006:AL1006),$AB$1006:$AQ$1006,0))&gt;=100000), " ",IF(INDEX($AB$2:$AQ$1001,MATCH(ROWS($U$2:U205),$U$2:$U$1001,0),MATCH(COLUMNS($AB$1006:AL1006),$AB$1006:$AQ$1006,0)), HYPERLINK("#",""), HYPERLINK(CONCATENATE("#Metadata!", ADDRESS(INDEX($W$2:$W$1001,MATCH(ROWS($U$2:U205),$U$2:$U$1001,0),0), INDEX($AB$1004:$AQ$1004,1,MATCH(COLUMNS($AB$1006:AL1006),$AB$1006:$AQ$1006,0)))),"Fix")))</f>
        <v>0</v>
      </c>
      <c r="M205" s="5">
        <f>IF(OR(INDEX($V$2:$V$1001,MATCH(ROWS($U$2:U205),$U$2:$U$1001,0),1)&gt;=100000,INDEX($AB$1005:$AQ$1005,1,MATCH(COLUMNS($AB$1006:AM1006),$AB$1006:$AQ$1006,0))&gt;=100000), " ",IF(INDEX($AB$2:$AQ$1001,MATCH(ROWS($U$2:U205),$U$2:$U$1001,0),MATCH(COLUMNS($AB$1006:AM1006),$AB$1006:$AQ$1006,0)), HYPERLINK("#",""), HYPERLINK(CONCATENATE("#Metadata!", ADDRESS(INDEX($W$2:$W$1001,MATCH(ROWS($U$2:U205),$U$2:$U$1001,0),0), INDEX($AB$1004:$AQ$1004,1,MATCH(COLUMNS($AB$1006:AM1006),$AB$1006:$AQ$1006,0)))),"Fix")))</f>
        <v>0</v>
      </c>
      <c r="N205" s="5">
        <f>IF(OR(INDEX($V$2:$V$1001,MATCH(ROWS($U$2:U205),$U$2:$U$1001,0),1)&gt;=100000,INDEX($AB$1005:$AQ$1005,1,MATCH(COLUMNS($AB$1006:AN1006),$AB$1006:$AQ$1006,0))&gt;=100000), " ",IF(INDEX($AB$2:$AQ$1001,MATCH(ROWS($U$2:U205),$U$2:$U$1001,0),MATCH(COLUMNS($AB$1006:AN1006),$AB$1006:$AQ$1006,0)), HYPERLINK("#",""), HYPERLINK(CONCATENATE("#Metadata!", ADDRESS(INDEX($W$2:$W$1001,MATCH(ROWS($U$2:U205),$U$2:$U$1001,0),0), INDEX($AB$1004:$AQ$1004,1,MATCH(COLUMNS($AB$1006:AN1006),$AB$1006:$AQ$1006,0)))),"Fix")))</f>
        <v>0</v>
      </c>
      <c r="O205" s="5">
        <f>IF(OR(INDEX($V$2:$V$1001,MATCH(ROWS($U$2:U205),$U$2:$U$1001,0),1)&gt;=100000,INDEX($AB$1005:$AQ$1005,1,MATCH(COLUMNS($AB$1006:AO1006),$AB$1006:$AQ$1006,0))&gt;=100000), " ",IF(INDEX($AB$2:$AQ$1001,MATCH(ROWS($U$2:U205),$U$2:$U$1001,0),MATCH(COLUMNS($AB$1006:AO1006),$AB$1006:$AQ$1006,0)), HYPERLINK("#",""), HYPERLINK(CONCATENATE("#Metadata!", ADDRESS(INDEX($W$2:$W$1001,MATCH(ROWS($U$2:U205),$U$2:$U$1001,0),0), INDEX($AB$1004:$AQ$1004,1,MATCH(COLUMNS($AB$1006:AO1006),$AB$1006:$AQ$1006,0)))),"Fix")))</f>
        <v>0</v>
      </c>
      <c r="P205" s="5">
        <f>IF(OR(INDEX($V$2:$V$1001,MATCH(ROWS($U$2:U205),$U$2:$U$1001,0),1)&gt;=100000,INDEX($AB$1005:$AQ$1005,1,MATCH(COLUMNS($AB$1006:AP1006),$AB$1006:$AQ$1006,0))&gt;=100000), " ",IF(INDEX($AB$2:$AQ$1001,MATCH(ROWS($U$2:U205),$U$2:$U$1001,0),MATCH(COLUMNS($AB$1006:AP1006),$AB$1006:$AQ$1006,0)), HYPERLINK("#",""), HYPERLINK(CONCATENATE("#Metadata!", ADDRESS(INDEX($W$2:$W$1001,MATCH(ROWS($U$2:U205),$U$2:$U$1001,0),0), INDEX($AB$1004:$AQ$1004,1,MATCH(COLUMNS($AB$1006:AP1006),$AB$1006:$AQ$1006,0)))),"Fix")))</f>
        <v>0</v>
      </c>
      <c r="Q205" s="5">
        <f>IF(OR(INDEX($V$2:$V$1001,MATCH(ROWS($U$2:U205),$U$2:$U$1001,0),1)&gt;=100000,INDEX($AB$1005:$AQ$1005,1,MATCH(COLUMNS($AB$1006:AQ1006),$AB$1006:$AQ$1006,0))&gt;=100000), " ",IF(INDEX($AB$2:$AQ$1001,MATCH(ROWS($U$2:U205),$U$2:$U$1001,0),MATCH(COLUMNS($AB$1006:AQ1006),$AB$1006:$AQ$1006,0)), HYPERLINK("#",""), HYPERLINK(CONCATENATE("#Metadata!", ADDRESS(INDEX($W$2:$W$1001,MATCH(ROWS($U$2:U205),$U$2:$U$1001,0),0), INDEX($AB$1004:$AQ$1004,1,MATCH(COLUMNS($AB$1006:AQ1006),$AB$1006:$AQ$1006,0)))),"Fix")))</f>
        <v>0</v>
      </c>
      <c r="U205">
        <v>0</v>
      </c>
      <c r="V205">
        <v>0</v>
      </c>
      <c r="W205">
        <v>0</v>
      </c>
      <c r="X205">
        <f>IF(Y205,TRUE,AND(AB205:AQ205))</f>
        <v>0</v>
      </c>
      <c r="Y205">
        <f>COUNTBLANK(Metadata!B205:Q205)=COLUMNS(Metadata!B205:Q205)</f>
        <v>0</v>
      </c>
      <c r="Z205">
        <v>0</v>
      </c>
      <c r="AB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AC205">
        <f>AND(IF(Metadata!C205="",FALSE,TRUE),exact(Metadata!C205,"urban biome"))</f>
        <v>0</v>
      </c>
      <c r="AD205">
        <f>AND(IF(Metadata!D205="",FALSE,TRUE),exact(Metadata!D205,"human-associated habitat"))</f>
        <v>0</v>
      </c>
      <c r="AE205">
        <f>AND(IF(Metadata!E205="",FALSE,TRUE),OR(exact(Metadata!E205,"human-associated"),exact(Metadata!E205,"human-skin"),exact(Metadata!E205,"human-oral"),exact(Metadata!E205,"human-gut"),exact(Metadata!E205,"human-vaginal")))</f>
        <v>0</v>
      </c>
      <c r="AF205">
        <f>AND(IF(Metadata!F205="",FALSE,ISNUMBER(VALUE(Metadata!F205))),Metadata!F205&gt;0)</f>
        <v>0</v>
      </c>
      <c r="AG205">
        <f>AND(IF(Metadata!G205="",FALSE,TRUE),exact(Metadata!G205,"years"))</f>
        <v>0</v>
      </c>
      <c r="AH205">
        <f>OR(AND(IF(Metadata!H205="",FALSE,TRUE),OR(exact(Metadata!H205,"not applicable"),exact(Metadata!H205,"not collected"),exact(Metadata!H205,"not provided"),exact(Metadata!H205,"restricted access"))),AND(IF(Metadata!H205="",FALSE,ISNUMBER(VALUE(Metadata!H205))),Metadata!H205&gt;0))</f>
        <v>0</v>
      </c>
      <c r="AI205">
        <f>AND(IF(Metadata!I205="",FALSE,TRUE),exact(Metadata!I205,"human"))</f>
        <v>0</v>
      </c>
      <c r="AJ205">
        <f>AND(IF(Metadata!J205="",FALSE,ISNUMBER(VALUE(Metadata!J205))),Metadata!J205&gt;0)</f>
        <v>0</v>
      </c>
      <c r="AK205">
        <f>AND(IF(Metadata!K205="",FALSE,TRUE),exact(Metadata!K205,"cm"))</f>
        <v>0</v>
      </c>
      <c r="AL205">
        <f>AND(IF(Metadata!L205="",FALSE,TRUE),exact(Metadata!L205,"Homo sapiens"))</f>
        <v>0</v>
      </c>
      <c r="AM205">
        <f>AND(IF(Metadata!M205="",FALSE,TRUE),exact(Metadata!M205,"9606"))</f>
        <v>0</v>
      </c>
      <c r="AN205">
        <f>AND(IF(Metadata!N205="",FALSE,ISNUMBER(VALUE(Metadata!N205))),Metadata!N205&gt;0)</f>
        <v>0</v>
      </c>
      <c r="AO205">
        <f>AND(IF(Metadata!O205="",FALSE,TRUE),exact(Metadata!O205,"kg"))</f>
        <v>0</v>
      </c>
      <c r="AP205">
        <f>OR(AND(IF(Metadata!P205="",FALSE,TRUE),exact(Metadata!P205,"not provided")),IF(Metadata!P205="",FALSE,TRUE))</f>
        <v>0</v>
      </c>
      <c r="AQ205">
        <f>OR(AND(IF(Metadata!Q205="",FALSE,TRUE),exact(Metadata!Q205,"not provided")),IF(Metadata!Q205="",FALSE,TRUE))</f>
        <v>0</v>
      </c>
    </row>
    <row r="206" spans="1:43">
      <c r="A206" s="4">
        <f>IF(B206=" "," ",HYPERLINK(CONCATENATE("#metadata!",ADDRESS(INDEX($W$2:$W$1001,MATCH(ROWS($U$2:U206),$U$2:$U$1001,0),0),2)),INDEX($Z$2:$Z$1001,MATCH(ROWS($U$2:U206),$U$2:$U$1001,0),0)))</f>
        <v>0</v>
      </c>
      <c r="B206" s="5">
        <f>IF(OR(INDEX($V$2:$V$1001,MATCH(ROWS($U$2:U206),$U$2:$U$1001,0),1)&gt;=100000,INDEX($AB$1005:$AQ$1005,1,MATCH(COLUMNS($AB$1006:AB1006),$AB$1006:$AQ$1006,0))&gt;=100000), " ",IF(INDEX($AB$2:$AQ$1001,MATCH(ROWS($U$2:U206),$U$2:$U$1001,0),MATCH(COLUMNS($AB$1006:AB1006),$AB$1006:$AQ$1006,0)), HYPERLINK("#",""), HYPERLINK(CONCATENATE("#Metadata!", ADDRESS(INDEX($W$2:$W$1001,MATCH(ROWS($U$2:U206),$U$2:$U$1001,0),0), INDEX($AB$1004:$AQ$1004,1,MATCH(COLUMNS($AB$1006:AB1006),$AB$1006:$AQ$1006,0)))),"Fix")))</f>
        <v>0</v>
      </c>
      <c r="C206" s="5">
        <f>IF(OR(INDEX($V$2:$V$1001,MATCH(ROWS($U$2:U206),$U$2:$U$1001,0),1)&gt;=100000,INDEX($AB$1005:$AQ$1005,1,MATCH(COLUMNS($AB$1006:AC1006),$AB$1006:$AQ$1006,0))&gt;=100000), " ",IF(INDEX($AB$2:$AQ$1001,MATCH(ROWS($U$2:U206),$U$2:$U$1001,0),MATCH(COLUMNS($AB$1006:AC1006),$AB$1006:$AQ$1006,0)), HYPERLINK("#",""), HYPERLINK(CONCATENATE("#Metadata!", ADDRESS(INDEX($W$2:$W$1001,MATCH(ROWS($U$2:U206),$U$2:$U$1001,0),0), INDEX($AB$1004:$AQ$1004,1,MATCH(COLUMNS($AB$1006:AC1006),$AB$1006:$AQ$1006,0)))),"Fix")))</f>
        <v>0</v>
      </c>
      <c r="D206" s="5">
        <f>IF(OR(INDEX($V$2:$V$1001,MATCH(ROWS($U$2:U206),$U$2:$U$1001,0),1)&gt;=100000,INDEX($AB$1005:$AQ$1005,1,MATCH(COLUMNS($AB$1006:AD1006),$AB$1006:$AQ$1006,0))&gt;=100000), " ",IF(INDEX($AB$2:$AQ$1001,MATCH(ROWS($U$2:U206),$U$2:$U$1001,0),MATCH(COLUMNS($AB$1006:AD1006),$AB$1006:$AQ$1006,0)), HYPERLINK("#",""), HYPERLINK(CONCATENATE("#Metadata!", ADDRESS(INDEX($W$2:$W$1001,MATCH(ROWS($U$2:U206),$U$2:$U$1001,0),0), INDEX($AB$1004:$AQ$1004,1,MATCH(COLUMNS($AB$1006:AD1006),$AB$1006:$AQ$1006,0)))),"Fix")))</f>
        <v>0</v>
      </c>
      <c r="E206" s="5">
        <f>IF(OR(INDEX($V$2:$V$1001,MATCH(ROWS($U$2:U206),$U$2:$U$1001,0),1)&gt;=100000,INDEX($AB$1005:$AQ$1005,1,MATCH(COLUMNS($AB$1006:AE1006),$AB$1006:$AQ$1006,0))&gt;=100000), " ",IF(INDEX($AB$2:$AQ$1001,MATCH(ROWS($U$2:U206),$U$2:$U$1001,0),MATCH(COLUMNS($AB$1006:AE1006),$AB$1006:$AQ$1006,0)), HYPERLINK("#",""), HYPERLINK(CONCATENATE("#Metadata!", ADDRESS(INDEX($W$2:$W$1001,MATCH(ROWS($U$2:U206),$U$2:$U$1001,0),0), INDEX($AB$1004:$AQ$1004,1,MATCH(COLUMNS($AB$1006:AE1006),$AB$1006:$AQ$1006,0)))),"Fix")))</f>
        <v>0</v>
      </c>
      <c r="F206" s="5">
        <f>IF(OR(INDEX($V$2:$V$1001,MATCH(ROWS($U$2:U206),$U$2:$U$1001,0),1)&gt;=100000,INDEX($AB$1005:$AQ$1005,1,MATCH(COLUMNS($AB$1006:AF1006),$AB$1006:$AQ$1006,0))&gt;=100000), " ",IF(INDEX($AB$2:$AQ$1001,MATCH(ROWS($U$2:U206),$U$2:$U$1001,0),MATCH(COLUMNS($AB$1006:AF1006),$AB$1006:$AQ$1006,0)), HYPERLINK("#",""), HYPERLINK(CONCATENATE("#Metadata!", ADDRESS(INDEX($W$2:$W$1001,MATCH(ROWS($U$2:U206),$U$2:$U$1001,0),0), INDEX($AB$1004:$AQ$1004,1,MATCH(COLUMNS($AB$1006:AF1006),$AB$1006:$AQ$1006,0)))),"Fix")))</f>
        <v>0</v>
      </c>
      <c r="G206" s="5">
        <f>IF(OR(INDEX($V$2:$V$1001,MATCH(ROWS($U$2:U206),$U$2:$U$1001,0),1)&gt;=100000,INDEX($AB$1005:$AQ$1005,1,MATCH(COLUMNS($AB$1006:AG1006),$AB$1006:$AQ$1006,0))&gt;=100000), " ",IF(INDEX($AB$2:$AQ$1001,MATCH(ROWS($U$2:U206),$U$2:$U$1001,0),MATCH(COLUMNS($AB$1006:AG1006),$AB$1006:$AQ$1006,0)), HYPERLINK("#",""), HYPERLINK(CONCATENATE("#Metadata!", ADDRESS(INDEX($W$2:$W$1001,MATCH(ROWS($U$2:U206),$U$2:$U$1001,0),0), INDEX($AB$1004:$AQ$1004,1,MATCH(COLUMNS($AB$1006:AG1006),$AB$1006:$AQ$1006,0)))),"Fix")))</f>
        <v>0</v>
      </c>
      <c r="H206" s="5">
        <f>IF(OR(INDEX($V$2:$V$1001,MATCH(ROWS($U$2:U206),$U$2:$U$1001,0),1)&gt;=100000,INDEX($AB$1005:$AQ$1005,1,MATCH(COLUMNS($AB$1006:AH1006),$AB$1006:$AQ$1006,0))&gt;=100000), " ",IF(INDEX($AB$2:$AQ$1001,MATCH(ROWS($U$2:U206),$U$2:$U$1001,0),MATCH(COLUMNS($AB$1006:AH1006),$AB$1006:$AQ$1006,0)), HYPERLINK("#",""), HYPERLINK(CONCATENATE("#Metadata!", ADDRESS(INDEX($W$2:$W$1001,MATCH(ROWS($U$2:U206),$U$2:$U$1001,0),0), INDEX($AB$1004:$AQ$1004,1,MATCH(COLUMNS($AB$1006:AH1006),$AB$1006:$AQ$1006,0)))),"Fix")))</f>
        <v>0</v>
      </c>
      <c r="I206" s="5">
        <f>IF(OR(INDEX($V$2:$V$1001,MATCH(ROWS($U$2:U206),$U$2:$U$1001,0),1)&gt;=100000,INDEX($AB$1005:$AQ$1005,1,MATCH(COLUMNS($AB$1006:AI1006),$AB$1006:$AQ$1006,0))&gt;=100000), " ",IF(INDEX($AB$2:$AQ$1001,MATCH(ROWS($U$2:U206),$U$2:$U$1001,0),MATCH(COLUMNS($AB$1006:AI1006),$AB$1006:$AQ$1006,0)), HYPERLINK("#",""), HYPERLINK(CONCATENATE("#Metadata!", ADDRESS(INDEX($W$2:$W$1001,MATCH(ROWS($U$2:U206),$U$2:$U$1001,0),0), INDEX($AB$1004:$AQ$1004,1,MATCH(COLUMNS($AB$1006:AI1006),$AB$1006:$AQ$1006,0)))),"Fix")))</f>
        <v>0</v>
      </c>
      <c r="J206" s="5">
        <f>IF(OR(INDEX($V$2:$V$1001,MATCH(ROWS($U$2:U206),$U$2:$U$1001,0),1)&gt;=100000,INDEX($AB$1005:$AQ$1005,1,MATCH(COLUMNS($AB$1006:AJ1006),$AB$1006:$AQ$1006,0))&gt;=100000), " ",IF(INDEX($AB$2:$AQ$1001,MATCH(ROWS($U$2:U206),$U$2:$U$1001,0),MATCH(COLUMNS($AB$1006:AJ1006),$AB$1006:$AQ$1006,0)), HYPERLINK("#",""), HYPERLINK(CONCATENATE("#Metadata!", ADDRESS(INDEX($W$2:$W$1001,MATCH(ROWS($U$2:U206),$U$2:$U$1001,0),0), INDEX($AB$1004:$AQ$1004,1,MATCH(COLUMNS($AB$1006:AJ1006),$AB$1006:$AQ$1006,0)))),"Fix")))</f>
        <v>0</v>
      </c>
      <c r="K206" s="5">
        <f>IF(OR(INDEX($V$2:$V$1001,MATCH(ROWS($U$2:U206),$U$2:$U$1001,0),1)&gt;=100000,INDEX($AB$1005:$AQ$1005,1,MATCH(COLUMNS($AB$1006:AK1006),$AB$1006:$AQ$1006,0))&gt;=100000), " ",IF(INDEX($AB$2:$AQ$1001,MATCH(ROWS($U$2:U206),$U$2:$U$1001,0),MATCH(COLUMNS($AB$1006:AK1006),$AB$1006:$AQ$1006,0)), HYPERLINK("#",""), HYPERLINK(CONCATENATE("#Metadata!", ADDRESS(INDEX($W$2:$W$1001,MATCH(ROWS($U$2:U206),$U$2:$U$1001,0),0), INDEX($AB$1004:$AQ$1004,1,MATCH(COLUMNS($AB$1006:AK1006),$AB$1006:$AQ$1006,0)))),"Fix")))</f>
        <v>0</v>
      </c>
      <c r="L206" s="5">
        <f>IF(OR(INDEX($V$2:$V$1001,MATCH(ROWS($U$2:U206),$U$2:$U$1001,0),1)&gt;=100000,INDEX($AB$1005:$AQ$1005,1,MATCH(COLUMNS($AB$1006:AL1006),$AB$1006:$AQ$1006,0))&gt;=100000), " ",IF(INDEX($AB$2:$AQ$1001,MATCH(ROWS($U$2:U206),$U$2:$U$1001,0),MATCH(COLUMNS($AB$1006:AL1006),$AB$1006:$AQ$1006,0)), HYPERLINK("#",""), HYPERLINK(CONCATENATE("#Metadata!", ADDRESS(INDEX($W$2:$W$1001,MATCH(ROWS($U$2:U206),$U$2:$U$1001,0),0), INDEX($AB$1004:$AQ$1004,1,MATCH(COLUMNS($AB$1006:AL1006),$AB$1006:$AQ$1006,0)))),"Fix")))</f>
        <v>0</v>
      </c>
      <c r="M206" s="5">
        <f>IF(OR(INDEX($V$2:$V$1001,MATCH(ROWS($U$2:U206),$U$2:$U$1001,0),1)&gt;=100000,INDEX($AB$1005:$AQ$1005,1,MATCH(COLUMNS($AB$1006:AM1006),$AB$1006:$AQ$1006,0))&gt;=100000), " ",IF(INDEX($AB$2:$AQ$1001,MATCH(ROWS($U$2:U206),$U$2:$U$1001,0),MATCH(COLUMNS($AB$1006:AM1006),$AB$1006:$AQ$1006,0)), HYPERLINK("#",""), HYPERLINK(CONCATENATE("#Metadata!", ADDRESS(INDEX($W$2:$W$1001,MATCH(ROWS($U$2:U206),$U$2:$U$1001,0),0), INDEX($AB$1004:$AQ$1004,1,MATCH(COLUMNS($AB$1006:AM1006),$AB$1006:$AQ$1006,0)))),"Fix")))</f>
        <v>0</v>
      </c>
      <c r="N206" s="5">
        <f>IF(OR(INDEX($V$2:$V$1001,MATCH(ROWS($U$2:U206),$U$2:$U$1001,0),1)&gt;=100000,INDEX($AB$1005:$AQ$1005,1,MATCH(COLUMNS($AB$1006:AN1006),$AB$1006:$AQ$1006,0))&gt;=100000), " ",IF(INDEX($AB$2:$AQ$1001,MATCH(ROWS($U$2:U206),$U$2:$U$1001,0),MATCH(COLUMNS($AB$1006:AN1006),$AB$1006:$AQ$1006,0)), HYPERLINK("#",""), HYPERLINK(CONCATENATE("#Metadata!", ADDRESS(INDEX($W$2:$W$1001,MATCH(ROWS($U$2:U206),$U$2:$U$1001,0),0), INDEX($AB$1004:$AQ$1004,1,MATCH(COLUMNS($AB$1006:AN1006),$AB$1006:$AQ$1006,0)))),"Fix")))</f>
        <v>0</v>
      </c>
      <c r="O206" s="5">
        <f>IF(OR(INDEX($V$2:$V$1001,MATCH(ROWS($U$2:U206),$U$2:$U$1001,0),1)&gt;=100000,INDEX($AB$1005:$AQ$1005,1,MATCH(COLUMNS($AB$1006:AO1006),$AB$1006:$AQ$1006,0))&gt;=100000), " ",IF(INDEX($AB$2:$AQ$1001,MATCH(ROWS($U$2:U206),$U$2:$U$1001,0),MATCH(COLUMNS($AB$1006:AO1006),$AB$1006:$AQ$1006,0)), HYPERLINK("#",""), HYPERLINK(CONCATENATE("#Metadata!", ADDRESS(INDEX($W$2:$W$1001,MATCH(ROWS($U$2:U206),$U$2:$U$1001,0),0), INDEX($AB$1004:$AQ$1004,1,MATCH(COLUMNS($AB$1006:AO1006),$AB$1006:$AQ$1006,0)))),"Fix")))</f>
        <v>0</v>
      </c>
      <c r="P206" s="5">
        <f>IF(OR(INDEX($V$2:$V$1001,MATCH(ROWS($U$2:U206),$U$2:$U$1001,0),1)&gt;=100000,INDEX($AB$1005:$AQ$1005,1,MATCH(COLUMNS($AB$1006:AP1006),$AB$1006:$AQ$1006,0))&gt;=100000), " ",IF(INDEX($AB$2:$AQ$1001,MATCH(ROWS($U$2:U206),$U$2:$U$1001,0),MATCH(COLUMNS($AB$1006:AP1006),$AB$1006:$AQ$1006,0)), HYPERLINK("#",""), HYPERLINK(CONCATENATE("#Metadata!", ADDRESS(INDEX($W$2:$W$1001,MATCH(ROWS($U$2:U206),$U$2:$U$1001,0),0), INDEX($AB$1004:$AQ$1004,1,MATCH(COLUMNS($AB$1006:AP1006),$AB$1006:$AQ$1006,0)))),"Fix")))</f>
        <v>0</v>
      </c>
      <c r="Q206" s="5">
        <f>IF(OR(INDEX($V$2:$V$1001,MATCH(ROWS($U$2:U206),$U$2:$U$1001,0),1)&gt;=100000,INDEX($AB$1005:$AQ$1005,1,MATCH(COLUMNS($AB$1006:AQ1006),$AB$1006:$AQ$1006,0))&gt;=100000), " ",IF(INDEX($AB$2:$AQ$1001,MATCH(ROWS($U$2:U206),$U$2:$U$1001,0),MATCH(COLUMNS($AB$1006:AQ1006),$AB$1006:$AQ$1006,0)), HYPERLINK("#",""), HYPERLINK(CONCATENATE("#Metadata!", ADDRESS(INDEX($W$2:$W$1001,MATCH(ROWS($U$2:U206),$U$2:$U$1001,0),0), INDEX($AB$1004:$AQ$1004,1,MATCH(COLUMNS($AB$1006:AQ1006),$AB$1006:$AQ$1006,0)))),"Fix")))</f>
        <v>0</v>
      </c>
      <c r="U206">
        <v>0</v>
      </c>
      <c r="V206">
        <v>0</v>
      </c>
      <c r="W206">
        <v>0</v>
      </c>
      <c r="X206">
        <f>IF(Y206,TRUE,AND(AB206:AQ206))</f>
        <v>0</v>
      </c>
      <c r="Y206">
        <f>COUNTBLANK(Metadata!B206:Q206)=COLUMNS(Metadata!B206:Q206)</f>
        <v>0</v>
      </c>
      <c r="Z206">
        <v>0</v>
      </c>
      <c r="AB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AC206">
        <f>AND(IF(Metadata!C206="",FALSE,TRUE),exact(Metadata!C206,"urban biome"))</f>
        <v>0</v>
      </c>
      <c r="AD206">
        <f>AND(IF(Metadata!D206="",FALSE,TRUE),exact(Metadata!D206,"human-associated habitat"))</f>
        <v>0</v>
      </c>
      <c r="AE206">
        <f>AND(IF(Metadata!E206="",FALSE,TRUE),OR(exact(Metadata!E206,"human-associated"),exact(Metadata!E206,"human-skin"),exact(Metadata!E206,"human-oral"),exact(Metadata!E206,"human-gut"),exact(Metadata!E206,"human-vaginal")))</f>
        <v>0</v>
      </c>
      <c r="AF206">
        <f>AND(IF(Metadata!F206="",FALSE,ISNUMBER(VALUE(Metadata!F206))),Metadata!F206&gt;0)</f>
        <v>0</v>
      </c>
      <c r="AG206">
        <f>AND(IF(Metadata!G206="",FALSE,TRUE),exact(Metadata!G206,"years"))</f>
        <v>0</v>
      </c>
      <c r="AH206">
        <f>OR(AND(IF(Metadata!H206="",FALSE,TRUE),OR(exact(Metadata!H206,"not applicable"),exact(Metadata!H206,"not collected"),exact(Metadata!H206,"not provided"),exact(Metadata!H206,"restricted access"))),AND(IF(Metadata!H206="",FALSE,ISNUMBER(VALUE(Metadata!H206))),Metadata!H206&gt;0))</f>
        <v>0</v>
      </c>
      <c r="AI206">
        <f>AND(IF(Metadata!I206="",FALSE,TRUE),exact(Metadata!I206,"human"))</f>
        <v>0</v>
      </c>
      <c r="AJ206">
        <f>AND(IF(Metadata!J206="",FALSE,ISNUMBER(VALUE(Metadata!J206))),Metadata!J206&gt;0)</f>
        <v>0</v>
      </c>
      <c r="AK206">
        <f>AND(IF(Metadata!K206="",FALSE,TRUE),exact(Metadata!K206,"cm"))</f>
        <v>0</v>
      </c>
      <c r="AL206">
        <f>AND(IF(Metadata!L206="",FALSE,TRUE),exact(Metadata!L206,"Homo sapiens"))</f>
        <v>0</v>
      </c>
      <c r="AM206">
        <f>AND(IF(Metadata!M206="",FALSE,TRUE),exact(Metadata!M206,"9606"))</f>
        <v>0</v>
      </c>
      <c r="AN206">
        <f>AND(IF(Metadata!N206="",FALSE,ISNUMBER(VALUE(Metadata!N206))),Metadata!N206&gt;0)</f>
        <v>0</v>
      </c>
      <c r="AO206">
        <f>AND(IF(Metadata!O206="",FALSE,TRUE),exact(Metadata!O206,"kg"))</f>
        <v>0</v>
      </c>
      <c r="AP206">
        <f>OR(AND(IF(Metadata!P206="",FALSE,TRUE),exact(Metadata!P206,"not provided")),IF(Metadata!P206="",FALSE,TRUE))</f>
        <v>0</v>
      </c>
      <c r="AQ206">
        <f>OR(AND(IF(Metadata!Q206="",FALSE,TRUE),exact(Metadata!Q206,"not provided")),IF(Metadata!Q206="",FALSE,TRUE))</f>
        <v>0</v>
      </c>
    </row>
    <row r="207" spans="1:43">
      <c r="A207" s="4">
        <f>IF(B207=" "," ",HYPERLINK(CONCATENATE("#metadata!",ADDRESS(INDEX($W$2:$W$1001,MATCH(ROWS($U$2:U207),$U$2:$U$1001,0),0),2)),INDEX($Z$2:$Z$1001,MATCH(ROWS($U$2:U207),$U$2:$U$1001,0),0)))</f>
        <v>0</v>
      </c>
      <c r="B207" s="5">
        <f>IF(OR(INDEX($V$2:$V$1001,MATCH(ROWS($U$2:U207),$U$2:$U$1001,0),1)&gt;=100000,INDEX($AB$1005:$AQ$1005,1,MATCH(COLUMNS($AB$1006:AB1006),$AB$1006:$AQ$1006,0))&gt;=100000), " ",IF(INDEX($AB$2:$AQ$1001,MATCH(ROWS($U$2:U207),$U$2:$U$1001,0),MATCH(COLUMNS($AB$1006:AB1006),$AB$1006:$AQ$1006,0)), HYPERLINK("#",""), HYPERLINK(CONCATENATE("#Metadata!", ADDRESS(INDEX($W$2:$W$1001,MATCH(ROWS($U$2:U207),$U$2:$U$1001,0),0), INDEX($AB$1004:$AQ$1004,1,MATCH(COLUMNS($AB$1006:AB1006),$AB$1006:$AQ$1006,0)))),"Fix")))</f>
        <v>0</v>
      </c>
      <c r="C207" s="5">
        <f>IF(OR(INDEX($V$2:$V$1001,MATCH(ROWS($U$2:U207),$U$2:$U$1001,0),1)&gt;=100000,INDEX($AB$1005:$AQ$1005,1,MATCH(COLUMNS($AB$1006:AC1006),$AB$1006:$AQ$1006,0))&gt;=100000), " ",IF(INDEX($AB$2:$AQ$1001,MATCH(ROWS($U$2:U207),$U$2:$U$1001,0),MATCH(COLUMNS($AB$1006:AC1006),$AB$1006:$AQ$1006,0)), HYPERLINK("#",""), HYPERLINK(CONCATENATE("#Metadata!", ADDRESS(INDEX($W$2:$W$1001,MATCH(ROWS($U$2:U207),$U$2:$U$1001,0),0), INDEX($AB$1004:$AQ$1004,1,MATCH(COLUMNS($AB$1006:AC1006),$AB$1006:$AQ$1006,0)))),"Fix")))</f>
        <v>0</v>
      </c>
      <c r="D207" s="5">
        <f>IF(OR(INDEX($V$2:$V$1001,MATCH(ROWS($U$2:U207),$U$2:$U$1001,0),1)&gt;=100000,INDEX($AB$1005:$AQ$1005,1,MATCH(COLUMNS($AB$1006:AD1006),$AB$1006:$AQ$1006,0))&gt;=100000), " ",IF(INDEX($AB$2:$AQ$1001,MATCH(ROWS($U$2:U207),$U$2:$U$1001,0),MATCH(COLUMNS($AB$1006:AD1006),$AB$1006:$AQ$1006,0)), HYPERLINK("#",""), HYPERLINK(CONCATENATE("#Metadata!", ADDRESS(INDEX($W$2:$W$1001,MATCH(ROWS($U$2:U207),$U$2:$U$1001,0),0), INDEX($AB$1004:$AQ$1004,1,MATCH(COLUMNS($AB$1006:AD1006),$AB$1006:$AQ$1006,0)))),"Fix")))</f>
        <v>0</v>
      </c>
      <c r="E207" s="5">
        <f>IF(OR(INDEX($V$2:$V$1001,MATCH(ROWS($U$2:U207),$U$2:$U$1001,0),1)&gt;=100000,INDEX($AB$1005:$AQ$1005,1,MATCH(COLUMNS($AB$1006:AE1006),$AB$1006:$AQ$1006,0))&gt;=100000), " ",IF(INDEX($AB$2:$AQ$1001,MATCH(ROWS($U$2:U207),$U$2:$U$1001,0),MATCH(COLUMNS($AB$1006:AE1006),$AB$1006:$AQ$1006,0)), HYPERLINK("#",""), HYPERLINK(CONCATENATE("#Metadata!", ADDRESS(INDEX($W$2:$W$1001,MATCH(ROWS($U$2:U207),$U$2:$U$1001,0),0), INDEX($AB$1004:$AQ$1004,1,MATCH(COLUMNS($AB$1006:AE1006),$AB$1006:$AQ$1006,0)))),"Fix")))</f>
        <v>0</v>
      </c>
      <c r="F207" s="5">
        <f>IF(OR(INDEX($V$2:$V$1001,MATCH(ROWS($U$2:U207),$U$2:$U$1001,0),1)&gt;=100000,INDEX($AB$1005:$AQ$1005,1,MATCH(COLUMNS($AB$1006:AF1006),$AB$1006:$AQ$1006,0))&gt;=100000), " ",IF(INDEX($AB$2:$AQ$1001,MATCH(ROWS($U$2:U207),$U$2:$U$1001,0),MATCH(COLUMNS($AB$1006:AF1006),$AB$1006:$AQ$1006,0)), HYPERLINK("#",""), HYPERLINK(CONCATENATE("#Metadata!", ADDRESS(INDEX($W$2:$W$1001,MATCH(ROWS($U$2:U207),$U$2:$U$1001,0),0), INDEX($AB$1004:$AQ$1004,1,MATCH(COLUMNS($AB$1006:AF1006),$AB$1006:$AQ$1006,0)))),"Fix")))</f>
        <v>0</v>
      </c>
      <c r="G207" s="5">
        <f>IF(OR(INDEX($V$2:$V$1001,MATCH(ROWS($U$2:U207),$U$2:$U$1001,0),1)&gt;=100000,INDEX($AB$1005:$AQ$1005,1,MATCH(COLUMNS($AB$1006:AG1006),$AB$1006:$AQ$1006,0))&gt;=100000), " ",IF(INDEX($AB$2:$AQ$1001,MATCH(ROWS($U$2:U207),$U$2:$U$1001,0),MATCH(COLUMNS($AB$1006:AG1006),$AB$1006:$AQ$1006,0)), HYPERLINK("#",""), HYPERLINK(CONCATENATE("#Metadata!", ADDRESS(INDEX($W$2:$W$1001,MATCH(ROWS($U$2:U207),$U$2:$U$1001,0),0), INDEX($AB$1004:$AQ$1004,1,MATCH(COLUMNS($AB$1006:AG1006),$AB$1006:$AQ$1006,0)))),"Fix")))</f>
        <v>0</v>
      </c>
      <c r="H207" s="5">
        <f>IF(OR(INDEX($V$2:$V$1001,MATCH(ROWS($U$2:U207),$U$2:$U$1001,0),1)&gt;=100000,INDEX($AB$1005:$AQ$1005,1,MATCH(COLUMNS($AB$1006:AH1006),$AB$1006:$AQ$1006,0))&gt;=100000), " ",IF(INDEX($AB$2:$AQ$1001,MATCH(ROWS($U$2:U207),$U$2:$U$1001,0),MATCH(COLUMNS($AB$1006:AH1006),$AB$1006:$AQ$1006,0)), HYPERLINK("#",""), HYPERLINK(CONCATENATE("#Metadata!", ADDRESS(INDEX($W$2:$W$1001,MATCH(ROWS($U$2:U207),$U$2:$U$1001,0),0), INDEX($AB$1004:$AQ$1004,1,MATCH(COLUMNS($AB$1006:AH1006),$AB$1006:$AQ$1006,0)))),"Fix")))</f>
        <v>0</v>
      </c>
      <c r="I207" s="5">
        <f>IF(OR(INDEX($V$2:$V$1001,MATCH(ROWS($U$2:U207),$U$2:$U$1001,0),1)&gt;=100000,INDEX($AB$1005:$AQ$1005,1,MATCH(COLUMNS($AB$1006:AI1006),$AB$1006:$AQ$1006,0))&gt;=100000), " ",IF(INDEX($AB$2:$AQ$1001,MATCH(ROWS($U$2:U207),$U$2:$U$1001,0),MATCH(COLUMNS($AB$1006:AI1006),$AB$1006:$AQ$1006,0)), HYPERLINK("#",""), HYPERLINK(CONCATENATE("#Metadata!", ADDRESS(INDEX($W$2:$W$1001,MATCH(ROWS($U$2:U207),$U$2:$U$1001,0),0), INDEX($AB$1004:$AQ$1004,1,MATCH(COLUMNS($AB$1006:AI1006),$AB$1006:$AQ$1006,0)))),"Fix")))</f>
        <v>0</v>
      </c>
      <c r="J207" s="5">
        <f>IF(OR(INDEX($V$2:$V$1001,MATCH(ROWS($U$2:U207),$U$2:$U$1001,0),1)&gt;=100000,INDEX($AB$1005:$AQ$1005,1,MATCH(COLUMNS($AB$1006:AJ1006),$AB$1006:$AQ$1006,0))&gt;=100000), " ",IF(INDEX($AB$2:$AQ$1001,MATCH(ROWS($U$2:U207),$U$2:$U$1001,0),MATCH(COLUMNS($AB$1006:AJ1006),$AB$1006:$AQ$1006,0)), HYPERLINK("#",""), HYPERLINK(CONCATENATE("#Metadata!", ADDRESS(INDEX($W$2:$W$1001,MATCH(ROWS($U$2:U207),$U$2:$U$1001,0),0), INDEX($AB$1004:$AQ$1004,1,MATCH(COLUMNS($AB$1006:AJ1006),$AB$1006:$AQ$1006,0)))),"Fix")))</f>
        <v>0</v>
      </c>
      <c r="K207" s="5">
        <f>IF(OR(INDEX($V$2:$V$1001,MATCH(ROWS($U$2:U207),$U$2:$U$1001,0),1)&gt;=100000,INDEX($AB$1005:$AQ$1005,1,MATCH(COLUMNS($AB$1006:AK1006),$AB$1006:$AQ$1006,0))&gt;=100000), " ",IF(INDEX($AB$2:$AQ$1001,MATCH(ROWS($U$2:U207),$U$2:$U$1001,0),MATCH(COLUMNS($AB$1006:AK1006),$AB$1006:$AQ$1006,0)), HYPERLINK("#",""), HYPERLINK(CONCATENATE("#Metadata!", ADDRESS(INDEX($W$2:$W$1001,MATCH(ROWS($U$2:U207),$U$2:$U$1001,0),0), INDEX($AB$1004:$AQ$1004,1,MATCH(COLUMNS($AB$1006:AK1006),$AB$1006:$AQ$1006,0)))),"Fix")))</f>
        <v>0</v>
      </c>
      <c r="L207" s="5">
        <f>IF(OR(INDEX($V$2:$V$1001,MATCH(ROWS($U$2:U207),$U$2:$U$1001,0),1)&gt;=100000,INDEX($AB$1005:$AQ$1005,1,MATCH(COLUMNS($AB$1006:AL1006),$AB$1006:$AQ$1006,0))&gt;=100000), " ",IF(INDEX($AB$2:$AQ$1001,MATCH(ROWS($U$2:U207),$U$2:$U$1001,0),MATCH(COLUMNS($AB$1006:AL1006),$AB$1006:$AQ$1006,0)), HYPERLINK("#",""), HYPERLINK(CONCATENATE("#Metadata!", ADDRESS(INDEX($W$2:$W$1001,MATCH(ROWS($U$2:U207),$U$2:$U$1001,0),0), INDEX($AB$1004:$AQ$1004,1,MATCH(COLUMNS($AB$1006:AL1006),$AB$1006:$AQ$1006,0)))),"Fix")))</f>
        <v>0</v>
      </c>
      <c r="M207" s="5">
        <f>IF(OR(INDEX($V$2:$V$1001,MATCH(ROWS($U$2:U207),$U$2:$U$1001,0),1)&gt;=100000,INDEX($AB$1005:$AQ$1005,1,MATCH(COLUMNS($AB$1006:AM1006),$AB$1006:$AQ$1006,0))&gt;=100000), " ",IF(INDEX($AB$2:$AQ$1001,MATCH(ROWS($U$2:U207),$U$2:$U$1001,0),MATCH(COLUMNS($AB$1006:AM1006),$AB$1006:$AQ$1006,0)), HYPERLINK("#",""), HYPERLINK(CONCATENATE("#Metadata!", ADDRESS(INDEX($W$2:$W$1001,MATCH(ROWS($U$2:U207),$U$2:$U$1001,0),0), INDEX($AB$1004:$AQ$1004,1,MATCH(COLUMNS($AB$1006:AM1006),$AB$1006:$AQ$1006,0)))),"Fix")))</f>
        <v>0</v>
      </c>
      <c r="N207" s="5">
        <f>IF(OR(INDEX($V$2:$V$1001,MATCH(ROWS($U$2:U207),$U$2:$U$1001,0),1)&gt;=100000,INDEX($AB$1005:$AQ$1005,1,MATCH(COLUMNS($AB$1006:AN1006),$AB$1006:$AQ$1006,0))&gt;=100000), " ",IF(INDEX($AB$2:$AQ$1001,MATCH(ROWS($U$2:U207),$U$2:$U$1001,0),MATCH(COLUMNS($AB$1006:AN1006),$AB$1006:$AQ$1006,0)), HYPERLINK("#",""), HYPERLINK(CONCATENATE("#Metadata!", ADDRESS(INDEX($W$2:$W$1001,MATCH(ROWS($U$2:U207),$U$2:$U$1001,0),0), INDEX($AB$1004:$AQ$1004,1,MATCH(COLUMNS($AB$1006:AN1006),$AB$1006:$AQ$1006,0)))),"Fix")))</f>
        <v>0</v>
      </c>
      <c r="O207" s="5">
        <f>IF(OR(INDEX($V$2:$V$1001,MATCH(ROWS($U$2:U207),$U$2:$U$1001,0),1)&gt;=100000,INDEX($AB$1005:$AQ$1005,1,MATCH(COLUMNS($AB$1006:AO1006),$AB$1006:$AQ$1006,0))&gt;=100000), " ",IF(INDEX($AB$2:$AQ$1001,MATCH(ROWS($U$2:U207),$U$2:$U$1001,0),MATCH(COLUMNS($AB$1006:AO1006),$AB$1006:$AQ$1006,0)), HYPERLINK("#",""), HYPERLINK(CONCATENATE("#Metadata!", ADDRESS(INDEX($W$2:$W$1001,MATCH(ROWS($U$2:U207),$U$2:$U$1001,0),0), INDEX($AB$1004:$AQ$1004,1,MATCH(COLUMNS($AB$1006:AO1006),$AB$1006:$AQ$1006,0)))),"Fix")))</f>
        <v>0</v>
      </c>
      <c r="P207" s="5">
        <f>IF(OR(INDEX($V$2:$V$1001,MATCH(ROWS($U$2:U207),$U$2:$U$1001,0),1)&gt;=100000,INDEX($AB$1005:$AQ$1005,1,MATCH(COLUMNS($AB$1006:AP1006),$AB$1006:$AQ$1006,0))&gt;=100000), " ",IF(INDEX($AB$2:$AQ$1001,MATCH(ROWS($U$2:U207),$U$2:$U$1001,0),MATCH(COLUMNS($AB$1006:AP1006),$AB$1006:$AQ$1006,0)), HYPERLINK("#",""), HYPERLINK(CONCATENATE("#Metadata!", ADDRESS(INDEX($W$2:$W$1001,MATCH(ROWS($U$2:U207),$U$2:$U$1001,0),0), INDEX($AB$1004:$AQ$1004,1,MATCH(COLUMNS($AB$1006:AP1006),$AB$1006:$AQ$1006,0)))),"Fix")))</f>
        <v>0</v>
      </c>
      <c r="Q207" s="5">
        <f>IF(OR(INDEX($V$2:$V$1001,MATCH(ROWS($U$2:U207),$U$2:$U$1001,0),1)&gt;=100000,INDEX($AB$1005:$AQ$1005,1,MATCH(COLUMNS($AB$1006:AQ1006),$AB$1006:$AQ$1006,0))&gt;=100000), " ",IF(INDEX($AB$2:$AQ$1001,MATCH(ROWS($U$2:U207),$U$2:$U$1001,0),MATCH(COLUMNS($AB$1006:AQ1006),$AB$1006:$AQ$1006,0)), HYPERLINK("#",""), HYPERLINK(CONCATENATE("#Metadata!", ADDRESS(INDEX($W$2:$W$1001,MATCH(ROWS($U$2:U207),$U$2:$U$1001,0),0), INDEX($AB$1004:$AQ$1004,1,MATCH(COLUMNS($AB$1006:AQ1006),$AB$1006:$AQ$1006,0)))),"Fix")))</f>
        <v>0</v>
      </c>
      <c r="U207">
        <v>0</v>
      </c>
      <c r="V207">
        <v>0</v>
      </c>
      <c r="W207">
        <v>0</v>
      </c>
      <c r="X207">
        <f>IF(Y207,TRUE,AND(AB207:AQ207))</f>
        <v>0</v>
      </c>
      <c r="Y207">
        <f>COUNTBLANK(Metadata!B207:Q207)=COLUMNS(Metadata!B207:Q207)</f>
        <v>0</v>
      </c>
      <c r="Z207">
        <v>0</v>
      </c>
      <c r="AB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AC207">
        <f>AND(IF(Metadata!C207="",FALSE,TRUE),exact(Metadata!C207,"urban biome"))</f>
        <v>0</v>
      </c>
      <c r="AD207">
        <f>AND(IF(Metadata!D207="",FALSE,TRUE),exact(Metadata!D207,"human-associated habitat"))</f>
        <v>0</v>
      </c>
      <c r="AE207">
        <f>AND(IF(Metadata!E207="",FALSE,TRUE),OR(exact(Metadata!E207,"human-associated"),exact(Metadata!E207,"human-skin"),exact(Metadata!E207,"human-oral"),exact(Metadata!E207,"human-gut"),exact(Metadata!E207,"human-vaginal")))</f>
        <v>0</v>
      </c>
      <c r="AF207">
        <f>AND(IF(Metadata!F207="",FALSE,ISNUMBER(VALUE(Metadata!F207))),Metadata!F207&gt;0)</f>
        <v>0</v>
      </c>
      <c r="AG207">
        <f>AND(IF(Metadata!G207="",FALSE,TRUE),exact(Metadata!G207,"years"))</f>
        <v>0</v>
      </c>
      <c r="AH207">
        <f>OR(AND(IF(Metadata!H207="",FALSE,TRUE),OR(exact(Metadata!H207,"not applicable"),exact(Metadata!H207,"not collected"),exact(Metadata!H207,"not provided"),exact(Metadata!H207,"restricted access"))),AND(IF(Metadata!H207="",FALSE,ISNUMBER(VALUE(Metadata!H207))),Metadata!H207&gt;0))</f>
        <v>0</v>
      </c>
      <c r="AI207">
        <f>AND(IF(Metadata!I207="",FALSE,TRUE),exact(Metadata!I207,"human"))</f>
        <v>0</v>
      </c>
      <c r="AJ207">
        <f>AND(IF(Metadata!J207="",FALSE,ISNUMBER(VALUE(Metadata!J207))),Metadata!J207&gt;0)</f>
        <v>0</v>
      </c>
      <c r="AK207">
        <f>AND(IF(Metadata!K207="",FALSE,TRUE),exact(Metadata!K207,"cm"))</f>
        <v>0</v>
      </c>
      <c r="AL207">
        <f>AND(IF(Metadata!L207="",FALSE,TRUE),exact(Metadata!L207,"Homo sapiens"))</f>
        <v>0</v>
      </c>
      <c r="AM207">
        <f>AND(IF(Metadata!M207="",FALSE,TRUE),exact(Metadata!M207,"9606"))</f>
        <v>0</v>
      </c>
      <c r="AN207">
        <f>AND(IF(Metadata!N207="",FALSE,ISNUMBER(VALUE(Metadata!N207))),Metadata!N207&gt;0)</f>
        <v>0</v>
      </c>
      <c r="AO207">
        <f>AND(IF(Metadata!O207="",FALSE,TRUE),exact(Metadata!O207,"kg"))</f>
        <v>0</v>
      </c>
      <c r="AP207">
        <f>OR(AND(IF(Metadata!P207="",FALSE,TRUE),exact(Metadata!P207,"not provided")),IF(Metadata!P207="",FALSE,TRUE))</f>
        <v>0</v>
      </c>
      <c r="AQ207">
        <f>OR(AND(IF(Metadata!Q207="",FALSE,TRUE),exact(Metadata!Q207,"not provided")),IF(Metadata!Q207="",FALSE,TRUE))</f>
        <v>0</v>
      </c>
    </row>
    <row r="208" spans="1:43">
      <c r="A208" s="4">
        <f>IF(B208=" "," ",HYPERLINK(CONCATENATE("#metadata!",ADDRESS(INDEX($W$2:$W$1001,MATCH(ROWS($U$2:U208),$U$2:$U$1001,0),0),2)),INDEX($Z$2:$Z$1001,MATCH(ROWS($U$2:U208),$U$2:$U$1001,0),0)))</f>
        <v>0</v>
      </c>
      <c r="B208" s="5">
        <f>IF(OR(INDEX($V$2:$V$1001,MATCH(ROWS($U$2:U208),$U$2:$U$1001,0),1)&gt;=100000,INDEX($AB$1005:$AQ$1005,1,MATCH(COLUMNS($AB$1006:AB1006),$AB$1006:$AQ$1006,0))&gt;=100000), " ",IF(INDEX($AB$2:$AQ$1001,MATCH(ROWS($U$2:U208),$U$2:$U$1001,0),MATCH(COLUMNS($AB$1006:AB1006),$AB$1006:$AQ$1006,0)), HYPERLINK("#",""), HYPERLINK(CONCATENATE("#Metadata!", ADDRESS(INDEX($W$2:$W$1001,MATCH(ROWS($U$2:U208),$U$2:$U$1001,0),0), INDEX($AB$1004:$AQ$1004,1,MATCH(COLUMNS($AB$1006:AB1006),$AB$1006:$AQ$1006,0)))),"Fix")))</f>
        <v>0</v>
      </c>
      <c r="C208" s="5">
        <f>IF(OR(INDEX($V$2:$V$1001,MATCH(ROWS($U$2:U208),$U$2:$U$1001,0),1)&gt;=100000,INDEX($AB$1005:$AQ$1005,1,MATCH(COLUMNS($AB$1006:AC1006),$AB$1006:$AQ$1006,0))&gt;=100000), " ",IF(INDEX($AB$2:$AQ$1001,MATCH(ROWS($U$2:U208),$U$2:$U$1001,0),MATCH(COLUMNS($AB$1006:AC1006),$AB$1006:$AQ$1006,0)), HYPERLINK("#",""), HYPERLINK(CONCATENATE("#Metadata!", ADDRESS(INDEX($W$2:$W$1001,MATCH(ROWS($U$2:U208),$U$2:$U$1001,0),0), INDEX($AB$1004:$AQ$1004,1,MATCH(COLUMNS($AB$1006:AC1006),$AB$1006:$AQ$1006,0)))),"Fix")))</f>
        <v>0</v>
      </c>
      <c r="D208" s="5">
        <f>IF(OR(INDEX($V$2:$V$1001,MATCH(ROWS($U$2:U208),$U$2:$U$1001,0),1)&gt;=100000,INDEX($AB$1005:$AQ$1005,1,MATCH(COLUMNS($AB$1006:AD1006),$AB$1006:$AQ$1006,0))&gt;=100000), " ",IF(INDEX($AB$2:$AQ$1001,MATCH(ROWS($U$2:U208),$U$2:$U$1001,0),MATCH(COLUMNS($AB$1006:AD1006),$AB$1006:$AQ$1006,0)), HYPERLINK("#",""), HYPERLINK(CONCATENATE("#Metadata!", ADDRESS(INDEX($W$2:$W$1001,MATCH(ROWS($U$2:U208),$U$2:$U$1001,0),0), INDEX($AB$1004:$AQ$1004,1,MATCH(COLUMNS($AB$1006:AD1006),$AB$1006:$AQ$1006,0)))),"Fix")))</f>
        <v>0</v>
      </c>
      <c r="E208" s="5">
        <f>IF(OR(INDEX($V$2:$V$1001,MATCH(ROWS($U$2:U208),$U$2:$U$1001,0),1)&gt;=100000,INDEX($AB$1005:$AQ$1005,1,MATCH(COLUMNS($AB$1006:AE1006),$AB$1006:$AQ$1006,0))&gt;=100000), " ",IF(INDEX($AB$2:$AQ$1001,MATCH(ROWS($U$2:U208),$U$2:$U$1001,0),MATCH(COLUMNS($AB$1006:AE1006),$AB$1006:$AQ$1006,0)), HYPERLINK("#",""), HYPERLINK(CONCATENATE("#Metadata!", ADDRESS(INDEX($W$2:$W$1001,MATCH(ROWS($U$2:U208),$U$2:$U$1001,0),0), INDEX($AB$1004:$AQ$1004,1,MATCH(COLUMNS($AB$1006:AE1006),$AB$1006:$AQ$1006,0)))),"Fix")))</f>
        <v>0</v>
      </c>
      <c r="F208" s="5">
        <f>IF(OR(INDEX($V$2:$V$1001,MATCH(ROWS($U$2:U208),$U$2:$U$1001,0),1)&gt;=100000,INDEX($AB$1005:$AQ$1005,1,MATCH(COLUMNS($AB$1006:AF1006),$AB$1006:$AQ$1006,0))&gt;=100000), " ",IF(INDEX($AB$2:$AQ$1001,MATCH(ROWS($U$2:U208),$U$2:$U$1001,0),MATCH(COLUMNS($AB$1006:AF1006),$AB$1006:$AQ$1006,0)), HYPERLINK("#",""), HYPERLINK(CONCATENATE("#Metadata!", ADDRESS(INDEX($W$2:$W$1001,MATCH(ROWS($U$2:U208),$U$2:$U$1001,0),0), INDEX($AB$1004:$AQ$1004,1,MATCH(COLUMNS($AB$1006:AF1006),$AB$1006:$AQ$1006,0)))),"Fix")))</f>
        <v>0</v>
      </c>
      <c r="G208" s="5">
        <f>IF(OR(INDEX($V$2:$V$1001,MATCH(ROWS($U$2:U208),$U$2:$U$1001,0),1)&gt;=100000,INDEX($AB$1005:$AQ$1005,1,MATCH(COLUMNS($AB$1006:AG1006),$AB$1006:$AQ$1006,0))&gt;=100000), " ",IF(INDEX($AB$2:$AQ$1001,MATCH(ROWS($U$2:U208),$U$2:$U$1001,0),MATCH(COLUMNS($AB$1006:AG1006),$AB$1006:$AQ$1006,0)), HYPERLINK("#",""), HYPERLINK(CONCATENATE("#Metadata!", ADDRESS(INDEX($W$2:$W$1001,MATCH(ROWS($U$2:U208),$U$2:$U$1001,0),0), INDEX($AB$1004:$AQ$1004,1,MATCH(COLUMNS($AB$1006:AG1006),$AB$1006:$AQ$1006,0)))),"Fix")))</f>
        <v>0</v>
      </c>
      <c r="H208" s="5">
        <f>IF(OR(INDEX($V$2:$V$1001,MATCH(ROWS($U$2:U208),$U$2:$U$1001,0),1)&gt;=100000,INDEX($AB$1005:$AQ$1005,1,MATCH(COLUMNS($AB$1006:AH1006),$AB$1006:$AQ$1006,0))&gt;=100000), " ",IF(INDEX($AB$2:$AQ$1001,MATCH(ROWS($U$2:U208),$U$2:$U$1001,0),MATCH(COLUMNS($AB$1006:AH1006),$AB$1006:$AQ$1006,0)), HYPERLINK("#",""), HYPERLINK(CONCATENATE("#Metadata!", ADDRESS(INDEX($W$2:$W$1001,MATCH(ROWS($U$2:U208),$U$2:$U$1001,0),0), INDEX($AB$1004:$AQ$1004,1,MATCH(COLUMNS($AB$1006:AH1006),$AB$1006:$AQ$1006,0)))),"Fix")))</f>
        <v>0</v>
      </c>
      <c r="I208" s="5">
        <f>IF(OR(INDEX($V$2:$V$1001,MATCH(ROWS($U$2:U208),$U$2:$U$1001,0),1)&gt;=100000,INDEX($AB$1005:$AQ$1005,1,MATCH(COLUMNS($AB$1006:AI1006),$AB$1006:$AQ$1006,0))&gt;=100000), " ",IF(INDEX($AB$2:$AQ$1001,MATCH(ROWS($U$2:U208),$U$2:$U$1001,0),MATCH(COLUMNS($AB$1006:AI1006),$AB$1006:$AQ$1006,0)), HYPERLINK("#",""), HYPERLINK(CONCATENATE("#Metadata!", ADDRESS(INDEX($W$2:$W$1001,MATCH(ROWS($U$2:U208),$U$2:$U$1001,0),0), INDEX($AB$1004:$AQ$1004,1,MATCH(COLUMNS($AB$1006:AI1006),$AB$1006:$AQ$1006,0)))),"Fix")))</f>
        <v>0</v>
      </c>
      <c r="J208" s="5">
        <f>IF(OR(INDEX($V$2:$V$1001,MATCH(ROWS($U$2:U208),$U$2:$U$1001,0),1)&gt;=100000,INDEX($AB$1005:$AQ$1005,1,MATCH(COLUMNS($AB$1006:AJ1006),$AB$1006:$AQ$1006,0))&gt;=100000), " ",IF(INDEX($AB$2:$AQ$1001,MATCH(ROWS($U$2:U208),$U$2:$U$1001,0),MATCH(COLUMNS($AB$1006:AJ1006),$AB$1006:$AQ$1006,0)), HYPERLINK("#",""), HYPERLINK(CONCATENATE("#Metadata!", ADDRESS(INDEX($W$2:$W$1001,MATCH(ROWS($U$2:U208),$U$2:$U$1001,0),0), INDEX($AB$1004:$AQ$1004,1,MATCH(COLUMNS($AB$1006:AJ1006),$AB$1006:$AQ$1006,0)))),"Fix")))</f>
        <v>0</v>
      </c>
      <c r="K208" s="5">
        <f>IF(OR(INDEX($V$2:$V$1001,MATCH(ROWS($U$2:U208),$U$2:$U$1001,0),1)&gt;=100000,INDEX($AB$1005:$AQ$1005,1,MATCH(COLUMNS($AB$1006:AK1006),$AB$1006:$AQ$1006,0))&gt;=100000), " ",IF(INDEX($AB$2:$AQ$1001,MATCH(ROWS($U$2:U208),$U$2:$U$1001,0),MATCH(COLUMNS($AB$1006:AK1006),$AB$1006:$AQ$1006,0)), HYPERLINK("#",""), HYPERLINK(CONCATENATE("#Metadata!", ADDRESS(INDEX($W$2:$W$1001,MATCH(ROWS($U$2:U208),$U$2:$U$1001,0),0), INDEX($AB$1004:$AQ$1004,1,MATCH(COLUMNS($AB$1006:AK1006),$AB$1006:$AQ$1006,0)))),"Fix")))</f>
        <v>0</v>
      </c>
      <c r="L208" s="5">
        <f>IF(OR(INDEX($V$2:$V$1001,MATCH(ROWS($U$2:U208),$U$2:$U$1001,0),1)&gt;=100000,INDEX($AB$1005:$AQ$1005,1,MATCH(COLUMNS($AB$1006:AL1006),$AB$1006:$AQ$1006,0))&gt;=100000), " ",IF(INDEX($AB$2:$AQ$1001,MATCH(ROWS($U$2:U208),$U$2:$U$1001,0),MATCH(COLUMNS($AB$1006:AL1006),$AB$1006:$AQ$1006,0)), HYPERLINK("#",""), HYPERLINK(CONCATENATE("#Metadata!", ADDRESS(INDEX($W$2:$W$1001,MATCH(ROWS($U$2:U208),$U$2:$U$1001,0),0), INDEX($AB$1004:$AQ$1004,1,MATCH(COLUMNS($AB$1006:AL1006),$AB$1006:$AQ$1006,0)))),"Fix")))</f>
        <v>0</v>
      </c>
      <c r="M208" s="5">
        <f>IF(OR(INDEX($V$2:$V$1001,MATCH(ROWS($U$2:U208),$U$2:$U$1001,0),1)&gt;=100000,INDEX($AB$1005:$AQ$1005,1,MATCH(COLUMNS($AB$1006:AM1006),$AB$1006:$AQ$1006,0))&gt;=100000), " ",IF(INDEX($AB$2:$AQ$1001,MATCH(ROWS($U$2:U208),$U$2:$U$1001,0),MATCH(COLUMNS($AB$1006:AM1006),$AB$1006:$AQ$1006,0)), HYPERLINK("#",""), HYPERLINK(CONCATENATE("#Metadata!", ADDRESS(INDEX($W$2:$W$1001,MATCH(ROWS($U$2:U208),$U$2:$U$1001,0),0), INDEX($AB$1004:$AQ$1004,1,MATCH(COLUMNS($AB$1006:AM1006),$AB$1006:$AQ$1006,0)))),"Fix")))</f>
        <v>0</v>
      </c>
      <c r="N208" s="5">
        <f>IF(OR(INDEX($V$2:$V$1001,MATCH(ROWS($U$2:U208),$U$2:$U$1001,0),1)&gt;=100000,INDEX($AB$1005:$AQ$1005,1,MATCH(COLUMNS($AB$1006:AN1006),$AB$1006:$AQ$1006,0))&gt;=100000), " ",IF(INDEX($AB$2:$AQ$1001,MATCH(ROWS($U$2:U208),$U$2:$U$1001,0),MATCH(COLUMNS($AB$1006:AN1006),$AB$1006:$AQ$1006,0)), HYPERLINK("#",""), HYPERLINK(CONCATENATE("#Metadata!", ADDRESS(INDEX($W$2:$W$1001,MATCH(ROWS($U$2:U208),$U$2:$U$1001,0),0), INDEX($AB$1004:$AQ$1004,1,MATCH(COLUMNS($AB$1006:AN1006),$AB$1006:$AQ$1006,0)))),"Fix")))</f>
        <v>0</v>
      </c>
      <c r="O208" s="5">
        <f>IF(OR(INDEX($V$2:$V$1001,MATCH(ROWS($U$2:U208),$U$2:$U$1001,0),1)&gt;=100000,INDEX($AB$1005:$AQ$1005,1,MATCH(COLUMNS($AB$1006:AO1006),$AB$1006:$AQ$1006,0))&gt;=100000), " ",IF(INDEX($AB$2:$AQ$1001,MATCH(ROWS($U$2:U208),$U$2:$U$1001,0),MATCH(COLUMNS($AB$1006:AO1006),$AB$1006:$AQ$1006,0)), HYPERLINK("#",""), HYPERLINK(CONCATENATE("#Metadata!", ADDRESS(INDEX($W$2:$W$1001,MATCH(ROWS($U$2:U208),$U$2:$U$1001,0),0), INDEX($AB$1004:$AQ$1004,1,MATCH(COLUMNS($AB$1006:AO1006),$AB$1006:$AQ$1006,0)))),"Fix")))</f>
        <v>0</v>
      </c>
      <c r="P208" s="5">
        <f>IF(OR(INDEX($V$2:$V$1001,MATCH(ROWS($U$2:U208),$U$2:$U$1001,0),1)&gt;=100000,INDEX($AB$1005:$AQ$1005,1,MATCH(COLUMNS($AB$1006:AP1006),$AB$1006:$AQ$1006,0))&gt;=100000), " ",IF(INDEX($AB$2:$AQ$1001,MATCH(ROWS($U$2:U208),$U$2:$U$1001,0),MATCH(COLUMNS($AB$1006:AP1006),$AB$1006:$AQ$1006,0)), HYPERLINK("#",""), HYPERLINK(CONCATENATE("#Metadata!", ADDRESS(INDEX($W$2:$W$1001,MATCH(ROWS($U$2:U208),$U$2:$U$1001,0),0), INDEX($AB$1004:$AQ$1004,1,MATCH(COLUMNS($AB$1006:AP1006),$AB$1006:$AQ$1006,0)))),"Fix")))</f>
        <v>0</v>
      </c>
      <c r="Q208" s="5">
        <f>IF(OR(INDEX($V$2:$V$1001,MATCH(ROWS($U$2:U208),$U$2:$U$1001,0),1)&gt;=100000,INDEX($AB$1005:$AQ$1005,1,MATCH(COLUMNS($AB$1006:AQ1006),$AB$1006:$AQ$1006,0))&gt;=100000), " ",IF(INDEX($AB$2:$AQ$1001,MATCH(ROWS($U$2:U208),$U$2:$U$1001,0),MATCH(COLUMNS($AB$1006:AQ1006),$AB$1006:$AQ$1006,0)), HYPERLINK("#",""), HYPERLINK(CONCATENATE("#Metadata!", ADDRESS(INDEX($W$2:$W$1001,MATCH(ROWS($U$2:U208),$U$2:$U$1001,0),0), INDEX($AB$1004:$AQ$1004,1,MATCH(COLUMNS($AB$1006:AQ1006),$AB$1006:$AQ$1006,0)))),"Fix")))</f>
        <v>0</v>
      </c>
      <c r="U208">
        <v>0</v>
      </c>
      <c r="V208">
        <v>0</v>
      </c>
      <c r="W208">
        <v>0</v>
      </c>
      <c r="X208">
        <f>IF(Y208,TRUE,AND(AB208:AQ208))</f>
        <v>0</v>
      </c>
      <c r="Y208">
        <f>COUNTBLANK(Metadata!B208:Q208)=COLUMNS(Metadata!B208:Q208)</f>
        <v>0</v>
      </c>
      <c r="Z208">
        <v>0</v>
      </c>
      <c r="AB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AC208">
        <f>AND(IF(Metadata!C208="",FALSE,TRUE),exact(Metadata!C208,"urban biome"))</f>
        <v>0</v>
      </c>
      <c r="AD208">
        <f>AND(IF(Metadata!D208="",FALSE,TRUE),exact(Metadata!D208,"human-associated habitat"))</f>
        <v>0</v>
      </c>
      <c r="AE208">
        <f>AND(IF(Metadata!E208="",FALSE,TRUE),OR(exact(Metadata!E208,"human-associated"),exact(Metadata!E208,"human-skin"),exact(Metadata!E208,"human-oral"),exact(Metadata!E208,"human-gut"),exact(Metadata!E208,"human-vaginal")))</f>
        <v>0</v>
      </c>
      <c r="AF208">
        <f>AND(IF(Metadata!F208="",FALSE,ISNUMBER(VALUE(Metadata!F208))),Metadata!F208&gt;0)</f>
        <v>0</v>
      </c>
      <c r="AG208">
        <f>AND(IF(Metadata!G208="",FALSE,TRUE),exact(Metadata!G208,"years"))</f>
        <v>0</v>
      </c>
      <c r="AH208">
        <f>OR(AND(IF(Metadata!H208="",FALSE,TRUE),OR(exact(Metadata!H208,"not applicable"),exact(Metadata!H208,"not collected"),exact(Metadata!H208,"not provided"),exact(Metadata!H208,"restricted access"))),AND(IF(Metadata!H208="",FALSE,ISNUMBER(VALUE(Metadata!H208))),Metadata!H208&gt;0))</f>
        <v>0</v>
      </c>
      <c r="AI208">
        <f>AND(IF(Metadata!I208="",FALSE,TRUE),exact(Metadata!I208,"human"))</f>
        <v>0</v>
      </c>
      <c r="AJ208">
        <f>AND(IF(Metadata!J208="",FALSE,ISNUMBER(VALUE(Metadata!J208))),Metadata!J208&gt;0)</f>
        <v>0</v>
      </c>
      <c r="AK208">
        <f>AND(IF(Metadata!K208="",FALSE,TRUE),exact(Metadata!K208,"cm"))</f>
        <v>0</v>
      </c>
      <c r="AL208">
        <f>AND(IF(Metadata!L208="",FALSE,TRUE),exact(Metadata!L208,"Homo sapiens"))</f>
        <v>0</v>
      </c>
      <c r="AM208">
        <f>AND(IF(Metadata!M208="",FALSE,TRUE),exact(Metadata!M208,"9606"))</f>
        <v>0</v>
      </c>
      <c r="AN208">
        <f>AND(IF(Metadata!N208="",FALSE,ISNUMBER(VALUE(Metadata!N208))),Metadata!N208&gt;0)</f>
        <v>0</v>
      </c>
      <c r="AO208">
        <f>AND(IF(Metadata!O208="",FALSE,TRUE),exact(Metadata!O208,"kg"))</f>
        <v>0</v>
      </c>
      <c r="AP208">
        <f>OR(AND(IF(Metadata!P208="",FALSE,TRUE),exact(Metadata!P208,"not provided")),IF(Metadata!P208="",FALSE,TRUE))</f>
        <v>0</v>
      </c>
      <c r="AQ208">
        <f>OR(AND(IF(Metadata!Q208="",FALSE,TRUE),exact(Metadata!Q208,"not provided")),IF(Metadata!Q208="",FALSE,TRUE))</f>
        <v>0</v>
      </c>
    </row>
    <row r="209" spans="1:43">
      <c r="A209" s="4">
        <f>IF(B209=" "," ",HYPERLINK(CONCATENATE("#metadata!",ADDRESS(INDEX($W$2:$W$1001,MATCH(ROWS($U$2:U209),$U$2:$U$1001,0),0),2)),INDEX($Z$2:$Z$1001,MATCH(ROWS($U$2:U209),$U$2:$U$1001,0),0)))</f>
        <v>0</v>
      </c>
      <c r="B209" s="5">
        <f>IF(OR(INDEX($V$2:$V$1001,MATCH(ROWS($U$2:U209),$U$2:$U$1001,0),1)&gt;=100000,INDEX($AB$1005:$AQ$1005,1,MATCH(COLUMNS($AB$1006:AB1006),$AB$1006:$AQ$1006,0))&gt;=100000), " ",IF(INDEX($AB$2:$AQ$1001,MATCH(ROWS($U$2:U209),$U$2:$U$1001,0),MATCH(COLUMNS($AB$1006:AB1006),$AB$1006:$AQ$1006,0)), HYPERLINK("#",""), HYPERLINK(CONCATENATE("#Metadata!", ADDRESS(INDEX($W$2:$W$1001,MATCH(ROWS($U$2:U209),$U$2:$U$1001,0),0), INDEX($AB$1004:$AQ$1004,1,MATCH(COLUMNS($AB$1006:AB1006),$AB$1006:$AQ$1006,0)))),"Fix")))</f>
        <v>0</v>
      </c>
      <c r="C209" s="5">
        <f>IF(OR(INDEX($V$2:$V$1001,MATCH(ROWS($U$2:U209),$U$2:$U$1001,0),1)&gt;=100000,INDEX($AB$1005:$AQ$1005,1,MATCH(COLUMNS($AB$1006:AC1006),$AB$1006:$AQ$1006,0))&gt;=100000), " ",IF(INDEX($AB$2:$AQ$1001,MATCH(ROWS($U$2:U209),$U$2:$U$1001,0),MATCH(COLUMNS($AB$1006:AC1006),$AB$1006:$AQ$1006,0)), HYPERLINK("#",""), HYPERLINK(CONCATENATE("#Metadata!", ADDRESS(INDEX($W$2:$W$1001,MATCH(ROWS($U$2:U209),$U$2:$U$1001,0),0), INDEX($AB$1004:$AQ$1004,1,MATCH(COLUMNS($AB$1006:AC1006),$AB$1006:$AQ$1006,0)))),"Fix")))</f>
        <v>0</v>
      </c>
      <c r="D209" s="5">
        <f>IF(OR(INDEX($V$2:$V$1001,MATCH(ROWS($U$2:U209),$U$2:$U$1001,0),1)&gt;=100000,INDEX($AB$1005:$AQ$1005,1,MATCH(COLUMNS($AB$1006:AD1006),$AB$1006:$AQ$1006,0))&gt;=100000), " ",IF(INDEX($AB$2:$AQ$1001,MATCH(ROWS($U$2:U209),$U$2:$U$1001,0),MATCH(COLUMNS($AB$1006:AD1006),$AB$1006:$AQ$1006,0)), HYPERLINK("#",""), HYPERLINK(CONCATENATE("#Metadata!", ADDRESS(INDEX($W$2:$W$1001,MATCH(ROWS($U$2:U209),$U$2:$U$1001,0),0), INDEX($AB$1004:$AQ$1004,1,MATCH(COLUMNS($AB$1006:AD1006),$AB$1006:$AQ$1006,0)))),"Fix")))</f>
        <v>0</v>
      </c>
      <c r="E209" s="5">
        <f>IF(OR(INDEX($V$2:$V$1001,MATCH(ROWS($U$2:U209),$U$2:$U$1001,0),1)&gt;=100000,INDEX($AB$1005:$AQ$1005,1,MATCH(COLUMNS($AB$1006:AE1006),$AB$1006:$AQ$1006,0))&gt;=100000), " ",IF(INDEX($AB$2:$AQ$1001,MATCH(ROWS($U$2:U209),$U$2:$U$1001,0),MATCH(COLUMNS($AB$1006:AE1006),$AB$1006:$AQ$1006,0)), HYPERLINK("#",""), HYPERLINK(CONCATENATE("#Metadata!", ADDRESS(INDEX($W$2:$W$1001,MATCH(ROWS($U$2:U209),$U$2:$U$1001,0),0), INDEX($AB$1004:$AQ$1004,1,MATCH(COLUMNS($AB$1006:AE1006),$AB$1006:$AQ$1006,0)))),"Fix")))</f>
        <v>0</v>
      </c>
      <c r="F209" s="5">
        <f>IF(OR(INDEX($V$2:$V$1001,MATCH(ROWS($U$2:U209),$U$2:$U$1001,0),1)&gt;=100000,INDEX($AB$1005:$AQ$1005,1,MATCH(COLUMNS($AB$1006:AF1006),$AB$1006:$AQ$1006,0))&gt;=100000), " ",IF(INDEX($AB$2:$AQ$1001,MATCH(ROWS($U$2:U209),$U$2:$U$1001,0),MATCH(COLUMNS($AB$1006:AF1006),$AB$1006:$AQ$1006,0)), HYPERLINK("#",""), HYPERLINK(CONCATENATE("#Metadata!", ADDRESS(INDEX($W$2:$W$1001,MATCH(ROWS($U$2:U209),$U$2:$U$1001,0),0), INDEX($AB$1004:$AQ$1004,1,MATCH(COLUMNS($AB$1006:AF1006),$AB$1006:$AQ$1006,0)))),"Fix")))</f>
        <v>0</v>
      </c>
      <c r="G209" s="5">
        <f>IF(OR(INDEX($V$2:$V$1001,MATCH(ROWS($U$2:U209),$U$2:$U$1001,0),1)&gt;=100000,INDEX($AB$1005:$AQ$1005,1,MATCH(COLUMNS($AB$1006:AG1006),$AB$1006:$AQ$1006,0))&gt;=100000), " ",IF(INDEX($AB$2:$AQ$1001,MATCH(ROWS($U$2:U209),$U$2:$U$1001,0),MATCH(COLUMNS($AB$1006:AG1006),$AB$1006:$AQ$1006,0)), HYPERLINK("#",""), HYPERLINK(CONCATENATE("#Metadata!", ADDRESS(INDEX($W$2:$W$1001,MATCH(ROWS($U$2:U209),$U$2:$U$1001,0),0), INDEX($AB$1004:$AQ$1004,1,MATCH(COLUMNS($AB$1006:AG1006),$AB$1006:$AQ$1006,0)))),"Fix")))</f>
        <v>0</v>
      </c>
      <c r="H209" s="5">
        <f>IF(OR(INDEX($V$2:$V$1001,MATCH(ROWS($U$2:U209),$U$2:$U$1001,0),1)&gt;=100000,INDEX($AB$1005:$AQ$1005,1,MATCH(COLUMNS($AB$1006:AH1006),$AB$1006:$AQ$1006,0))&gt;=100000), " ",IF(INDEX($AB$2:$AQ$1001,MATCH(ROWS($U$2:U209),$U$2:$U$1001,0),MATCH(COLUMNS($AB$1006:AH1006),$AB$1006:$AQ$1006,0)), HYPERLINK("#",""), HYPERLINK(CONCATENATE("#Metadata!", ADDRESS(INDEX($W$2:$W$1001,MATCH(ROWS($U$2:U209),$U$2:$U$1001,0),0), INDEX($AB$1004:$AQ$1004,1,MATCH(COLUMNS($AB$1006:AH1006),$AB$1006:$AQ$1006,0)))),"Fix")))</f>
        <v>0</v>
      </c>
      <c r="I209" s="5">
        <f>IF(OR(INDEX($V$2:$V$1001,MATCH(ROWS($U$2:U209),$U$2:$U$1001,0),1)&gt;=100000,INDEX($AB$1005:$AQ$1005,1,MATCH(COLUMNS($AB$1006:AI1006),$AB$1006:$AQ$1006,0))&gt;=100000), " ",IF(INDEX($AB$2:$AQ$1001,MATCH(ROWS($U$2:U209),$U$2:$U$1001,0),MATCH(COLUMNS($AB$1006:AI1006),$AB$1006:$AQ$1006,0)), HYPERLINK("#",""), HYPERLINK(CONCATENATE("#Metadata!", ADDRESS(INDEX($W$2:$W$1001,MATCH(ROWS($U$2:U209),$U$2:$U$1001,0),0), INDEX($AB$1004:$AQ$1004,1,MATCH(COLUMNS($AB$1006:AI1006),$AB$1006:$AQ$1006,0)))),"Fix")))</f>
        <v>0</v>
      </c>
      <c r="J209" s="5">
        <f>IF(OR(INDEX($V$2:$V$1001,MATCH(ROWS($U$2:U209),$U$2:$U$1001,0),1)&gt;=100000,INDEX($AB$1005:$AQ$1005,1,MATCH(COLUMNS($AB$1006:AJ1006),$AB$1006:$AQ$1006,0))&gt;=100000), " ",IF(INDEX($AB$2:$AQ$1001,MATCH(ROWS($U$2:U209),$U$2:$U$1001,0),MATCH(COLUMNS($AB$1006:AJ1006),$AB$1006:$AQ$1006,0)), HYPERLINK("#",""), HYPERLINK(CONCATENATE("#Metadata!", ADDRESS(INDEX($W$2:$W$1001,MATCH(ROWS($U$2:U209),$U$2:$U$1001,0),0), INDEX($AB$1004:$AQ$1004,1,MATCH(COLUMNS($AB$1006:AJ1006),$AB$1006:$AQ$1006,0)))),"Fix")))</f>
        <v>0</v>
      </c>
      <c r="K209" s="5">
        <f>IF(OR(INDEX($V$2:$V$1001,MATCH(ROWS($U$2:U209),$U$2:$U$1001,0),1)&gt;=100000,INDEX($AB$1005:$AQ$1005,1,MATCH(COLUMNS($AB$1006:AK1006),$AB$1006:$AQ$1006,0))&gt;=100000), " ",IF(INDEX($AB$2:$AQ$1001,MATCH(ROWS($U$2:U209),$U$2:$U$1001,0),MATCH(COLUMNS($AB$1006:AK1006),$AB$1006:$AQ$1006,0)), HYPERLINK("#",""), HYPERLINK(CONCATENATE("#Metadata!", ADDRESS(INDEX($W$2:$W$1001,MATCH(ROWS($U$2:U209),$U$2:$U$1001,0),0), INDEX($AB$1004:$AQ$1004,1,MATCH(COLUMNS($AB$1006:AK1006),$AB$1006:$AQ$1006,0)))),"Fix")))</f>
        <v>0</v>
      </c>
      <c r="L209" s="5">
        <f>IF(OR(INDEX($V$2:$V$1001,MATCH(ROWS($U$2:U209),$U$2:$U$1001,0),1)&gt;=100000,INDEX($AB$1005:$AQ$1005,1,MATCH(COLUMNS($AB$1006:AL1006),$AB$1006:$AQ$1006,0))&gt;=100000), " ",IF(INDEX($AB$2:$AQ$1001,MATCH(ROWS($U$2:U209),$U$2:$U$1001,0),MATCH(COLUMNS($AB$1006:AL1006),$AB$1006:$AQ$1006,0)), HYPERLINK("#",""), HYPERLINK(CONCATENATE("#Metadata!", ADDRESS(INDEX($W$2:$W$1001,MATCH(ROWS($U$2:U209),$U$2:$U$1001,0),0), INDEX($AB$1004:$AQ$1004,1,MATCH(COLUMNS($AB$1006:AL1006),$AB$1006:$AQ$1006,0)))),"Fix")))</f>
        <v>0</v>
      </c>
      <c r="M209" s="5">
        <f>IF(OR(INDEX($V$2:$V$1001,MATCH(ROWS($U$2:U209),$U$2:$U$1001,0),1)&gt;=100000,INDEX($AB$1005:$AQ$1005,1,MATCH(COLUMNS($AB$1006:AM1006),$AB$1006:$AQ$1006,0))&gt;=100000), " ",IF(INDEX($AB$2:$AQ$1001,MATCH(ROWS($U$2:U209),$U$2:$U$1001,0),MATCH(COLUMNS($AB$1006:AM1006),$AB$1006:$AQ$1006,0)), HYPERLINK("#",""), HYPERLINK(CONCATENATE("#Metadata!", ADDRESS(INDEX($W$2:$W$1001,MATCH(ROWS($U$2:U209),$U$2:$U$1001,0),0), INDEX($AB$1004:$AQ$1004,1,MATCH(COLUMNS($AB$1006:AM1006),$AB$1006:$AQ$1006,0)))),"Fix")))</f>
        <v>0</v>
      </c>
      <c r="N209" s="5">
        <f>IF(OR(INDEX($V$2:$V$1001,MATCH(ROWS($U$2:U209),$U$2:$U$1001,0),1)&gt;=100000,INDEX($AB$1005:$AQ$1005,1,MATCH(COLUMNS($AB$1006:AN1006),$AB$1006:$AQ$1006,0))&gt;=100000), " ",IF(INDEX($AB$2:$AQ$1001,MATCH(ROWS($U$2:U209),$U$2:$U$1001,0),MATCH(COLUMNS($AB$1006:AN1006),$AB$1006:$AQ$1006,0)), HYPERLINK("#",""), HYPERLINK(CONCATENATE("#Metadata!", ADDRESS(INDEX($W$2:$W$1001,MATCH(ROWS($U$2:U209),$U$2:$U$1001,0),0), INDEX($AB$1004:$AQ$1004,1,MATCH(COLUMNS($AB$1006:AN1006),$AB$1006:$AQ$1006,0)))),"Fix")))</f>
        <v>0</v>
      </c>
      <c r="O209" s="5">
        <f>IF(OR(INDEX($V$2:$V$1001,MATCH(ROWS($U$2:U209),$U$2:$U$1001,0),1)&gt;=100000,INDEX($AB$1005:$AQ$1005,1,MATCH(COLUMNS($AB$1006:AO1006),$AB$1006:$AQ$1006,0))&gt;=100000), " ",IF(INDEX($AB$2:$AQ$1001,MATCH(ROWS($U$2:U209),$U$2:$U$1001,0),MATCH(COLUMNS($AB$1006:AO1006),$AB$1006:$AQ$1006,0)), HYPERLINK("#",""), HYPERLINK(CONCATENATE("#Metadata!", ADDRESS(INDEX($W$2:$W$1001,MATCH(ROWS($U$2:U209),$U$2:$U$1001,0),0), INDEX($AB$1004:$AQ$1004,1,MATCH(COLUMNS($AB$1006:AO1006),$AB$1006:$AQ$1006,0)))),"Fix")))</f>
        <v>0</v>
      </c>
      <c r="P209" s="5">
        <f>IF(OR(INDEX($V$2:$V$1001,MATCH(ROWS($U$2:U209),$U$2:$U$1001,0),1)&gt;=100000,INDEX($AB$1005:$AQ$1005,1,MATCH(COLUMNS($AB$1006:AP1006),$AB$1006:$AQ$1006,0))&gt;=100000), " ",IF(INDEX($AB$2:$AQ$1001,MATCH(ROWS($U$2:U209),$U$2:$U$1001,0),MATCH(COLUMNS($AB$1006:AP1006),$AB$1006:$AQ$1006,0)), HYPERLINK("#",""), HYPERLINK(CONCATENATE("#Metadata!", ADDRESS(INDEX($W$2:$W$1001,MATCH(ROWS($U$2:U209),$U$2:$U$1001,0),0), INDEX($AB$1004:$AQ$1004,1,MATCH(COLUMNS($AB$1006:AP1006),$AB$1006:$AQ$1006,0)))),"Fix")))</f>
        <v>0</v>
      </c>
      <c r="Q209" s="5">
        <f>IF(OR(INDEX($V$2:$V$1001,MATCH(ROWS($U$2:U209),$U$2:$U$1001,0),1)&gt;=100000,INDEX($AB$1005:$AQ$1005,1,MATCH(COLUMNS($AB$1006:AQ1006),$AB$1006:$AQ$1006,0))&gt;=100000), " ",IF(INDEX($AB$2:$AQ$1001,MATCH(ROWS($U$2:U209),$U$2:$U$1001,0),MATCH(COLUMNS($AB$1006:AQ1006),$AB$1006:$AQ$1006,0)), HYPERLINK("#",""), HYPERLINK(CONCATENATE("#Metadata!", ADDRESS(INDEX($W$2:$W$1001,MATCH(ROWS($U$2:U209),$U$2:$U$1001,0),0), INDEX($AB$1004:$AQ$1004,1,MATCH(COLUMNS($AB$1006:AQ1006),$AB$1006:$AQ$1006,0)))),"Fix")))</f>
        <v>0</v>
      </c>
      <c r="U209">
        <v>0</v>
      </c>
      <c r="V209">
        <v>0</v>
      </c>
      <c r="W209">
        <v>0</v>
      </c>
      <c r="X209">
        <f>IF(Y209,TRUE,AND(AB209:AQ209))</f>
        <v>0</v>
      </c>
      <c r="Y209">
        <f>COUNTBLANK(Metadata!B209:Q209)=COLUMNS(Metadata!B209:Q209)</f>
        <v>0</v>
      </c>
      <c r="Z209">
        <v>0</v>
      </c>
      <c r="AB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AC209">
        <f>AND(IF(Metadata!C209="",FALSE,TRUE),exact(Metadata!C209,"urban biome"))</f>
        <v>0</v>
      </c>
      <c r="AD209">
        <f>AND(IF(Metadata!D209="",FALSE,TRUE),exact(Metadata!D209,"human-associated habitat"))</f>
        <v>0</v>
      </c>
      <c r="AE209">
        <f>AND(IF(Metadata!E209="",FALSE,TRUE),OR(exact(Metadata!E209,"human-associated"),exact(Metadata!E209,"human-skin"),exact(Metadata!E209,"human-oral"),exact(Metadata!E209,"human-gut"),exact(Metadata!E209,"human-vaginal")))</f>
        <v>0</v>
      </c>
      <c r="AF209">
        <f>AND(IF(Metadata!F209="",FALSE,ISNUMBER(VALUE(Metadata!F209))),Metadata!F209&gt;0)</f>
        <v>0</v>
      </c>
      <c r="AG209">
        <f>AND(IF(Metadata!G209="",FALSE,TRUE),exact(Metadata!G209,"years"))</f>
        <v>0</v>
      </c>
      <c r="AH209">
        <f>OR(AND(IF(Metadata!H209="",FALSE,TRUE),OR(exact(Metadata!H209,"not applicable"),exact(Metadata!H209,"not collected"),exact(Metadata!H209,"not provided"),exact(Metadata!H209,"restricted access"))),AND(IF(Metadata!H209="",FALSE,ISNUMBER(VALUE(Metadata!H209))),Metadata!H209&gt;0))</f>
        <v>0</v>
      </c>
      <c r="AI209">
        <f>AND(IF(Metadata!I209="",FALSE,TRUE),exact(Metadata!I209,"human"))</f>
        <v>0</v>
      </c>
      <c r="AJ209">
        <f>AND(IF(Metadata!J209="",FALSE,ISNUMBER(VALUE(Metadata!J209))),Metadata!J209&gt;0)</f>
        <v>0</v>
      </c>
      <c r="AK209">
        <f>AND(IF(Metadata!K209="",FALSE,TRUE),exact(Metadata!K209,"cm"))</f>
        <v>0</v>
      </c>
      <c r="AL209">
        <f>AND(IF(Metadata!L209="",FALSE,TRUE),exact(Metadata!L209,"Homo sapiens"))</f>
        <v>0</v>
      </c>
      <c r="AM209">
        <f>AND(IF(Metadata!M209="",FALSE,TRUE),exact(Metadata!M209,"9606"))</f>
        <v>0</v>
      </c>
      <c r="AN209">
        <f>AND(IF(Metadata!N209="",FALSE,ISNUMBER(VALUE(Metadata!N209))),Metadata!N209&gt;0)</f>
        <v>0</v>
      </c>
      <c r="AO209">
        <f>AND(IF(Metadata!O209="",FALSE,TRUE),exact(Metadata!O209,"kg"))</f>
        <v>0</v>
      </c>
      <c r="AP209">
        <f>OR(AND(IF(Metadata!P209="",FALSE,TRUE),exact(Metadata!P209,"not provided")),IF(Metadata!P209="",FALSE,TRUE))</f>
        <v>0</v>
      </c>
      <c r="AQ209">
        <f>OR(AND(IF(Metadata!Q209="",FALSE,TRUE),exact(Metadata!Q209,"not provided")),IF(Metadata!Q209="",FALSE,TRUE))</f>
        <v>0</v>
      </c>
    </row>
    <row r="210" spans="1:43">
      <c r="A210" s="4">
        <f>IF(B210=" "," ",HYPERLINK(CONCATENATE("#metadata!",ADDRESS(INDEX($W$2:$W$1001,MATCH(ROWS($U$2:U210),$U$2:$U$1001,0),0),2)),INDEX($Z$2:$Z$1001,MATCH(ROWS($U$2:U210),$U$2:$U$1001,0),0)))</f>
        <v>0</v>
      </c>
      <c r="B210" s="5">
        <f>IF(OR(INDEX($V$2:$V$1001,MATCH(ROWS($U$2:U210),$U$2:$U$1001,0),1)&gt;=100000,INDEX($AB$1005:$AQ$1005,1,MATCH(COLUMNS($AB$1006:AB1006),$AB$1006:$AQ$1006,0))&gt;=100000), " ",IF(INDEX($AB$2:$AQ$1001,MATCH(ROWS($U$2:U210),$U$2:$U$1001,0),MATCH(COLUMNS($AB$1006:AB1006),$AB$1006:$AQ$1006,0)), HYPERLINK("#",""), HYPERLINK(CONCATENATE("#Metadata!", ADDRESS(INDEX($W$2:$W$1001,MATCH(ROWS($U$2:U210),$U$2:$U$1001,0),0), INDEX($AB$1004:$AQ$1004,1,MATCH(COLUMNS($AB$1006:AB1006),$AB$1006:$AQ$1006,0)))),"Fix")))</f>
        <v>0</v>
      </c>
      <c r="C210" s="5">
        <f>IF(OR(INDEX($V$2:$V$1001,MATCH(ROWS($U$2:U210),$U$2:$U$1001,0),1)&gt;=100000,INDEX($AB$1005:$AQ$1005,1,MATCH(COLUMNS($AB$1006:AC1006),$AB$1006:$AQ$1006,0))&gt;=100000), " ",IF(INDEX($AB$2:$AQ$1001,MATCH(ROWS($U$2:U210),$U$2:$U$1001,0),MATCH(COLUMNS($AB$1006:AC1006),$AB$1006:$AQ$1006,0)), HYPERLINK("#",""), HYPERLINK(CONCATENATE("#Metadata!", ADDRESS(INDEX($W$2:$W$1001,MATCH(ROWS($U$2:U210),$U$2:$U$1001,0),0), INDEX($AB$1004:$AQ$1004,1,MATCH(COLUMNS($AB$1006:AC1006),$AB$1006:$AQ$1006,0)))),"Fix")))</f>
        <v>0</v>
      </c>
      <c r="D210" s="5">
        <f>IF(OR(INDEX($V$2:$V$1001,MATCH(ROWS($U$2:U210),$U$2:$U$1001,0),1)&gt;=100000,INDEX($AB$1005:$AQ$1005,1,MATCH(COLUMNS($AB$1006:AD1006),$AB$1006:$AQ$1006,0))&gt;=100000), " ",IF(INDEX($AB$2:$AQ$1001,MATCH(ROWS($U$2:U210),$U$2:$U$1001,0),MATCH(COLUMNS($AB$1006:AD1006),$AB$1006:$AQ$1006,0)), HYPERLINK("#",""), HYPERLINK(CONCATENATE("#Metadata!", ADDRESS(INDEX($W$2:$W$1001,MATCH(ROWS($U$2:U210),$U$2:$U$1001,0),0), INDEX($AB$1004:$AQ$1004,1,MATCH(COLUMNS($AB$1006:AD1006),$AB$1006:$AQ$1006,0)))),"Fix")))</f>
        <v>0</v>
      </c>
      <c r="E210" s="5">
        <f>IF(OR(INDEX($V$2:$V$1001,MATCH(ROWS($U$2:U210),$U$2:$U$1001,0),1)&gt;=100000,INDEX($AB$1005:$AQ$1005,1,MATCH(COLUMNS($AB$1006:AE1006),$AB$1006:$AQ$1006,0))&gt;=100000), " ",IF(INDEX($AB$2:$AQ$1001,MATCH(ROWS($U$2:U210),$U$2:$U$1001,0),MATCH(COLUMNS($AB$1006:AE1006),$AB$1006:$AQ$1006,0)), HYPERLINK("#",""), HYPERLINK(CONCATENATE("#Metadata!", ADDRESS(INDEX($W$2:$W$1001,MATCH(ROWS($U$2:U210),$U$2:$U$1001,0),0), INDEX($AB$1004:$AQ$1004,1,MATCH(COLUMNS($AB$1006:AE1006),$AB$1006:$AQ$1006,0)))),"Fix")))</f>
        <v>0</v>
      </c>
      <c r="F210" s="5">
        <f>IF(OR(INDEX($V$2:$V$1001,MATCH(ROWS($U$2:U210),$U$2:$U$1001,0),1)&gt;=100000,INDEX($AB$1005:$AQ$1005,1,MATCH(COLUMNS($AB$1006:AF1006),$AB$1006:$AQ$1006,0))&gt;=100000), " ",IF(INDEX($AB$2:$AQ$1001,MATCH(ROWS($U$2:U210),$U$2:$U$1001,0),MATCH(COLUMNS($AB$1006:AF1006),$AB$1006:$AQ$1006,0)), HYPERLINK("#",""), HYPERLINK(CONCATENATE("#Metadata!", ADDRESS(INDEX($W$2:$W$1001,MATCH(ROWS($U$2:U210),$U$2:$U$1001,0),0), INDEX($AB$1004:$AQ$1004,1,MATCH(COLUMNS($AB$1006:AF1006),$AB$1006:$AQ$1006,0)))),"Fix")))</f>
        <v>0</v>
      </c>
      <c r="G210" s="5">
        <f>IF(OR(INDEX($V$2:$V$1001,MATCH(ROWS($U$2:U210),$U$2:$U$1001,0),1)&gt;=100000,INDEX($AB$1005:$AQ$1005,1,MATCH(COLUMNS($AB$1006:AG1006),$AB$1006:$AQ$1006,0))&gt;=100000), " ",IF(INDEX($AB$2:$AQ$1001,MATCH(ROWS($U$2:U210),$U$2:$U$1001,0),MATCH(COLUMNS($AB$1006:AG1006),$AB$1006:$AQ$1006,0)), HYPERLINK("#",""), HYPERLINK(CONCATENATE("#Metadata!", ADDRESS(INDEX($W$2:$W$1001,MATCH(ROWS($U$2:U210),$U$2:$U$1001,0),0), INDEX($AB$1004:$AQ$1004,1,MATCH(COLUMNS($AB$1006:AG1006),$AB$1006:$AQ$1006,0)))),"Fix")))</f>
        <v>0</v>
      </c>
      <c r="H210" s="5">
        <f>IF(OR(INDEX($V$2:$V$1001,MATCH(ROWS($U$2:U210),$U$2:$U$1001,0),1)&gt;=100000,INDEX($AB$1005:$AQ$1005,1,MATCH(COLUMNS($AB$1006:AH1006),$AB$1006:$AQ$1006,0))&gt;=100000), " ",IF(INDEX($AB$2:$AQ$1001,MATCH(ROWS($U$2:U210),$U$2:$U$1001,0),MATCH(COLUMNS($AB$1006:AH1006),$AB$1006:$AQ$1006,0)), HYPERLINK("#",""), HYPERLINK(CONCATENATE("#Metadata!", ADDRESS(INDEX($W$2:$W$1001,MATCH(ROWS($U$2:U210),$U$2:$U$1001,0),0), INDEX($AB$1004:$AQ$1004,1,MATCH(COLUMNS($AB$1006:AH1006),$AB$1006:$AQ$1006,0)))),"Fix")))</f>
        <v>0</v>
      </c>
      <c r="I210" s="5">
        <f>IF(OR(INDEX($V$2:$V$1001,MATCH(ROWS($U$2:U210),$U$2:$U$1001,0),1)&gt;=100000,INDEX($AB$1005:$AQ$1005,1,MATCH(COLUMNS($AB$1006:AI1006),$AB$1006:$AQ$1006,0))&gt;=100000), " ",IF(INDEX($AB$2:$AQ$1001,MATCH(ROWS($U$2:U210),$U$2:$U$1001,0),MATCH(COLUMNS($AB$1006:AI1006),$AB$1006:$AQ$1006,0)), HYPERLINK("#",""), HYPERLINK(CONCATENATE("#Metadata!", ADDRESS(INDEX($W$2:$W$1001,MATCH(ROWS($U$2:U210),$U$2:$U$1001,0),0), INDEX($AB$1004:$AQ$1004,1,MATCH(COLUMNS($AB$1006:AI1006),$AB$1006:$AQ$1006,0)))),"Fix")))</f>
        <v>0</v>
      </c>
      <c r="J210" s="5">
        <f>IF(OR(INDEX($V$2:$V$1001,MATCH(ROWS($U$2:U210),$U$2:$U$1001,0),1)&gt;=100000,INDEX($AB$1005:$AQ$1005,1,MATCH(COLUMNS($AB$1006:AJ1006),$AB$1006:$AQ$1006,0))&gt;=100000), " ",IF(INDEX($AB$2:$AQ$1001,MATCH(ROWS($U$2:U210),$U$2:$U$1001,0),MATCH(COLUMNS($AB$1006:AJ1006),$AB$1006:$AQ$1006,0)), HYPERLINK("#",""), HYPERLINK(CONCATENATE("#Metadata!", ADDRESS(INDEX($W$2:$W$1001,MATCH(ROWS($U$2:U210),$U$2:$U$1001,0),0), INDEX($AB$1004:$AQ$1004,1,MATCH(COLUMNS($AB$1006:AJ1006),$AB$1006:$AQ$1006,0)))),"Fix")))</f>
        <v>0</v>
      </c>
      <c r="K210" s="5">
        <f>IF(OR(INDEX($V$2:$V$1001,MATCH(ROWS($U$2:U210),$U$2:$U$1001,0),1)&gt;=100000,INDEX($AB$1005:$AQ$1005,1,MATCH(COLUMNS($AB$1006:AK1006),$AB$1006:$AQ$1006,0))&gt;=100000), " ",IF(INDEX($AB$2:$AQ$1001,MATCH(ROWS($U$2:U210),$U$2:$U$1001,0),MATCH(COLUMNS($AB$1006:AK1006),$AB$1006:$AQ$1006,0)), HYPERLINK("#",""), HYPERLINK(CONCATENATE("#Metadata!", ADDRESS(INDEX($W$2:$W$1001,MATCH(ROWS($U$2:U210),$U$2:$U$1001,0),0), INDEX($AB$1004:$AQ$1004,1,MATCH(COLUMNS($AB$1006:AK1006),$AB$1006:$AQ$1006,0)))),"Fix")))</f>
        <v>0</v>
      </c>
      <c r="L210" s="5">
        <f>IF(OR(INDEX($V$2:$V$1001,MATCH(ROWS($U$2:U210),$U$2:$U$1001,0),1)&gt;=100000,INDEX($AB$1005:$AQ$1005,1,MATCH(COLUMNS($AB$1006:AL1006),$AB$1006:$AQ$1006,0))&gt;=100000), " ",IF(INDEX($AB$2:$AQ$1001,MATCH(ROWS($U$2:U210),$U$2:$U$1001,0),MATCH(COLUMNS($AB$1006:AL1006),$AB$1006:$AQ$1006,0)), HYPERLINK("#",""), HYPERLINK(CONCATENATE("#Metadata!", ADDRESS(INDEX($W$2:$W$1001,MATCH(ROWS($U$2:U210),$U$2:$U$1001,0),0), INDEX($AB$1004:$AQ$1004,1,MATCH(COLUMNS($AB$1006:AL1006),$AB$1006:$AQ$1006,0)))),"Fix")))</f>
        <v>0</v>
      </c>
      <c r="M210" s="5">
        <f>IF(OR(INDEX($V$2:$V$1001,MATCH(ROWS($U$2:U210),$U$2:$U$1001,0),1)&gt;=100000,INDEX($AB$1005:$AQ$1005,1,MATCH(COLUMNS($AB$1006:AM1006),$AB$1006:$AQ$1006,0))&gt;=100000), " ",IF(INDEX($AB$2:$AQ$1001,MATCH(ROWS($U$2:U210),$U$2:$U$1001,0),MATCH(COLUMNS($AB$1006:AM1006),$AB$1006:$AQ$1006,0)), HYPERLINK("#",""), HYPERLINK(CONCATENATE("#Metadata!", ADDRESS(INDEX($W$2:$W$1001,MATCH(ROWS($U$2:U210),$U$2:$U$1001,0),0), INDEX($AB$1004:$AQ$1004,1,MATCH(COLUMNS($AB$1006:AM1006),$AB$1006:$AQ$1006,0)))),"Fix")))</f>
        <v>0</v>
      </c>
      <c r="N210" s="5">
        <f>IF(OR(INDEX($V$2:$V$1001,MATCH(ROWS($U$2:U210),$U$2:$U$1001,0),1)&gt;=100000,INDEX($AB$1005:$AQ$1005,1,MATCH(COLUMNS($AB$1006:AN1006),$AB$1006:$AQ$1006,0))&gt;=100000), " ",IF(INDEX($AB$2:$AQ$1001,MATCH(ROWS($U$2:U210),$U$2:$U$1001,0),MATCH(COLUMNS($AB$1006:AN1006),$AB$1006:$AQ$1006,0)), HYPERLINK("#",""), HYPERLINK(CONCATENATE("#Metadata!", ADDRESS(INDEX($W$2:$W$1001,MATCH(ROWS($U$2:U210),$U$2:$U$1001,0),0), INDEX($AB$1004:$AQ$1004,1,MATCH(COLUMNS($AB$1006:AN1006),$AB$1006:$AQ$1006,0)))),"Fix")))</f>
        <v>0</v>
      </c>
      <c r="O210" s="5">
        <f>IF(OR(INDEX($V$2:$V$1001,MATCH(ROWS($U$2:U210),$U$2:$U$1001,0),1)&gt;=100000,INDEX($AB$1005:$AQ$1005,1,MATCH(COLUMNS($AB$1006:AO1006),$AB$1006:$AQ$1006,0))&gt;=100000), " ",IF(INDEX($AB$2:$AQ$1001,MATCH(ROWS($U$2:U210),$U$2:$U$1001,0),MATCH(COLUMNS($AB$1006:AO1006),$AB$1006:$AQ$1006,0)), HYPERLINK("#",""), HYPERLINK(CONCATENATE("#Metadata!", ADDRESS(INDEX($W$2:$W$1001,MATCH(ROWS($U$2:U210),$U$2:$U$1001,0),0), INDEX($AB$1004:$AQ$1004,1,MATCH(COLUMNS($AB$1006:AO1006),$AB$1006:$AQ$1006,0)))),"Fix")))</f>
        <v>0</v>
      </c>
      <c r="P210" s="5">
        <f>IF(OR(INDEX($V$2:$V$1001,MATCH(ROWS($U$2:U210),$U$2:$U$1001,0),1)&gt;=100000,INDEX($AB$1005:$AQ$1005,1,MATCH(COLUMNS($AB$1006:AP1006),$AB$1006:$AQ$1006,0))&gt;=100000), " ",IF(INDEX($AB$2:$AQ$1001,MATCH(ROWS($U$2:U210),$U$2:$U$1001,0),MATCH(COLUMNS($AB$1006:AP1006),$AB$1006:$AQ$1006,0)), HYPERLINK("#",""), HYPERLINK(CONCATENATE("#Metadata!", ADDRESS(INDEX($W$2:$W$1001,MATCH(ROWS($U$2:U210),$U$2:$U$1001,0),0), INDEX($AB$1004:$AQ$1004,1,MATCH(COLUMNS($AB$1006:AP1006),$AB$1006:$AQ$1006,0)))),"Fix")))</f>
        <v>0</v>
      </c>
      <c r="Q210" s="5">
        <f>IF(OR(INDEX($V$2:$V$1001,MATCH(ROWS($U$2:U210),$U$2:$U$1001,0),1)&gt;=100000,INDEX($AB$1005:$AQ$1005,1,MATCH(COLUMNS($AB$1006:AQ1006),$AB$1006:$AQ$1006,0))&gt;=100000), " ",IF(INDEX($AB$2:$AQ$1001,MATCH(ROWS($U$2:U210),$U$2:$U$1001,0),MATCH(COLUMNS($AB$1006:AQ1006),$AB$1006:$AQ$1006,0)), HYPERLINK("#",""), HYPERLINK(CONCATENATE("#Metadata!", ADDRESS(INDEX($W$2:$W$1001,MATCH(ROWS($U$2:U210),$U$2:$U$1001,0),0), INDEX($AB$1004:$AQ$1004,1,MATCH(COLUMNS($AB$1006:AQ1006),$AB$1006:$AQ$1006,0)))),"Fix")))</f>
        <v>0</v>
      </c>
      <c r="U210">
        <v>0</v>
      </c>
      <c r="V210">
        <v>0</v>
      </c>
      <c r="W210">
        <v>0</v>
      </c>
      <c r="X210">
        <f>IF(Y210,TRUE,AND(AB210:AQ210))</f>
        <v>0</v>
      </c>
      <c r="Y210">
        <f>COUNTBLANK(Metadata!B210:Q210)=COLUMNS(Metadata!B210:Q210)</f>
        <v>0</v>
      </c>
      <c r="Z210">
        <v>0</v>
      </c>
      <c r="AB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AC210">
        <f>AND(IF(Metadata!C210="",FALSE,TRUE),exact(Metadata!C210,"urban biome"))</f>
        <v>0</v>
      </c>
      <c r="AD210">
        <f>AND(IF(Metadata!D210="",FALSE,TRUE),exact(Metadata!D210,"human-associated habitat"))</f>
        <v>0</v>
      </c>
      <c r="AE210">
        <f>AND(IF(Metadata!E210="",FALSE,TRUE),OR(exact(Metadata!E210,"human-associated"),exact(Metadata!E210,"human-skin"),exact(Metadata!E210,"human-oral"),exact(Metadata!E210,"human-gut"),exact(Metadata!E210,"human-vaginal")))</f>
        <v>0</v>
      </c>
      <c r="AF210">
        <f>AND(IF(Metadata!F210="",FALSE,ISNUMBER(VALUE(Metadata!F210))),Metadata!F210&gt;0)</f>
        <v>0</v>
      </c>
      <c r="AG210">
        <f>AND(IF(Metadata!G210="",FALSE,TRUE),exact(Metadata!G210,"years"))</f>
        <v>0</v>
      </c>
      <c r="AH210">
        <f>OR(AND(IF(Metadata!H210="",FALSE,TRUE),OR(exact(Metadata!H210,"not applicable"),exact(Metadata!H210,"not collected"),exact(Metadata!H210,"not provided"),exact(Metadata!H210,"restricted access"))),AND(IF(Metadata!H210="",FALSE,ISNUMBER(VALUE(Metadata!H210))),Metadata!H210&gt;0))</f>
        <v>0</v>
      </c>
      <c r="AI210">
        <f>AND(IF(Metadata!I210="",FALSE,TRUE),exact(Metadata!I210,"human"))</f>
        <v>0</v>
      </c>
      <c r="AJ210">
        <f>AND(IF(Metadata!J210="",FALSE,ISNUMBER(VALUE(Metadata!J210))),Metadata!J210&gt;0)</f>
        <v>0</v>
      </c>
      <c r="AK210">
        <f>AND(IF(Metadata!K210="",FALSE,TRUE),exact(Metadata!K210,"cm"))</f>
        <v>0</v>
      </c>
      <c r="AL210">
        <f>AND(IF(Metadata!L210="",FALSE,TRUE),exact(Metadata!L210,"Homo sapiens"))</f>
        <v>0</v>
      </c>
      <c r="AM210">
        <f>AND(IF(Metadata!M210="",FALSE,TRUE),exact(Metadata!M210,"9606"))</f>
        <v>0</v>
      </c>
      <c r="AN210">
        <f>AND(IF(Metadata!N210="",FALSE,ISNUMBER(VALUE(Metadata!N210))),Metadata!N210&gt;0)</f>
        <v>0</v>
      </c>
      <c r="AO210">
        <f>AND(IF(Metadata!O210="",FALSE,TRUE),exact(Metadata!O210,"kg"))</f>
        <v>0</v>
      </c>
      <c r="AP210">
        <f>OR(AND(IF(Metadata!P210="",FALSE,TRUE),exact(Metadata!P210,"not provided")),IF(Metadata!P210="",FALSE,TRUE))</f>
        <v>0</v>
      </c>
      <c r="AQ210">
        <f>OR(AND(IF(Metadata!Q210="",FALSE,TRUE),exact(Metadata!Q210,"not provided")),IF(Metadata!Q210="",FALSE,TRUE))</f>
        <v>0</v>
      </c>
    </row>
    <row r="211" spans="1:43">
      <c r="A211" s="4">
        <f>IF(B211=" "," ",HYPERLINK(CONCATENATE("#metadata!",ADDRESS(INDEX($W$2:$W$1001,MATCH(ROWS($U$2:U211),$U$2:$U$1001,0),0),2)),INDEX($Z$2:$Z$1001,MATCH(ROWS($U$2:U211),$U$2:$U$1001,0),0)))</f>
        <v>0</v>
      </c>
      <c r="B211" s="5">
        <f>IF(OR(INDEX($V$2:$V$1001,MATCH(ROWS($U$2:U211),$U$2:$U$1001,0),1)&gt;=100000,INDEX($AB$1005:$AQ$1005,1,MATCH(COLUMNS($AB$1006:AB1006),$AB$1006:$AQ$1006,0))&gt;=100000), " ",IF(INDEX($AB$2:$AQ$1001,MATCH(ROWS($U$2:U211),$U$2:$U$1001,0),MATCH(COLUMNS($AB$1006:AB1006),$AB$1006:$AQ$1006,0)), HYPERLINK("#",""), HYPERLINK(CONCATENATE("#Metadata!", ADDRESS(INDEX($W$2:$W$1001,MATCH(ROWS($U$2:U211),$U$2:$U$1001,0),0), INDEX($AB$1004:$AQ$1004,1,MATCH(COLUMNS($AB$1006:AB1006),$AB$1006:$AQ$1006,0)))),"Fix")))</f>
        <v>0</v>
      </c>
      <c r="C211" s="5">
        <f>IF(OR(INDEX($V$2:$V$1001,MATCH(ROWS($U$2:U211),$U$2:$U$1001,0),1)&gt;=100000,INDEX($AB$1005:$AQ$1005,1,MATCH(COLUMNS($AB$1006:AC1006),$AB$1006:$AQ$1006,0))&gt;=100000), " ",IF(INDEX($AB$2:$AQ$1001,MATCH(ROWS($U$2:U211),$U$2:$U$1001,0),MATCH(COLUMNS($AB$1006:AC1006),$AB$1006:$AQ$1006,0)), HYPERLINK("#",""), HYPERLINK(CONCATENATE("#Metadata!", ADDRESS(INDEX($W$2:$W$1001,MATCH(ROWS($U$2:U211),$U$2:$U$1001,0),0), INDEX($AB$1004:$AQ$1004,1,MATCH(COLUMNS($AB$1006:AC1006),$AB$1006:$AQ$1006,0)))),"Fix")))</f>
        <v>0</v>
      </c>
      <c r="D211" s="5">
        <f>IF(OR(INDEX($V$2:$V$1001,MATCH(ROWS($U$2:U211),$U$2:$U$1001,0),1)&gt;=100000,INDEX($AB$1005:$AQ$1005,1,MATCH(COLUMNS($AB$1006:AD1006),$AB$1006:$AQ$1006,0))&gt;=100000), " ",IF(INDEX($AB$2:$AQ$1001,MATCH(ROWS($U$2:U211),$U$2:$U$1001,0),MATCH(COLUMNS($AB$1006:AD1006),$AB$1006:$AQ$1006,0)), HYPERLINK("#",""), HYPERLINK(CONCATENATE("#Metadata!", ADDRESS(INDEX($W$2:$W$1001,MATCH(ROWS($U$2:U211),$U$2:$U$1001,0),0), INDEX($AB$1004:$AQ$1004,1,MATCH(COLUMNS($AB$1006:AD1006),$AB$1006:$AQ$1006,0)))),"Fix")))</f>
        <v>0</v>
      </c>
      <c r="E211" s="5">
        <f>IF(OR(INDEX($V$2:$V$1001,MATCH(ROWS($U$2:U211),$U$2:$U$1001,0),1)&gt;=100000,INDEX($AB$1005:$AQ$1005,1,MATCH(COLUMNS($AB$1006:AE1006),$AB$1006:$AQ$1006,0))&gt;=100000), " ",IF(INDEX($AB$2:$AQ$1001,MATCH(ROWS($U$2:U211),$U$2:$U$1001,0),MATCH(COLUMNS($AB$1006:AE1006),$AB$1006:$AQ$1006,0)), HYPERLINK("#",""), HYPERLINK(CONCATENATE("#Metadata!", ADDRESS(INDEX($W$2:$W$1001,MATCH(ROWS($U$2:U211),$U$2:$U$1001,0),0), INDEX($AB$1004:$AQ$1004,1,MATCH(COLUMNS($AB$1006:AE1006),$AB$1006:$AQ$1006,0)))),"Fix")))</f>
        <v>0</v>
      </c>
      <c r="F211" s="5">
        <f>IF(OR(INDEX($V$2:$V$1001,MATCH(ROWS($U$2:U211),$U$2:$U$1001,0),1)&gt;=100000,INDEX($AB$1005:$AQ$1005,1,MATCH(COLUMNS($AB$1006:AF1006),$AB$1006:$AQ$1006,0))&gt;=100000), " ",IF(INDEX($AB$2:$AQ$1001,MATCH(ROWS($U$2:U211),$U$2:$U$1001,0),MATCH(COLUMNS($AB$1006:AF1006),$AB$1006:$AQ$1006,0)), HYPERLINK("#",""), HYPERLINK(CONCATENATE("#Metadata!", ADDRESS(INDEX($W$2:$W$1001,MATCH(ROWS($U$2:U211),$U$2:$U$1001,0),0), INDEX($AB$1004:$AQ$1004,1,MATCH(COLUMNS($AB$1006:AF1006),$AB$1006:$AQ$1006,0)))),"Fix")))</f>
        <v>0</v>
      </c>
      <c r="G211" s="5">
        <f>IF(OR(INDEX($V$2:$V$1001,MATCH(ROWS($U$2:U211),$U$2:$U$1001,0),1)&gt;=100000,INDEX($AB$1005:$AQ$1005,1,MATCH(COLUMNS($AB$1006:AG1006),$AB$1006:$AQ$1006,0))&gt;=100000), " ",IF(INDEX($AB$2:$AQ$1001,MATCH(ROWS($U$2:U211),$U$2:$U$1001,0),MATCH(COLUMNS($AB$1006:AG1006),$AB$1006:$AQ$1006,0)), HYPERLINK("#",""), HYPERLINK(CONCATENATE("#Metadata!", ADDRESS(INDEX($W$2:$W$1001,MATCH(ROWS($U$2:U211),$U$2:$U$1001,0),0), INDEX($AB$1004:$AQ$1004,1,MATCH(COLUMNS($AB$1006:AG1006),$AB$1006:$AQ$1006,0)))),"Fix")))</f>
        <v>0</v>
      </c>
      <c r="H211" s="5">
        <f>IF(OR(INDEX($V$2:$V$1001,MATCH(ROWS($U$2:U211),$U$2:$U$1001,0),1)&gt;=100000,INDEX($AB$1005:$AQ$1005,1,MATCH(COLUMNS($AB$1006:AH1006),$AB$1006:$AQ$1006,0))&gt;=100000), " ",IF(INDEX($AB$2:$AQ$1001,MATCH(ROWS($U$2:U211),$U$2:$U$1001,0),MATCH(COLUMNS($AB$1006:AH1006),$AB$1006:$AQ$1006,0)), HYPERLINK("#",""), HYPERLINK(CONCATENATE("#Metadata!", ADDRESS(INDEX($W$2:$W$1001,MATCH(ROWS($U$2:U211),$U$2:$U$1001,0),0), INDEX($AB$1004:$AQ$1004,1,MATCH(COLUMNS($AB$1006:AH1006),$AB$1006:$AQ$1006,0)))),"Fix")))</f>
        <v>0</v>
      </c>
      <c r="I211" s="5">
        <f>IF(OR(INDEX($V$2:$V$1001,MATCH(ROWS($U$2:U211),$U$2:$U$1001,0),1)&gt;=100000,INDEX($AB$1005:$AQ$1005,1,MATCH(COLUMNS($AB$1006:AI1006),$AB$1006:$AQ$1006,0))&gt;=100000), " ",IF(INDEX($AB$2:$AQ$1001,MATCH(ROWS($U$2:U211),$U$2:$U$1001,0),MATCH(COLUMNS($AB$1006:AI1006),$AB$1006:$AQ$1006,0)), HYPERLINK("#",""), HYPERLINK(CONCATENATE("#Metadata!", ADDRESS(INDEX($W$2:$W$1001,MATCH(ROWS($U$2:U211),$U$2:$U$1001,0),0), INDEX($AB$1004:$AQ$1004,1,MATCH(COLUMNS($AB$1006:AI1006),$AB$1006:$AQ$1006,0)))),"Fix")))</f>
        <v>0</v>
      </c>
      <c r="J211" s="5">
        <f>IF(OR(INDEX($V$2:$V$1001,MATCH(ROWS($U$2:U211),$U$2:$U$1001,0),1)&gt;=100000,INDEX($AB$1005:$AQ$1005,1,MATCH(COLUMNS($AB$1006:AJ1006),$AB$1006:$AQ$1006,0))&gt;=100000), " ",IF(INDEX($AB$2:$AQ$1001,MATCH(ROWS($U$2:U211),$U$2:$U$1001,0),MATCH(COLUMNS($AB$1006:AJ1006),$AB$1006:$AQ$1006,0)), HYPERLINK("#",""), HYPERLINK(CONCATENATE("#Metadata!", ADDRESS(INDEX($W$2:$W$1001,MATCH(ROWS($U$2:U211),$U$2:$U$1001,0),0), INDEX($AB$1004:$AQ$1004,1,MATCH(COLUMNS($AB$1006:AJ1006),$AB$1006:$AQ$1006,0)))),"Fix")))</f>
        <v>0</v>
      </c>
      <c r="K211" s="5">
        <f>IF(OR(INDEX($V$2:$V$1001,MATCH(ROWS($U$2:U211),$U$2:$U$1001,0),1)&gt;=100000,INDEX($AB$1005:$AQ$1005,1,MATCH(COLUMNS($AB$1006:AK1006),$AB$1006:$AQ$1006,0))&gt;=100000), " ",IF(INDEX($AB$2:$AQ$1001,MATCH(ROWS($U$2:U211),$U$2:$U$1001,0),MATCH(COLUMNS($AB$1006:AK1006),$AB$1006:$AQ$1006,0)), HYPERLINK("#",""), HYPERLINK(CONCATENATE("#Metadata!", ADDRESS(INDEX($W$2:$W$1001,MATCH(ROWS($U$2:U211),$U$2:$U$1001,0),0), INDEX($AB$1004:$AQ$1004,1,MATCH(COLUMNS($AB$1006:AK1006),$AB$1006:$AQ$1006,0)))),"Fix")))</f>
        <v>0</v>
      </c>
      <c r="L211" s="5">
        <f>IF(OR(INDEX($V$2:$V$1001,MATCH(ROWS($U$2:U211),$U$2:$U$1001,0),1)&gt;=100000,INDEX($AB$1005:$AQ$1005,1,MATCH(COLUMNS($AB$1006:AL1006),$AB$1006:$AQ$1006,0))&gt;=100000), " ",IF(INDEX($AB$2:$AQ$1001,MATCH(ROWS($U$2:U211),$U$2:$U$1001,0),MATCH(COLUMNS($AB$1006:AL1006),$AB$1006:$AQ$1006,0)), HYPERLINK("#",""), HYPERLINK(CONCATENATE("#Metadata!", ADDRESS(INDEX($W$2:$W$1001,MATCH(ROWS($U$2:U211),$U$2:$U$1001,0),0), INDEX($AB$1004:$AQ$1004,1,MATCH(COLUMNS($AB$1006:AL1006),$AB$1006:$AQ$1006,0)))),"Fix")))</f>
        <v>0</v>
      </c>
      <c r="M211" s="5">
        <f>IF(OR(INDEX($V$2:$V$1001,MATCH(ROWS($U$2:U211),$U$2:$U$1001,0),1)&gt;=100000,INDEX($AB$1005:$AQ$1005,1,MATCH(COLUMNS($AB$1006:AM1006),$AB$1006:$AQ$1006,0))&gt;=100000), " ",IF(INDEX($AB$2:$AQ$1001,MATCH(ROWS($U$2:U211),$U$2:$U$1001,0),MATCH(COLUMNS($AB$1006:AM1006),$AB$1006:$AQ$1006,0)), HYPERLINK("#",""), HYPERLINK(CONCATENATE("#Metadata!", ADDRESS(INDEX($W$2:$W$1001,MATCH(ROWS($U$2:U211),$U$2:$U$1001,0),0), INDEX($AB$1004:$AQ$1004,1,MATCH(COLUMNS($AB$1006:AM1006),$AB$1006:$AQ$1006,0)))),"Fix")))</f>
        <v>0</v>
      </c>
      <c r="N211" s="5">
        <f>IF(OR(INDEX($V$2:$V$1001,MATCH(ROWS($U$2:U211),$U$2:$U$1001,0),1)&gt;=100000,INDEX($AB$1005:$AQ$1005,1,MATCH(COLUMNS($AB$1006:AN1006),$AB$1006:$AQ$1006,0))&gt;=100000), " ",IF(INDEX($AB$2:$AQ$1001,MATCH(ROWS($U$2:U211),$U$2:$U$1001,0),MATCH(COLUMNS($AB$1006:AN1006),$AB$1006:$AQ$1006,0)), HYPERLINK("#",""), HYPERLINK(CONCATENATE("#Metadata!", ADDRESS(INDEX($W$2:$W$1001,MATCH(ROWS($U$2:U211),$U$2:$U$1001,0),0), INDEX($AB$1004:$AQ$1004,1,MATCH(COLUMNS($AB$1006:AN1006),$AB$1006:$AQ$1006,0)))),"Fix")))</f>
        <v>0</v>
      </c>
      <c r="O211" s="5">
        <f>IF(OR(INDEX($V$2:$V$1001,MATCH(ROWS($U$2:U211),$U$2:$U$1001,0),1)&gt;=100000,INDEX($AB$1005:$AQ$1005,1,MATCH(COLUMNS($AB$1006:AO1006),$AB$1006:$AQ$1006,0))&gt;=100000), " ",IF(INDEX($AB$2:$AQ$1001,MATCH(ROWS($U$2:U211),$U$2:$U$1001,0),MATCH(COLUMNS($AB$1006:AO1006),$AB$1006:$AQ$1006,0)), HYPERLINK("#",""), HYPERLINK(CONCATENATE("#Metadata!", ADDRESS(INDEX($W$2:$W$1001,MATCH(ROWS($U$2:U211),$U$2:$U$1001,0),0), INDEX($AB$1004:$AQ$1004,1,MATCH(COLUMNS($AB$1006:AO1006),$AB$1006:$AQ$1006,0)))),"Fix")))</f>
        <v>0</v>
      </c>
      <c r="P211" s="5">
        <f>IF(OR(INDEX($V$2:$V$1001,MATCH(ROWS($U$2:U211),$U$2:$U$1001,0),1)&gt;=100000,INDEX($AB$1005:$AQ$1005,1,MATCH(COLUMNS($AB$1006:AP1006),$AB$1006:$AQ$1006,0))&gt;=100000), " ",IF(INDEX($AB$2:$AQ$1001,MATCH(ROWS($U$2:U211),$U$2:$U$1001,0),MATCH(COLUMNS($AB$1006:AP1006),$AB$1006:$AQ$1006,0)), HYPERLINK("#",""), HYPERLINK(CONCATENATE("#Metadata!", ADDRESS(INDEX($W$2:$W$1001,MATCH(ROWS($U$2:U211),$U$2:$U$1001,0),0), INDEX($AB$1004:$AQ$1004,1,MATCH(COLUMNS($AB$1006:AP1006),$AB$1006:$AQ$1006,0)))),"Fix")))</f>
        <v>0</v>
      </c>
      <c r="Q211" s="5">
        <f>IF(OR(INDEX($V$2:$V$1001,MATCH(ROWS($U$2:U211),$U$2:$U$1001,0),1)&gt;=100000,INDEX($AB$1005:$AQ$1005,1,MATCH(COLUMNS($AB$1006:AQ1006),$AB$1006:$AQ$1006,0))&gt;=100000), " ",IF(INDEX($AB$2:$AQ$1001,MATCH(ROWS($U$2:U211),$U$2:$U$1001,0),MATCH(COLUMNS($AB$1006:AQ1006),$AB$1006:$AQ$1006,0)), HYPERLINK("#",""), HYPERLINK(CONCATENATE("#Metadata!", ADDRESS(INDEX($W$2:$W$1001,MATCH(ROWS($U$2:U211),$U$2:$U$1001,0),0), INDEX($AB$1004:$AQ$1004,1,MATCH(COLUMNS($AB$1006:AQ1006),$AB$1006:$AQ$1006,0)))),"Fix")))</f>
        <v>0</v>
      </c>
      <c r="U211">
        <v>0</v>
      </c>
      <c r="V211">
        <v>0</v>
      </c>
      <c r="W211">
        <v>0</v>
      </c>
      <c r="X211">
        <f>IF(Y211,TRUE,AND(AB211:AQ211))</f>
        <v>0</v>
      </c>
      <c r="Y211">
        <f>COUNTBLANK(Metadata!B211:Q211)=COLUMNS(Metadata!B211:Q211)</f>
        <v>0</v>
      </c>
      <c r="Z211">
        <v>0</v>
      </c>
      <c r="AB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AC211">
        <f>AND(IF(Metadata!C211="",FALSE,TRUE),exact(Metadata!C211,"urban biome"))</f>
        <v>0</v>
      </c>
      <c r="AD211">
        <f>AND(IF(Metadata!D211="",FALSE,TRUE),exact(Metadata!D211,"human-associated habitat"))</f>
        <v>0</v>
      </c>
      <c r="AE211">
        <f>AND(IF(Metadata!E211="",FALSE,TRUE),OR(exact(Metadata!E211,"human-associated"),exact(Metadata!E211,"human-skin"),exact(Metadata!E211,"human-oral"),exact(Metadata!E211,"human-gut"),exact(Metadata!E211,"human-vaginal")))</f>
        <v>0</v>
      </c>
      <c r="AF211">
        <f>AND(IF(Metadata!F211="",FALSE,ISNUMBER(VALUE(Metadata!F211))),Metadata!F211&gt;0)</f>
        <v>0</v>
      </c>
      <c r="AG211">
        <f>AND(IF(Metadata!G211="",FALSE,TRUE),exact(Metadata!G211,"years"))</f>
        <v>0</v>
      </c>
      <c r="AH211">
        <f>OR(AND(IF(Metadata!H211="",FALSE,TRUE),OR(exact(Metadata!H211,"not applicable"),exact(Metadata!H211,"not collected"),exact(Metadata!H211,"not provided"),exact(Metadata!H211,"restricted access"))),AND(IF(Metadata!H211="",FALSE,ISNUMBER(VALUE(Metadata!H211))),Metadata!H211&gt;0))</f>
        <v>0</v>
      </c>
      <c r="AI211">
        <f>AND(IF(Metadata!I211="",FALSE,TRUE),exact(Metadata!I211,"human"))</f>
        <v>0</v>
      </c>
      <c r="AJ211">
        <f>AND(IF(Metadata!J211="",FALSE,ISNUMBER(VALUE(Metadata!J211))),Metadata!J211&gt;0)</f>
        <v>0</v>
      </c>
      <c r="AK211">
        <f>AND(IF(Metadata!K211="",FALSE,TRUE),exact(Metadata!K211,"cm"))</f>
        <v>0</v>
      </c>
      <c r="AL211">
        <f>AND(IF(Metadata!L211="",FALSE,TRUE),exact(Metadata!L211,"Homo sapiens"))</f>
        <v>0</v>
      </c>
      <c r="AM211">
        <f>AND(IF(Metadata!M211="",FALSE,TRUE),exact(Metadata!M211,"9606"))</f>
        <v>0</v>
      </c>
      <c r="AN211">
        <f>AND(IF(Metadata!N211="",FALSE,ISNUMBER(VALUE(Metadata!N211))),Metadata!N211&gt;0)</f>
        <v>0</v>
      </c>
      <c r="AO211">
        <f>AND(IF(Metadata!O211="",FALSE,TRUE),exact(Metadata!O211,"kg"))</f>
        <v>0</v>
      </c>
      <c r="AP211">
        <f>OR(AND(IF(Metadata!P211="",FALSE,TRUE),exact(Metadata!P211,"not provided")),IF(Metadata!P211="",FALSE,TRUE))</f>
        <v>0</v>
      </c>
      <c r="AQ211">
        <f>OR(AND(IF(Metadata!Q211="",FALSE,TRUE),exact(Metadata!Q211,"not provided")),IF(Metadata!Q211="",FALSE,TRUE))</f>
        <v>0</v>
      </c>
    </row>
    <row r="212" spans="1:43">
      <c r="A212" s="4">
        <f>IF(B212=" "," ",HYPERLINK(CONCATENATE("#metadata!",ADDRESS(INDEX($W$2:$W$1001,MATCH(ROWS($U$2:U212),$U$2:$U$1001,0),0),2)),INDEX($Z$2:$Z$1001,MATCH(ROWS($U$2:U212),$U$2:$U$1001,0),0)))</f>
        <v>0</v>
      </c>
      <c r="B212" s="5">
        <f>IF(OR(INDEX($V$2:$V$1001,MATCH(ROWS($U$2:U212),$U$2:$U$1001,0),1)&gt;=100000,INDEX($AB$1005:$AQ$1005,1,MATCH(COLUMNS($AB$1006:AB1006),$AB$1006:$AQ$1006,0))&gt;=100000), " ",IF(INDEX($AB$2:$AQ$1001,MATCH(ROWS($U$2:U212),$U$2:$U$1001,0),MATCH(COLUMNS($AB$1006:AB1006),$AB$1006:$AQ$1006,0)), HYPERLINK("#",""), HYPERLINK(CONCATENATE("#Metadata!", ADDRESS(INDEX($W$2:$W$1001,MATCH(ROWS($U$2:U212),$U$2:$U$1001,0),0), INDEX($AB$1004:$AQ$1004,1,MATCH(COLUMNS($AB$1006:AB1006),$AB$1006:$AQ$1006,0)))),"Fix")))</f>
        <v>0</v>
      </c>
      <c r="C212" s="5">
        <f>IF(OR(INDEX($V$2:$V$1001,MATCH(ROWS($U$2:U212),$U$2:$U$1001,0),1)&gt;=100000,INDEX($AB$1005:$AQ$1005,1,MATCH(COLUMNS($AB$1006:AC1006),$AB$1006:$AQ$1006,0))&gt;=100000), " ",IF(INDEX($AB$2:$AQ$1001,MATCH(ROWS($U$2:U212),$U$2:$U$1001,0),MATCH(COLUMNS($AB$1006:AC1006),$AB$1006:$AQ$1006,0)), HYPERLINK("#",""), HYPERLINK(CONCATENATE("#Metadata!", ADDRESS(INDEX($W$2:$W$1001,MATCH(ROWS($U$2:U212),$U$2:$U$1001,0),0), INDEX($AB$1004:$AQ$1004,1,MATCH(COLUMNS($AB$1006:AC1006),$AB$1006:$AQ$1006,0)))),"Fix")))</f>
        <v>0</v>
      </c>
      <c r="D212" s="5">
        <f>IF(OR(INDEX($V$2:$V$1001,MATCH(ROWS($U$2:U212),$U$2:$U$1001,0),1)&gt;=100000,INDEX($AB$1005:$AQ$1005,1,MATCH(COLUMNS($AB$1006:AD1006),$AB$1006:$AQ$1006,0))&gt;=100000), " ",IF(INDEX($AB$2:$AQ$1001,MATCH(ROWS($U$2:U212),$U$2:$U$1001,0),MATCH(COLUMNS($AB$1006:AD1006),$AB$1006:$AQ$1006,0)), HYPERLINK("#",""), HYPERLINK(CONCATENATE("#Metadata!", ADDRESS(INDEX($W$2:$W$1001,MATCH(ROWS($U$2:U212),$U$2:$U$1001,0),0), INDEX($AB$1004:$AQ$1004,1,MATCH(COLUMNS($AB$1006:AD1006),$AB$1006:$AQ$1006,0)))),"Fix")))</f>
        <v>0</v>
      </c>
      <c r="E212" s="5">
        <f>IF(OR(INDEX($V$2:$V$1001,MATCH(ROWS($U$2:U212),$U$2:$U$1001,0),1)&gt;=100000,INDEX($AB$1005:$AQ$1005,1,MATCH(COLUMNS($AB$1006:AE1006),$AB$1006:$AQ$1006,0))&gt;=100000), " ",IF(INDEX($AB$2:$AQ$1001,MATCH(ROWS($U$2:U212),$U$2:$U$1001,0),MATCH(COLUMNS($AB$1006:AE1006),$AB$1006:$AQ$1006,0)), HYPERLINK("#",""), HYPERLINK(CONCATENATE("#Metadata!", ADDRESS(INDEX($W$2:$W$1001,MATCH(ROWS($U$2:U212),$U$2:$U$1001,0),0), INDEX($AB$1004:$AQ$1004,1,MATCH(COLUMNS($AB$1006:AE1006),$AB$1006:$AQ$1006,0)))),"Fix")))</f>
        <v>0</v>
      </c>
      <c r="F212" s="5">
        <f>IF(OR(INDEX($V$2:$V$1001,MATCH(ROWS($U$2:U212),$U$2:$U$1001,0),1)&gt;=100000,INDEX($AB$1005:$AQ$1005,1,MATCH(COLUMNS($AB$1006:AF1006),$AB$1006:$AQ$1006,0))&gt;=100000), " ",IF(INDEX($AB$2:$AQ$1001,MATCH(ROWS($U$2:U212),$U$2:$U$1001,0),MATCH(COLUMNS($AB$1006:AF1006),$AB$1006:$AQ$1006,0)), HYPERLINK("#",""), HYPERLINK(CONCATENATE("#Metadata!", ADDRESS(INDEX($W$2:$W$1001,MATCH(ROWS($U$2:U212),$U$2:$U$1001,0),0), INDEX($AB$1004:$AQ$1004,1,MATCH(COLUMNS($AB$1006:AF1006),$AB$1006:$AQ$1006,0)))),"Fix")))</f>
        <v>0</v>
      </c>
      <c r="G212" s="5">
        <f>IF(OR(INDEX($V$2:$V$1001,MATCH(ROWS($U$2:U212),$U$2:$U$1001,0),1)&gt;=100000,INDEX($AB$1005:$AQ$1005,1,MATCH(COLUMNS($AB$1006:AG1006),$AB$1006:$AQ$1006,0))&gt;=100000), " ",IF(INDEX($AB$2:$AQ$1001,MATCH(ROWS($U$2:U212),$U$2:$U$1001,0),MATCH(COLUMNS($AB$1006:AG1006),$AB$1006:$AQ$1006,0)), HYPERLINK("#",""), HYPERLINK(CONCATENATE("#Metadata!", ADDRESS(INDEX($W$2:$W$1001,MATCH(ROWS($U$2:U212),$U$2:$U$1001,0),0), INDEX($AB$1004:$AQ$1004,1,MATCH(COLUMNS($AB$1006:AG1006),$AB$1006:$AQ$1006,0)))),"Fix")))</f>
        <v>0</v>
      </c>
      <c r="H212" s="5">
        <f>IF(OR(INDEX($V$2:$V$1001,MATCH(ROWS($U$2:U212),$U$2:$U$1001,0),1)&gt;=100000,INDEX($AB$1005:$AQ$1005,1,MATCH(COLUMNS($AB$1006:AH1006),$AB$1006:$AQ$1006,0))&gt;=100000), " ",IF(INDEX($AB$2:$AQ$1001,MATCH(ROWS($U$2:U212),$U$2:$U$1001,0),MATCH(COLUMNS($AB$1006:AH1006),$AB$1006:$AQ$1006,0)), HYPERLINK("#",""), HYPERLINK(CONCATENATE("#Metadata!", ADDRESS(INDEX($W$2:$W$1001,MATCH(ROWS($U$2:U212),$U$2:$U$1001,0),0), INDEX($AB$1004:$AQ$1004,1,MATCH(COLUMNS($AB$1006:AH1006),$AB$1006:$AQ$1006,0)))),"Fix")))</f>
        <v>0</v>
      </c>
      <c r="I212" s="5">
        <f>IF(OR(INDEX($V$2:$V$1001,MATCH(ROWS($U$2:U212),$U$2:$U$1001,0),1)&gt;=100000,INDEX($AB$1005:$AQ$1005,1,MATCH(COLUMNS($AB$1006:AI1006),$AB$1006:$AQ$1006,0))&gt;=100000), " ",IF(INDEX($AB$2:$AQ$1001,MATCH(ROWS($U$2:U212),$U$2:$U$1001,0),MATCH(COLUMNS($AB$1006:AI1006),$AB$1006:$AQ$1006,0)), HYPERLINK("#",""), HYPERLINK(CONCATENATE("#Metadata!", ADDRESS(INDEX($W$2:$W$1001,MATCH(ROWS($U$2:U212),$U$2:$U$1001,0),0), INDEX($AB$1004:$AQ$1004,1,MATCH(COLUMNS($AB$1006:AI1006),$AB$1006:$AQ$1006,0)))),"Fix")))</f>
        <v>0</v>
      </c>
      <c r="J212" s="5">
        <f>IF(OR(INDEX($V$2:$V$1001,MATCH(ROWS($U$2:U212),$U$2:$U$1001,0),1)&gt;=100000,INDEX($AB$1005:$AQ$1005,1,MATCH(COLUMNS($AB$1006:AJ1006),$AB$1006:$AQ$1006,0))&gt;=100000), " ",IF(INDEX($AB$2:$AQ$1001,MATCH(ROWS($U$2:U212),$U$2:$U$1001,0),MATCH(COLUMNS($AB$1006:AJ1006),$AB$1006:$AQ$1006,0)), HYPERLINK("#",""), HYPERLINK(CONCATENATE("#Metadata!", ADDRESS(INDEX($W$2:$W$1001,MATCH(ROWS($U$2:U212),$U$2:$U$1001,0),0), INDEX($AB$1004:$AQ$1004,1,MATCH(COLUMNS($AB$1006:AJ1006),$AB$1006:$AQ$1006,0)))),"Fix")))</f>
        <v>0</v>
      </c>
      <c r="K212" s="5">
        <f>IF(OR(INDEX($V$2:$V$1001,MATCH(ROWS($U$2:U212),$U$2:$U$1001,0),1)&gt;=100000,INDEX($AB$1005:$AQ$1005,1,MATCH(COLUMNS($AB$1006:AK1006),$AB$1006:$AQ$1006,0))&gt;=100000), " ",IF(INDEX($AB$2:$AQ$1001,MATCH(ROWS($U$2:U212),$U$2:$U$1001,0),MATCH(COLUMNS($AB$1006:AK1006),$AB$1006:$AQ$1006,0)), HYPERLINK("#",""), HYPERLINK(CONCATENATE("#Metadata!", ADDRESS(INDEX($W$2:$W$1001,MATCH(ROWS($U$2:U212),$U$2:$U$1001,0),0), INDEX($AB$1004:$AQ$1004,1,MATCH(COLUMNS($AB$1006:AK1006),$AB$1006:$AQ$1006,0)))),"Fix")))</f>
        <v>0</v>
      </c>
      <c r="L212" s="5">
        <f>IF(OR(INDEX($V$2:$V$1001,MATCH(ROWS($U$2:U212),$U$2:$U$1001,0),1)&gt;=100000,INDEX($AB$1005:$AQ$1005,1,MATCH(COLUMNS($AB$1006:AL1006),$AB$1006:$AQ$1006,0))&gt;=100000), " ",IF(INDEX($AB$2:$AQ$1001,MATCH(ROWS($U$2:U212),$U$2:$U$1001,0),MATCH(COLUMNS($AB$1006:AL1006),$AB$1006:$AQ$1006,0)), HYPERLINK("#",""), HYPERLINK(CONCATENATE("#Metadata!", ADDRESS(INDEX($W$2:$W$1001,MATCH(ROWS($U$2:U212),$U$2:$U$1001,0),0), INDEX($AB$1004:$AQ$1004,1,MATCH(COLUMNS($AB$1006:AL1006),$AB$1006:$AQ$1006,0)))),"Fix")))</f>
        <v>0</v>
      </c>
      <c r="M212" s="5">
        <f>IF(OR(INDEX($V$2:$V$1001,MATCH(ROWS($U$2:U212),$U$2:$U$1001,0),1)&gt;=100000,INDEX($AB$1005:$AQ$1005,1,MATCH(COLUMNS($AB$1006:AM1006),$AB$1006:$AQ$1006,0))&gt;=100000), " ",IF(INDEX($AB$2:$AQ$1001,MATCH(ROWS($U$2:U212),$U$2:$U$1001,0),MATCH(COLUMNS($AB$1006:AM1006),$AB$1006:$AQ$1006,0)), HYPERLINK("#",""), HYPERLINK(CONCATENATE("#Metadata!", ADDRESS(INDEX($W$2:$W$1001,MATCH(ROWS($U$2:U212),$U$2:$U$1001,0),0), INDEX($AB$1004:$AQ$1004,1,MATCH(COLUMNS($AB$1006:AM1006),$AB$1006:$AQ$1006,0)))),"Fix")))</f>
        <v>0</v>
      </c>
      <c r="N212" s="5">
        <f>IF(OR(INDEX($V$2:$V$1001,MATCH(ROWS($U$2:U212),$U$2:$U$1001,0),1)&gt;=100000,INDEX($AB$1005:$AQ$1005,1,MATCH(COLUMNS($AB$1006:AN1006),$AB$1006:$AQ$1006,0))&gt;=100000), " ",IF(INDEX($AB$2:$AQ$1001,MATCH(ROWS($U$2:U212),$U$2:$U$1001,0),MATCH(COLUMNS($AB$1006:AN1006),$AB$1006:$AQ$1006,0)), HYPERLINK("#",""), HYPERLINK(CONCATENATE("#Metadata!", ADDRESS(INDEX($W$2:$W$1001,MATCH(ROWS($U$2:U212),$U$2:$U$1001,0),0), INDEX($AB$1004:$AQ$1004,1,MATCH(COLUMNS($AB$1006:AN1006),$AB$1006:$AQ$1006,0)))),"Fix")))</f>
        <v>0</v>
      </c>
      <c r="O212" s="5">
        <f>IF(OR(INDEX($V$2:$V$1001,MATCH(ROWS($U$2:U212),$U$2:$U$1001,0),1)&gt;=100000,INDEX($AB$1005:$AQ$1005,1,MATCH(COLUMNS($AB$1006:AO1006),$AB$1006:$AQ$1006,0))&gt;=100000), " ",IF(INDEX($AB$2:$AQ$1001,MATCH(ROWS($U$2:U212),$U$2:$U$1001,0),MATCH(COLUMNS($AB$1006:AO1006),$AB$1006:$AQ$1006,0)), HYPERLINK("#",""), HYPERLINK(CONCATENATE("#Metadata!", ADDRESS(INDEX($W$2:$W$1001,MATCH(ROWS($U$2:U212),$U$2:$U$1001,0),0), INDEX($AB$1004:$AQ$1004,1,MATCH(COLUMNS($AB$1006:AO1006),$AB$1006:$AQ$1006,0)))),"Fix")))</f>
        <v>0</v>
      </c>
      <c r="P212" s="5">
        <f>IF(OR(INDEX($V$2:$V$1001,MATCH(ROWS($U$2:U212),$U$2:$U$1001,0),1)&gt;=100000,INDEX($AB$1005:$AQ$1005,1,MATCH(COLUMNS($AB$1006:AP1006),$AB$1006:$AQ$1006,0))&gt;=100000), " ",IF(INDEX($AB$2:$AQ$1001,MATCH(ROWS($U$2:U212),$U$2:$U$1001,0),MATCH(COLUMNS($AB$1006:AP1006),$AB$1006:$AQ$1006,0)), HYPERLINK("#",""), HYPERLINK(CONCATENATE("#Metadata!", ADDRESS(INDEX($W$2:$W$1001,MATCH(ROWS($U$2:U212),$U$2:$U$1001,0),0), INDEX($AB$1004:$AQ$1004,1,MATCH(COLUMNS($AB$1006:AP1006),$AB$1006:$AQ$1006,0)))),"Fix")))</f>
        <v>0</v>
      </c>
      <c r="Q212" s="5">
        <f>IF(OR(INDEX($V$2:$V$1001,MATCH(ROWS($U$2:U212),$U$2:$U$1001,0),1)&gt;=100000,INDEX($AB$1005:$AQ$1005,1,MATCH(COLUMNS($AB$1006:AQ1006),$AB$1006:$AQ$1006,0))&gt;=100000), " ",IF(INDEX($AB$2:$AQ$1001,MATCH(ROWS($U$2:U212),$U$2:$U$1001,0),MATCH(COLUMNS($AB$1006:AQ1006),$AB$1006:$AQ$1006,0)), HYPERLINK("#",""), HYPERLINK(CONCATENATE("#Metadata!", ADDRESS(INDEX($W$2:$W$1001,MATCH(ROWS($U$2:U212),$U$2:$U$1001,0),0), INDEX($AB$1004:$AQ$1004,1,MATCH(COLUMNS($AB$1006:AQ1006),$AB$1006:$AQ$1006,0)))),"Fix")))</f>
        <v>0</v>
      </c>
      <c r="U212">
        <v>0</v>
      </c>
      <c r="V212">
        <v>0</v>
      </c>
      <c r="W212">
        <v>0</v>
      </c>
      <c r="X212">
        <f>IF(Y212,TRUE,AND(AB212:AQ212))</f>
        <v>0</v>
      </c>
      <c r="Y212">
        <f>COUNTBLANK(Metadata!B212:Q212)=COLUMNS(Metadata!B212:Q212)</f>
        <v>0</v>
      </c>
      <c r="Z212">
        <v>0</v>
      </c>
      <c r="AB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AC212">
        <f>AND(IF(Metadata!C212="",FALSE,TRUE),exact(Metadata!C212,"urban biome"))</f>
        <v>0</v>
      </c>
      <c r="AD212">
        <f>AND(IF(Metadata!D212="",FALSE,TRUE),exact(Metadata!D212,"human-associated habitat"))</f>
        <v>0</v>
      </c>
      <c r="AE212">
        <f>AND(IF(Metadata!E212="",FALSE,TRUE),OR(exact(Metadata!E212,"human-associated"),exact(Metadata!E212,"human-skin"),exact(Metadata!E212,"human-oral"),exact(Metadata!E212,"human-gut"),exact(Metadata!E212,"human-vaginal")))</f>
        <v>0</v>
      </c>
      <c r="AF212">
        <f>AND(IF(Metadata!F212="",FALSE,ISNUMBER(VALUE(Metadata!F212))),Metadata!F212&gt;0)</f>
        <v>0</v>
      </c>
      <c r="AG212">
        <f>AND(IF(Metadata!G212="",FALSE,TRUE),exact(Metadata!G212,"years"))</f>
        <v>0</v>
      </c>
      <c r="AH212">
        <f>OR(AND(IF(Metadata!H212="",FALSE,TRUE),OR(exact(Metadata!H212,"not applicable"),exact(Metadata!H212,"not collected"),exact(Metadata!H212,"not provided"),exact(Metadata!H212,"restricted access"))),AND(IF(Metadata!H212="",FALSE,ISNUMBER(VALUE(Metadata!H212))),Metadata!H212&gt;0))</f>
        <v>0</v>
      </c>
      <c r="AI212">
        <f>AND(IF(Metadata!I212="",FALSE,TRUE),exact(Metadata!I212,"human"))</f>
        <v>0</v>
      </c>
      <c r="AJ212">
        <f>AND(IF(Metadata!J212="",FALSE,ISNUMBER(VALUE(Metadata!J212))),Metadata!J212&gt;0)</f>
        <v>0</v>
      </c>
      <c r="AK212">
        <f>AND(IF(Metadata!K212="",FALSE,TRUE),exact(Metadata!K212,"cm"))</f>
        <v>0</v>
      </c>
      <c r="AL212">
        <f>AND(IF(Metadata!L212="",FALSE,TRUE),exact(Metadata!L212,"Homo sapiens"))</f>
        <v>0</v>
      </c>
      <c r="AM212">
        <f>AND(IF(Metadata!M212="",FALSE,TRUE),exact(Metadata!M212,"9606"))</f>
        <v>0</v>
      </c>
      <c r="AN212">
        <f>AND(IF(Metadata!N212="",FALSE,ISNUMBER(VALUE(Metadata!N212))),Metadata!N212&gt;0)</f>
        <v>0</v>
      </c>
      <c r="AO212">
        <f>AND(IF(Metadata!O212="",FALSE,TRUE),exact(Metadata!O212,"kg"))</f>
        <v>0</v>
      </c>
      <c r="AP212">
        <f>OR(AND(IF(Metadata!P212="",FALSE,TRUE),exact(Metadata!P212,"not provided")),IF(Metadata!P212="",FALSE,TRUE))</f>
        <v>0</v>
      </c>
      <c r="AQ212">
        <f>OR(AND(IF(Metadata!Q212="",FALSE,TRUE),exact(Metadata!Q212,"not provided")),IF(Metadata!Q212="",FALSE,TRUE))</f>
        <v>0</v>
      </c>
    </row>
    <row r="213" spans="1:43">
      <c r="A213" s="4">
        <f>IF(B213=" "," ",HYPERLINK(CONCATENATE("#metadata!",ADDRESS(INDEX($W$2:$W$1001,MATCH(ROWS($U$2:U213),$U$2:$U$1001,0),0),2)),INDEX($Z$2:$Z$1001,MATCH(ROWS($U$2:U213),$U$2:$U$1001,0),0)))</f>
        <v>0</v>
      </c>
      <c r="B213" s="5">
        <f>IF(OR(INDEX($V$2:$V$1001,MATCH(ROWS($U$2:U213),$U$2:$U$1001,0),1)&gt;=100000,INDEX($AB$1005:$AQ$1005,1,MATCH(COLUMNS($AB$1006:AB1006),$AB$1006:$AQ$1006,0))&gt;=100000), " ",IF(INDEX($AB$2:$AQ$1001,MATCH(ROWS($U$2:U213),$U$2:$U$1001,0),MATCH(COLUMNS($AB$1006:AB1006),$AB$1006:$AQ$1006,0)), HYPERLINK("#",""), HYPERLINK(CONCATENATE("#Metadata!", ADDRESS(INDEX($W$2:$W$1001,MATCH(ROWS($U$2:U213),$U$2:$U$1001,0),0), INDEX($AB$1004:$AQ$1004,1,MATCH(COLUMNS($AB$1006:AB1006),$AB$1006:$AQ$1006,0)))),"Fix")))</f>
        <v>0</v>
      </c>
      <c r="C213" s="5">
        <f>IF(OR(INDEX($V$2:$V$1001,MATCH(ROWS($U$2:U213),$U$2:$U$1001,0),1)&gt;=100000,INDEX($AB$1005:$AQ$1005,1,MATCH(COLUMNS($AB$1006:AC1006),$AB$1006:$AQ$1006,0))&gt;=100000), " ",IF(INDEX($AB$2:$AQ$1001,MATCH(ROWS($U$2:U213),$U$2:$U$1001,0),MATCH(COLUMNS($AB$1006:AC1006),$AB$1006:$AQ$1006,0)), HYPERLINK("#",""), HYPERLINK(CONCATENATE("#Metadata!", ADDRESS(INDEX($W$2:$W$1001,MATCH(ROWS($U$2:U213),$U$2:$U$1001,0),0), INDEX($AB$1004:$AQ$1004,1,MATCH(COLUMNS($AB$1006:AC1006),$AB$1006:$AQ$1006,0)))),"Fix")))</f>
        <v>0</v>
      </c>
      <c r="D213" s="5">
        <f>IF(OR(INDEX($V$2:$V$1001,MATCH(ROWS($U$2:U213),$U$2:$U$1001,0),1)&gt;=100000,INDEX($AB$1005:$AQ$1005,1,MATCH(COLUMNS($AB$1006:AD1006),$AB$1006:$AQ$1006,0))&gt;=100000), " ",IF(INDEX($AB$2:$AQ$1001,MATCH(ROWS($U$2:U213),$U$2:$U$1001,0),MATCH(COLUMNS($AB$1006:AD1006),$AB$1006:$AQ$1006,0)), HYPERLINK("#",""), HYPERLINK(CONCATENATE("#Metadata!", ADDRESS(INDEX($W$2:$W$1001,MATCH(ROWS($U$2:U213),$U$2:$U$1001,0),0), INDEX($AB$1004:$AQ$1004,1,MATCH(COLUMNS($AB$1006:AD1006),$AB$1006:$AQ$1006,0)))),"Fix")))</f>
        <v>0</v>
      </c>
      <c r="E213" s="5">
        <f>IF(OR(INDEX($V$2:$V$1001,MATCH(ROWS($U$2:U213),$U$2:$U$1001,0),1)&gt;=100000,INDEX($AB$1005:$AQ$1005,1,MATCH(COLUMNS($AB$1006:AE1006),$AB$1006:$AQ$1006,0))&gt;=100000), " ",IF(INDEX($AB$2:$AQ$1001,MATCH(ROWS($U$2:U213),$U$2:$U$1001,0),MATCH(COLUMNS($AB$1006:AE1006),$AB$1006:$AQ$1006,0)), HYPERLINK("#",""), HYPERLINK(CONCATENATE("#Metadata!", ADDRESS(INDEX($W$2:$W$1001,MATCH(ROWS($U$2:U213),$U$2:$U$1001,0),0), INDEX($AB$1004:$AQ$1004,1,MATCH(COLUMNS($AB$1006:AE1006),$AB$1006:$AQ$1006,0)))),"Fix")))</f>
        <v>0</v>
      </c>
      <c r="F213" s="5">
        <f>IF(OR(INDEX($V$2:$V$1001,MATCH(ROWS($U$2:U213),$U$2:$U$1001,0),1)&gt;=100000,INDEX($AB$1005:$AQ$1005,1,MATCH(COLUMNS($AB$1006:AF1006),$AB$1006:$AQ$1006,0))&gt;=100000), " ",IF(INDEX($AB$2:$AQ$1001,MATCH(ROWS($U$2:U213),$U$2:$U$1001,0),MATCH(COLUMNS($AB$1006:AF1006),$AB$1006:$AQ$1006,0)), HYPERLINK("#",""), HYPERLINK(CONCATENATE("#Metadata!", ADDRESS(INDEX($W$2:$W$1001,MATCH(ROWS($U$2:U213),$U$2:$U$1001,0),0), INDEX($AB$1004:$AQ$1004,1,MATCH(COLUMNS($AB$1006:AF1006),$AB$1006:$AQ$1006,0)))),"Fix")))</f>
        <v>0</v>
      </c>
      <c r="G213" s="5">
        <f>IF(OR(INDEX($V$2:$V$1001,MATCH(ROWS($U$2:U213),$U$2:$U$1001,0),1)&gt;=100000,INDEX($AB$1005:$AQ$1005,1,MATCH(COLUMNS($AB$1006:AG1006),$AB$1006:$AQ$1006,0))&gt;=100000), " ",IF(INDEX($AB$2:$AQ$1001,MATCH(ROWS($U$2:U213),$U$2:$U$1001,0),MATCH(COLUMNS($AB$1006:AG1006),$AB$1006:$AQ$1006,0)), HYPERLINK("#",""), HYPERLINK(CONCATENATE("#Metadata!", ADDRESS(INDEX($W$2:$W$1001,MATCH(ROWS($U$2:U213),$U$2:$U$1001,0),0), INDEX($AB$1004:$AQ$1004,1,MATCH(COLUMNS($AB$1006:AG1006),$AB$1006:$AQ$1006,0)))),"Fix")))</f>
        <v>0</v>
      </c>
      <c r="H213" s="5">
        <f>IF(OR(INDEX($V$2:$V$1001,MATCH(ROWS($U$2:U213),$U$2:$U$1001,0),1)&gt;=100000,INDEX($AB$1005:$AQ$1005,1,MATCH(COLUMNS($AB$1006:AH1006),$AB$1006:$AQ$1006,0))&gt;=100000), " ",IF(INDEX($AB$2:$AQ$1001,MATCH(ROWS($U$2:U213),$U$2:$U$1001,0),MATCH(COLUMNS($AB$1006:AH1006),$AB$1006:$AQ$1006,0)), HYPERLINK("#",""), HYPERLINK(CONCATENATE("#Metadata!", ADDRESS(INDEX($W$2:$W$1001,MATCH(ROWS($U$2:U213),$U$2:$U$1001,0),0), INDEX($AB$1004:$AQ$1004,1,MATCH(COLUMNS($AB$1006:AH1006),$AB$1006:$AQ$1006,0)))),"Fix")))</f>
        <v>0</v>
      </c>
      <c r="I213" s="5">
        <f>IF(OR(INDEX($V$2:$V$1001,MATCH(ROWS($U$2:U213),$U$2:$U$1001,0),1)&gt;=100000,INDEX($AB$1005:$AQ$1005,1,MATCH(COLUMNS($AB$1006:AI1006),$AB$1006:$AQ$1006,0))&gt;=100000), " ",IF(INDEX($AB$2:$AQ$1001,MATCH(ROWS($U$2:U213),$U$2:$U$1001,0),MATCH(COLUMNS($AB$1006:AI1006),$AB$1006:$AQ$1006,0)), HYPERLINK("#",""), HYPERLINK(CONCATENATE("#Metadata!", ADDRESS(INDEX($W$2:$W$1001,MATCH(ROWS($U$2:U213),$U$2:$U$1001,0),0), INDEX($AB$1004:$AQ$1004,1,MATCH(COLUMNS($AB$1006:AI1006),$AB$1006:$AQ$1006,0)))),"Fix")))</f>
        <v>0</v>
      </c>
      <c r="J213" s="5">
        <f>IF(OR(INDEX($V$2:$V$1001,MATCH(ROWS($U$2:U213),$U$2:$U$1001,0),1)&gt;=100000,INDEX($AB$1005:$AQ$1005,1,MATCH(COLUMNS($AB$1006:AJ1006),$AB$1006:$AQ$1006,0))&gt;=100000), " ",IF(INDEX($AB$2:$AQ$1001,MATCH(ROWS($U$2:U213),$U$2:$U$1001,0),MATCH(COLUMNS($AB$1006:AJ1006),$AB$1006:$AQ$1006,0)), HYPERLINK("#",""), HYPERLINK(CONCATENATE("#Metadata!", ADDRESS(INDEX($W$2:$W$1001,MATCH(ROWS($U$2:U213),$U$2:$U$1001,0),0), INDEX($AB$1004:$AQ$1004,1,MATCH(COLUMNS($AB$1006:AJ1006),$AB$1006:$AQ$1006,0)))),"Fix")))</f>
        <v>0</v>
      </c>
      <c r="K213" s="5">
        <f>IF(OR(INDEX($V$2:$V$1001,MATCH(ROWS($U$2:U213),$U$2:$U$1001,0),1)&gt;=100000,INDEX($AB$1005:$AQ$1005,1,MATCH(COLUMNS($AB$1006:AK1006),$AB$1006:$AQ$1006,0))&gt;=100000), " ",IF(INDEX($AB$2:$AQ$1001,MATCH(ROWS($U$2:U213),$U$2:$U$1001,0),MATCH(COLUMNS($AB$1006:AK1006),$AB$1006:$AQ$1006,0)), HYPERLINK("#",""), HYPERLINK(CONCATENATE("#Metadata!", ADDRESS(INDEX($W$2:$W$1001,MATCH(ROWS($U$2:U213),$U$2:$U$1001,0),0), INDEX($AB$1004:$AQ$1004,1,MATCH(COLUMNS($AB$1006:AK1006),$AB$1006:$AQ$1006,0)))),"Fix")))</f>
        <v>0</v>
      </c>
      <c r="L213" s="5">
        <f>IF(OR(INDEX($V$2:$V$1001,MATCH(ROWS($U$2:U213),$U$2:$U$1001,0),1)&gt;=100000,INDEX($AB$1005:$AQ$1005,1,MATCH(COLUMNS($AB$1006:AL1006),$AB$1006:$AQ$1006,0))&gt;=100000), " ",IF(INDEX($AB$2:$AQ$1001,MATCH(ROWS($U$2:U213),$U$2:$U$1001,0),MATCH(COLUMNS($AB$1006:AL1006),$AB$1006:$AQ$1006,0)), HYPERLINK("#",""), HYPERLINK(CONCATENATE("#Metadata!", ADDRESS(INDEX($W$2:$W$1001,MATCH(ROWS($U$2:U213),$U$2:$U$1001,0),0), INDEX($AB$1004:$AQ$1004,1,MATCH(COLUMNS($AB$1006:AL1006),$AB$1006:$AQ$1006,0)))),"Fix")))</f>
        <v>0</v>
      </c>
      <c r="M213" s="5">
        <f>IF(OR(INDEX($V$2:$V$1001,MATCH(ROWS($U$2:U213),$U$2:$U$1001,0),1)&gt;=100000,INDEX($AB$1005:$AQ$1005,1,MATCH(COLUMNS($AB$1006:AM1006),$AB$1006:$AQ$1006,0))&gt;=100000), " ",IF(INDEX($AB$2:$AQ$1001,MATCH(ROWS($U$2:U213),$U$2:$U$1001,0),MATCH(COLUMNS($AB$1006:AM1006),$AB$1006:$AQ$1006,0)), HYPERLINK("#",""), HYPERLINK(CONCATENATE("#Metadata!", ADDRESS(INDEX($W$2:$W$1001,MATCH(ROWS($U$2:U213),$U$2:$U$1001,0),0), INDEX($AB$1004:$AQ$1004,1,MATCH(COLUMNS($AB$1006:AM1006),$AB$1006:$AQ$1006,0)))),"Fix")))</f>
        <v>0</v>
      </c>
      <c r="N213" s="5">
        <f>IF(OR(INDEX($V$2:$V$1001,MATCH(ROWS($U$2:U213),$U$2:$U$1001,0),1)&gt;=100000,INDEX($AB$1005:$AQ$1005,1,MATCH(COLUMNS($AB$1006:AN1006),$AB$1006:$AQ$1006,0))&gt;=100000), " ",IF(INDEX($AB$2:$AQ$1001,MATCH(ROWS($U$2:U213),$U$2:$U$1001,0),MATCH(COLUMNS($AB$1006:AN1006),$AB$1006:$AQ$1006,0)), HYPERLINK("#",""), HYPERLINK(CONCATENATE("#Metadata!", ADDRESS(INDEX($W$2:$W$1001,MATCH(ROWS($U$2:U213),$U$2:$U$1001,0),0), INDEX($AB$1004:$AQ$1004,1,MATCH(COLUMNS($AB$1006:AN1006),$AB$1006:$AQ$1006,0)))),"Fix")))</f>
        <v>0</v>
      </c>
      <c r="O213" s="5">
        <f>IF(OR(INDEX($V$2:$V$1001,MATCH(ROWS($U$2:U213),$U$2:$U$1001,0),1)&gt;=100000,INDEX($AB$1005:$AQ$1005,1,MATCH(COLUMNS($AB$1006:AO1006),$AB$1006:$AQ$1006,0))&gt;=100000), " ",IF(INDEX($AB$2:$AQ$1001,MATCH(ROWS($U$2:U213),$U$2:$U$1001,0),MATCH(COLUMNS($AB$1006:AO1006),$AB$1006:$AQ$1006,0)), HYPERLINK("#",""), HYPERLINK(CONCATENATE("#Metadata!", ADDRESS(INDEX($W$2:$W$1001,MATCH(ROWS($U$2:U213),$U$2:$U$1001,0),0), INDEX($AB$1004:$AQ$1004,1,MATCH(COLUMNS($AB$1006:AO1006),$AB$1006:$AQ$1006,0)))),"Fix")))</f>
        <v>0</v>
      </c>
      <c r="P213" s="5">
        <f>IF(OR(INDEX($V$2:$V$1001,MATCH(ROWS($U$2:U213),$U$2:$U$1001,0),1)&gt;=100000,INDEX($AB$1005:$AQ$1005,1,MATCH(COLUMNS($AB$1006:AP1006),$AB$1006:$AQ$1006,0))&gt;=100000), " ",IF(INDEX($AB$2:$AQ$1001,MATCH(ROWS($U$2:U213),$U$2:$U$1001,0),MATCH(COLUMNS($AB$1006:AP1006),$AB$1006:$AQ$1006,0)), HYPERLINK("#",""), HYPERLINK(CONCATENATE("#Metadata!", ADDRESS(INDEX($W$2:$W$1001,MATCH(ROWS($U$2:U213),$U$2:$U$1001,0),0), INDEX($AB$1004:$AQ$1004,1,MATCH(COLUMNS($AB$1006:AP1006),$AB$1006:$AQ$1006,0)))),"Fix")))</f>
        <v>0</v>
      </c>
      <c r="Q213" s="5">
        <f>IF(OR(INDEX($V$2:$V$1001,MATCH(ROWS($U$2:U213),$U$2:$U$1001,0),1)&gt;=100000,INDEX($AB$1005:$AQ$1005,1,MATCH(COLUMNS($AB$1006:AQ1006),$AB$1006:$AQ$1006,0))&gt;=100000), " ",IF(INDEX($AB$2:$AQ$1001,MATCH(ROWS($U$2:U213),$U$2:$U$1001,0),MATCH(COLUMNS($AB$1006:AQ1006),$AB$1006:$AQ$1006,0)), HYPERLINK("#",""), HYPERLINK(CONCATENATE("#Metadata!", ADDRESS(INDEX($W$2:$W$1001,MATCH(ROWS($U$2:U213),$U$2:$U$1001,0),0), INDEX($AB$1004:$AQ$1004,1,MATCH(COLUMNS($AB$1006:AQ1006),$AB$1006:$AQ$1006,0)))),"Fix")))</f>
        <v>0</v>
      </c>
      <c r="U213">
        <v>0</v>
      </c>
      <c r="V213">
        <v>0</v>
      </c>
      <c r="W213">
        <v>0</v>
      </c>
      <c r="X213">
        <f>IF(Y213,TRUE,AND(AB213:AQ213))</f>
        <v>0</v>
      </c>
      <c r="Y213">
        <f>COUNTBLANK(Metadata!B213:Q213)=COLUMNS(Metadata!B213:Q213)</f>
        <v>0</v>
      </c>
      <c r="Z213">
        <v>0</v>
      </c>
      <c r="AB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AC213">
        <f>AND(IF(Metadata!C213="",FALSE,TRUE),exact(Metadata!C213,"urban biome"))</f>
        <v>0</v>
      </c>
      <c r="AD213">
        <f>AND(IF(Metadata!D213="",FALSE,TRUE),exact(Metadata!D213,"human-associated habitat"))</f>
        <v>0</v>
      </c>
      <c r="AE213">
        <f>AND(IF(Metadata!E213="",FALSE,TRUE),OR(exact(Metadata!E213,"human-associated"),exact(Metadata!E213,"human-skin"),exact(Metadata!E213,"human-oral"),exact(Metadata!E213,"human-gut"),exact(Metadata!E213,"human-vaginal")))</f>
        <v>0</v>
      </c>
      <c r="AF213">
        <f>AND(IF(Metadata!F213="",FALSE,ISNUMBER(VALUE(Metadata!F213))),Metadata!F213&gt;0)</f>
        <v>0</v>
      </c>
      <c r="AG213">
        <f>AND(IF(Metadata!G213="",FALSE,TRUE),exact(Metadata!G213,"years"))</f>
        <v>0</v>
      </c>
      <c r="AH213">
        <f>OR(AND(IF(Metadata!H213="",FALSE,TRUE),OR(exact(Metadata!H213,"not applicable"),exact(Metadata!H213,"not collected"),exact(Metadata!H213,"not provided"),exact(Metadata!H213,"restricted access"))),AND(IF(Metadata!H213="",FALSE,ISNUMBER(VALUE(Metadata!H213))),Metadata!H213&gt;0))</f>
        <v>0</v>
      </c>
      <c r="AI213">
        <f>AND(IF(Metadata!I213="",FALSE,TRUE),exact(Metadata!I213,"human"))</f>
        <v>0</v>
      </c>
      <c r="AJ213">
        <f>AND(IF(Metadata!J213="",FALSE,ISNUMBER(VALUE(Metadata!J213))),Metadata!J213&gt;0)</f>
        <v>0</v>
      </c>
      <c r="AK213">
        <f>AND(IF(Metadata!K213="",FALSE,TRUE),exact(Metadata!K213,"cm"))</f>
        <v>0</v>
      </c>
      <c r="AL213">
        <f>AND(IF(Metadata!L213="",FALSE,TRUE),exact(Metadata!L213,"Homo sapiens"))</f>
        <v>0</v>
      </c>
      <c r="AM213">
        <f>AND(IF(Metadata!M213="",FALSE,TRUE),exact(Metadata!M213,"9606"))</f>
        <v>0</v>
      </c>
      <c r="AN213">
        <f>AND(IF(Metadata!N213="",FALSE,ISNUMBER(VALUE(Metadata!N213))),Metadata!N213&gt;0)</f>
        <v>0</v>
      </c>
      <c r="AO213">
        <f>AND(IF(Metadata!O213="",FALSE,TRUE),exact(Metadata!O213,"kg"))</f>
        <v>0</v>
      </c>
      <c r="AP213">
        <f>OR(AND(IF(Metadata!P213="",FALSE,TRUE),exact(Metadata!P213,"not provided")),IF(Metadata!P213="",FALSE,TRUE))</f>
        <v>0</v>
      </c>
      <c r="AQ213">
        <f>OR(AND(IF(Metadata!Q213="",FALSE,TRUE),exact(Metadata!Q213,"not provided")),IF(Metadata!Q213="",FALSE,TRUE))</f>
        <v>0</v>
      </c>
    </row>
    <row r="214" spans="1:43">
      <c r="A214" s="4">
        <f>IF(B214=" "," ",HYPERLINK(CONCATENATE("#metadata!",ADDRESS(INDEX($W$2:$W$1001,MATCH(ROWS($U$2:U214),$U$2:$U$1001,0),0),2)),INDEX($Z$2:$Z$1001,MATCH(ROWS($U$2:U214),$U$2:$U$1001,0),0)))</f>
        <v>0</v>
      </c>
      <c r="B214" s="5">
        <f>IF(OR(INDEX($V$2:$V$1001,MATCH(ROWS($U$2:U214),$U$2:$U$1001,0),1)&gt;=100000,INDEX($AB$1005:$AQ$1005,1,MATCH(COLUMNS($AB$1006:AB1006),$AB$1006:$AQ$1006,0))&gt;=100000), " ",IF(INDEX($AB$2:$AQ$1001,MATCH(ROWS($U$2:U214),$U$2:$U$1001,0),MATCH(COLUMNS($AB$1006:AB1006),$AB$1006:$AQ$1006,0)), HYPERLINK("#",""), HYPERLINK(CONCATENATE("#Metadata!", ADDRESS(INDEX($W$2:$W$1001,MATCH(ROWS($U$2:U214),$U$2:$U$1001,0),0), INDEX($AB$1004:$AQ$1004,1,MATCH(COLUMNS($AB$1006:AB1006),$AB$1006:$AQ$1006,0)))),"Fix")))</f>
        <v>0</v>
      </c>
      <c r="C214" s="5">
        <f>IF(OR(INDEX($V$2:$V$1001,MATCH(ROWS($U$2:U214),$U$2:$U$1001,0),1)&gt;=100000,INDEX($AB$1005:$AQ$1005,1,MATCH(COLUMNS($AB$1006:AC1006),$AB$1006:$AQ$1006,0))&gt;=100000), " ",IF(INDEX($AB$2:$AQ$1001,MATCH(ROWS($U$2:U214),$U$2:$U$1001,0),MATCH(COLUMNS($AB$1006:AC1006),$AB$1006:$AQ$1006,0)), HYPERLINK("#",""), HYPERLINK(CONCATENATE("#Metadata!", ADDRESS(INDEX($W$2:$W$1001,MATCH(ROWS($U$2:U214),$U$2:$U$1001,0),0), INDEX($AB$1004:$AQ$1004,1,MATCH(COLUMNS($AB$1006:AC1006),$AB$1006:$AQ$1006,0)))),"Fix")))</f>
        <v>0</v>
      </c>
      <c r="D214" s="5">
        <f>IF(OR(INDEX($V$2:$V$1001,MATCH(ROWS($U$2:U214),$U$2:$U$1001,0),1)&gt;=100000,INDEX($AB$1005:$AQ$1005,1,MATCH(COLUMNS($AB$1006:AD1006),$AB$1006:$AQ$1006,0))&gt;=100000), " ",IF(INDEX($AB$2:$AQ$1001,MATCH(ROWS($U$2:U214),$U$2:$U$1001,0),MATCH(COLUMNS($AB$1006:AD1006),$AB$1006:$AQ$1006,0)), HYPERLINK("#",""), HYPERLINK(CONCATENATE("#Metadata!", ADDRESS(INDEX($W$2:$W$1001,MATCH(ROWS($U$2:U214),$U$2:$U$1001,0),0), INDEX($AB$1004:$AQ$1004,1,MATCH(COLUMNS($AB$1006:AD1006),$AB$1006:$AQ$1006,0)))),"Fix")))</f>
        <v>0</v>
      </c>
      <c r="E214" s="5">
        <f>IF(OR(INDEX($V$2:$V$1001,MATCH(ROWS($U$2:U214),$U$2:$U$1001,0),1)&gt;=100000,INDEX($AB$1005:$AQ$1005,1,MATCH(COLUMNS($AB$1006:AE1006),$AB$1006:$AQ$1006,0))&gt;=100000), " ",IF(INDEX($AB$2:$AQ$1001,MATCH(ROWS($U$2:U214),$U$2:$U$1001,0),MATCH(COLUMNS($AB$1006:AE1006),$AB$1006:$AQ$1006,0)), HYPERLINK("#",""), HYPERLINK(CONCATENATE("#Metadata!", ADDRESS(INDEX($W$2:$W$1001,MATCH(ROWS($U$2:U214),$U$2:$U$1001,0),0), INDEX($AB$1004:$AQ$1004,1,MATCH(COLUMNS($AB$1006:AE1006),$AB$1006:$AQ$1006,0)))),"Fix")))</f>
        <v>0</v>
      </c>
      <c r="F214" s="5">
        <f>IF(OR(INDEX($V$2:$V$1001,MATCH(ROWS($U$2:U214),$U$2:$U$1001,0),1)&gt;=100000,INDEX($AB$1005:$AQ$1005,1,MATCH(COLUMNS($AB$1006:AF1006),$AB$1006:$AQ$1006,0))&gt;=100000), " ",IF(INDEX($AB$2:$AQ$1001,MATCH(ROWS($U$2:U214),$U$2:$U$1001,0),MATCH(COLUMNS($AB$1006:AF1006),$AB$1006:$AQ$1006,0)), HYPERLINK("#",""), HYPERLINK(CONCATENATE("#Metadata!", ADDRESS(INDEX($W$2:$W$1001,MATCH(ROWS($U$2:U214),$U$2:$U$1001,0),0), INDEX($AB$1004:$AQ$1004,1,MATCH(COLUMNS($AB$1006:AF1006),$AB$1006:$AQ$1006,0)))),"Fix")))</f>
        <v>0</v>
      </c>
      <c r="G214" s="5">
        <f>IF(OR(INDEX($V$2:$V$1001,MATCH(ROWS($U$2:U214),$U$2:$U$1001,0),1)&gt;=100000,INDEX($AB$1005:$AQ$1005,1,MATCH(COLUMNS($AB$1006:AG1006),$AB$1006:$AQ$1006,0))&gt;=100000), " ",IF(INDEX($AB$2:$AQ$1001,MATCH(ROWS($U$2:U214),$U$2:$U$1001,0),MATCH(COLUMNS($AB$1006:AG1006),$AB$1006:$AQ$1006,0)), HYPERLINK("#",""), HYPERLINK(CONCATENATE("#Metadata!", ADDRESS(INDEX($W$2:$W$1001,MATCH(ROWS($U$2:U214),$U$2:$U$1001,0),0), INDEX($AB$1004:$AQ$1004,1,MATCH(COLUMNS($AB$1006:AG1006),$AB$1006:$AQ$1006,0)))),"Fix")))</f>
        <v>0</v>
      </c>
      <c r="H214" s="5">
        <f>IF(OR(INDEX($V$2:$V$1001,MATCH(ROWS($U$2:U214),$U$2:$U$1001,0),1)&gt;=100000,INDEX($AB$1005:$AQ$1005,1,MATCH(COLUMNS($AB$1006:AH1006),$AB$1006:$AQ$1006,0))&gt;=100000), " ",IF(INDEX($AB$2:$AQ$1001,MATCH(ROWS($U$2:U214),$U$2:$U$1001,0),MATCH(COLUMNS($AB$1006:AH1006),$AB$1006:$AQ$1006,0)), HYPERLINK("#",""), HYPERLINK(CONCATENATE("#Metadata!", ADDRESS(INDEX($W$2:$W$1001,MATCH(ROWS($U$2:U214),$U$2:$U$1001,0),0), INDEX($AB$1004:$AQ$1004,1,MATCH(COLUMNS($AB$1006:AH1006),$AB$1006:$AQ$1006,0)))),"Fix")))</f>
        <v>0</v>
      </c>
      <c r="I214" s="5">
        <f>IF(OR(INDEX($V$2:$V$1001,MATCH(ROWS($U$2:U214),$U$2:$U$1001,0),1)&gt;=100000,INDEX($AB$1005:$AQ$1005,1,MATCH(COLUMNS($AB$1006:AI1006),$AB$1006:$AQ$1006,0))&gt;=100000), " ",IF(INDEX($AB$2:$AQ$1001,MATCH(ROWS($U$2:U214),$U$2:$U$1001,0),MATCH(COLUMNS($AB$1006:AI1006),$AB$1006:$AQ$1006,0)), HYPERLINK("#",""), HYPERLINK(CONCATENATE("#Metadata!", ADDRESS(INDEX($W$2:$W$1001,MATCH(ROWS($U$2:U214),$U$2:$U$1001,0),0), INDEX($AB$1004:$AQ$1004,1,MATCH(COLUMNS($AB$1006:AI1006),$AB$1006:$AQ$1006,0)))),"Fix")))</f>
        <v>0</v>
      </c>
      <c r="J214" s="5">
        <f>IF(OR(INDEX($V$2:$V$1001,MATCH(ROWS($U$2:U214),$U$2:$U$1001,0),1)&gt;=100000,INDEX($AB$1005:$AQ$1005,1,MATCH(COLUMNS($AB$1006:AJ1006),$AB$1006:$AQ$1006,0))&gt;=100000), " ",IF(INDEX($AB$2:$AQ$1001,MATCH(ROWS($U$2:U214),$U$2:$U$1001,0),MATCH(COLUMNS($AB$1006:AJ1006),$AB$1006:$AQ$1006,0)), HYPERLINK("#",""), HYPERLINK(CONCATENATE("#Metadata!", ADDRESS(INDEX($W$2:$W$1001,MATCH(ROWS($U$2:U214),$U$2:$U$1001,0),0), INDEX($AB$1004:$AQ$1004,1,MATCH(COLUMNS($AB$1006:AJ1006),$AB$1006:$AQ$1006,0)))),"Fix")))</f>
        <v>0</v>
      </c>
      <c r="K214" s="5">
        <f>IF(OR(INDEX($V$2:$V$1001,MATCH(ROWS($U$2:U214),$U$2:$U$1001,0),1)&gt;=100000,INDEX($AB$1005:$AQ$1005,1,MATCH(COLUMNS($AB$1006:AK1006),$AB$1006:$AQ$1006,0))&gt;=100000), " ",IF(INDEX($AB$2:$AQ$1001,MATCH(ROWS($U$2:U214),$U$2:$U$1001,0),MATCH(COLUMNS($AB$1006:AK1006),$AB$1006:$AQ$1006,0)), HYPERLINK("#",""), HYPERLINK(CONCATENATE("#Metadata!", ADDRESS(INDEX($W$2:$W$1001,MATCH(ROWS($U$2:U214),$U$2:$U$1001,0),0), INDEX($AB$1004:$AQ$1004,1,MATCH(COLUMNS($AB$1006:AK1006),$AB$1006:$AQ$1006,0)))),"Fix")))</f>
        <v>0</v>
      </c>
      <c r="L214" s="5">
        <f>IF(OR(INDEX($V$2:$V$1001,MATCH(ROWS($U$2:U214),$U$2:$U$1001,0),1)&gt;=100000,INDEX($AB$1005:$AQ$1005,1,MATCH(COLUMNS($AB$1006:AL1006),$AB$1006:$AQ$1006,0))&gt;=100000), " ",IF(INDEX($AB$2:$AQ$1001,MATCH(ROWS($U$2:U214),$U$2:$U$1001,0),MATCH(COLUMNS($AB$1006:AL1006),$AB$1006:$AQ$1006,0)), HYPERLINK("#",""), HYPERLINK(CONCATENATE("#Metadata!", ADDRESS(INDEX($W$2:$W$1001,MATCH(ROWS($U$2:U214),$U$2:$U$1001,0),0), INDEX($AB$1004:$AQ$1004,1,MATCH(COLUMNS($AB$1006:AL1006),$AB$1006:$AQ$1006,0)))),"Fix")))</f>
        <v>0</v>
      </c>
      <c r="M214" s="5">
        <f>IF(OR(INDEX($V$2:$V$1001,MATCH(ROWS($U$2:U214),$U$2:$U$1001,0),1)&gt;=100000,INDEX($AB$1005:$AQ$1005,1,MATCH(COLUMNS($AB$1006:AM1006),$AB$1006:$AQ$1006,0))&gt;=100000), " ",IF(INDEX($AB$2:$AQ$1001,MATCH(ROWS($U$2:U214),$U$2:$U$1001,0),MATCH(COLUMNS($AB$1006:AM1006),$AB$1006:$AQ$1006,0)), HYPERLINK("#",""), HYPERLINK(CONCATENATE("#Metadata!", ADDRESS(INDEX($W$2:$W$1001,MATCH(ROWS($U$2:U214),$U$2:$U$1001,0),0), INDEX($AB$1004:$AQ$1004,1,MATCH(COLUMNS($AB$1006:AM1006),$AB$1006:$AQ$1006,0)))),"Fix")))</f>
        <v>0</v>
      </c>
      <c r="N214" s="5">
        <f>IF(OR(INDEX($V$2:$V$1001,MATCH(ROWS($U$2:U214),$U$2:$U$1001,0),1)&gt;=100000,INDEX($AB$1005:$AQ$1005,1,MATCH(COLUMNS($AB$1006:AN1006),$AB$1006:$AQ$1006,0))&gt;=100000), " ",IF(INDEX($AB$2:$AQ$1001,MATCH(ROWS($U$2:U214),$U$2:$U$1001,0),MATCH(COLUMNS($AB$1006:AN1006),$AB$1006:$AQ$1006,0)), HYPERLINK("#",""), HYPERLINK(CONCATENATE("#Metadata!", ADDRESS(INDEX($W$2:$W$1001,MATCH(ROWS($U$2:U214),$U$2:$U$1001,0),0), INDEX($AB$1004:$AQ$1004,1,MATCH(COLUMNS($AB$1006:AN1006),$AB$1006:$AQ$1006,0)))),"Fix")))</f>
        <v>0</v>
      </c>
      <c r="O214" s="5">
        <f>IF(OR(INDEX($V$2:$V$1001,MATCH(ROWS($U$2:U214),$U$2:$U$1001,0),1)&gt;=100000,INDEX($AB$1005:$AQ$1005,1,MATCH(COLUMNS($AB$1006:AO1006),$AB$1006:$AQ$1006,0))&gt;=100000), " ",IF(INDEX($AB$2:$AQ$1001,MATCH(ROWS($U$2:U214),$U$2:$U$1001,0),MATCH(COLUMNS($AB$1006:AO1006),$AB$1006:$AQ$1006,0)), HYPERLINK("#",""), HYPERLINK(CONCATENATE("#Metadata!", ADDRESS(INDEX($W$2:$W$1001,MATCH(ROWS($U$2:U214),$U$2:$U$1001,0),0), INDEX($AB$1004:$AQ$1004,1,MATCH(COLUMNS($AB$1006:AO1006),$AB$1006:$AQ$1006,0)))),"Fix")))</f>
        <v>0</v>
      </c>
      <c r="P214" s="5">
        <f>IF(OR(INDEX($V$2:$V$1001,MATCH(ROWS($U$2:U214),$U$2:$U$1001,0),1)&gt;=100000,INDEX($AB$1005:$AQ$1005,1,MATCH(COLUMNS($AB$1006:AP1006),$AB$1006:$AQ$1006,0))&gt;=100000), " ",IF(INDEX($AB$2:$AQ$1001,MATCH(ROWS($U$2:U214),$U$2:$U$1001,0),MATCH(COLUMNS($AB$1006:AP1006),$AB$1006:$AQ$1006,0)), HYPERLINK("#",""), HYPERLINK(CONCATENATE("#Metadata!", ADDRESS(INDEX($W$2:$W$1001,MATCH(ROWS($U$2:U214),$U$2:$U$1001,0),0), INDEX($AB$1004:$AQ$1004,1,MATCH(COLUMNS($AB$1006:AP1006),$AB$1006:$AQ$1006,0)))),"Fix")))</f>
        <v>0</v>
      </c>
      <c r="Q214" s="5">
        <f>IF(OR(INDEX($V$2:$V$1001,MATCH(ROWS($U$2:U214),$U$2:$U$1001,0),1)&gt;=100000,INDEX($AB$1005:$AQ$1005,1,MATCH(COLUMNS($AB$1006:AQ1006),$AB$1006:$AQ$1006,0))&gt;=100000), " ",IF(INDEX($AB$2:$AQ$1001,MATCH(ROWS($U$2:U214),$U$2:$U$1001,0),MATCH(COLUMNS($AB$1006:AQ1006),$AB$1006:$AQ$1006,0)), HYPERLINK("#",""), HYPERLINK(CONCATENATE("#Metadata!", ADDRESS(INDEX($W$2:$W$1001,MATCH(ROWS($U$2:U214),$U$2:$U$1001,0),0), INDEX($AB$1004:$AQ$1004,1,MATCH(COLUMNS($AB$1006:AQ1006),$AB$1006:$AQ$1006,0)))),"Fix")))</f>
        <v>0</v>
      </c>
      <c r="U214">
        <v>0</v>
      </c>
      <c r="V214">
        <v>0</v>
      </c>
      <c r="W214">
        <v>0</v>
      </c>
      <c r="X214">
        <f>IF(Y214,TRUE,AND(AB214:AQ214))</f>
        <v>0</v>
      </c>
      <c r="Y214">
        <f>COUNTBLANK(Metadata!B214:Q214)=COLUMNS(Metadata!B214:Q214)</f>
        <v>0</v>
      </c>
      <c r="Z214">
        <v>0</v>
      </c>
      <c r="AB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AC214">
        <f>AND(IF(Metadata!C214="",FALSE,TRUE),exact(Metadata!C214,"urban biome"))</f>
        <v>0</v>
      </c>
      <c r="AD214">
        <f>AND(IF(Metadata!D214="",FALSE,TRUE),exact(Metadata!D214,"human-associated habitat"))</f>
        <v>0</v>
      </c>
      <c r="AE214">
        <f>AND(IF(Metadata!E214="",FALSE,TRUE),OR(exact(Metadata!E214,"human-associated"),exact(Metadata!E214,"human-skin"),exact(Metadata!E214,"human-oral"),exact(Metadata!E214,"human-gut"),exact(Metadata!E214,"human-vaginal")))</f>
        <v>0</v>
      </c>
      <c r="AF214">
        <f>AND(IF(Metadata!F214="",FALSE,ISNUMBER(VALUE(Metadata!F214))),Metadata!F214&gt;0)</f>
        <v>0</v>
      </c>
      <c r="AG214">
        <f>AND(IF(Metadata!G214="",FALSE,TRUE),exact(Metadata!G214,"years"))</f>
        <v>0</v>
      </c>
      <c r="AH214">
        <f>OR(AND(IF(Metadata!H214="",FALSE,TRUE),OR(exact(Metadata!H214,"not applicable"),exact(Metadata!H214,"not collected"),exact(Metadata!H214,"not provided"),exact(Metadata!H214,"restricted access"))),AND(IF(Metadata!H214="",FALSE,ISNUMBER(VALUE(Metadata!H214))),Metadata!H214&gt;0))</f>
        <v>0</v>
      </c>
      <c r="AI214">
        <f>AND(IF(Metadata!I214="",FALSE,TRUE),exact(Metadata!I214,"human"))</f>
        <v>0</v>
      </c>
      <c r="AJ214">
        <f>AND(IF(Metadata!J214="",FALSE,ISNUMBER(VALUE(Metadata!J214))),Metadata!J214&gt;0)</f>
        <v>0</v>
      </c>
      <c r="AK214">
        <f>AND(IF(Metadata!K214="",FALSE,TRUE),exact(Metadata!K214,"cm"))</f>
        <v>0</v>
      </c>
      <c r="AL214">
        <f>AND(IF(Metadata!L214="",FALSE,TRUE),exact(Metadata!L214,"Homo sapiens"))</f>
        <v>0</v>
      </c>
      <c r="AM214">
        <f>AND(IF(Metadata!M214="",FALSE,TRUE),exact(Metadata!M214,"9606"))</f>
        <v>0</v>
      </c>
      <c r="AN214">
        <f>AND(IF(Metadata!N214="",FALSE,ISNUMBER(VALUE(Metadata!N214))),Metadata!N214&gt;0)</f>
        <v>0</v>
      </c>
      <c r="AO214">
        <f>AND(IF(Metadata!O214="",FALSE,TRUE),exact(Metadata!O214,"kg"))</f>
        <v>0</v>
      </c>
      <c r="AP214">
        <f>OR(AND(IF(Metadata!P214="",FALSE,TRUE),exact(Metadata!P214,"not provided")),IF(Metadata!P214="",FALSE,TRUE))</f>
        <v>0</v>
      </c>
      <c r="AQ214">
        <f>OR(AND(IF(Metadata!Q214="",FALSE,TRUE),exact(Metadata!Q214,"not provided")),IF(Metadata!Q214="",FALSE,TRUE))</f>
        <v>0</v>
      </c>
    </row>
    <row r="215" spans="1:43">
      <c r="A215" s="4">
        <f>IF(B215=" "," ",HYPERLINK(CONCATENATE("#metadata!",ADDRESS(INDEX($W$2:$W$1001,MATCH(ROWS($U$2:U215),$U$2:$U$1001,0),0),2)),INDEX($Z$2:$Z$1001,MATCH(ROWS($U$2:U215),$U$2:$U$1001,0),0)))</f>
        <v>0</v>
      </c>
      <c r="B215" s="5">
        <f>IF(OR(INDEX($V$2:$V$1001,MATCH(ROWS($U$2:U215),$U$2:$U$1001,0),1)&gt;=100000,INDEX($AB$1005:$AQ$1005,1,MATCH(COLUMNS($AB$1006:AB1006),$AB$1006:$AQ$1006,0))&gt;=100000), " ",IF(INDEX($AB$2:$AQ$1001,MATCH(ROWS($U$2:U215),$U$2:$U$1001,0),MATCH(COLUMNS($AB$1006:AB1006),$AB$1006:$AQ$1006,0)), HYPERLINK("#",""), HYPERLINK(CONCATENATE("#Metadata!", ADDRESS(INDEX($W$2:$W$1001,MATCH(ROWS($U$2:U215),$U$2:$U$1001,0),0), INDEX($AB$1004:$AQ$1004,1,MATCH(COLUMNS($AB$1006:AB1006),$AB$1006:$AQ$1006,0)))),"Fix")))</f>
        <v>0</v>
      </c>
      <c r="C215" s="5">
        <f>IF(OR(INDEX($V$2:$V$1001,MATCH(ROWS($U$2:U215),$U$2:$U$1001,0),1)&gt;=100000,INDEX($AB$1005:$AQ$1005,1,MATCH(COLUMNS($AB$1006:AC1006),$AB$1006:$AQ$1006,0))&gt;=100000), " ",IF(INDEX($AB$2:$AQ$1001,MATCH(ROWS($U$2:U215),$U$2:$U$1001,0),MATCH(COLUMNS($AB$1006:AC1006),$AB$1006:$AQ$1006,0)), HYPERLINK("#",""), HYPERLINK(CONCATENATE("#Metadata!", ADDRESS(INDEX($W$2:$W$1001,MATCH(ROWS($U$2:U215),$U$2:$U$1001,0),0), INDEX($AB$1004:$AQ$1004,1,MATCH(COLUMNS($AB$1006:AC1006),$AB$1006:$AQ$1006,0)))),"Fix")))</f>
        <v>0</v>
      </c>
      <c r="D215" s="5">
        <f>IF(OR(INDEX($V$2:$V$1001,MATCH(ROWS($U$2:U215),$U$2:$U$1001,0),1)&gt;=100000,INDEX($AB$1005:$AQ$1005,1,MATCH(COLUMNS($AB$1006:AD1006),$AB$1006:$AQ$1006,0))&gt;=100000), " ",IF(INDEX($AB$2:$AQ$1001,MATCH(ROWS($U$2:U215),$U$2:$U$1001,0),MATCH(COLUMNS($AB$1006:AD1006),$AB$1006:$AQ$1006,0)), HYPERLINK("#",""), HYPERLINK(CONCATENATE("#Metadata!", ADDRESS(INDEX($W$2:$W$1001,MATCH(ROWS($U$2:U215),$U$2:$U$1001,0),0), INDEX($AB$1004:$AQ$1004,1,MATCH(COLUMNS($AB$1006:AD1006),$AB$1006:$AQ$1006,0)))),"Fix")))</f>
        <v>0</v>
      </c>
      <c r="E215" s="5">
        <f>IF(OR(INDEX($V$2:$V$1001,MATCH(ROWS($U$2:U215),$U$2:$U$1001,0),1)&gt;=100000,INDEX($AB$1005:$AQ$1005,1,MATCH(COLUMNS($AB$1006:AE1006),$AB$1006:$AQ$1006,0))&gt;=100000), " ",IF(INDEX($AB$2:$AQ$1001,MATCH(ROWS($U$2:U215),$U$2:$U$1001,0),MATCH(COLUMNS($AB$1006:AE1006),$AB$1006:$AQ$1006,0)), HYPERLINK("#",""), HYPERLINK(CONCATENATE("#Metadata!", ADDRESS(INDEX($W$2:$W$1001,MATCH(ROWS($U$2:U215),$U$2:$U$1001,0),0), INDEX($AB$1004:$AQ$1004,1,MATCH(COLUMNS($AB$1006:AE1006),$AB$1006:$AQ$1006,0)))),"Fix")))</f>
        <v>0</v>
      </c>
      <c r="F215" s="5">
        <f>IF(OR(INDEX($V$2:$V$1001,MATCH(ROWS($U$2:U215),$U$2:$U$1001,0),1)&gt;=100000,INDEX($AB$1005:$AQ$1005,1,MATCH(COLUMNS($AB$1006:AF1006),$AB$1006:$AQ$1006,0))&gt;=100000), " ",IF(INDEX($AB$2:$AQ$1001,MATCH(ROWS($U$2:U215),$U$2:$U$1001,0),MATCH(COLUMNS($AB$1006:AF1006),$AB$1006:$AQ$1006,0)), HYPERLINK("#",""), HYPERLINK(CONCATENATE("#Metadata!", ADDRESS(INDEX($W$2:$W$1001,MATCH(ROWS($U$2:U215),$U$2:$U$1001,0),0), INDEX($AB$1004:$AQ$1004,1,MATCH(COLUMNS($AB$1006:AF1006),$AB$1006:$AQ$1006,0)))),"Fix")))</f>
        <v>0</v>
      </c>
      <c r="G215" s="5">
        <f>IF(OR(INDEX($V$2:$V$1001,MATCH(ROWS($U$2:U215),$U$2:$U$1001,0),1)&gt;=100000,INDEX($AB$1005:$AQ$1005,1,MATCH(COLUMNS($AB$1006:AG1006),$AB$1006:$AQ$1006,0))&gt;=100000), " ",IF(INDEX($AB$2:$AQ$1001,MATCH(ROWS($U$2:U215),$U$2:$U$1001,0),MATCH(COLUMNS($AB$1006:AG1006),$AB$1006:$AQ$1006,0)), HYPERLINK("#",""), HYPERLINK(CONCATENATE("#Metadata!", ADDRESS(INDEX($W$2:$W$1001,MATCH(ROWS($U$2:U215),$U$2:$U$1001,0),0), INDEX($AB$1004:$AQ$1004,1,MATCH(COLUMNS($AB$1006:AG1006),$AB$1006:$AQ$1006,0)))),"Fix")))</f>
        <v>0</v>
      </c>
      <c r="H215" s="5">
        <f>IF(OR(INDEX($V$2:$V$1001,MATCH(ROWS($U$2:U215),$U$2:$U$1001,0),1)&gt;=100000,INDEX($AB$1005:$AQ$1005,1,MATCH(COLUMNS($AB$1006:AH1006),$AB$1006:$AQ$1006,0))&gt;=100000), " ",IF(INDEX($AB$2:$AQ$1001,MATCH(ROWS($U$2:U215),$U$2:$U$1001,0),MATCH(COLUMNS($AB$1006:AH1006),$AB$1006:$AQ$1006,0)), HYPERLINK("#",""), HYPERLINK(CONCATENATE("#Metadata!", ADDRESS(INDEX($W$2:$W$1001,MATCH(ROWS($U$2:U215),$U$2:$U$1001,0),0), INDEX($AB$1004:$AQ$1004,1,MATCH(COLUMNS($AB$1006:AH1006),$AB$1006:$AQ$1006,0)))),"Fix")))</f>
        <v>0</v>
      </c>
      <c r="I215" s="5">
        <f>IF(OR(INDEX($V$2:$V$1001,MATCH(ROWS($U$2:U215),$U$2:$U$1001,0),1)&gt;=100000,INDEX($AB$1005:$AQ$1005,1,MATCH(COLUMNS($AB$1006:AI1006),$AB$1006:$AQ$1006,0))&gt;=100000), " ",IF(INDEX($AB$2:$AQ$1001,MATCH(ROWS($U$2:U215),$U$2:$U$1001,0),MATCH(COLUMNS($AB$1006:AI1006),$AB$1006:$AQ$1006,0)), HYPERLINK("#",""), HYPERLINK(CONCATENATE("#Metadata!", ADDRESS(INDEX($W$2:$W$1001,MATCH(ROWS($U$2:U215),$U$2:$U$1001,0),0), INDEX($AB$1004:$AQ$1004,1,MATCH(COLUMNS($AB$1006:AI1006),$AB$1006:$AQ$1006,0)))),"Fix")))</f>
        <v>0</v>
      </c>
      <c r="J215" s="5">
        <f>IF(OR(INDEX($V$2:$V$1001,MATCH(ROWS($U$2:U215),$U$2:$U$1001,0),1)&gt;=100000,INDEX($AB$1005:$AQ$1005,1,MATCH(COLUMNS($AB$1006:AJ1006),$AB$1006:$AQ$1006,0))&gt;=100000), " ",IF(INDEX($AB$2:$AQ$1001,MATCH(ROWS($U$2:U215),$U$2:$U$1001,0),MATCH(COLUMNS($AB$1006:AJ1006),$AB$1006:$AQ$1006,0)), HYPERLINK("#",""), HYPERLINK(CONCATENATE("#Metadata!", ADDRESS(INDEX($W$2:$W$1001,MATCH(ROWS($U$2:U215),$U$2:$U$1001,0),0), INDEX($AB$1004:$AQ$1004,1,MATCH(COLUMNS($AB$1006:AJ1006),$AB$1006:$AQ$1006,0)))),"Fix")))</f>
        <v>0</v>
      </c>
      <c r="K215" s="5">
        <f>IF(OR(INDEX($V$2:$V$1001,MATCH(ROWS($U$2:U215),$U$2:$U$1001,0),1)&gt;=100000,INDEX($AB$1005:$AQ$1005,1,MATCH(COLUMNS($AB$1006:AK1006),$AB$1006:$AQ$1006,0))&gt;=100000), " ",IF(INDEX($AB$2:$AQ$1001,MATCH(ROWS($U$2:U215),$U$2:$U$1001,0),MATCH(COLUMNS($AB$1006:AK1006),$AB$1006:$AQ$1006,0)), HYPERLINK("#",""), HYPERLINK(CONCATENATE("#Metadata!", ADDRESS(INDEX($W$2:$W$1001,MATCH(ROWS($U$2:U215),$U$2:$U$1001,0),0), INDEX($AB$1004:$AQ$1004,1,MATCH(COLUMNS($AB$1006:AK1006),$AB$1006:$AQ$1006,0)))),"Fix")))</f>
        <v>0</v>
      </c>
      <c r="L215" s="5">
        <f>IF(OR(INDEX($V$2:$V$1001,MATCH(ROWS($U$2:U215),$U$2:$U$1001,0),1)&gt;=100000,INDEX($AB$1005:$AQ$1005,1,MATCH(COLUMNS($AB$1006:AL1006),$AB$1006:$AQ$1006,0))&gt;=100000), " ",IF(INDEX($AB$2:$AQ$1001,MATCH(ROWS($U$2:U215),$U$2:$U$1001,0),MATCH(COLUMNS($AB$1006:AL1006),$AB$1006:$AQ$1006,0)), HYPERLINK("#",""), HYPERLINK(CONCATENATE("#Metadata!", ADDRESS(INDEX($W$2:$W$1001,MATCH(ROWS($U$2:U215),$U$2:$U$1001,0),0), INDEX($AB$1004:$AQ$1004,1,MATCH(COLUMNS($AB$1006:AL1006),$AB$1006:$AQ$1006,0)))),"Fix")))</f>
        <v>0</v>
      </c>
      <c r="M215" s="5">
        <f>IF(OR(INDEX($V$2:$V$1001,MATCH(ROWS($U$2:U215),$U$2:$U$1001,0),1)&gt;=100000,INDEX($AB$1005:$AQ$1005,1,MATCH(COLUMNS($AB$1006:AM1006),$AB$1006:$AQ$1006,0))&gt;=100000), " ",IF(INDEX($AB$2:$AQ$1001,MATCH(ROWS($U$2:U215),$U$2:$U$1001,0),MATCH(COLUMNS($AB$1006:AM1006),$AB$1006:$AQ$1006,0)), HYPERLINK("#",""), HYPERLINK(CONCATENATE("#Metadata!", ADDRESS(INDEX($W$2:$W$1001,MATCH(ROWS($U$2:U215),$U$2:$U$1001,0),0), INDEX($AB$1004:$AQ$1004,1,MATCH(COLUMNS($AB$1006:AM1006),$AB$1006:$AQ$1006,0)))),"Fix")))</f>
        <v>0</v>
      </c>
      <c r="N215" s="5">
        <f>IF(OR(INDEX($V$2:$V$1001,MATCH(ROWS($U$2:U215),$U$2:$U$1001,0),1)&gt;=100000,INDEX($AB$1005:$AQ$1005,1,MATCH(COLUMNS($AB$1006:AN1006),$AB$1006:$AQ$1006,0))&gt;=100000), " ",IF(INDEX($AB$2:$AQ$1001,MATCH(ROWS($U$2:U215),$U$2:$U$1001,0),MATCH(COLUMNS($AB$1006:AN1006),$AB$1006:$AQ$1006,0)), HYPERLINK("#",""), HYPERLINK(CONCATENATE("#Metadata!", ADDRESS(INDEX($W$2:$W$1001,MATCH(ROWS($U$2:U215),$U$2:$U$1001,0),0), INDEX($AB$1004:$AQ$1004,1,MATCH(COLUMNS($AB$1006:AN1006),$AB$1006:$AQ$1006,0)))),"Fix")))</f>
        <v>0</v>
      </c>
      <c r="O215" s="5">
        <f>IF(OR(INDEX($V$2:$V$1001,MATCH(ROWS($U$2:U215),$U$2:$U$1001,0),1)&gt;=100000,INDEX($AB$1005:$AQ$1005,1,MATCH(COLUMNS($AB$1006:AO1006),$AB$1006:$AQ$1006,0))&gt;=100000), " ",IF(INDEX($AB$2:$AQ$1001,MATCH(ROWS($U$2:U215),$U$2:$U$1001,0),MATCH(COLUMNS($AB$1006:AO1006),$AB$1006:$AQ$1006,0)), HYPERLINK("#",""), HYPERLINK(CONCATENATE("#Metadata!", ADDRESS(INDEX($W$2:$W$1001,MATCH(ROWS($U$2:U215),$U$2:$U$1001,0),0), INDEX($AB$1004:$AQ$1004,1,MATCH(COLUMNS($AB$1006:AO1006),$AB$1006:$AQ$1006,0)))),"Fix")))</f>
        <v>0</v>
      </c>
      <c r="P215" s="5">
        <f>IF(OR(INDEX($V$2:$V$1001,MATCH(ROWS($U$2:U215),$U$2:$U$1001,0),1)&gt;=100000,INDEX($AB$1005:$AQ$1005,1,MATCH(COLUMNS($AB$1006:AP1006),$AB$1006:$AQ$1006,0))&gt;=100000), " ",IF(INDEX($AB$2:$AQ$1001,MATCH(ROWS($U$2:U215),$U$2:$U$1001,0),MATCH(COLUMNS($AB$1006:AP1006),$AB$1006:$AQ$1006,0)), HYPERLINK("#",""), HYPERLINK(CONCATENATE("#Metadata!", ADDRESS(INDEX($W$2:$W$1001,MATCH(ROWS($U$2:U215),$U$2:$U$1001,0),0), INDEX($AB$1004:$AQ$1004,1,MATCH(COLUMNS($AB$1006:AP1006),$AB$1006:$AQ$1006,0)))),"Fix")))</f>
        <v>0</v>
      </c>
      <c r="Q215" s="5">
        <f>IF(OR(INDEX($V$2:$V$1001,MATCH(ROWS($U$2:U215),$U$2:$U$1001,0),1)&gt;=100000,INDEX($AB$1005:$AQ$1005,1,MATCH(COLUMNS($AB$1006:AQ1006),$AB$1006:$AQ$1006,0))&gt;=100000), " ",IF(INDEX($AB$2:$AQ$1001,MATCH(ROWS($U$2:U215),$U$2:$U$1001,0),MATCH(COLUMNS($AB$1006:AQ1006),$AB$1006:$AQ$1006,0)), HYPERLINK("#",""), HYPERLINK(CONCATENATE("#Metadata!", ADDRESS(INDEX($W$2:$W$1001,MATCH(ROWS($U$2:U215),$U$2:$U$1001,0),0), INDEX($AB$1004:$AQ$1004,1,MATCH(COLUMNS($AB$1006:AQ1006),$AB$1006:$AQ$1006,0)))),"Fix")))</f>
        <v>0</v>
      </c>
      <c r="U215">
        <v>0</v>
      </c>
      <c r="V215">
        <v>0</v>
      </c>
      <c r="W215">
        <v>0</v>
      </c>
      <c r="X215">
        <f>IF(Y215,TRUE,AND(AB215:AQ215))</f>
        <v>0</v>
      </c>
      <c r="Y215">
        <f>COUNTBLANK(Metadata!B215:Q215)=COLUMNS(Metadata!B215:Q215)</f>
        <v>0</v>
      </c>
      <c r="Z215">
        <v>0</v>
      </c>
      <c r="AB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AC215">
        <f>AND(IF(Metadata!C215="",FALSE,TRUE),exact(Metadata!C215,"urban biome"))</f>
        <v>0</v>
      </c>
      <c r="AD215">
        <f>AND(IF(Metadata!D215="",FALSE,TRUE),exact(Metadata!D215,"human-associated habitat"))</f>
        <v>0</v>
      </c>
      <c r="AE215">
        <f>AND(IF(Metadata!E215="",FALSE,TRUE),OR(exact(Metadata!E215,"human-associated"),exact(Metadata!E215,"human-skin"),exact(Metadata!E215,"human-oral"),exact(Metadata!E215,"human-gut"),exact(Metadata!E215,"human-vaginal")))</f>
        <v>0</v>
      </c>
      <c r="AF215">
        <f>AND(IF(Metadata!F215="",FALSE,ISNUMBER(VALUE(Metadata!F215))),Metadata!F215&gt;0)</f>
        <v>0</v>
      </c>
      <c r="AG215">
        <f>AND(IF(Metadata!G215="",FALSE,TRUE),exact(Metadata!G215,"years"))</f>
        <v>0</v>
      </c>
      <c r="AH215">
        <f>OR(AND(IF(Metadata!H215="",FALSE,TRUE),OR(exact(Metadata!H215,"not applicable"),exact(Metadata!H215,"not collected"),exact(Metadata!H215,"not provided"),exact(Metadata!H215,"restricted access"))),AND(IF(Metadata!H215="",FALSE,ISNUMBER(VALUE(Metadata!H215))),Metadata!H215&gt;0))</f>
        <v>0</v>
      </c>
      <c r="AI215">
        <f>AND(IF(Metadata!I215="",FALSE,TRUE),exact(Metadata!I215,"human"))</f>
        <v>0</v>
      </c>
      <c r="AJ215">
        <f>AND(IF(Metadata!J215="",FALSE,ISNUMBER(VALUE(Metadata!J215))),Metadata!J215&gt;0)</f>
        <v>0</v>
      </c>
      <c r="AK215">
        <f>AND(IF(Metadata!K215="",FALSE,TRUE),exact(Metadata!K215,"cm"))</f>
        <v>0</v>
      </c>
      <c r="AL215">
        <f>AND(IF(Metadata!L215="",FALSE,TRUE),exact(Metadata!L215,"Homo sapiens"))</f>
        <v>0</v>
      </c>
      <c r="AM215">
        <f>AND(IF(Metadata!M215="",FALSE,TRUE),exact(Metadata!M215,"9606"))</f>
        <v>0</v>
      </c>
      <c r="AN215">
        <f>AND(IF(Metadata!N215="",FALSE,ISNUMBER(VALUE(Metadata!N215))),Metadata!N215&gt;0)</f>
        <v>0</v>
      </c>
      <c r="AO215">
        <f>AND(IF(Metadata!O215="",FALSE,TRUE),exact(Metadata!O215,"kg"))</f>
        <v>0</v>
      </c>
      <c r="AP215">
        <f>OR(AND(IF(Metadata!P215="",FALSE,TRUE),exact(Metadata!P215,"not provided")),IF(Metadata!P215="",FALSE,TRUE))</f>
        <v>0</v>
      </c>
      <c r="AQ215">
        <f>OR(AND(IF(Metadata!Q215="",FALSE,TRUE),exact(Metadata!Q215,"not provided")),IF(Metadata!Q215="",FALSE,TRUE))</f>
        <v>0</v>
      </c>
    </row>
    <row r="216" spans="1:43">
      <c r="A216" s="4">
        <f>IF(B216=" "," ",HYPERLINK(CONCATENATE("#metadata!",ADDRESS(INDEX($W$2:$W$1001,MATCH(ROWS($U$2:U216),$U$2:$U$1001,0),0),2)),INDEX($Z$2:$Z$1001,MATCH(ROWS($U$2:U216),$U$2:$U$1001,0),0)))</f>
        <v>0</v>
      </c>
      <c r="B216" s="5">
        <f>IF(OR(INDEX($V$2:$V$1001,MATCH(ROWS($U$2:U216),$U$2:$U$1001,0),1)&gt;=100000,INDEX($AB$1005:$AQ$1005,1,MATCH(COLUMNS($AB$1006:AB1006),$AB$1006:$AQ$1006,0))&gt;=100000), " ",IF(INDEX($AB$2:$AQ$1001,MATCH(ROWS($U$2:U216),$U$2:$U$1001,0),MATCH(COLUMNS($AB$1006:AB1006),$AB$1006:$AQ$1006,0)), HYPERLINK("#",""), HYPERLINK(CONCATENATE("#Metadata!", ADDRESS(INDEX($W$2:$W$1001,MATCH(ROWS($U$2:U216),$U$2:$U$1001,0),0), INDEX($AB$1004:$AQ$1004,1,MATCH(COLUMNS($AB$1006:AB1006),$AB$1006:$AQ$1006,0)))),"Fix")))</f>
        <v>0</v>
      </c>
      <c r="C216" s="5">
        <f>IF(OR(INDEX($V$2:$V$1001,MATCH(ROWS($U$2:U216),$U$2:$U$1001,0),1)&gt;=100000,INDEX($AB$1005:$AQ$1005,1,MATCH(COLUMNS($AB$1006:AC1006),$AB$1006:$AQ$1006,0))&gt;=100000), " ",IF(INDEX($AB$2:$AQ$1001,MATCH(ROWS($U$2:U216),$U$2:$U$1001,0),MATCH(COLUMNS($AB$1006:AC1006),$AB$1006:$AQ$1006,0)), HYPERLINK("#",""), HYPERLINK(CONCATENATE("#Metadata!", ADDRESS(INDEX($W$2:$W$1001,MATCH(ROWS($U$2:U216),$U$2:$U$1001,0),0), INDEX($AB$1004:$AQ$1004,1,MATCH(COLUMNS($AB$1006:AC1006),$AB$1006:$AQ$1006,0)))),"Fix")))</f>
        <v>0</v>
      </c>
      <c r="D216" s="5">
        <f>IF(OR(INDEX($V$2:$V$1001,MATCH(ROWS($U$2:U216),$U$2:$U$1001,0),1)&gt;=100000,INDEX($AB$1005:$AQ$1005,1,MATCH(COLUMNS($AB$1006:AD1006),$AB$1006:$AQ$1006,0))&gt;=100000), " ",IF(INDEX($AB$2:$AQ$1001,MATCH(ROWS($U$2:U216),$U$2:$U$1001,0),MATCH(COLUMNS($AB$1006:AD1006),$AB$1006:$AQ$1006,0)), HYPERLINK("#",""), HYPERLINK(CONCATENATE("#Metadata!", ADDRESS(INDEX($W$2:$W$1001,MATCH(ROWS($U$2:U216),$U$2:$U$1001,0),0), INDEX($AB$1004:$AQ$1004,1,MATCH(COLUMNS($AB$1006:AD1006),$AB$1006:$AQ$1006,0)))),"Fix")))</f>
        <v>0</v>
      </c>
      <c r="E216" s="5">
        <f>IF(OR(INDEX($V$2:$V$1001,MATCH(ROWS($U$2:U216),$U$2:$U$1001,0),1)&gt;=100000,INDEX($AB$1005:$AQ$1005,1,MATCH(COLUMNS($AB$1006:AE1006),$AB$1006:$AQ$1006,0))&gt;=100000), " ",IF(INDEX($AB$2:$AQ$1001,MATCH(ROWS($U$2:U216),$U$2:$U$1001,0),MATCH(COLUMNS($AB$1006:AE1006),$AB$1006:$AQ$1006,0)), HYPERLINK("#",""), HYPERLINK(CONCATENATE("#Metadata!", ADDRESS(INDEX($W$2:$W$1001,MATCH(ROWS($U$2:U216),$U$2:$U$1001,0),0), INDEX($AB$1004:$AQ$1004,1,MATCH(COLUMNS($AB$1006:AE1006),$AB$1006:$AQ$1006,0)))),"Fix")))</f>
        <v>0</v>
      </c>
      <c r="F216" s="5">
        <f>IF(OR(INDEX($V$2:$V$1001,MATCH(ROWS($U$2:U216),$U$2:$U$1001,0),1)&gt;=100000,INDEX($AB$1005:$AQ$1005,1,MATCH(COLUMNS($AB$1006:AF1006),$AB$1006:$AQ$1006,0))&gt;=100000), " ",IF(INDEX($AB$2:$AQ$1001,MATCH(ROWS($U$2:U216),$U$2:$U$1001,0),MATCH(COLUMNS($AB$1006:AF1006),$AB$1006:$AQ$1006,0)), HYPERLINK("#",""), HYPERLINK(CONCATENATE("#Metadata!", ADDRESS(INDEX($W$2:$W$1001,MATCH(ROWS($U$2:U216),$U$2:$U$1001,0),0), INDEX($AB$1004:$AQ$1004,1,MATCH(COLUMNS($AB$1006:AF1006),$AB$1006:$AQ$1006,0)))),"Fix")))</f>
        <v>0</v>
      </c>
      <c r="G216" s="5">
        <f>IF(OR(INDEX($V$2:$V$1001,MATCH(ROWS($U$2:U216),$U$2:$U$1001,0),1)&gt;=100000,INDEX($AB$1005:$AQ$1005,1,MATCH(COLUMNS($AB$1006:AG1006),$AB$1006:$AQ$1006,0))&gt;=100000), " ",IF(INDEX($AB$2:$AQ$1001,MATCH(ROWS($U$2:U216),$U$2:$U$1001,0),MATCH(COLUMNS($AB$1006:AG1006),$AB$1006:$AQ$1006,0)), HYPERLINK("#",""), HYPERLINK(CONCATENATE("#Metadata!", ADDRESS(INDEX($W$2:$W$1001,MATCH(ROWS($U$2:U216),$U$2:$U$1001,0),0), INDEX($AB$1004:$AQ$1004,1,MATCH(COLUMNS($AB$1006:AG1006),$AB$1006:$AQ$1006,0)))),"Fix")))</f>
        <v>0</v>
      </c>
      <c r="H216" s="5">
        <f>IF(OR(INDEX($V$2:$V$1001,MATCH(ROWS($U$2:U216),$U$2:$U$1001,0),1)&gt;=100000,INDEX($AB$1005:$AQ$1005,1,MATCH(COLUMNS($AB$1006:AH1006),$AB$1006:$AQ$1006,0))&gt;=100000), " ",IF(INDEX($AB$2:$AQ$1001,MATCH(ROWS($U$2:U216),$U$2:$U$1001,0),MATCH(COLUMNS($AB$1006:AH1006),$AB$1006:$AQ$1006,0)), HYPERLINK("#",""), HYPERLINK(CONCATENATE("#Metadata!", ADDRESS(INDEX($W$2:$W$1001,MATCH(ROWS($U$2:U216),$U$2:$U$1001,0),0), INDEX($AB$1004:$AQ$1004,1,MATCH(COLUMNS($AB$1006:AH1006),$AB$1006:$AQ$1006,0)))),"Fix")))</f>
        <v>0</v>
      </c>
      <c r="I216" s="5">
        <f>IF(OR(INDEX($V$2:$V$1001,MATCH(ROWS($U$2:U216),$U$2:$U$1001,0),1)&gt;=100000,INDEX($AB$1005:$AQ$1005,1,MATCH(COLUMNS($AB$1006:AI1006),$AB$1006:$AQ$1006,0))&gt;=100000), " ",IF(INDEX($AB$2:$AQ$1001,MATCH(ROWS($U$2:U216),$U$2:$U$1001,0),MATCH(COLUMNS($AB$1006:AI1006),$AB$1006:$AQ$1006,0)), HYPERLINK("#",""), HYPERLINK(CONCATENATE("#Metadata!", ADDRESS(INDEX($W$2:$W$1001,MATCH(ROWS($U$2:U216),$U$2:$U$1001,0),0), INDEX($AB$1004:$AQ$1004,1,MATCH(COLUMNS($AB$1006:AI1006),$AB$1006:$AQ$1006,0)))),"Fix")))</f>
        <v>0</v>
      </c>
      <c r="J216" s="5">
        <f>IF(OR(INDEX($V$2:$V$1001,MATCH(ROWS($U$2:U216),$U$2:$U$1001,0),1)&gt;=100000,INDEX($AB$1005:$AQ$1005,1,MATCH(COLUMNS($AB$1006:AJ1006),$AB$1006:$AQ$1006,0))&gt;=100000), " ",IF(INDEX($AB$2:$AQ$1001,MATCH(ROWS($U$2:U216),$U$2:$U$1001,0),MATCH(COLUMNS($AB$1006:AJ1006),$AB$1006:$AQ$1006,0)), HYPERLINK("#",""), HYPERLINK(CONCATENATE("#Metadata!", ADDRESS(INDEX($W$2:$W$1001,MATCH(ROWS($U$2:U216),$U$2:$U$1001,0),0), INDEX($AB$1004:$AQ$1004,1,MATCH(COLUMNS($AB$1006:AJ1006),$AB$1006:$AQ$1006,0)))),"Fix")))</f>
        <v>0</v>
      </c>
      <c r="K216" s="5">
        <f>IF(OR(INDEX($V$2:$V$1001,MATCH(ROWS($U$2:U216),$U$2:$U$1001,0),1)&gt;=100000,INDEX($AB$1005:$AQ$1005,1,MATCH(COLUMNS($AB$1006:AK1006),$AB$1006:$AQ$1006,0))&gt;=100000), " ",IF(INDEX($AB$2:$AQ$1001,MATCH(ROWS($U$2:U216),$U$2:$U$1001,0),MATCH(COLUMNS($AB$1006:AK1006),$AB$1006:$AQ$1006,0)), HYPERLINK("#",""), HYPERLINK(CONCATENATE("#Metadata!", ADDRESS(INDEX($W$2:$W$1001,MATCH(ROWS($U$2:U216),$U$2:$U$1001,0),0), INDEX($AB$1004:$AQ$1004,1,MATCH(COLUMNS($AB$1006:AK1006),$AB$1006:$AQ$1006,0)))),"Fix")))</f>
        <v>0</v>
      </c>
      <c r="L216" s="5">
        <f>IF(OR(INDEX($V$2:$V$1001,MATCH(ROWS($U$2:U216),$U$2:$U$1001,0),1)&gt;=100000,INDEX($AB$1005:$AQ$1005,1,MATCH(COLUMNS($AB$1006:AL1006),$AB$1006:$AQ$1006,0))&gt;=100000), " ",IF(INDEX($AB$2:$AQ$1001,MATCH(ROWS($U$2:U216),$U$2:$U$1001,0),MATCH(COLUMNS($AB$1006:AL1006),$AB$1006:$AQ$1006,0)), HYPERLINK("#",""), HYPERLINK(CONCATENATE("#Metadata!", ADDRESS(INDEX($W$2:$W$1001,MATCH(ROWS($U$2:U216),$U$2:$U$1001,0),0), INDEX($AB$1004:$AQ$1004,1,MATCH(COLUMNS($AB$1006:AL1006),$AB$1006:$AQ$1006,0)))),"Fix")))</f>
        <v>0</v>
      </c>
      <c r="M216" s="5">
        <f>IF(OR(INDEX($V$2:$V$1001,MATCH(ROWS($U$2:U216),$U$2:$U$1001,0),1)&gt;=100000,INDEX($AB$1005:$AQ$1005,1,MATCH(COLUMNS($AB$1006:AM1006),$AB$1006:$AQ$1006,0))&gt;=100000), " ",IF(INDEX($AB$2:$AQ$1001,MATCH(ROWS($U$2:U216),$U$2:$U$1001,0),MATCH(COLUMNS($AB$1006:AM1006),$AB$1006:$AQ$1006,0)), HYPERLINK("#",""), HYPERLINK(CONCATENATE("#Metadata!", ADDRESS(INDEX($W$2:$W$1001,MATCH(ROWS($U$2:U216),$U$2:$U$1001,0),0), INDEX($AB$1004:$AQ$1004,1,MATCH(COLUMNS($AB$1006:AM1006),$AB$1006:$AQ$1006,0)))),"Fix")))</f>
        <v>0</v>
      </c>
      <c r="N216" s="5">
        <f>IF(OR(INDEX($V$2:$V$1001,MATCH(ROWS($U$2:U216),$U$2:$U$1001,0),1)&gt;=100000,INDEX($AB$1005:$AQ$1005,1,MATCH(COLUMNS($AB$1006:AN1006),$AB$1006:$AQ$1006,0))&gt;=100000), " ",IF(INDEX($AB$2:$AQ$1001,MATCH(ROWS($U$2:U216),$U$2:$U$1001,0),MATCH(COLUMNS($AB$1006:AN1006),$AB$1006:$AQ$1006,0)), HYPERLINK("#",""), HYPERLINK(CONCATENATE("#Metadata!", ADDRESS(INDEX($W$2:$W$1001,MATCH(ROWS($U$2:U216),$U$2:$U$1001,0),0), INDEX($AB$1004:$AQ$1004,1,MATCH(COLUMNS($AB$1006:AN1006),$AB$1006:$AQ$1006,0)))),"Fix")))</f>
        <v>0</v>
      </c>
      <c r="O216" s="5">
        <f>IF(OR(INDEX($V$2:$V$1001,MATCH(ROWS($U$2:U216),$U$2:$U$1001,0),1)&gt;=100000,INDEX($AB$1005:$AQ$1005,1,MATCH(COLUMNS($AB$1006:AO1006),$AB$1006:$AQ$1006,0))&gt;=100000), " ",IF(INDEX($AB$2:$AQ$1001,MATCH(ROWS($U$2:U216),$U$2:$U$1001,0),MATCH(COLUMNS($AB$1006:AO1006),$AB$1006:$AQ$1006,0)), HYPERLINK("#",""), HYPERLINK(CONCATENATE("#Metadata!", ADDRESS(INDEX($W$2:$W$1001,MATCH(ROWS($U$2:U216),$U$2:$U$1001,0),0), INDEX($AB$1004:$AQ$1004,1,MATCH(COLUMNS($AB$1006:AO1006),$AB$1006:$AQ$1006,0)))),"Fix")))</f>
        <v>0</v>
      </c>
      <c r="P216" s="5">
        <f>IF(OR(INDEX($V$2:$V$1001,MATCH(ROWS($U$2:U216),$U$2:$U$1001,0),1)&gt;=100000,INDEX($AB$1005:$AQ$1005,1,MATCH(COLUMNS($AB$1006:AP1006),$AB$1006:$AQ$1006,0))&gt;=100000), " ",IF(INDEX($AB$2:$AQ$1001,MATCH(ROWS($U$2:U216),$U$2:$U$1001,0),MATCH(COLUMNS($AB$1006:AP1006),$AB$1006:$AQ$1006,0)), HYPERLINK("#",""), HYPERLINK(CONCATENATE("#Metadata!", ADDRESS(INDEX($W$2:$W$1001,MATCH(ROWS($U$2:U216),$U$2:$U$1001,0),0), INDEX($AB$1004:$AQ$1004,1,MATCH(COLUMNS($AB$1006:AP1006),$AB$1006:$AQ$1006,0)))),"Fix")))</f>
        <v>0</v>
      </c>
      <c r="Q216" s="5">
        <f>IF(OR(INDEX($V$2:$V$1001,MATCH(ROWS($U$2:U216),$U$2:$U$1001,0),1)&gt;=100000,INDEX($AB$1005:$AQ$1005,1,MATCH(COLUMNS($AB$1006:AQ1006),$AB$1006:$AQ$1006,0))&gt;=100000), " ",IF(INDEX($AB$2:$AQ$1001,MATCH(ROWS($U$2:U216),$U$2:$U$1001,0),MATCH(COLUMNS($AB$1006:AQ1006),$AB$1006:$AQ$1006,0)), HYPERLINK("#",""), HYPERLINK(CONCATENATE("#Metadata!", ADDRESS(INDEX($W$2:$W$1001,MATCH(ROWS($U$2:U216),$U$2:$U$1001,0),0), INDEX($AB$1004:$AQ$1004,1,MATCH(COLUMNS($AB$1006:AQ1006),$AB$1006:$AQ$1006,0)))),"Fix")))</f>
        <v>0</v>
      </c>
      <c r="U216">
        <v>0</v>
      </c>
      <c r="V216">
        <v>0</v>
      </c>
      <c r="W216">
        <v>0</v>
      </c>
      <c r="X216">
        <f>IF(Y216,TRUE,AND(AB216:AQ216))</f>
        <v>0</v>
      </c>
      <c r="Y216">
        <f>COUNTBLANK(Metadata!B216:Q216)=COLUMNS(Metadata!B216:Q216)</f>
        <v>0</v>
      </c>
      <c r="Z216">
        <v>0</v>
      </c>
      <c r="AB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AC216">
        <f>AND(IF(Metadata!C216="",FALSE,TRUE),exact(Metadata!C216,"urban biome"))</f>
        <v>0</v>
      </c>
      <c r="AD216">
        <f>AND(IF(Metadata!D216="",FALSE,TRUE),exact(Metadata!D216,"human-associated habitat"))</f>
        <v>0</v>
      </c>
      <c r="AE216">
        <f>AND(IF(Metadata!E216="",FALSE,TRUE),OR(exact(Metadata!E216,"human-associated"),exact(Metadata!E216,"human-skin"),exact(Metadata!E216,"human-oral"),exact(Metadata!E216,"human-gut"),exact(Metadata!E216,"human-vaginal")))</f>
        <v>0</v>
      </c>
      <c r="AF216">
        <f>AND(IF(Metadata!F216="",FALSE,ISNUMBER(VALUE(Metadata!F216))),Metadata!F216&gt;0)</f>
        <v>0</v>
      </c>
      <c r="AG216">
        <f>AND(IF(Metadata!G216="",FALSE,TRUE),exact(Metadata!G216,"years"))</f>
        <v>0</v>
      </c>
      <c r="AH216">
        <f>OR(AND(IF(Metadata!H216="",FALSE,TRUE),OR(exact(Metadata!H216,"not applicable"),exact(Metadata!H216,"not collected"),exact(Metadata!H216,"not provided"),exact(Metadata!H216,"restricted access"))),AND(IF(Metadata!H216="",FALSE,ISNUMBER(VALUE(Metadata!H216))),Metadata!H216&gt;0))</f>
        <v>0</v>
      </c>
      <c r="AI216">
        <f>AND(IF(Metadata!I216="",FALSE,TRUE),exact(Metadata!I216,"human"))</f>
        <v>0</v>
      </c>
      <c r="AJ216">
        <f>AND(IF(Metadata!J216="",FALSE,ISNUMBER(VALUE(Metadata!J216))),Metadata!J216&gt;0)</f>
        <v>0</v>
      </c>
      <c r="AK216">
        <f>AND(IF(Metadata!K216="",FALSE,TRUE),exact(Metadata!K216,"cm"))</f>
        <v>0</v>
      </c>
      <c r="AL216">
        <f>AND(IF(Metadata!L216="",FALSE,TRUE),exact(Metadata!L216,"Homo sapiens"))</f>
        <v>0</v>
      </c>
      <c r="AM216">
        <f>AND(IF(Metadata!M216="",FALSE,TRUE),exact(Metadata!M216,"9606"))</f>
        <v>0</v>
      </c>
      <c r="AN216">
        <f>AND(IF(Metadata!N216="",FALSE,ISNUMBER(VALUE(Metadata!N216))),Metadata!N216&gt;0)</f>
        <v>0</v>
      </c>
      <c r="AO216">
        <f>AND(IF(Metadata!O216="",FALSE,TRUE),exact(Metadata!O216,"kg"))</f>
        <v>0</v>
      </c>
      <c r="AP216">
        <f>OR(AND(IF(Metadata!P216="",FALSE,TRUE),exact(Metadata!P216,"not provided")),IF(Metadata!P216="",FALSE,TRUE))</f>
        <v>0</v>
      </c>
      <c r="AQ216">
        <f>OR(AND(IF(Metadata!Q216="",FALSE,TRUE),exact(Metadata!Q216,"not provided")),IF(Metadata!Q216="",FALSE,TRUE))</f>
        <v>0</v>
      </c>
    </row>
    <row r="217" spans="1:43">
      <c r="A217" s="4">
        <f>IF(B217=" "," ",HYPERLINK(CONCATENATE("#metadata!",ADDRESS(INDEX($W$2:$W$1001,MATCH(ROWS($U$2:U217),$U$2:$U$1001,0),0),2)),INDEX($Z$2:$Z$1001,MATCH(ROWS($U$2:U217),$U$2:$U$1001,0),0)))</f>
        <v>0</v>
      </c>
      <c r="B217" s="5">
        <f>IF(OR(INDEX($V$2:$V$1001,MATCH(ROWS($U$2:U217),$U$2:$U$1001,0),1)&gt;=100000,INDEX($AB$1005:$AQ$1005,1,MATCH(COLUMNS($AB$1006:AB1006),$AB$1006:$AQ$1006,0))&gt;=100000), " ",IF(INDEX($AB$2:$AQ$1001,MATCH(ROWS($U$2:U217),$U$2:$U$1001,0),MATCH(COLUMNS($AB$1006:AB1006),$AB$1006:$AQ$1006,0)), HYPERLINK("#",""), HYPERLINK(CONCATENATE("#Metadata!", ADDRESS(INDEX($W$2:$W$1001,MATCH(ROWS($U$2:U217),$U$2:$U$1001,0),0), INDEX($AB$1004:$AQ$1004,1,MATCH(COLUMNS($AB$1006:AB1006),$AB$1006:$AQ$1006,0)))),"Fix")))</f>
        <v>0</v>
      </c>
      <c r="C217" s="5">
        <f>IF(OR(INDEX($V$2:$V$1001,MATCH(ROWS($U$2:U217),$U$2:$U$1001,0),1)&gt;=100000,INDEX($AB$1005:$AQ$1005,1,MATCH(COLUMNS($AB$1006:AC1006),$AB$1006:$AQ$1006,0))&gt;=100000), " ",IF(INDEX($AB$2:$AQ$1001,MATCH(ROWS($U$2:U217),$U$2:$U$1001,0),MATCH(COLUMNS($AB$1006:AC1006),$AB$1006:$AQ$1006,0)), HYPERLINK("#",""), HYPERLINK(CONCATENATE("#Metadata!", ADDRESS(INDEX($W$2:$W$1001,MATCH(ROWS($U$2:U217),$U$2:$U$1001,0),0), INDEX($AB$1004:$AQ$1004,1,MATCH(COLUMNS($AB$1006:AC1006),$AB$1006:$AQ$1006,0)))),"Fix")))</f>
        <v>0</v>
      </c>
      <c r="D217" s="5">
        <f>IF(OR(INDEX($V$2:$V$1001,MATCH(ROWS($U$2:U217),$U$2:$U$1001,0),1)&gt;=100000,INDEX($AB$1005:$AQ$1005,1,MATCH(COLUMNS($AB$1006:AD1006),$AB$1006:$AQ$1006,0))&gt;=100000), " ",IF(INDEX($AB$2:$AQ$1001,MATCH(ROWS($U$2:U217),$U$2:$U$1001,0),MATCH(COLUMNS($AB$1006:AD1006),$AB$1006:$AQ$1006,0)), HYPERLINK("#",""), HYPERLINK(CONCATENATE("#Metadata!", ADDRESS(INDEX($W$2:$W$1001,MATCH(ROWS($U$2:U217),$U$2:$U$1001,0),0), INDEX($AB$1004:$AQ$1004,1,MATCH(COLUMNS($AB$1006:AD1006),$AB$1006:$AQ$1006,0)))),"Fix")))</f>
        <v>0</v>
      </c>
      <c r="E217" s="5">
        <f>IF(OR(INDEX($V$2:$V$1001,MATCH(ROWS($U$2:U217),$U$2:$U$1001,0),1)&gt;=100000,INDEX($AB$1005:$AQ$1005,1,MATCH(COLUMNS($AB$1006:AE1006),$AB$1006:$AQ$1006,0))&gt;=100000), " ",IF(INDEX($AB$2:$AQ$1001,MATCH(ROWS($U$2:U217),$U$2:$U$1001,0),MATCH(COLUMNS($AB$1006:AE1006),$AB$1006:$AQ$1006,0)), HYPERLINK("#",""), HYPERLINK(CONCATENATE("#Metadata!", ADDRESS(INDEX($W$2:$W$1001,MATCH(ROWS($U$2:U217),$U$2:$U$1001,0),0), INDEX($AB$1004:$AQ$1004,1,MATCH(COLUMNS($AB$1006:AE1006),$AB$1006:$AQ$1006,0)))),"Fix")))</f>
        <v>0</v>
      </c>
      <c r="F217" s="5">
        <f>IF(OR(INDEX($V$2:$V$1001,MATCH(ROWS($U$2:U217),$U$2:$U$1001,0),1)&gt;=100000,INDEX($AB$1005:$AQ$1005,1,MATCH(COLUMNS($AB$1006:AF1006),$AB$1006:$AQ$1006,0))&gt;=100000), " ",IF(INDEX($AB$2:$AQ$1001,MATCH(ROWS($U$2:U217),$U$2:$U$1001,0),MATCH(COLUMNS($AB$1006:AF1006),$AB$1006:$AQ$1006,0)), HYPERLINK("#",""), HYPERLINK(CONCATENATE("#Metadata!", ADDRESS(INDEX($W$2:$W$1001,MATCH(ROWS($U$2:U217),$U$2:$U$1001,0),0), INDEX($AB$1004:$AQ$1004,1,MATCH(COLUMNS($AB$1006:AF1006),$AB$1006:$AQ$1006,0)))),"Fix")))</f>
        <v>0</v>
      </c>
      <c r="G217" s="5">
        <f>IF(OR(INDEX($V$2:$V$1001,MATCH(ROWS($U$2:U217),$U$2:$U$1001,0),1)&gt;=100000,INDEX($AB$1005:$AQ$1005,1,MATCH(COLUMNS($AB$1006:AG1006),$AB$1006:$AQ$1006,0))&gt;=100000), " ",IF(INDEX($AB$2:$AQ$1001,MATCH(ROWS($U$2:U217),$U$2:$U$1001,0),MATCH(COLUMNS($AB$1006:AG1006),$AB$1006:$AQ$1006,0)), HYPERLINK("#",""), HYPERLINK(CONCATENATE("#Metadata!", ADDRESS(INDEX($W$2:$W$1001,MATCH(ROWS($U$2:U217),$U$2:$U$1001,0),0), INDEX($AB$1004:$AQ$1004,1,MATCH(COLUMNS($AB$1006:AG1006),$AB$1006:$AQ$1006,0)))),"Fix")))</f>
        <v>0</v>
      </c>
      <c r="H217" s="5">
        <f>IF(OR(INDEX($V$2:$V$1001,MATCH(ROWS($U$2:U217),$U$2:$U$1001,0),1)&gt;=100000,INDEX($AB$1005:$AQ$1005,1,MATCH(COLUMNS($AB$1006:AH1006),$AB$1006:$AQ$1006,0))&gt;=100000), " ",IF(INDEX($AB$2:$AQ$1001,MATCH(ROWS($U$2:U217),$U$2:$U$1001,0),MATCH(COLUMNS($AB$1006:AH1006),$AB$1006:$AQ$1006,0)), HYPERLINK("#",""), HYPERLINK(CONCATENATE("#Metadata!", ADDRESS(INDEX($W$2:$W$1001,MATCH(ROWS($U$2:U217),$U$2:$U$1001,0),0), INDEX($AB$1004:$AQ$1004,1,MATCH(COLUMNS($AB$1006:AH1006),$AB$1006:$AQ$1006,0)))),"Fix")))</f>
        <v>0</v>
      </c>
      <c r="I217" s="5">
        <f>IF(OR(INDEX($V$2:$V$1001,MATCH(ROWS($U$2:U217),$U$2:$U$1001,0),1)&gt;=100000,INDEX($AB$1005:$AQ$1005,1,MATCH(COLUMNS($AB$1006:AI1006),$AB$1006:$AQ$1006,0))&gt;=100000), " ",IF(INDEX($AB$2:$AQ$1001,MATCH(ROWS($U$2:U217),$U$2:$U$1001,0),MATCH(COLUMNS($AB$1006:AI1006),$AB$1006:$AQ$1006,0)), HYPERLINK("#",""), HYPERLINK(CONCATENATE("#Metadata!", ADDRESS(INDEX($W$2:$W$1001,MATCH(ROWS($U$2:U217),$U$2:$U$1001,0),0), INDEX($AB$1004:$AQ$1004,1,MATCH(COLUMNS($AB$1006:AI1006),$AB$1006:$AQ$1006,0)))),"Fix")))</f>
        <v>0</v>
      </c>
      <c r="J217" s="5">
        <f>IF(OR(INDEX($V$2:$V$1001,MATCH(ROWS($U$2:U217),$U$2:$U$1001,0),1)&gt;=100000,INDEX($AB$1005:$AQ$1005,1,MATCH(COLUMNS($AB$1006:AJ1006),$AB$1006:$AQ$1006,0))&gt;=100000), " ",IF(INDEX($AB$2:$AQ$1001,MATCH(ROWS($U$2:U217),$U$2:$U$1001,0),MATCH(COLUMNS($AB$1006:AJ1006),$AB$1006:$AQ$1006,0)), HYPERLINK("#",""), HYPERLINK(CONCATENATE("#Metadata!", ADDRESS(INDEX($W$2:$W$1001,MATCH(ROWS($U$2:U217),$U$2:$U$1001,0),0), INDEX($AB$1004:$AQ$1004,1,MATCH(COLUMNS($AB$1006:AJ1006),$AB$1006:$AQ$1006,0)))),"Fix")))</f>
        <v>0</v>
      </c>
      <c r="K217" s="5">
        <f>IF(OR(INDEX($V$2:$V$1001,MATCH(ROWS($U$2:U217),$U$2:$U$1001,0),1)&gt;=100000,INDEX($AB$1005:$AQ$1005,1,MATCH(COLUMNS($AB$1006:AK1006),$AB$1006:$AQ$1006,0))&gt;=100000), " ",IF(INDEX($AB$2:$AQ$1001,MATCH(ROWS($U$2:U217),$U$2:$U$1001,0),MATCH(COLUMNS($AB$1006:AK1006),$AB$1006:$AQ$1006,0)), HYPERLINK("#",""), HYPERLINK(CONCATENATE("#Metadata!", ADDRESS(INDEX($W$2:$W$1001,MATCH(ROWS($U$2:U217),$U$2:$U$1001,0),0), INDEX($AB$1004:$AQ$1004,1,MATCH(COLUMNS($AB$1006:AK1006),$AB$1006:$AQ$1006,0)))),"Fix")))</f>
        <v>0</v>
      </c>
      <c r="L217" s="5">
        <f>IF(OR(INDEX($V$2:$V$1001,MATCH(ROWS($U$2:U217),$U$2:$U$1001,0),1)&gt;=100000,INDEX($AB$1005:$AQ$1005,1,MATCH(COLUMNS($AB$1006:AL1006),$AB$1006:$AQ$1006,0))&gt;=100000), " ",IF(INDEX($AB$2:$AQ$1001,MATCH(ROWS($U$2:U217),$U$2:$U$1001,0),MATCH(COLUMNS($AB$1006:AL1006),$AB$1006:$AQ$1006,0)), HYPERLINK("#",""), HYPERLINK(CONCATENATE("#Metadata!", ADDRESS(INDEX($W$2:$W$1001,MATCH(ROWS($U$2:U217),$U$2:$U$1001,0),0), INDEX($AB$1004:$AQ$1004,1,MATCH(COLUMNS($AB$1006:AL1006),$AB$1006:$AQ$1006,0)))),"Fix")))</f>
        <v>0</v>
      </c>
      <c r="M217" s="5">
        <f>IF(OR(INDEX($V$2:$V$1001,MATCH(ROWS($U$2:U217),$U$2:$U$1001,0),1)&gt;=100000,INDEX($AB$1005:$AQ$1005,1,MATCH(COLUMNS($AB$1006:AM1006),$AB$1006:$AQ$1006,0))&gt;=100000), " ",IF(INDEX($AB$2:$AQ$1001,MATCH(ROWS($U$2:U217),$U$2:$U$1001,0),MATCH(COLUMNS($AB$1006:AM1006),$AB$1006:$AQ$1006,0)), HYPERLINK("#",""), HYPERLINK(CONCATENATE("#Metadata!", ADDRESS(INDEX($W$2:$W$1001,MATCH(ROWS($U$2:U217),$U$2:$U$1001,0),0), INDEX($AB$1004:$AQ$1004,1,MATCH(COLUMNS($AB$1006:AM1006),$AB$1006:$AQ$1006,0)))),"Fix")))</f>
        <v>0</v>
      </c>
      <c r="N217" s="5">
        <f>IF(OR(INDEX($V$2:$V$1001,MATCH(ROWS($U$2:U217),$U$2:$U$1001,0),1)&gt;=100000,INDEX($AB$1005:$AQ$1005,1,MATCH(COLUMNS($AB$1006:AN1006),$AB$1006:$AQ$1006,0))&gt;=100000), " ",IF(INDEX($AB$2:$AQ$1001,MATCH(ROWS($U$2:U217),$U$2:$U$1001,0),MATCH(COLUMNS($AB$1006:AN1006),$AB$1006:$AQ$1006,0)), HYPERLINK("#",""), HYPERLINK(CONCATENATE("#Metadata!", ADDRESS(INDEX($W$2:$W$1001,MATCH(ROWS($U$2:U217),$U$2:$U$1001,0),0), INDEX($AB$1004:$AQ$1004,1,MATCH(COLUMNS($AB$1006:AN1006),$AB$1006:$AQ$1006,0)))),"Fix")))</f>
        <v>0</v>
      </c>
      <c r="O217" s="5">
        <f>IF(OR(INDEX($V$2:$V$1001,MATCH(ROWS($U$2:U217),$U$2:$U$1001,0),1)&gt;=100000,INDEX($AB$1005:$AQ$1005,1,MATCH(COLUMNS($AB$1006:AO1006),$AB$1006:$AQ$1006,0))&gt;=100000), " ",IF(INDEX($AB$2:$AQ$1001,MATCH(ROWS($U$2:U217),$U$2:$U$1001,0),MATCH(COLUMNS($AB$1006:AO1006),$AB$1006:$AQ$1006,0)), HYPERLINK("#",""), HYPERLINK(CONCATENATE("#Metadata!", ADDRESS(INDEX($W$2:$W$1001,MATCH(ROWS($U$2:U217),$U$2:$U$1001,0),0), INDEX($AB$1004:$AQ$1004,1,MATCH(COLUMNS($AB$1006:AO1006),$AB$1006:$AQ$1006,0)))),"Fix")))</f>
        <v>0</v>
      </c>
      <c r="P217" s="5">
        <f>IF(OR(INDEX($V$2:$V$1001,MATCH(ROWS($U$2:U217),$U$2:$U$1001,0),1)&gt;=100000,INDEX($AB$1005:$AQ$1005,1,MATCH(COLUMNS($AB$1006:AP1006),$AB$1006:$AQ$1006,0))&gt;=100000), " ",IF(INDEX($AB$2:$AQ$1001,MATCH(ROWS($U$2:U217),$U$2:$U$1001,0),MATCH(COLUMNS($AB$1006:AP1006),$AB$1006:$AQ$1006,0)), HYPERLINK("#",""), HYPERLINK(CONCATENATE("#Metadata!", ADDRESS(INDEX($W$2:$W$1001,MATCH(ROWS($U$2:U217),$U$2:$U$1001,0),0), INDEX($AB$1004:$AQ$1004,1,MATCH(COLUMNS($AB$1006:AP1006),$AB$1006:$AQ$1006,0)))),"Fix")))</f>
        <v>0</v>
      </c>
      <c r="Q217" s="5">
        <f>IF(OR(INDEX($V$2:$V$1001,MATCH(ROWS($U$2:U217),$U$2:$U$1001,0),1)&gt;=100000,INDEX($AB$1005:$AQ$1005,1,MATCH(COLUMNS($AB$1006:AQ1006),$AB$1006:$AQ$1006,0))&gt;=100000), " ",IF(INDEX($AB$2:$AQ$1001,MATCH(ROWS($U$2:U217),$U$2:$U$1001,0),MATCH(COLUMNS($AB$1006:AQ1006),$AB$1006:$AQ$1006,0)), HYPERLINK("#",""), HYPERLINK(CONCATENATE("#Metadata!", ADDRESS(INDEX($W$2:$W$1001,MATCH(ROWS($U$2:U217),$U$2:$U$1001,0),0), INDEX($AB$1004:$AQ$1004,1,MATCH(COLUMNS($AB$1006:AQ1006),$AB$1006:$AQ$1006,0)))),"Fix")))</f>
        <v>0</v>
      </c>
      <c r="U217">
        <v>0</v>
      </c>
      <c r="V217">
        <v>0</v>
      </c>
      <c r="W217">
        <v>0</v>
      </c>
      <c r="X217">
        <f>IF(Y217,TRUE,AND(AB217:AQ217))</f>
        <v>0</v>
      </c>
      <c r="Y217">
        <f>COUNTBLANK(Metadata!B217:Q217)=COLUMNS(Metadata!B217:Q217)</f>
        <v>0</v>
      </c>
      <c r="Z217">
        <v>0</v>
      </c>
      <c r="AB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AC217">
        <f>AND(IF(Metadata!C217="",FALSE,TRUE),exact(Metadata!C217,"urban biome"))</f>
        <v>0</v>
      </c>
      <c r="AD217">
        <f>AND(IF(Metadata!D217="",FALSE,TRUE),exact(Metadata!D217,"human-associated habitat"))</f>
        <v>0</v>
      </c>
      <c r="AE217">
        <f>AND(IF(Metadata!E217="",FALSE,TRUE),OR(exact(Metadata!E217,"human-associated"),exact(Metadata!E217,"human-skin"),exact(Metadata!E217,"human-oral"),exact(Metadata!E217,"human-gut"),exact(Metadata!E217,"human-vaginal")))</f>
        <v>0</v>
      </c>
      <c r="AF217">
        <f>AND(IF(Metadata!F217="",FALSE,ISNUMBER(VALUE(Metadata!F217))),Metadata!F217&gt;0)</f>
        <v>0</v>
      </c>
      <c r="AG217">
        <f>AND(IF(Metadata!G217="",FALSE,TRUE),exact(Metadata!G217,"years"))</f>
        <v>0</v>
      </c>
      <c r="AH217">
        <f>OR(AND(IF(Metadata!H217="",FALSE,TRUE),OR(exact(Metadata!H217,"not applicable"),exact(Metadata!H217,"not collected"),exact(Metadata!H217,"not provided"),exact(Metadata!H217,"restricted access"))),AND(IF(Metadata!H217="",FALSE,ISNUMBER(VALUE(Metadata!H217))),Metadata!H217&gt;0))</f>
        <v>0</v>
      </c>
      <c r="AI217">
        <f>AND(IF(Metadata!I217="",FALSE,TRUE),exact(Metadata!I217,"human"))</f>
        <v>0</v>
      </c>
      <c r="AJ217">
        <f>AND(IF(Metadata!J217="",FALSE,ISNUMBER(VALUE(Metadata!J217))),Metadata!J217&gt;0)</f>
        <v>0</v>
      </c>
      <c r="AK217">
        <f>AND(IF(Metadata!K217="",FALSE,TRUE),exact(Metadata!K217,"cm"))</f>
        <v>0</v>
      </c>
      <c r="AL217">
        <f>AND(IF(Metadata!L217="",FALSE,TRUE),exact(Metadata!L217,"Homo sapiens"))</f>
        <v>0</v>
      </c>
      <c r="AM217">
        <f>AND(IF(Metadata!M217="",FALSE,TRUE),exact(Metadata!M217,"9606"))</f>
        <v>0</v>
      </c>
      <c r="AN217">
        <f>AND(IF(Metadata!N217="",FALSE,ISNUMBER(VALUE(Metadata!N217))),Metadata!N217&gt;0)</f>
        <v>0</v>
      </c>
      <c r="AO217">
        <f>AND(IF(Metadata!O217="",FALSE,TRUE),exact(Metadata!O217,"kg"))</f>
        <v>0</v>
      </c>
      <c r="AP217">
        <f>OR(AND(IF(Metadata!P217="",FALSE,TRUE),exact(Metadata!P217,"not provided")),IF(Metadata!P217="",FALSE,TRUE))</f>
        <v>0</v>
      </c>
      <c r="AQ217">
        <f>OR(AND(IF(Metadata!Q217="",FALSE,TRUE),exact(Metadata!Q217,"not provided")),IF(Metadata!Q217="",FALSE,TRUE))</f>
        <v>0</v>
      </c>
    </row>
    <row r="218" spans="1:43">
      <c r="A218" s="4">
        <f>IF(B218=" "," ",HYPERLINK(CONCATENATE("#metadata!",ADDRESS(INDEX($W$2:$W$1001,MATCH(ROWS($U$2:U218),$U$2:$U$1001,0),0),2)),INDEX($Z$2:$Z$1001,MATCH(ROWS($U$2:U218),$U$2:$U$1001,0),0)))</f>
        <v>0</v>
      </c>
      <c r="B218" s="5">
        <f>IF(OR(INDEX($V$2:$V$1001,MATCH(ROWS($U$2:U218),$U$2:$U$1001,0),1)&gt;=100000,INDEX($AB$1005:$AQ$1005,1,MATCH(COLUMNS($AB$1006:AB1006),$AB$1006:$AQ$1006,0))&gt;=100000), " ",IF(INDEX($AB$2:$AQ$1001,MATCH(ROWS($U$2:U218),$U$2:$U$1001,0),MATCH(COLUMNS($AB$1006:AB1006),$AB$1006:$AQ$1006,0)), HYPERLINK("#",""), HYPERLINK(CONCATENATE("#Metadata!", ADDRESS(INDEX($W$2:$W$1001,MATCH(ROWS($U$2:U218),$U$2:$U$1001,0),0), INDEX($AB$1004:$AQ$1004,1,MATCH(COLUMNS($AB$1006:AB1006),$AB$1006:$AQ$1006,0)))),"Fix")))</f>
        <v>0</v>
      </c>
      <c r="C218" s="5">
        <f>IF(OR(INDEX($V$2:$V$1001,MATCH(ROWS($U$2:U218),$U$2:$U$1001,0),1)&gt;=100000,INDEX($AB$1005:$AQ$1005,1,MATCH(COLUMNS($AB$1006:AC1006),$AB$1006:$AQ$1006,0))&gt;=100000), " ",IF(INDEX($AB$2:$AQ$1001,MATCH(ROWS($U$2:U218),$U$2:$U$1001,0),MATCH(COLUMNS($AB$1006:AC1006),$AB$1006:$AQ$1006,0)), HYPERLINK("#",""), HYPERLINK(CONCATENATE("#Metadata!", ADDRESS(INDEX($W$2:$W$1001,MATCH(ROWS($U$2:U218),$U$2:$U$1001,0),0), INDEX($AB$1004:$AQ$1004,1,MATCH(COLUMNS($AB$1006:AC1006),$AB$1006:$AQ$1006,0)))),"Fix")))</f>
        <v>0</v>
      </c>
      <c r="D218" s="5">
        <f>IF(OR(INDEX($V$2:$V$1001,MATCH(ROWS($U$2:U218),$U$2:$U$1001,0),1)&gt;=100000,INDEX($AB$1005:$AQ$1005,1,MATCH(COLUMNS($AB$1006:AD1006),$AB$1006:$AQ$1006,0))&gt;=100000), " ",IF(INDEX($AB$2:$AQ$1001,MATCH(ROWS($U$2:U218),$U$2:$U$1001,0),MATCH(COLUMNS($AB$1006:AD1006),$AB$1006:$AQ$1006,0)), HYPERLINK("#",""), HYPERLINK(CONCATENATE("#Metadata!", ADDRESS(INDEX($W$2:$W$1001,MATCH(ROWS($U$2:U218),$U$2:$U$1001,0),0), INDEX($AB$1004:$AQ$1004,1,MATCH(COLUMNS($AB$1006:AD1006),$AB$1006:$AQ$1006,0)))),"Fix")))</f>
        <v>0</v>
      </c>
      <c r="E218" s="5">
        <f>IF(OR(INDEX($V$2:$V$1001,MATCH(ROWS($U$2:U218),$U$2:$U$1001,0),1)&gt;=100000,INDEX($AB$1005:$AQ$1005,1,MATCH(COLUMNS($AB$1006:AE1006),$AB$1006:$AQ$1006,0))&gt;=100000), " ",IF(INDEX($AB$2:$AQ$1001,MATCH(ROWS($U$2:U218),$U$2:$U$1001,0),MATCH(COLUMNS($AB$1006:AE1006),$AB$1006:$AQ$1006,0)), HYPERLINK("#",""), HYPERLINK(CONCATENATE("#Metadata!", ADDRESS(INDEX($W$2:$W$1001,MATCH(ROWS($U$2:U218),$U$2:$U$1001,0),0), INDEX($AB$1004:$AQ$1004,1,MATCH(COLUMNS($AB$1006:AE1006),$AB$1006:$AQ$1006,0)))),"Fix")))</f>
        <v>0</v>
      </c>
      <c r="F218" s="5">
        <f>IF(OR(INDEX($V$2:$V$1001,MATCH(ROWS($U$2:U218),$U$2:$U$1001,0),1)&gt;=100000,INDEX($AB$1005:$AQ$1005,1,MATCH(COLUMNS($AB$1006:AF1006),$AB$1006:$AQ$1006,0))&gt;=100000), " ",IF(INDEX($AB$2:$AQ$1001,MATCH(ROWS($U$2:U218),$U$2:$U$1001,0),MATCH(COLUMNS($AB$1006:AF1006),$AB$1006:$AQ$1006,0)), HYPERLINK("#",""), HYPERLINK(CONCATENATE("#Metadata!", ADDRESS(INDEX($W$2:$W$1001,MATCH(ROWS($U$2:U218),$U$2:$U$1001,0),0), INDEX($AB$1004:$AQ$1004,1,MATCH(COLUMNS($AB$1006:AF1006),$AB$1006:$AQ$1006,0)))),"Fix")))</f>
        <v>0</v>
      </c>
      <c r="G218" s="5">
        <f>IF(OR(INDEX($V$2:$V$1001,MATCH(ROWS($U$2:U218),$U$2:$U$1001,0),1)&gt;=100000,INDEX($AB$1005:$AQ$1005,1,MATCH(COLUMNS($AB$1006:AG1006),$AB$1006:$AQ$1006,0))&gt;=100000), " ",IF(INDEX($AB$2:$AQ$1001,MATCH(ROWS($U$2:U218),$U$2:$U$1001,0),MATCH(COLUMNS($AB$1006:AG1006),$AB$1006:$AQ$1006,0)), HYPERLINK("#",""), HYPERLINK(CONCATENATE("#Metadata!", ADDRESS(INDEX($W$2:$W$1001,MATCH(ROWS($U$2:U218),$U$2:$U$1001,0),0), INDEX($AB$1004:$AQ$1004,1,MATCH(COLUMNS($AB$1006:AG1006),$AB$1006:$AQ$1006,0)))),"Fix")))</f>
        <v>0</v>
      </c>
      <c r="H218" s="5">
        <f>IF(OR(INDEX($V$2:$V$1001,MATCH(ROWS($U$2:U218),$U$2:$U$1001,0),1)&gt;=100000,INDEX($AB$1005:$AQ$1005,1,MATCH(COLUMNS($AB$1006:AH1006),$AB$1006:$AQ$1006,0))&gt;=100000), " ",IF(INDEX($AB$2:$AQ$1001,MATCH(ROWS($U$2:U218),$U$2:$U$1001,0),MATCH(COLUMNS($AB$1006:AH1006),$AB$1006:$AQ$1006,0)), HYPERLINK("#",""), HYPERLINK(CONCATENATE("#Metadata!", ADDRESS(INDEX($W$2:$W$1001,MATCH(ROWS($U$2:U218),$U$2:$U$1001,0),0), INDEX($AB$1004:$AQ$1004,1,MATCH(COLUMNS($AB$1006:AH1006),$AB$1006:$AQ$1006,0)))),"Fix")))</f>
        <v>0</v>
      </c>
      <c r="I218" s="5">
        <f>IF(OR(INDEX($V$2:$V$1001,MATCH(ROWS($U$2:U218),$U$2:$U$1001,0),1)&gt;=100000,INDEX($AB$1005:$AQ$1005,1,MATCH(COLUMNS($AB$1006:AI1006),$AB$1006:$AQ$1006,0))&gt;=100000), " ",IF(INDEX($AB$2:$AQ$1001,MATCH(ROWS($U$2:U218),$U$2:$U$1001,0),MATCH(COLUMNS($AB$1006:AI1006),$AB$1006:$AQ$1006,0)), HYPERLINK("#",""), HYPERLINK(CONCATENATE("#Metadata!", ADDRESS(INDEX($W$2:$W$1001,MATCH(ROWS($U$2:U218),$U$2:$U$1001,0),0), INDEX($AB$1004:$AQ$1004,1,MATCH(COLUMNS($AB$1006:AI1006),$AB$1006:$AQ$1006,0)))),"Fix")))</f>
        <v>0</v>
      </c>
      <c r="J218" s="5">
        <f>IF(OR(INDEX($V$2:$V$1001,MATCH(ROWS($U$2:U218),$U$2:$U$1001,0),1)&gt;=100000,INDEX($AB$1005:$AQ$1005,1,MATCH(COLUMNS($AB$1006:AJ1006),$AB$1006:$AQ$1006,0))&gt;=100000), " ",IF(INDEX($AB$2:$AQ$1001,MATCH(ROWS($U$2:U218),$U$2:$U$1001,0),MATCH(COLUMNS($AB$1006:AJ1006),$AB$1006:$AQ$1006,0)), HYPERLINK("#",""), HYPERLINK(CONCATENATE("#Metadata!", ADDRESS(INDEX($W$2:$W$1001,MATCH(ROWS($U$2:U218),$U$2:$U$1001,0),0), INDEX($AB$1004:$AQ$1004,1,MATCH(COLUMNS($AB$1006:AJ1006),$AB$1006:$AQ$1006,0)))),"Fix")))</f>
        <v>0</v>
      </c>
      <c r="K218" s="5">
        <f>IF(OR(INDEX($V$2:$V$1001,MATCH(ROWS($U$2:U218),$U$2:$U$1001,0),1)&gt;=100000,INDEX($AB$1005:$AQ$1005,1,MATCH(COLUMNS($AB$1006:AK1006),$AB$1006:$AQ$1006,0))&gt;=100000), " ",IF(INDEX($AB$2:$AQ$1001,MATCH(ROWS($U$2:U218),$U$2:$U$1001,0),MATCH(COLUMNS($AB$1006:AK1006),$AB$1006:$AQ$1006,0)), HYPERLINK("#",""), HYPERLINK(CONCATENATE("#Metadata!", ADDRESS(INDEX($W$2:$W$1001,MATCH(ROWS($U$2:U218),$U$2:$U$1001,0),0), INDEX($AB$1004:$AQ$1004,1,MATCH(COLUMNS($AB$1006:AK1006),$AB$1006:$AQ$1006,0)))),"Fix")))</f>
        <v>0</v>
      </c>
      <c r="L218" s="5">
        <f>IF(OR(INDEX($V$2:$V$1001,MATCH(ROWS($U$2:U218),$U$2:$U$1001,0),1)&gt;=100000,INDEX($AB$1005:$AQ$1005,1,MATCH(COLUMNS($AB$1006:AL1006),$AB$1006:$AQ$1006,0))&gt;=100000), " ",IF(INDEX($AB$2:$AQ$1001,MATCH(ROWS($U$2:U218),$U$2:$U$1001,0),MATCH(COLUMNS($AB$1006:AL1006),$AB$1006:$AQ$1006,0)), HYPERLINK("#",""), HYPERLINK(CONCATENATE("#Metadata!", ADDRESS(INDEX($W$2:$W$1001,MATCH(ROWS($U$2:U218),$U$2:$U$1001,0),0), INDEX($AB$1004:$AQ$1004,1,MATCH(COLUMNS($AB$1006:AL1006),$AB$1006:$AQ$1006,0)))),"Fix")))</f>
        <v>0</v>
      </c>
      <c r="M218" s="5">
        <f>IF(OR(INDEX($V$2:$V$1001,MATCH(ROWS($U$2:U218),$U$2:$U$1001,0),1)&gt;=100000,INDEX($AB$1005:$AQ$1005,1,MATCH(COLUMNS($AB$1006:AM1006),$AB$1006:$AQ$1006,0))&gt;=100000), " ",IF(INDEX($AB$2:$AQ$1001,MATCH(ROWS($U$2:U218),$U$2:$U$1001,0),MATCH(COLUMNS($AB$1006:AM1006),$AB$1006:$AQ$1006,0)), HYPERLINK("#",""), HYPERLINK(CONCATENATE("#Metadata!", ADDRESS(INDEX($W$2:$W$1001,MATCH(ROWS($U$2:U218),$U$2:$U$1001,0),0), INDEX($AB$1004:$AQ$1004,1,MATCH(COLUMNS($AB$1006:AM1006),$AB$1006:$AQ$1006,0)))),"Fix")))</f>
        <v>0</v>
      </c>
      <c r="N218" s="5">
        <f>IF(OR(INDEX($V$2:$V$1001,MATCH(ROWS($U$2:U218),$U$2:$U$1001,0),1)&gt;=100000,INDEX($AB$1005:$AQ$1005,1,MATCH(COLUMNS($AB$1006:AN1006),$AB$1006:$AQ$1006,0))&gt;=100000), " ",IF(INDEX($AB$2:$AQ$1001,MATCH(ROWS($U$2:U218),$U$2:$U$1001,0),MATCH(COLUMNS($AB$1006:AN1006),$AB$1006:$AQ$1006,0)), HYPERLINK("#",""), HYPERLINK(CONCATENATE("#Metadata!", ADDRESS(INDEX($W$2:$W$1001,MATCH(ROWS($U$2:U218),$U$2:$U$1001,0),0), INDEX($AB$1004:$AQ$1004,1,MATCH(COLUMNS($AB$1006:AN1006),$AB$1006:$AQ$1006,0)))),"Fix")))</f>
        <v>0</v>
      </c>
      <c r="O218" s="5">
        <f>IF(OR(INDEX($V$2:$V$1001,MATCH(ROWS($U$2:U218),$U$2:$U$1001,0),1)&gt;=100000,INDEX($AB$1005:$AQ$1005,1,MATCH(COLUMNS($AB$1006:AO1006),$AB$1006:$AQ$1006,0))&gt;=100000), " ",IF(INDEX($AB$2:$AQ$1001,MATCH(ROWS($U$2:U218),$U$2:$U$1001,0),MATCH(COLUMNS($AB$1006:AO1006),$AB$1006:$AQ$1006,0)), HYPERLINK("#",""), HYPERLINK(CONCATENATE("#Metadata!", ADDRESS(INDEX($W$2:$W$1001,MATCH(ROWS($U$2:U218),$U$2:$U$1001,0),0), INDEX($AB$1004:$AQ$1004,1,MATCH(COLUMNS($AB$1006:AO1006),$AB$1006:$AQ$1006,0)))),"Fix")))</f>
        <v>0</v>
      </c>
      <c r="P218" s="5">
        <f>IF(OR(INDEX($V$2:$V$1001,MATCH(ROWS($U$2:U218),$U$2:$U$1001,0),1)&gt;=100000,INDEX($AB$1005:$AQ$1005,1,MATCH(COLUMNS($AB$1006:AP1006),$AB$1006:$AQ$1006,0))&gt;=100000), " ",IF(INDEX($AB$2:$AQ$1001,MATCH(ROWS($U$2:U218),$U$2:$U$1001,0),MATCH(COLUMNS($AB$1006:AP1006),$AB$1006:$AQ$1006,0)), HYPERLINK("#",""), HYPERLINK(CONCATENATE("#Metadata!", ADDRESS(INDEX($W$2:$W$1001,MATCH(ROWS($U$2:U218),$U$2:$U$1001,0),0), INDEX($AB$1004:$AQ$1004,1,MATCH(COLUMNS($AB$1006:AP1006),$AB$1006:$AQ$1006,0)))),"Fix")))</f>
        <v>0</v>
      </c>
      <c r="Q218" s="5">
        <f>IF(OR(INDEX($V$2:$V$1001,MATCH(ROWS($U$2:U218),$U$2:$U$1001,0),1)&gt;=100000,INDEX($AB$1005:$AQ$1005,1,MATCH(COLUMNS($AB$1006:AQ1006),$AB$1006:$AQ$1006,0))&gt;=100000), " ",IF(INDEX($AB$2:$AQ$1001,MATCH(ROWS($U$2:U218),$U$2:$U$1001,0),MATCH(COLUMNS($AB$1006:AQ1006),$AB$1006:$AQ$1006,0)), HYPERLINK("#",""), HYPERLINK(CONCATENATE("#Metadata!", ADDRESS(INDEX($W$2:$W$1001,MATCH(ROWS($U$2:U218),$U$2:$U$1001,0),0), INDEX($AB$1004:$AQ$1004,1,MATCH(COLUMNS($AB$1006:AQ1006),$AB$1006:$AQ$1006,0)))),"Fix")))</f>
        <v>0</v>
      </c>
      <c r="U218">
        <v>0</v>
      </c>
      <c r="V218">
        <v>0</v>
      </c>
      <c r="W218">
        <v>0</v>
      </c>
      <c r="X218">
        <f>IF(Y218,TRUE,AND(AB218:AQ218))</f>
        <v>0</v>
      </c>
      <c r="Y218">
        <f>COUNTBLANK(Metadata!B218:Q218)=COLUMNS(Metadata!B218:Q218)</f>
        <v>0</v>
      </c>
      <c r="Z218">
        <v>0</v>
      </c>
      <c r="AB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AC218">
        <f>AND(IF(Metadata!C218="",FALSE,TRUE),exact(Metadata!C218,"urban biome"))</f>
        <v>0</v>
      </c>
      <c r="AD218">
        <f>AND(IF(Metadata!D218="",FALSE,TRUE),exact(Metadata!D218,"human-associated habitat"))</f>
        <v>0</v>
      </c>
      <c r="AE218">
        <f>AND(IF(Metadata!E218="",FALSE,TRUE),OR(exact(Metadata!E218,"human-associated"),exact(Metadata!E218,"human-skin"),exact(Metadata!E218,"human-oral"),exact(Metadata!E218,"human-gut"),exact(Metadata!E218,"human-vaginal")))</f>
        <v>0</v>
      </c>
      <c r="AF218">
        <f>AND(IF(Metadata!F218="",FALSE,ISNUMBER(VALUE(Metadata!F218))),Metadata!F218&gt;0)</f>
        <v>0</v>
      </c>
      <c r="AG218">
        <f>AND(IF(Metadata!G218="",FALSE,TRUE),exact(Metadata!G218,"years"))</f>
        <v>0</v>
      </c>
      <c r="AH218">
        <f>OR(AND(IF(Metadata!H218="",FALSE,TRUE),OR(exact(Metadata!H218,"not applicable"),exact(Metadata!H218,"not collected"),exact(Metadata!H218,"not provided"),exact(Metadata!H218,"restricted access"))),AND(IF(Metadata!H218="",FALSE,ISNUMBER(VALUE(Metadata!H218))),Metadata!H218&gt;0))</f>
        <v>0</v>
      </c>
      <c r="AI218">
        <f>AND(IF(Metadata!I218="",FALSE,TRUE),exact(Metadata!I218,"human"))</f>
        <v>0</v>
      </c>
      <c r="AJ218">
        <f>AND(IF(Metadata!J218="",FALSE,ISNUMBER(VALUE(Metadata!J218))),Metadata!J218&gt;0)</f>
        <v>0</v>
      </c>
      <c r="AK218">
        <f>AND(IF(Metadata!K218="",FALSE,TRUE),exact(Metadata!K218,"cm"))</f>
        <v>0</v>
      </c>
      <c r="AL218">
        <f>AND(IF(Metadata!L218="",FALSE,TRUE),exact(Metadata!L218,"Homo sapiens"))</f>
        <v>0</v>
      </c>
      <c r="AM218">
        <f>AND(IF(Metadata!M218="",FALSE,TRUE),exact(Metadata!M218,"9606"))</f>
        <v>0</v>
      </c>
      <c r="AN218">
        <f>AND(IF(Metadata!N218="",FALSE,ISNUMBER(VALUE(Metadata!N218))),Metadata!N218&gt;0)</f>
        <v>0</v>
      </c>
      <c r="AO218">
        <f>AND(IF(Metadata!O218="",FALSE,TRUE),exact(Metadata!O218,"kg"))</f>
        <v>0</v>
      </c>
      <c r="AP218">
        <f>OR(AND(IF(Metadata!P218="",FALSE,TRUE),exact(Metadata!P218,"not provided")),IF(Metadata!P218="",FALSE,TRUE))</f>
        <v>0</v>
      </c>
      <c r="AQ218">
        <f>OR(AND(IF(Metadata!Q218="",FALSE,TRUE),exact(Metadata!Q218,"not provided")),IF(Metadata!Q218="",FALSE,TRUE))</f>
        <v>0</v>
      </c>
    </row>
    <row r="219" spans="1:43">
      <c r="A219" s="4">
        <f>IF(B219=" "," ",HYPERLINK(CONCATENATE("#metadata!",ADDRESS(INDEX($W$2:$W$1001,MATCH(ROWS($U$2:U219),$U$2:$U$1001,0),0),2)),INDEX($Z$2:$Z$1001,MATCH(ROWS($U$2:U219),$U$2:$U$1001,0),0)))</f>
        <v>0</v>
      </c>
      <c r="B219" s="5">
        <f>IF(OR(INDEX($V$2:$V$1001,MATCH(ROWS($U$2:U219),$U$2:$U$1001,0),1)&gt;=100000,INDEX($AB$1005:$AQ$1005,1,MATCH(COLUMNS($AB$1006:AB1006),$AB$1006:$AQ$1006,0))&gt;=100000), " ",IF(INDEX($AB$2:$AQ$1001,MATCH(ROWS($U$2:U219),$U$2:$U$1001,0),MATCH(COLUMNS($AB$1006:AB1006),$AB$1006:$AQ$1006,0)), HYPERLINK("#",""), HYPERLINK(CONCATENATE("#Metadata!", ADDRESS(INDEX($W$2:$W$1001,MATCH(ROWS($U$2:U219),$U$2:$U$1001,0),0), INDEX($AB$1004:$AQ$1004,1,MATCH(COLUMNS($AB$1006:AB1006),$AB$1006:$AQ$1006,0)))),"Fix")))</f>
        <v>0</v>
      </c>
      <c r="C219" s="5">
        <f>IF(OR(INDEX($V$2:$V$1001,MATCH(ROWS($U$2:U219),$U$2:$U$1001,0),1)&gt;=100000,INDEX($AB$1005:$AQ$1005,1,MATCH(COLUMNS($AB$1006:AC1006),$AB$1006:$AQ$1006,0))&gt;=100000), " ",IF(INDEX($AB$2:$AQ$1001,MATCH(ROWS($U$2:U219),$U$2:$U$1001,0),MATCH(COLUMNS($AB$1006:AC1006),$AB$1006:$AQ$1006,0)), HYPERLINK("#",""), HYPERLINK(CONCATENATE("#Metadata!", ADDRESS(INDEX($W$2:$W$1001,MATCH(ROWS($U$2:U219),$U$2:$U$1001,0),0), INDEX($AB$1004:$AQ$1004,1,MATCH(COLUMNS($AB$1006:AC1006),$AB$1006:$AQ$1006,0)))),"Fix")))</f>
        <v>0</v>
      </c>
      <c r="D219" s="5">
        <f>IF(OR(INDEX($V$2:$V$1001,MATCH(ROWS($U$2:U219),$U$2:$U$1001,0),1)&gt;=100000,INDEX($AB$1005:$AQ$1005,1,MATCH(COLUMNS($AB$1006:AD1006),$AB$1006:$AQ$1006,0))&gt;=100000), " ",IF(INDEX($AB$2:$AQ$1001,MATCH(ROWS($U$2:U219),$U$2:$U$1001,0),MATCH(COLUMNS($AB$1006:AD1006),$AB$1006:$AQ$1006,0)), HYPERLINK("#",""), HYPERLINK(CONCATENATE("#Metadata!", ADDRESS(INDEX($W$2:$W$1001,MATCH(ROWS($U$2:U219),$U$2:$U$1001,0),0), INDEX($AB$1004:$AQ$1004,1,MATCH(COLUMNS($AB$1006:AD1006),$AB$1006:$AQ$1006,0)))),"Fix")))</f>
        <v>0</v>
      </c>
      <c r="E219" s="5">
        <f>IF(OR(INDEX($V$2:$V$1001,MATCH(ROWS($U$2:U219),$U$2:$U$1001,0),1)&gt;=100000,INDEX($AB$1005:$AQ$1005,1,MATCH(COLUMNS($AB$1006:AE1006),$AB$1006:$AQ$1006,0))&gt;=100000), " ",IF(INDEX($AB$2:$AQ$1001,MATCH(ROWS($U$2:U219),$U$2:$U$1001,0),MATCH(COLUMNS($AB$1006:AE1006),$AB$1006:$AQ$1006,0)), HYPERLINK("#",""), HYPERLINK(CONCATENATE("#Metadata!", ADDRESS(INDEX($W$2:$W$1001,MATCH(ROWS($U$2:U219),$U$2:$U$1001,0),0), INDEX($AB$1004:$AQ$1004,1,MATCH(COLUMNS($AB$1006:AE1006),$AB$1006:$AQ$1006,0)))),"Fix")))</f>
        <v>0</v>
      </c>
      <c r="F219" s="5">
        <f>IF(OR(INDEX($V$2:$V$1001,MATCH(ROWS($U$2:U219),$U$2:$U$1001,0),1)&gt;=100000,INDEX($AB$1005:$AQ$1005,1,MATCH(COLUMNS($AB$1006:AF1006),$AB$1006:$AQ$1006,0))&gt;=100000), " ",IF(INDEX($AB$2:$AQ$1001,MATCH(ROWS($U$2:U219),$U$2:$U$1001,0),MATCH(COLUMNS($AB$1006:AF1006),$AB$1006:$AQ$1006,0)), HYPERLINK("#",""), HYPERLINK(CONCATENATE("#Metadata!", ADDRESS(INDEX($W$2:$W$1001,MATCH(ROWS($U$2:U219),$U$2:$U$1001,0),0), INDEX($AB$1004:$AQ$1004,1,MATCH(COLUMNS($AB$1006:AF1006),$AB$1006:$AQ$1006,0)))),"Fix")))</f>
        <v>0</v>
      </c>
      <c r="G219" s="5">
        <f>IF(OR(INDEX($V$2:$V$1001,MATCH(ROWS($U$2:U219),$U$2:$U$1001,0),1)&gt;=100000,INDEX($AB$1005:$AQ$1005,1,MATCH(COLUMNS($AB$1006:AG1006),$AB$1006:$AQ$1006,0))&gt;=100000), " ",IF(INDEX($AB$2:$AQ$1001,MATCH(ROWS($U$2:U219),$U$2:$U$1001,0),MATCH(COLUMNS($AB$1006:AG1006),$AB$1006:$AQ$1006,0)), HYPERLINK("#",""), HYPERLINK(CONCATENATE("#Metadata!", ADDRESS(INDEX($W$2:$W$1001,MATCH(ROWS($U$2:U219),$U$2:$U$1001,0),0), INDEX($AB$1004:$AQ$1004,1,MATCH(COLUMNS($AB$1006:AG1006),$AB$1006:$AQ$1006,0)))),"Fix")))</f>
        <v>0</v>
      </c>
      <c r="H219" s="5">
        <f>IF(OR(INDEX($V$2:$V$1001,MATCH(ROWS($U$2:U219),$U$2:$U$1001,0),1)&gt;=100000,INDEX($AB$1005:$AQ$1005,1,MATCH(COLUMNS($AB$1006:AH1006),$AB$1006:$AQ$1006,0))&gt;=100000), " ",IF(INDEX($AB$2:$AQ$1001,MATCH(ROWS($U$2:U219),$U$2:$U$1001,0),MATCH(COLUMNS($AB$1006:AH1006),$AB$1006:$AQ$1006,0)), HYPERLINK("#",""), HYPERLINK(CONCATENATE("#Metadata!", ADDRESS(INDEX($W$2:$W$1001,MATCH(ROWS($U$2:U219),$U$2:$U$1001,0),0), INDEX($AB$1004:$AQ$1004,1,MATCH(COLUMNS($AB$1006:AH1006),$AB$1006:$AQ$1006,0)))),"Fix")))</f>
        <v>0</v>
      </c>
      <c r="I219" s="5">
        <f>IF(OR(INDEX($V$2:$V$1001,MATCH(ROWS($U$2:U219),$U$2:$U$1001,0),1)&gt;=100000,INDEX($AB$1005:$AQ$1005,1,MATCH(COLUMNS($AB$1006:AI1006),$AB$1006:$AQ$1006,0))&gt;=100000), " ",IF(INDEX($AB$2:$AQ$1001,MATCH(ROWS($U$2:U219),$U$2:$U$1001,0),MATCH(COLUMNS($AB$1006:AI1006),$AB$1006:$AQ$1006,0)), HYPERLINK("#",""), HYPERLINK(CONCATENATE("#Metadata!", ADDRESS(INDEX($W$2:$W$1001,MATCH(ROWS($U$2:U219),$U$2:$U$1001,0),0), INDEX($AB$1004:$AQ$1004,1,MATCH(COLUMNS($AB$1006:AI1006),$AB$1006:$AQ$1006,0)))),"Fix")))</f>
        <v>0</v>
      </c>
      <c r="J219" s="5">
        <f>IF(OR(INDEX($V$2:$V$1001,MATCH(ROWS($U$2:U219),$U$2:$U$1001,0),1)&gt;=100000,INDEX($AB$1005:$AQ$1005,1,MATCH(COLUMNS($AB$1006:AJ1006),$AB$1006:$AQ$1006,0))&gt;=100000), " ",IF(INDEX($AB$2:$AQ$1001,MATCH(ROWS($U$2:U219),$U$2:$U$1001,0),MATCH(COLUMNS($AB$1006:AJ1006),$AB$1006:$AQ$1006,0)), HYPERLINK("#",""), HYPERLINK(CONCATENATE("#Metadata!", ADDRESS(INDEX($W$2:$W$1001,MATCH(ROWS($U$2:U219),$U$2:$U$1001,0),0), INDEX($AB$1004:$AQ$1004,1,MATCH(COLUMNS($AB$1006:AJ1006),$AB$1006:$AQ$1006,0)))),"Fix")))</f>
        <v>0</v>
      </c>
      <c r="K219" s="5">
        <f>IF(OR(INDEX($V$2:$V$1001,MATCH(ROWS($U$2:U219),$U$2:$U$1001,0),1)&gt;=100000,INDEX($AB$1005:$AQ$1005,1,MATCH(COLUMNS($AB$1006:AK1006),$AB$1006:$AQ$1006,0))&gt;=100000), " ",IF(INDEX($AB$2:$AQ$1001,MATCH(ROWS($U$2:U219),$U$2:$U$1001,0),MATCH(COLUMNS($AB$1006:AK1006),$AB$1006:$AQ$1006,0)), HYPERLINK("#",""), HYPERLINK(CONCATENATE("#Metadata!", ADDRESS(INDEX($W$2:$W$1001,MATCH(ROWS($U$2:U219),$U$2:$U$1001,0),0), INDEX($AB$1004:$AQ$1004,1,MATCH(COLUMNS($AB$1006:AK1006),$AB$1006:$AQ$1006,0)))),"Fix")))</f>
        <v>0</v>
      </c>
      <c r="L219" s="5">
        <f>IF(OR(INDEX($V$2:$V$1001,MATCH(ROWS($U$2:U219),$U$2:$U$1001,0),1)&gt;=100000,INDEX($AB$1005:$AQ$1005,1,MATCH(COLUMNS($AB$1006:AL1006),$AB$1006:$AQ$1006,0))&gt;=100000), " ",IF(INDEX($AB$2:$AQ$1001,MATCH(ROWS($U$2:U219),$U$2:$U$1001,0),MATCH(COLUMNS($AB$1006:AL1006),$AB$1006:$AQ$1006,0)), HYPERLINK("#",""), HYPERLINK(CONCATENATE("#Metadata!", ADDRESS(INDEX($W$2:$W$1001,MATCH(ROWS($U$2:U219),$U$2:$U$1001,0),0), INDEX($AB$1004:$AQ$1004,1,MATCH(COLUMNS($AB$1006:AL1006),$AB$1006:$AQ$1006,0)))),"Fix")))</f>
        <v>0</v>
      </c>
      <c r="M219" s="5">
        <f>IF(OR(INDEX($V$2:$V$1001,MATCH(ROWS($U$2:U219),$U$2:$U$1001,0),1)&gt;=100000,INDEX($AB$1005:$AQ$1005,1,MATCH(COLUMNS($AB$1006:AM1006),$AB$1006:$AQ$1006,0))&gt;=100000), " ",IF(INDEX($AB$2:$AQ$1001,MATCH(ROWS($U$2:U219),$U$2:$U$1001,0),MATCH(COLUMNS($AB$1006:AM1006),$AB$1006:$AQ$1006,0)), HYPERLINK("#",""), HYPERLINK(CONCATENATE("#Metadata!", ADDRESS(INDEX($W$2:$W$1001,MATCH(ROWS($U$2:U219),$U$2:$U$1001,0),0), INDEX($AB$1004:$AQ$1004,1,MATCH(COLUMNS($AB$1006:AM1006),$AB$1006:$AQ$1006,0)))),"Fix")))</f>
        <v>0</v>
      </c>
      <c r="N219" s="5">
        <f>IF(OR(INDEX($V$2:$V$1001,MATCH(ROWS($U$2:U219),$U$2:$U$1001,0),1)&gt;=100000,INDEX($AB$1005:$AQ$1005,1,MATCH(COLUMNS($AB$1006:AN1006),$AB$1006:$AQ$1006,0))&gt;=100000), " ",IF(INDEX($AB$2:$AQ$1001,MATCH(ROWS($U$2:U219),$U$2:$U$1001,0),MATCH(COLUMNS($AB$1006:AN1006),$AB$1006:$AQ$1006,0)), HYPERLINK("#",""), HYPERLINK(CONCATENATE("#Metadata!", ADDRESS(INDEX($W$2:$W$1001,MATCH(ROWS($U$2:U219),$U$2:$U$1001,0),0), INDEX($AB$1004:$AQ$1004,1,MATCH(COLUMNS($AB$1006:AN1006),$AB$1006:$AQ$1006,0)))),"Fix")))</f>
        <v>0</v>
      </c>
      <c r="O219" s="5">
        <f>IF(OR(INDEX($V$2:$V$1001,MATCH(ROWS($U$2:U219),$U$2:$U$1001,0),1)&gt;=100000,INDEX($AB$1005:$AQ$1005,1,MATCH(COLUMNS($AB$1006:AO1006),$AB$1006:$AQ$1006,0))&gt;=100000), " ",IF(INDEX($AB$2:$AQ$1001,MATCH(ROWS($U$2:U219),$U$2:$U$1001,0),MATCH(COLUMNS($AB$1006:AO1006),$AB$1006:$AQ$1006,0)), HYPERLINK("#",""), HYPERLINK(CONCATENATE("#Metadata!", ADDRESS(INDEX($W$2:$W$1001,MATCH(ROWS($U$2:U219),$U$2:$U$1001,0),0), INDEX($AB$1004:$AQ$1004,1,MATCH(COLUMNS($AB$1006:AO1006),$AB$1006:$AQ$1006,0)))),"Fix")))</f>
        <v>0</v>
      </c>
      <c r="P219" s="5">
        <f>IF(OR(INDEX($V$2:$V$1001,MATCH(ROWS($U$2:U219),$U$2:$U$1001,0),1)&gt;=100000,INDEX($AB$1005:$AQ$1005,1,MATCH(COLUMNS($AB$1006:AP1006),$AB$1006:$AQ$1006,0))&gt;=100000), " ",IF(INDEX($AB$2:$AQ$1001,MATCH(ROWS($U$2:U219),$U$2:$U$1001,0),MATCH(COLUMNS($AB$1006:AP1006),$AB$1006:$AQ$1006,0)), HYPERLINK("#",""), HYPERLINK(CONCATENATE("#Metadata!", ADDRESS(INDEX($W$2:$W$1001,MATCH(ROWS($U$2:U219),$U$2:$U$1001,0),0), INDEX($AB$1004:$AQ$1004,1,MATCH(COLUMNS($AB$1006:AP1006),$AB$1006:$AQ$1006,0)))),"Fix")))</f>
        <v>0</v>
      </c>
      <c r="Q219" s="5">
        <f>IF(OR(INDEX($V$2:$V$1001,MATCH(ROWS($U$2:U219),$U$2:$U$1001,0),1)&gt;=100000,INDEX($AB$1005:$AQ$1005,1,MATCH(COLUMNS($AB$1006:AQ1006),$AB$1006:$AQ$1006,0))&gt;=100000), " ",IF(INDEX($AB$2:$AQ$1001,MATCH(ROWS($U$2:U219),$U$2:$U$1001,0),MATCH(COLUMNS($AB$1006:AQ1006),$AB$1006:$AQ$1006,0)), HYPERLINK("#",""), HYPERLINK(CONCATENATE("#Metadata!", ADDRESS(INDEX($W$2:$W$1001,MATCH(ROWS($U$2:U219),$U$2:$U$1001,0),0), INDEX($AB$1004:$AQ$1004,1,MATCH(COLUMNS($AB$1006:AQ1006),$AB$1006:$AQ$1006,0)))),"Fix")))</f>
        <v>0</v>
      </c>
      <c r="U219">
        <v>0</v>
      </c>
      <c r="V219">
        <v>0</v>
      </c>
      <c r="W219">
        <v>0</v>
      </c>
      <c r="X219">
        <f>IF(Y219,TRUE,AND(AB219:AQ219))</f>
        <v>0</v>
      </c>
      <c r="Y219">
        <f>COUNTBLANK(Metadata!B219:Q219)=COLUMNS(Metadata!B219:Q219)</f>
        <v>0</v>
      </c>
      <c r="Z219">
        <v>0</v>
      </c>
      <c r="AB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AC219">
        <f>AND(IF(Metadata!C219="",FALSE,TRUE),exact(Metadata!C219,"urban biome"))</f>
        <v>0</v>
      </c>
      <c r="AD219">
        <f>AND(IF(Metadata!D219="",FALSE,TRUE),exact(Metadata!D219,"human-associated habitat"))</f>
        <v>0</v>
      </c>
      <c r="AE219">
        <f>AND(IF(Metadata!E219="",FALSE,TRUE),OR(exact(Metadata!E219,"human-associated"),exact(Metadata!E219,"human-skin"),exact(Metadata!E219,"human-oral"),exact(Metadata!E219,"human-gut"),exact(Metadata!E219,"human-vaginal")))</f>
        <v>0</v>
      </c>
      <c r="AF219">
        <f>AND(IF(Metadata!F219="",FALSE,ISNUMBER(VALUE(Metadata!F219))),Metadata!F219&gt;0)</f>
        <v>0</v>
      </c>
      <c r="AG219">
        <f>AND(IF(Metadata!G219="",FALSE,TRUE),exact(Metadata!G219,"years"))</f>
        <v>0</v>
      </c>
      <c r="AH219">
        <f>OR(AND(IF(Metadata!H219="",FALSE,TRUE),OR(exact(Metadata!H219,"not applicable"),exact(Metadata!H219,"not collected"),exact(Metadata!H219,"not provided"),exact(Metadata!H219,"restricted access"))),AND(IF(Metadata!H219="",FALSE,ISNUMBER(VALUE(Metadata!H219))),Metadata!H219&gt;0))</f>
        <v>0</v>
      </c>
      <c r="AI219">
        <f>AND(IF(Metadata!I219="",FALSE,TRUE),exact(Metadata!I219,"human"))</f>
        <v>0</v>
      </c>
      <c r="AJ219">
        <f>AND(IF(Metadata!J219="",FALSE,ISNUMBER(VALUE(Metadata!J219))),Metadata!J219&gt;0)</f>
        <v>0</v>
      </c>
      <c r="AK219">
        <f>AND(IF(Metadata!K219="",FALSE,TRUE),exact(Metadata!K219,"cm"))</f>
        <v>0</v>
      </c>
      <c r="AL219">
        <f>AND(IF(Metadata!L219="",FALSE,TRUE),exact(Metadata!L219,"Homo sapiens"))</f>
        <v>0</v>
      </c>
      <c r="AM219">
        <f>AND(IF(Metadata!M219="",FALSE,TRUE),exact(Metadata!M219,"9606"))</f>
        <v>0</v>
      </c>
      <c r="AN219">
        <f>AND(IF(Metadata!N219="",FALSE,ISNUMBER(VALUE(Metadata!N219))),Metadata!N219&gt;0)</f>
        <v>0</v>
      </c>
      <c r="AO219">
        <f>AND(IF(Metadata!O219="",FALSE,TRUE),exact(Metadata!O219,"kg"))</f>
        <v>0</v>
      </c>
      <c r="AP219">
        <f>OR(AND(IF(Metadata!P219="",FALSE,TRUE),exact(Metadata!P219,"not provided")),IF(Metadata!P219="",FALSE,TRUE))</f>
        <v>0</v>
      </c>
      <c r="AQ219">
        <f>OR(AND(IF(Metadata!Q219="",FALSE,TRUE),exact(Metadata!Q219,"not provided")),IF(Metadata!Q219="",FALSE,TRUE))</f>
        <v>0</v>
      </c>
    </row>
    <row r="220" spans="1:43">
      <c r="A220" s="4">
        <f>IF(B220=" "," ",HYPERLINK(CONCATENATE("#metadata!",ADDRESS(INDEX($W$2:$W$1001,MATCH(ROWS($U$2:U220),$U$2:$U$1001,0),0),2)),INDEX($Z$2:$Z$1001,MATCH(ROWS($U$2:U220),$U$2:$U$1001,0),0)))</f>
        <v>0</v>
      </c>
      <c r="B220" s="5">
        <f>IF(OR(INDEX($V$2:$V$1001,MATCH(ROWS($U$2:U220),$U$2:$U$1001,0),1)&gt;=100000,INDEX($AB$1005:$AQ$1005,1,MATCH(COLUMNS($AB$1006:AB1006),$AB$1006:$AQ$1006,0))&gt;=100000), " ",IF(INDEX($AB$2:$AQ$1001,MATCH(ROWS($U$2:U220),$U$2:$U$1001,0),MATCH(COLUMNS($AB$1006:AB1006),$AB$1006:$AQ$1006,0)), HYPERLINK("#",""), HYPERLINK(CONCATENATE("#Metadata!", ADDRESS(INDEX($W$2:$W$1001,MATCH(ROWS($U$2:U220),$U$2:$U$1001,0),0), INDEX($AB$1004:$AQ$1004,1,MATCH(COLUMNS($AB$1006:AB1006),$AB$1006:$AQ$1006,0)))),"Fix")))</f>
        <v>0</v>
      </c>
      <c r="C220" s="5">
        <f>IF(OR(INDEX($V$2:$V$1001,MATCH(ROWS($U$2:U220),$U$2:$U$1001,0),1)&gt;=100000,INDEX($AB$1005:$AQ$1005,1,MATCH(COLUMNS($AB$1006:AC1006),$AB$1006:$AQ$1006,0))&gt;=100000), " ",IF(INDEX($AB$2:$AQ$1001,MATCH(ROWS($U$2:U220),$U$2:$U$1001,0),MATCH(COLUMNS($AB$1006:AC1006),$AB$1006:$AQ$1006,0)), HYPERLINK("#",""), HYPERLINK(CONCATENATE("#Metadata!", ADDRESS(INDEX($W$2:$W$1001,MATCH(ROWS($U$2:U220),$U$2:$U$1001,0),0), INDEX($AB$1004:$AQ$1004,1,MATCH(COLUMNS($AB$1006:AC1006),$AB$1006:$AQ$1006,0)))),"Fix")))</f>
        <v>0</v>
      </c>
      <c r="D220" s="5">
        <f>IF(OR(INDEX($V$2:$V$1001,MATCH(ROWS($U$2:U220),$U$2:$U$1001,0),1)&gt;=100000,INDEX($AB$1005:$AQ$1005,1,MATCH(COLUMNS($AB$1006:AD1006),$AB$1006:$AQ$1006,0))&gt;=100000), " ",IF(INDEX($AB$2:$AQ$1001,MATCH(ROWS($U$2:U220),$U$2:$U$1001,0),MATCH(COLUMNS($AB$1006:AD1006),$AB$1006:$AQ$1006,0)), HYPERLINK("#",""), HYPERLINK(CONCATENATE("#Metadata!", ADDRESS(INDEX($W$2:$W$1001,MATCH(ROWS($U$2:U220),$U$2:$U$1001,0),0), INDEX($AB$1004:$AQ$1004,1,MATCH(COLUMNS($AB$1006:AD1006),$AB$1006:$AQ$1006,0)))),"Fix")))</f>
        <v>0</v>
      </c>
      <c r="E220" s="5">
        <f>IF(OR(INDEX($V$2:$V$1001,MATCH(ROWS($U$2:U220),$U$2:$U$1001,0),1)&gt;=100000,INDEX($AB$1005:$AQ$1005,1,MATCH(COLUMNS($AB$1006:AE1006),$AB$1006:$AQ$1006,0))&gt;=100000), " ",IF(INDEX($AB$2:$AQ$1001,MATCH(ROWS($U$2:U220),$U$2:$U$1001,0),MATCH(COLUMNS($AB$1006:AE1006),$AB$1006:$AQ$1006,0)), HYPERLINK("#",""), HYPERLINK(CONCATENATE("#Metadata!", ADDRESS(INDEX($W$2:$W$1001,MATCH(ROWS($U$2:U220),$U$2:$U$1001,0),0), INDEX($AB$1004:$AQ$1004,1,MATCH(COLUMNS($AB$1006:AE1006),$AB$1006:$AQ$1006,0)))),"Fix")))</f>
        <v>0</v>
      </c>
      <c r="F220" s="5">
        <f>IF(OR(INDEX($V$2:$V$1001,MATCH(ROWS($U$2:U220),$U$2:$U$1001,0),1)&gt;=100000,INDEX($AB$1005:$AQ$1005,1,MATCH(COLUMNS($AB$1006:AF1006),$AB$1006:$AQ$1006,0))&gt;=100000), " ",IF(INDEX($AB$2:$AQ$1001,MATCH(ROWS($U$2:U220),$U$2:$U$1001,0),MATCH(COLUMNS($AB$1006:AF1006),$AB$1006:$AQ$1006,0)), HYPERLINK("#",""), HYPERLINK(CONCATENATE("#Metadata!", ADDRESS(INDEX($W$2:$W$1001,MATCH(ROWS($U$2:U220),$U$2:$U$1001,0),0), INDEX($AB$1004:$AQ$1004,1,MATCH(COLUMNS($AB$1006:AF1006),$AB$1006:$AQ$1006,0)))),"Fix")))</f>
        <v>0</v>
      </c>
      <c r="G220" s="5">
        <f>IF(OR(INDEX($V$2:$V$1001,MATCH(ROWS($U$2:U220),$U$2:$U$1001,0),1)&gt;=100000,INDEX($AB$1005:$AQ$1005,1,MATCH(COLUMNS($AB$1006:AG1006),$AB$1006:$AQ$1006,0))&gt;=100000), " ",IF(INDEX($AB$2:$AQ$1001,MATCH(ROWS($U$2:U220),$U$2:$U$1001,0),MATCH(COLUMNS($AB$1006:AG1006),$AB$1006:$AQ$1006,0)), HYPERLINK("#",""), HYPERLINK(CONCATENATE("#Metadata!", ADDRESS(INDEX($W$2:$W$1001,MATCH(ROWS($U$2:U220),$U$2:$U$1001,0),0), INDEX($AB$1004:$AQ$1004,1,MATCH(COLUMNS($AB$1006:AG1006),$AB$1006:$AQ$1006,0)))),"Fix")))</f>
        <v>0</v>
      </c>
      <c r="H220" s="5">
        <f>IF(OR(INDEX($V$2:$V$1001,MATCH(ROWS($U$2:U220),$U$2:$U$1001,0),1)&gt;=100000,INDEX($AB$1005:$AQ$1005,1,MATCH(COLUMNS($AB$1006:AH1006),$AB$1006:$AQ$1006,0))&gt;=100000), " ",IF(INDEX($AB$2:$AQ$1001,MATCH(ROWS($U$2:U220),$U$2:$U$1001,0),MATCH(COLUMNS($AB$1006:AH1006),$AB$1006:$AQ$1006,0)), HYPERLINK("#",""), HYPERLINK(CONCATENATE("#Metadata!", ADDRESS(INDEX($W$2:$W$1001,MATCH(ROWS($U$2:U220),$U$2:$U$1001,0),0), INDEX($AB$1004:$AQ$1004,1,MATCH(COLUMNS($AB$1006:AH1006),$AB$1006:$AQ$1006,0)))),"Fix")))</f>
        <v>0</v>
      </c>
      <c r="I220" s="5">
        <f>IF(OR(INDEX($V$2:$V$1001,MATCH(ROWS($U$2:U220),$U$2:$U$1001,0),1)&gt;=100000,INDEX($AB$1005:$AQ$1005,1,MATCH(COLUMNS($AB$1006:AI1006),$AB$1006:$AQ$1006,0))&gt;=100000), " ",IF(INDEX($AB$2:$AQ$1001,MATCH(ROWS($U$2:U220),$U$2:$U$1001,0),MATCH(COLUMNS($AB$1006:AI1006),$AB$1006:$AQ$1006,0)), HYPERLINK("#",""), HYPERLINK(CONCATENATE("#Metadata!", ADDRESS(INDEX($W$2:$W$1001,MATCH(ROWS($U$2:U220),$U$2:$U$1001,0),0), INDEX($AB$1004:$AQ$1004,1,MATCH(COLUMNS($AB$1006:AI1006),$AB$1006:$AQ$1006,0)))),"Fix")))</f>
        <v>0</v>
      </c>
      <c r="J220" s="5">
        <f>IF(OR(INDEX($V$2:$V$1001,MATCH(ROWS($U$2:U220),$U$2:$U$1001,0),1)&gt;=100000,INDEX($AB$1005:$AQ$1005,1,MATCH(COLUMNS($AB$1006:AJ1006),$AB$1006:$AQ$1006,0))&gt;=100000), " ",IF(INDEX($AB$2:$AQ$1001,MATCH(ROWS($U$2:U220),$U$2:$U$1001,0),MATCH(COLUMNS($AB$1006:AJ1006),$AB$1006:$AQ$1006,0)), HYPERLINK("#",""), HYPERLINK(CONCATENATE("#Metadata!", ADDRESS(INDEX($W$2:$W$1001,MATCH(ROWS($U$2:U220),$U$2:$U$1001,0),0), INDEX($AB$1004:$AQ$1004,1,MATCH(COLUMNS($AB$1006:AJ1006),$AB$1006:$AQ$1006,0)))),"Fix")))</f>
        <v>0</v>
      </c>
      <c r="K220" s="5">
        <f>IF(OR(INDEX($V$2:$V$1001,MATCH(ROWS($U$2:U220),$U$2:$U$1001,0),1)&gt;=100000,INDEX($AB$1005:$AQ$1005,1,MATCH(COLUMNS($AB$1006:AK1006),$AB$1006:$AQ$1006,0))&gt;=100000), " ",IF(INDEX($AB$2:$AQ$1001,MATCH(ROWS($U$2:U220),$U$2:$U$1001,0),MATCH(COLUMNS($AB$1006:AK1006),$AB$1006:$AQ$1006,0)), HYPERLINK("#",""), HYPERLINK(CONCATENATE("#Metadata!", ADDRESS(INDEX($W$2:$W$1001,MATCH(ROWS($U$2:U220),$U$2:$U$1001,0),0), INDEX($AB$1004:$AQ$1004,1,MATCH(COLUMNS($AB$1006:AK1006),$AB$1006:$AQ$1006,0)))),"Fix")))</f>
        <v>0</v>
      </c>
      <c r="L220" s="5">
        <f>IF(OR(INDEX($V$2:$V$1001,MATCH(ROWS($U$2:U220),$U$2:$U$1001,0),1)&gt;=100000,INDEX($AB$1005:$AQ$1005,1,MATCH(COLUMNS($AB$1006:AL1006),$AB$1006:$AQ$1006,0))&gt;=100000), " ",IF(INDEX($AB$2:$AQ$1001,MATCH(ROWS($U$2:U220),$U$2:$U$1001,0),MATCH(COLUMNS($AB$1006:AL1006),$AB$1006:$AQ$1006,0)), HYPERLINK("#",""), HYPERLINK(CONCATENATE("#Metadata!", ADDRESS(INDEX($W$2:$W$1001,MATCH(ROWS($U$2:U220),$U$2:$U$1001,0),0), INDEX($AB$1004:$AQ$1004,1,MATCH(COLUMNS($AB$1006:AL1006),$AB$1006:$AQ$1006,0)))),"Fix")))</f>
        <v>0</v>
      </c>
      <c r="M220" s="5">
        <f>IF(OR(INDEX($V$2:$V$1001,MATCH(ROWS($U$2:U220),$U$2:$U$1001,0),1)&gt;=100000,INDEX($AB$1005:$AQ$1005,1,MATCH(COLUMNS($AB$1006:AM1006),$AB$1006:$AQ$1006,0))&gt;=100000), " ",IF(INDEX($AB$2:$AQ$1001,MATCH(ROWS($U$2:U220),$U$2:$U$1001,0),MATCH(COLUMNS($AB$1006:AM1006),$AB$1006:$AQ$1006,0)), HYPERLINK("#",""), HYPERLINK(CONCATENATE("#Metadata!", ADDRESS(INDEX($W$2:$W$1001,MATCH(ROWS($U$2:U220),$U$2:$U$1001,0),0), INDEX($AB$1004:$AQ$1004,1,MATCH(COLUMNS($AB$1006:AM1006),$AB$1006:$AQ$1006,0)))),"Fix")))</f>
        <v>0</v>
      </c>
      <c r="N220" s="5">
        <f>IF(OR(INDEX($V$2:$V$1001,MATCH(ROWS($U$2:U220),$U$2:$U$1001,0),1)&gt;=100000,INDEX($AB$1005:$AQ$1005,1,MATCH(COLUMNS($AB$1006:AN1006),$AB$1006:$AQ$1006,0))&gt;=100000), " ",IF(INDEX($AB$2:$AQ$1001,MATCH(ROWS($U$2:U220),$U$2:$U$1001,0),MATCH(COLUMNS($AB$1006:AN1006),$AB$1006:$AQ$1006,0)), HYPERLINK("#",""), HYPERLINK(CONCATENATE("#Metadata!", ADDRESS(INDEX($W$2:$W$1001,MATCH(ROWS($U$2:U220),$U$2:$U$1001,0),0), INDEX($AB$1004:$AQ$1004,1,MATCH(COLUMNS($AB$1006:AN1006),$AB$1006:$AQ$1006,0)))),"Fix")))</f>
        <v>0</v>
      </c>
      <c r="O220" s="5">
        <f>IF(OR(INDEX($V$2:$V$1001,MATCH(ROWS($U$2:U220),$U$2:$U$1001,0),1)&gt;=100000,INDEX($AB$1005:$AQ$1005,1,MATCH(COLUMNS($AB$1006:AO1006),$AB$1006:$AQ$1006,0))&gt;=100000), " ",IF(INDEX($AB$2:$AQ$1001,MATCH(ROWS($U$2:U220),$U$2:$U$1001,0),MATCH(COLUMNS($AB$1006:AO1006),$AB$1006:$AQ$1006,0)), HYPERLINK("#",""), HYPERLINK(CONCATENATE("#Metadata!", ADDRESS(INDEX($W$2:$W$1001,MATCH(ROWS($U$2:U220),$U$2:$U$1001,0),0), INDEX($AB$1004:$AQ$1004,1,MATCH(COLUMNS($AB$1006:AO1006),$AB$1006:$AQ$1006,0)))),"Fix")))</f>
        <v>0</v>
      </c>
      <c r="P220" s="5">
        <f>IF(OR(INDEX($V$2:$V$1001,MATCH(ROWS($U$2:U220),$U$2:$U$1001,0),1)&gt;=100000,INDEX($AB$1005:$AQ$1005,1,MATCH(COLUMNS($AB$1006:AP1006),$AB$1006:$AQ$1006,0))&gt;=100000), " ",IF(INDEX($AB$2:$AQ$1001,MATCH(ROWS($U$2:U220),$U$2:$U$1001,0),MATCH(COLUMNS($AB$1006:AP1006),$AB$1006:$AQ$1006,0)), HYPERLINK("#",""), HYPERLINK(CONCATENATE("#Metadata!", ADDRESS(INDEX($W$2:$W$1001,MATCH(ROWS($U$2:U220),$U$2:$U$1001,0),0), INDEX($AB$1004:$AQ$1004,1,MATCH(COLUMNS($AB$1006:AP1006),$AB$1006:$AQ$1006,0)))),"Fix")))</f>
        <v>0</v>
      </c>
      <c r="Q220" s="5">
        <f>IF(OR(INDEX($V$2:$V$1001,MATCH(ROWS($U$2:U220),$U$2:$U$1001,0),1)&gt;=100000,INDEX($AB$1005:$AQ$1005,1,MATCH(COLUMNS($AB$1006:AQ1006),$AB$1006:$AQ$1006,0))&gt;=100000), " ",IF(INDEX($AB$2:$AQ$1001,MATCH(ROWS($U$2:U220),$U$2:$U$1001,0),MATCH(COLUMNS($AB$1006:AQ1006),$AB$1006:$AQ$1006,0)), HYPERLINK("#",""), HYPERLINK(CONCATENATE("#Metadata!", ADDRESS(INDEX($W$2:$W$1001,MATCH(ROWS($U$2:U220),$U$2:$U$1001,0),0), INDEX($AB$1004:$AQ$1004,1,MATCH(COLUMNS($AB$1006:AQ1006),$AB$1006:$AQ$1006,0)))),"Fix")))</f>
        <v>0</v>
      </c>
      <c r="U220">
        <v>0</v>
      </c>
      <c r="V220">
        <v>0</v>
      </c>
      <c r="W220">
        <v>0</v>
      </c>
      <c r="X220">
        <f>IF(Y220,TRUE,AND(AB220:AQ220))</f>
        <v>0</v>
      </c>
      <c r="Y220">
        <f>COUNTBLANK(Metadata!B220:Q220)=COLUMNS(Metadata!B220:Q220)</f>
        <v>0</v>
      </c>
      <c r="Z220">
        <v>0</v>
      </c>
      <c r="AB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AC220">
        <f>AND(IF(Metadata!C220="",FALSE,TRUE),exact(Metadata!C220,"urban biome"))</f>
        <v>0</v>
      </c>
      <c r="AD220">
        <f>AND(IF(Metadata!D220="",FALSE,TRUE),exact(Metadata!D220,"human-associated habitat"))</f>
        <v>0</v>
      </c>
      <c r="AE220">
        <f>AND(IF(Metadata!E220="",FALSE,TRUE),OR(exact(Metadata!E220,"human-associated"),exact(Metadata!E220,"human-skin"),exact(Metadata!E220,"human-oral"),exact(Metadata!E220,"human-gut"),exact(Metadata!E220,"human-vaginal")))</f>
        <v>0</v>
      </c>
      <c r="AF220">
        <f>AND(IF(Metadata!F220="",FALSE,ISNUMBER(VALUE(Metadata!F220))),Metadata!F220&gt;0)</f>
        <v>0</v>
      </c>
      <c r="AG220">
        <f>AND(IF(Metadata!G220="",FALSE,TRUE),exact(Metadata!G220,"years"))</f>
        <v>0</v>
      </c>
      <c r="AH220">
        <f>OR(AND(IF(Metadata!H220="",FALSE,TRUE),OR(exact(Metadata!H220,"not applicable"),exact(Metadata!H220,"not collected"),exact(Metadata!H220,"not provided"),exact(Metadata!H220,"restricted access"))),AND(IF(Metadata!H220="",FALSE,ISNUMBER(VALUE(Metadata!H220))),Metadata!H220&gt;0))</f>
        <v>0</v>
      </c>
      <c r="AI220">
        <f>AND(IF(Metadata!I220="",FALSE,TRUE),exact(Metadata!I220,"human"))</f>
        <v>0</v>
      </c>
      <c r="AJ220">
        <f>AND(IF(Metadata!J220="",FALSE,ISNUMBER(VALUE(Metadata!J220))),Metadata!J220&gt;0)</f>
        <v>0</v>
      </c>
      <c r="AK220">
        <f>AND(IF(Metadata!K220="",FALSE,TRUE),exact(Metadata!K220,"cm"))</f>
        <v>0</v>
      </c>
      <c r="AL220">
        <f>AND(IF(Metadata!L220="",FALSE,TRUE),exact(Metadata!L220,"Homo sapiens"))</f>
        <v>0</v>
      </c>
      <c r="AM220">
        <f>AND(IF(Metadata!M220="",FALSE,TRUE),exact(Metadata!M220,"9606"))</f>
        <v>0</v>
      </c>
      <c r="AN220">
        <f>AND(IF(Metadata!N220="",FALSE,ISNUMBER(VALUE(Metadata!N220))),Metadata!N220&gt;0)</f>
        <v>0</v>
      </c>
      <c r="AO220">
        <f>AND(IF(Metadata!O220="",FALSE,TRUE),exact(Metadata!O220,"kg"))</f>
        <v>0</v>
      </c>
      <c r="AP220">
        <f>OR(AND(IF(Metadata!P220="",FALSE,TRUE),exact(Metadata!P220,"not provided")),IF(Metadata!P220="",FALSE,TRUE))</f>
        <v>0</v>
      </c>
      <c r="AQ220">
        <f>OR(AND(IF(Metadata!Q220="",FALSE,TRUE),exact(Metadata!Q220,"not provided")),IF(Metadata!Q220="",FALSE,TRUE))</f>
        <v>0</v>
      </c>
    </row>
    <row r="221" spans="1:43">
      <c r="A221" s="4">
        <f>IF(B221=" "," ",HYPERLINK(CONCATENATE("#metadata!",ADDRESS(INDEX($W$2:$W$1001,MATCH(ROWS($U$2:U221),$U$2:$U$1001,0),0),2)),INDEX($Z$2:$Z$1001,MATCH(ROWS($U$2:U221),$U$2:$U$1001,0),0)))</f>
        <v>0</v>
      </c>
      <c r="B221" s="5">
        <f>IF(OR(INDEX($V$2:$V$1001,MATCH(ROWS($U$2:U221),$U$2:$U$1001,0),1)&gt;=100000,INDEX($AB$1005:$AQ$1005,1,MATCH(COLUMNS($AB$1006:AB1006),$AB$1006:$AQ$1006,0))&gt;=100000), " ",IF(INDEX($AB$2:$AQ$1001,MATCH(ROWS($U$2:U221),$U$2:$U$1001,0),MATCH(COLUMNS($AB$1006:AB1006),$AB$1006:$AQ$1006,0)), HYPERLINK("#",""), HYPERLINK(CONCATENATE("#Metadata!", ADDRESS(INDEX($W$2:$W$1001,MATCH(ROWS($U$2:U221),$U$2:$U$1001,0),0), INDEX($AB$1004:$AQ$1004,1,MATCH(COLUMNS($AB$1006:AB1006),$AB$1006:$AQ$1006,0)))),"Fix")))</f>
        <v>0</v>
      </c>
      <c r="C221" s="5">
        <f>IF(OR(INDEX($V$2:$V$1001,MATCH(ROWS($U$2:U221),$U$2:$U$1001,0),1)&gt;=100000,INDEX($AB$1005:$AQ$1005,1,MATCH(COLUMNS($AB$1006:AC1006),$AB$1006:$AQ$1006,0))&gt;=100000), " ",IF(INDEX($AB$2:$AQ$1001,MATCH(ROWS($U$2:U221),$U$2:$U$1001,0),MATCH(COLUMNS($AB$1006:AC1006),$AB$1006:$AQ$1006,0)), HYPERLINK("#",""), HYPERLINK(CONCATENATE("#Metadata!", ADDRESS(INDEX($W$2:$W$1001,MATCH(ROWS($U$2:U221),$U$2:$U$1001,0),0), INDEX($AB$1004:$AQ$1004,1,MATCH(COLUMNS($AB$1006:AC1006),$AB$1006:$AQ$1006,0)))),"Fix")))</f>
        <v>0</v>
      </c>
      <c r="D221" s="5">
        <f>IF(OR(INDEX($V$2:$V$1001,MATCH(ROWS($U$2:U221),$U$2:$U$1001,0),1)&gt;=100000,INDEX($AB$1005:$AQ$1005,1,MATCH(COLUMNS($AB$1006:AD1006),$AB$1006:$AQ$1006,0))&gt;=100000), " ",IF(INDEX($AB$2:$AQ$1001,MATCH(ROWS($U$2:U221),$U$2:$U$1001,0),MATCH(COLUMNS($AB$1006:AD1006),$AB$1006:$AQ$1006,0)), HYPERLINK("#",""), HYPERLINK(CONCATENATE("#Metadata!", ADDRESS(INDEX($W$2:$W$1001,MATCH(ROWS($U$2:U221),$U$2:$U$1001,0),0), INDEX($AB$1004:$AQ$1004,1,MATCH(COLUMNS($AB$1006:AD1006),$AB$1006:$AQ$1006,0)))),"Fix")))</f>
        <v>0</v>
      </c>
      <c r="E221" s="5">
        <f>IF(OR(INDEX($V$2:$V$1001,MATCH(ROWS($U$2:U221),$U$2:$U$1001,0),1)&gt;=100000,INDEX($AB$1005:$AQ$1005,1,MATCH(COLUMNS($AB$1006:AE1006),$AB$1006:$AQ$1006,0))&gt;=100000), " ",IF(INDEX($AB$2:$AQ$1001,MATCH(ROWS($U$2:U221),$U$2:$U$1001,0),MATCH(COLUMNS($AB$1006:AE1006),$AB$1006:$AQ$1006,0)), HYPERLINK("#",""), HYPERLINK(CONCATENATE("#Metadata!", ADDRESS(INDEX($W$2:$W$1001,MATCH(ROWS($U$2:U221),$U$2:$U$1001,0),0), INDEX($AB$1004:$AQ$1004,1,MATCH(COLUMNS($AB$1006:AE1006),$AB$1006:$AQ$1006,0)))),"Fix")))</f>
        <v>0</v>
      </c>
      <c r="F221" s="5">
        <f>IF(OR(INDEX($V$2:$V$1001,MATCH(ROWS($U$2:U221),$U$2:$U$1001,0),1)&gt;=100000,INDEX($AB$1005:$AQ$1005,1,MATCH(COLUMNS($AB$1006:AF1006),$AB$1006:$AQ$1006,0))&gt;=100000), " ",IF(INDEX($AB$2:$AQ$1001,MATCH(ROWS($U$2:U221),$U$2:$U$1001,0),MATCH(COLUMNS($AB$1006:AF1006),$AB$1006:$AQ$1006,0)), HYPERLINK("#",""), HYPERLINK(CONCATENATE("#Metadata!", ADDRESS(INDEX($W$2:$W$1001,MATCH(ROWS($U$2:U221),$U$2:$U$1001,0),0), INDEX($AB$1004:$AQ$1004,1,MATCH(COLUMNS($AB$1006:AF1006),$AB$1006:$AQ$1006,0)))),"Fix")))</f>
        <v>0</v>
      </c>
      <c r="G221" s="5">
        <f>IF(OR(INDEX($V$2:$V$1001,MATCH(ROWS($U$2:U221),$U$2:$U$1001,0),1)&gt;=100000,INDEX($AB$1005:$AQ$1005,1,MATCH(COLUMNS($AB$1006:AG1006),$AB$1006:$AQ$1006,0))&gt;=100000), " ",IF(INDEX($AB$2:$AQ$1001,MATCH(ROWS($U$2:U221),$U$2:$U$1001,0),MATCH(COLUMNS($AB$1006:AG1006),$AB$1006:$AQ$1006,0)), HYPERLINK("#",""), HYPERLINK(CONCATENATE("#Metadata!", ADDRESS(INDEX($W$2:$W$1001,MATCH(ROWS($U$2:U221),$U$2:$U$1001,0),0), INDEX($AB$1004:$AQ$1004,1,MATCH(COLUMNS($AB$1006:AG1006),$AB$1006:$AQ$1006,0)))),"Fix")))</f>
        <v>0</v>
      </c>
      <c r="H221" s="5">
        <f>IF(OR(INDEX($V$2:$V$1001,MATCH(ROWS($U$2:U221),$U$2:$U$1001,0),1)&gt;=100000,INDEX($AB$1005:$AQ$1005,1,MATCH(COLUMNS($AB$1006:AH1006),$AB$1006:$AQ$1006,0))&gt;=100000), " ",IF(INDEX($AB$2:$AQ$1001,MATCH(ROWS($U$2:U221),$U$2:$U$1001,0),MATCH(COLUMNS($AB$1006:AH1006),$AB$1006:$AQ$1006,0)), HYPERLINK("#",""), HYPERLINK(CONCATENATE("#Metadata!", ADDRESS(INDEX($W$2:$W$1001,MATCH(ROWS($U$2:U221),$U$2:$U$1001,0),0), INDEX($AB$1004:$AQ$1004,1,MATCH(COLUMNS($AB$1006:AH1006),$AB$1006:$AQ$1006,0)))),"Fix")))</f>
        <v>0</v>
      </c>
      <c r="I221" s="5">
        <f>IF(OR(INDEX($V$2:$V$1001,MATCH(ROWS($U$2:U221),$U$2:$U$1001,0),1)&gt;=100000,INDEX($AB$1005:$AQ$1005,1,MATCH(COLUMNS($AB$1006:AI1006),$AB$1006:$AQ$1006,0))&gt;=100000), " ",IF(INDEX($AB$2:$AQ$1001,MATCH(ROWS($U$2:U221),$U$2:$U$1001,0),MATCH(COLUMNS($AB$1006:AI1006),$AB$1006:$AQ$1006,0)), HYPERLINK("#",""), HYPERLINK(CONCATENATE("#Metadata!", ADDRESS(INDEX($W$2:$W$1001,MATCH(ROWS($U$2:U221),$U$2:$U$1001,0),0), INDEX($AB$1004:$AQ$1004,1,MATCH(COLUMNS($AB$1006:AI1006),$AB$1006:$AQ$1006,0)))),"Fix")))</f>
        <v>0</v>
      </c>
      <c r="J221" s="5">
        <f>IF(OR(INDEX($V$2:$V$1001,MATCH(ROWS($U$2:U221),$U$2:$U$1001,0),1)&gt;=100000,INDEX($AB$1005:$AQ$1005,1,MATCH(COLUMNS($AB$1006:AJ1006),$AB$1006:$AQ$1006,0))&gt;=100000), " ",IF(INDEX($AB$2:$AQ$1001,MATCH(ROWS($U$2:U221),$U$2:$U$1001,0),MATCH(COLUMNS($AB$1006:AJ1006),$AB$1006:$AQ$1006,0)), HYPERLINK("#",""), HYPERLINK(CONCATENATE("#Metadata!", ADDRESS(INDEX($W$2:$W$1001,MATCH(ROWS($U$2:U221),$U$2:$U$1001,0),0), INDEX($AB$1004:$AQ$1004,1,MATCH(COLUMNS($AB$1006:AJ1006),$AB$1006:$AQ$1006,0)))),"Fix")))</f>
        <v>0</v>
      </c>
      <c r="K221" s="5">
        <f>IF(OR(INDEX($V$2:$V$1001,MATCH(ROWS($U$2:U221),$U$2:$U$1001,0),1)&gt;=100000,INDEX($AB$1005:$AQ$1005,1,MATCH(COLUMNS($AB$1006:AK1006),$AB$1006:$AQ$1006,0))&gt;=100000), " ",IF(INDEX($AB$2:$AQ$1001,MATCH(ROWS($U$2:U221),$U$2:$U$1001,0),MATCH(COLUMNS($AB$1006:AK1006),$AB$1006:$AQ$1006,0)), HYPERLINK("#",""), HYPERLINK(CONCATENATE("#Metadata!", ADDRESS(INDEX($W$2:$W$1001,MATCH(ROWS($U$2:U221),$U$2:$U$1001,0),0), INDEX($AB$1004:$AQ$1004,1,MATCH(COLUMNS($AB$1006:AK1006),$AB$1006:$AQ$1006,0)))),"Fix")))</f>
        <v>0</v>
      </c>
      <c r="L221" s="5">
        <f>IF(OR(INDEX($V$2:$V$1001,MATCH(ROWS($U$2:U221),$U$2:$U$1001,0),1)&gt;=100000,INDEX($AB$1005:$AQ$1005,1,MATCH(COLUMNS($AB$1006:AL1006),$AB$1006:$AQ$1006,0))&gt;=100000), " ",IF(INDEX($AB$2:$AQ$1001,MATCH(ROWS($U$2:U221),$U$2:$U$1001,0),MATCH(COLUMNS($AB$1006:AL1006),$AB$1006:$AQ$1006,0)), HYPERLINK("#",""), HYPERLINK(CONCATENATE("#Metadata!", ADDRESS(INDEX($W$2:$W$1001,MATCH(ROWS($U$2:U221),$U$2:$U$1001,0),0), INDEX($AB$1004:$AQ$1004,1,MATCH(COLUMNS($AB$1006:AL1006),$AB$1006:$AQ$1006,0)))),"Fix")))</f>
        <v>0</v>
      </c>
      <c r="M221" s="5">
        <f>IF(OR(INDEX($V$2:$V$1001,MATCH(ROWS($U$2:U221),$U$2:$U$1001,0),1)&gt;=100000,INDEX($AB$1005:$AQ$1005,1,MATCH(COLUMNS($AB$1006:AM1006),$AB$1006:$AQ$1006,0))&gt;=100000), " ",IF(INDEX($AB$2:$AQ$1001,MATCH(ROWS($U$2:U221),$U$2:$U$1001,0),MATCH(COLUMNS($AB$1006:AM1006),$AB$1006:$AQ$1006,0)), HYPERLINK("#",""), HYPERLINK(CONCATENATE("#Metadata!", ADDRESS(INDEX($W$2:$W$1001,MATCH(ROWS($U$2:U221),$U$2:$U$1001,0),0), INDEX($AB$1004:$AQ$1004,1,MATCH(COLUMNS($AB$1006:AM1006),$AB$1006:$AQ$1006,0)))),"Fix")))</f>
        <v>0</v>
      </c>
      <c r="N221" s="5">
        <f>IF(OR(INDEX($V$2:$V$1001,MATCH(ROWS($U$2:U221),$U$2:$U$1001,0),1)&gt;=100000,INDEX($AB$1005:$AQ$1005,1,MATCH(COLUMNS($AB$1006:AN1006),$AB$1006:$AQ$1006,0))&gt;=100000), " ",IF(INDEX($AB$2:$AQ$1001,MATCH(ROWS($U$2:U221),$U$2:$U$1001,0),MATCH(COLUMNS($AB$1006:AN1006),$AB$1006:$AQ$1006,0)), HYPERLINK("#",""), HYPERLINK(CONCATENATE("#Metadata!", ADDRESS(INDEX($W$2:$W$1001,MATCH(ROWS($U$2:U221),$U$2:$U$1001,0),0), INDEX($AB$1004:$AQ$1004,1,MATCH(COLUMNS($AB$1006:AN1006),$AB$1006:$AQ$1006,0)))),"Fix")))</f>
        <v>0</v>
      </c>
      <c r="O221" s="5">
        <f>IF(OR(INDEX($V$2:$V$1001,MATCH(ROWS($U$2:U221),$U$2:$U$1001,0),1)&gt;=100000,INDEX($AB$1005:$AQ$1005,1,MATCH(COLUMNS($AB$1006:AO1006),$AB$1006:$AQ$1006,0))&gt;=100000), " ",IF(INDEX($AB$2:$AQ$1001,MATCH(ROWS($U$2:U221),$U$2:$U$1001,0),MATCH(COLUMNS($AB$1006:AO1006),$AB$1006:$AQ$1006,0)), HYPERLINK("#",""), HYPERLINK(CONCATENATE("#Metadata!", ADDRESS(INDEX($W$2:$W$1001,MATCH(ROWS($U$2:U221),$U$2:$U$1001,0),0), INDEX($AB$1004:$AQ$1004,1,MATCH(COLUMNS($AB$1006:AO1006),$AB$1006:$AQ$1006,0)))),"Fix")))</f>
        <v>0</v>
      </c>
      <c r="P221" s="5">
        <f>IF(OR(INDEX($V$2:$V$1001,MATCH(ROWS($U$2:U221),$U$2:$U$1001,0),1)&gt;=100000,INDEX($AB$1005:$AQ$1005,1,MATCH(COLUMNS($AB$1006:AP1006),$AB$1006:$AQ$1006,0))&gt;=100000), " ",IF(INDEX($AB$2:$AQ$1001,MATCH(ROWS($U$2:U221),$U$2:$U$1001,0),MATCH(COLUMNS($AB$1006:AP1006),$AB$1006:$AQ$1006,0)), HYPERLINK("#",""), HYPERLINK(CONCATENATE("#Metadata!", ADDRESS(INDEX($W$2:$W$1001,MATCH(ROWS($U$2:U221),$U$2:$U$1001,0),0), INDEX($AB$1004:$AQ$1004,1,MATCH(COLUMNS($AB$1006:AP1006),$AB$1006:$AQ$1006,0)))),"Fix")))</f>
        <v>0</v>
      </c>
      <c r="Q221" s="5">
        <f>IF(OR(INDEX($V$2:$V$1001,MATCH(ROWS($U$2:U221),$U$2:$U$1001,0),1)&gt;=100000,INDEX($AB$1005:$AQ$1005,1,MATCH(COLUMNS($AB$1006:AQ1006),$AB$1006:$AQ$1006,0))&gt;=100000), " ",IF(INDEX($AB$2:$AQ$1001,MATCH(ROWS($U$2:U221),$U$2:$U$1001,0),MATCH(COLUMNS($AB$1006:AQ1006),$AB$1006:$AQ$1006,0)), HYPERLINK("#",""), HYPERLINK(CONCATENATE("#Metadata!", ADDRESS(INDEX($W$2:$W$1001,MATCH(ROWS($U$2:U221),$U$2:$U$1001,0),0), INDEX($AB$1004:$AQ$1004,1,MATCH(COLUMNS($AB$1006:AQ1006),$AB$1006:$AQ$1006,0)))),"Fix")))</f>
        <v>0</v>
      </c>
      <c r="U221">
        <v>0</v>
      </c>
      <c r="V221">
        <v>0</v>
      </c>
      <c r="W221">
        <v>0</v>
      </c>
      <c r="X221">
        <f>IF(Y221,TRUE,AND(AB221:AQ221))</f>
        <v>0</v>
      </c>
      <c r="Y221">
        <f>COUNTBLANK(Metadata!B221:Q221)=COLUMNS(Metadata!B221:Q221)</f>
        <v>0</v>
      </c>
      <c r="Z221">
        <v>0</v>
      </c>
      <c r="AB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AC221">
        <f>AND(IF(Metadata!C221="",FALSE,TRUE),exact(Metadata!C221,"urban biome"))</f>
        <v>0</v>
      </c>
      <c r="AD221">
        <f>AND(IF(Metadata!D221="",FALSE,TRUE),exact(Metadata!D221,"human-associated habitat"))</f>
        <v>0</v>
      </c>
      <c r="AE221">
        <f>AND(IF(Metadata!E221="",FALSE,TRUE),OR(exact(Metadata!E221,"human-associated"),exact(Metadata!E221,"human-skin"),exact(Metadata!E221,"human-oral"),exact(Metadata!E221,"human-gut"),exact(Metadata!E221,"human-vaginal")))</f>
        <v>0</v>
      </c>
      <c r="AF221">
        <f>AND(IF(Metadata!F221="",FALSE,ISNUMBER(VALUE(Metadata!F221))),Metadata!F221&gt;0)</f>
        <v>0</v>
      </c>
      <c r="AG221">
        <f>AND(IF(Metadata!G221="",FALSE,TRUE),exact(Metadata!G221,"years"))</f>
        <v>0</v>
      </c>
      <c r="AH221">
        <f>OR(AND(IF(Metadata!H221="",FALSE,TRUE),OR(exact(Metadata!H221,"not applicable"),exact(Metadata!H221,"not collected"),exact(Metadata!H221,"not provided"),exact(Metadata!H221,"restricted access"))),AND(IF(Metadata!H221="",FALSE,ISNUMBER(VALUE(Metadata!H221))),Metadata!H221&gt;0))</f>
        <v>0</v>
      </c>
      <c r="AI221">
        <f>AND(IF(Metadata!I221="",FALSE,TRUE),exact(Metadata!I221,"human"))</f>
        <v>0</v>
      </c>
      <c r="AJ221">
        <f>AND(IF(Metadata!J221="",FALSE,ISNUMBER(VALUE(Metadata!J221))),Metadata!J221&gt;0)</f>
        <v>0</v>
      </c>
      <c r="AK221">
        <f>AND(IF(Metadata!K221="",FALSE,TRUE),exact(Metadata!K221,"cm"))</f>
        <v>0</v>
      </c>
      <c r="AL221">
        <f>AND(IF(Metadata!L221="",FALSE,TRUE),exact(Metadata!L221,"Homo sapiens"))</f>
        <v>0</v>
      </c>
      <c r="AM221">
        <f>AND(IF(Metadata!M221="",FALSE,TRUE),exact(Metadata!M221,"9606"))</f>
        <v>0</v>
      </c>
      <c r="AN221">
        <f>AND(IF(Metadata!N221="",FALSE,ISNUMBER(VALUE(Metadata!N221))),Metadata!N221&gt;0)</f>
        <v>0</v>
      </c>
      <c r="AO221">
        <f>AND(IF(Metadata!O221="",FALSE,TRUE),exact(Metadata!O221,"kg"))</f>
        <v>0</v>
      </c>
      <c r="AP221">
        <f>OR(AND(IF(Metadata!P221="",FALSE,TRUE),exact(Metadata!P221,"not provided")),IF(Metadata!P221="",FALSE,TRUE))</f>
        <v>0</v>
      </c>
      <c r="AQ221">
        <f>OR(AND(IF(Metadata!Q221="",FALSE,TRUE),exact(Metadata!Q221,"not provided")),IF(Metadata!Q221="",FALSE,TRUE))</f>
        <v>0</v>
      </c>
    </row>
    <row r="222" spans="1:43">
      <c r="A222" s="4">
        <f>IF(B222=" "," ",HYPERLINK(CONCATENATE("#metadata!",ADDRESS(INDEX($W$2:$W$1001,MATCH(ROWS($U$2:U222),$U$2:$U$1001,0),0),2)),INDEX($Z$2:$Z$1001,MATCH(ROWS($U$2:U222),$U$2:$U$1001,0),0)))</f>
        <v>0</v>
      </c>
      <c r="B222" s="5">
        <f>IF(OR(INDEX($V$2:$V$1001,MATCH(ROWS($U$2:U222),$U$2:$U$1001,0),1)&gt;=100000,INDEX($AB$1005:$AQ$1005,1,MATCH(COLUMNS($AB$1006:AB1006),$AB$1006:$AQ$1006,0))&gt;=100000), " ",IF(INDEX($AB$2:$AQ$1001,MATCH(ROWS($U$2:U222),$U$2:$U$1001,0),MATCH(COLUMNS($AB$1006:AB1006),$AB$1006:$AQ$1006,0)), HYPERLINK("#",""), HYPERLINK(CONCATENATE("#Metadata!", ADDRESS(INDEX($W$2:$W$1001,MATCH(ROWS($U$2:U222),$U$2:$U$1001,0),0), INDEX($AB$1004:$AQ$1004,1,MATCH(COLUMNS($AB$1006:AB1006),$AB$1006:$AQ$1006,0)))),"Fix")))</f>
        <v>0</v>
      </c>
      <c r="C222" s="5">
        <f>IF(OR(INDEX($V$2:$V$1001,MATCH(ROWS($U$2:U222),$U$2:$U$1001,0),1)&gt;=100000,INDEX($AB$1005:$AQ$1005,1,MATCH(COLUMNS($AB$1006:AC1006),$AB$1006:$AQ$1006,0))&gt;=100000), " ",IF(INDEX($AB$2:$AQ$1001,MATCH(ROWS($U$2:U222),$U$2:$U$1001,0),MATCH(COLUMNS($AB$1006:AC1006),$AB$1006:$AQ$1006,0)), HYPERLINK("#",""), HYPERLINK(CONCATENATE("#Metadata!", ADDRESS(INDEX($W$2:$W$1001,MATCH(ROWS($U$2:U222),$U$2:$U$1001,0),0), INDEX($AB$1004:$AQ$1004,1,MATCH(COLUMNS($AB$1006:AC1006),$AB$1006:$AQ$1006,0)))),"Fix")))</f>
        <v>0</v>
      </c>
      <c r="D222" s="5">
        <f>IF(OR(INDEX($V$2:$V$1001,MATCH(ROWS($U$2:U222),$U$2:$U$1001,0),1)&gt;=100000,INDEX($AB$1005:$AQ$1005,1,MATCH(COLUMNS($AB$1006:AD1006),$AB$1006:$AQ$1006,0))&gt;=100000), " ",IF(INDEX($AB$2:$AQ$1001,MATCH(ROWS($U$2:U222),$U$2:$U$1001,0),MATCH(COLUMNS($AB$1006:AD1006),$AB$1006:$AQ$1006,0)), HYPERLINK("#",""), HYPERLINK(CONCATENATE("#Metadata!", ADDRESS(INDEX($W$2:$W$1001,MATCH(ROWS($U$2:U222),$U$2:$U$1001,0),0), INDEX($AB$1004:$AQ$1004,1,MATCH(COLUMNS($AB$1006:AD1006),$AB$1006:$AQ$1006,0)))),"Fix")))</f>
        <v>0</v>
      </c>
      <c r="E222" s="5">
        <f>IF(OR(INDEX($V$2:$V$1001,MATCH(ROWS($U$2:U222),$U$2:$U$1001,0),1)&gt;=100000,INDEX($AB$1005:$AQ$1005,1,MATCH(COLUMNS($AB$1006:AE1006),$AB$1006:$AQ$1006,0))&gt;=100000), " ",IF(INDEX($AB$2:$AQ$1001,MATCH(ROWS($U$2:U222),$U$2:$U$1001,0),MATCH(COLUMNS($AB$1006:AE1006),$AB$1006:$AQ$1006,0)), HYPERLINK("#",""), HYPERLINK(CONCATENATE("#Metadata!", ADDRESS(INDEX($W$2:$W$1001,MATCH(ROWS($U$2:U222),$U$2:$U$1001,0),0), INDEX($AB$1004:$AQ$1004,1,MATCH(COLUMNS($AB$1006:AE1006),$AB$1006:$AQ$1006,0)))),"Fix")))</f>
        <v>0</v>
      </c>
      <c r="F222" s="5">
        <f>IF(OR(INDEX($V$2:$V$1001,MATCH(ROWS($U$2:U222),$U$2:$U$1001,0),1)&gt;=100000,INDEX($AB$1005:$AQ$1005,1,MATCH(COLUMNS($AB$1006:AF1006),$AB$1006:$AQ$1006,0))&gt;=100000), " ",IF(INDEX($AB$2:$AQ$1001,MATCH(ROWS($U$2:U222),$U$2:$U$1001,0),MATCH(COLUMNS($AB$1006:AF1006),$AB$1006:$AQ$1006,0)), HYPERLINK("#",""), HYPERLINK(CONCATENATE("#Metadata!", ADDRESS(INDEX($W$2:$W$1001,MATCH(ROWS($U$2:U222),$U$2:$U$1001,0),0), INDEX($AB$1004:$AQ$1004,1,MATCH(COLUMNS($AB$1006:AF1006),$AB$1006:$AQ$1006,0)))),"Fix")))</f>
        <v>0</v>
      </c>
      <c r="G222" s="5">
        <f>IF(OR(INDEX($V$2:$V$1001,MATCH(ROWS($U$2:U222),$U$2:$U$1001,0),1)&gt;=100000,INDEX($AB$1005:$AQ$1005,1,MATCH(COLUMNS($AB$1006:AG1006),$AB$1006:$AQ$1006,0))&gt;=100000), " ",IF(INDEX($AB$2:$AQ$1001,MATCH(ROWS($U$2:U222),$U$2:$U$1001,0),MATCH(COLUMNS($AB$1006:AG1006),$AB$1006:$AQ$1006,0)), HYPERLINK("#",""), HYPERLINK(CONCATENATE("#Metadata!", ADDRESS(INDEX($W$2:$W$1001,MATCH(ROWS($U$2:U222),$U$2:$U$1001,0),0), INDEX($AB$1004:$AQ$1004,1,MATCH(COLUMNS($AB$1006:AG1006),$AB$1006:$AQ$1006,0)))),"Fix")))</f>
        <v>0</v>
      </c>
      <c r="H222" s="5">
        <f>IF(OR(INDEX($V$2:$V$1001,MATCH(ROWS($U$2:U222),$U$2:$U$1001,0),1)&gt;=100000,INDEX($AB$1005:$AQ$1005,1,MATCH(COLUMNS($AB$1006:AH1006),$AB$1006:$AQ$1006,0))&gt;=100000), " ",IF(INDEX($AB$2:$AQ$1001,MATCH(ROWS($U$2:U222),$U$2:$U$1001,0),MATCH(COLUMNS($AB$1006:AH1006),$AB$1006:$AQ$1006,0)), HYPERLINK("#",""), HYPERLINK(CONCATENATE("#Metadata!", ADDRESS(INDEX($W$2:$W$1001,MATCH(ROWS($U$2:U222),$U$2:$U$1001,0),0), INDEX($AB$1004:$AQ$1004,1,MATCH(COLUMNS($AB$1006:AH1006),$AB$1006:$AQ$1006,0)))),"Fix")))</f>
        <v>0</v>
      </c>
      <c r="I222" s="5">
        <f>IF(OR(INDEX($V$2:$V$1001,MATCH(ROWS($U$2:U222),$U$2:$U$1001,0),1)&gt;=100000,INDEX($AB$1005:$AQ$1005,1,MATCH(COLUMNS($AB$1006:AI1006),$AB$1006:$AQ$1006,0))&gt;=100000), " ",IF(INDEX($AB$2:$AQ$1001,MATCH(ROWS($U$2:U222),$U$2:$U$1001,0),MATCH(COLUMNS($AB$1006:AI1006),$AB$1006:$AQ$1006,0)), HYPERLINK("#",""), HYPERLINK(CONCATENATE("#Metadata!", ADDRESS(INDEX($W$2:$W$1001,MATCH(ROWS($U$2:U222),$U$2:$U$1001,0),0), INDEX($AB$1004:$AQ$1004,1,MATCH(COLUMNS($AB$1006:AI1006),$AB$1006:$AQ$1006,0)))),"Fix")))</f>
        <v>0</v>
      </c>
      <c r="J222" s="5">
        <f>IF(OR(INDEX($V$2:$V$1001,MATCH(ROWS($U$2:U222),$U$2:$U$1001,0),1)&gt;=100000,INDEX($AB$1005:$AQ$1005,1,MATCH(COLUMNS($AB$1006:AJ1006),$AB$1006:$AQ$1006,0))&gt;=100000), " ",IF(INDEX($AB$2:$AQ$1001,MATCH(ROWS($U$2:U222),$U$2:$U$1001,0),MATCH(COLUMNS($AB$1006:AJ1006),$AB$1006:$AQ$1006,0)), HYPERLINK("#",""), HYPERLINK(CONCATENATE("#Metadata!", ADDRESS(INDEX($W$2:$W$1001,MATCH(ROWS($U$2:U222),$U$2:$U$1001,0),0), INDEX($AB$1004:$AQ$1004,1,MATCH(COLUMNS($AB$1006:AJ1006),$AB$1006:$AQ$1006,0)))),"Fix")))</f>
        <v>0</v>
      </c>
      <c r="K222" s="5">
        <f>IF(OR(INDEX($V$2:$V$1001,MATCH(ROWS($U$2:U222),$U$2:$U$1001,0),1)&gt;=100000,INDEX($AB$1005:$AQ$1005,1,MATCH(COLUMNS($AB$1006:AK1006),$AB$1006:$AQ$1006,0))&gt;=100000), " ",IF(INDEX($AB$2:$AQ$1001,MATCH(ROWS($U$2:U222),$U$2:$U$1001,0),MATCH(COLUMNS($AB$1006:AK1006),$AB$1006:$AQ$1006,0)), HYPERLINK("#",""), HYPERLINK(CONCATENATE("#Metadata!", ADDRESS(INDEX($W$2:$W$1001,MATCH(ROWS($U$2:U222),$U$2:$U$1001,0),0), INDEX($AB$1004:$AQ$1004,1,MATCH(COLUMNS($AB$1006:AK1006),$AB$1006:$AQ$1006,0)))),"Fix")))</f>
        <v>0</v>
      </c>
      <c r="L222" s="5">
        <f>IF(OR(INDEX($V$2:$V$1001,MATCH(ROWS($U$2:U222),$U$2:$U$1001,0),1)&gt;=100000,INDEX($AB$1005:$AQ$1005,1,MATCH(COLUMNS($AB$1006:AL1006),$AB$1006:$AQ$1006,0))&gt;=100000), " ",IF(INDEX($AB$2:$AQ$1001,MATCH(ROWS($U$2:U222),$U$2:$U$1001,0),MATCH(COLUMNS($AB$1006:AL1006),$AB$1006:$AQ$1006,0)), HYPERLINK("#",""), HYPERLINK(CONCATENATE("#Metadata!", ADDRESS(INDEX($W$2:$W$1001,MATCH(ROWS($U$2:U222),$U$2:$U$1001,0),0), INDEX($AB$1004:$AQ$1004,1,MATCH(COLUMNS($AB$1006:AL1006),$AB$1006:$AQ$1006,0)))),"Fix")))</f>
        <v>0</v>
      </c>
      <c r="M222" s="5">
        <f>IF(OR(INDEX($V$2:$V$1001,MATCH(ROWS($U$2:U222),$U$2:$U$1001,0),1)&gt;=100000,INDEX($AB$1005:$AQ$1005,1,MATCH(COLUMNS($AB$1006:AM1006),$AB$1006:$AQ$1006,0))&gt;=100000), " ",IF(INDEX($AB$2:$AQ$1001,MATCH(ROWS($U$2:U222),$U$2:$U$1001,0),MATCH(COLUMNS($AB$1006:AM1006),$AB$1006:$AQ$1006,0)), HYPERLINK("#",""), HYPERLINK(CONCATENATE("#Metadata!", ADDRESS(INDEX($W$2:$W$1001,MATCH(ROWS($U$2:U222),$U$2:$U$1001,0),0), INDEX($AB$1004:$AQ$1004,1,MATCH(COLUMNS($AB$1006:AM1006),$AB$1006:$AQ$1006,0)))),"Fix")))</f>
        <v>0</v>
      </c>
      <c r="N222" s="5">
        <f>IF(OR(INDEX($V$2:$V$1001,MATCH(ROWS($U$2:U222),$U$2:$U$1001,0),1)&gt;=100000,INDEX($AB$1005:$AQ$1005,1,MATCH(COLUMNS($AB$1006:AN1006),$AB$1006:$AQ$1006,0))&gt;=100000), " ",IF(INDEX($AB$2:$AQ$1001,MATCH(ROWS($U$2:U222),$U$2:$U$1001,0),MATCH(COLUMNS($AB$1006:AN1006),$AB$1006:$AQ$1006,0)), HYPERLINK("#",""), HYPERLINK(CONCATENATE("#Metadata!", ADDRESS(INDEX($W$2:$W$1001,MATCH(ROWS($U$2:U222),$U$2:$U$1001,0),0), INDEX($AB$1004:$AQ$1004,1,MATCH(COLUMNS($AB$1006:AN1006),$AB$1006:$AQ$1006,0)))),"Fix")))</f>
        <v>0</v>
      </c>
      <c r="O222" s="5">
        <f>IF(OR(INDEX($V$2:$V$1001,MATCH(ROWS($U$2:U222),$U$2:$U$1001,0),1)&gt;=100000,INDEX($AB$1005:$AQ$1005,1,MATCH(COLUMNS($AB$1006:AO1006),$AB$1006:$AQ$1006,0))&gt;=100000), " ",IF(INDEX($AB$2:$AQ$1001,MATCH(ROWS($U$2:U222),$U$2:$U$1001,0),MATCH(COLUMNS($AB$1006:AO1006),$AB$1006:$AQ$1006,0)), HYPERLINK("#",""), HYPERLINK(CONCATENATE("#Metadata!", ADDRESS(INDEX($W$2:$W$1001,MATCH(ROWS($U$2:U222),$U$2:$U$1001,0),0), INDEX($AB$1004:$AQ$1004,1,MATCH(COLUMNS($AB$1006:AO1006),$AB$1006:$AQ$1006,0)))),"Fix")))</f>
        <v>0</v>
      </c>
      <c r="P222" s="5">
        <f>IF(OR(INDEX($V$2:$V$1001,MATCH(ROWS($U$2:U222),$U$2:$U$1001,0),1)&gt;=100000,INDEX($AB$1005:$AQ$1005,1,MATCH(COLUMNS($AB$1006:AP1006),$AB$1006:$AQ$1006,0))&gt;=100000), " ",IF(INDEX($AB$2:$AQ$1001,MATCH(ROWS($U$2:U222),$U$2:$U$1001,0),MATCH(COLUMNS($AB$1006:AP1006),$AB$1006:$AQ$1006,0)), HYPERLINK("#",""), HYPERLINK(CONCATENATE("#Metadata!", ADDRESS(INDEX($W$2:$W$1001,MATCH(ROWS($U$2:U222),$U$2:$U$1001,0),0), INDEX($AB$1004:$AQ$1004,1,MATCH(COLUMNS($AB$1006:AP1006),$AB$1006:$AQ$1006,0)))),"Fix")))</f>
        <v>0</v>
      </c>
      <c r="Q222" s="5">
        <f>IF(OR(INDEX($V$2:$V$1001,MATCH(ROWS($U$2:U222),$U$2:$U$1001,0),1)&gt;=100000,INDEX($AB$1005:$AQ$1005,1,MATCH(COLUMNS($AB$1006:AQ1006),$AB$1006:$AQ$1006,0))&gt;=100000), " ",IF(INDEX($AB$2:$AQ$1001,MATCH(ROWS($U$2:U222),$U$2:$U$1001,0),MATCH(COLUMNS($AB$1006:AQ1006),$AB$1006:$AQ$1006,0)), HYPERLINK("#",""), HYPERLINK(CONCATENATE("#Metadata!", ADDRESS(INDEX($W$2:$W$1001,MATCH(ROWS($U$2:U222),$U$2:$U$1001,0),0), INDEX($AB$1004:$AQ$1004,1,MATCH(COLUMNS($AB$1006:AQ1006),$AB$1006:$AQ$1006,0)))),"Fix")))</f>
        <v>0</v>
      </c>
      <c r="U222">
        <v>0</v>
      </c>
      <c r="V222">
        <v>0</v>
      </c>
      <c r="W222">
        <v>0</v>
      </c>
      <c r="X222">
        <f>IF(Y222,TRUE,AND(AB222:AQ222))</f>
        <v>0</v>
      </c>
      <c r="Y222">
        <f>COUNTBLANK(Metadata!B222:Q222)=COLUMNS(Metadata!B222:Q222)</f>
        <v>0</v>
      </c>
      <c r="Z222">
        <v>0</v>
      </c>
      <c r="AB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AC222">
        <f>AND(IF(Metadata!C222="",FALSE,TRUE),exact(Metadata!C222,"urban biome"))</f>
        <v>0</v>
      </c>
      <c r="AD222">
        <f>AND(IF(Metadata!D222="",FALSE,TRUE),exact(Metadata!D222,"human-associated habitat"))</f>
        <v>0</v>
      </c>
      <c r="AE222">
        <f>AND(IF(Metadata!E222="",FALSE,TRUE),OR(exact(Metadata!E222,"human-associated"),exact(Metadata!E222,"human-skin"),exact(Metadata!E222,"human-oral"),exact(Metadata!E222,"human-gut"),exact(Metadata!E222,"human-vaginal")))</f>
        <v>0</v>
      </c>
      <c r="AF222">
        <f>AND(IF(Metadata!F222="",FALSE,ISNUMBER(VALUE(Metadata!F222))),Metadata!F222&gt;0)</f>
        <v>0</v>
      </c>
      <c r="AG222">
        <f>AND(IF(Metadata!G222="",FALSE,TRUE),exact(Metadata!G222,"years"))</f>
        <v>0</v>
      </c>
      <c r="AH222">
        <f>OR(AND(IF(Metadata!H222="",FALSE,TRUE),OR(exact(Metadata!H222,"not applicable"),exact(Metadata!H222,"not collected"),exact(Metadata!H222,"not provided"),exact(Metadata!H222,"restricted access"))),AND(IF(Metadata!H222="",FALSE,ISNUMBER(VALUE(Metadata!H222))),Metadata!H222&gt;0))</f>
        <v>0</v>
      </c>
      <c r="AI222">
        <f>AND(IF(Metadata!I222="",FALSE,TRUE),exact(Metadata!I222,"human"))</f>
        <v>0</v>
      </c>
      <c r="AJ222">
        <f>AND(IF(Metadata!J222="",FALSE,ISNUMBER(VALUE(Metadata!J222))),Metadata!J222&gt;0)</f>
        <v>0</v>
      </c>
      <c r="AK222">
        <f>AND(IF(Metadata!K222="",FALSE,TRUE),exact(Metadata!K222,"cm"))</f>
        <v>0</v>
      </c>
      <c r="AL222">
        <f>AND(IF(Metadata!L222="",FALSE,TRUE),exact(Metadata!L222,"Homo sapiens"))</f>
        <v>0</v>
      </c>
      <c r="AM222">
        <f>AND(IF(Metadata!M222="",FALSE,TRUE),exact(Metadata!M222,"9606"))</f>
        <v>0</v>
      </c>
      <c r="AN222">
        <f>AND(IF(Metadata!N222="",FALSE,ISNUMBER(VALUE(Metadata!N222))),Metadata!N222&gt;0)</f>
        <v>0</v>
      </c>
      <c r="AO222">
        <f>AND(IF(Metadata!O222="",FALSE,TRUE),exact(Metadata!O222,"kg"))</f>
        <v>0</v>
      </c>
      <c r="AP222">
        <f>OR(AND(IF(Metadata!P222="",FALSE,TRUE),exact(Metadata!P222,"not provided")),IF(Metadata!P222="",FALSE,TRUE))</f>
        <v>0</v>
      </c>
      <c r="AQ222">
        <f>OR(AND(IF(Metadata!Q222="",FALSE,TRUE),exact(Metadata!Q222,"not provided")),IF(Metadata!Q222="",FALSE,TRUE))</f>
        <v>0</v>
      </c>
    </row>
    <row r="223" spans="1:43">
      <c r="A223" s="4">
        <f>IF(B223=" "," ",HYPERLINK(CONCATENATE("#metadata!",ADDRESS(INDEX($W$2:$W$1001,MATCH(ROWS($U$2:U223),$U$2:$U$1001,0),0),2)),INDEX($Z$2:$Z$1001,MATCH(ROWS($U$2:U223),$U$2:$U$1001,0),0)))</f>
        <v>0</v>
      </c>
      <c r="B223" s="5">
        <f>IF(OR(INDEX($V$2:$V$1001,MATCH(ROWS($U$2:U223),$U$2:$U$1001,0),1)&gt;=100000,INDEX($AB$1005:$AQ$1005,1,MATCH(COLUMNS($AB$1006:AB1006),$AB$1006:$AQ$1006,0))&gt;=100000), " ",IF(INDEX($AB$2:$AQ$1001,MATCH(ROWS($U$2:U223),$U$2:$U$1001,0),MATCH(COLUMNS($AB$1006:AB1006),$AB$1006:$AQ$1006,0)), HYPERLINK("#",""), HYPERLINK(CONCATENATE("#Metadata!", ADDRESS(INDEX($W$2:$W$1001,MATCH(ROWS($U$2:U223),$U$2:$U$1001,0),0), INDEX($AB$1004:$AQ$1004,1,MATCH(COLUMNS($AB$1006:AB1006),$AB$1006:$AQ$1006,0)))),"Fix")))</f>
        <v>0</v>
      </c>
      <c r="C223" s="5">
        <f>IF(OR(INDEX($V$2:$V$1001,MATCH(ROWS($U$2:U223),$U$2:$U$1001,0),1)&gt;=100000,INDEX($AB$1005:$AQ$1005,1,MATCH(COLUMNS($AB$1006:AC1006),$AB$1006:$AQ$1006,0))&gt;=100000), " ",IF(INDEX($AB$2:$AQ$1001,MATCH(ROWS($U$2:U223),$U$2:$U$1001,0),MATCH(COLUMNS($AB$1006:AC1006),$AB$1006:$AQ$1006,0)), HYPERLINK("#",""), HYPERLINK(CONCATENATE("#Metadata!", ADDRESS(INDEX($W$2:$W$1001,MATCH(ROWS($U$2:U223),$U$2:$U$1001,0),0), INDEX($AB$1004:$AQ$1004,1,MATCH(COLUMNS($AB$1006:AC1006),$AB$1006:$AQ$1006,0)))),"Fix")))</f>
        <v>0</v>
      </c>
      <c r="D223" s="5">
        <f>IF(OR(INDEX($V$2:$V$1001,MATCH(ROWS($U$2:U223),$U$2:$U$1001,0),1)&gt;=100000,INDEX($AB$1005:$AQ$1005,1,MATCH(COLUMNS($AB$1006:AD1006),$AB$1006:$AQ$1006,0))&gt;=100000), " ",IF(INDEX($AB$2:$AQ$1001,MATCH(ROWS($U$2:U223),$U$2:$U$1001,0),MATCH(COLUMNS($AB$1006:AD1006),$AB$1006:$AQ$1006,0)), HYPERLINK("#",""), HYPERLINK(CONCATENATE("#Metadata!", ADDRESS(INDEX($W$2:$W$1001,MATCH(ROWS($U$2:U223),$U$2:$U$1001,0),0), INDEX($AB$1004:$AQ$1004,1,MATCH(COLUMNS($AB$1006:AD1006),$AB$1006:$AQ$1006,0)))),"Fix")))</f>
        <v>0</v>
      </c>
      <c r="E223" s="5">
        <f>IF(OR(INDEX($V$2:$V$1001,MATCH(ROWS($U$2:U223),$U$2:$U$1001,0),1)&gt;=100000,INDEX($AB$1005:$AQ$1005,1,MATCH(COLUMNS($AB$1006:AE1006),$AB$1006:$AQ$1006,0))&gt;=100000), " ",IF(INDEX($AB$2:$AQ$1001,MATCH(ROWS($U$2:U223),$U$2:$U$1001,0),MATCH(COLUMNS($AB$1006:AE1006),$AB$1006:$AQ$1006,0)), HYPERLINK("#",""), HYPERLINK(CONCATENATE("#Metadata!", ADDRESS(INDEX($W$2:$W$1001,MATCH(ROWS($U$2:U223),$U$2:$U$1001,0),0), INDEX($AB$1004:$AQ$1004,1,MATCH(COLUMNS($AB$1006:AE1006),$AB$1006:$AQ$1006,0)))),"Fix")))</f>
        <v>0</v>
      </c>
      <c r="F223" s="5">
        <f>IF(OR(INDEX($V$2:$V$1001,MATCH(ROWS($U$2:U223),$U$2:$U$1001,0),1)&gt;=100000,INDEX($AB$1005:$AQ$1005,1,MATCH(COLUMNS($AB$1006:AF1006),$AB$1006:$AQ$1006,0))&gt;=100000), " ",IF(INDEX($AB$2:$AQ$1001,MATCH(ROWS($U$2:U223),$U$2:$U$1001,0),MATCH(COLUMNS($AB$1006:AF1006),$AB$1006:$AQ$1006,0)), HYPERLINK("#",""), HYPERLINK(CONCATENATE("#Metadata!", ADDRESS(INDEX($W$2:$W$1001,MATCH(ROWS($U$2:U223),$U$2:$U$1001,0),0), INDEX($AB$1004:$AQ$1004,1,MATCH(COLUMNS($AB$1006:AF1006),$AB$1006:$AQ$1006,0)))),"Fix")))</f>
        <v>0</v>
      </c>
      <c r="G223" s="5">
        <f>IF(OR(INDEX($V$2:$V$1001,MATCH(ROWS($U$2:U223),$U$2:$U$1001,0),1)&gt;=100000,INDEX($AB$1005:$AQ$1005,1,MATCH(COLUMNS($AB$1006:AG1006),$AB$1006:$AQ$1006,0))&gt;=100000), " ",IF(INDEX($AB$2:$AQ$1001,MATCH(ROWS($U$2:U223),$U$2:$U$1001,0),MATCH(COLUMNS($AB$1006:AG1006),$AB$1006:$AQ$1006,0)), HYPERLINK("#",""), HYPERLINK(CONCATENATE("#Metadata!", ADDRESS(INDEX($W$2:$W$1001,MATCH(ROWS($U$2:U223),$U$2:$U$1001,0),0), INDEX($AB$1004:$AQ$1004,1,MATCH(COLUMNS($AB$1006:AG1006),$AB$1006:$AQ$1006,0)))),"Fix")))</f>
        <v>0</v>
      </c>
      <c r="H223" s="5">
        <f>IF(OR(INDEX($V$2:$V$1001,MATCH(ROWS($U$2:U223),$U$2:$U$1001,0),1)&gt;=100000,INDEX($AB$1005:$AQ$1005,1,MATCH(COLUMNS($AB$1006:AH1006),$AB$1006:$AQ$1006,0))&gt;=100000), " ",IF(INDEX($AB$2:$AQ$1001,MATCH(ROWS($U$2:U223),$U$2:$U$1001,0),MATCH(COLUMNS($AB$1006:AH1006),$AB$1006:$AQ$1006,0)), HYPERLINK("#",""), HYPERLINK(CONCATENATE("#Metadata!", ADDRESS(INDEX($W$2:$W$1001,MATCH(ROWS($U$2:U223),$U$2:$U$1001,0),0), INDEX($AB$1004:$AQ$1004,1,MATCH(COLUMNS($AB$1006:AH1006),$AB$1006:$AQ$1006,0)))),"Fix")))</f>
        <v>0</v>
      </c>
      <c r="I223" s="5">
        <f>IF(OR(INDEX($V$2:$V$1001,MATCH(ROWS($U$2:U223),$U$2:$U$1001,0),1)&gt;=100000,INDEX($AB$1005:$AQ$1005,1,MATCH(COLUMNS($AB$1006:AI1006),$AB$1006:$AQ$1006,0))&gt;=100000), " ",IF(INDEX($AB$2:$AQ$1001,MATCH(ROWS($U$2:U223),$U$2:$U$1001,0),MATCH(COLUMNS($AB$1006:AI1006),$AB$1006:$AQ$1006,0)), HYPERLINK("#",""), HYPERLINK(CONCATENATE("#Metadata!", ADDRESS(INDEX($W$2:$W$1001,MATCH(ROWS($U$2:U223),$U$2:$U$1001,0),0), INDEX($AB$1004:$AQ$1004,1,MATCH(COLUMNS($AB$1006:AI1006),$AB$1006:$AQ$1006,0)))),"Fix")))</f>
        <v>0</v>
      </c>
      <c r="J223" s="5">
        <f>IF(OR(INDEX($V$2:$V$1001,MATCH(ROWS($U$2:U223),$U$2:$U$1001,0),1)&gt;=100000,INDEX($AB$1005:$AQ$1005,1,MATCH(COLUMNS($AB$1006:AJ1006),$AB$1006:$AQ$1006,0))&gt;=100000), " ",IF(INDEX($AB$2:$AQ$1001,MATCH(ROWS($U$2:U223),$U$2:$U$1001,0),MATCH(COLUMNS($AB$1006:AJ1006),$AB$1006:$AQ$1006,0)), HYPERLINK("#",""), HYPERLINK(CONCATENATE("#Metadata!", ADDRESS(INDEX($W$2:$W$1001,MATCH(ROWS($U$2:U223),$U$2:$U$1001,0),0), INDEX($AB$1004:$AQ$1004,1,MATCH(COLUMNS($AB$1006:AJ1006),$AB$1006:$AQ$1006,0)))),"Fix")))</f>
        <v>0</v>
      </c>
      <c r="K223" s="5">
        <f>IF(OR(INDEX($V$2:$V$1001,MATCH(ROWS($U$2:U223),$U$2:$U$1001,0),1)&gt;=100000,INDEX($AB$1005:$AQ$1005,1,MATCH(COLUMNS($AB$1006:AK1006),$AB$1006:$AQ$1006,0))&gt;=100000), " ",IF(INDEX($AB$2:$AQ$1001,MATCH(ROWS($U$2:U223),$U$2:$U$1001,0),MATCH(COLUMNS($AB$1006:AK1006),$AB$1006:$AQ$1006,0)), HYPERLINK("#",""), HYPERLINK(CONCATENATE("#Metadata!", ADDRESS(INDEX($W$2:$W$1001,MATCH(ROWS($U$2:U223),$U$2:$U$1001,0),0), INDEX($AB$1004:$AQ$1004,1,MATCH(COLUMNS($AB$1006:AK1006),$AB$1006:$AQ$1006,0)))),"Fix")))</f>
        <v>0</v>
      </c>
      <c r="L223" s="5">
        <f>IF(OR(INDEX($V$2:$V$1001,MATCH(ROWS($U$2:U223),$U$2:$U$1001,0),1)&gt;=100000,INDEX($AB$1005:$AQ$1005,1,MATCH(COLUMNS($AB$1006:AL1006),$AB$1006:$AQ$1006,0))&gt;=100000), " ",IF(INDEX($AB$2:$AQ$1001,MATCH(ROWS($U$2:U223),$U$2:$U$1001,0),MATCH(COLUMNS($AB$1006:AL1006),$AB$1006:$AQ$1006,0)), HYPERLINK("#",""), HYPERLINK(CONCATENATE("#Metadata!", ADDRESS(INDEX($W$2:$W$1001,MATCH(ROWS($U$2:U223),$U$2:$U$1001,0),0), INDEX($AB$1004:$AQ$1004,1,MATCH(COLUMNS($AB$1006:AL1006),$AB$1006:$AQ$1006,0)))),"Fix")))</f>
        <v>0</v>
      </c>
      <c r="M223" s="5">
        <f>IF(OR(INDEX($V$2:$V$1001,MATCH(ROWS($U$2:U223),$U$2:$U$1001,0),1)&gt;=100000,INDEX($AB$1005:$AQ$1005,1,MATCH(COLUMNS($AB$1006:AM1006),$AB$1006:$AQ$1006,0))&gt;=100000), " ",IF(INDEX($AB$2:$AQ$1001,MATCH(ROWS($U$2:U223),$U$2:$U$1001,0),MATCH(COLUMNS($AB$1006:AM1006),$AB$1006:$AQ$1006,0)), HYPERLINK("#",""), HYPERLINK(CONCATENATE("#Metadata!", ADDRESS(INDEX($W$2:$W$1001,MATCH(ROWS($U$2:U223),$U$2:$U$1001,0),0), INDEX($AB$1004:$AQ$1004,1,MATCH(COLUMNS($AB$1006:AM1006),$AB$1006:$AQ$1006,0)))),"Fix")))</f>
        <v>0</v>
      </c>
      <c r="N223" s="5">
        <f>IF(OR(INDEX($V$2:$V$1001,MATCH(ROWS($U$2:U223),$U$2:$U$1001,0),1)&gt;=100000,INDEX($AB$1005:$AQ$1005,1,MATCH(COLUMNS($AB$1006:AN1006),$AB$1006:$AQ$1006,0))&gt;=100000), " ",IF(INDEX($AB$2:$AQ$1001,MATCH(ROWS($U$2:U223),$U$2:$U$1001,0),MATCH(COLUMNS($AB$1006:AN1006),$AB$1006:$AQ$1006,0)), HYPERLINK("#",""), HYPERLINK(CONCATENATE("#Metadata!", ADDRESS(INDEX($W$2:$W$1001,MATCH(ROWS($U$2:U223),$U$2:$U$1001,0),0), INDEX($AB$1004:$AQ$1004,1,MATCH(COLUMNS($AB$1006:AN1006),$AB$1006:$AQ$1006,0)))),"Fix")))</f>
        <v>0</v>
      </c>
      <c r="O223" s="5">
        <f>IF(OR(INDEX($V$2:$V$1001,MATCH(ROWS($U$2:U223),$U$2:$U$1001,0),1)&gt;=100000,INDEX($AB$1005:$AQ$1005,1,MATCH(COLUMNS($AB$1006:AO1006),$AB$1006:$AQ$1006,0))&gt;=100000), " ",IF(INDEX($AB$2:$AQ$1001,MATCH(ROWS($U$2:U223),$U$2:$U$1001,0),MATCH(COLUMNS($AB$1006:AO1006),$AB$1006:$AQ$1006,0)), HYPERLINK("#",""), HYPERLINK(CONCATENATE("#Metadata!", ADDRESS(INDEX($W$2:$W$1001,MATCH(ROWS($U$2:U223),$U$2:$U$1001,0),0), INDEX($AB$1004:$AQ$1004,1,MATCH(COLUMNS($AB$1006:AO1006),$AB$1006:$AQ$1006,0)))),"Fix")))</f>
        <v>0</v>
      </c>
      <c r="P223" s="5">
        <f>IF(OR(INDEX($V$2:$V$1001,MATCH(ROWS($U$2:U223),$U$2:$U$1001,0),1)&gt;=100000,INDEX($AB$1005:$AQ$1005,1,MATCH(COLUMNS($AB$1006:AP1006),$AB$1006:$AQ$1006,0))&gt;=100000), " ",IF(INDEX($AB$2:$AQ$1001,MATCH(ROWS($U$2:U223),$U$2:$U$1001,0),MATCH(COLUMNS($AB$1006:AP1006),$AB$1006:$AQ$1006,0)), HYPERLINK("#",""), HYPERLINK(CONCATENATE("#Metadata!", ADDRESS(INDEX($W$2:$W$1001,MATCH(ROWS($U$2:U223),$U$2:$U$1001,0),0), INDEX($AB$1004:$AQ$1004,1,MATCH(COLUMNS($AB$1006:AP1006),$AB$1006:$AQ$1006,0)))),"Fix")))</f>
        <v>0</v>
      </c>
      <c r="Q223" s="5">
        <f>IF(OR(INDEX($V$2:$V$1001,MATCH(ROWS($U$2:U223),$U$2:$U$1001,0),1)&gt;=100000,INDEX($AB$1005:$AQ$1005,1,MATCH(COLUMNS($AB$1006:AQ1006),$AB$1006:$AQ$1006,0))&gt;=100000), " ",IF(INDEX($AB$2:$AQ$1001,MATCH(ROWS($U$2:U223),$U$2:$U$1001,0),MATCH(COLUMNS($AB$1006:AQ1006),$AB$1006:$AQ$1006,0)), HYPERLINK("#",""), HYPERLINK(CONCATENATE("#Metadata!", ADDRESS(INDEX($W$2:$W$1001,MATCH(ROWS($U$2:U223),$U$2:$U$1001,0),0), INDEX($AB$1004:$AQ$1004,1,MATCH(COLUMNS($AB$1006:AQ1006),$AB$1006:$AQ$1006,0)))),"Fix")))</f>
        <v>0</v>
      </c>
      <c r="U223">
        <v>0</v>
      </c>
      <c r="V223">
        <v>0</v>
      </c>
      <c r="W223">
        <v>0</v>
      </c>
      <c r="X223">
        <f>IF(Y223,TRUE,AND(AB223:AQ223))</f>
        <v>0</v>
      </c>
      <c r="Y223">
        <f>COUNTBLANK(Metadata!B223:Q223)=COLUMNS(Metadata!B223:Q223)</f>
        <v>0</v>
      </c>
      <c r="Z223">
        <v>0</v>
      </c>
      <c r="AB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AC223">
        <f>AND(IF(Metadata!C223="",FALSE,TRUE),exact(Metadata!C223,"urban biome"))</f>
        <v>0</v>
      </c>
      <c r="AD223">
        <f>AND(IF(Metadata!D223="",FALSE,TRUE),exact(Metadata!D223,"human-associated habitat"))</f>
        <v>0</v>
      </c>
      <c r="AE223">
        <f>AND(IF(Metadata!E223="",FALSE,TRUE),OR(exact(Metadata!E223,"human-associated"),exact(Metadata!E223,"human-skin"),exact(Metadata!E223,"human-oral"),exact(Metadata!E223,"human-gut"),exact(Metadata!E223,"human-vaginal")))</f>
        <v>0</v>
      </c>
      <c r="AF223">
        <f>AND(IF(Metadata!F223="",FALSE,ISNUMBER(VALUE(Metadata!F223))),Metadata!F223&gt;0)</f>
        <v>0</v>
      </c>
      <c r="AG223">
        <f>AND(IF(Metadata!G223="",FALSE,TRUE),exact(Metadata!G223,"years"))</f>
        <v>0</v>
      </c>
      <c r="AH223">
        <f>OR(AND(IF(Metadata!H223="",FALSE,TRUE),OR(exact(Metadata!H223,"not applicable"),exact(Metadata!H223,"not collected"),exact(Metadata!H223,"not provided"),exact(Metadata!H223,"restricted access"))),AND(IF(Metadata!H223="",FALSE,ISNUMBER(VALUE(Metadata!H223))),Metadata!H223&gt;0))</f>
        <v>0</v>
      </c>
      <c r="AI223">
        <f>AND(IF(Metadata!I223="",FALSE,TRUE),exact(Metadata!I223,"human"))</f>
        <v>0</v>
      </c>
      <c r="AJ223">
        <f>AND(IF(Metadata!J223="",FALSE,ISNUMBER(VALUE(Metadata!J223))),Metadata!J223&gt;0)</f>
        <v>0</v>
      </c>
      <c r="AK223">
        <f>AND(IF(Metadata!K223="",FALSE,TRUE),exact(Metadata!K223,"cm"))</f>
        <v>0</v>
      </c>
      <c r="AL223">
        <f>AND(IF(Metadata!L223="",FALSE,TRUE),exact(Metadata!L223,"Homo sapiens"))</f>
        <v>0</v>
      </c>
      <c r="AM223">
        <f>AND(IF(Metadata!M223="",FALSE,TRUE),exact(Metadata!M223,"9606"))</f>
        <v>0</v>
      </c>
      <c r="AN223">
        <f>AND(IF(Metadata!N223="",FALSE,ISNUMBER(VALUE(Metadata!N223))),Metadata!N223&gt;0)</f>
        <v>0</v>
      </c>
      <c r="AO223">
        <f>AND(IF(Metadata!O223="",FALSE,TRUE),exact(Metadata!O223,"kg"))</f>
        <v>0</v>
      </c>
      <c r="AP223">
        <f>OR(AND(IF(Metadata!P223="",FALSE,TRUE),exact(Metadata!P223,"not provided")),IF(Metadata!P223="",FALSE,TRUE))</f>
        <v>0</v>
      </c>
      <c r="AQ223">
        <f>OR(AND(IF(Metadata!Q223="",FALSE,TRUE),exact(Metadata!Q223,"not provided")),IF(Metadata!Q223="",FALSE,TRUE))</f>
        <v>0</v>
      </c>
    </row>
    <row r="224" spans="1:43">
      <c r="A224" s="4">
        <f>IF(B224=" "," ",HYPERLINK(CONCATENATE("#metadata!",ADDRESS(INDEX($W$2:$W$1001,MATCH(ROWS($U$2:U224),$U$2:$U$1001,0),0),2)),INDEX($Z$2:$Z$1001,MATCH(ROWS($U$2:U224),$U$2:$U$1001,0),0)))</f>
        <v>0</v>
      </c>
      <c r="B224" s="5">
        <f>IF(OR(INDEX($V$2:$V$1001,MATCH(ROWS($U$2:U224),$U$2:$U$1001,0),1)&gt;=100000,INDEX($AB$1005:$AQ$1005,1,MATCH(COLUMNS($AB$1006:AB1006),$AB$1006:$AQ$1006,0))&gt;=100000), " ",IF(INDEX($AB$2:$AQ$1001,MATCH(ROWS($U$2:U224),$U$2:$U$1001,0),MATCH(COLUMNS($AB$1006:AB1006),$AB$1006:$AQ$1006,0)), HYPERLINK("#",""), HYPERLINK(CONCATENATE("#Metadata!", ADDRESS(INDEX($W$2:$W$1001,MATCH(ROWS($U$2:U224),$U$2:$U$1001,0),0), INDEX($AB$1004:$AQ$1004,1,MATCH(COLUMNS($AB$1006:AB1006),$AB$1006:$AQ$1006,0)))),"Fix")))</f>
        <v>0</v>
      </c>
      <c r="C224" s="5">
        <f>IF(OR(INDEX($V$2:$V$1001,MATCH(ROWS($U$2:U224),$U$2:$U$1001,0),1)&gt;=100000,INDEX($AB$1005:$AQ$1005,1,MATCH(COLUMNS($AB$1006:AC1006),$AB$1006:$AQ$1006,0))&gt;=100000), " ",IF(INDEX($AB$2:$AQ$1001,MATCH(ROWS($U$2:U224),$U$2:$U$1001,0),MATCH(COLUMNS($AB$1006:AC1006),$AB$1006:$AQ$1006,0)), HYPERLINK("#",""), HYPERLINK(CONCATENATE("#Metadata!", ADDRESS(INDEX($W$2:$W$1001,MATCH(ROWS($U$2:U224),$U$2:$U$1001,0),0), INDEX($AB$1004:$AQ$1004,1,MATCH(COLUMNS($AB$1006:AC1006),$AB$1006:$AQ$1006,0)))),"Fix")))</f>
        <v>0</v>
      </c>
      <c r="D224" s="5">
        <f>IF(OR(INDEX($V$2:$V$1001,MATCH(ROWS($U$2:U224),$U$2:$U$1001,0),1)&gt;=100000,INDEX($AB$1005:$AQ$1005,1,MATCH(COLUMNS($AB$1006:AD1006),$AB$1006:$AQ$1006,0))&gt;=100000), " ",IF(INDEX($AB$2:$AQ$1001,MATCH(ROWS($U$2:U224),$U$2:$U$1001,0),MATCH(COLUMNS($AB$1006:AD1006),$AB$1006:$AQ$1006,0)), HYPERLINK("#",""), HYPERLINK(CONCATENATE("#Metadata!", ADDRESS(INDEX($W$2:$W$1001,MATCH(ROWS($U$2:U224),$U$2:$U$1001,0),0), INDEX($AB$1004:$AQ$1004,1,MATCH(COLUMNS($AB$1006:AD1006),$AB$1006:$AQ$1006,0)))),"Fix")))</f>
        <v>0</v>
      </c>
      <c r="E224" s="5">
        <f>IF(OR(INDEX($V$2:$V$1001,MATCH(ROWS($U$2:U224),$U$2:$U$1001,0),1)&gt;=100000,INDEX($AB$1005:$AQ$1005,1,MATCH(COLUMNS($AB$1006:AE1006),$AB$1006:$AQ$1006,0))&gt;=100000), " ",IF(INDEX($AB$2:$AQ$1001,MATCH(ROWS($U$2:U224),$U$2:$U$1001,0),MATCH(COLUMNS($AB$1006:AE1006),$AB$1006:$AQ$1006,0)), HYPERLINK("#",""), HYPERLINK(CONCATENATE("#Metadata!", ADDRESS(INDEX($W$2:$W$1001,MATCH(ROWS($U$2:U224),$U$2:$U$1001,0),0), INDEX($AB$1004:$AQ$1004,1,MATCH(COLUMNS($AB$1006:AE1006),$AB$1006:$AQ$1006,0)))),"Fix")))</f>
        <v>0</v>
      </c>
      <c r="F224" s="5">
        <f>IF(OR(INDEX($V$2:$V$1001,MATCH(ROWS($U$2:U224),$U$2:$U$1001,0),1)&gt;=100000,INDEX($AB$1005:$AQ$1005,1,MATCH(COLUMNS($AB$1006:AF1006),$AB$1006:$AQ$1006,0))&gt;=100000), " ",IF(INDEX($AB$2:$AQ$1001,MATCH(ROWS($U$2:U224),$U$2:$U$1001,0),MATCH(COLUMNS($AB$1006:AF1006),$AB$1006:$AQ$1006,0)), HYPERLINK("#",""), HYPERLINK(CONCATENATE("#Metadata!", ADDRESS(INDEX($W$2:$W$1001,MATCH(ROWS($U$2:U224),$U$2:$U$1001,0),0), INDEX($AB$1004:$AQ$1004,1,MATCH(COLUMNS($AB$1006:AF1006),$AB$1006:$AQ$1006,0)))),"Fix")))</f>
        <v>0</v>
      </c>
      <c r="G224" s="5">
        <f>IF(OR(INDEX($V$2:$V$1001,MATCH(ROWS($U$2:U224),$U$2:$U$1001,0),1)&gt;=100000,INDEX($AB$1005:$AQ$1005,1,MATCH(COLUMNS($AB$1006:AG1006),$AB$1006:$AQ$1006,0))&gt;=100000), " ",IF(INDEX($AB$2:$AQ$1001,MATCH(ROWS($U$2:U224),$U$2:$U$1001,0),MATCH(COLUMNS($AB$1006:AG1006),$AB$1006:$AQ$1006,0)), HYPERLINK("#",""), HYPERLINK(CONCATENATE("#Metadata!", ADDRESS(INDEX($W$2:$W$1001,MATCH(ROWS($U$2:U224),$U$2:$U$1001,0),0), INDEX($AB$1004:$AQ$1004,1,MATCH(COLUMNS($AB$1006:AG1006),$AB$1006:$AQ$1006,0)))),"Fix")))</f>
        <v>0</v>
      </c>
      <c r="H224" s="5">
        <f>IF(OR(INDEX($V$2:$V$1001,MATCH(ROWS($U$2:U224),$U$2:$U$1001,0),1)&gt;=100000,INDEX($AB$1005:$AQ$1005,1,MATCH(COLUMNS($AB$1006:AH1006),$AB$1006:$AQ$1006,0))&gt;=100000), " ",IF(INDEX($AB$2:$AQ$1001,MATCH(ROWS($U$2:U224),$U$2:$U$1001,0),MATCH(COLUMNS($AB$1006:AH1006),$AB$1006:$AQ$1006,0)), HYPERLINK("#",""), HYPERLINK(CONCATENATE("#Metadata!", ADDRESS(INDEX($W$2:$W$1001,MATCH(ROWS($U$2:U224),$U$2:$U$1001,0),0), INDEX($AB$1004:$AQ$1004,1,MATCH(COLUMNS($AB$1006:AH1006),$AB$1006:$AQ$1006,0)))),"Fix")))</f>
        <v>0</v>
      </c>
      <c r="I224" s="5">
        <f>IF(OR(INDEX($V$2:$V$1001,MATCH(ROWS($U$2:U224),$U$2:$U$1001,0),1)&gt;=100000,INDEX($AB$1005:$AQ$1005,1,MATCH(COLUMNS($AB$1006:AI1006),$AB$1006:$AQ$1006,0))&gt;=100000), " ",IF(INDEX($AB$2:$AQ$1001,MATCH(ROWS($U$2:U224),$U$2:$U$1001,0),MATCH(COLUMNS($AB$1006:AI1006),$AB$1006:$AQ$1006,0)), HYPERLINK("#",""), HYPERLINK(CONCATENATE("#Metadata!", ADDRESS(INDEX($W$2:$W$1001,MATCH(ROWS($U$2:U224),$U$2:$U$1001,0),0), INDEX($AB$1004:$AQ$1004,1,MATCH(COLUMNS($AB$1006:AI1006),$AB$1006:$AQ$1006,0)))),"Fix")))</f>
        <v>0</v>
      </c>
      <c r="J224" s="5">
        <f>IF(OR(INDEX($V$2:$V$1001,MATCH(ROWS($U$2:U224),$U$2:$U$1001,0),1)&gt;=100000,INDEX($AB$1005:$AQ$1005,1,MATCH(COLUMNS($AB$1006:AJ1006),$AB$1006:$AQ$1006,0))&gt;=100000), " ",IF(INDEX($AB$2:$AQ$1001,MATCH(ROWS($U$2:U224),$U$2:$U$1001,0),MATCH(COLUMNS($AB$1006:AJ1006),$AB$1006:$AQ$1006,0)), HYPERLINK("#",""), HYPERLINK(CONCATENATE("#Metadata!", ADDRESS(INDEX($W$2:$W$1001,MATCH(ROWS($U$2:U224),$U$2:$U$1001,0),0), INDEX($AB$1004:$AQ$1004,1,MATCH(COLUMNS($AB$1006:AJ1006),$AB$1006:$AQ$1006,0)))),"Fix")))</f>
        <v>0</v>
      </c>
      <c r="K224" s="5">
        <f>IF(OR(INDEX($V$2:$V$1001,MATCH(ROWS($U$2:U224),$U$2:$U$1001,0),1)&gt;=100000,INDEX($AB$1005:$AQ$1005,1,MATCH(COLUMNS($AB$1006:AK1006),$AB$1006:$AQ$1006,0))&gt;=100000), " ",IF(INDEX($AB$2:$AQ$1001,MATCH(ROWS($U$2:U224),$U$2:$U$1001,0),MATCH(COLUMNS($AB$1006:AK1006),$AB$1006:$AQ$1006,0)), HYPERLINK("#",""), HYPERLINK(CONCATENATE("#Metadata!", ADDRESS(INDEX($W$2:$W$1001,MATCH(ROWS($U$2:U224),$U$2:$U$1001,0),0), INDEX($AB$1004:$AQ$1004,1,MATCH(COLUMNS($AB$1006:AK1006),$AB$1006:$AQ$1006,0)))),"Fix")))</f>
        <v>0</v>
      </c>
      <c r="L224" s="5">
        <f>IF(OR(INDEX($V$2:$V$1001,MATCH(ROWS($U$2:U224),$U$2:$U$1001,0),1)&gt;=100000,INDEX($AB$1005:$AQ$1005,1,MATCH(COLUMNS($AB$1006:AL1006),$AB$1006:$AQ$1006,0))&gt;=100000), " ",IF(INDEX($AB$2:$AQ$1001,MATCH(ROWS($U$2:U224),$U$2:$U$1001,0),MATCH(COLUMNS($AB$1006:AL1006),$AB$1006:$AQ$1006,0)), HYPERLINK("#",""), HYPERLINK(CONCATENATE("#Metadata!", ADDRESS(INDEX($W$2:$W$1001,MATCH(ROWS($U$2:U224),$U$2:$U$1001,0),0), INDEX($AB$1004:$AQ$1004,1,MATCH(COLUMNS($AB$1006:AL1006),$AB$1006:$AQ$1006,0)))),"Fix")))</f>
        <v>0</v>
      </c>
      <c r="M224" s="5">
        <f>IF(OR(INDEX($V$2:$V$1001,MATCH(ROWS($U$2:U224),$U$2:$U$1001,0),1)&gt;=100000,INDEX($AB$1005:$AQ$1005,1,MATCH(COLUMNS($AB$1006:AM1006),$AB$1006:$AQ$1006,0))&gt;=100000), " ",IF(INDEX($AB$2:$AQ$1001,MATCH(ROWS($U$2:U224),$U$2:$U$1001,0),MATCH(COLUMNS($AB$1006:AM1006),$AB$1006:$AQ$1006,0)), HYPERLINK("#",""), HYPERLINK(CONCATENATE("#Metadata!", ADDRESS(INDEX($W$2:$W$1001,MATCH(ROWS($U$2:U224),$U$2:$U$1001,0),0), INDEX($AB$1004:$AQ$1004,1,MATCH(COLUMNS($AB$1006:AM1006),$AB$1006:$AQ$1006,0)))),"Fix")))</f>
        <v>0</v>
      </c>
      <c r="N224" s="5">
        <f>IF(OR(INDEX($V$2:$V$1001,MATCH(ROWS($U$2:U224),$U$2:$U$1001,0),1)&gt;=100000,INDEX($AB$1005:$AQ$1005,1,MATCH(COLUMNS($AB$1006:AN1006),$AB$1006:$AQ$1006,0))&gt;=100000), " ",IF(INDEX($AB$2:$AQ$1001,MATCH(ROWS($U$2:U224),$U$2:$U$1001,0),MATCH(COLUMNS($AB$1006:AN1006),$AB$1006:$AQ$1006,0)), HYPERLINK("#",""), HYPERLINK(CONCATENATE("#Metadata!", ADDRESS(INDEX($W$2:$W$1001,MATCH(ROWS($U$2:U224),$U$2:$U$1001,0),0), INDEX($AB$1004:$AQ$1004,1,MATCH(COLUMNS($AB$1006:AN1006),$AB$1006:$AQ$1006,0)))),"Fix")))</f>
        <v>0</v>
      </c>
      <c r="O224" s="5">
        <f>IF(OR(INDEX($V$2:$V$1001,MATCH(ROWS($U$2:U224),$U$2:$U$1001,0),1)&gt;=100000,INDEX($AB$1005:$AQ$1005,1,MATCH(COLUMNS($AB$1006:AO1006),$AB$1006:$AQ$1006,0))&gt;=100000), " ",IF(INDEX($AB$2:$AQ$1001,MATCH(ROWS($U$2:U224),$U$2:$U$1001,0),MATCH(COLUMNS($AB$1006:AO1006),$AB$1006:$AQ$1006,0)), HYPERLINK("#",""), HYPERLINK(CONCATENATE("#Metadata!", ADDRESS(INDEX($W$2:$W$1001,MATCH(ROWS($U$2:U224),$U$2:$U$1001,0),0), INDEX($AB$1004:$AQ$1004,1,MATCH(COLUMNS($AB$1006:AO1006),$AB$1006:$AQ$1006,0)))),"Fix")))</f>
        <v>0</v>
      </c>
      <c r="P224" s="5">
        <f>IF(OR(INDEX($V$2:$V$1001,MATCH(ROWS($U$2:U224),$U$2:$U$1001,0),1)&gt;=100000,INDEX($AB$1005:$AQ$1005,1,MATCH(COLUMNS($AB$1006:AP1006),$AB$1006:$AQ$1006,0))&gt;=100000), " ",IF(INDEX($AB$2:$AQ$1001,MATCH(ROWS($U$2:U224),$U$2:$U$1001,0),MATCH(COLUMNS($AB$1006:AP1006),$AB$1006:$AQ$1006,0)), HYPERLINK("#",""), HYPERLINK(CONCATENATE("#Metadata!", ADDRESS(INDEX($W$2:$W$1001,MATCH(ROWS($U$2:U224),$U$2:$U$1001,0),0), INDEX($AB$1004:$AQ$1004,1,MATCH(COLUMNS($AB$1006:AP1006),$AB$1006:$AQ$1006,0)))),"Fix")))</f>
        <v>0</v>
      </c>
      <c r="Q224" s="5">
        <f>IF(OR(INDEX($V$2:$V$1001,MATCH(ROWS($U$2:U224),$U$2:$U$1001,0),1)&gt;=100000,INDEX($AB$1005:$AQ$1005,1,MATCH(COLUMNS($AB$1006:AQ1006),$AB$1006:$AQ$1006,0))&gt;=100000), " ",IF(INDEX($AB$2:$AQ$1001,MATCH(ROWS($U$2:U224),$U$2:$U$1001,0),MATCH(COLUMNS($AB$1006:AQ1006),$AB$1006:$AQ$1006,0)), HYPERLINK("#",""), HYPERLINK(CONCATENATE("#Metadata!", ADDRESS(INDEX($W$2:$W$1001,MATCH(ROWS($U$2:U224),$U$2:$U$1001,0),0), INDEX($AB$1004:$AQ$1004,1,MATCH(COLUMNS($AB$1006:AQ1006),$AB$1006:$AQ$1006,0)))),"Fix")))</f>
        <v>0</v>
      </c>
      <c r="U224">
        <v>0</v>
      </c>
      <c r="V224">
        <v>0</v>
      </c>
      <c r="W224">
        <v>0</v>
      </c>
      <c r="X224">
        <f>IF(Y224,TRUE,AND(AB224:AQ224))</f>
        <v>0</v>
      </c>
      <c r="Y224">
        <f>COUNTBLANK(Metadata!B224:Q224)=COLUMNS(Metadata!B224:Q224)</f>
        <v>0</v>
      </c>
      <c r="Z224">
        <v>0</v>
      </c>
      <c r="AB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AC224">
        <f>AND(IF(Metadata!C224="",FALSE,TRUE),exact(Metadata!C224,"urban biome"))</f>
        <v>0</v>
      </c>
      <c r="AD224">
        <f>AND(IF(Metadata!D224="",FALSE,TRUE),exact(Metadata!D224,"human-associated habitat"))</f>
        <v>0</v>
      </c>
      <c r="AE224">
        <f>AND(IF(Metadata!E224="",FALSE,TRUE),OR(exact(Metadata!E224,"human-associated"),exact(Metadata!E224,"human-skin"),exact(Metadata!E224,"human-oral"),exact(Metadata!E224,"human-gut"),exact(Metadata!E224,"human-vaginal")))</f>
        <v>0</v>
      </c>
      <c r="AF224">
        <f>AND(IF(Metadata!F224="",FALSE,ISNUMBER(VALUE(Metadata!F224))),Metadata!F224&gt;0)</f>
        <v>0</v>
      </c>
      <c r="AG224">
        <f>AND(IF(Metadata!G224="",FALSE,TRUE),exact(Metadata!G224,"years"))</f>
        <v>0</v>
      </c>
      <c r="AH224">
        <f>OR(AND(IF(Metadata!H224="",FALSE,TRUE),OR(exact(Metadata!H224,"not applicable"),exact(Metadata!H224,"not collected"),exact(Metadata!H224,"not provided"),exact(Metadata!H224,"restricted access"))),AND(IF(Metadata!H224="",FALSE,ISNUMBER(VALUE(Metadata!H224))),Metadata!H224&gt;0))</f>
        <v>0</v>
      </c>
      <c r="AI224">
        <f>AND(IF(Metadata!I224="",FALSE,TRUE),exact(Metadata!I224,"human"))</f>
        <v>0</v>
      </c>
      <c r="AJ224">
        <f>AND(IF(Metadata!J224="",FALSE,ISNUMBER(VALUE(Metadata!J224))),Metadata!J224&gt;0)</f>
        <v>0</v>
      </c>
      <c r="AK224">
        <f>AND(IF(Metadata!K224="",FALSE,TRUE),exact(Metadata!K224,"cm"))</f>
        <v>0</v>
      </c>
      <c r="AL224">
        <f>AND(IF(Metadata!L224="",FALSE,TRUE),exact(Metadata!L224,"Homo sapiens"))</f>
        <v>0</v>
      </c>
      <c r="AM224">
        <f>AND(IF(Metadata!M224="",FALSE,TRUE),exact(Metadata!M224,"9606"))</f>
        <v>0</v>
      </c>
      <c r="AN224">
        <f>AND(IF(Metadata!N224="",FALSE,ISNUMBER(VALUE(Metadata!N224))),Metadata!N224&gt;0)</f>
        <v>0</v>
      </c>
      <c r="AO224">
        <f>AND(IF(Metadata!O224="",FALSE,TRUE),exact(Metadata!O224,"kg"))</f>
        <v>0</v>
      </c>
      <c r="AP224">
        <f>OR(AND(IF(Metadata!P224="",FALSE,TRUE),exact(Metadata!P224,"not provided")),IF(Metadata!P224="",FALSE,TRUE))</f>
        <v>0</v>
      </c>
      <c r="AQ224">
        <f>OR(AND(IF(Metadata!Q224="",FALSE,TRUE),exact(Metadata!Q224,"not provided")),IF(Metadata!Q224="",FALSE,TRUE))</f>
        <v>0</v>
      </c>
    </row>
    <row r="225" spans="1:43">
      <c r="A225" s="4">
        <f>IF(B225=" "," ",HYPERLINK(CONCATENATE("#metadata!",ADDRESS(INDEX($W$2:$W$1001,MATCH(ROWS($U$2:U225),$U$2:$U$1001,0),0),2)),INDEX($Z$2:$Z$1001,MATCH(ROWS($U$2:U225),$U$2:$U$1001,0),0)))</f>
        <v>0</v>
      </c>
      <c r="B225" s="5">
        <f>IF(OR(INDEX($V$2:$V$1001,MATCH(ROWS($U$2:U225),$U$2:$U$1001,0),1)&gt;=100000,INDEX($AB$1005:$AQ$1005,1,MATCH(COLUMNS($AB$1006:AB1006),$AB$1006:$AQ$1006,0))&gt;=100000), " ",IF(INDEX($AB$2:$AQ$1001,MATCH(ROWS($U$2:U225),$U$2:$U$1001,0),MATCH(COLUMNS($AB$1006:AB1006),$AB$1006:$AQ$1006,0)), HYPERLINK("#",""), HYPERLINK(CONCATENATE("#Metadata!", ADDRESS(INDEX($W$2:$W$1001,MATCH(ROWS($U$2:U225),$U$2:$U$1001,0),0), INDEX($AB$1004:$AQ$1004,1,MATCH(COLUMNS($AB$1006:AB1006),$AB$1006:$AQ$1006,0)))),"Fix")))</f>
        <v>0</v>
      </c>
      <c r="C225" s="5">
        <f>IF(OR(INDEX($V$2:$V$1001,MATCH(ROWS($U$2:U225),$U$2:$U$1001,0),1)&gt;=100000,INDEX($AB$1005:$AQ$1005,1,MATCH(COLUMNS($AB$1006:AC1006),$AB$1006:$AQ$1006,0))&gt;=100000), " ",IF(INDEX($AB$2:$AQ$1001,MATCH(ROWS($U$2:U225),$U$2:$U$1001,0),MATCH(COLUMNS($AB$1006:AC1006),$AB$1006:$AQ$1006,0)), HYPERLINK("#",""), HYPERLINK(CONCATENATE("#Metadata!", ADDRESS(INDEX($W$2:$W$1001,MATCH(ROWS($U$2:U225),$U$2:$U$1001,0),0), INDEX($AB$1004:$AQ$1004,1,MATCH(COLUMNS($AB$1006:AC1006),$AB$1006:$AQ$1006,0)))),"Fix")))</f>
        <v>0</v>
      </c>
      <c r="D225" s="5">
        <f>IF(OR(INDEX($V$2:$V$1001,MATCH(ROWS($U$2:U225),$U$2:$U$1001,0),1)&gt;=100000,INDEX($AB$1005:$AQ$1005,1,MATCH(COLUMNS($AB$1006:AD1006),$AB$1006:$AQ$1006,0))&gt;=100000), " ",IF(INDEX($AB$2:$AQ$1001,MATCH(ROWS($U$2:U225),$U$2:$U$1001,0),MATCH(COLUMNS($AB$1006:AD1006),$AB$1006:$AQ$1006,0)), HYPERLINK("#",""), HYPERLINK(CONCATENATE("#Metadata!", ADDRESS(INDEX($W$2:$W$1001,MATCH(ROWS($U$2:U225),$U$2:$U$1001,0),0), INDEX($AB$1004:$AQ$1004,1,MATCH(COLUMNS($AB$1006:AD1006),$AB$1006:$AQ$1006,0)))),"Fix")))</f>
        <v>0</v>
      </c>
      <c r="E225" s="5">
        <f>IF(OR(INDEX($V$2:$V$1001,MATCH(ROWS($U$2:U225),$U$2:$U$1001,0),1)&gt;=100000,INDEX($AB$1005:$AQ$1005,1,MATCH(COLUMNS($AB$1006:AE1006),$AB$1006:$AQ$1006,0))&gt;=100000), " ",IF(INDEX($AB$2:$AQ$1001,MATCH(ROWS($U$2:U225),$U$2:$U$1001,0),MATCH(COLUMNS($AB$1006:AE1006),$AB$1006:$AQ$1006,0)), HYPERLINK("#",""), HYPERLINK(CONCATENATE("#Metadata!", ADDRESS(INDEX($W$2:$W$1001,MATCH(ROWS($U$2:U225),$U$2:$U$1001,0),0), INDEX($AB$1004:$AQ$1004,1,MATCH(COLUMNS($AB$1006:AE1006),$AB$1006:$AQ$1006,0)))),"Fix")))</f>
        <v>0</v>
      </c>
      <c r="F225" s="5">
        <f>IF(OR(INDEX($V$2:$V$1001,MATCH(ROWS($U$2:U225),$U$2:$U$1001,0),1)&gt;=100000,INDEX($AB$1005:$AQ$1005,1,MATCH(COLUMNS($AB$1006:AF1006),$AB$1006:$AQ$1006,0))&gt;=100000), " ",IF(INDEX($AB$2:$AQ$1001,MATCH(ROWS($U$2:U225),$U$2:$U$1001,0),MATCH(COLUMNS($AB$1006:AF1006),$AB$1006:$AQ$1006,0)), HYPERLINK("#",""), HYPERLINK(CONCATENATE("#Metadata!", ADDRESS(INDEX($W$2:$W$1001,MATCH(ROWS($U$2:U225),$U$2:$U$1001,0),0), INDEX($AB$1004:$AQ$1004,1,MATCH(COLUMNS($AB$1006:AF1006),$AB$1006:$AQ$1006,0)))),"Fix")))</f>
        <v>0</v>
      </c>
      <c r="G225" s="5">
        <f>IF(OR(INDEX($V$2:$V$1001,MATCH(ROWS($U$2:U225),$U$2:$U$1001,0),1)&gt;=100000,INDEX($AB$1005:$AQ$1005,1,MATCH(COLUMNS($AB$1006:AG1006),$AB$1006:$AQ$1006,0))&gt;=100000), " ",IF(INDEX($AB$2:$AQ$1001,MATCH(ROWS($U$2:U225),$U$2:$U$1001,0),MATCH(COLUMNS($AB$1006:AG1006),$AB$1006:$AQ$1006,0)), HYPERLINK("#",""), HYPERLINK(CONCATENATE("#Metadata!", ADDRESS(INDEX($W$2:$W$1001,MATCH(ROWS($U$2:U225),$U$2:$U$1001,0),0), INDEX($AB$1004:$AQ$1004,1,MATCH(COLUMNS($AB$1006:AG1006),$AB$1006:$AQ$1006,0)))),"Fix")))</f>
        <v>0</v>
      </c>
      <c r="H225" s="5">
        <f>IF(OR(INDEX($V$2:$V$1001,MATCH(ROWS($U$2:U225),$U$2:$U$1001,0),1)&gt;=100000,INDEX($AB$1005:$AQ$1005,1,MATCH(COLUMNS($AB$1006:AH1006),$AB$1006:$AQ$1006,0))&gt;=100000), " ",IF(INDEX($AB$2:$AQ$1001,MATCH(ROWS($U$2:U225),$U$2:$U$1001,0),MATCH(COLUMNS($AB$1006:AH1006),$AB$1006:$AQ$1006,0)), HYPERLINK("#",""), HYPERLINK(CONCATENATE("#Metadata!", ADDRESS(INDEX($W$2:$W$1001,MATCH(ROWS($U$2:U225),$U$2:$U$1001,0),0), INDEX($AB$1004:$AQ$1004,1,MATCH(COLUMNS($AB$1006:AH1006),$AB$1006:$AQ$1006,0)))),"Fix")))</f>
        <v>0</v>
      </c>
      <c r="I225" s="5">
        <f>IF(OR(INDEX($V$2:$V$1001,MATCH(ROWS($U$2:U225),$U$2:$U$1001,0),1)&gt;=100000,INDEX($AB$1005:$AQ$1005,1,MATCH(COLUMNS($AB$1006:AI1006),$AB$1006:$AQ$1006,0))&gt;=100000), " ",IF(INDEX($AB$2:$AQ$1001,MATCH(ROWS($U$2:U225),$U$2:$U$1001,0),MATCH(COLUMNS($AB$1006:AI1006),$AB$1006:$AQ$1006,0)), HYPERLINK("#",""), HYPERLINK(CONCATENATE("#Metadata!", ADDRESS(INDEX($W$2:$W$1001,MATCH(ROWS($U$2:U225),$U$2:$U$1001,0),0), INDEX($AB$1004:$AQ$1004,1,MATCH(COLUMNS($AB$1006:AI1006),$AB$1006:$AQ$1006,0)))),"Fix")))</f>
        <v>0</v>
      </c>
      <c r="J225" s="5">
        <f>IF(OR(INDEX($V$2:$V$1001,MATCH(ROWS($U$2:U225),$U$2:$U$1001,0),1)&gt;=100000,INDEX($AB$1005:$AQ$1005,1,MATCH(COLUMNS($AB$1006:AJ1006),$AB$1006:$AQ$1006,0))&gt;=100000), " ",IF(INDEX($AB$2:$AQ$1001,MATCH(ROWS($U$2:U225),$U$2:$U$1001,0),MATCH(COLUMNS($AB$1006:AJ1006),$AB$1006:$AQ$1006,0)), HYPERLINK("#",""), HYPERLINK(CONCATENATE("#Metadata!", ADDRESS(INDEX($W$2:$W$1001,MATCH(ROWS($U$2:U225),$U$2:$U$1001,0),0), INDEX($AB$1004:$AQ$1004,1,MATCH(COLUMNS($AB$1006:AJ1006),$AB$1006:$AQ$1006,0)))),"Fix")))</f>
        <v>0</v>
      </c>
      <c r="K225" s="5">
        <f>IF(OR(INDEX($V$2:$V$1001,MATCH(ROWS($U$2:U225),$U$2:$U$1001,0),1)&gt;=100000,INDEX($AB$1005:$AQ$1005,1,MATCH(COLUMNS($AB$1006:AK1006),$AB$1006:$AQ$1006,0))&gt;=100000), " ",IF(INDEX($AB$2:$AQ$1001,MATCH(ROWS($U$2:U225),$U$2:$U$1001,0),MATCH(COLUMNS($AB$1006:AK1006),$AB$1006:$AQ$1006,0)), HYPERLINK("#",""), HYPERLINK(CONCATENATE("#Metadata!", ADDRESS(INDEX($W$2:$W$1001,MATCH(ROWS($U$2:U225),$U$2:$U$1001,0),0), INDEX($AB$1004:$AQ$1004,1,MATCH(COLUMNS($AB$1006:AK1006),$AB$1006:$AQ$1006,0)))),"Fix")))</f>
        <v>0</v>
      </c>
      <c r="L225" s="5">
        <f>IF(OR(INDEX($V$2:$V$1001,MATCH(ROWS($U$2:U225),$U$2:$U$1001,0),1)&gt;=100000,INDEX($AB$1005:$AQ$1005,1,MATCH(COLUMNS($AB$1006:AL1006),$AB$1006:$AQ$1006,0))&gt;=100000), " ",IF(INDEX($AB$2:$AQ$1001,MATCH(ROWS($U$2:U225),$U$2:$U$1001,0),MATCH(COLUMNS($AB$1006:AL1006),$AB$1006:$AQ$1006,0)), HYPERLINK("#",""), HYPERLINK(CONCATENATE("#Metadata!", ADDRESS(INDEX($W$2:$W$1001,MATCH(ROWS($U$2:U225),$U$2:$U$1001,0),0), INDEX($AB$1004:$AQ$1004,1,MATCH(COLUMNS($AB$1006:AL1006),$AB$1006:$AQ$1006,0)))),"Fix")))</f>
        <v>0</v>
      </c>
      <c r="M225" s="5">
        <f>IF(OR(INDEX($V$2:$V$1001,MATCH(ROWS($U$2:U225),$U$2:$U$1001,0),1)&gt;=100000,INDEX($AB$1005:$AQ$1005,1,MATCH(COLUMNS($AB$1006:AM1006),$AB$1006:$AQ$1006,0))&gt;=100000), " ",IF(INDEX($AB$2:$AQ$1001,MATCH(ROWS($U$2:U225),$U$2:$U$1001,0),MATCH(COLUMNS($AB$1006:AM1006),$AB$1006:$AQ$1006,0)), HYPERLINK("#",""), HYPERLINK(CONCATENATE("#Metadata!", ADDRESS(INDEX($W$2:$W$1001,MATCH(ROWS($U$2:U225),$U$2:$U$1001,0),0), INDEX($AB$1004:$AQ$1004,1,MATCH(COLUMNS($AB$1006:AM1006),$AB$1006:$AQ$1006,0)))),"Fix")))</f>
        <v>0</v>
      </c>
      <c r="N225" s="5">
        <f>IF(OR(INDEX($V$2:$V$1001,MATCH(ROWS($U$2:U225),$U$2:$U$1001,0),1)&gt;=100000,INDEX($AB$1005:$AQ$1005,1,MATCH(COLUMNS($AB$1006:AN1006),$AB$1006:$AQ$1006,0))&gt;=100000), " ",IF(INDEX($AB$2:$AQ$1001,MATCH(ROWS($U$2:U225),$U$2:$U$1001,0),MATCH(COLUMNS($AB$1006:AN1006),$AB$1006:$AQ$1006,0)), HYPERLINK("#",""), HYPERLINK(CONCATENATE("#Metadata!", ADDRESS(INDEX($W$2:$W$1001,MATCH(ROWS($U$2:U225),$U$2:$U$1001,0),0), INDEX($AB$1004:$AQ$1004,1,MATCH(COLUMNS($AB$1006:AN1006),$AB$1006:$AQ$1006,0)))),"Fix")))</f>
        <v>0</v>
      </c>
      <c r="O225" s="5">
        <f>IF(OR(INDEX($V$2:$V$1001,MATCH(ROWS($U$2:U225),$U$2:$U$1001,0),1)&gt;=100000,INDEX($AB$1005:$AQ$1005,1,MATCH(COLUMNS($AB$1006:AO1006),$AB$1006:$AQ$1006,0))&gt;=100000), " ",IF(INDEX($AB$2:$AQ$1001,MATCH(ROWS($U$2:U225),$U$2:$U$1001,0),MATCH(COLUMNS($AB$1006:AO1006),$AB$1006:$AQ$1006,0)), HYPERLINK("#",""), HYPERLINK(CONCATENATE("#Metadata!", ADDRESS(INDEX($W$2:$W$1001,MATCH(ROWS($U$2:U225),$U$2:$U$1001,0),0), INDEX($AB$1004:$AQ$1004,1,MATCH(COLUMNS($AB$1006:AO1006),$AB$1006:$AQ$1006,0)))),"Fix")))</f>
        <v>0</v>
      </c>
      <c r="P225" s="5">
        <f>IF(OR(INDEX($V$2:$V$1001,MATCH(ROWS($U$2:U225),$U$2:$U$1001,0),1)&gt;=100000,INDEX($AB$1005:$AQ$1005,1,MATCH(COLUMNS($AB$1006:AP1006),$AB$1006:$AQ$1006,0))&gt;=100000), " ",IF(INDEX($AB$2:$AQ$1001,MATCH(ROWS($U$2:U225),$U$2:$U$1001,0),MATCH(COLUMNS($AB$1006:AP1006),$AB$1006:$AQ$1006,0)), HYPERLINK("#",""), HYPERLINK(CONCATENATE("#Metadata!", ADDRESS(INDEX($W$2:$W$1001,MATCH(ROWS($U$2:U225),$U$2:$U$1001,0),0), INDEX($AB$1004:$AQ$1004,1,MATCH(COLUMNS($AB$1006:AP1006),$AB$1006:$AQ$1006,0)))),"Fix")))</f>
        <v>0</v>
      </c>
      <c r="Q225" s="5">
        <f>IF(OR(INDEX($V$2:$V$1001,MATCH(ROWS($U$2:U225),$U$2:$U$1001,0),1)&gt;=100000,INDEX($AB$1005:$AQ$1005,1,MATCH(COLUMNS($AB$1006:AQ1006),$AB$1006:$AQ$1006,0))&gt;=100000), " ",IF(INDEX($AB$2:$AQ$1001,MATCH(ROWS($U$2:U225),$U$2:$U$1001,0),MATCH(COLUMNS($AB$1006:AQ1006),$AB$1006:$AQ$1006,0)), HYPERLINK("#",""), HYPERLINK(CONCATENATE("#Metadata!", ADDRESS(INDEX($W$2:$W$1001,MATCH(ROWS($U$2:U225),$U$2:$U$1001,0),0), INDEX($AB$1004:$AQ$1004,1,MATCH(COLUMNS($AB$1006:AQ1006),$AB$1006:$AQ$1006,0)))),"Fix")))</f>
        <v>0</v>
      </c>
      <c r="U225">
        <v>0</v>
      </c>
      <c r="V225">
        <v>0</v>
      </c>
      <c r="W225">
        <v>0</v>
      </c>
      <c r="X225">
        <f>IF(Y225,TRUE,AND(AB225:AQ225))</f>
        <v>0</v>
      </c>
      <c r="Y225">
        <f>COUNTBLANK(Metadata!B225:Q225)=COLUMNS(Metadata!B225:Q225)</f>
        <v>0</v>
      </c>
      <c r="Z225">
        <v>0</v>
      </c>
      <c r="AB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AC225">
        <f>AND(IF(Metadata!C225="",FALSE,TRUE),exact(Metadata!C225,"urban biome"))</f>
        <v>0</v>
      </c>
      <c r="AD225">
        <f>AND(IF(Metadata!D225="",FALSE,TRUE),exact(Metadata!D225,"human-associated habitat"))</f>
        <v>0</v>
      </c>
      <c r="AE225">
        <f>AND(IF(Metadata!E225="",FALSE,TRUE),OR(exact(Metadata!E225,"human-associated"),exact(Metadata!E225,"human-skin"),exact(Metadata!E225,"human-oral"),exact(Metadata!E225,"human-gut"),exact(Metadata!E225,"human-vaginal")))</f>
        <v>0</v>
      </c>
      <c r="AF225">
        <f>AND(IF(Metadata!F225="",FALSE,ISNUMBER(VALUE(Metadata!F225))),Metadata!F225&gt;0)</f>
        <v>0</v>
      </c>
      <c r="AG225">
        <f>AND(IF(Metadata!G225="",FALSE,TRUE),exact(Metadata!G225,"years"))</f>
        <v>0</v>
      </c>
      <c r="AH225">
        <f>OR(AND(IF(Metadata!H225="",FALSE,TRUE),OR(exact(Metadata!H225,"not applicable"),exact(Metadata!H225,"not collected"),exact(Metadata!H225,"not provided"),exact(Metadata!H225,"restricted access"))),AND(IF(Metadata!H225="",FALSE,ISNUMBER(VALUE(Metadata!H225))),Metadata!H225&gt;0))</f>
        <v>0</v>
      </c>
      <c r="AI225">
        <f>AND(IF(Metadata!I225="",FALSE,TRUE),exact(Metadata!I225,"human"))</f>
        <v>0</v>
      </c>
      <c r="AJ225">
        <f>AND(IF(Metadata!J225="",FALSE,ISNUMBER(VALUE(Metadata!J225))),Metadata!J225&gt;0)</f>
        <v>0</v>
      </c>
      <c r="AK225">
        <f>AND(IF(Metadata!K225="",FALSE,TRUE),exact(Metadata!K225,"cm"))</f>
        <v>0</v>
      </c>
      <c r="AL225">
        <f>AND(IF(Metadata!L225="",FALSE,TRUE),exact(Metadata!L225,"Homo sapiens"))</f>
        <v>0</v>
      </c>
      <c r="AM225">
        <f>AND(IF(Metadata!M225="",FALSE,TRUE),exact(Metadata!M225,"9606"))</f>
        <v>0</v>
      </c>
      <c r="AN225">
        <f>AND(IF(Metadata!N225="",FALSE,ISNUMBER(VALUE(Metadata!N225))),Metadata!N225&gt;0)</f>
        <v>0</v>
      </c>
      <c r="AO225">
        <f>AND(IF(Metadata!O225="",FALSE,TRUE),exact(Metadata!O225,"kg"))</f>
        <v>0</v>
      </c>
      <c r="AP225">
        <f>OR(AND(IF(Metadata!P225="",FALSE,TRUE),exact(Metadata!P225,"not provided")),IF(Metadata!P225="",FALSE,TRUE))</f>
        <v>0</v>
      </c>
      <c r="AQ225">
        <f>OR(AND(IF(Metadata!Q225="",FALSE,TRUE),exact(Metadata!Q225,"not provided")),IF(Metadata!Q225="",FALSE,TRUE))</f>
        <v>0</v>
      </c>
    </row>
    <row r="226" spans="1:43">
      <c r="A226" s="4">
        <f>IF(B226=" "," ",HYPERLINK(CONCATENATE("#metadata!",ADDRESS(INDEX($W$2:$W$1001,MATCH(ROWS($U$2:U226),$U$2:$U$1001,0),0),2)),INDEX($Z$2:$Z$1001,MATCH(ROWS($U$2:U226),$U$2:$U$1001,0),0)))</f>
        <v>0</v>
      </c>
      <c r="B226" s="5">
        <f>IF(OR(INDEX($V$2:$V$1001,MATCH(ROWS($U$2:U226),$U$2:$U$1001,0),1)&gt;=100000,INDEX($AB$1005:$AQ$1005,1,MATCH(COLUMNS($AB$1006:AB1006),$AB$1006:$AQ$1006,0))&gt;=100000), " ",IF(INDEX($AB$2:$AQ$1001,MATCH(ROWS($U$2:U226),$U$2:$U$1001,0),MATCH(COLUMNS($AB$1006:AB1006),$AB$1006:$AQ$1006,0)), HYPERLINK("#",""), HYPERLINK(CONCATENATE("#Metadata!", ADDRESS(INDEX($W$2:$W$1001,MATCH(ROWS($U$2:U226),$U$2:$U$1001,0),0), INDEX($AB$1004:$AQ$1004,1,MATCH(COLUMNS($AB$1006:AB1006),$AB$1006:$AQ$1006,0)))),"Fix")))</f>
        <v>0</v>
      </c>
      <c r="C226" s="5">
        <f>IF(OR(INDEX($V$2:$V$1001,MATCH(ROWS($U$2:U226),$U$2:$U$1001,0),1)&gt;=100000,INDEX($AB$1005:$AQ$1005,1,MATCH(COLUMNS($AB$1006:AC1006),$AB$1006:$AQ$1006,0))&gt;=100000), " ",IF(INDEX($AB$2:$AQ$1001,MATCH(ROWS($U$2:U226),$U$2:$U$1001,0),MATCH(COLUMNS($AB$1006:AC1006),$AB$1006:$AQ$1006,0)), HYPERLINK("#",""), HYPERLINK(CONCATENATE("#Metadata!", ADDRESS(INDEX($W$2:$W$1001,MATCH(ROWS($U$2:U226),$U$2:$U$1001,0),0), INDEX($AB$1004:$AQ$1004,1,MATCH(COLUMNS($AB$1006:AC1006),$AB$1006:$AQ$1006,0)))),"Fix")))</f>
        <v>0</v>
      </c>
      <c r="D226" s="5">
        <f>IF(OR(INDEX($V$2:$V$1001,MATCH(ROWS($U$2:U226),$U$2:$U$1001,0),1)&gt;=100000,INDEX($AB$1005:$AQ$1005,1,MATCH(COLUMNS($AB$1006:AD1006),$AB$1006:$AQ$1006,0))&gt;=100000), " ",IF(INDEX($AB$2:$AQ$1001,MATCH(ROWS($U$2:U226),$U$2:$U$1001,0),MATCH(COLUMNS($AB$1006:AD1006),$AB$1006:$AQ$1006,0)), HYPERLINK("#",""), HYPERLINK(CONCATENATE("#Metadata!", ADDRESS(INDEX($W$2:$W$1001,MATCH(ROWS($U$2:U226),$U$2:$U$1001,0),0), INDEX($AB$1004:$AQ$1004,1,MATCH(COLUMNS($AB$1006:AD1006),$AB$1006:$AQ$1006,0)))),"Fix")))</f>
        <v>0</v>
      </c>
      <c r="E226" s="5">
        <f>IF(OR(INDEX($V$2:$V$1001,MATCH(ROWS($U$2:U226),$U$2:$U$1001,0),1)&gt;=100000,INDEX($AB$1005:$AQ$1005,1,MATCH(COLUMNS($AB$1006:AE1006),$AB$1006:$AQ$1006,0))&gt;=100000), " ",IF(INDEX($AB$2:$AQ$1001,MATCH(ROWS($U$2:U226),$U$2:$U$1001,0),MATCH(COLUMNS($AB$1006:AE1006),$AB$1006:$AQ$1006,0)), HYPERLINK("#",""), HYPERLINK(CONCATENATE("#Metadata!", ADDRESS(INDEX($W$2:$W$1001,MATCH(ROWS($U$2:U226),$U$2:$U$1001,0),0), INDEX($AB$1004:$AQ$1004,1,MATCH(COLUMNS($AB$1006:AE1006),$AB$1006:$AQ$1006,0)))),"Fix")))</f>
        <v>0</v>
      </c>
      <c r="F226" s="5">
        <f>IF(OR(INDEX($V$2:$V$1001,MATCH(ROWS($U$2:U226),$U$2:$U$1001,0),1)&gt;=100000,INDEX($AB$1005:$AQ$1005,1,MATCH(COLUMNS($AB$1006:AF1006),$AB$1006:$AQ$1006,0))&gt;=100000), " ",IF(INDEX($AB$2:$AQ$1001,MATCH(ROWS($U$2:U226),$U$2:$U$1001,0),MATCH(COLUMNS($AB$1006:AF1006),$AB$1006:$AQ$1006,0)), HYPERLINK("#",""), HYPERLINK(CONCATENATE("#Metadata!", ADDRESS(INDEX($W$2:$W$1001,MATCH(ROWS($U$2:U226),$U$2:$U$1001,0),0), INDEX($AB$1004:$AQ$1004,1,MATCH(COLUMNS($AB$1006:AF1006),$AB$1006:$AQ$1006,0)))),"Fix")))</f>
        <v>0</v>
      </c>
      <c r="G226" s="5">
        <f>IF(OR(INDEX($V$2:$V$1001,MATCH(ROWS($U$2:U226),$U$2:$U$1001,0),1)&gt;=100000,INDEX($AB$1005:$AQ$1005,1,MATCH(COLUMNS($AB$1006:AG1006),$AB$1006:$AQ$1006,0))&gt;=100000), " ",IF(INDEX($AB$2:$AQ$1001,MATCH(ROWS($U$2:U226),$U$2:$U$1001,0),MATCH(COLUMNS($AB$1006:AG1006),$AB$1006:$AQ$1006,0)), HYPERLINK("#",""), HYPERLINK(CONCATENATE("#Metadata!", ADDRESS(INDEX($W$2:$W$1001,MATCH(ROWS($U$2:U226),$U$2:$U$1001,0),0), INDEX($AB$1004:$AQ$1004,1,MATCH(COLUMNS($AB$1006:AG1006),$AB$1006:$AQ$1006,0)))),"Fix")))</f>
        <v>0</v>
      </c>
      <c r="H226" s="5">
        <f>IF(OR(INDEX($V$2:$V$1001,MATCH(ROWS($U$2:U226),$U$2:$U$1001,0),1)&gt;=100000,INDEX($AB$1005:$AQ$1005,1,MATCH(COLUMNS($AB$1006:AH1006),$AB$1006:$AQ$1006,0))&gt;=100000), " ",IF(INDEX($AB$2:$AQ$1001,MATCH(ROWS($U$2:U226),$U$2:$U$1001,0),MATCH(COLUMNS($AB$1006:AH1006),$AB$1006:$AQ$1006,0)), HYPERLINK("#",""), HYPERLINK(CONCATENATE("#Metadata!", ADDRESS(INDEX($W$2:$W$1001,MATCH(ROWS($U$2:U226),$U$2:$U$1001,0),0), INDEX($AB$1004:$AQ$1004,1,MATCH(COLUMNS($AB$1006:AH1006),$AB$1006:$AQ$1006,0)))),"Fix")))</f>
        <v>0</v>
      </c>
      <c r="I226" s="5">
        <f>IF(OR(INDEX($V$2:$V$1001,MATCH(ROWS($U$2:U226),$U$2:$U$1001,0),1)&gt;=100000,INDEX($AB$1005:$AQ$1005,1,MATCH(COLUMNS($AB$1006:AI1006),$AB$1006:$AQ$1006,0))&gt;=100000), " ",IF(INDEX($AB$2:$AQ$1001,MATCH(ROWS($U$2:U226),$U$2:$U$1001,0),MATCH(COLUMNS($AB$1006:AI1006),$AB$1006:$AQ$1006,0)), HYPERLINK("#",""), HYPERLINK(CONCATENATE("#Metadata!", ADDRESS(INDEX($W$2:$W$1001,MATCH(ROWS($U$2:U226),$U$2:$U$1001,0),0), INDEX($AB$1004:$AQ$1004,1,MATCH(COLUMNS($AB$1006:AI1006),$AB$1006:$AQ$1006,0)))),"Fix")))</f>
        <v>0</v>
      </c>
      <c r="J226" s="5">
        <f>IF(OR(INDEX($V$2:$V$1001,MATCH(ROWS($U$2:U226),$U$2:$U$1001,0),1)&gt;=100000,INDEX($AB$1005:$AQ$1005,1,MATCH(COLUMNS($AB$1006:AJ1006),$AB$1006:$AQ$1006,0))&gt;=100000), " ",IF(INDEX($AB$2:$AQ$1001,MATCH(ROWS($U$2:U226),$U$2:$U$1001,0),MATCH(COLUMNS($AB$1006:AJ1006),$AB$1006:$AQ$1006,0)), HYPERLINK("#",""), HYPERLINK(CONCATENATE("#Metadata!", ADDRESS(INDEX($W$2:$W$1001,MATCH(ROWS($U$2:U226),$U$2:$U$1001,0),0), INDEX($AB$1004:$AQ$1004,1,MATCH(COLUMNS($AB$1006:AJ1006),$AB$1006:$AQ$1006,0)))),"Fix")))</f>
        <v>0</v>
      </c>
      <c r="K226" s="5">
        <f>IF(OR(INDEX($V$2:$V$1001,MATCH(ROWS($U$2:U226),$U$2:$U$1001,0),1)&gt;=100000,INDEX($AB$1005:$AQ$1005,1,MATCH(COLUMNS($AB$1006:AK1006),$AB$1006:$AQ$1006,0))&gt;=100000), " ",IF(INDEX($AB$2:$AQ$1001,MATCH(ROWS($U$2:U226),$U$2:$U$1001,0),MATCH(COLUMNS($AB$1006:AK1006),$AB$1006:$AQ$1006,0)), HYPERLINK("#",""), HYPERLINK(CONCATENATE("#Metadata!", ADDRESS(INDEX($W$2:$W$1001,MATCH(ROWS($U$2:U226),$U$2:$U$1001,0),0), INDEX($AB$1004:$AQ$1004,1,MATCH(COLUMNS($AB$1006:AK1006),$AB$1006:$AQ$1006,0)))),"Fix")))</f>
        <v>0</v>
      </c>
      <c r="L226" s="5">
        <f>IF(OR(INDEX($V$2:$V$1001,MATCH(ROWS($U$2:U226),$U$2:$U$1001,0),1)&gt;=100000,INDEX($AB$1005:$AQ$1005,1,MATCH(COLUMNS($AB$1006:AL1006),$AB$1006:$AQ$1006,0))&gt;=100000), " ",IF(INDEX($AB$2:$AQ$1001,MATCH(ROWS($U$2:U226),$U$2:$U$1001,0),MATCH(COLUMNS($AB$1006:AL1006),$AB$1006:$AQ$1006,0)), HYPERLINK("#",""), HYPERLINK(CONCATENATE("#Metadata!", ADDRESS(INDEX($W$2:$W$1001,MATCH(ROWS($U$2:U226),$U$2:$U$1001,0),0), INDEX($AB$1004:$AQ$1004,1,MATCH(COLUMNS($AB$1006:AL1006),$AB$1006:$AQ$1006,0)))),"Fix")))</f>
        <v>0</v>
      </c>
      <c r="M226" s="5">
        <f>IF(OR(INDEX($V$2:$V$1001,MATCH(ROWS($U$2:U226),$U$2:$U$1001,0),1)&gt;=100000,INDEX($AB$1005:$AQ$1005,1,MATCH(COLUMNS($AB$1006:AM1006),$AB$1006:$AQ$1006,0))&gt;=100000), " ",IF(INDEX($AB$2:$AQ$1001,MATCH(ROWS($U$2:U226),$U$2:$U$1001,0),MATCH(COLUMNS($AB$1006:AM1006),$AB$1006:$AQ$1006,0)), HYPERLINK("#",""), HYPERLINK(CONCATENATE("#Metadata!", ADDRESS(INDEX($W$2:$W$1001,MATCH(ROWS($U$2:U226),$U$2:$U$1001,0),0), INDEX($AB$1004:$AQ$1004,1,MATCH(COLUMNS($AB$1006:AM1006),$AB$1006:$AQ$1006,0)))),"Fix")))</f>
        <v>0</v>
      </c>
      <c r="N226" s="5">
        <f>IF(OR(INDEX($V$2:$V$1001,MATCH(ROWS($U$2:U226),$U$2:$U$1001,0),1)&gt;=100000,INDEX($AB$1005:$AQ$1005,1,MATCH(COLUMNS($AB$1006:AN1006),$AB$1006:$AQ$1006,0))&gt;=100000), " ",IF(INDEX($AB$2:$AQ$1001,MATCH(ROWS($U$2:U226),$U$2:$U$1001,0),MATCH(COLUMNS($AB$1006:AN1006),$AB$1006:$AQ$1006,0)), HYPERLINK("#",""), HYPERLINK(CONCATENATE("#Metadata!", ADDRESS(INDEX($W$2:$W$1001,MATCH(ROWS($U$2:U226),$U$2:$U$1001,0),0), INDEX($AB$1004:$AQ$1004,1,MATCH(COLUMNS($AB$1006:AN1006),$AB$1006:$AQ$1006,0)))),"Fix")))</f>
        <v>0</v>
      </c>
      <c r="O226" s="5">
        <f>IF(OR(INDEX($V$2:$V$1001,MATCH(ROWS($U$2:U226),$U$2:$U$1001,0),1)&gt;=100000,INDEX($AB$1005:$AQ$1005,1,MATCH(COLUMNS($AB$1006:AO1006),$AB$1006:$AQ$1006,0))&gt;=100000), " ",IF(INDEX($AB$2:$AQ$1001,MATCH(ROWS($U$2:U226),$U$2:$U$1001,0),MATCH(COLUMNS($AB$1006:AO1006),$AB$1006:$AQ$1006,0)), HYPERLINK("#",""), HYPERLINK(CONCATENATE("#Metadata!", ADDRESS(INDEX($W$2:$W$1001,MATCH(ROWS($U$2:U226),$U$2:$U$1001,0),0), INDEX($AB$1004:$AQ$1004,1,MATCH(COLUMNS($AB$1006:AO1006),$AB$1006:$AQ$1006,0)))),"Fix")))</f>
        <v>0</v>
      </c>
      <c r="P226" s="5">
        <f>IF(OR(INDEX($V$2:$V$1001,MATCH(ROWS($U$2:U226),$U$2:$U$1001,0),1)&gt;=100000,INDEX($AB$1005:$AQ$1005,1,MATCH(COLUMNS($AB$1006:AP1006),$AB$1006:$AQ$1006,0))&gt;=100000), " ",IF(INDEX($AB$2:$AQ$1001,MATCH(ROWS($U$2:U226),$U$2:$U$1001,0),MATCH(COLUMNS($AB$1006:AP1006),$AB$1006:$AQ$1006,0)), HYPERLINK("#",""), HYPERLINK(CONCATENATE("#Metadata!", ADDRESS(INDEX($W$2:$W$1001,MATCH(ROWS($U$2:U226),$U$2:$U$1001,0),0), INDEX($AB$1004:$AQ$1004,1,MATCH(COLUMNS($AB$1006:AP1006),$AB$1006:$AQ$1006,0)))),"Fix")))</f>
        <v>0</v>
      </c>
      <c r="Q226" s="5">
        <f>IF(OR(INDEX($V$2:$V$1001,MATCH(ROWS($U$2:U226),$U$2:$U$1001,0),1)&gt;=100000,INDEX($AB$1005:$AQ$1005,1,MATCH(COLUMNS($AB$1006:AQ1006),$AB$1006:$AQ$1006,0))&gt;=100000), " ",IF(INDEX($AB$2:$AQ$1001,MATCH(ROWS($U$2:U226),$U$2:$U$1001,0),MATCH(COLUMNS($AB$1006:AQ1006),$AB$1006:$AQ$1006,0)), HYPERLINK("#",""), HYPERLINK(CONCATENATE("#Metadata!", ADDRESS(INDEX($W$2:$W$1001,MATCH(ROWS($U$2:U226),$U$2:$U$1001,0),0), INDEX($AB$1004:$AQ$1004,1,MATCH(COLUMNS($AB$1006:AQ1006),$AB$1006:$AQ$1006,0)))),"Fix")))</f>
        <v>0</v>
      </c>
      <c r="U226">
        <v>0</v>
      </c>
      <c r="V226">
        <v>0</v>
      </c>
      <c r="W226">
        <v>0</v>
      </c>
      <c r="X226">
        <f>IF(Y226,TRUE,AND(AB226:AQ226))</f>
        <v>0</v>
      </c>
      <c r="Y226">
        <f>COUNTBLANK(Metadata!B226:Q226)=COLUMNS(Metadata!B226:Q226)</f>
        <v>0</v>
      </c>
      <c r="Z226">
        <v>0</v>
      </c>
      <c r="AB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AC226">
        <f>AND(IF(Metadata!C226="",FALSE,TRUE),exact(Metadata!C226,"urban biome"))</f>
        <v>0</v>
      </c>
      <c r="AD226">
        <f>AND(IF(Metadata!D226="",FALSE,TRUE),exact(Metadata!D226,"human-associated habitat"))</f>
        <v>0</v>
      </c>
      <c r="AE226">
        <f>AND(IF(Metadata!E226="",FALSE,TRUE),OR(exact(Metadata!E226,"human-associated"),exact(Metadata!E226,"human-skin"),exact(Metadata!E226,"human-oral"),exact(Metadata!E226,"human-gut"),exact(Metadata!E226,"human-vaginal")))</f>
        <v>0</v>
      </c>
      <c r="AF226">
        <f>AND(IF(Metadata!F226="",FALSE,ISNUMBER(VALUE(Metadata!F226))),Metadata!F226&gt;0)</f>
        <v>0</v>
      </c>
      <c r="AG226">
        <f>AND(IF(Metadata!G226="",FALSE,TRUE),exact(Metadata!G226,"years"))</f>
        <v>0</v>
      </c>
      <c r="AH226">
        <f>OR(AND(IF(Metadata!H226="",FALSE,TRUE),OR(exact(Metadata!H226,"not applicable"),exact(Metadata!H226,"not collected"),exact(Metadata!H226,"not provided"),exact(Metadata!H226,"restricted access"))),AND(IF(Metadata!H226="",FALSE,ISNUMBER(VALUE(Metadata!H226))),Metadata!H226&gt;0))</f>
        <v>0</v>
      </c>
      <c r="AI226">
        <f>AND(IF(Metadata!I226="",FALSE,TRUE),exact(Metadata!I226,"human"))</f>
        <v>0</v>
      </c>
      <c r="AJ226">
        <f>AND(IF(Metadata!J226="",FALSE,ISNUMBER(VALUE(Metadata!J226))),Metadata!J226&gt;0)</f>
        <v>0</v>
      </c>
      <c r="AK226">
        <f>AND(IF(Metadata!K226="",FALSE,TRUE),exact(Metadata!K226,"cm"))</f>
        <v>0</v>
      </c>
      <c r="AL226">
        <f>AND(IF(Metadata!L226="",FALSE,TRUE),exact(Metadata!L226,"Homo sapiens"))</f>
        <v>0</v>
      </c>
      <c r="AM226">
        <f>AND(IF(Metadata!M226="",FALSE,TRUE),exact(Metadata!M226,"9606"))</f>
        <v>0</v>
      </c>
      <c r="AN226">
        <f>AND(IF(Metadata!N226="",FALSE,ISNUMBER(VALUE(Metadata!N226))),Metadata!N226&gt;0)</f>
        <v>0</v>
      </c>
      <c r="AO226">
        <f>AND(IF(Metadata!O226="",FALSE,TRUE),exact(Metadata!O226,"kg"))</f>
        <v>0</v>
      </c>
      <c r="AP226">
        <f>OR(AND(IF(Metadata!P226="",FALSE,TRUE),exact(Metadata!P226,"not provided")),IF(Metadata!P226="",FALSE,TRUE))</f>
        <v>0</v>
      </c>
      <c r="AQ226">
        <f>OR(AND(IF(Metadata!Q226="",FALSE,TRUE),exact(Metadata!Q226,"not provided")),IF(Metadata!Q226="",FALSE,TRUE))</f>
        <v>0</v>
      </c>
    </row>
    <row r="227" spans="1:43">
      <c r="A227" s="4">
        <f>IF(B227=" "," ",HYPERLINK(CONCATENATE("#metadata!",ADDRESS(INDEX($W$2:$W$1001,MATCH(ROWS($U$2:U227),$U$2:$U$1001,0),0),2)),INDEX($Z$2:$Z$1001,MATCH(ROWS($U$2:U227),$U$2:$U$1001,0),0)))</f>
        <v>0</v>
      </c>
      <c r="B227" s="5">
        <f>IF(OR(INDEX($V$2:$V$1001,MATCH(ROWS($U$2:U227),$U$2:$U$1001,0),1)&gt;=100000,INDEX($AB$1005:$AQ$1005,1,MATCH(COLUMNS($AB$1006:AB1006),$AB$1006:$AQ$1006,0))&gt;=100000), " ",IF(INDEX($AB$2:$AQ$1001,MATCH(ROWS($U$2:U227),$U$2:$U$1001,0),MATCH(COLUMNS($AB$1006:AB1006),$AB$1006:$AQ$1006,0)), HYPERLINK("#",""), HYPERLINK(CONCATENATE("#Metadata!", ADDRESS(INDEX($W$2:$W$1001,MATCH(ROWS($U$2:U227),$U$2:$U$1001,0),0), INDEX($AB$1004:$AQ$1004,1,MATCH(COLUMNS($AB$1006:AB1006),$AB$1006:$AQ$1006,0)))),"Fix")))</f>
        <v>0</v>
      </c>
      <c r="C227" s="5">
        <f>IF(OR(INDEX($V$2:$V$1001,MATCH(ROWS($U$2:U227),$U$2:$U$1001,0),1)&gt;=100000,INDEX($AB$1005:$AQ$1005,1,MATCH(COLUMNS($AB$1006:AC1006),$AB$1006:$AQ$1006,0))&gt;=100000), " ",IF(INDEX($AB$2:$AQ$1001,MATCH(ROWS($U$2:U227),$U$2:$U$1001,0),MATCH(COLUMNS($AB$1006:AC1006),$AB$1006:$AQ$1006,0)), HYPERLINK("#",""), HYPERLINK(CONCATENATE("#Metadata!", ADDRESS(INDEX($W$2:$W$1001,MATCH(ROWS($U$2:U227),$U$2:$U$1001,0),0), INDEX($AB$1004:$AQ$1004,1,MATCH(COLUMNS($AB$1006:AC1006),$AB$1006:$AQ$1006,0)))),"Fix")))</f>
        <v>0</v>
      </c>
      <c r="D227" s="5">
        <f>IF(OR(INDEX($V$2:$V$1001,MATCH(ROWS($U$2:U227),$U$2:$U$1001,0),1)&gt;=100000,INDEX($AB$1005:$AQ$1005,1,MATCH(COLUMNS($AB$1006:AD1006),$AB$1006:$AQ$1006,0))&gt;=100000), " ",IF(INDEX($AB$2:$AQ$1001,MATCH(ROWS($U$2:U227),$U$2:$U$1001,0),MATCH(COLUMNS($AB$1006:AD1006),$AB$1006:$AQ$1006,0)), HYPERLINK("#",""), HYPERLINK(CONCATENATE("#Metadata!", ADDRESS(INDEX($W$2:$W$1001,MATCH(ROWS($U$2:U227),$U$2:$U$1001,0),0), INDEX($AB$1004:$AQ$1004,1,MATCH(COLUMNS($AB$1006:AD1006),$AB$1006:$AQ$1006,0)))),"Fix")))</f>
        <v>0</v>
      </c>
      <c r="E227" s="5">
        <f>IF(OR(INDEX($V$2:$V$1001,MATCH(ROWS($U$2:U227),$U$2:$U$1001,0),1)&gt;=100000,INDEX($AB$1005:$AQ$1005,1,MATCH(COLUMNS($AB$1006:AE1006),$AB$1006:$AQ$1006,0))&gt;=100000), " ",IF(INDEX($AB$2:$AQ$1001,MATCH(ROWS($U$2:U227),$U$2:$U$1001,0),MATCH(COLUMNS($AB$1006:AE1006),$AB$1006:$AQ$1006,0)), HYPERLINK("#",""), HYPERLINK(CONCATENATE("#Metadata!", ADDRESS(INDEX($W$2:$W$1001,MATCH(ROWS($U$2:U227),$U$2:$U$1001,0),0), INDEX($AB$1004:$AQ$1004,1,MATCH(COLUMNS($AB$1006:AE1006),$AB$1006:$AQ$1006,0)))),"Fix")))</f>
        <v>0</v>
      </c>
      <c r="F227" s="5">
        <f>IF(OR(INDEX($V$2:$V$1001,MATCH(ROWS($U$2:U227),$U$2:$U$1001,0),1)&gt;=100000,INDEX($AB$1005:$AQ$1005,1,MATCH(COLUMNS($AB$1006:AF1006),$AB$1006:$AQ$1006,0))&gt;=100000), " ",IF(INDEX($AB$2:$AQ$1001,MATCH(ROWS($U$2:U227),$U$2:$U$1001,0),MATCH(COLUMNS($AB$1006:AF1006),$AB$1006:$AQ$1006,0)), HYPERLINK("#",""), HYPERLINK(CONCATENATE("#Metadata!", ADDRESS(INDEX($W$2:$W$1001,MATCH(ROWS($U$2:U227),$U$2:$U$1001,0),0), INDEX($AB$1004:$AQ$1004,1,MATCH(COLUMNS($AB$1006:AF1006),$AB$1006:$AQ$1006,0)))),"Fix")))</f>
        <v>0</v>
      </c>
      <c r="G227" s="5">
        <f>IF(OR(INDEX($V$2:$V$1001,MATCH(ROWS($U$2:U227),$U$2:$U$1001,0),1)&gt;=100000,INDEX($AB$1005:$AQ$1005,1,MATCH(COLUMNS($AB$1006:AG1006),$AB$1006:$AQ$1006,0))&gt;=100000), " ",IF(INDEX($AB$2:$AQ$1001,MATCH(ROWS($U$2:U227),$U$2:$U$1001,0),MATCH(COLUMNS($AB$1006:AG1006),$AB$1006:$AQ$1006,0)), HYPERLINK("#",""), HYPERLINK(CONCATENATE("#Metadata!", ADDRESS(INDEX($W$2:$W$1001,MATCH(ROWS($U$2:U227),$U$2:$U$1001,0),0), INDEX($AB$1004:$AQ$1004,1,MATCH(COLUMNS($AB$1006:AG1006),$AB$1006:$AQ$1006,0)))),"Fix")))</f>
        <v>0</v>
      </c>
      <c r="H227" s="5">
        <f>IF(OR(INDEX($V$2:$V$1001,MATCH(ROWS($U$2:U227),$U$2:$U$1001,0),1)&gt;=100000,INDEX($AB$1005:$AQ$1005,1,MATCH(COLUMNS($AB$1006:AH1006),$AB$1006:$AQ$1006,0))&gt;=100000), " ",IF(INDEX($AB$2:$AQ$1001,MATCH(ROWS($U$2:U227),$U$2:$U$1001,0),MATCH(COLUMNS($AB$1006:AH1006),$AB$1006:$AQ$1006,0)), HYPERLINK("#",""), HYPERLINK(CONCATENATE("#Metadata!", ADDRESS(INDEX($W$2:$W$1001,MATCH(ROWS($U$2:U227),$U$2:$U$1001,0),0), INDEX($AB$1004:$AQ$1004,1,MATCH(COLUMNS($AB$1006:AH1006),$AB$1006:$AQ$1006,0)))),"Fix")))</f>
        <v>0</v>
      </c>
      <c r="I227" s="5">
        <f>IF(OR(INDEX($V$2:$V$1001,MATCH(ROWS($U$2:U227),$U$2:$U$1001,0),1)&gt;=100000,INDEX($AB$1005:$AQ$1005,1,MATCH(COLUMNS($AB$1006:AI1006),$AB$1006:$AQ$1006,0))&gt;=100000), " ",IF(INDEX($AB$2:$AQ$1001,MATCH(ROWS($U$2:U227),$U$2:$U$1001,0),MATCH(COLUMNS($AB$1006:AI1006),$AB$1006:$AQ$1006,0)), HYPERLINK("#",""), HYPERLINK(CONCATENATE("#Metadata!", ADDRESS(INDEX($W$2:$W$1001,MATCH(ROWS($U$2:U227),$U$2:$U$1001,0),0), INDEX($AB$1004:$AQ$1004,1,MATCH(COLUMNS($AB$1006:AI1006),$AB$1006:$AQ$1006,0)))),"Fix")))</f>
        <v>0</v>
      </c>
      <c r="J227" s="5">
        <f>IF(OR(INDEX($V$2:$V$1001,MATCH(ROWS($U$2:U227),$U$2:$U$1001,0),1)&gt;=100000,INDEX($AB$1005:$AQ$1005,1,MATCH(COLUMNS($AB$1006:AJ1006),$AB$1006:$AQ$1006,0))&gt;=100000), " ",IF(INDEX($AB$2:$AQ$1001,MATCH(ROWS($U$2:U227),$U$2:$U$1001,0),MATCH(COLUMNS($AB$1006:AJ1006),$AB$1006:$AQ$1006,0)), HYPERLINK("#",""), HYPERLINK(CONCATENATE("#Metadata!", ADDRESS(INDEX($W$2:$W$1001,MATCH(ROWS($U$2:U227),$U$2:$U$1001,0),0), INDEX($AB$1004:$AQ$1004,1,MATCH(COLUMNS($AB$1006:AJ1006),$AB$1006:$AQ$1006,0)))),"Fix")))</f>
        <v>0</v>
      </c>
      <c r="K227" s="5">
        <f>IF(OR(INDEX($V$2:$V$1001,MATCH(ROWS($U$2:U227),$U$2:$U$1001,0),1)&gt;=100000,INDEX($AB$1005:$AQ$1005,1,MATCH(COLUMNS($AB$1006:AK1006),$AB$1006:$AQ$1006,0))&gt;=100000), " ",IF(INDEX($AB$2:$AQ$1001,MATCH(ROWS($U$2:U227),$U$2:$U$1001,0),MATCH(COLUMNS($AB$1006:AK1006),$AB$1006:$AQ$1006,0)), HYPERLINK("#",""), HYPERLINK(CONCATENATE("#Metadata!", ADDRESS(INDEX($W$2:$W$1001,MATCH(ROWS($U$2:U227),$U$2:$U$1001,0),0), INDEX($AB$1004:$AQ$1004,1,MATCH(COLUMNS($AB$1006:AK1006),$AB$1006:$AQ$1006,0)))),"Fix")))</f>
        <v>0</v>
      </c>
      <c r="L227" s="5">
        <f>IF(OR(INDEX($V$2:$V$1001,MATCH(ROWS($U$2:U227),$U$2:$U$1001,0),1)&gt;=100000,INDEX($AB$1005:$AQ$1005,1,MATCH(COLUMNS($AB$1006:AL1006),$AB$1006:$AQ$1006,0))&gt;=100000), " ",IF(INDEX($AB$2:$AQ$1001,MATCH(ROWS($U$2:U227),$U$2:$U$1001,0),MATCH(COLUMNS($AB$1006:AL1006),$AB$1006:$AQ$1006,0)), HYPERLINK("#",""), HYPERLINK(CONCATENATE("#Metadata!", ADDRESS(INDEX($W$2:$W$1001,MATCH(ROWS($U$2:U227),$U$2:$U$1001,0),0), INDEX($AB$1004:$AQ$1004,1,MATCH(COLUMNS($AB$1006:AL1006),$AB$1006:$AQ$1006,0)))),"Fix")))</f>
        <v>0</v>
      </c>
      <c r="M227" s="5">
        <f>IF(OR(INDEX($V$2:$V$1001,MATCH(ROWS($U$2:U227),$U$2:$U$1001,0),1)&gt;=100000,INDEX($AB$1005:$AQ$1005,1,MATCH(COLUMNS($AB$1006:AM1006),$AB$1006:$AQ$1006,0))&gt;=100000), " ",IF(INDEX($AB$2:$AQ$1001,MATCH(ROWS($U$2:U227),$U$2:$U$1001,0),MATCH(COLUMNS($AB$1006:AM1006),$AB$1006:$AQ$1006,0)), HYPERLINK("#",""), HYPERLINK(CONCATENATE("#Metadata!", ADDRESS(INDEX($W$2:$W$1001,MATCH(ROWS($U$2:U227),$U$2:$U$1001,0),0), INDEX($AB$1004:$AQ$1004,1,MATCH(COLUMNS($AB$1006:AM1006),$AB$1006:$AQ$1006,0)))),"Fix")))</f>
        <v>0</v>
      </c>
      <c r="N227" s="5">
        <f>IF(OR(INDEX($V$2:$V$1001,MATCH(ROWS($U$2:U227),$U$2:$U$1001,0),1)&gt;=100000,INDEX($AB$1005:$AQ$1005,1,MATCH(COLUMNS($AB$1006:AN1006),$AB$1006:$AQ$1006,0))&gt;=100000), " ",IF(INDEX($AB$2:$AQ$1001,MATCH(ROWS($U$2:U227),$U$2:$U$1001,0),MATCH(COLUMNS($AB$1006:AN1006),$AB$1006:$AQ$1006,0)), HYPERLINK("#",""), HYPERLINK(CONCATENATE("#Metadata!", ADDRESS(INDEX($W$2:$W$1001,MATCH(ROWS($U$2:U227),$U$2:$U$1001,0),0), INDEX($AB$1004:$AQ$1004,1,MATCH(COLUMNS($AB$1006:AN1006),$AB$1006:$AQ$1006,0)))),"Fix")))</f>
        <v>0</v>
      </c>
      <c r="O227" s="5">
        <f>IF(OR(INDEX($V$2:$V$1001,MATCH(ROWS($U$2:U227),$U$2:$U$1001,0),1)&gt;=100000,INDEX($AB$1005:$AQ$1005,1,MATCH(COLUMNS($AB$1006:AO1006),$AB$1006:$AQ$1006,0))&gt;=100000), " ",IF(INDEX($AB$2:$AQ$1001,MATCH(ROWS($U$2:U227),$U$2:$U$1001,0),MATCH(COLUMNS($AB$1006:AO1006),$AB$1006:$AQ$1006,0)), HYPERLINK("#",""), HYPERLINK(CONCATENATE("#Metadata!", ADDRESS(INDEX($W$2:$W$1001,MATCH(ROWS($U$2:U227),$U$2:$U$1001,0),0), INDEX($AB$1004:$AQ$1004,1,MATCH(COLUMNS($AB$1006:AO1006),$AB$1006:$AQ$1006,0)))),"Fix")))</f>
        <v>0</v>
      </c>
      <c r="P227" s="5">
        <f>IF(OR(INDEX($V$2:$V$1001,MATCH(ROWS($U$2:U227),$U$2:$U$1001,0),1)&gt;=100000,INDEX($AB$1005:$AQ$1005,1,MATCH(COLUMNS($AB$1006:AP1006),$AB$1006:$AQ$1006,0))&gt;=100000), " ",IF(INDEX($AB$2:$AQ$1001,MATCH(ROWS($U$2:U227),$U$2:$U$1001,0),MATCH(COLUMNS($AB$1006:AP1006),$AB$1006:$AQ$1006,0)), HYPERLINK("#",""), HYPERLINK(CONCATENATE("#Metadata!", ADDRESS(INDEX($W$2:$W$1001,MATCH(ROWS($U$2:U227),$U$2:$U$1001,0),0), INDEX($AB$1004:$AQ$1004,1,MATCH(COLUMNS($AB$1006:AP1006),$AB$1006:$AQ$1006,0)))),"Fix")))</f>
        <v>0</v>
      </c>
      <c r="Q227" s="5">
        <f>IF(OR(INDEX($V$2:$V$1001,MATCH(ROWS($U$2:U227),$U$2:$U$1001,0),1)&gt;=100000,INDEX($AB$1005:$AQ$1005,1,MATCH(COLUMNS($AB$1006:AQ1006),$AB$1006:$AQ$1006,0))&gt;=100000), " ",IF(INDEX($AB$2:$AQ$1001,MATCH(ROWS($U$2:U227),$U$2:$U$1001,0),MATCH(COLUMNS($AB$1006:AQ1006),$AB$1006:$AQ$1006,0)), HYPERLINK("#",""), HYPERLINK(CONCATENATE("#Metadata!", ADDRESS(INDEX($W$2:$W$1001,MATCH(ROWS($U$2:U227),$U$2:$U$1001,0),0), INDEX($AB$1004:$AQ$1004,1,MATCH(COLUMNS($AB$1006:AQ1006),$AB$1006:$AQ$1006,0)))),"Fix")))</f>
        <v>0</v>
      </c>
      <c r="U227">
        <v>0</v>
      </c>
      <c r="V227">
        <v>0</v>
      </c>
      <c r="W227">
        <v>0</v>
      </c>
      <c r="X227">
        <f>IF(Y227,TRUE,AND(AB227:AQ227))</f>
        <v>0</v>
      </c>
      <c r="Y227">
        <f>COUNTBLANK(Metadata!B227:Q227)=COLUMNS(Metadata!B227:Q227)</f>
        <v>0</v>
      </c>
      <c r="Z227">
        <v>0</v>
      </c>
      <c r="AB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AC227">
        <f>AND(IF(Metadata!C227="",FALSE,TRUE),exact(Metadata!C227,"urban biome"))</f>
        <v>0</v>
      </c>
      <c r="AD227">
        <f>AND(IF(Metadata!D227="",FALSE,TRUE),exact(Metadata!D227,"human-associated habitat"))</f>
        <v>0</v>
      </c>
      <c r="AE227">
        <f>AND(IF(Metadata!E227="",FALSE,TRUE),OR(exact(Metadata!E227,"human-associated"),exact(Metadata!E227,"human-skin"),exact(Metadata!E227,"human-oral"),exact(Metadata!E227,"human-gut"),exact(Metadata!E227,"human-vaginal")))</f>
        <v>0</v>
      </c>
      <c r="AF227">
        <f>AND(IF(Metadata!F227="",FALSE,ISNUMBER(VALUE(Metadata!F227))),Metadata!F227&gt;0)</f>
        <v>0</v>
      </c>
      <c r="AG227">
        <f>AND(IF(Metadata!G227="",FALSE,TRUE),exact(Metadata!G227,"years"))</f>
        <v>0</v>
      </c>
      <c r="AH227">
        <f>OR(AND(IF(Metadata!H227="",FALSE,TRUE),OR(exact(Metadata!H227,"not applicable"),exact(Metadata!H227,"not collected"),exact(Metadata!H227,"not provided"),exact(Metadata!H227,"restricted access"))),AND(IF(Metadata!H227="",FALSE,ISNUMBER(VALUE(Metadata!H227))),Metadata!H227&gt;0))</f>
        <v>0</v>
      </c>
      <c r="AI227">
        <f>AND(IF(Metadata!I227="",FALSE,TRUE),exact(Metadata!I227,"human"))</f>
        <v>0</v>
      </c>
      <c r="AJ227">
        <f>AND(IF(Metadata!J227="",FALSE,ISNUMBER(VALUE(Metadata!J227))),Metadata!J227&gt;0)</f>
        <v>0</v>
      </c>
      <c r="AK227">
        <f>AND(IF(Metadata!K227="",FALSE,TRUE),exact(Metadata!K227,"cm"))</f>
        <v>0</v>
      </c>
      <c r="AL227">
        <f>AND(IF(Metadata!L227="",FALSE,TRUE),exact(Metadata!L227,"Homo sapiens"))</f>
        <v>0</v>
      </c>
      <c r="AM227">
        <f>AND(IF(Metadata!M227="",FALSE,TRUE),exact(Metadata!M227,"9606"))</f>
        <v>0</v>
      </c>
      <c r="AN227">
        <f>AND(IF(Metadata!N227="",FALSE,ISNUMBER(VALUE(Metadata!N227))),Metadata!N227&gt;0)</f>
        <v>0</v>
      </c>
      <c r="AO227">
        <f>AND(IF(Metadata!O227="",FALSE,TRUE),exact(Metadata!O227,"kg"))</f>
        <v>0</v>
      </c>
      <c r="AP227">
        <f>OR(AND(IF(Metadata!P227="",FALSE,TRUE),exact(Metadata!P227,"not provided")),IF(Metadata!P227="",FALSE,TRUE))</f>
        <v>0</v>
      </c>
      <c r="AQ227">
        <f>OR(AND(IF(Metadata!Q227="",FALSE,TRUE),exact(Metadata!Q227,"not provided")),IF(Metadata!Q227="",FALSE,TRUE))</f>
        <v>0</v>
      </c>
    </row>
    <row r="228" spans="1:43">
      <c r="A228" s="4">
        <f>IF(B228=" "," ",HYPERLINK(CONCATENATE("#metadata!",ADDRESS(INDEX($W$2:$W$1001,MATCH(ROWS($U$2:U228),$U$2:$U$1001,0),0),2)),INDEX($Z$2:$Z$1001,MATCH(ROWS($U$2:U228),$U$2:$U$1001,0),0)))</f>
        <v>0</v>
      </c>
      <c r="B228" s="5">
        <f>IF(OR(INDEX($V$2:$V$1001,MATCH(ROWS($U$2:U228),$U$2:$U$1001,0),1)&gt;=100000,INDEX($AB$1005:$AQ$1005,1,MATCH(COLUMNS($AB$1006:AB1006),$AB$1006:$AQ$1006,0))&gt;=100000), " ",IF(INDEX($AB$2:$AQ$1001,MATCH(ROWS($U$2:U228),$U$2:$U$1001,0),MATCH(COLUMNS($AB$1006:AB1006),$AB$1006:$AQ$1006,0)), HYPERLINK("#",""), HYPERLINK(CONCATENATE("#Metadata!", ADDRESS(INDEX($W$2:$W$1001,MATCH(ROWS($U$2:U228),$U$2:$U$1001,0),0), INDEX($AB$1004:$AQ$1004,1,MATCH(COLUMNS($AB$1006:AB1006),$AB$1006:$AQ$1006,0)))),"Fix")))</f>
        <v>0</v>
      </c>
      <c r="C228" s="5">
        <f>IF(OR(INDEX($V$2:$V$1001,MATCH(ROWS($U$2:U228),$U$2:$U$1001,0),1)&gt;=100000,INDEX($AB$1005:$AQ$1005,1,MATCH(COLUMNS($AB$1006:AC1006),$AB$1006:$AQ$1006,0))&gt;=100000), " ",IF(INDEX($AB$2:$AQ$1001,MATCH(ROWS($U$2:U228),$U$2:$U$1001,0),MATCH(COLUMNS($AB$1006:AC1006),$AB$1006:$AQ$1006,0)), HYPERLINK("#",""), HYPERLINK(CONCATENATE("#Metadata!", ADDRESS(INDEX($W$2:$W$1001,MATCH(ROWS($U$2:U228),$U$2:$U$1001,0),0), INDEX($AB$1004:$AQ$1004,1,MATCH(COLUMNS($AB$1006:AC1006),$AB$1006:$AQ$1006,0)))),"Fix")))</f>
        <v>0</v>
      </c>
      <c r="D228" s="5">
        <f>IF(OR(INDEX($V$2:$V$1001,MATCH(ROWS($U$2:U228),$U$2:$U$1001,0),1)&gt;=100000,INDEX($AB$1005:$AQ$1005,1,MATCH(COLUMNS($AB$1006:AD1006),$AB$1006:$AQ$1006,0))&gt;=100000), " ",IF(INDEX($AB$2:$AQ$1001,MATCH(ROWS($U$2:U228),$U$2:$U$1001,0),MATCH(COLUMNS($AB$1006:AD1006),$AB$1006:$AQ$1006,0)), HYPERLINK("#",""), HYPERLINK(CONCATENATE("#Metadata!", ADDRESS(INDEX($W$2:$W$1001,MATCH(ROWS($U$2:U228),$U$2:$U$1001,0),0), INDEX($AB$1004:$AQ$1004,1,MATCH(COLUMNS($AB$1006:AD1006),$AB$1006:$AQ$1006,0)))),"Fix")))</f>
        <v>0</v>
      </c>
      <c r="E228" s="5">
        <f>IF(OR(INDEX($V$2:$V$1001,MATCH(ROWS($U$2:U228),$U$2:$U$1001,0),1)&gt;=100000,INDEX($AB$1005:$AQ$1005,1,MATCH(COLUMNS($AB$1006:AE1006),$AB$1006:$AQ$1006,0))&gt;=100000), " ",IF(INDEX($AB$2:$AQ$1001,MATCH(ROWS($U$2:U228),$U$2:$U$1001,0),MATCH(COLUMNS($AB$1006:AE1006),$AB$1006:$AQ$1006,0)), HYPERLINK("#",""), HYPERLINK(CONCATENATE("#Metadata!", ADDRESS(INDEX($W$2:$W$1001,MATCH(ROWS($U$2:U228),$U$2:$U$1001,0),0), INDEX($AB$1004:$AQ$1004,1,MATCH(COLUMNS($AB$1006:AE1006),$AB$1006:$AQ$1006,0)))),"Fix")))</f>
        <v>0</v>
      </c>
      <c r="F228" s="5">
        <f>IF(OR(INDEX($V$2:$V$1001,MATCH(ROWS($U$2:U228),$U$2:$U$1001,0),1)&gt;=100000,INDEX($AB$1005:$AQ$1005,1,MATCH(COLUMNS($AB$1006:AF1006),$AB$1006:$AQ$1006,0))&gt;=100000), " ",IF(INDEX($AB$2:$AQ$1001,MATCH(ROWS($U$2:U228),$U$2:$U$1001,0),MATCH(COLUMNS($AB$1006:AF1006),$AB$1006:$AQ$1006,0)), HYPERLINK("#",""), HYPERLINK(CONCATENATE("#Metadata!", ADDRESS(INDEX($W$2:$W$1001,MATCH(ROWS($U$2:U228),$U$2:$U$1001,0),0), INDEX($AB$1004:$AQ$1004,1,MATCH(COLUMNS($AB$1006:AF1006),$AB$1006:$AQ$1006,0)))),"Fix")))</f>
        <v>0</v>
      </c>
      <c r="G228" s="5">
        <f>IF(OR(INDEX($V$2:$V$1001,MATCH(ROWS($U$2:U228),$U$2:$U$1001,0),1)&gt;=100000,INDEX($AB$1005:$AQ$1005,1,MATCH(COLUMNS($AB$1006:AG1006),$AB$1006:$AQ$1006,0))&gt;=100000), " ",IF(INDEX($AB$2:$AQ$1001,MATCH(ROWS($U$2:U228),$U$2:$U$1001,0),MATCH(COLUMNS($AB$1006:AG1006),$AB$1006:$AQ$1006,0)), HYPERLINK("#",""), HYPERLINK(CONCATENATE("#Metadata!", ADDRESS(INDEX($W$2:$W$1001,MATCH(ROWS($U$2:U228),$U$2:$U$1001,0),0), INDEX($AB$1004:$AQ$1004,1,MATCH(COLUMNS($AB$1006:AG1006),$AB$1006:$AQ$1006,0)))),"Fix")))</f>
        <v>0</v>
      </c>
      <c r="H228" s="5">
        <f>IF(OR(INDEX($V$2:$V$1001,MATCH(ROWS($U$2:U228),$U$2:$U$1001,0),1)&gt;=100000,INDEX($AB$1005:$AQ$1005,1,MATCH(COLUMNS($AB$1006:AH1006),$AB$1006:$AQ$1006,0))&gt;=100000), " ",IF(INDEX($AB$2:$AQ$1001,MATCH(ROWS($U$2:U228),$U$2:$U$1001,0),MATCH(COLUMNS($AB$1006:AH1006),$AB$1006:$AQ$1006,0)), HYPERLINK("#",""), HYPERLINK(CONCATENATE("#Metadata!", ADDRESS(INDEX($W$2:$W$1001,MATCH(ROWS($U$2:U228),$U$2:$U$1001,0),0), INDEX($AB$1004:$AQ$1004,1,MATCH(COLUMNS($AB$1006:AH1006),$AB$1006:$AQ$1006,0)))),"Fix")))</f>
        <v>0</v>
      </c>
      <c r="I228" s="5">
        <f>IF(OR(INDEX($V$2:$V$1001,MATCH(ROWS($U$2:U228),$U$2:$U$1001,0),1)&gt;=100000,INDEX($AB$1005:$AQ$1005,1,MATCH(COLUMNS($AB$1006:AI1006),$AB$1006:$AQ$1006,0))&gt;=100000), " ",IF(INDEX($AB$2:$AQ$1001,MATCH(ROWS($U$2:U228),$U$2:$U$1001,0),MATCH(COLUMNS($AB$1006:AI1006),$AB$1006:$AQ$1006,0)), HYPERLINK("#",""), HYPERLINK(CONCATENATE("#Metadata!", ADDRESS(INDEX($W$2:$W$1001,MATCH(ROWS($U$2:U228),$U$2:$U$1001,0),0), INDEX($AB$1004:$AQ$1004,1,MATCH(COLUMNS($AB$1006:AI1006),$AB$1006:$AQ$1006,0)))),"Fix")))</f>
        <v>0</v>
      </c>
      <c r="J228" s="5">
        <f>IF(OR(INDEX($V$2:$V$1001,MATCH(ROWS($U$2:U228),$U$2:$U$1001,0),1)&gt;=100000,INDEX($AB$1005:$AQ$1005,1,MATCH(COLUMNS($AB$1006:AJ1006),$AB$1006:$AQ$1006,0))&gt;=100000), " ",IF(INDEX($AB$2:$AQ$1001,MATCH(ROWS($U$2:U228),$U$2:$U$1001,0),MATCH(COLUMNS($AB$1006:AJ1006),$AB$1006:$AQ$1006,0)), HYPERLINK("#",""), HYPERLINK(CONCATENATE("#Metadata!", ADDRESS(INDEX($W$2:$W$1001,MATCH(ROWS($U$2:U228),$U$2:$U$1001,0),0), INDEX($AB$1004:$AQ$1004,1,MATCH(COLUMNS($AB$1006:AJ1006),$AB$1006:$AQ$1006,0)))),"Fix")))</f>
        <v>0</v>
      </c>
      <c r="K228" s="5">
        <f>IF(OR(INDEX($V$2:$V$1001,MATCH(ROWS($U$2:U228),$U$2:$U$1001,0),1)&gt;=100000,INDEX($AB$1005:$AQ$1005,1,MATCH(COLUMNS($AB$1006:AK1006),$AB$1006:$AQ$1006,0))&gt;=100000), " ",IF(INDEX($AB$2:$AQ$1001,MATCH(ROWS($U$2:U228),$U$2:$U$1001,0),MATCH(COLUMNS($AB$1006:AK1006),$AB$1006:$AQ$1006,0)), HYPERLINK("#",""), HYPERLINK(CONCATENATE("#Metadata!", ADDRESS(INDEX($W$2:$W$1001,MATCH(ROWS($U$2:U228),$U$2:$U$1001,0),0), INDEX($AB$1004:$AQ$1004,1,MATCH(COLUMNS($AB$1006:AK1006),$AB$1006:$AQ$1006,0)))),"Fix")))</f>
        <v>0</v>
      </c>
      <c r="L228" s="5">
        <f>IF(OR(INDEX($V$2:$V$1001,MATCH(ROWS($U$2:U228),$U$2:$U$1001,0),1)&gt;=100000,INDEX($AB$1005:$AQ$1005,1,MATCH(COLUMNS($AB$1006:AL1006),$AB$1006:$AQ$1006,0))&gt;=100000), " ",IF(INDEX($AB$2:$AQ$1001,MATCH(ROWS($U$2:U228),$U$2:$U$1001,0),MATCH(COLUMNS($AB$1006:AL1006),$AB$1006:$AQ$1006,0)), HYPERLINK("#",""), HYPERLINK(CONCATENATE("#Metadata!", ADDRESS(INDEX($W$2:$W$1001,MATCH(ROWS($U$2:U228),$U$2:$U$1001,0),0), INDEX($AB$1004:$AQ$1004,1,MATCH(COLUMNS($AB$1006:AL1006),$AB$1006:$AQ$1006,0)))),"Fix")))</f>
        <v>0</v>
      </c>
      <c r="M228" s="5">
        <f>IF(OR(INDEX($V$2:$V$1001,MATCH(ROWS($U$2:U228),$U$2:$U$1001,0),1)&gt;=100000,INDEX($AB$1005:$AQ$1005,1,MATCH(COLUMNS($AB$1006:AM1006),$AB$1006:$AQ$1006,0))&gt;=100000), " ",IF(INDEX($AB$2:$AQ$1001,MATCH(ROWS($U$2:U228),$U$2:$U$1001,0),MATCH(COLUMNS($AB$1006:AM1006),$AB$1006:$AQ$1006,0)), HYPERLINK("#",""), HYPERLINK(CONCATENATE("#Metadata!", ADDRESS(INDEX($W$2:$W$1001,MATCH(ROWS($U$2:U228),$U$2:$U$1001,0),0), INDEX($AB$1004:$AQ$1004,1,MATCH(COLUMNS($AB$1006:AM1006),$AB$1006:$AQ$1006,0)))),"Fix")))</f>
        <v>0</v>
      </c>
      <c r="N228" s="5">
        <f>IF(OR(INDEX($V$2:$V$1001,MATCH(ROWS($U$2:U228),$U$2:$U$1001,0),1)&gt;=100000,INDEX($AB$1005:$AQ$1005,1,MATCH(COLUMNS($AB$1006:AN1006),$AB$1006:$AQ$1006,0))&gt;=100000), " ",IF(INDEX($AB$2:$AQ$1001,MATCH(ROWS($U$2:U228),$U$2:$U$1001,0),MATCH(COLUMNS($AB$1006:AN1006),$AB$1006:$AQ$1006,0)), HYPERLINK("#",""), HYPERLINK(CONCATENATE("#Metadata!", ADDRESS(INDEX($W$2:$W$1001,MATCH(ROWS($U$2:U228),$U$2:$U$1001,0),0), INDEX($AB$1004:$AQ$1004,1,MATCH(COLUMNS($AB$1006:AN1006),$AB$1006:$AQ$1006,0)))),"Fix")))</f>
        <v>0</v>
      </c>
      <c r="O228" s="5">
        <f>IF(OR(INDEX($V$2:$V$1001,MATCH(ROWS($U$2:U228),$U$2:$U$1001,0),1)&gt;=100000,INDEX($AB$1005:$AQ$1005,1,MATCH(COLUMNS($AB$1006:AO1006),$AB$1006:$AQ$1006,0))&gt;=100000), " ",IF(INDEX($AB$2:$AQ$1001,MATCH(ROWS($U$2:U228),$U$2:$U$1001,0),MATCH(COLUMNS($AB$1006:AO1006),$AB$1006:$AQ$1006,0)), HYPERLINK("#",""), HYPERLINK(CONCATENATE("#Metadata!", ADDRESS(INDEX($W$2:$W$1001,MATCH(ROWS($U$2:U228),$U$2:$U$1001,0),0), INDEX($AB$1004:$AQ$1004,1,MATCH(COLUMNS($AB$1006:AO1006),$AB$1006:$AQ$1006,0)))),"Fix")))</f>
        <v>0</v>
      </c>
      <c r="P228" s="5">
        <f>IF(OR(INDEX($V$2:$V$1001,MATCH(ROWS($U$2:U228),$U$2:$U$1001,0),1)&gt;=100000,INDEX($AB$1005:$AQ$1005,1,MATCH(COLUMNS($AB$1006:AP1006),$AB$1006:$AQ$1006,0))&gt;=100000), " ",IF(INDEX($AB$2:$AQ$1001,MATCH(ROWS($U$2:U228),$U$2:$U$1001,0),MATCH(COLUMNS($AB$1006:AP1006),$AB$1006:$AQ$1006,0)), HYPERLINK("#",""), HYPERLINK(CONCATENATE("#Metadata!", ADDRESS(INDEX($W$2:$W$1001,MATCH(ROWS($U$2:U228),$U$2:$U$1001,0),0), INDEX($AB$1004:$AQ$1004,1,MATCH(COLUMNS($AB$1006:AP1006),$AB$1006:$AQ$1006,0)))),"Fix")))</f>
        <v>0</v>
      </c>
      <c r="Q228" s="5">
        <f>IF(OR(INDEX($V$2:$V$1001,MATCH(ROWS($U$2:U228),$U$2:$U$1001,0),1)&gt;=100000,INDEX($AB$1005:$AQ$1005,1,MATCH(COLUMNS($AB$1006:AQ1006),$AB$1006:$AQ$1006,0))&gt;=100000), " ",IF(INDEX($AB$2:$AQ$1001,MATCH(ROWS($U$2:U228),$U$2:$U$1001,0),MATCH(COLUMNS($AB$1006:AQ1006),$AB$1006:$AQ$1006,0)), HYPERLINK("#",""), HYPERLINK(CONCATENATE("#Metadata!", ADDRESS(INDEX($W$2:$W$1001,MATCH(ROWS($U$2:U228),$U$2:$U$1001,0),0), INDEX($AB$1004:$AQ$1004,1,MATCH(COLUMNS($AB$1006:AQ1006),$AB$1006:$AQ$1006,0)))),"Fix")))</f>
        <v>0</v>
      </c>
      <c r="U228">
        <v>0</v>
      </c>
      <c r="V228">
        <v>0</v>
      </c>
      <c r="W228">
        <v>0</v>
      </c>
      <c r="X228">
        <f>IF(Y228,TRUE,AND(AB228:AQ228))</f>
        <v>0</v>
      </c>
      <c r="Y228">
        <f>COUNTBLANK(Metadata!B228:Q228)=COLUMNS(Metadata!B228:Q228)</f>
        <v>0</v>
      </c>
      <c r="Z228">
        <v>0</v>
      </c>
      <c r="AB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AC228">
        <f>AND(IF(Metadata!C228="",FALSE,TRUE),exact(Metadata!C228,"urban biome"))</f>
        <v>0</v>
      </c>
      <c r="AD228">
        <f>AND(IF(Metadata!D228="",FALSE,TRUE),exact(Metadata!D228,"human-associated habitat"))</f>
        <v>0</v>
      </c>
      <c r="AE228">
        <f>AND(IF(Metadata!E228="",FALSE,TRUE),OR(exact(Metadata!E228,"human-associated"),exact(Metadata!E228,"human-skin"),exact(Metadata!E228,"human-oral"),exact(Metadata!E228,"human-gut"),exact(Metadata!E228,"human-vaginal")))</f>
        <v>0</v>
      </c>
      <c r="AF228">
        <f>AND(IF(Metadata!F228="",FALSE,ISNUMBER(VALUE(Metadata!F228))),Metadata!F228&gt;0)</f>
        <v>0</v>
      </c>
      <c r="AG228">
        <f>AND(IF(Metadata!G228="",FALSE,TRUE),exact(Metadata!G228,"years"))</f>
        <v>0</v>
      </c>
      <c r="AH228">
        <f>OR(AND(IF(Metadata!H228="",FALSE,TRUE),OR(exact(Metadata!H228,"not applicable"),exact(Metadata!H228,"not collected"),exact(Metadata!H228,"not provided"),exact(Metadata!H228,"restricted access"))),AND(IF(Metadata!H228="",FALSE,ISNUMBER(VALUE(Metadata!H228))),Metadata!H228&gt;0))</f>
        <v>0</v>
      </c>
      <c r="AI228">
        <f>AND(IF(Metadata!I228="",FALSE,TRUE),exact(Metadata!I228,"human"))</f>
        <v>0</v>
      </c>
      <c r="AJ228">
        <f>AND(IF(Metadata!J228="",FALSE,ISNUMBER(VALUE(Metadata!J228))),Metadata!J228&gt;0)</f>
        <v>0</v>
      </c>
      <c r="AK228">
        <f>AND(IF(Metadata!K228="",FALSE,TRUE),exact(Metadata!K228,"cm"))</f>
        <v>0</v>
      </c>
      <c r="AL228">
        <f>AND(IF(Metadata!L228="",FALSE,TRUE),exact(Metadata!L228,"Homo sapiens"))</f>
        <v>0</v>
      </c>
      <c r="AM228">
        <f>AND(IF(Metadata!M228="",FALSE,TRUE),exact(Metadata!M228,"9606"))</f>
        <v>0</v>
      </c>
      <c r="AN228">
        <f>AND(IF(Metadata!N228="",FALSE,ISNUMBER(VALUE(Metadata!N228))),Metadata!N228&gt;0)</f>
        <v>0</v>
      </c>
      <c r="AO228">
        <f>AND(IF(Metadata!O228="",FALSE,TRUE),exact(Metadata!O228,"kg"))</f>
        <v>0</v>
      </c>
      <c r="AP228">
        <f>OR(AND(IF(Metadata!P228="",FALSE,TRUE),exact(Metadata!P228,"not provided")),IF(Metadata!P228="",FALSE,TRUE))</f>
        <v>0</v>
      </c>
      <c r="AQ228">
        <f>OR(AND(IF(Metadata!Q228="",FALSE,TRUE),exact(Metadata!Q228,"not provided")),IF(Metadata!Q228="",FALSE,TRUE))</f>
        <v>0</v>
      </c>
    </row>
    <row r="229" spans="1:43">
      <c r="A229" s="4">
        <f>IF(B229=" "," ",HYPERLINK(CONCATENATE("#metadata!",ADDRESS(INDEX($W$2:$W$1001,MATCH(ROWS($U$2:U229),$U$2:$U$1001,0),0),2)),INDEX($Z$2:$Z$1001,MATCH(ROWS($U$2:U229),$U$2:$U$1001,0),0)))</f>
        <v>0</v>
      </c>
      <c r="B229" s="5">
        <f>IF(OR(INDEX($V$2:$V$1001,MATCH(ROWS($U$2:U229),$U$2:$U$1001,0),1)&gt;=100000,INDEX($AB$1005:$AQ$1005,1,MATCH(COLUMNS($AB$1006:AB1006),$AB$1006:$AQ$1006,0))&gt;=100000), " ",IF(INDEX($AB$2:$AQ$1001,MATCH(ROWS($U$2:U229),$U$2:$U$1001,0),MATCH(COLUMNS($AB$1006:AB1006),$AB$1006:$AQ$1006,0)), HYPERLINK("#",""), HYPERLINK(CONCATENATE("#Metadata!", ADDRESS(INDEX($W$2:$W$1001,MATCH(ROWS($U$2:U229),$U$2:$U$1001,0),0), INDEX($AB$1004:$AQ$1004,1,MATCH(COLUMNS($AB$1006:AB1006),$AB$1006:$AQ$1006,0)))),"Fix")))</f>
        <v>0</v>
      </c>
      <c r="C229" s="5">
        <f>IF(OR(INDEX($V$2:$V$1001,MATCH(ROWS($U$2:U229),$U$2:$U$1001,0),1)&gt;=100000,INDEX($AB$1005:$AQ$1005,1,MATCH(COLUMNS($AB$1006:AC1006),$AB$1006:$AQ$1006,0))&gt;=100000), " ",IF(INDEX($AB$2:$AQ$1001,MATCH(ROWS($U$2:U229),$U$2:$U$1001,0),MATCH(COLUMNS($AB$1006:AC1006),$AB$1006:$AQ$1006,0)), HYPERLINK("#",""), HYPERLINK(CONCATENATE("#Metadata!", ADDRESS(INDEX($W$2:$W$1001,MATCH(ROWS($U$2:U229),$U$2:$U$1001,0),0), INDEX($AB$1004:$AQ$1004,1,MATCH(COLUMNS($AB$1006:AC1006),$AB$1006:$AQ$1006,0)))),"Fix")))</f>
        <v>0</v>
      </c>
      <c r="D229" s="5">
        <f>IF(OR(INDEX($V$2:$V$1001,MATCH(ROWS($U$2:U229),$U$2:$U$1001,0),1)&gt;=100000,INDEX($AB$1005:$AQ$1005,1,MATCH(COLUMNS($AB$1006:AD1006),$AB$1006:$AQ$1006,0))&gt;=100000), " ",IF(INDEX($AB$2:$AQ$1001,MATCH(ROWS($U$2:U229),$U$2:$U$1001,0),MATCH(COLUMNS($AB$1006:AD1006),$AB$1006:$AQ$1006,0)), HYPERLINK("#",""), HYPERLINK(CONCATENATE("#Metadata!", ADDRESS(INDEX($W$2:$W$1001,MATCH(ROWS($U$2:U229),$U$2:$U$1001,0),0), INDEX($AB$1004:$AQ$1004,1,MATCH(COLUMNS($AB$1006:AD1006),$AB$1006:$AQ$1006,0)))),"Fix")))</f>
        <v>0</v>
      </c>
      <c r="E229" s="5">
        <f>IF(OR(INDEX($V$2:$V$1001,MATCH(ROWS($U$2:U229),$U$2:$U$1001,0),1)&gt;=100000,INDEX($AB$1005:$AQ$1005,1,MATCH(COLUMNS($AB$1006:AE1006),$AB$1006:$AQ$1006,0))&gt;=100000), " ",IF(INDEX($AB$2:$AQ$1001,MATCH(ROWS($U$2:U229),$U$2:$U$1001,0),MATCH(COLUMNS($AB$1006:AE1006),$AB$1006:$AQ$1006,0)), HYPERLINK("#",""), HYPERLINK(CONCATENATE("#Metadata!", ADDRESS(INDEX($W$2:$W$1001,MATCH(ROWS($U$2:U229),$U$2:$U$1001,0),0), INDEX($AB$1004:$AQ$1004,1,MATCH(COLUMNS($AB$1006:AE1006),$AB$1006:$AQ$1006,0)))),"Fix")))</f>
        <v>0</v>
      </c>
      <c r="F229" s="5">
        <f>IF(OR(INDEX($V$2:$V$1001,MATCH(ROWS($U$2:U229),$U$2:$U$1001,0),1)&gt;=100000,INDEX($AB$1005:$AQ$1005,1,MATCH(COLUMNS($AB$1006:AF1006),$AB$1006:$AQ$1006,0))&gt;=100000), " ",IF(INDEX($AB$2:$AQ$1001,MATCH(ROWS($U$2:U229),$U$2:$U$1001,0),MATCH(COLUMNS($AB$1006:AF1006),$AB$1006:$AQ$1006,0)), HYPERLINK("#",""), HYPERLINK(CONCATENATE("#Metadata!", ADDRESS(INDEX($W$2:$W$1001,MATCH(ROWS($U$2:U229),$U$2:$U$1001,0),0), INDEX($AB$1004:$AQ$1004,1,MATCH(COLUMNS($AB$1006:AF1006),$AB$1006:$AQ$1006,0)))),"Fix")))</f>
        <v>0</v>
      </c>
      <c r="G229" s="5">
        <f>IF(OR(INDEX($V$2:$V$1001,MATCH(ROWS($U$2:U229),$U$2:$U$1001,0),1)&gt;=100000,INDEX($AB$1005:$AQ$1005,1,MATCH(COLUMNS($AB$1006:AG1006),$AB$1006:$AQ$1006,0))&gt;=100000), " ",IF(INDEX($AB$2:$AQ$1001,MATCH(ROWS($U$2:U229),$U$2:$U$1001,0),MATCH(COLUMNS($AB$1006:AG1006),$AB$1006:$AQ$1006,0)), HYPERLINK("#",""), HYPERLINK(CONCATENATE("#Metadata!", ADDRESS(INDEX($W$2:$W$1001,MATCH(ROWS($U$2:U229),$U$2:$U$1001,0),0), INDEX($AB$1004:$AQ$1004,1,MATCH(COLUMNS($AB$1006:AG1006),$AB$1006:$AQ$1006,0)))),"Fix")))</f>
        <v>0</v>
      </c>
      <c r="H229" s="5">
        <f>IF(OR(INDEX($V$2:$V$1001,MATCH(ROWS($U$2:U229),$U$2:$U$1001,0),1)&gt;=100000,INDEX($AB$1005:$AQ$1005,1,MATCH(COLUMNS($AB$1006:AH1006),$AB$1006:$AQ$1006,0))&gt;=100000), " ",IF(INDEX($AB$2:$AQ$1001,MATCH(ROWS($U$2:U229),$U$2:$U$1001,0),MATCH(COLUMNS($AB$1006:AH1006),$AB$1006:$AQ$1006,0)), HYPERLINK("#",""), HYPERLINK(CONCATENATE("#Metadata!", ADDRESS(INDEX($W$2:$W$1001,MATCH(ROWS($U$2:U229),$U$2:$U$1001,0),0), INDEX($AB$1004:$AQ$1004,1,MATCH(COLUMNS($AB$1006:AH1006),$AB$1006:$AQ$1006,0)))),"Fix")))</f>
        <v>0</v>
      </c>
      <c r="I229" s="5">
        <f>IF(OR(INDEX($V$2:$V$1001,MATCH(ROWS($U$2:U229),$U$2:$U$1001,0),1)&gt;=100000,INDEX($AB$1005:$AQ$1005,1,MATCH(COLUMNS($AB$1006:AI1006),$AB$1006:$AQ$1006,0))&gt;=100000), " ",IF(INDEX($AB$2:$AQ$1001,MATCH(ROWS($U$2:U229),$U$2:$U$1001,0),MATCH(COLUMNS($AB$1006:AI1006),$AB$1006:$AQ$1006,0)), HYPERLINK("#",""), HYPERLINK(CONCATENATE("#Metadata!", ADDRESS(INDEX($W$2:$W$1001,MATCH(ROWS($U$2:U229),$U$2:$U$1001,0),0), INDEX($AB$1004:$AQ$1004,1,MATCH(COLUMNS($AB$1006:AI1006),$AB$1006:$AQ$1006,0)))),"Fix")))</f>
        <v>0</v>
      </c>
      <c r="J229" s="5">
        <f>IF(OR(INDEX($V$2:$V$1001,MATCH(ROWS($U$2:U229),$U$2:$U$1001,0),1)&gt;=100000,INDEX($AB$1005:$AQ$1005,1,MATCH(COLUMNS($AB$1006:AJ1006),$AB$1006:$AQ$1006,0))&gt;=100000), " ",IF(INDEX($AB$2:$AQ$1001,MATCH(ROWS($U$2:U229),$U$2:$U$1001,0),MATCH(COLUMNS($AB$1006:AJ1006),$AB$1006:$AQ$1006,0)), HYPERLINK("#",""), HYPERLINK(CONCATENATE("#Metadata!", ADDRESS(INDEX($W$2:$W$1001,MATCH(ROWS($U$2:U229),$U$2:$U$1001,0),0), INDEX($AB$1004:$AQ$1004,1,MATCH(COLUMNS($AB$1006:AJ1006),$AB$1006:$AQ$1006,0)))),"Fix")))</f>
        <v>0</v>
      </c>
      <c r="K229" s="5">
        <f>IF(OR(INDEX($V$2:$V$1001,MATCH(ROWS($U$2:U229),$U$2:$U$1001,0),1)&gt;=100000,INDEX($AB$1005:$AQ$1005,1,MATCH(COLUMNS($AB$1006:AK1006),$AB$1006:$AQ$1006,0))&gt;=100000), " ",IF(INDEX($AB$2:$AQ$1001,MATCH(ROWS($U$2:U229),$U$2:$U$1001,0),MATCH(COLUMNS($AB$1006:AK1006),$AB$1006:$AQ$1006,0)), HYPERLINK("#",""), HYPERLINK(CONCATENATE("#Metadata!", ADDRESS(INDEX($W$2:$W$1001,MATCH(ROWS($U$2:U229),$U$2:$U$1001,0),0), INDEX($AB$1004:$AQ$1004,1,MATCH(COLUMNS($AB$1006:AK1006),$AB$1006:$AQ$1006,0)))),"Fix")))</f>
        <v>0</v>
      </c>
      <c r="L229" s="5">
        <f>IF(OR(INDEX($V$2:$V$1001,MATCH(ROWS($U$2:U229),$U$2:$U$1001,0),1)&gt;=100000,INDEX($AB$1005:$AQ$1005,1,MATCH(COLUMNS($AB$1006:AL1006),$AB$1006:$AQ$1006,0))&gt;=100000), " ",IF(INDEX($AB$2:$AQ$1001,MATCH(ROWS($U$2:U229),$U$2:$U$1001,0),MATCH(COLUMNS($AB$1006:AL1006),$AB$1006:$AQ$1006,0)), HYPERLINK("#",""), HYPERLINK(CONCATENATE("#Metadata!", ADDRESS(INDEX($W$2:$W$1001,MATCH(ROWS($U$2:U229),$U$2:$U$1001,0),0), INDEX($AB$1004:$AQ$1004,1,MATCH(COLUMNS($AB$1006:AL1006),$AB$1006:$AQ$1006,0)))),"Fix")))</f>
        <v>0</v>
      </c>
      <c r="M229" s="5">
        <f>IF(OR(INDEX($V$2:$V$1001,MATCH(ROWS($U$2:U229),$U$2:$U$1001,0),1)&gt;=100000,INDEX($AB$1005:$AQ$1005,1,MATCH(COLUMNS($AB$1006:AM1006),$AB$1006:$AQ$1006,0))&gt;=100000), " ",IF(INDEX($AB$2:$AQ$1001,MATCH(ROWS($U$2:U229),$U$2:$U$1001,0),MATCH(COLUMNS($AB$1006:AM1006),$AB$1006:$AQ$1006,0)), HYPERLINK("#",""), HYPERLINK(CONCATENATE("#Metadata!", ADDRESS(INDEX($W$2:$W$1001,MATCH(ROWS($U$2:U229),$U$2:$U$1001,0),0), INDEX($AB$1004:$AQ$1004,1,MATCH(COLUMNS($AB$1006:AM1006),$AB$1006:$AQ$1006,0)))),"Fix")))</f>
        <v>0</v>
      </c>
      <c r="N229" s="5">
        <f>IF(OR(INDEX($V$2:$V$1001,MATCH(ROWS($U$2:U229),$U$2:$U$1001,0),1)&gt;=100000,INDEX($AB$1005:$AQ$1005,1,MATCH(COLUMNS($AB$1006:AN1006),$AB$1006:$AQ$1006,0))&gt;=100000), " ",IF(INDEX($AB$2:$AQ$1001,MATCH(ROWS($U$2:U229),$U$2:$U$1001,0),MATCH(COLUMNS($AB$1006:AN1006),$AB$1006:$AQ$1006,0)), HYPERLINK("#",""), HYPERLINK(CONCATENATE("#Metadata!", ADDRESS(INDEX($W$2:$W$1001,MATCH(ROWS($U$2:U229),$U$2:$U$1001,0),0), INDEX($AB$1004:$AQ$1004,1,MATCH(COLUMNS($AB$1006:AN1006),$AB$1006:$AQ$1006,0)))),"Fix")))</f>
        <v>0</v>
      </c>
      <c r="O229" s="5">
        <f>IF(OR(INDEX($V$2:$V$1001,MATCH(ROWS($U$2:U229),$U$2:$U$1001,0),1)&gt;=100000,INDEX($AB$1005:$AQ$1005,1,MATCH(COLUMNS($AB$1006:AO1006),$AB$1006:$AQ$1006,0))&gt;=100000), " ",IF(INDEX($AB$2:$AQ$1001,MATCH(ROWS($U$2:U229),$U$2:$U$1001,0),MATCH(COLUMNS($AB$1006:AO1006),$AB$1006:$AQ$1006,0)), HYPERLINK("#",""), HYPERLINK(CONCATENATE("#Metadata!", ADDRESS(INDEX($W$2:$W$1001,MATCH(ROWS($U$2:U229),$U$2:$U$1001,0),0), INDEX($AB$1004:$AQ$1004,1,MATCH(COLUMNS($AB$1006:AO1006),$AB$1006:$AQ$1006,0)))),"Fix")))</f>
        <v>0</v>
      </c>
      <c r="P229" s="5">
        <f>IF(OR(INDEX($V$2:$V$1001,MATCH(ROWS($U$2:U229),$U$2:$U$1001,0),1)&gt;=100000,INDEX($AB$1005:$AQ$1005,1,MATCH(COLUMNS($AB$1006:AP1006),$AB$1006:$AQ$1006,0))&gt;=100000), " ",IF(INDEX($AB$2:$AQ$1001,MATCH(ROWS($U$2:U229),$U$2:$U$1001,0),MATCH(COLUMNS($AB$1006:AP1006),$AB$1006:$AQ$1006,0)), HYPERLINK("#",""), HYPERLINK(CONCATENATE("#Metadata!", ADDRESS(INDEX($W$2:$W$1001,MATCH(ROWS($U$2:U229),$U$2:$U$1001,0),0), INDEX($AB$1004:$AQ$1004,1,MATCH(COLUMNS($AB$1006:AP1006),$AB$1006:$AQ$1006,0)))),"Fix")))</f>
        <v>0</v>
      </c>
      <c r="Q229" s="5">
        <f>IF(OR(INDEX($V$2:$V$1001,MATCH(ROWS($U$2:U229),$U$2:$U$1001,0),1)&gt;=100000,INDEX($AB$1005:$AQ$1005,1,MATCH(COLUMNS($AB$1006:AQ1006),$AB$1006:$AQ$1006,0))&gt;=100000), " ",IF(INDEX($AB$2:$AQ$1001,MATCH(ROWS($U$2:U229),$U$2:$U$1001,0),MATCH(COLUMNS($AB$1006:AQ1006),$AB$1006:$AQ$1006,0)), HYPERLINK("#",""), HYPERLINK(CONCATENATE("#Metadata!", ADDRESS(INDEX($W$2:$W$1001,MATCH(ROWS($U$2:U229),$U$2:$U$1001,0),0), INDEX($AB$1004:$AQ$1004,1,MATCH(COLUMNS($AB$1006:AQ1006),$AB$1006:$AQ$1006,0)))),"Fix")))</f>
        <v>0</v>
      </c>
      <c r="U229">
        <v>0</v>
      </c>
      <c r="V229">
        <v>0</v>
      </c>
      <c r="W229">
        <v>0</v>
      </c>
      <c r="X229">
        <f>IF(Y229,TRUE,AND(AB229:AQ229))</f>
        <v>0</v>
      </c>
      <c r="Y229">
        <f>COUNTBLANK(Metadata!B229:Q229)=COLUMNS(Metadata!B229:Q229)</f>
        <v>0</v>
      </c>
      <c r="Z229">
        <v>0</v>
      </c>
      <c r="AB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AC229">
        <f>AND(IF(Metadata!C229="",FALSE,TRUE),exact(Metadata!C229,"urban biome"))</f>
        <v>0</v>
      </c>
      <c r="AD229">
        <f>AND(IF(Metadata!D229="",FALSE,TRUE),exact(Metadata!D229,"human-associated habitat"))</f>
        <v>0</v>
      </c>
      <c r="AE229">
        <f>AND(IF(Metadata!E229="",FALSE,TRUE),OR(exact(Metadata!E229,"human-associated"),exact(Metadata!E229,"human-skin"),exact(Metadata!E229,"human-oral"),exact(Metadata!E229,"human-gut"),exact(Metadata!E229,"human-vaginal")))</f>
        <v>0</v>
      </c>
      <c r="AF229">
        <f>AND(IF(Metadata!F229="",FALSE,ISNUMBER(VALUE(Metadata!F229))),Metadata!F229&gt;0)</f>
        <v>0</v>
      </c>
      <c r="AG229">
        <f>AND(IF(Metadata!G229="",FALSE,TRUE),exact(Metadata!G229,"years"))</f>
        <v>0</v>
      </c>
      <c r="AH229">
        <f>OR(AND(IF(Metadata!H229="",FALSE,TRUE),OR(exact(Metadata!H229,"not applicable"),exact(Metadata!H229,"not collected"),exact(Metadata!H229,"not provided"),exact(Metadata!H229,"restricted access"))),AND(IF(Metadata!H229="",FALSE,ISNUMBER(VALUE(Metadata!H229))),Metadata!H229&gt;0))</f>
        <v>0</v>
      </c>
      <c r="AI229">
        <f>AND(IF(Metadata!I229="",FALSE,TRUE),exact(Metadata!I229,"human"))</f>
        <v>0</v>
      </c>
      <c r="AJ229">
        <f>AND(IF(Metadata!J229="",FALSE,ISNUMBER(VALUE(Metadata!J229))),Metadata!J229&gt;0)</f>
        <v>0</v>
      </c>
      <c r="AK229">
        <f>AND(IF(Metadata!K229="",FALSE,TRUE),exact(Metadata!K229,"cm"))</f>
        <v>0</v>
      </c>
      <c r="AL229">
        <f>AND(IF(Metadata!L229="",FALSE,TRUE),exact(Metadata!L229,"Homo sapiens"))</f>
        <v>0</v>
      </c>
      <c r="AM229">
        <f>AND(IF(Metadata!M229="",FALSE,TRUE),exact(Metadata!M229,"9606"))</f>
        <v>0</v>
      </c>
      <c r="AN229">
        <f>AND(IF(Metadata!N229="",FALSE,ISNUMBER(VALUE(Metadata!N229))),Metadata!N229&gt;0)</f>
        <v>0</v>
      </c>
      <c r="AO229">
        <f>AND(IF(Metadata!O229="",FALSE,TRUE),exact(Metadata!O229,"kg"))</f>
        <v>0</v>
      </c>
      <c r="AP229">
        <f>OR(AND(IF(Metadata!P229="",FALSE,TRUE),exact(Metadata!P229,"not provided")),IF(Metadata!P229="",FALSE,TRUE))</f>
        <v>0</v>
      </c>
      <c r="AQ229">
        <f>OR(AND(IF(Metadata!Q229="",FALSE,TRUE),exact(Metadata!Q229,"not provided")),IF(Metadata!Q229="",FALSE,TRUE))</f>
        <v>0</v>
      </c>
    </row>
    <row r="230" spans="1:43">
      <c r="A230" s="4">
        <f>IF(B230=" "," ",HYPERLINK(CONCATENATE("#metadata!",ADDRESS(INDEX($W$2:$W$1001,MATCH(ROWS($U$2:U230),$U$2:$U$1001,0),0),2)),INDEX($Z$2:$Z$1001,MATCH(ROWS($U$2:U230),$U$2:$U$1001,0),0)))</f>
        <v>0</v>
      </c>
      <c r="B230" s="5">
        <f>IF(OR(INDEX($V$2:$V$1001,MATCH(ROWS($U$2:U230),$U$2:$U$1001,0),1)&gt;=100000,INDEX($AB$1005:$AQ$1005,1,MATCH(COLUMNS($AB$1006:AB1006),$AB$1006:$AQ$1006,0))&gt;=100000), " ",IF(INDEX($AB$2:$AQ$1001,MATCH(ROWS($U$2:U230),$U$2:$U$1001,0),MATCH(COLUMNS($AB$1006:AB1006),$AB$1006:$AQ$1006,0)), HYPERLINK("#",""), HYPERLINK(CONCATENATE("#Metadata!", ADDRESS(INDEX($W$2:$W$1001,MATCH(ROWS($U$2:U230),$U$2:$U$1001,0),0), INDEX($AB$1004:$AQ$1004,1,MATCH(COLUMNS($AB$1006:AB1006),$AB$1006:$AQ$1006,0)))),"Fix")))</f>
        <v>0</v>
      </c>
      <c r="C230" s="5">
        <f>IF(OR(INDEX($V$2:$V$1001,MATCH(ROWS($U$2:U230),$U$2:$U$1001,0),1)&gt;=100000,INDEX($AB$1005:$AQ$1005,1,MATCH(COLUMNS($AB$1006:AC1006),$AB$1006:$AQ$1006,0))&gt;=100000), " ",IF(INDEX($AB$2:$AQ$1001,MATCH(ROWS($U$2:U230),$U$2:$U$1001,0),MATCH(COLUMNS($AB$1006:AC1006),$AB$1006:$AQ$1006,0)), HYPERLINK("#",""), HYPERLINK(CONCATENATE("#Metadata!", ADDRESS(INDEX($W$2:$W$1001,MATCH(ROWS($U$2:U230),$U$2:$U$1001,0),0), INDEX($AB$1004:$AQ$1004,1,MATCH(COLUMNS($AB$1006:AC1006),$AB$1006:$AQ$1006,0)))),"Fix")))</f>
        <v>0</v>
      </c>
      <c r="D230" s="5">
        <f>IF(OR(INDEX($V$2:$V$1001,MATCH(ROWS($U$2:U230),$U$2:$U$1001,0),1)&gt;=100000,INDEX($AB$1005:$AQ$1005,1,MATCH(COLUMNS($AB$1006:AD1006),$AB$1006:$AQ$1006,0))&gt;=100000), " ",IF(INDEX($AB$2:$AQ$1001,MATCH(ROWS($U$2:U230),$U$2:$U$1001,0),MATCH(COLUMNS($AB$1006:AD1006),$AB$1006:$AQ$1006,0)), HYPERLINK("#",""), HYPERLINK(CONCATENATE("#Metadata!", ADDRESS(INDEX($W$2:$W$1001,MATCH(ROWS($U$2:U230),$U$2:$U$1001,0),0), INDEX($AB$1004:$AQ$1004,1,MATCH(COLUMNS($AB$1006:AD1006),$AB$1006:$AQ$1006,0)))),"Fix")))</f>
        <v>0</v>
      </c>
      <c r="E230" s="5">
        <f>IF(OR(INDEX($V$2:$V$1001,MATCH(ROWS($U$2:U230),$U$2:$U$1001,0),1)&gt;=100000,INDEX($AB$1005:$AQ$1005,1,MATCH(COLUMNS($AB$1006:AE1006),$AB$1006:$AQ$1006,0))&gt;=100000), " ",IF(INDEX($AB$2:$AQ$1001,MATCH(ROWS($U$2:U230),$U$2:$U$1001,0),MATCH(COLUMNS($AB$1006:AE1006),$AB$1006:$AQ$1006,0)), HYPERLINK("#",""), HYPERLINK(CONCATENATE("#Metadata!", ADDRESS(INDEX($W$2:$W$1001,MATCH(ROWS($U$2:U230),$U$2:$U$1001,0),0), INDEX($AB$1004:$AQ$1004,1,MATCH(COLUMNS($AB$1006:AE1006),$AB$1006:$AQ$1006,0)))),"Fix")))</f>
        <v>0</v>
      </c>
      <c r="F230" s="5">
        <f>IF(OR(INDEX($V$2:$V$1001,MATCH(ROWS($U$2:U230),$U$2:$U$1001,0),1)&gt;=100000,INDEX($AB$1005:$AQ$1005,1,MATCH(COLUMNS($AB$1006:AF1006),$AB$1006:$AQ$1006,0))&gt;=100000), " ",IF(INDEX($AB$2:$AQ$1001,MATCH(ROWS($U$2:U230),$U$2:$U$1001,0),MATCH(COLUMNS($AB$1006:AF1006),$AB$1006:$AQ$1006,0)), HYPERLINK("#",""), HYPERLINK(CONCATENATE("#Metadata!", ADDRESS(INDEX($W$2:$W$1001,MATCH(ROWS($U$2:U230),$U$2:$U$1001,0),0), INDEX($AB$1004:$AQ$1004,1,MATCH(COLUMNS($AB$1006:AF1006),$AB$1006:$AQ$1006,0)))),"Fix")))</f>
        <v>0</v>
      </c>
      <c r="G230" s="5">
        <f>IF(OR(INDEX($V$2:$V$1001,MATCH(ROWS($U$2:U230),$U$2:$U$1001,0),1)&gt;=100000,INDEX($AB$1005:$AQ$1005,1,MATCH(COLUMNS($AB$1006:AG1006),$AB$1006:$AQ$1006,0))&gt;=100000), " ",IF(INDEX($AB$2:$AQ$1001,MATCH(ROWS($U$2:U230),$U$2:$U$1001,0),MATCH(COLUMNS($AB$1006:AG1006),$AB$1006:$AQ$1006,0)), HYPERLINK("#",""), HYPERLINK(CONCATENATE("#Metadata!", ADDRESS(INDEX($W$2:$W$1001,MATCH(ROWS($U$2:U230),$U$2:$U$1001,0),0), INDEX($AB$1004:$AQ$1004,1,MATCH(COLUMNS($AB$1006:AG1006),$AB$1006:$AQ$1006,0)))),"Fix")))</f>
        <v>0</v>
      </c>
      <c r="H230" s="5">
        <f>IF(OR(INDEX($V$2:$V$1001,MATCH(ROWS($U$2:U230),$U$2:$U$1001,0),1)&gt;=100000,INDEX($AB$1005:$AQ$1005,1,MATCH(COLUMNS($AB$1006:AH1006),$AB$1006:$AQ$1006,0))&gt;=100000), " ",IF(INDEX($AB$2:$AQ$1001,MATCH(ROWS($U$2:U230),$U$2:$U$1001,0),MATCH(COLUMNS($AB$1006:AH1006),$AB$1006:$AQ$1006,0)), HYPERLINK("#",""), HYPERLINK(CONCATENATE("#Metadata!", ADDRESS(INDEX($W$2:$W$1001,MATCH(ROWS($U$2:U230),$U$2:$U$1001,0),0), INDEX($AB$1004:$AQ$1004,1,MATCH(COLUMNS($AB$1006:AH1006),$AB$1006:$AQ$1006,0)))),"Fix")))</f>
        <v>0</v>
      </c>
      <c r="I230" s="5">
        <f>IF(OR(INDEX($V$2:$V$1001,MATCH(ROWS($U$2:U230),$U$2:$U$1001,0),1)&gt;=100000,INDEX($AB$1005:$AQ$1005,1,MATCH(COLUMNS($AB$1006:AI1006),$AB$1006:$AQ$1006,0))&gt;=100000), " ",IF(INDEX($AB$2:$AQ$1001,MATCH(ROWS($U$2:U230),$U$2:$U$1001,0),MATCH(COLUMNS($AB$1006:AI1006),$AB$1006:$AQ$1006,0)), HYPERLINK("#",""), HYPERLINK(CONCATENATE("#Metadata!", ADDRESS(INDEX($W$2:$W$1001,MATCH(ROWS($U$2:U230),$U$2:$U$1001,0),0), INDEX($AB$1004:$AQ$1004,1,MATCH(COLUMNS($AB$1006:AI1006),$AB$1006:$AQ$1006,0)))),"Fix")))</f>
        <v>0</v>
      </c>
      <c r="J230" s="5">
        <f>IF(OR(INDEX($V$2:$V$1001,MATCH(ROWS($U$2:U230),$U$2:$U$1001,0),1)&gt;=100000,INDEX($AB$1005:$AQ$1005,1,MATCH(COLUMNS($AB$1006:AJ1006),$AB$1006:$AQ$1006,0))&gt;=100000), " ",IF(INDEX($AB$2:$AQ$1001,MATCH(ROWS($U$2:U230),$U$2:$U$1001,0),MATCH(COLUMNS($AB$1006:AJ1006),$AB$1006:$AQ$1006,0)), HYPERLINK("#",""), HYPERLINK(CONCATENATE("#Metadata!", ADDRESS(INDEX($W$2:$W$1001,MATCH(ROWS($U$2:U230),$U$2:$U$1001,0),0), INDEX($AB$1004:$AQ$1004,1,MATCH(COLUMNS($AB$1006:AJ1006),$AB$1006:$AQ$1006,0)))),"Fix")))</f>
        <v>0</v>
      </c>
      <c r="K230" s="5">
        <f>IF(OR(INDEX($V$2:$V$1001,MATCH(ROWS($U$2:U230),$U$2:$U$1001,0),1)&gt;=100000,INDEX($AB$1005:$AQ$1005,1,MATCH(COLUMNS($AB$1006:AK1006),$AB$1006:$AQ$1006,0))&gt;=100000), " ",IF(INDEX($AB$2:$AQ$1001,MATCH(ROWS($U$2:U230),$U$2:$U$1001,0),MATCH(COLUMNS($AB$1006:AK1006),$AB$1006:$AQ$1006,0)), HYPERLINK("#",""), HYPERLINK(CONCATENATE("#Metadata!", ADDRESS(INDEX($W$2:$W$1001,MATCH(ROWS($U$2:U230),$U$2:$U$1001,0),0), INDEX($AB$1004:$AQ$1004,1,MATCH(COLUMNS($AB$1006:AK1006),$AB$1006:$AQ$1006,0)))),"Fix")))</f>
        <v>0</v>
      </c>
      <c r="L230" s="5">
        <f>IF(OR(INDEX($V$2:$V$1001,MATCH(ROWS($U$2:U230),$U$2:$U$1001,0),1)&gt;=100000,INDEX($AB$1005:$AQ$1005,1,MATCH(COLUMNS($AB$1006:AL1006),$AB$1006:$AQ$1006,0))&gt;=100000), " ",IF(INDEX($AB$2:$AQ$1001,MATCH(ROWS($U$2:U230),$U$2:$U$1001,0),MATCH(COLUMNS($AB$1006:AL1006),$AB$1006:$AQ$1006,0)), HYPERLINK("#",""), HYPERLINK(CONCATENATE("#Metadata!", ADDRESS(INDEX($W$2:$W$1001,MATCH(ROWS($U$2:U230),$U$2:$U$1001,0),0), INDEX($AB$1004:$AQ$1004,1,MATCH(COLUMNS($AB$1006:AL1006),$AB$1006:$AQ$1006,0)))),"Fix")))</f>
        <v>0</v>
      </c>
      <c r="M230" s="5">
        <f>IF(OR(INDEX($V$2:$V$1001,MATCH(ROWS($U$2:U230),$U$2:$U$1001,0),1)&gt;=100000,INDEX($AB$1005:$AQ$1005,1,MATCH(COLUMNS($AB$1006:AM1006),$AB$1006:$AQ$1006,0))&gt;=100000), " ",IF(INDEX($AB$2:$AQ$1001,MATCH(ROWS($U$2:U230),$U$2:$U$1001,0),MATCH(COLUMNS($AB$1006:AM1006),$AB$1006:$AQ$1006,0)), HYPERLINK("#",""), HYPERLINK(CONCATENATE("#Metadata!", ADDRESS(INDEX($W$2:$W$1001,MATCH(ROWS($U$2:U230),$U$2:$U$1001,0),0), INDEX($AB$1004:$AQ$1004,1,MATCH(COLUMNS($AB$1006:AM1006),$AB$1006:$AQ$1006,0)))),"Fix")))</f>
        <v>0</v>
      </c>
      <c r="N230" s="5">
        <f>IF(OR(INDEX($V$2:$V$1001,MATCH(ROWS($U$2:U230),$U$2:$U$1001,0),1)&gt;=100000,INDEX($AB$1005:$AQ$1005,1,MATCH(COLUMNS($AB$1006:AN1006),$AB$1006:$AQ$1006,0))&gt;=100000), " ",IF(INDEX($AB$2:$AQ$1001,MATCH(ROWS($U$2:U230),$U$2:$U$1001,0),MATCH(COLUMNS($AB$1006:AN1006),$AB$1006:$AQ$1006,0)), HYPERLINK("#",""), HYPERLINK(CONCATENATE("#Metadata!", ADDRESS(INDEX($W$2:$W$1001,MATCH(ROWS($U$2:U230),$U$2:$U$1001,0),0), INDEX($AB$1004:$AQ$1004,1,MATCH(COLUMNS($AB$1006:AN1006),$AB$1006:$AQ$1006,0)))),"Fix")))</f>
        <v>0</v>
      </c>
      <c r="O230" s="5">
        <f>IF(OR(INDEX($V$2:$V$1001,MATCH(ROWS($U$2:U230),$U$2:$U$1001,0),1)&gt;=100000,INDEX($AB$1005:$AQ$1005,1,MATCH(COLUMNS($AB$1006:AO1006),$AB$1006:$AQ$1006,0))&gt;=100000), " ",IF(INDEX($AB$2:$AQ$1001,MATCH(ROWS($U$2:U230),$U$2:$U$1001,0),MATCH(COLUMNS($AB$1006:AO1006),$AB$1006:$AQ$1006,0)), HYPERLINK("#",""), HYPERLINK(CONCATENATE("#Metadata!", ADDRESS(INDEX($W$2:$W$1001,MATCH(ROWS($U$2:U230),$U$2:$U$1001,0),0), INDEX($AB$1004:$AQ$1004,1,MATCH(COLUMNS($AB$1006:AO1006),$AB$1006:$AQ$1006,0)))),"Fix")))</f>
        <v>0</v>
      </c>
      <c r="P230" s="5">
        <f>IF(OR(INDEX($V$2:$V$1001,MATCH(ROWS($U$2:U230),$U$2:$U$1001,0),1)&gt;=100000,INDEX($AB$1005:$AQ$1005,1,MATCH(COLUMNS($AB$1006:AP1006),$AB$1006:$AQ$1006,0))&gt;=100000), " ",IF(INDEX($AB$2:$AQ$1001,MATCH(ROWS($U$2:U230),$U$2:$U$1001,0),MATCH(COLUMNS($AB$1006:AP1006),$AB$1006:$AQ$1006,0)), HYPERLINK("#",""), HYPERLINK(CONCATENATE("#Metadata!", ADDRESS(INDEX($W$2:$W$1001,MATCH(ROWS($U$2:U230),$U$2:$U$1001,0),0), INDEX($AB$1004:$AQ$1004,1,MATCH(COLUMNS($AB$1006:AP1006),$AB$1006:$AQ$1006,0)))),"Fix")))</f>
        <v>0</v>
      </c>
      <c r="Q230" s="5">
        <f>IF(OR(INDEX($V$2:$V$1001,MATCH(ROWS($U$2:U230),$U$2:$U$1001,0),1)&gt;=100000,INDEX($AB$1005:$AQ$1005,1,MATCH(COLUMNS($AB$1006:AQ1006),$AB$1006:$AQ$1006,0))&gt;=100000), " ",IF(INDEX($AB$2:$AQ$1001,MATCH(ROWS($U$2:U230),$U$2:$U$1001,0),MATCH(COLUMNS($AB$1006:AQ1006),$AB$1006:$AQ$1006,0)), HYPERLINK("#",""), HYPERLINK(CONCATENATE("#Metadata!", ADDRESS(INDEX($W$2:$W$1001,MATCH(ROWS($U$2:U230),$U$2:$U$1001,0),0), INDEX($AB$1004:$AQ$1004,1,MATCH(COLUMNS($AB$1006:AQ1006),$AB$1006:$AQ$1006,0)))),"Fix")))</f>
        <v>0</v>
      </c>
      <c r="U230">
        <v>0</v>
      </c>
      <c r="V230">
        <v>0</v>
      </c>
      <c r="W230">
        <v>0</v>
      </c>
      <c r="X230">
        <f>IF(Y230,TRUE,AND(AB230:AQ230))</f>
        <v>0</v>
      </c>
      <c r="Y230">
        <f>COUNTBLANK(Metadata!B230:Q230)=COLUMNS(Metadata!B230:Q230)</f>
        <v>0</v>
      </c>
      <c r="Z230">
        <v>0</v>
      </c>
      <c r="AB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AC230">
        <f>AND(IF(Metadata!C230="",FALSE,TRUE),exact(Metadata!C230,"urban biome"))</f>
        <v>0</v>
      </c>
      <c r="AD230">
        <f>AND(IF(Metadata!D230="",FALSE,TRUE),exact(Metadata!D230,"human-associated habitat"))</f>
        <v>0</v>
      </c>
      <c r="AE230">
        <f>AND(IF(Metadata!E230="",FALSE,TRUE),OR(exact(Metadata!E230,"human-associated"),exact(Metadata!E230,"human-skin"),exact(Metadata!E230,"human-oral"),exact(Metadata!E230,"human-gut"),exact(Metadata!E230,"human-vaginal")))</f>
        <v>0</v>
      </c>
      <c r="AF230">
        <f>AND(IF(Metadata!F230="",FALSE,ISNUMBER(VALUE(Metadata!F230))),Metadata!F230&gt;0)</f>
        <v>0</v>
      </c>
      <c r="AG230">
        <f>AND(IF(Metadata!G230="",FALSE,TRUE),exact(Metadata!G230,"years"))</f>
        <v>0</v>
      </c>
      <c r="AH230">
        <f>OR(AND(IF(Metadata!H230="",FALSE,TRUE),OR(exact(Metadata!H230,"not applicable"),exact(Metadata!H230,"not collected"),exact(Metadata!H230,"not provided"),exact(Metadata!H230,"restricted access"))),AND(IF(Metadata!H230="",FALSE,ISNUMBER(VALUE(Metadata!H230))),Metadata!H230&gt;0))</f>
        <v>0</v>
      </c>
      <c r="AI230">
        <f>AND(IF(Metadata!I230="",FALSE,TRUE),exact(Metadata!I230,"human"))</f>
        <v>0</v>
      </c>
      <c r="AJ230">
        <f>AND(IF(Metadata!J230="",FALSE,ISNUMBER(VALUE(Metadata!J230))),Metadata!J230&gt;0)</f>
        <v>0</v>
      </c>
      <c r="AK230">
        <f>AND(IF(Metadata!K230="",FALSE,TRUE),exact(Metadata!K230,"cm"))</f>
        <v>0</v>
      </c>
      <c r="AL230">
        <f>AND(IF(Metadata!L230="",FALSE,TRUE),exact(Metadata!L230,"Homo sapiens"))</f>
        <v>0</v>
      </c>
      <c r="AM230">
        <f>AND(IF(Metadata!M230="",FALSE,TRUE),exact(Metadata!M230,"9606"))</f>
        <v>0</v>
      </c>
      <c r="AN230">
        <f>AND(IF(Metadata!N230="",FALSE,ISNUMBER(VALUE(Metadata!N230))),Metadata!N230&gt;0)</f>
        <v>0</v>
      </c>
      <c r="AO230">
        <f>AND(IF(Metadata!O230="",FALSE,TRUE),exact(Metadata!O230,"kg"))</f>
        <v>0</v>
      </c>
      <c r="AP230">
        <f>OR(AND(IF(Metadata!P230="",FALSE,TRUE),exact(Metadata!P230,"not provided")),IF(Metadata!P230="",FALSE,TRUE))</f>
        <v>0</v>
      </c>
      <c r="AQ230">
        <f>OR(AND(IF(Metadata!Q230="",FALSE,TRUE),exact(Metadata!Q230,"not provided")),IF(Metadata!Q230="",FALSE,TRUE))</f>
        <v>0</v>
      </c>
    </row>
    <row r="231" spans="1:43">
      <c r="A231" s="4">
        <f>IF(B231=" "," ",HYPERLINK(CONCATENATE("#metadata!",ADDRESS(INDEX($W$2:$W$1001,MATCH(ROWS($U$2:U231),$U$2:$U$1001,0),0),2)),INDEX($Z$2:$Z$1001,MATCH(ROWS($U$2:U231),$U$2:$U$1001,0),0)))</f>
        <v>0</v>
      </c>
      <c r="B231" s="5">
        <f>IF(OR(INDEX($V$2:$V$1001,MATCH(ROWS($U$2:U231),$U$2:$U$1001,0),1)&gt;=100000,INDEX($AB$1005:$AQ$1005,1,MATCH(COLUMNS($AB$1006:AB1006),$AB$1006:$AQ$1006,0))&gt;=100000), " ",IF(INDEX($AB$2:$AQ$1001,MATCH(ROWS($U$2:U231),$U$2:$U$1001,0),MATCH(COLUMNS($AB$1006:AB1006),$AB$1006:$AQ$1006,0)), HYPERLINK("#",""), HYPERLINK(CONCATENATE("#Metadata!", ADDRESS(INDEX($W$2:$W$1001,MATCH(ROWS($U$2:U231),$U$2:$U$1001,0),0), INDEX($AB$1004:$AQ$1004,1,MATCH(COLUMNS($AB$1006:AB1006),$AB$1006:$AQ$1006,0)))),"Fix")))</f>
        <v>0</v>
      </c>
      <c r="C231" s="5">
        <f>IF(OR(INDEX($V$2:$V$1001,MATCH(ROWS($U$2:U231),$U$2:$U$1001,0),1)&gt;=100000,INDEX($AB$1005:$AQ$1005,1,MATCH(COLUMNS($AB$1006:AC1006),$AB$1006:$AQ$1006,0))&gt;=100000), " ",IF(INDEX($AB$2:$AQ$1001,MATCH(ROWS($U$2:U231),$U$2:$U$1001,0),MATCH(COLUMNS($AB$1006:AC1006),$AB$1006:$AQ$1006,0)), HYPERLINK("#",""), HYPERLINK(CONCATENATE("#Metadata!", ADDRESS(INDEX($W$2:$W$1001,MATCH(ROWS($U$2:U231),$U$2:$U$1001,0),0), INDEX($AB$1004:$AQ$1004,1,MATCH(COLUMNS($AB$1006:AC1006),$AB$1006:$AQ$1006,0)))),"Fix")))</f>
        <v>0</v>
      </c>
      <c r="D231" s="5">
        <f>IF(OR(INDEX($V$2:$V$1001,MATCH(ROWS($U$2:U231),$U$2:$U$1001,0),1)&gt;=100000,INDEX($AB$1005:$AQ$1005,1,MATCH(COLUMNS($AB$1006:AD1006),$AB$1006:$AQ$1006,0))&gt;=100000), " ",IF(INDEX($AB$2:$AQ$1001,MATCH(ROWS($U$2:U231),$U$2:$U$1001,0),MATCH(COLUMNS($AB$1006:AD1006),$AB$1006:$AQ$1006,0)), HYPERLINK("#",""), HYPERLINK(CONCATENATE("#Metadata!", ADDRESS(INDEX($W$2:$W$1001,MATCH(ROWS($U$2:U231),$U$2:$U$1001,0),0), INDEX($AB$1004:$AQ$1004,1,MATCH(COLUMNS($AB$1006:AD1006),$AB$1006:$AQ$1006,0)))),"Fix")))</f>
        <v>0</v>
      </c>
      <c r="E231" s="5">
        <f>IF(OR(INDEX($V$2:$V$1001,MATCH(ROWS($U$2:U231),$U$2:$U$1001,0),1)&gt;=100000,INDEX($AB$1005:$AQ$1005,1,MATCH(COLUMNS($AB$1006:AE1006),$AB$1006:$AQ$1006,0))&gt;=100000), " ",IF(INDEX($AB$2:$AQ$1001,MATCH(ROWS($U$2:U231),$U$2:$U$1001,0),MATCH(COLUMNS($AB$1006:AE1006),$AB$1006:$AQ$1006,0)), HYPERLINK("#",""), HYPERLINK(CONCATENATE("#Metadata!", ADDRESS(INDEX($W$2:$W$1001,MATCH(ROWS($U$2:U231),$U$2:$U$1001,0),0), INDEX($AB$1004:$AQ$1004,1,MATCH(COLUMNS($AB$1006:AE1006),$AB$1006:$AQ$1006,0)))),"Fix")))</f>
        <v>0</v>
      </c>
      <c r="F231" s="5">
        <f>IF(OR(INDEX($V$2:$V$1001,MATCH(ROWS($U$2:U231),$U$2:$U$1001,0),1)&gt;=100000,INDEX($AB$1005:$AQ$1005,1,MATCH(COLUMNS($AB$1006:AF1006),$AB$1006:$AQ$1006,0))&gt;=100000), " ",IF(INDEX($AB$2:$AQ$1001,MATCH(ROWS($U$2:U231),$U$2:$U$1001,0),MATCH(COLUMNS($AB$1006:AF1006),$AB$1006:$AQ$1006,0)), HYPERLINK("#",""), HYPERLINK(CONCATENATE("#Metadata!", ADDRESS(INDEX($W$2:$W$1001,MATCH(ROWS($U$2:U231),$U$2:$U$1001,0),0), INDEX($AB$1004:$AQ$1004,1,MATCH(COLUMNS($AB$1006:AF1006),$AB$1006:$AQ$1006,0)))),"Fix")))</f>
        <v>0</v>
      </c>
      <c r="G231" s="5">
        <f>IF(OR(INDEX($V$2:$V$1001,MATCH(ROWS($U$2:U231),$U$2:$U$1001,0),1)&gt;=100000,INDEX($AB$1005:$AQ$1005,1,MATCH(COLUMNS($AB$1006:AG1006),$AB$1006:$AQ$1006,0))&gt;=100000), " ",IF(INDEX($AB$2:$AQ$1001,MATCH(ROWS($U$2:U231),$U$2:$U$1001,0),MATCH(COLUMNS($AB$1006:AG1006),$AB$1006:$AQ$1006,0)), HYPERLINK("#",""), HYPERLINK(CONCATENATE("#Metadata!", ADDRESS(INDEX($W$2:$W$1001,MATCH(ROWS($U$2:U231),$U$2:$U$1001,0),0), INDEX($AB$1004:$AQ$1004,1,MATCH(COLUMNS($AB$1006:AG1006),$AB$1006:$AQ$1006,0)))),"Fix")))</f>
        <v>0</v>
      </c>
      <c r="H231" s="5">
        <f>IF(OR(INDEX($V$2:$V$1001,MATCH(ROWS($U$2:U231),$U$2:$U$1001,0),1)&gt;=100000,INDEX($AB$1005:$AQ$1005,1,MATCH(COLUMNS($AB$1006:AH1006),$AB$1006:$AQ$1006,0))&gt;=100000), " ",IF(INDEX($AB$2:$AQ$1001,MATCH(ROWS($U$2:U231),$U$2:$U$1001,0),MATCH(COLUMNS($AB$1006:AH1006),$AB$1006:$AQ$1006,0)), HYPERLINK("#",""), HYPERLINK(CONCATENATE("#Metadata!", ADDRESS(INDEX($W$2:$W$1001,MATCH(ROWS($U$2:U231),$U$2:$U$1001,0),0), INDEX($AB$1004:$AQ$1004,1,MATCH(COLUMNS($AB$1006:AH1006),$AB$1006:$AQ$1006,0)))),"Fix")))</f>
        <v>0</v>
      </c>
      <c r="I231" s="5">
        <f>IF(OR(INDEX($V$2:$V$1001,MATCH(ROWS($U$2:U231),$U$2:$U$1001,0),1)&gt;=100000,INDEX($AB$1005:$AQ$1005,1,MATCH(COLUMNS($AB$1006:AI1006),$AB$1006:$AQ$1006,0))&gt;=100000), " ",IF(INDEX($AB$2:$AQ$1001,MATCH(ROWS($U$2:U231),$U$2:$U$1001,0),MATCH(COLUMNS($AB$1006:AI1006),$AB$1006:$AQ$1006,0)), HYPERLINK("#",""), HYPERLINK(CONCATENATE("#Metadata!", ADDRESS(INDEX($W$2:$W$1001,MATCH(ROWS($U$2:U231),$U$2:$U$1001,0),0), INDEX($AB$1004:$AQ$1004,1,MATCH(COLUMNS($AB$1006:AI1006),$AB$1006:$AQ$1006,0)))),"Fix")))</f>
        <v>0</v>
      </c>
      <c r="J231" s="5">
        <f>IF(OR(INDEX($V$2:$V$1001,MATCH(ROWS($U$2:U231),$U$2:$U$1001,0),1)&gt;=100000,INDEX($AB$1005:$AQ$1005,1,MATCH(COLUMNS($AB$1006:AJ1006),$AB$1006:$AQ$1006,0))&gt;=100000), " ",IF(INDEX($AB$2:$AQ$1001,MATCH(ROWS($U$2:U231),$U$2:$U$1001,0),MATCH(COLUMNS($AB$1006:AJ1006),$AB$1006:$AQ$1006,0)), HYPERLINK("#",""), HYPERLINK(CONCATENATE("#Metadata!", ADDRESS(INDEX($W$2:$W$1001,MATCH(ROWS($U$2:U231),$U$2:$U$1001,0),0), INDEX($AB$1004:$AQ$1004,1,MATCH(COLUMNS($AB$1006:AJ1006),$AB$1006:$AQ$1006,0)))),"Fix")))</f>
        <v>0</v>
      </c>
      <c r="K231" s="5">
        <f>IF(OR(INDEX($V$2:$V$1001,MATCH(ROWS($U$2:U231),$U$2:$U$1001,0),1)&gt;=100000,INDEX($AB$1005:$AQ$1005,1,MATCH(COLUMNS($AB$1006:AK1006),$AB$1006:$AQ$1006,0))&gt;=100000), " ",IF(INDEX($AB$2:$AQ$1001,MATCH(ROWS($U$2:U231),$U$2:$U$1001,0),MATCH(COLUMNS($AB$1006:AK1006),$AB$1006:$AQ$1006,0)), HYPERLINK("#",""), HYPERLINK(CONCATENATE("#Metadata!", ADDRESS(INDEX($W$2:$W$1001,MATCH(ROWS($U$2:U231),$U$2:$U$1001,0),0), INDEX($AB$1004:$AQ$1004,1,MATCH(COLUMNS($AB$1006:AK1006),$AB$1006:$AQ$1006,0)))),"Fix")))</f>
        <v>0</v>
      </c>
      <c r="L231" s="5">
        <f>IF(OR(INDEX($V$2:$V$1001,MATCH(ROWS($U$2:U231),$U$2:$U$1001,0),1)&gt;=100000,INDEX($AB$1005:$AQ$1005,1,MATCH(COLUMNS($AB$1006:AL1006),$AB$1006:$AQ$1006,0))&gt;=100000), " ",IF(INDEX($AB$2:$AQ$1001,MATCH(ROWS($U$2:U231),$U$2:$U$1001,0),MATCH(COLUMNS($AB$1006:AL1006),$AB$1006:$AQ$1006,0)), HYPERLINK("#",""), HYPERLINK(CONCATENATE("#Metadata!", ADDRESS(INDEX($W$2:$W$1001,MATCH(ROWS($U$2:U231),$U$2:$U$1001,0),0), INDEX($AB$1004:$AQ$1004,1,MATCH(COLUMNS($AB$1006:AL1006),$AB$1006:$AQ$1006,0)))),"Fix")))</f>
        <v>0</v>
      </c>
      <c r="M231" s="5">
        <f>IF(OR(INDEX($V$2:$V$1001,MATCH(ROWS($U$2:U231),$U$2:$U$1001,0),1)&gt;=100000,INDEX($AB$1005:$AQ$1005,1,MATCH(COLUMNS($AB$1006:AM1006),$AB$1006:$AQ$1006,0))&gt;=100000), " ",IF(INDEX($AB$2:$AQ$1001,MATCH(ROWS($U$2:U231),$U$2:$U$1001,0),MATCH(COLUMNS($AB$1006:AM1006),$AB$1006:$AQ$1006,0)), HYPERLINK("#",""), HYPERLINK(CONCATENATE("#Metadata!", ADDRESS(INDEX($W$2:$W$1001,MATCH(ROWS($U$2:U231),$U$2:$U$1001,0),0), INDEX($AB$1004:$AQ$1004,1,MATCH(COLUMNS($AB$1006:AM1006),$AB$1006:$AQ$1006,0)))),"Fix")))</f>
        <v>0</v>
      </c>
      <c r="N231" s="5">
        <f>IF(OR(INDEX($V$2:$V$1001,MATCH(ROWS($U$2:U231),$U$2:$U$1001,0),1)&gt;=100000,INDEX($AB$1005:$AQ$1005,1,MATCH(COLUMNS($AB$1006:AN1006),$AB$1006:$AQ$1006,0))&gt;=100000), " ",IF(INDEX($AB$2:$AQ$1001,MATCH(ROWS($U$2:U231),$U$2:$U$1001,0),MATCH(COLUMNS($AB$1006:AN1006),$AB$1006:$AQ$1006,0)), HYPERLINK("#",""), HYPERLINK(CONCATENATE("#Metadata!", ADDRESS(INDEX($W$2:$W$1001,MATCH(ROWS($U$2:U231),$U$2:$U$1001,0),0), INDEX($AB$1004:$AQ$1004,1,MATCH(COLUMNS($AB$1006:AN1006),$AB$1006:$AQ$1006,0)))),"Fix")))</f>
        <v>0</v>
      </c>
      <c r="O231" s="5">
        <f>IF(OR(INDEX($V$2:$V$1001,MATCH(ROWS($U$2:U231),$U$2:$U$1001,0),1)&gt;=100000,INDEX($AB$1005:$AQ$1005,1,MATCH(COLUMNS($AB$1006:AO1006),$AB$1006:$AQ$1006,0))&gt;=100000), " ",IF(INDEX($AB$2:$AQ$1001,MATCH(ROWS($U$2:U231),$U$2:$U$1001,0),MATCH(COLUMNS($AB$1006:AO1006),$AB$1006:$AQ$1006,0)), HYPERLINK("#",""), HYPERLINK(CONCATENATE("#Metadata!", ADDRESS(INDEX($W$2:$W$1001,MATCH(ROWS($U$2:U231),$U$2:$U$1001,0),0), INDEX($AB$1004:$AQ$1004,1,MATCH(COLUMNS($AB$1006:AO1006),$AB$1006:$AQ$1006,0)))),"Fix")))</f>
        <v>0</v>
      </c>
      <c r="P231" s="5">
        <f>IF(OR(INDEX($V$2:$V$1001,MATCH(ROWS($U$2:U231),$U$2:$U$1001,0),1)&gt;=100000,INDEX($AB$1005:$AQ$1005,1,MATCH(COLUMNS($AB$1006:AP1006),$AB$1006:$AQ$1006,0))&gt;=100000), " ",IF(INDEX($AB$2:$AQ$1001,MATCH(ROWS($U$2:U231),$U$2:$U$1001,0),MATCH(COLUMNS($AB$1006:AP1006),$AB$1006:$AQ$1006,0)), HYPERLINK("#",""), HYPERLINK(CONCATENATE("#Metadata!", ADDRESS(INDEX($W$2:$W$1001,MATCH(ROWS($U$2:U231),$U$2:$U$1001,0),0), INDEX($AB$1004:$AQ$1004,1,MATCH(COLUMNS($AB$1006:AP1006),$AB$1006:$AQ$1006,0)))),"Fix")))</f>
        <v>0</v>
      </c>
      <c r="Q231" s="5">
        <f>IF(OR(INDEX($V$2:$V$1001,MATCH(ROWS($U$2:U231),$U$2:$U$1001,0),1)&gt;=100000,INDEX($AB$1005:$AQ$1005,1,MATCH(COLUMNS($AB$1006:AQ1006),$AB$1006:$AQ$1006,0))&gt;=100000), " ",IF(INDEX($AB$2:$AQ$1001,MATCH(ROWS($U$2:U231),$U$2:$U$1001,0),MATCH(COLUMNS($AB$1006:AQ1006),$AB$1006:$AQ$1006,0)), HYPERLINK("#",""), HYPERLINK(CONCATENATE("#Metadata!", ADDRESS(INDEX($W$2:$W$1001,MATCH(ROWS($U$2:U231),$U$2:$U$1001,0),0), INDEX($AB$1004:$AQ$1004,1,MATCH(COLUMNS($AB$1006:AQ1006),$AB$1006:$AQ$1006,0)))),"Fix")))</f>
        <v>0</v>
      </c>
      <c r="U231">
        <v>0</v>
      </c>
      <c r="V231">
        <v>0</v>
      </c>
      <c r="W231">
        <v>0</v>
      </c>
      <c r="X231">
        <f>IF(Y231,TRUE,AND(AB231:AQ231))</f>
        <v>0</v>
      </c>
      <c r="Y231">
        <f>COUNTBLANK(Metadata!B231:Q231)=COLUMNS(Metadata!B231:Q231)</f>
        <v>0</v>
      </c>
      <c r="Z231">
        <v>0</v>
      </c>
      <c r="AB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AC231">
        <f>AND(IF(Metadata!C231="",FALSE,TRUE),exact(Metadata!C231,"urban biome"))</f>
        <v>0</v>
      </c>
      <c r="AD231">
        <f>AND(IF(Metadata!D231="",FALSE,TRUE),exact(Metadata!D231,"human-associated habitat"))</f>
        <v>0</v>
      </c>
      <c r="AE231">
        <f>AND(IF(Metadata!E231="",FALSE,TRUE),OR(exact(Metadata!E231,"human-associated"),exact(Metadata!E231,"human-skin"),exact(Metadata!E231,"human-oral"),exact(Metadata!E231,"human-gut"),exact(Metadata!E231,"human-vaginal")))</f>
        <v>0</v>
      </c>
      <c r="AF231">
        <f>AND(IF(Metadata!F231="",FALSE,ISNUMBER(VALUE(Metadata!F231))),Metadata!F231&gt;0)</f>
        <v>0</v>
      </c>
      <c r="AG231">
        <f>AND(IF(Metadata!G231="",FALSE,TRUE),exact(Metadata!G231,"years"))</f>
        <v>0</v>
      </c>
      <c r="AH231">
        <f>OR(AND(IF(Metadata!H231="",FALSE,TRUE),OR(exact(Metadata!H231,"not applicable"),exact(Metadata!H231,"not collected"),exact(Metadata!H231,"not provided"),exact(Metadata!H231,"restricted access"))),AND(IF(Metadata!H231="",FALSE,ISNUMBER(VALUE(Metadata!H231))),Metadata!H231&gt;0))</f>
        <v>0</v>
      </c>
      <c r="AI231">
        <f>AND(IF(Metadata!I231="",FALSE,TRUE),exact(Metadata!I231,"human"))</f>
        <v>0</v>
      </c>
      <c r="AJ231">
        <f>AND(IF(Metadata!J231="",FALSE,ISNUMBER(VALUE(Metadata!J231))),Metadata!J231&gt;0)</f>
        <v>0</v>
      </c>
      <c r="AK231">
        <f>AND(IF(Metadata!K231="",FALSE,TRUE),exact(Metadata!K231,"cm"))</f>
        <v>0</v>
      </c>
      <c r="AL231">
        <f>AND(IF(Metadata!L231="",FALSE,TRUE),exact(Metadata!L231,"Homo sapiens"))</f>
        <v>0</v>
      </c>
      <c r="AM231">
        <f>AND(IF(Metadata!M231="",FALSE,TRUE),exact(Metadata!M231,"9606"))</f>
        <v>0</v>
      </c>
      <c r="AN231">
        <f>AND(IF(Metadata!N231="",FALSE,ISNUMBER(VALUE(Metadata!N231))),Metadata!N231&gt;0)</f>
        <v>0</v>
      </c>
      <c r="AO231">
        <f>AND(IF(Metadata!O231="",FALSE,TRUE),exact(Metadata!O231,"kg"))</f>
        <v>0</v>
      </c>
      <c r="AP231">
        <f>OR(AND(IF(Metadata!P231="",FALSE,TRUE),exact(Metadata!P231,"not provided")),IF(Metadata!P231="",FALSE,TRUE))</f>
        <v>0</v>
      </c>
      <c r="AQ231">
        <f>OR(AND(IF(Metadata!Q231="",FALSE,TRUE),exact(Metadata!Q231,"not provided")),IF(Metadata!Q231="",FALSE,TRUE))</f>
        <v>0</v>
      </c>
    </row>
    <row r="232" spans="1:43">
      <c r="A232" s="4">
        <f>IF(B232=" "," ",HYPERLINK(CONCATENATE("#metadata!",ADDRESS(INDEX($W$2:$W$1001,MATCH(ROWS($U$2:U232),$U$2:$U$1001,0),0),2)),INDEX($Z$2:$Z$1001,MATCH(ROWS($U$2:U232),$U$2:$U$1001,0),0)))</f>
        <v>0</v>
      </c>
      <c r="B232" s="5">
        <f>IF(OR(INDEX($V$2:$V$1001,MATCH(ROWS($U$2:U232),$U$2:$U$1001,0),1)&gt;=100000,INDEX($AB$1005:$AQ$1005,1,MATCH(COLUMNS($AB$1006:AB1006),$AB$1006:$AQ$1006,0))&gt;=100000), " ",IF(INDEX($AB$2:$AQ$1001,MATCH(ROWS($U$2:U232),$U$2:$U$1001,0),MATCH(COLUMNS($AB$1006:AB1006),$AB$1006:$AQ$1006,0)), HYPERLINK("#",""), HYPERLINK(CONCATENATE("#Metadata!", ADDRESS(INDEX($W$2:$W$1001,MATCH(ROWS($U$2:U232),$U$2:$U$1001,0),0), INDEX($AB$1004:$AQ$1004,1,MATCH(COLUMNS($AB$1006:AB1006),$AB$1006:$AQ$1006,0)))),"Fix")))</f>
        <v>0</v>
      </c>
      <c r="C232" s="5">
        <f>IF(OR(INDEX($V$2:$V$1001,MATCH(ROWS($U$2:U232),$U$2:$U$1001,0),1)&gt;=100000,INDEX($AB$1005:$AQ$1005,1,MATCH(COLUMNS($AB$1006:AC1006),$AB$1006:$AQ$1006,0))&gt;=100000), " ",IF(INDEX($AB$2:$AQ$1001,MATCH(ROWS($U$2:U232),$U$2:$U$1001,0),MATCH(COLUMNS($AB$1006:AC1006),$AB$1006:$AQ$1006,0)), HYPERLINK("#",""), HYPERLINK(CONCATENATE("#Metadata!", ADDRESS(INDEX($W$2:$W$1001,MATCH(ROWS($U$2:U232),$U$2:$U$1001,0),0), INDEX($AB$1004:$AQ$1004,1,MATCH(COLUMNS($AB$1006:AC1006),$AB$1006:$AQ$1006,0)))),"Fix")))</f>
        <v>0</v>
      </c>
      <c r="D232" s="5">
        <f>IF(OR(INDEX($V$2:$V$1001,MATCH(ROWS($U$2:U232),$U$2:$U$1001,0),1)&gt;=100000,INDEX($AB$1005:$AQ$1005,1,MATCH(COLUMNS($AB$1006:AD1006),$AB$1006:$AQ$1006,0))&gt;=100000), " ",IF(INDEX($AB$2:$AQ$1001,MATCH(ROWS($U$2:U232),$U$2:$U$1001,0),MATCH(COLUMNS($AB$1006:AD1006),$AB$1006:$AQ$1006,0)), HYPERLINK("#",""), HYPERLINK(CONCATENATE("#Metadata!", ADDRESS(INDEX($W$2:$W$1001,MATCH(ROWS($U$2:U232),$U$2:$U$1001,0),0), INDEX($AB$1004:$AQ$1004,1,MATCH(COLUMNS($AB$1006:AD1006),$AB$1006:$AQ$1006,0)))),"Fix")))</f>
        <v>0</v>
      </c>
      <c r="E232" s="5">
        <f>IF(OR(INDEX($V$2:$V$1001,MATCH(ROWS($U$2:U232),$U$2:$U$1001,0),1)&gt;=100000,INDEX($AB$1005:$AQ$1005,1,MATCH(COLUMNS($AB$1006:AE1006),$AB$1006:$AQ$1006,0))&gt;=100000), " ",IF(INDEX($AB$2:$AQ$1001,MATCH(ROWS($U$2:U232),$U$2:$U$1001,0),MATCH(COLUMNS($AB$1006:AE1006),$AB$1006:$AQ$1006,0)), HYPERLINK("#",""), HYPERLINK(CONCATENATE("#Metadata!", ADDRESS(INDEX($W$2:$W$1001,MATCH(ROWS($U$2:U232),$U$2:$U$1001,0),0), INDEX($AB$1004:$AQ$1004,1,MATCH(COLUMNS($AB$1006:AE1006),$AB$1006:$AQ$1006,0)))),"Fix")))</f>
        <v>0</v>
      </c>
      <c r="F232" s="5">
        <f>IF(OR(INDEX($V$2:$V$1001,MATCH(ROWS($U$2:U232),$U$2:$U$1001,0),1)&gt;=100000,INDEX($AB$1005:$AQ$1005,1,MATCH(COLUMNS($AB$1006:AF1006),$AB$1006:$AQ$1006,0))&gt;=100000), " ",IF(INDEX($AB$2:$AQ$1001,MATCH(ROWS($U$2:U232),$U$2:$U$1001,0),MATCH(COLUMNS($AB$1006:AF1006),$AB$1006:$AQ$1006,0)), HYPERLINK("#",""), HYPERLINK(CONCATENATE("#Metadata!", ADDRESS(INDEX($W$2:$W$1001,MATCH(ROWS($U$2:U232),$U$2:$U$1001,0),0), INDEX($AB$1004:$AQ$1004,1,MATCH(COLUMNS($AB$1006:AF1006),$AB$1006:$AQ$1006,0)))),"Fix")))</f>
        <v>0</v>
      </c>
      <c r="G232" s="5">
        <f>IF(OR(INDEX($V$2:$V$1001,MATCH(ROWS($U$2:U232),$U$2:$U$1001,0),1)&gt;=100000,INDEX($AB$1005:$AQ$1005,1,MATCH(COLUMNS($AB$1006:AG1006),$AB$1006:$AQ$1006,0))&gt;=100000), " ",IF(INDEX($AB$2:$AQ$1001,MATCH(ROWS($U$2:U232),$U$2:$U$1001,0),MATCH(COLUMNS($AB$1006:AG1006),$AB$1006:$AQ$1006,0)), HYPERLINK("#",""), HYPERLINK(CONCATENATE("#Metadata!", ADDRESS(INDEX($W$2:$W$1001,MATCH(ROWS($U$2:U232),$U$2:$U$1001,0),0), INDEX($AB$1004:$AQ$1004,1,MATCH(COLUMNS($AB$1006:AG1006),$AB$1006:$AQ$1006,0)))),"Fix")))</f>
        <v>0</v>
      </c>
      <c r="H232" s="5">
        <f>IF(OR(INDEX($V$2:$V$1001,MATCH(ROWS($U$2:U232),$U$2:$U$1001,0),1)&gt;=100000,INDEX($AB$1005:$AQ$1005,1,MATCH(COLUMNS($AB$1006:AH1006),$AB$1006:$AQ$1006,0))&gt;=100000), " ",IF(INDEX($AB$2:$AQ$1001,MATCH(ROWS($U$2:U232),$U$2:$U$1001,0),MATCH(COLUMNS($AB$1006:AH1006),$AB$1006:$AQ$1006,0)), HYPERLINK("#",""), HYPERLINK(CONCATENATE("#Metadata!", ADDRESS(INDEX($W$2:$W$1001,MATCH(ROWS($U$2:U232),$U$2:$U$1001,0),0), INDEX($AB$1004:$AQ$1004,1,MATCH(COLUMNS($AB$1006:AH1006),$AB$1006:$AQ$1006,0)))),"Fix")))</f>
        <v>0</v>
      </c>
      <c r="I232" s="5">
        <f>IF(OR(INDEX($V$2:$V$1001,MATCH(ROWS($U$2:U232),$U$2:$U$1001,0),1)&gt;=100000,INDEX($AB$1005:$AQ$1005,1,MATCH(COLUMNS($AB$1006:AI1006),$AB$1006:$AQ$1006,0))&gt;=100000), " ",IF(INDEX($AB$2:$AQ$1001,MATCH(ROWS($U$2:U232),$U$2:$U$1001,0),MATCH(COLUMNS($AB$1006:AI1006),$AB$1006:$AQ$1006,0)), HYPERLINK("#",""), HYPERLINK(CONCATENATE("#Metadata!", ADDRESS(INDEX($W$2:$W$1001,MATCH(ROWS($U$2:U232),$U$2:$U$1001,0),0), INDEX($AB$1004:$AQ$1004,1,MATCH(COLUMNS($AB$1006:AI1006),$AB$1006:$AQ$1006,0)))),"Fix")))</f>
        <v>0</v>
      </c>
      <c r="J232" s="5">
        <f>IF(OR(INDEX($V$2:$V$1001,MATCH(ROWS($U$2:U232),$U$2:$U$1001,0),1)&gt;=100000,INDEX($AB$1005:$AQ$1005,1,MATCH(COLUMNS($AB$1006:AJ1006),$AB$1006:$AQ$1006,0))&gt;=100000), " ",IF(INDEX($AB$2:$AQ$1001,MATCH(ROWS($U$2:U232),$U$2:$U$1001,0),MATCH(COLUMNS($AB$1006:AJ1006),$AB$1006:$AQ$1006,0)), HYPERLINK("#",""), HYPERLINK(CONCATENATE("#Metadata!", ADDRESS(INDEX($W$2:$W$1001,MATCH(ROWS($U$2:U232),$U$2:$U$1001,0),0), INDEX($AB$1004:$AQ$1004,1,MATCH(COLUMNS($AB$1006:AJ1006),$AB$1006:$AQ$1006,0)))),"Fix")))</f>
        <v>0</v>
      </c>
      <c r="K232" s="5">
        <f>IF(OR(INDEX($V$2:$V$1001,MATCH(ROWS($U$2:U232),$U$2:$U$1001,0),1)&gt;=100000,INDEX($AB$1005:$AQ$1005,1,MATCH(COLUMNS($AB$1006:AK1006),$AB$1006:$AQ$1006,0))&gt;=100000), " ",IF(INDEX($AB$2:$AQ$1001,MATCH(ROWS($U$2:U232),$U$2:$U$1001,0),MATCH(COLUMNS($AB$1006:AK1006),$AB$1006:$AQ$1006,0)), HYPERLINK("#",""), HYPERLINK(CONCATENATE("#Metadata!", ADDRESS(INDEX($W$2:$W$1001,MATCH(ROWS($U$2:U232),$U$2:$U$1001,0),0), INDEX($AB$1004:$AQ$1004,1,MATCH(COLUMNS($AB$1006:AK1006),$AB$1006:$AQ$1006,0)))),"Fix")))</f>
        <v>0</v>
      </c>
      <c r="L232" s="5">
        <f>IF(OR(INDEX($V$2:$V$1001,MATCH(ROWS($U$2:U232),$U$2:$U$1001,0),1)&gt;=100000,INDEX($AB$1005:$AQ$1005,1,MATCH(COLUMNS($AB$1006:AL1006),$AB$1006:$AQ$1006,0))&gt;=100000), " ",IF(INDEX($AB$2:$AQ$1001,MATCH(ROWS($U$2:U232),$U$2:$U$1001,0),MATCH(COLUMNS($AB$1006:AL1006),$AB$1006:$AQ$1006,0)), HYPERLINK("#",""), HYPERLINK(CONCATENATE("#Metadata!", ADDRESS(INDEX($W$2:$W$1001,MATCH(ROWS($U$2:U232),$U$2:$U$1001,0),0), INDEX($AB$1004:$AQ$1004,1,MATCH(COLUMNS($AB$1006:AL1006),$AB$1006:$AQ$1006,0)))),"Fix")))</f>
        <v>0</v>
      </c>
      <c r="M232" s="5">
        <f>IF(OR(INDEX($V$2:$V$1001,MATCH(ROWS($U$2:U232),$U$2:$U$1001,0),1)&gt;=100000,INDEX($AB$1005:$AQ$1005,1,MATCH(COLUMNS($AB$1006:AM1006),$AB$1006:$AQ$1006,0))&gt;=100000), " ",IF(INDEX($AB$2:$AQ$1001,MATCH(ROWS($U$2:U232),$U$2:$U$1001,0),MATCH(COLUMNS($AB$1006:AM1006),$AB$1006:$AQ$1006,0)), HYPERLINK("#",""), HYPERLINK(CONCATENATE("#Metadata!", ADDRESS(INDEX($W$2:$W$1001,MATCH(ROWS($U$2:U232),$U$2:$U$1001,0),0), INDEX($AB$1004:$AQ$1004,1,MATCH(COLUMNS($AB$1006:AM1006),$AB$1006:$AQ$1006,0)))),"Fix")))</f>
        <v>0</v>
      </c>
      <c r="N232" s="5">
        <f>IF(OR(INDEX($V$2:$V$1001,MATCH(ROWS($U$2:U232),$U$2:$U$1001,0),1)&gt;=100000,INDEX($AB$1005:$AQ$1005,1,MATCH(COLUMNS($AB$1006:AN1006),$AB$1006:$AQ$1006,0))&gt;=100000), " ",IF(INDEX($AB$2:$AQ$1001,MATCH(ROWS($U$2:U232),$U$2:$U$1001,0),MATCH(COLUMNS($AB$1006:AN1006),$AB$1006:$AQ$1006,0)), HYPERLINK("#",""), HYPERLINK(CONCATENATE("#Metadata!", ADDRESS(INDEX($W$2:$W$1001,MATCH(ROWS($U$2:U232),$U$2:$U$1001,0),0), INDEX($AB$1004:$AQ$1004,1,MATCH(COLUMNS($AB$1006:AN1006),$AB$1006:$AQ$1006,0)))),"Fix")))</f>
        <v>0</v>
      </c>
      <c r="O232" s="5">
        <f>IF(OR(INDEX($V$2:$V$1001,MATCH(ROWS($U$2:U232),$U$2:$U$1001,0),1)&gt;=100000,INDEX($AB$1005:$AQ$1005,1,MATCH(COLUMNS($AB$1006:AO1006),$AB$1006:$AQ$1006,0))&gt;=100000), " ",IF(INDEX($AB$2:$AQ$1001,MATCH(ROWS($U$2:U232),$U$2:$U$1001,0),MATCH(COLUMNS($AB$1006:AO1006),$AB$1006:$AQ$1006,0)), HYPERLINK("#",""), HYPERLINK(CONCATENATE("#Metadata!", ADDRESS(INDEX($W$2:$W$1001,MATCH(ROWS($U$2:U232),$U$2:$U$1001,0),0), INDEX($AB$1004:$AQ$1004,1,MATCH(COLUMNS($AB$1006:AO1006),$AB$1006:$AQ$1006,0)))),"Fix")))</f>
        <v>0</v>
      </c>
      <c r="P232" s="5">
        <f>IF(OR(INDEX($V$2:$V$1001,MATCH(ROWS($U$2:U232),$U$2:$U$1001,0),1)&gt;=100000,INDEX($AB$1005:$AQ$1005,1,MATCH(COLUMNS($AB$1006:AP1006),$AB$1006:$AQ$1006,0))&gt;=100000), " ",IF(INDEX($AB$2:$AQ$1001,MATCH(ROWS($U$2:U232),$U$2:$U$1001,0),MATCH(COLUMNS($AB$1006:AP1006),$AB$1006:$AQ$1006,0)), HYPERLINK("#",""), HYPERLINK(CONCATENATE("#Metadata!", ADDRESS(INDEX($W$2:$W$1001,MATCH(ROWS($U$2:U232),$U$2:$U$1001,0),0), INDEX($AB$1004:$AQ$1004,1,MATCH(COLUMNS($AB$1006:AP1006),$AB$1006:$AQ$1006,0)))),"Fix")))</f>
        <v>0</v>
      </c>
      <c r="Q232" s="5">
        <f>IF(OR(INDEX($V$2:$V$1001,MATCH(ROWS($U$2:U232),$U$2:$U$1001,0),1)&gt;=100000,INDEX($AB$1005:$AQ$1005,1,MATCH(COLUMNS($AB$1006:AQ1006),$AB$1006:$AQ$1006,0))&gt;=100000), " ",IF(INDEX($AB$2:$AQ$1001,MATCH(ROWS($U$2:U232),$U$2:$U$1001,0),MATCH(COLUMNS($AB$1006:AQ1006),$AB$1006:$AQ$1006,0)), HYPERLINK("#",""), HYPERLINK(CONCATENATE("#Metadata!", ADDRESS(INDEX($W$2:$W$1001,MATCH(ROWS($U$2:U232),$U$2:$U$1001,0),0), INDEX($AB$1004:$AQ$1004,1,MATCH(COLUMNS($AB$1006:AQ1006),$AB$1006:$AQ$1006,0)))),"Fix")))</f>
        <v>0</v>
      </c>
      <c r="U232">
        <v>0</v>
      </c>
      <c r="V232">
        <v>0</v>
      </c>
      <c r="W232">
        <v>0</v>
      </c>
      <c r="X232">
        <f>IF(Y232,TRUE,AND(AB232:AQ232))</f>
        <v>0</v>
      </c>
      <c r="Y232">
        <f>COUNTBLANK(Metadata!B232:Q232)=COLUMNS(Metadata!B232:Q232)</f>
        <v>0</v>
      </c>
      <c r="Z232">
        <v>0</v>
      </c>
      <c r="AB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AC232">
        <f>AND(IF(Metadata!C232="",FALSE,TRUE),exact(Metadata!C232,"urban biome"))</f>
        <v>0</v>
      </c>
      <c r="AD232">
        <f>AND(IF(Metadata!D232="",FALSE,TRUE),exact(Metadata!D232,"human-associated habitat"))</f>
        <v>0</v>
      </c>
      <c r="AE232">
        <f>AND(IF(Metadata!E232="",FALSE,TRUE),OR(exact(Metadata!E232,"human-associated"),exact(Metadata!E232,"human-skin"),exact(Metadata!E232,"human-oral"),exact(Metadata!E232,"human-gut"),exact(Metadata!E232,"human-vaginal")))</f>
        <v>0</v>
      </c>
      <c r="AF232">
        <f>AND(IF(Metadata!F232="",FALSE,ISNUMBER(VALUE(Metadata!F232))),Metadata!F232&gt;0)</f>
        <v>0</v>
      </c>
      <c r="AG232">
        <f>AND(IF(Metadata!G232="",FALSE,TRUE),exact(Metadata!G232,"years"))</f>
        <v>0</v>
      </c>
      <c r="AH232">
        <f>OR(AND(IF(Metadata!H232="",FALSE,TRUE),OR(exact(Metadata!H232,"not applicable"),exact(Metadata!H232,"not collected"),exact(Metadata!H232,"not provided"),exact(Metadata!H232,"restricted access"))),AND(IF(Metadata!H232="",FALSE,ISNUMBER(VALUE(Metadata!H232))),Metadata!H232&gt;0))</f>
        <v>0</v>
      </c>
      <c r="AI232">
        <f>AND(IF(Metadata!I232="",FALSE,TRUE),exact(Metadata!I232,"human"))</f>
        <v>0</v>
      </c>
      <c r="AJ232">
        <f>AND(IF(Metadata!J232="",FALSE,ISNUMBER(VALUE(Metadata!J232))),Metadata!J232&gt;0)</f>
        <v>0</v>
      </c>
      <c r="AK232">
        <f>AND(IF(Metadata!K232="",FALSE,TRUE),exact(Metadata!K232,"cm"))</f>
        <v>0</v>
      </c>
      <c r="AL232">
        <f>AND(IF(Metadata!L232="",FALSE,TRUE),exact(Metadata!L232,"Homo sapiens"))</f>
        <v>0</v>
      </c>
      <c r="AM232">
        <f>AND(IF(Metadata!M232="",FALSE,TRUE),exact(Metadata!M232,"9606"))</f>
        <v>0</v>
      </c>
      <c r="AN232">
        <f>AND(IF(Metadata!N232="",FALSE,ISNUMBER(VALUE(Metadata!N232))),Metadata!N232&gt;0)</f>
        <v>0</v>
      </c>
      <c r="AO232">
        <f>AND(IF(Metadata!O232="",FALSE,TRUE),exact(Metadata!O232,"kg"))</f>
        <v>0</v>
      </c>
      <c r="AP232">
        <f>OR(AND(IF(Metadata!P232="",FALSE,TRUE),exact(Metadata!P232,"not provided")),IF(Metadata!P232="",FALSE,TRUE))</f>
        <v>0</v>
      </c>
      <c r="AQ232">
        <f>OR(AND(IF(Metadata!Q232="",FALSE,TRUE),exact(Metadata!Q232,"not provided")),IF(Metadata!Q232="",FALSE,TRUE))</f>
        <v>0</v>
      </c>
    </row>
    <row r="233" spans="1:43">
      <c r="A233" s="4">
        <f>IF(B233=" "," ",HYPERLINK(CONCATENATE("#metadata!",ADDRESS(INDEX($W$2:$W$1001,MATCH(ROWS($U$2:U233),$U$2:$U$1001,0),0),2)),INDEX($Z$2:$Z$1001,MATCH(ROWS($U$2:U233),$U$2:$U$1001,0),0)))</f>
        <v>0</v>
      </c>
      <c r="B233" s="5">
        <f>IF(OR(INDEX($V$2:$V$1001,MATCH(ROWS($U$2:U233),$U$2:$U$1001,0),1)&gt;=100000,INDEX($AB$1005:$AQ$1005,1,MATCH(COLUMNS($AB$1006:AB1006),$AB$1006:$AQ$1006,0))&gt;=100000), " ",IF(INDEX($AB$2:$AQ$1001,MATCH(ROWS($U$2:U233),$U$2:$U$1001,0),MATCH(COLUMNS($AB$1006:AB1006),$AB$1006:$AQ$1006,0)), HYPERLINK("#",""), HYPERLINK(CONCATENATE("#Metadata!", ADDRESS(INDEX($W$2:$W$1001,MATCH(ROWS($U$2:U233),$U$2:$U$1001,0),0), INDEX($AB$1004:$AQ$1004,1,MATCH(COLUMNS($AB$1006:AB1006),$AB$1006:$AQ$1006,0)))),"Fix")))</f>
        <v>0</v>
      </c>
      <c r="C233" s="5">
        <f>IF(OR(INDEX($V$2:$V$1001,MATCH(ROWS($U$2:U233),$U$2:$U$1001,0),1)&gt;=100000,INDEX($AB$1005:$AQ$1005,1,MATCH(COLUMNS($AB$1006:AC1006),$AB$1006:$AQ$1006,0))&gt;=100000), " ",IF(INDEX($AB$2:$AQ$1001,MATCH(ROWS($U$2:U233),$U$2:$U$1001,0),MATCH(COLUMNS($AB$1006:AC1006),$AB$1006:$AQ$1006,0)), HYPERLINK("#",""), HYPERLINK(CONCATENATE("#Metadata!", ADDRESS(INDEX($W$2:$W$1001,MATCH(ROWS($U$2:U233),$U$2:$U$1001,0),0), INDEX($AB$1004:$AQ$1004,1,MATCH(COLUMNS($AB$1006:AC1006),$AB$1006:$AQ$1006,0)))),"Fix")))</f>
        <v>0</v>
      </c>
      <c r="D233" s="5">
        <f>IF(OR(INDEX($V$2:$V$1001,MATCH(ROWS($U$2:U233),$U$2:$U$1001,0),1)&gt;=100000,INDEX($AB$1005:$AQ$1005,1,MATCH(COLUMNS($AB$1006:AD1006),$AB$1006:$AQ$1006,0))&gt;=100000), " ",IF(INDEX($AB$2:$AQ$1001,MATCH(ROWS($U$2:U233),$U$2:$U$1001,0),MATCH(COLUMNS($AB$1006:AD1006),$AB$1006:$AQ$1006,0)), HYPERLINK("#",""), HYPERLINK(CONCATENATE("#Metadata!", ADDRESS(INDEX($W$2:$W$1001,MATCH(ROWS($U$2:U233),$U$2:$U$1001,0),0), INDEX($AB$1004:$AQ$1004,1,MATCH(COLUMNS($AB$1006:AD1006),$AB$1006:$AQ$1006,0)))),"Fix")))</f>
        <v>0</v>
      </c>
      <c r="E233" s="5">
        <f>IF(OR(INDEX($V$2:$V$1001,MATCH(ROWS($U$2:U233),$U$2:$U$1001,0),1)&gt;=100000,INDEX($AB$1005:$AQ$1005,1,MATCH(COLUMNS($AB$1006:AE1006),$AB$1006:$AQ$1006,0))&gt;=100000), " ",IF(INDEX($AB$2:$AQ$1001,MATCH(ROWS($U$2:U233),$U$2:$U$1001,0),MATCH(COLUMNS($AB$1006:AE1006),$AB$1006:$AQ$1006,0)), HYPERLINK("#",""), HYPERLINK(CONCATENATE("#Metadata!", ADDRESS(INDEX($W$2:$W$1001,MATCH(ROWS($U$2:U233),$U$2:$U$1001,0),0), INDEX($AB$1004:$AQ$1004,1,MATCH(COLUMNS($AB$1006:AE1006),$AB$1006:$AQ$1006,0)))),"Fix")))</f>
        <v>0</v>
      </c>
      <c r="F233" s="5">
        <f>IF(OR(INDEX($V$2:$V$1001,MATCH(ROWS($U$2:U233),$U$2:$U$1001,0),1)&gt;=100000,INDEX($AB$1005:$AQ$1005,1,MATCH(COLUMNS($AB$1006:AF1006),$AB$1006:$AQ$1006,0))&gt;=100000), " ",IF(INDEX($AB$2:$AQ$1001,MATCH(ROWS($U$2:U233),$U$2:$U$1001,0),MATCH(COLUMNS($AB$1006:AF1006),$AB$1006:$AQ$1006,0)), HYPERLINK("#",""), HYPERLINK(CONCATENATE("#Metadata!", ADDRESS(INDEX($W$2:$W$1001,MATCH(ROWS($U$2:U233),$U$2:$U$1001,0),0), INDEX($AB$1004:$AQ$1004,1,MATCH(COLUMNS($AB$1006:AF1006),$AB$1006:$AQ$1006,0)))),"Fix")))</f>
        <v>0</v>
      </c>
      <c r="G233" s="5">
        <f>IF(OR(INDEX($V$2:$V$1001,MATCH(ROWS($U$2:U233),$U$2:$U$1001,0),1)&gt;=100000,INDEX($AB$1005:$AQ$1005,1,MATCH(COLUMNS($AB$1006:AG1006),$AB$1006:$AQ$1006,0))&gt;=100000), " ",IF(INDEX($AB$2:$AQ$1001,MATCH(ROWS($U$2:U233),$U$2:$U$1001,0),MATCH(COLUMNS($AB$1006:AG1006),$AB$1006:$AQ$1006,0)), HYPERLINK("#",""), HYPERLINK(CONCATENATE("#Metadata!", ADDRESS(INDEX($W$2:$W$1001,MATCH(ROWS($U$2:U233),$U$2:$U$1001,0),0), INDEX($AB$1004:$AQ$1004,1,MATCH(COLUMNS($AB$1006:AG1006),$AB$1006:$AQ$1006,0)))),"Fix")))</f>
        <v>0</v>
      </c>
      <c r="H233" s="5">
        <f>IF(OR(INDEX($V$2:$V$1001,MATCH(ROWS($U$2:U233),$U$2:$U$1001,0),1)&gt;=100000,INDEX($AB$1005:$AQ$1005,1,MATCH(COLUMNS($AB$1006:AH1006),$AB$1006:$AQ$1006,0))&gt;=100000), " ",IF(INDEX($AB$2:$AQ$1001,MATCH(ROWS($U$2:U233),$U$2:$U$1001,0),MATCH(COLUMNS($AB$1006:AH1006),$AB$1006:$AQ$1006,0)), HYPERLINK("#",""), HYPERLINK(CONCATENATE("#Metadata!", ADDRESS(INDEX($W$2:$W$1001,MATCH(ROWS($U$2:U233),$U$2:$U$1001,0),0), INDEX($AB$1004:$AQ$1004,1,MATCH(COLUMNS($AB$1006:AH1006),$AB$1006:$AQ$1006,0)))),"Fix")))</f>
        <v>0</v>
      </c>
      <c r="I233" s="5">
        <f>IF(OR(INDEX($V$2:$V$1001,MATCH(ROWS($U$2:U233),$U$2:$U$1001,0),1)&gt;=100000,INDEX($AB$1005:$AQ$1005,1,MATCH(COLUMNS($AB$1006:AI1006),$AB$1006:$AQ$1006,0))&gt;=100000), " ",IF(INDEX($AB$2:$AQ$1001,MATCH(ROWS($U$2:U233),$U$2:$U$1001,0),MATCH(COLUMNS($AB$1006:AI1006),$AB$1006:$AQ$1006,0)), HYPERLINK("#",""), HYPERLINK(CONCATENATE("#Metadata!", ADDRESS(INDEX($W$2:$W$1001,MATCH(ROWS($U$2:U233),$U$2:$U$1001,0),0), INDEX($AB$1004:$AQ$1004,1,MATCH(COLUMNS($AB$1006:AI1006),$AB$1006:$AQ$1006,0)))),"Fix")))</f>
        <v>0</v>
      </c>
      <c r="J233" s="5">
        <f>IF(OR(INDEX($V$2:$V$1001,MATCH(ROWS($U$2:U233),$U$2:$U$1001,0),1)&gt;=100000,INDEX($AB$1005:$AQ$1005,1,MATCH(COLUMNS($AB$1006:AJ1006),$AB$1006:$AQ$1006,0))&gt;=100000), " ",IF(INDEX($AB$2:$AQ$1001,MATCH(ROWS($U$2:U233),$U$2:$U$1001,0),MATCH(COLUMNS($AB$1006:AJ1006),$AB$1006:$AQ$1006,0)), HYPERLINK("#",""), HYPERLINK(CONCATENATE("#Metadata!", ADDRESS(INDEX($W$2:$W$1001,MATCH(ROWS($U$2:U233),$U$2:$U$1001,0),0), INDEX($AB$1004:$AQ$1004,1,MATCH(COLUMNS($AB$1006:AJ1006),$AB$1006:$AQ$1006,0)))),"Fix")))</f>
        <v>0</v>
      </c>
      <c r="K233" s="5">
        <f>IF(OR(INDEX($V$2:$V$1001,MATCH(ROWS($U$2:U233),$U$2:$U$1001,0),1)&gt;=100000,INDEX($AB$1005:$AQ$1005,1,MATCH(COLUMNS($AB$1006:AK1006),$AB$1006:$AQ$1006,0))&gt;=100000), " ",IF(INDEX($AB$2:$AQ$1001,MATCH(ROWS($U$2:U233),$U$2:$U$1001,0),MATCH(COLUMNS($AB$1006:AK1006),$AB$1006:$AQ$1006,0)), HYPERLINK("#",""), HYPERLINK(CONCATENATE("#Metadata!", ADDRESS(INDEX($W$2:$W$1001,MATCH(ROWS($U$2:U233),$U$2:$U$1001,0),0), INDEX($AB$1004:$AQ$1004,1,MATCH(COLUMNS($AB$1006:AK1006),$AB$1006:$AQ$1006,0)))),"Fix")))</f>
        <v>0</v>
      </c>
      <c r="L233" s="5">
        <f>IF(OR(INDEX($V$2:$V$1001,MATCH(ROWS($U$2:U233),$U$2:$U$1001,0),1)&gt;=100000,INDEX($AB$1005:$AQ$1005,1,MATCH(COLUMNS($AB$1006:AL1006),$AB$1006:$AQ$1006,0))&gt;=100000), " ",IF(INDEX($AB$2:$AQ$1001,MATCH(ROWS($U$2:U233),$U$2:$U$1001,0),MATCH(COLUMNS($AB$1006:AL1006),$AB$1006:$AQ$1006,0)), HYPERLINK("#",""), HYPERLINK(CONCATENATE("#Metadata!", ADDRESS(INDEX($W$2:$W$1001,MATCH(ROWS($U$2:U233),$U$2:$U$1001,0),0), INDEX($AB$1004:$AQ$1004,1,MATCH(COLUMNS($AB$1006:AL1006),$AB$1006:$AQ$1006,0)))),"Fix")))</f>
        <v>0</v>
      </c>
      <c r="M233" s="5">
        <f>IF(OR(INDEX($V$2:$V$1001,MATCH(ROWS($U$2:U233),$U$2:$U$1001,0),1)&gt;=100000,INDEX($AB$1005:$AQ$1005,1,MATCH(COLUMNS($AB$1006:AM1006),$AB$1006:$AQ$1006,0))&gt;=100000), " ",IF(INDEX($AB$2:$AQ$1001,MATCH(ROWS($U$2:U233),$U$2:$U$1001,0),MATCH(COLUMNS($AB$1006:AM1006),$AB$1006:$AQ$1006,0)), HYPERLINK("#",""), HYPERLINK(CONCATENATE("#Metadata!", ADDRESS(INDEX($W$2:$W$1001,MATCH(ROWS($U$2:U233),$U$2:$U$1001,0),0), INDEX($AB$1004:$AQ$1004,1,MATCH(COLUMNS($AB$1006:AM1006),$AB$1006:$AQ$1006,0)))),"Fix")))</f>
        <v>0</v>
      </c>
      <c r="N233" s="5">
        <f>IF(OR(INDEX($V$2:$V$1001,MATCH(ROWS($U$2:U233),$U$2:$U$1001,0),1)&gt;=100000,INDEX($AB$1005:$AQ$1005,1,MATCH(COLUMNS($AB$1006:AN1006),$AB$1006:$AQ$1006,0))&gt;=100000), " ",IF(INDEX($AB$2:$AQ$1001,MATCH(ROWS($U$2:U233),$U$2:$U$1001,0),MATCH(COLUMNS($AB$1006:AN1006),$AB$1006:$AQ$1006,0)), HYPERLINK("#",""), HYPERLINK(CONCATENATE("#Metadata!", ADDRESS(INDEX($W$2:$W$1001,MATCH(ROWS($U$2:U233),$U$2:$U$1001,0),0), INDEX($AB$1004:$AQ$1004,1,MATCH(COLUMNS($AB$1006:AN1006),$AB$1006:$AQ$1006,0)))),"Fix")))</f>
        <v>0</v>
      </c>
      <c r="O233" s="5">
        <f>IF(OR(INDEX($V$2:$V$1001,MATCH(ROWS($U$2:U233),$U$2:$U$1001,0),1)&gt;=100000,INDEX($AB$1005:$AQ$1005,1,MATCH(COLUMNS($AB$1006:AO1006),$AB$1006:$AQ$1006,0))&gt;=100000), " ",IF(INDEX($AB$2:$AQ$1001,MATCH(ROWS($U$2:U233),$U$2:$U$1001,0),MATCH(COLUMNS($AB$1006:AO1006),$AB$1006:$AQ$1006,0)), HYPERLINK("#",""), HYPERLINK(CONCATENATE("#Metadata!", ADDRESS(INDEX($W$2:$W$1001,MATCH(ROWS($U$2:U233),$U$2:$U$1001,0),0), INDEX($AB$1004:$AQ$1004,1,MATCH(COLUMNS($AB$1006:AO1006),$AB$1006:$AQ$1006,0)))),"Fix")))</f>
        <v>0</v>
      </c>
      <c r="P233" s="5">
        <f>IF(OR(INDEX($V$2:$V$1001,MATCH(ROWS($U$2:U233),$U$2:$U$1001,0),1)&gt;=100000,INDEX($AB$1005:$AQ$1005,1,MATCH(COLUMNS($AB$1006:AP1006),$AB$1006:$AQ$1006,0))&gt;=100000), " ",IF(INDEX($AB$2:$AQ$1001,MATCH(ROWS($U$2:U233),$U$2:$U$1001,0),MATCH(COLUMNS($AB$1006:AP1006),$AB$1006:$AQ$1006,0)), HYPERLINK("#",""), HYPERLINK(CONCATENATE("#Metadata!", ADDRESS(INDEX($W$2:$W$1001,MATCH(ROWS($U$2:U233),$U$2:$U$1001,0),0), INDEX($AB$1004:$AQ$1004,1,MATCH(COLUMNS($AB$1006:AP1006),$AB$1006:$AQ$1006,0)))),"Fix")))</f>
        <v>0</v>
      </c>
      <c r="Q233" s="5">
        <f>IF(OR(INDEX($V$2:$V$1001,MATCH(ROWS($U$2:U233),$U$2:$U$1001,0),1)&gt;=100000,INDEX($AB$1005:$AQ$1005,1,MATCH(COLUMNS($AB$1006:AQ1006),$AB$1006:$AQ$1006,0))&gt;=100000), " ",IF(INDEX($AB$2:$AQ$1001,MATCH(ROWS($U$2:U233),$U$2:$U$1001,0),MATCH(COLUMNS($AB$1006:AQ1006),$AB$1006:$AQ$1006,0)), HYPERLINK("#",""), HYPERLINK(CONCATENATE("#Metadata!", ADDRESS(INDEX($W$2:$W$1001,MATCH(ROWS($U$2:U233),$U$2:$U$1001,0),0), INDEX($AB$1004:$AQ$1004,1,MATCH(COLUMNS($AB$1006:AQ1006),$AB$1006:$AQ$1006,0)))),"Fix")))</f>
        <v>0</v>
      </c>
      <c r="U233">
        <v>0</v>
      </c>
      <c r="V233">
        <v>0</v>
      </c>
      <c r="W233">
        <v>0</v>
      </c>
      <c r="X233">
        <f>IF(Y233,TRUE,AND(AB233:AQ233))</f>
        <v>0</v>
      </c>
      <c r="Y233">
        <f>COUNTBLANK(Metadata!B233:Q233)=COLUMNS(Metadata!B233:Q233)</f>
        <v>0</v>
      </c>
      <c r="Z233">
        <v>0</v>
      </c>
      <c r="AB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AC233">
        <f>AND(IF(Metadata!C233="",FALSE,TRUE),exact(Metadata!C233,"urban biome"))</f>
        <v>0</v>
      </c>
      <c r="AD233">
        <f>AND(IF(Metadata!D233="",FALSE,TRUE),exact(Metadata!D233,"human-associated habitat"))</f>
        <v>0</v>
      </c>
      <c r="AE233">
        <f>AND(IF(Metadata!E233="",FALSE,TRUE),OR(exact(Metadata!E233,"human-associated"),exact(Metadata!E233,"human-skin"),exact(Metadata!E233,"human-oral"),exact(Metadata!E233,"human-gut"),exact(Metadata!E233,"human-vaginal")))</f>
        <v>0</v>
      </c>
      <c r="AF233">
        <f>AND(IF(Metadata!F233="",FALSE,ISNUMBER(VALUE(Metadata!F233))),Metadata!F233&gt;0)</f>
        <v>0</v>
      </c>
      <c r="AG233">
        <f>AND(IF(Metadata!G233="",FALSE,TRUE),exact(Metadata!G233,"years"))</f>
        <v>0</v>
      </c>
      <c r="AH233">
        <f>OR(AND(IF(Metadata!H233="",FALSE,TRUE),OR(exact(Metadata!H233,"not applicable"),exact(Metadata!H233,"not collected"),exact(Metadata!H233,"not provided"),exact(Metadata!H233,"restricted access"))),AND(IF(Metadata!H233="",FALSE,ISNUMBER(VALUE(Metadata!H233))),Metadata!H233&gt;0))</f>
        <v>0</v>
      </c>
      <c r="AI233">
        <f>AND(IF(Metadata!I233="",FALSE,TRUE),exact(Metadata!I233,"human"))</f>
        <v>0</v>
      </c>
      <c r="AJ233">
        <f>AND(IF(Metadata!J233="",FALSE,ISNUMBER(VALUE(Metadata!J233))),Metadata!J233&gt;0)</f>
        <v>0</v>
      </c>
      <c r="AK233">
        <f>AND(IF(Metadata!K233="",FALSE,TRUE),exact(Metadata!K233,"cm"))</f>
        <v>0</v>
      </c>
      <c r="AL233">
        <f>AND(IF(Metadata!L233="",FALSE,TRUE),exact(Metadata!L233,"Homo sapiens"))</f>
        <v>0</v>
      </c>
      <c r="AM233">
        <f>AND(IF(Metadata!M233="",FALSE,TRUE),exact(Metadata!M233,"9606"))</f>
        <v>0</v>
      </c>
      <c r="AN233">
        <f>AND(IF(Metadata!N233="",FALSE,ISNUMBER(VALUE(Metadata!N233))),Metadata!N233&gt;0)</f>
        <v>0</v>
      </c>
      <c r="AO233">
        <f>AND(IF(Metadata!O233="",FALSE,TRUE),exact(Metadata!O233,"kg"))</f>
        <v>0</v>
      </c>
      <c r="AP233">
        <f>OR(AND(IF(Metadata!P233="",FALSE,TRUE),exact(Metadata!P233,"not provided")),IF(Metadata!P233="",FALSE,TRUE))</f>
        <v>0</v>
      </c>
      <c r="AQ233">
        <f>OR(AND(IF(Metadata!Q233="",FALSE,TRUE),exact(Metadata!Q233,"not provided")),IF(Metadata!Q233="",FALSE,TRUE))</f>
        <v>0</v>
      </c>
    </row>
    <row r="234" spans="1:43">
      <c r="A234" s="4">
        <f>IF(B234=" "," ",HYPERLINK(CONCATENATE("#metadata!",ADDRESS(INDEX($W$2:$W$1001,MATCH(ROWS($U$2:U234),$U$2:$U$1001,0),0),2)),INDEX($Z$2:$Z$1001,MATCH(ROWS($U$2:U234),$U$2:$U$1001,0),0)))</f>
        <v>0</v>
      </c>
      <c r="B234" s="5">
        <f>IF(OR(INDEX($V$2:$V$1001,MATCH(ROWS($U$2:U234),$U$2:$U$1001,0),1)&gt;=100000,INDEX($AB$1005:$AQ$1005,1,MATCH(COLUMNS($AB$1006:AB1006),$AB$1006:$AQ$1006,0))&gt;=100000), " ",IF(INDEX($AB$2:$AQ$1001,MATCH(ROWS($U$2:U234),$U$2:$U$1001,0),MATCH(COLUMNS($AB$1006:AB1006),$AB$1006:$AQ$1006,0)), HYPERLINK("#",""), HYPERLINK(CONCATENATE("#Metadata!", ADDRESS(INDEX($W$2:$W$1001,MATCH(ROWS($U$2:U234),$U$2:$U$1001,0),0), INDEX($AB$1004:$AQ$1004,1,MATCH(COLUMNS($AB$1006:AB1006),$AB$1006:$AQ$1006,0)))),"Fix")))</f>
        <v>0</v>
      </c>
      <c r="C234" s="5">
        <f>IF(OR(INDEX($V$2:$V$1001,MATCH(ROWS($U$2:U234),$U$2:$U$1001,0),1)&gt;=100000,INDEX($AB$1005:$AQ$1005,1,MATCH(COLUMNS($AB$1006:AC1006),$AB$1006:$AQ$1006,0))&gt;=100000), " ",IF(INDEX($AB$2:$AQ$1001,MATCH(ROWS($U$2:U234),$U$2:$U$1001,0),MATCH(COLUMNS($AB$1006:AC1006),$AB$1006:$AQ$1006,0)), HYPERLINK("#",""), HYPERLINK(CONCATENATE("#Metadata!", ADDRESS(INDEX($W$2:$W$1001,MATCH(ROWS($U$2:U234),$U$2:$U$1001,0),0), INDEX($AB$1004:$AQ$1004,1,MATCH(COLUMNS($AB$1006:AC1006),$AB$1006:$AQ$1006,0)))),"Fix")))</f>
        <v>0</v>
      </c>
      <c r="D234" s="5">
        <f>IF(OR(INDEX($V$2:$V$1001,MATCH(ROWS($U$2:U234),$U$2:$U$1001,0),1)&gt;=100000,INDEX($AB$1005:$AQ$1005,1,MATCH(COLUMNS($AB$1006:AD1006),$AB$1006:$AQ$1006,0))&gt;=100000), " ",IF(INDEX($AB$2:$AQ$1001,MATCH(ROWS($U$2:U234),$U$2:$U$1001,0),MATCH(COLUMNS($AB$1006:AD1006),$AB$1006:$AQ$1006,0)), HYPERLINK("#",""), HYPERLINK(CONCATENATE("#Metadata!", ADDRESS(INDEX($W$2:$W$1001,MATCH(ROWS($U$2:U234),$U$2:$U$1001,0),0), INDEX($AB$1004:$AQ$1004,1,MATCH(COLUMNS($AB$1006:AD1006),$AB$1006:$AQ$1006,0)))),"Fix")))</f>
        <v>0</v>
      </c>
      <c r="E234" s="5">
        <f>IF(OR(INDEX($V$2:$V$1001,MATCH(ROWS($U$2:U234),$U$2:$U$1001,0),1)&gt;=100000,INDEX($AB$1005:$AQ$1005,1,MATCH(COLUMNS($AB$1006:AE1006),$AB$1006:$AQ$1006,0))&gt;=100000), " ",IF(INDEX($AB$2:$AQ$1001,MATCH(ROWS($U$2:U234),$U$2:$U$1001,0),MATCH(COLUMNS($AB$1006:AE1006),$AB$1006:$AQ$1006,0)), HYPERLINK("#",""), HYPERLINK(CONCATENATE("#Metadata!", ADDRESS(INDEX($W$2:$W$1001,MATCH(ROWS($U$2:U234),$U$2:$U$1001,0),0), INDEX($AB$1004:$AQ$1004,1,MATCH(COLUMNS($AB$1006:AE1006),$AB$1006:$AQ$1006,0)))),"Fix")))</f>
        <v>0</v>
      </c>
      <c r="F234" s="5">
        <f>IF(OR(INDEX($V$2:$V$1001,MATCH(ROWS($U$2:U234),$U$2:$U$1001,0),1)&gt;=100000,INDEX($AB$1005:$AQ$1005,1,MATCH(COLUMNS($AB$1006:AF1006),$AB$1006:$AQ$1006,0))&gt;=100000), " ",IF(INDEX($AB$2:$AQ$1001,MATCH(ROWS($U$2:U234),$U$2:$U$1001,0),MATCH(COLUMNS($AB$1006:AF1006),$AB$1006:$AQ$1006,0)), HYPERLINK("#",""), HYPERLINK(CONCATENATE("#Metadata!", ADDRESS(INDEX($W$2:$W$1001,MATCH(ROWS($U$2:U234),$U$2:$U$1001,0),0), INDEX($AB$1004:$AQ$1004,1,MATCH(COLUMNS($AB$1006:AF1006),$AB$1006:$AQ$1006,0)))),"Fix")))</f>
        <v>0</v>
      </c>
      <c r="G234" s="5">
        <f>IF(OR(INDEX($V$2:$V$1001,MATCH(ROWS($U$2:U234),$U$2:$U$1001,0),1)&gt;=100000,INDEX($AB$1005:$AQ$1005,1,MATCH(COLUMNS($AB$1006:AG1006),$AB$1006:$AQ$1006,0))&gt;=100000), " ",IF(INDEX($AB$2:$AQ$1001,MATCH(ROWS($U$2:U234),$U$2:$U$1001,0),MATCH(COLUMNS($AB$1006:AG1006),$AB$1006:$AQ$1006,0)), HYPERLINK("#",""), HYPERLINK(CONCATENATE("#Metadata!", ADDRESS(INDEX($W$2:$W$1001,MATCH(ROWS($U$2:U234),$U$2:$U$1001,0),0), INDEX($AB$1004:$AQ$1004,1,MATCH(COLUMNS($AB$1006:AG1006),$AB$1006:$AQ$1006,0)))),"Fix")))</f>
        <v>0</v>
      </c>
      <c r="H234" s="5">
        <f>IF(OR(INDEX($V$2:$V$1001,MATCH(ROWS($U$2:U234),$U$2:$U$1001,0),1)&gt;=100000,INDEX($AB$1005:$AQ$1005,1,MATCH(COLUMNS($AB$1006:AH1006),$AB$1006:$AQ$1006,0))&gt;=100000), " ",IF(INDEX($AB$2:$AQ$1001,MATCH(ROWS($U$2:U234),$U$2:$U$1001,0),MATCH(COLUMNS($AB$1006:AH1006),$AB$1006:$AQ$1006,0)), HYPERLINK("#",""), HYPERLINK(CONCATENATE("#Metadata!", ADDRESS(INDEX($W$2:$W$1001,MATCH(ROWS($U$2:U234),$U$2:$U$1001,0),0), INDEX($AB$1004:$AQ$1004,1,MATCH(COLUMNS($AB$1006:AH1006),$AB$1006:$AQ$1006,0)))),"Fix")))</f>
        <v>0</v>
      </c>
      <c r="I234" s="5">
        <f>IF(OR(INDEX($V$2:$V$1001,MATCH(ROWS($U$2:U234),$U$2:$U$1001,0),1)&gt;=100000,INDEX($AB$1005:$AQ$1005,1,MATCH(COLUMNS($AB$1006:AI1006),$AB$1006:$AQ$1006,0))&gt;=100000), " ",IF(INDEX($AB$2:$AQ$1001,MATCH(ROWS($U$2:U234),$U$2:$U$1001,0),MATCH(COLUMNS($AB$1006:AI1006),$AB$1006:$AQ$1006,0)), HYPERLINK("#",""), HYPERLINK(CONCATENATE("#Metadata!", ADDRESS(INDEX($W$2:$W$1001,MATCH(ROWS($U$2:U234),$U$2:$U$1001,0),0), INDEX($AB$1004:$AQ$1004,1,MATCH(COLUMNS($AB$1006:AI1006),$AB$1006:$AQ$1006,0)))),"Fix")))</f>
        <v>0</v>
      </c>
      <c r="J234" s="5">
        <f>IF(OR(INDEX($V$2:$V$1001,MATCH(ROWS($U$2:U234),$U$2:$U$1001,0),1)&gt;=100000,INDEX($AB$1005:$AQ$1005,1,MATCH(COLUMNS($AB$1006:AJ1006),$AB$1006:$AQ$1006,0))&gt;=100000), " ",IF(INDEX($AB$2:$AQ$1001,MATCH(ROWS($U$2:U234),$U$2:$U$1001,0),MATCH(COLUMNS($AB$1006:AJ1006),$AB$1006:$AQ$1006,0)), HYPERLINK("#",""), HYPERLINK(CONCATENATE("#Metadata!", ADDRESS(INDEX($W$2:$W$1001,MATCH(ROWS($U$2:U234),$U$2:$U$1001,0),0), INDEX($AB$1004:$AQ$1004,1,MATCH(COLUMNS($AB$1006:AJ1006),$AB$1006:$AQ$1006,0)))),"Fix")))</f>
        <v>0</v>
      </c>
      <c r="K234" s="5">
        <f>IF(OR(INDEX($V$2:$V$1001,MATCH(ROWS($U$2:U234),$U$2:$U$1001,0),1)&gt;=100000,INDEX($AB$1005:$AQ$1005,1,MATCH(COLUMNS($AB$1006:AK1006),$AB$1006:$AQ$1006,0))&gt;=100000), " ",IF(INDEX($AB$2:$AQ$1001,MATCH(ROWS($U$2:U234),$U$2:$U$1001,0),MATCH(COLUMNS($AB$1006:AK1006),$AB$1006:$AQ$1006,0)), HYPERLINK("#",""), HYPERLINK(CONCATENATE("#Metadata!", ADDRESS(INDEX($W$2:$W$1001,MATCH(ROWS($U$2:U234),$U$2:$U$1001,0),0), INDEX($AB$1004:$AQ$1004,1,MATCH(COLUMNS($AB$1006:AK1006),$AB$1006:$AQ$1006,0)))),"Fix")))</f>
        <v>0</v>
      </c>
      <c r="L234" s="5">
        <f>IF(OR(INDEX($V$2:$V$1001,MATCH(ROWS($U$2:U234),$U$2:$U$1001,0),1)&gt;=100000,INDEX($AB$1005:$AQ$1005,1,MATCH(COLUMNS($AB$1006:AL1006),$AB$1006:$AQ$1006,0))&gt;=100000), " ",IF(INDEX($AB$2:$AQ$1001,MATCH(ROWS($U$2:U234),$U$2:$U$1001,0),MATCH(COLUMNS($AB$1006:AL1006),$AB$1006:$AQ$1006,0)), HYPERLINK("#",""), HYPERLINK(CONCATENATE("#Metadata!", ADDRESS(INDEX($W$2:$W$1001,MATCH(ROWS($U$2:U234),$U$2:$U$1001,0),0), INDEX($AB$1004:$AQ$1004,1,MATCH(COLUMNS($AB$1006:AL1006),$AB$1006:$AQ$1006,0)))),"Fix")))</f>
        <v>0</v>
      </c>
      <c r="M234" s="5">
        <f>IF(OR(INDEX($V$2:$V$1001,MATCH(ROWS($U$2:U234),$U$2:$U$1001,0),1)&gt;=100000,INDEX($AB$1005:$AQ$1005,1,MATCH(COLUMNS($AB$1006:AM1006),$AB$1006:$AQ$1006,0))&gt;=100000), " ",IF(INDEX($AB$2:$AQ$1001,MATCH(ROWS($U$2:U234),$U$2:$U$1001,0),MATCH(COLUMNS($AB$1006:AM1006),$AB$1006:$AQ$1006,0)), HYPERLINK("#",""), HYPERLINK(CONCATENATE("#Metadata!", ADDRESS(INDEX($W$2:$W$1001,MATCH(ROWS($U$2:U234),$U$2:$U$1001,0),0), INDEX($AB$1004:$AQ$1004,1,MATCH(COLUMNS($AB$1006:AM1006),$AB$1006:$AQ$1006,0)))),"Fix")))</f>
        <v>0</v>
      </c>
      <c r="N234" s="5">
        <f>IF(OR(INDEX($V$2:$V$1001,MATCH(ROWS($U$2:U234),$U$2:$U$1001,0),1)&gt;=100000,INDEX($AB$1005:$AQ$1005,1,MATCH(COLUMNS($AB$1006:AN1006),$AB$1006:$AQ$1006,0))&gt;=100000), " ",IF(INDEX($AB$2:$AQ$1001,MATCH(ROWS($U$2:U234),$U$2:$U$1001,0),MATCH(COLUMNS($AB$1006:AN1006),$AB$1006:$AQ$1006,0)), HYPERLINK("#",""), HYPERLINK(CONCATENATE("#Metadata!", ADDRESS(INDEX($W$2:$W$1001,MATCH(ROWS($U$2:U234),$U$2:$U$1001,0),0), INDEX($AB$1004:$AQ$1004,1,MATCH(COLUMNS($AB$1006:AN1006),$AB$1006:$AQ$1006,0)))),"Fix")))</f>
        <v>0</v>
      </c>
      <c r="O234" s="5">
        <f>IF(OR(INDEX($V$2:$V$1001,MATCH(ROWS($U$2:U234),$U$2:$U$1001,0),1)&gt;=100000,INDEX($AB$1005:$AQ$1005,1,MATCH(COLUMNS($AB$1006:AO1006),$AB$1006:$AQ$1006,0))&gt;=100000), " ",IF(INDEX($AB$2:$AQ$1001,MATCH(ROWS($U$2:U234),$U$2:$U$1001,0),MATCH(COLUMNS($AB$1006:AO1006),$AB$1006:$AQ$1006,0)), HYPERLINK("#",""), HYPERLINK(CONCATENATE("#Metadata!", ADDRESS(INDEX($W$2:$W$1001,MATCH(ROWS($U$2:U234),$U$2:$U$1001,0),0), INDEX($AB$1004:$AQ$1004,1,MATCH(COLUMNS($AB$1006:AO1006),$AB$1006:$AQ$1006,0)))),"Fix")))</f>
        <v>0</v>
      </c>
      <c r="P234" s="5">
        <f>IF(OR(INDEX($V$2:$V$1001,MATCH(ROWS($U$2:U234),$U$2:$U$1001,0),1)&gt;=100000,INDEX($AB$1005:$AQ$1005,1,MATCH(COLUMNS($AB$1006:AP1006),$AB$1006:$AQ$1006,0))&gt;=100000), " ",IF(INDEX($AB$2:$AQ$1001,MATCH(ROWS($U$2:U234),$U$2:$U$1001,0),MATCH(COLUMNS($AB$1006:AP1006),$AB$1006:$AQ$1006,0)), HYPERLINK("#",""), HYPERLINK(CONCATENATE("#Metadata!", ADDRESS(INDEX($W$2:$W$1001,MATCH(ROWS($U$2:U234),$U$2:$U$1001,0),0), INDEX($AB$1004:$AQ$1004,1,MATCH(COLUMNS($AB$1006:AP1006),$AB$1006:$AQ$1006,0)))),"Fix")))</f>
        <v>0</v>
      </c>
      <c r="Q234" s="5">
        <f>IF(OR(INDEX($V$2:$V$1001,MATCH(ROWS($U$2:U234),$U$2:$U$1001,0),1)&gt;=100000,INDEX($AB$1005:$AQ$1005,1,MATCH(COLUMNS($AB$1006:AQ1006),$AB$1006:$AQ$1006,0))&gt;=100000), " ",IF(INDEX($AB$2:$AQ$1001,MATCH(ROWS($U$2:U234),$U$2:$U$1001,0),MATCH(COLUMNS($AB$1006:AQ1006),$AB$1006:$AQ$1006,0)), HYPERLINK("#",""), HYPERLINK(CONCATENATE("#Metadata!", ADDRESS(INDEX($W$2:$W$1001,MATCH(ROWS($U$2:U234),$U$2:$U$1001,0),0), INDEX($AB$1004:$AQ$1004,1,MATCH(COLUMNS($AB$1006:AQ1006),$AB$1006:$AQ$1006,0)))),"Fix")))</f>
        <v>0</v>
      </c>
      <c r="U234">
        <v>0</v>
      </c>
      <c r="V234">
        <v>0</v>
      </c>
      <c r="W234">
        <v>0</v>
      </c>
      <c r="X234">
        <f>IF(Y234,TRUE,AND(AB234:AQ234))</f>
        <v>0</v>
      </c>
      <c r="Y234">
        <f>COUNTBLANK(Metadata!B234:Q234)=COLUMNS(Metadata!B234:Q234)</f>
        <v>0</v>
      </c>
      <c r="Z234">
        <v>0</v>
      </c>
      <c r="AB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AC234">
        <f>AND(IF(Metadata!C234="",FALSE,TRUE),exact(Metadata!C234,"urban biome"))</f>
        <v>0</v>
      </c>
      <c r="AD234">
        <f>AND(IF(Metadata!D234="",FALSE,TRUE),exact(Metadata!D234,"human-associated habitat"))</f>
        <v>0</v>
      </c>
      <c r="AE234">
        <f>AND(IF(Metadata!E234="",FALSE,TRUE),OR(exact(Metadata!E234,"human-associated"),exact(Metadata!E234,"human-skin"),exact(Metadata!E234,"human-oral"),exact(Metadata!E234,"human-gut"),exact(Metadata!E234,"human-vaginal")))</f>
        <v>0</v>
      </c>
      <c r="AF234">
        <f>AND(IF(Metadata!F234="",FALSE,ISNUMBER(VALUE(Metadata!F234))),Metadata!F234&gt;0)</f>
        <v>0</v>
      </c>
      <c r="AG234">
        <f>AND(IF(Metadata!G234="",FALSE,TRUE),exact(Metadata!G234,"years"))</f>
        <v>0</v>
      </c>
      <c r="AH234">
        <f>OR(AND(IF(Metadata!H234="",FALSE,TRUE),OR(exact(Metadata!H234,"not applicable"),exact(Metadata!H234,"not collected"),exact(Metadata!H234,"not provided"),exact(Metadata!H234,"restricted access"))),AND(IF(Metadata!H234="",FALSE,ISNUMBER(VALUE(Metadata!H234))),Metadata!H234&gt;0))</f>
        <v>0</v>
      </c>
      <c r="AI234">
        <f>AND(IF(Metadata!I234="",FALSE,TRUE),exact(Metadata!I234,"human"))</f>
        <v>0</v>
      </c>
      <c r="AJ234">
        <f>AND(IF(Metadata!J234="",FALSE,ISNUMBER(VALUE(Metadata!J234))),Metadata!J234&gt;0)</f>
        <v>0</v>
      </c>
      <c r="AK234">
        <f>AND(IF(Metadata!K234="",FALSE,TRUE),exact(Metadata!K234,"cm"))</f>
        <v>0</v>
      </c>
      <c r="AL234">
        <f>AND(IF(Metadata!L234="",FALSE,TRUE),exact(Metadata!L234,"Homo sapiens"))</f>
        <v>0</v>
      </c>
      <c r="AM234">
        <f>AND(IF(Metadata!M234="",FALSE,TRUE),exact(Metadata!M234,"9606"))</f>
        <v>0</v>
      </c>
      <c r="AN234">
        <f>AND(IF(Metadata!N234="",FALSE,ISNUMBER(VALUE(Metadata!N234))),Metadata!N234&gt;0)</f>
        <v>0</v>
      </c>
      <c r="AO234">
        <f>AND(IF(Metadata!O234="",FALSE,TRUE),exact(Metadata!O234,"kg"))</f>
        <v>0</v>
      </c>
      <c r="AP234">
        <f>OR(AND(IF(Metadata!P234="",FALSE,TRUE),exact(Metadata!P234,"not provided")),IF(Metadata!P234="",FALSE,TRUE))</f>
        <v>0</v>
      </c>
      <c r="AQ234">
        <f>OR(AND(IF(Metadata!Q234="",FALSE,TRUE),exact(Metadata!Q234,"not provided")),IF(Metadata!Q234="",FALSE,TRUE))</f>
        <v>0</v>
      </c>
    </row>
    <row r="235" spans="1:43">
      <c r="A235" s="4">
        <f>IF(B235=" "," ",HYPERLINK(CONCATENATE("#metadata!",ADDRESS(INDEX($W$2:$W$1001,MATCH(ROWS($U$2:U235),$U$2:$U$1001,0),0),2)),INDEX($Z$2:$Z$1001,MATCH(ROWS($U$2:U235),$U$2:$U$1001,0),0)))</f>
        <v>0</v>
      </c>
      <c r="B235" s="5">
        <f>IF(OR(INDEX($V$2:$V$1001,MATCH(ROWS($U$2:U235),$U$2:$U$1001,0),1)&gt;=100000,INDEX($AB$1005:$AQ$1005,1,MATCH(COLUMNS($AB$1006:AB1006),$AB$1006:$AQ$1006,0))&gt;=100000), " ",IF(INDEX($AB$2:$AQ$1001,MATCH(ROWS($U$2:U235),$U$2:$U$1001,0),MATCH(COLUMNS($AB$1006:AB1006),$AB$1006:$AQ$1006,0)), HYPERLINK("#",""), HYPERLINK(CONCATENATE("#Metadata!", ADDRESS(INDEX($W$2:$W$1001,MATCH(ROWS($U$2:U235),$U$2:$U$1001,0),0), INDEX($AB$1004:$AQ$1004,1,MATCH(COLUMNS($AB$1006:AB1006),$AB$1006:$AQ$1006,0)))),"Fix")))</f>
        <v>0</v>
      </c>
      <c r="C235" s="5">
        <f>IF(OR(INDEX($V$2:$V$1001,MATCH(ROWS($U$2:U235),$U$2:$U$1001,0),1)&gt;=100000,INDEX($AB$1005:$AQ$1005,1,MATCH(COLUMNS($AB$1006:AC1006),$AB$1006:$AQ$1006,0))&gt;=100000), " ",IF(INDEX($AB$2:$AQ$1001,MATCH(ROWS($U$2:U235),$U$2:$U$1001,0),MATCH(COLUMNS($AB$1006:AC1006),$AB$1006:$AQ$1006,0)), HYPERLINK("#",""), HYPERLINK(CONCATENATE("#Metadata!", ADDRESS(INDEX($W$2:$W$1001,MATCH(ROWS($U$2:U235),$U$2:$U$1001,0),0), INDEX($AB$1004:$AQ$1004,1,MATCH(COLUMNS($AB$1006:AC1006),$AB$1006:$AQ$1006,0)))),"Fix")))</f>
        <v>0</v>
      </c>
      <c r="D235" s="5">
        <f>IF(OR(INDEX($V$2:$V$1001,MATCH(ROWS($U$2:U235),$U$2:$U$1001,0),1)&gt;=100000,INDEX($AB$1005:$AQ$1005,1,MATCH(COLUMNS($AB$1006:AD1006),$AB$1006:$AQ$1006,0))&gt;=100000), " ",IF(INDEX($AB$2:$AQ$1001,MATCH(ROWS($U$2:U235),$U$2:$U$1001,0),MATCH(COLUMNS($AB$1006:AD1006),$AB$1006:$AQ$1006,0)), HYPERLINK("#",""), HYPERLINK(CONCATENATE("#Metadata!", ADDRESS(INDEX($W$2:$W$1001,MATCH(ROWS($U$2:U235),$U$2:$U$1001,0),0), INDEX($AB$1004:$AQ$1004,1,MATCH(COLUMNS($AB$1006:AD1006),$AB$1006:$AQ$1006,0)))),"Fix")))</f>
        <v>0</v>
      </c>
      <c r="E235" s="5">
        <f>IF(OR(INDEX($V$2:$V$1001,MATCH(ROWS($U$2:U235),$U$2:$U$1001,0),1)&gt;=100000,INDEX($AB$1005:$AQ$1005,1,MATCH(COLUMNS($AB$1006:AE1006),$AB$1006:$AQ$1006,0))&gt;=100000), " ",IF(INDEX($AB$2:$AQ$1001,MATCH(ROWS($U$2:U235),$U$2:$U$1001,0),MATCH(COLUMNS($AB$1006:AE1006),$AB$1006:$AQ$1006,0)), HYPERLINK("#",""), HYPERLINK(CONCATENATE("#Metadata!", ADDRESS(INDEX($W$2:$W$1001,MATCH(ROWS($U$2:U235),$U$2:$U$1001,0),0), INDEX($AB$1004:$AQ$1004,1,MATCH(COLUMNS($AB$1006:AE1006),$AB$1006:$AQ$1006,0)))),"Fix")))</f>
        <v>0</v>
      </c>
      <c r="F235" s="5">
        <f>IF(OR(INDEX($V$2:$V$1001,MATCH(ROWS($U$2:U235),$U$2:$U$1001,0),1)&gt;=100000,INDEX($AB$1005:$AQ$1005,1,MATCH(COLUMNS($AB$1006:AF1006),$AB$1006:$AQ$1006,0))&gt;=100000), " ",IF(INDEX($AB$2:$AQ$1001,MATCH(ROWS($U$2:U235),$U$2:$U$1001,0),MATCH(COLUMNS($AB$1006:AF1006),$AB$1006:$AQ$1006,0)), HYPERLINK("#",""), HYPERLINK(CONCATENATE("#Metadata!", ADDRESS(INDEX($W$2:$W$1001,MATCH(ROWS($U$2:U235),$U$2:$U$1001,0),0), INDEX($AB$1004:$AQ$1004,1,MATCH(COLUMNS($AB$1006:AF1006),$AB$1006:$AQ$1006,0)))),"Fix")))</f>
        <v>0</v>
      </c>
      <c r="G235" s="5">
        <f>IF(OR(INDEX($V$2:$V$1001,MATCH(ROWS($U$2:U235),$U$2:$U$1001,0),1)&gt;=100000,INDEX($AB$1005:$AQ$1005,1,MATCH(COLUMNS($AB$1006:AG1006),$AB$1006:$AQ$1006,0))&gt;=100000), " ",IF(INDEX($AB$2:$AQ$1001,MATCH(ROWS($U$2:U235),$U$2:$U$1001,0),MATCH(COLUMNS($AB$1006:AG1006),$AB$1006:$AQ$1006,0)), HYPERLINK("#",""), HYPERLINK(CONCATENATE("#Metadata!", ADDRESS(INDEX($W$2:$W$1001,MATCH(ROWS($U$2:U235),$U$2:$U$1001,0),0), INDEX($AB$1004:$AQ$1004,1,MATCH(COLUMNS($AB$1006:AG1006),$AB$1006:$AQ$1006,0)))),"Fix")))</f>
        <v>0</v>
      </c>
      <c r="H235" s="5">
        <f>IF(OR(INDEX($V$2:$V$1001,MATCH(ROWS($U$2:U235),$U$2:$U$1001,0),1)&gt;=100000,INDEX($AB$1005:$AQ$1005,1,MATCH(COLUMNS($AB$1006:AH1006),$AB$1006:$AQ$1006,0))&gt;=100000), " ",IF(INDEX($AB$2:$AQ$1001,MATCH(ROWS($U$2:U235),$U$2:$U$1001,0),MATCH(COLUMNS($AB$1006:AH1006),$AB$1006:$AQ$1006,0)), HYPERLINK("#",""), HYPERLINK(CONCATENATE("#Metadata!", ADDRESS(INDEX($W$2:$W$1001,MATCH(ROWS($U$2:U235),$U$2:$U$1001,0),0), INDEX($AB$1004:$AQ$1004,1,MATCH(COLUMNS($AB$1006:AH1006),$AB$1006:$AQ$1006,0)))),"Fix")))</f>
        <v>0</v>
      </c>
      <c r="I235" s="5">
        <f>IF(OR(INDEX($V$2:$V$1001,MATCH(ROWS($U$2:U235),$U$2:$U$1001,0),1)&gt;=100000,INDEX($AB$1005:$AQ$1005,1,MATCH(COLUMNS($AB$1006:AI1006),$AB$1006:$AQ$1006,0))&gt;=100000), " ",IF(INDEX($AB$2:$AQ$1001,MATCH(ROWS($U$2:U235),$U$2:$U$1001,0),MATCH(COLUMNS($AB$1006:AI1006),$AB$1006:$AQ$1006,0)), HYPERLINK("#",""), HYPERLINK(CONCATENATE("#Metadata!", ADDRESS(INDEX($W$2:$W$1001,MATCH(ROWS($U$2:U235),$U$2:$U$1001,0),0), INDEX($AB$1004:$AQ$1004,1,MATCH(COLUMNS($AB$1006:AI1006),$AB$1006:$AQ$1006,0)))),"Fix")))</f>
        <v>0</v>
      </c>
      <c r="J235" s="5">
        <f>IF(OR(INDEX($V$2:$V$1001,MATCH(ROWS($U$2:U235),$U$2:$U$1001,0),1)&gt;=100000,INDEX($AB$1005:$AQ$1005,1,MATCH(COLUMNS($AB$1006:AJ1006),$AB$1006:$AQ$1006,0))&gt;=100000), " ",IF(INDEX($AB$2:$AQ$1001,MATCH(ROWS($U$2:U235),$U$2:$U$1001,0),MATCH(COLUMNS($AB$1006:AJ1006),$AB$1006:$AQ$1006,0)), HYPERLINK("#",""), HYPERLINK(CONCATENATE("#Metadata!", ADDRESS(INDEX($W$2:$W$1001,MATCH(ROWS($U$2:U235),$U$2:$U$1001,0),0), INDEX($AB$1004:$AQ$1004,1,MATCH(COLUMNS($AB$1006:AJ1006),$AB$1006:$AQ$1006,0)))),"Fix")))</f>
        <v>0</v>
      </c>
      <c r="K235" s="5">
        <f>IF(OR(INDEX($V$2:$V$1001,MATCH(ROWS($U$2:U235),$U$2:$U$1001,0),1)&gt;=100000,INDEX($AB$1005:$AQ$1005,1,MATCH(COLUMNS($AB$1006:AK1006),$AB$1006:$AQ$1006,0))&gt;=100000), " ",IF(INDEX($AB$2:$AQ$1001,MATCH(ROWS($U$2:U235),$U$2:$U$1001,0),MATCH(COLUMNS($AB$1006:AK1006),$AB$1006:$AQ$1006,0)), HYPERLINK("#",""), HYPERLINK(CONCATENATE("#Metadata!", ADDRESS(INDEX($W$2:$W$1001,MATCH(ROWS($U$2:U235),$U$2:$U$1001,0),0), INDEX($AB$1004:$AQ$1004,1,MATCH(COLUMNS($AB$1006:AK1006),$AB$1006:$AQ$1006,0)))),"Fix")))</f>
        <v>0</v>
      </c>
      <c r="L235" s="5">
        <f>IF(OR(INDEX($V$2:$V$1001,MATCH(ROWS($U$2:U235),$U$2:$U$1001,0),1)&gt;=100000,INDEX($AB$1005:$AQ$1005,1,MATCH(COLUMNS($AB$1006:AL1006),$AB$1006:$AQ$1006,0))&gt;=100000), " ",IF(INDEX($AB$2:$AQ$1001,MATCH(ROWS($U$2:U235),$U$2:$U$1001,0),MATCH(COLUMNS($AB$1006:AL1006),$AB$1006:$AQ$1006,0)), HYPERLINK("#",""), HYPERLINK(CONCATENATE("#Metadata!", ADDRESS(INDEX($W$2:$W$1001,MATCH(ROWS($U$2:U235),$U$2:$U$1001,0),0), INDEX($AB$1004:$AQ$1004,1,MATCH(COLUMNS($AB$1006:AL1006),$AB$1006:$AQ$1006,0)))),"Fix")))</f>
        <v>0</v>
      </c>
      <c r="M235" s="5">
        <f>IF(OR(INDEX($V$2:$V$1001,MATCH(ROWS($U$2:U235),$U$2:$U$1001,0),1)&gt;=100000,INDEX($AB$1005:$AQ$1005,1,MATCH(COLUMNS($AB$1006:AM1006),$AB$1006:$AQ$1006,0))&gt;=100000), " ",IF(INDEX($AB$2:$AQ$1001,MATCH(ROWS($U$2:U235),$U$2:$U$1001,0),MATCH(COLUMNS($AB$1006:AM1006),$AB$1006:$AQ$1006,0)), HYPERLINK("#",""), HYPERLINK(CONCATENATE("#Metadata!", ADDRESS(INDEX($W$2:$W$1001,MATCH(ROWS($U$2:U235),$U$2:$U$1001,0),0), INDEX($AB$1004:$AQ$1004,1,MATCH(COLUMNS($AB$1006:AM1006),$AB$1006:$AQ$1006,0)))),"Fix")))</f>
        <v>0</v>
      </c>
      <c r="N235" s="5">
        <f>IF(OR(INDEX($V$2:$V$1001,MATCH(ROWS($U$2:U235),$U$2:$U$1001,0),1)&gt;=100000,INDEX($AB$1005:$AQ$1005,1,MATCH(COLUMNS($AB$1006:AN1006),$AB$1006:$AQ$1006,0))&gt;=100000), " ",IF(INDEX($AB$2:$AQ$1001,MATCH(ROWS($U$2:U235),$U$2:$U$1001,0),MATCH(COLUMNS($AB$1006:AN1006),$AB$1006:$AQ$1006,0)), HYPERLINK("#",""), HYPERLINK(CONCATENATE("#Metadata!", ADDRESS(INDEX($W$2:$W$1001,MATCH(ROWS($U$2:U235),$U$2:$U$1001,0),0), INDEX($AB$1004:$AQ$1004,1,MATCH(COLUMNS($AB$1006:AN1006),$AB$1006:$AQ$1006,0)))),"Fix")))</f>
        <v>0</v>
      </c>
      <c r="O235" s="5">
        <f>IF(OR(INDEX($V$2:$V$1001,MATCH(ROWS($U$2:U235),$U$2:$U$1001,0),1)&gt;=100000,INDEX($AB$1005:$AQ$1005,1,MATCH(COLUMNS($AB$1006:AO1006),$AB$1006:$AQ$1006,0))&gt;=100000), " ",IF(INDEX($AB$2:$AQ$1001,MATCH(ROWS($U$2:U235),$U$2:$U$1001,0),MATCH(COLUMNS($AB$1006:AO1006),$AB$1006:$AQ$1006,0)), HYPERLINK("#",""), HYPERLINK(CONCATENATE("#Metadata!", ADDRESS(INDEX($W$2:$W$1001,MATCH(ROWS($U$2:U235),$U$2:$U$1001,0),0), INDEX($AB$1004:$AQ$1004,1,MATCH(COLUMNS($AB$1006:AO1006),$AB$1006:$AQ$1006,0)))),"Fix")))</f>
        <v>0</v>
      </c>
      <c r="P235" s="5">
        <f>IF(OR(INDEX($V$2:$V$1001,MATCH(ROWS($U$2:U235),$U$2:$U$1001,0),1)&gt;=100000,INDEX($AB$1005:$AQ$1005,1,MATCH(COLUMNS($AB$1006:AP1006),$AB$1006:$AQ$1006,0))&gt;=100000), " ",IF(INDEX($AB$2:$AQ$1001,MATCH(ROWS($U$2:U235),$U$2:$U$1001,0),MATCH(COLUMNS($AB$1006:AP1006),$AB$1006:$AQ$1006,0)), HYPERLINK("#",""), HYPERLINK(CONCATENATE("#Metadata!", ADDRESS(INDEX($W$2:$W$1001,MATCH(ROWS($U$2:U235),$U$2:$U$1001,0),0), INDEX($AB$1004:$AQ$1004,1,MATCH(COLUMNS($AB$1006:AP1006),$AB$1006:$AQ$1006,0)))),"Fix")))</f>
        <v>0</v>
      </c>
      <c r="Q235" s="5">
        <f>IF(OR(INDEX($V$2:$V$1001,MATCH(ROWS($U$2:U235),$U$2:$U$1001,0),1)&gt;=100000,INDEX($AB$1005:$AQ$1005,1,MATCH(COLUMNS($AB$1006:AQ1006),$AB$1006:$AQ$1006,0))&gt;=100000), " ",IF(INDEX($AB$2:$AQ$1001,MATCH(ROWS($U$2:U235),$U$2:$U$1001,0),MATCH(COLUMNS($AB$1006:AQ1006),$AB$1006:$AQ$1006,0)), HYPERLINK("#",""), HYPERLINK(CONCATENATE("#Metadata!", ADDRESS(INDEX($W$2:$W$1001,MATCH(ROWS($U$2:U235),$U$2:$U$1001,0),0), INDEX($AB$1004:$AQ$1004,1,MATCH(COLUMNS($AB$1006:AQ1006),$AB$1006:$AQ$1006,0)))),"Fix")))</f>
        <v>0</v>
      </c>
      <c r="U235">
        <v>0</v>
      </c>
      <c r="V235">
        <v>0</v>
      </c>
      <c r="W235">
        <v>0</v>
      </c>
      <c r="X235">
        <f>IF(Y235,TRUE,AND(AB235:AQ235))</f>
        <v>0</v>
      </c>
      <c r="Y235">
        <f>COUNTBLANK(Metadata!B235:Q235)=COLUMNS(Metadata!B235:Q235)</f>
        <v>0</v>
      </c>
      <c r="Z235">
        <v>0</v>
      </c>
      <c r="AB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AC235">
        <f>AND(IF(Metadata!C235="",FALSE,TRUE),exact(Metadata!C235,"urban biome"))</f>
        <v>0</v>
      </c>
      <c r="AD235">
        <f>AND(IF(Metadata!D235="",FALSE,TRUE),exact(Metadata!D235,"human-associated habitat"))</f>
        <v>0</v>
      </c>
      <c r="AE235">
        <f>AND(IF(Metadata!E235="",FALSE,TRUE),OR(exact(Metadata!E235,"human-associated"),exact(Metadata!E235,"human-skin"),exact(Metadata!E235,"human-oral"),exact(Metadata!E235,"human-gut"),exact(Metadata!E235,"human-vaginal")))</f>
        <v>0</v>
      </c>
      <c r="AF235">
        <f>AND(IF(Metadata!F235="",FALSE,ISNUMBER(VALUE(Metadata!F235))),Metadata!F235&gt;0)</f>
        <v>0</v>
      </c>
      <c r="AG235">
        <f>AND(IF(Metadata!G235="",FALSE,TRUE),exact(Metadata!G235,"years"))</f>
        <v>0</v>
      </c>
      <c r="AH235">
        <f>OR(AND(IF(Metadata!H235="",FALSE,TRUE),OR(exact(Metadata!H235,"not applicable"),exact(Metadata!H235,"not collected"),exact(Metadata!H235,"not provided"),exact(Metadata!H235,"restricted access"))),AND(IF(Metadata!H235="",FALSE,ISNUMBER(VALUE(Metadata!H235))),Metadata!H235&gt;0))</f>
        <v>0</v>
      </c>
      <c r="AI235">
        <f>AND(IF(Metadata!I235="",FALSE,TRUE),exact(Metadata!I235,"human"))</f>
        <v>0</v>
      </c>
      <c r="AJ235">
        <f>AND(IF(Metadata!J235="",FALSE,ISNUMBER(VALUE(Metadata!J235))),Metadata!J235&gt;0)</f>
        <v>0</v>
      </c>
      <c r="AK235">
        <f>AND(IF(Metadata!K235="",FALSE,TRUE),exact(Metadata!K235,"cm"))</f>
        <v>0</v>
      </c>
      <c r="AL235">
        <f>AND(IF(Metadata!L235="",FALSE,TRUE),exact(Metadata!L235,"Homo sapiens"))</f>
        <v>0</v>
      </c>
      <c r="AM235">
        <f>AND(IF(Metadata!M235="",FALSE,TRUE),exact(Metadata!M235,"9606"))</f>
        <v>0</v>
      </c>
      <c r="AN235">
        <f>AND(IF(Metadata!N235="",FALSE,ISNUMBER(VALUE(Metadata!N235))),Metadata!N235&gt;0)</f>
        <v>0</v>
      </c>
      <c r="AO235">
        <f>AND(IF(Metadata!O235="",FALSE,TRUE),exact(Metadata!O235,"kg"))</f>
        <v>0</v>
      </c>
      <c r="AP235">
        <f>OR(AND(IF(Metadata!P235="",FALSE,TRUE),exact(Metadata!P235,"not provided")),IF(Metadata!P235="",FALSE,TRUE))</f>
        <v>0</v>
      </c>
      <c r="AQ235">
        <f>OR(AND(IF(Metadata!Q235="",FALSE,TRUE),exact(Metadata!Q235,"not provided")),IF(Metadata!Q235="",FALSE,TRUE))</f>
        <v>0</v>
      </c>
    </row>
    <row r="236" spans="1:43">
      <c r="A236" s="4">
        <f>IF(B236=" "," ",HYPERLINK(CONCATENATE("#metadata!",ADDRESS(INDEX($W$2:$W$1001,MATCH(ROWS($U$2:U236),$U$2:$U$1001,0),0),2)),INDEX($Z$2:$Z$1001,MATCH(ROWS($U$2:U236),$U$2:$U$1001,0),0)))</f>
        <v>0</v>
      </c>
      <c r="B236" s="5">
        <f>IF(OR(INDEX($V$2:$V$1001,MATCH(ROWS($U$2:U236),$U$2:$U$1001,0),1)&gt;=100000,INDEX($AB$1005:$AQ$1005,1,MATCH(COLUMNS($AB$1006:AB1006),$AB$1006:$AQ$1006,0))&gt;=100000), " ",IF(INDEX($AB$2:$AQ$1001,MATCH(ROWS($U$2:U236),$U$2:$U$1001,0),MATCH(COLUMNS($AB$1006:AB1006),$AB$1006:$AQ$1006,0)), HYPERLINK("#",""), HYPERLINK(CONCATENATE("#Metadata!", ADDRESS(INDEX($W$2:$W$1001,MATCH(ROWS($U$2:U236),$U$2:$U$1001,0),0), INDEX($AB$1004:$AQ$1004,1,MATCH(COLUMNS($AB$1006:AB1006),$AB$1006:$AQ$1006,0)))),"Fix")))</f>
        <v>0</v>
      </c>
      <c r="C236" s="5">
        <f>IF(OR(INDEX($V$2:$V$1001,MATCH(ROWS($U$2:U236),$U$2:$U$1001,0),1)&gt;=100000,INDEX($AB$1005:$AQ$1005,1,MATCH(COLUMNS($AB$1006:AC1006),$AB$1006:$AQ$1006,0))&gt;=100000), " ",IF(INDEX($AB$2:$AQ$1001,MATCH(ROWS($U$2:U236),$U$2:$U$1001,0),MATCH(COLUMNS($AB$1006:AC1006),$AB$1006:$AQ$1006,0)), HYPERLINK("#",""), HYPERLINK(CONCATENATE("#Metadata!", ADDRESS(INDEX($W$2:$W$1001,MATCH(ROWS($U$2:U236),$U$2:$U$1001,0),0), INDEX($AB$1004:$AQ$1004,1,MATCH(COLUMNS($AB$1006:AC1006),$AB$1006:$AQ$1006,0)))),"Fix")))</f>
        <v>0</v>
      </c>
      <c r="D236" s="5">
        <f>IF(OR(INDEX($V$2:$V$1001,MATCH(ROWS($U$2:U236),$U$2:$U$1001,0),1)&gt;=100000,INDEX($AB$1005:$AQ$1005,1,MATCH(COLUMNS($AB$1006:AD1006),$AB$1006:$AQ$1006,0))&gt;=100000), " ",IF(INDEX($AB$2:$AQ$1001,MATCH(ROWS($U$2:U236),$U$2:$U$1001,0),MATCH(COLUMNS($AB$1006:AD1006),$AB$1006:$AQ$1006,0)), HYPERLINK("#",""), HYPERLINK(CONCATENATE("#Metadata!", ADDRESS(INDEX($W$2:$W$1001,MATCH(ROWS($U$2:U236),$U$2:$U$1001,0),0), INDEX($AB$1004:$AQ$1004,1,MATCH(COLUMNS($AB$1006:AD1006),$AB$1006:$AQ$1006,0)))),"Fix")))</f>
        <v>0</v>
      </c>
      <c r="E236" s="5">
        <f>IF(OR(INDEX($V$2:$V$1001,MATCH(ROWS($U$2:U236),$U$2:$U$1001,0),1)&gt;=100000,INDEX($AB$1005:$AQ$1005,1,MATCH(COLUMNS($AB$1006:AE1006),$AB$1006:$AQ$1006,0))&gt;=100000), " ",IF(INDEX($AB$2:$AQ$1001,MATCH(ROWS($U$2:U236),$U$2:$U$1001,0),MATCH(COLUMNS($AB$1006:AE1006),$AB$1006:$AQ$1006,0)), HYPERLINK("#",""), HYPERLINK(CONCATENATE("#Metadata!", ADDRESS(INDEX($W$2:$W$1001,MATCH(ROWS($U$2:U236),$U$2:$U$1001,0),0), INDEX($AB$1004:$AQ$1004,1,MATCH(COLUMNS($AB$1006:AE1006),$AB$1006:$AQ$1006,0)))),"Fix")))</f>
        <v>0</v>
      </c>
      <c r="F236" s="5">
        <f>IF(OR(INDEX($V$2:$V$1001,MATCH(ROWS($U$2:U236),$U$2:$U$1001,0),1)&gt;=100000,INDEX($AB$1005:$AQ$1005,1,MATCH(COLUMNS($AB$1006:AF1006),$AB$1006:$AQ$1006,0))&gt;=100000), " ",IF(INDEX($AB$2:$AQ$1001,MATCH(ROWS($U$2:U236),$U$2:$U$1001,0),MATCH(COLUMNS($AB$1006:AF1006),$AB$1006:$AQ$1006,0)), HYPERLINK("#",""), HYPERLINK(CONCATENATE("#Metadata!", ADDRESS(INDEX($W$2:$W$1001,MATCH(ROWS($U$2:U236),$U$2:$U$1001,0),0), INDEX($AB$1004:$AQ$1004,1,MATCH(COLUMNS($AB$1006:AF1006),$AB$1006:$AQ$1006,0)))),"Fix")))</f>
        <v>0</v>
      </c>
      <c r="G236" s="5">
        <f>IF(OR(INDEX($V$2:$V$1001,MATCH(ROWS($U$2:U236),$U$2:$U$1001,0),1)&gt;=100000,INDEX($AB$1005:$AQ$1005,1,MATCH(COLUMNS($AB$1006:AG1006),$AB$1006:$AQ$1006,0))&gt;=100000), " ",IF(INDEX($AB$2:$AQ$1001,MATCH(ROWS($U$2:U236),$U$2:$U$1001,0),MATCH(COLUMNS($AB$1006:AG1006),$AB$1006:$AQ$1006,0)), HYPERLINK("#",""), HYPERLINK(CONCATENATE("#Metadata!", ADDRESS(INDEX($W$2:$W$1001,MATCH(ROWS($U$2:U236),$U$2:$U$1001,0),0), INDEX($AB$1004:$AQ$1004,1,MATCH(COLUMNS($AB$1006:AG1006),$AB$1006:$AQ$1006,0)))),"Fix")))</f>
        <v>0</v>
      </c>
      <c r="H236" s="5">
        <f>IF(OR(INDEX($V$2:$V$1001,MATCH(ROWS($U$2:U236),$U$2:$U$1001,0),1)&gt;=100000,INDEX($AB$1005:$AQ$1005,1,MATCH(COLUMNS($AB$1006:AH1006),$AB$1006:$AQ$1006,0))&gt;=100000), " ",IF(INDEX($AB$2:$AQ$1001,MATCH(ROWS($U$2:U236),$U$2:$U$1001,0),MATCH(COLUMNS($AB$1006:AH1006),$AB$1006:$AQ$1006,0)), HYPERLINK("#",""), HYPERLINK(CONCATENATE("#Metadata!", ADDRESS(INDEX($W$2:$W$1001,MATCH(ROWS($U$2:U236),$U$2:$U$1001,0),0), INDEX($AB$1004:$AQ$1004,1,MATCH(COLUMNS($AB$1006:AH1006),$AB$1006:$AQ$1006,0)))),"Fix")))</f>
        <v>0</v>
      </c>
      <c r="I236" s="5">
        <f>IF(OR(INDEX($V$2:$V$1001,MATCH(ROWS($U$2:U236),$U$2:$U$1001,0),1)&gt;=100000,INDEX($AB$1005:$AQ$1005,1,MATCH(COLUMNS($AB$1006:AI1006),$AB$1006:$AQ$1006,0))&gt;=100000), " ",IF(INDEX($AB$2:$AQ$1001,MATCH(ROWS($U$2:U236),$U$2:$U$1001,0),MATCH(COLUMNS($AB$1006:AI1006),$AB$1006:$AQ$1006,0)), HYPERLINK("#",""), HYPERLINK(CONCATENATE("#Metadata!", ADDRESS(INDEX($W$2:$W$1001,MATCH(ROWS($U$2:U236),$U$2:$U$1001,0),0), INDEX($AB$1004:$AQ$1004,1,MATCH(COLUMNS($AB$1006:AI1006),$AB$1006:$AQ$1006,0)))),"Fix")))</f>
        <v>0</v>
      </c>
      <c r="J236" s="5">
        <f>IF(OR(INDEX($V$2:$V$1001,MATCH(ROWS($U$2:U236),$U$2:$U$1001,0),1)&gt;=100000,INDEX($AB$1005:$AQ$1005,1,MATCH(COLUMNS($AB$1006:AJ1006),$AB$1006:$AQ$1006,0))&gt;=100000), " ",IF(INDEX($AB$2:$AQ$1001,MATCH(ROWS($U$2:U236),$U$2:$U$1001,0),MATCH(COLUMNS($AB$1006:AJ1006),$AB$1006:$AQ$1006,0)), HYPERLINK("#",""), HYPERLINK(CONCATENATE("#Metadata!", ADDRESS(INDEX($W$2:$W$1001,MATCH(ROWS($U$2:U236),$U$2:$U$1001,0),0), INDEX($AB$1004:$AQ$1004,1,MATCH(COLUMNS($AB$1006:AJ1006),$AB$1006:$AQ$1006,0)))),"Fix")))</f>
        <v>0</v>
      </c>
      <c r="K236" s="5">
        <f>IF(OR(INDEX($V$2:$V$1001,MATCH(ROWS($U$2:U236),$U$2:$U$1001,0),1)&gt;=100000,INDEX($AB$1005:$AQ$1005,1,MATCH(COLUMNS($AB$1006:AK1006),$AB$1006:$AQ$1006,0))&gt;=100000), " ",IF(INDEX($AB$2:$AQ$1001,MATCH(ROWS($U$2:U236),$U$2:$U$1001,0),MATCH(COLUMNS($AB$1006:AK1006),$AB$1006:$AQ$1006,0)), HYPERLINK("#",""), HYPERLINK(CONCATENATE("#Metadata!", ADDRESS(INDEX($W$2:$W$1001,MATCH(ROWS($U$2:U236),$U$2:$U$1001,0),0), INDEX($AB$1004:$AQ$1004,1,MATCH(COLUMNS($AB$1006:AK1006),$AB$1006:$AQ$1006,0)))),"Fix")))</f>
        <v>0</v>
      </c>
      <c r="L236" s="5">
        <f>IF(OR(INDEX($V$2:$V$1001,MATCH(ROWS($U$2:U236),$U$2:$U$1001,0),1)&gt;=100000,INDEX($AB$1005:$AQ$1005,1,MATCH(COLUMNS($AB$1006:AL1006),$AB$1006:$AQ$1006,0))&gt;=100000), " ",IF(INDEX($AB$2:$AQ$1001,MATCH(ROWS($U$2:U236),$U$2:$U$1001,0),MATCH(COLUMNS($AB$1006:AL1006),$AB$1006:$AQ$1006,0)), HYPERLINK("#",""), HYPERLINK(CONCATENATE("#Metadata!", ADDRESS(INDEX($W$2:$W$1001,MATCH(ROWS($U$2:U236),$U$2:$U$1001,0),0), INDEX($AB$1004:$AQ$1004,1,MATCH(COLUMNS($AB$1006:AL1006),$AB$1006:$AQ$1006,0)))),"Fix")))</f>
        <v>0</v>
      </c>
      <c r="M236" s="5">
        <f>IF(OR(INDEX($V$2:$V$1001,MATCH(ROWS($U$2:U236),$U$2:$U$1001,0),1)&gt;=100000,INDEX($AB$1005:$AQ$1005,1,MATCH(COLUMNS($AB$1006:AM1006),$AB$1006:$AQ$1006,0))&gt;=100000), " ",IF(INDEX($AB$2:$AQ$1001,MATCH(ROWS($U$2:U236),$U$2:$U$1001,0),MATCH(COLUMNS($AB$1006:AM1006),$AB$1006:$AQ$1006,0)), HYPERLINK("#",""), HYPERLINK(CONCATENATE("#Metadata!", ADDRESS(INDEX($W$2:$W$1001,MATCH(ROWS($U$2:U236),$U$2:$U$1001,0),0), INDEX($AB$1004:$AQ$1004,1,MATCH(COLUMNS($AB$1006:AM1006),$AB$1006:$AQ$1006,0)))),"Fix")))</f>
        <v>0</v>
      </c>
      <c r="N236" s="5">
        <f>IF(OR(INDEX($V$2:$V$1001,MATCH(ROWS($U$2:U236),$U$2:$U$1001,0),1)&gt;=100000,INDEX($AB$1005:$AQ$1005,1,MATCH(COLUMNS($AB$1006:AN1006),$AB$1006:$AQ$1006,0))&gt;=100000), " ",IF(INDEX($AB$2:$AQ$1001,MATCH(ROWS($U$2:U236),$U$2:$U$1001,0),MATCH(COLUMNS($AB$1006:AN1006),$AB$1006:$AQ$1006,0)), HYPERLINK("#",""), HYPERLINK(CONCATENATE("#Metadata!", ADDRESS(INDEX($W$2:$W$1001,MATCH(ROWS($U$2:U236),$U$2:$U$1001,0),0), INDEX($AB$1004:$AQ$1004,1,MATCH(COLUMNS($AB$1006:AN1006),$AB$1006:$AQ$1006,0)))),"Fix")))</f>
        <v>0</v>
      </c>
      <c r="O236" s="5">
        <f>IF(OR(INDEX($V$2:$V$1001,MATCH(ROWS($U$2:U236),$U$2:$U$1001,0),1)&gt;=100000,INDEX($AB$1005:$AQ$1005,1,MATCH(COLUMNS($AB$1006:AO1006),$AB$1006:$AQ$1006,0))&gt;=100000), " ",IF(INDEX($AB$2:$AQ$1001,MATCH(ROWS($U$2:U236),$U$2:$U$1001,0),MATCH(COLUMNS($AB$1006:AO1006),$AB$1006:$AQ$1006,0)), HYPERLINK("#",""), HYPERLINK(CONCATENATE("#Metadata!", ADDRESS(INDEX($W$2:$W$1001,MATCH(ROWS($U$2:U236),$U$2:$U$1001,0),0), INDEX($AB$1004:$AQ$1004,1,MATCH(COLUMNS($AB$1006:AO1006),$AB$1006:$AQ$1006,0)))),"Fix")))</f>
        <v>0</v>
      </c>
      <c r="P236" s="5">
        <f>IF(OR(INDEX($V$2:$V$1001,MATCH(ROWS($U$2:U236),$U$2:$U$1001,0),1)&gt;=100000,INDEX($AB$1005:$AQ$1005,1,MATCH(COLUMNS($AB$1006:AP1006),$AB$1006:$AQ$1006,0))&gt;=100000), " ",IF(INDEX($AB$2:$AQ$1001,MATCH(ROWS($U$2:U236),$U$2:$U$1001,0),MATCH(COLUMNS($AB$1006:AP1006),$AB$1006:$AQ$1006,0)), HYPERLINK("#",""), HYPERLINK(CONCATENATE("#Metadata!", ADDRESS(INDEX($W$2:$W$1001,MATCH(ROWS($U$2:U236),$U$2:$U$1001,0),0), INDEX($AB$1004:$AQ$1004,1,MATCH(COLUMNS($AB$1006:AP1006),$AB$1006:$AQ$1006,0)))),"Fix")))</f>
        <v>0</v>
      </c>
      <c r="Q236" s="5">
        <f>IF(OR(INDEX($V$2:$V$1001,MATCH(ROWS($U$2:U236),$U$2:$U$1001,0),1)&gt;=100000,INDEX($AB$1005:$AQ$1005,1,MATCH(COLUMNS($AB$1006:AQ1006),$AB$1006:$AQ$1006,0))&gt;=100000), " ",IF(INDEX($AB$2:$AQ$1001,MATCH(ROWS($U$2:U236),$U$2:$U$1001,0),MATCH(COLUMNS($AB$1006:AQ1006),$AB$1006:$AQ$1006,0)), HYPERLINK("#",""), HYPERLINK(CONCATENATE("#Metadata!", ADDRESS(INDEX($W$2:$W$1001,MATCH(ROWS($U$2:U236),$U$2:$U$1001,0),0), INDEX($AB$1004:$AQ$1004,1,MATCH(COLUMNS($AB$1006:AQ1006),$AB$1006:$AQ$1006,0)))),"Fix")))</f>
        <v>0</v>
      </c>
      <c r="U236">
        <v>0</v>
      </c>
      <c r="V236">
        <v>0</v>
      </c>
      <c r="W236">
        <v>0</v>
      </c>
      <c r="X236">
        <f>IF(Y236,TRUE,AND(AB236:AQ236))</f>
        <v>0</v>
      </c>
      <c r="Y236">
        <f>COUNTBLANK(Metadata!B236:Q236)=COLUMNS(Metadata!B236:Q236)</f>
        <v>0</v>
      </c>
      <c r="Z236">
        <v>0</v>
      </c>
      <c r="AB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AC236">
        <f>AND(IF(Metadata!C236="",FALSE,TRUE),exact(Metadata!C236,"urban biome"))</f>
        <v>0</v>
      </c>
      <c r="AD236">
        <f>AND(IF(Metadata!D236="",FALSE,TRUE),exact(Metadata!D236,"human-associated habitat"))</f>
        <v>0</v>
      </c>
      <c r="AE236">
        <f>AND(IF(Metadata!E236="",FALSE,TRUE),OR(exact(Metadata!E236,"human-associated"),exact(Metadata!E236,"human-skin"),exact(Metadata!E236,"human-oral"),exact(Metadata!E236,"human-gut"),exact(Metadata!E236,"human-vaginal")))</f>
        <v>0</v>
      </c>
      <c r="AF236">
        <f>AND(IF(Metadata!F236="",FALSE,ISNUMBER(VALUE(Metadata!F236))),Metadata!F236&gt;0)</f>
        <v>0</v>
      </c>
      <c r="AG236">
        <f>AND(IF(Metadata!G236="",FALSE,TRUE),exact(Metadata!G236,"years"))</f>
        <v>0</v>
      </c>
      <c r="AH236">
        <f>OR(AND(IF(Metadata!H236="",FALSE,TRUE),OR(exact(Metadata!H236,"not applicable"),exact(Metadata!H236,"not collected"),exact(Metadata!H236,"not provided"),exact(Metadata!H236,"restricted access"))),AND(IF(Metadata!H236="",FALSE,ISNUMBER(VALUE(Metadata!H236))),Metadata!H236&gt;0))</f>
        <v>0</v>
      </c>
      <c r="AI236">
        <f>AND(IF(Metadata!I236="",FALSE,TRUE),exact(Metadata!I236,"human"))</f>
        <v>0</v>
      </c>
      <c r="AJ236">
        <f>AND(IF(Metadata!J236="",FALSE,ISNUMBER(VALUE(Metadata!J236))),Metadata!J236&gt;0)</f>
        <v>0</v>
      </c>
      <c r="AK236">
        <f>AND(IF(Metadata!K236="",FALSE,TRUE),exact(Metadata!K236,"cm"))</f>
        <v>0</v>
      </c>
      <c r="AL236">
        <f>AND(IF(Metadata!L236="",FALSE,TRUE),exact(Metadata!L236,"Homo sapiens"))</f>
        <v>0</v>
      </c>
      <c r="AM236">
        <f>AND(IF(Metadata!M236="",FALSE,TRUE),exact(Metadata!M236,"9606"))</f>
        <v>0</v>
      </c>
      <c r="AN236">
        <f>AND(IF(Metadata!N236="",FALSE,ISNUMBER(VALUE(Metadata!N236))),Metadata!N236&gt;0)</f>
        <v>0</v>
      </c>
      <c r="AO236">
        <f>AND(IF(Metadata!O236="",FALSE,TRUE),exact(Metadata!O236,"kg"))</f>
        <v>0</v>
      </c>
      <c r="AP236">
        <f>OR(AND(IF(Metadata!P236="",FALSE,TRUE),exact(Metadata!P236,"not provided")),IF(Metadata!P236="",FALSE,TRUE))</f>
        <v>0</v>
      </c>
      <c r="AQ236">
        <f>OR(AND(IF(Metadata!Q236="",FALSE,TRUE),exact(Metadata!Q236,"not provided")),IF(Metadata!Q236="",FALSE,TRUE))</f>
        <v>0</v>
      </c>
    </row>
    <row r="237" spans="1:43">
      <c r="A237" s="4">
        <f>IF(B237=" "," ",HYPERLINK(CONCATENATE("#metadata!",ADDRESS(INDEX($W$2:$W$1001,MATCH(ROWS($U$2:U237),$U$2:$U$1001,0),0),2)),INDEX($Z$2:$Z$1001,MATCH(ROWS($U$2:U237),$U$2:$U$1001,0),0)))</f>
        <v>0</v>
      </c>
      <c r="B237" s="5">
        <f>IF(OR(INDEX($V$2:$V$1001,MATCH(ROWS($U$2:U237),$U$2:$U$1001,0),1)&gt;=100000,INDEX($AB$1005:$AQ$1005,1,MATCH(COLUMNS($AB$1006:AB1006),$AB$1006:$AQ$1006,0))&gt;=100000), " ",IF(INDEX($AB$2:$AQ$1001,MATCH(ROWS($U$2:U237),$U$2:$U$1001,0),MATCH(COLUMNS($AB$1006:AB1006),$AB$1006:$AQ$1006,0)), HYPERLINK("#",""), HYPERLINK(CONCATENATE("#Metadata!", ADDRESS(INDEX($W$2:$W$1001,MATCH(ROWS($U$2:U237),$U$2:$U$1001,0),0), INDEX($AB$1004:$AQ$1004,1,MATCH(COLUMNS($AB$1006:AB1006),$AB$1006:$AQ$1006,0)))),"Fix")))</f>
        <v>0</v>
      </c>
      <c r="C237" s="5">
        <f>IF(OR(INDEX($V$2:$V$1001,MATCH(ROWS($U$2:U237),$U$2:$U$1001,0),1)&gt;=100000,INDEX($AB$1005:$AQ$1005,1,MATCH(COLUMNS($AB$1006:AC1006),$AB$1006:$AQ$1006,0))&gt;=100000), " ",IF(INDEX($AB$2:$AQ$1001,MATCH(ROWS($U$2:U237),$U$2:$U$1001,0),MATCH(COLUMNS($AB$1006:AC1006),$AB$1006:$AQ$1006,0)), HYPERLINK("#",""), HYPERLINK(CONCATENATE("#Metadata!", ADDRESS(INDEX($W$2:$W$1001,MATCH(ROWS($U$2:U237),$U$2:$U$1001,0),0), INDEX($AB$1004:$AQ$1004,1,MATCH(COLUMNS($AB$1006:AC1006),$AB$1006:$AQ$1006,0)))),"Fix")))</f>
        <v>0</v>
      </c>
      <c r="D237" s="5">
        <f>IF(OR(INDEX($V$2:$V$1001,MATCH(ROWS($U$2:U237),$U$2:$U$1001,0),1)&gt;=100000,INDEX($AB$1005:$AQ$1005,1,MATCH(COLUMNS($AB$1006:AD1006),$AB$1006:$AQ$1006,0))&gt;=100000), " ",IF(INDEX($AB$2:$AQ$1001,MATCH(ROWS($U$2:U237),$U$2:$U$1001,0),MATCH(COLUMNS($AB$1006:AD1006),$AB$1006:$AQ$1006,0)), HYPERLINK("#",""), HYPERLINK(CONCATENATE("#Metadata!", ADDRESS(INDEX($W$2:$W$1001,MATCH(ROWS($U$2:U237),$U$2:$U$1001,0),0), INDEX($AB$1004:$AQ$1004,1,MATCH(COLUMNS($AB$1006:AD1006),$AB$1006:$AQ$1006,0)))),"Fix")))</f>
        <v>0</v>
      </c>
      <c r="E237" s="5">
        <f>IF(OR(INDEX($V$2:$V$1001,MATCH(ROWS($U$2:U237),$U$2:$U$1001,0),1)&gt;=100000,INDEX($AB$1005:$AQ$1005,1,MATCH(COLUMNS($AB$1006:AE1006),$AB$1006:$AQ$1006,0))&gt;=100000), " ",IF(INDEX($AB$2:$AQ$1001,MATCH(ROWS($U$2:U237),$U$2:$U$1001,0),MATCH(COLUMNS($AB$1006:AE1006),$AB$1006:$AQ$1006,0)), HYPERLINK("#",""), HYPERLINK(CONCATENATE("#Metadata!", ADDRESS(INDEX($W$2:$W$1001,MATCH(ROWS($U$2:U237),$U$2:$U$1001,0),0), INDEX($AB$1004:$AQ$1004,1,MATCH(COLUMNS($AB$1006:AE1006),$AB$1006:$AQ$1006,0)))),"Fix")))</f>
        <v>0</v>
      </c>
      <c r="F237" s="5">
        <f>IF(OR(INDEX($V$2:$V$1001,MATCH(ROWS($U$2:U237),$U$2:$U$1001,0),1)&gt;=100000,INDEX($AB$1005:$AQ$1005,1,MATCH(COLUMNS($AB$1006:AF1006),$AB$1006:$AQ$1006,0))&gt;=100000), " ",IF(INDEX($AB$2:$AQ$1001,MATCH(ROWS($U$2:U237),$U$2:$U$1001,0),MATCH(COLUMNS($AB$1006:AF1006),$AB$1006:$AQ$1006,0)), HYPERLINK("#",""), HYPERLINK(CONCATENATE("#Metadata!", ADDRESS(INDEX($W$2:$W$1001,MATCH(ROWS($U$2:U237),$U$2:$U$1001,0),0), INDEX($AB$1004:$AQ$1004,1,MATCH(COLUMNS($AB$1006:AF1006),$AB$1006:$AQ$1006,0)))),"Fix")))</f>
        <v>0</v>
      </c>
      <c r="G237" s="5">
        <f>IF(OR(INDEX($V$2:$V$1001,MATCH(ROWS($U$2:U237),$U$2:$U$1001,0),1)&gt;=100000,INDEX($AB$1005:$AQ$1005,1,MATCH(COLUMNS($AB$1006:AG1006),$AB$1006:$AQ$1006,0))&gt;=100000), " ",IF(INDEX($AB$2:$AQ$1001,MATCH(ROWS($U$2:U237),$U$2:$U$1001,0),MATCH(COLUMNS($AB$1006:AG1006),$AB$1006:$AQ$1006,0)), HYPERLINK("#",""), HYPERLINK(CONCATENATE("#Metadata!", ADDRESS(INDEX($W$2:$W$1001,MATCH(ROWS($U$2:U237),$U$2:$U$1001,0),0), INDEX($AB$1004:$AQ$1004,1,MATCH(COLUMNS($AB$1006:AG1006),$AB$1006:$AQ$1006,0)))),"Fix")))</f>
        <v>0</v>
      </c>
      <c r="H237" s="5">
        <f>IF(OR(INDEX($V$2:$V$1001,MATCH(ROWS($U$2:U237),$U$2:$U$1001,0),1)&gt;=100000,INDEX($AB$1005:$AQ$1005,1,MATCH(COLUMNS($AB$1006:AH1006),$AB$1006:$AQ$1006,0))&gt;=100000), " ",IF(INDEX($AB$2:$AQ$1001,MATCH(ROWS($U$2:U237),$U$2:$U$1001,0),MATCH(COLUMNS($AB$1006:AH1006),$AB$1006:$AQ$1006,0)), HYPERLINK("#",""), HYPERLINK(CONCATENATE("#Metadata!", ADDRESS(INDEX($W$2:$W$1001,MATCH(ROWS($U$2:U237),$U$2:$U$1001,0),0), INDEX($AB$1004:$AQ$1004,1,MATCH(COLUMNS($AB$1006:AH1006),$AB$1006:$AQ$1006,0)))),"Fix")))</f>
        <v>0</v>
      </c>
      <c r="I237" s="5">
        <f>IF(OR(INDEX($V$2:$V$1001,MATCH(ROWS($U$2:U237),$U$2:$U$1001,0),1)&gt;=100000,INDEX($AB$1005:$AQ$1005,1,MATCH(COLUMNS($AB$1006:AI1006),$AB$1006:$AQ$1006,0))&gt;=100000), " ",IF(INDEX($AB$2:$AQ$1001,MATCH(ROWS($U$2:U237),$U$2:$U$1001,0),MATCH(COLUMNS($AB$1006:AI1006),$AB$1006:$AQ$1006,0)), HYPERLINK("#",""), HYPERLINK(CONCATENATE("#Metadata!", ADDRESS(INDEX($W$2:$W$1001,MATCH(ROWS($U$2:U237),$U$2:$U$1001,0),0), INDEX($AB$1004:$AQ$1004,1,MATCH(COLUMNS($AB$1006:AI1006),$AB$1006:$AQ$1006,0)))),"Fix")))</f>
        <v>0</v>
      </c>
      <c r="J237" s="5">
        <f>IF(OR(INDEX($V$2:$V$1001,MATCH(ROWS($U$2:U237),$U$2:$U$1001,0),1)&gt;=100000,INDEX($AB$1005:$AQ$1005,1,MATCH(COLUMNS($AB$1006:AJ1006),$AB$1006:$AQ$1006,0))&gt;=100000), " ",IF(INDEX($AB$2:$AQ$1001,MATCH(ROWS($U$2:U237),$U$2:$U$1001,0),MATCH(COLUMNS($AB$1006:AJ1006),$AB$1006:$AQ$1006,0)), HYPERLINK("#",""), HYPERLINK(CONCATENATE("#Metadata!", ADDRESS(INDEX($W$2:$W$1001,MATCH(ROWS($U$2:U237),$U$2:$U$1001,0),0), INDEX($AB$1004:$AQ$1004,1,MATCH(COLUMNS($AB$1006:AJ1006),$AB$1006:$AQ$1006,0)))),"Fix")))</f>
        <v>0</v>
      </c>
      <c r="K237" s="5">
        <f>IF(OR(INDEX($V$2:$V$1001,MATCH(ROWS($U$2:U237),$U$2:$U$1001,0),1)&gt;=100000,INDEX($AB$1005:$AQ$1005,1,MATCH(COLUMNS($AB$1006:AK1006),$AB$1006:$AQ$1006,0))&gt;=100000), " ",IF(INDEX($AB$2:$AQ$1001,MATCH(ROWS($U$2:U237),$U$2:$U$1001,0),MATCH(COLUMNS($AB$1006:AK1006),$AB$1006:$AQ$1006,0)), HYPERLINK("#",""), HYPERLINK(CONCATENATE("#Metadata!", ADDRESS(INDEX($W$2:$W$1001,MATCH(ROWS($U$2:U237),$U$2:$U$1001,0),0), INDEX($AB$1004:$AQ$1004,1,MATCH(COLUMNS($AB$1006:AK1006),$AB$1006:$AQ$1006,0)))),"Fix")))</f>
        <v>0</v>
      </c>
      <c r="L237" s="5">
        <f>IF(OR(INDEX($V$2:$V$1001,MATCH(ROWS($U$2:U237),$U$2:$U$1001,0),1)&gt;=100000,INDEX($AB$1005:$AQ$1005,1,MATCH(COLUMNS($AB$1006:AL1006),$AB$1006:$AQ$1006,0))&gt;=100000), " ",IF(INDEX($AB$2:$AQ$1001,MATCH(ROWS($U$2:U237),$U$2:$U$1001,0),MATCH(COLUMNS($AB$1006:AL1006),$AB$1006:$AQ$1006,0)), HYPERLINK("#",""), HYPERLINK(CONCATENATE("#Metadata!", ADDRESS(INDEX($W$2:$W$1001,MATCH(ROWS($U$2:U237),$U$2:$U$1001,0),0), INDEX($AB$1004:$AQ$1004,1,MATCH(COLUMNS($AB$1006:AL1006),$AB$1006:$AQ$1006,0)))),"Fix")))</f>
        <v>0</v>
      </c>
      <c r="M237" s="5">
        <f>IF(OR(INDEX($V$2:$V$1001,MATCH(ROWS($U$2:U237),$U$2:$U$1001,0),1)&gt;=100000,INDEX($AB$1005:$AQ$1005,1,MATCH(COLUMNS($AB$1006:AM1006),$AB$1006:$AQ$1006,0))&gt;=100000), " ",IF(INDEX($AB$2:$AQ$1001,MATCH(ROWS($U$2:U237),$U$2:$U$1001,0),MATCH(COLUMNS($AB$1006:AM1006),$AB$1006:$AQ$1006,0)), HYPERLINK("#",""), HYPERLINK(CONCATENATE("#Metadata!", ADDRESS(INDEX($W$2:$W$1001,MATCH(ROWS($U$2:U237),$U$2:$U$1001,0),0), INDEX($AB$1004:$AQ$1004,1,MATCH(COLUMNS($AB$1006:AM1006),$AB$1006:$AQ$1006,0)))),"Fix")))</f>
        <v>0</v>
      </c>
      <c r="N237" s="5">
        <f>IF(OR(INDEX($V$2:$V$1001,MATCH(ROWS($U$2:U237),$U$2:$U$1001,0),1)&gt;=100000,INDEX($AB$1005:$AQ$1005,1,MATCH(COLUMNS($AB$1006:AN1006),$AB$1006:$AQ$1006,0))&gt;=100000), " ",IF(INDEX($AB$2:$AQ$1001,MATCH(ROWS($U$2:U237),$U$2:$U$1001,0),MATCH(COLUMNS($AB$1006:AN1006),$AB$1006:$AQ$1006,0)), HYPERLINK("#",""), HYPERLINK(CONCATENATE("#Metadata!", ADDRESS(INDEX($W$2:$W$1001,MATCH(ROWS($U$2:U237),$U$2:$U$1001,0),0), INDEX($AB$1004:$AQ$1004,1,MATCH(COLUMNS($AB$1006:AN1006),$AB$1006:$AQ$1006,0)))),"Fix")))</f>
        <v>0</v>
      </c>
      <c r="O237" s="5">
        <f>IF(OR(INDEX($V$2:$V$1001,MATCH(ROWS($U$2:U237),$U$2:$U$1001,0),1)&gt;=100000,INDEX($AB$1005:$AQ$1005,1,MATCH(COLUMNS($AB$1006:AO1006),$AB$1006:$AQ$1006,0))&gt;=100000), " ",IF(INDEX($AB$2:$AQ$1001,MATCH(ROWS($U$2:U237),$U$2:$U$1001,0),MATCH(COLUMNS($AB$1006:AO1006),$AB$1006:$AQ$1006,0)), HYPERLINK("#",""), HYPERLINK(CONCATENATE("#Metadata!", ADDRESS(INDEX($W$2:$W$1001,MATCH(ROWS($U$2:U237),$U$2:$U$1001,0),0), INDEX($AB$1004:$AQ$1004,1,MATCH(COLUMNS($AB$1006:AO1006),$AB$1006:$AQ$1006,0)))),"Fix")))</f>
        <v>0</v>
      </c>
      <c r="P237" s="5">
        <f>IF(OR(INDEX($V$2:$V$1001,MATCH(ROWS($U$2:U237),$U$2:$U$1001,0),1)&gt;=100000,INDEX($AB$1005:$AQ$1005,1,MATCH(COLUMNS($AB$1006:AP1006),$AB$1006:$AQ$1006,0))&gt;=100000), " ",IF(INDEX($AB$2:$AQ$1001,MATCH(ROWS($U$2:U237),$U$2:$U$1001,0),MATCH(COLUMNS($AB$1006:AP1006),$AB$1006:$AQ$1006,0)), HYPERLINK("#",""), HYPERLINK(CONCATENATE("#Metadata!", ADDRESS(INDEX($W$2:$W$1001,MATCH(ROWS($U$2:U237),$U$2:$U$1001,0),0), INDEX($AB$1004:$AQ$1004,1,MATCH(COLUMNS($AB$1006:AP1006),$AB$1006:$AQ$1006,0)))),"Fix")))</f>
        <v>0</v>
      </c>
      <c r="Q237" s="5">
        <f>IF(OR(INDEX($V$2:$V$1001,MATCH(ROWS($U$2:U237),$U$2:$U$1001,0),1)&gt;=100000,INDEX($AB$1005:$AQ$1005,1,MATCH(COLUMNS($AB$1006:AQ1006),$AB$1006:$AQ$1006,0))&gt;=100000), " ",IF(INDEX($AB$2:$AQ$1001,MATCH(ROWS($U$2:U237),$U$2:$U$1001,0),MATCH(COLUMNS($AB$1006:AQ1006),$AB$1006:$AQ$1006,0)), HYPERLINK("#",""), HYPERLINK(CONCATENATE("#Metadata!", ADDRESS(INDEX($W$2:$W$1001,MATCH(ROWS($U$2:U237),$U$2:$U$1001,0),0), INDEX($AB$1004:$AQ$1004,1,MATCH(COLUMNS($AB$1006:AQ1006),$AB$1006:$AQ$1006,0)))),"Fix")))</f>
        <v>0</v>
      </c>
      <c r="U237">
        <v>0</v>
      </c>
      <c r="V237">
        <v>0</v>
      </c>
      <c r="W237">
        <v>0</v>
      </c>
      <c r="X237">
        <f>IF(Y237,TRUE,AND(AB237:AQ237))</f>
        <v>0</v>
      </c>
      <c r="Y237">
        <f>COUNTBLANK(Metadata!B237:Q237)=COLUMNS(Metadata!B237:Q237)</f>
        <v>0</v>
      </c>
      <c r="Z237">
        <v>0</v>
      </c>
      <c r="AB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AC237">
        <f>AND(IF(Metadata!C237="",FALSE,TRUE),exact(Metadata!C237,"urban biome"))</f>
        <v>0</v>
      </c>
      <c r="AD237">
        <f>AND(IF(Metadata!D237="",FALSE,TRUE),exact(Metadata!D237,"human-associated habitat"))</f>
        <v>0</v>
      </c>
      <c r="AE237">
        <f>AND(IF(Metadata!E237="",FALSE,TRUE),OR(exact(Metadata!E237,"human-associated"),exact(Metadata!E237,"human-skin"),exact(Metadata!E237,"human-oral"),exact(Metadata!E237,"human-gut"),exact(Metadata!E237,"human-vaginal")))</f>
        <v>0</v>
      </c>
      <c r="AF237">
        <f>AND(IF(Metadata!F237="",FALSE,ISNUMBER(VALUE(Metadata!F237))),Metadata!F237&gt;0)</f>
        <v>0</v>
      </c>
      <c r="AG237">
        <f>AND(IF(Metadata!G237="",FALSE,TRUE),exact(Metadata!G237,"years"))</f>
        <v>0</v>
      </c>
      <c r="AH237">
        <f>OR(AND(IF(Metadata!H237="",FALSE,TRUE),OR(exact(Metadata!H237,"not applicable"),exact(Metadata!H237,"not collected"),exact(Metadata!H237,"not provided"),exact(Metadata!H237,"restricted access"))),AND(IF(Metadata!H237="",FALSE,ISNUMBER(VALUE(Metadata!H237))),Metadata!H237&gt;0))</f>
        <v>0</v>
      </c>
      <c r="AI237">
        <f>AND(IF(Metadata!I237="",FALSE,TRUE),exact(Metadata!I237,"human"))</f>
        <v>0</v>
      </c>
      <c r="AJ237">
        <f>AND(IF(Metadata!J237="",FALSE,ISNUMBER(VALUE(Metadata!J237))),Metadata!J237&gt;0)</f>
        <v>0</v>
      </c>
      <c r="AK237">
        <f>AND(IF(Metadata!K237="",FALSE,TRUE),exact(Metadata!K237,"cm"))</f>
        <v>0</v>
      </c>
      <c r="AL237">
        <f>AND(IF(Metadata!L237="",FALSE,TRUE),exact(Metadata!L237,"Homo sapiens"))</f>
        <v>0</v>
      </c>
      <c r="AM237">
        <f>AND(IF(Metadata!M237="",FALSE,TRUE),exact(Metadata!M237,"9606"))</f>
        <v>0</v>
      </c>
      <c r="AN237">
        <f>AND(IF(Metadata!N237="",FALSE,ISNUMBER(VALUE(Metadata!N237))),Metadata!N237&gt;0)</f>
        <v>0</v>
      </c>
      <c r="AO237">
        <f>AND(IF(Metadata!O237="",FALSE,TRUE),exact(Metadata!O237,"kg"))</f>
        <v>0</v>
      </c>
      <c r="AP237">
        <f>OR(AND(IF(Metadata!P237="",FALSE,TRUE),exact(Metadata!P237,"not provided")),IF(Metadata!P237="",FALSE,TRUE))</f>
        <v>0</v>
      </c>
      <c r="AQ237">
        <f>OR(AND(IF(Metadata!Q237="",FALSE,TRUE),exact(Metadata!Q237,"not provided")),IF(Metadata!Q237="",FALSE,TRUE))</f>
        <v>0</v>
      </c>
    </row>
    <row r="238" spans="1:43">
      <c r="A238" s="4">
        <f>IF(B238=" "," ",HYPERLINK(CONCATENATE("#metadata!",ADDRESS(INDEX($W$2:$W$1001,MATCH(ROWS($U$2:U238),$U$2:$U$1001,0),0),2)),INDEX($Z$2:$Z$1001,MATCH(ROWS($U$2:U238),$U$2:$U$1001,0),0)))</f>
        <v>0</v>
      </c>
      <c r="B238" s="5">
        <f>IF(OR(INDEX($V$2:$V$1001,MATCH(ROWS($U$2:U238),$U$2:$U$1001,0),1)&gt;=100000,INDEX($AB$1005:$AQ$1005,1,MATCH(COLUMNS($AB$1006:AB1006),$AB$1006:$AQ$1006,0))&gt;=100000), " ",IF(INDEX($AB$2:$AQ$1001,MATCH(ROWS($U$2:U238),$U$2:$U$1001,0),MATCH(COLUMNS($AB$1006:AB1006),$AB$1006:$AQ$1006,0)), HYPERLINK("#",""), HYPERLINK(CONCATENATE("#Metadata!", ADDRESS(INDEX($W$2:$W$1001,MATCH(ROWS($U$2:U238),$U$2:$U$1001,0),0), INDEX($AB$1004:$AQ$1004,1,MATCH(COLUMNS($AB$1006:AB1006),$AB$1006:$AQ$1006,0)))),"Fix")))</f>
        <v>0</v>
      </c>
      <c r="C238" s="5">
        <f>IF(OR(INDEX($V$2:$V$1001,MATCH(ROWS($U$2:U238),$U$2:$U$1001,0),1)&gt;=100000,INDEX($AB$1005:$AQ$1005,1,MATCH(COLUMNS($AB$1006:AC1006),$AB$1006:$AQ$1006,0))&gt;=100000), " ",IF(INDEX($AB$2:$AQ$1001,MATCH(ROWS($U$2:U238),$U$2:$U$1001,0),MATCH(COLUMNS($AB$1006:AC1006),$AB$1006:$AQ$1006,0)), HYPERLINK("#",""), HYPERLINK(CONCATENATE("#Metadata!", ADDRESS(INDEX($W$2:$W$1001,MATCH(ROWS($U$2:U238),$U$2:$U$1001,0),0), INDEX($AB$1004:$AQ$1004,1,MATCH(COLUMNS($AB$1006:AC1006),$AB$1006:$AQ$1006,0)))),"Fix")))</f>
        <v>0</v>
      </c>
      <c r="D238" s="5">
        <f>IF(OR(INDEX($V$2:$V$1001,MATCH(ROWS($U$2:U238),$U$2:$U$1001,0),1)&gt;=100000,INDEX($AB$1005:$AQ$1005,1,MATCH(COLUMNS($AB$1006:AD1006),$AB$1006:$AQ$1006,0))&gt;=100000), " ",IF(INDEX($AB$2:$AQ$1001,MATCH(ROWS($U$2:U238),$U$2:$U$1001,0),MATCH(COLUMNS($AB$1006:AD1006),$AB$1006:$AQ$1006,0)), HYPERLINK("#",""), HYPERLINK(CONCATENATE("#Metadata!", ADDRESS(INDEX($W$2:$W$1001,MATCH(ROWS($U$2:U238),$U$2:$U$1001,0),0), INDEX($AB$1004:$AQ$1004,1,MATCH(COLUMNS($AB$1006:AD1006),$AB$1006:$AQ$1006,0)))),"Fix")))</f>
        <v>0</v>
      </c>
      <c r="E238" s="5">
        <f>IF(OR(INDEX($V$2:$V$1001,MATCH(ROWS($U$2:U238),$U$2:$U$1001,0),1)&gt;=100000,INDEX($AB$1005:$AQ$1005,1,MATCH(COLUMNS($AB$1006:AE1006),$AB$1006:$AQ$1006,0))&gt;=100000), " ",IF(INDEX($AB$2:$AQ$1001,MATCH(ROWS($U$2:U238),$U$2:$U$1001,0),MATCH(COLUMNS($AB$1006:AE1006),$AB$1006:$AQ$1006,0)), HYPERLINK("#",""), HYPERLINK(CONCATENATE("#Metadata!", ADDRESS(INDEX($W$2:$W$1001,MATCH(ROWS($U$2:U238),$U$2:$U$1001,0),0), INDEX($AB$1004:$AQ$1004,1,MATCH(COLUMNS($AB$1006:AE1006),$AB$1006:$AQ$1006,0)))),"Fix")))</f>
        <v>0</v>
      </c>
      <c r="F238" s="5">
        <f>IF(OR(INDEX($V$2:$V$1001,MATCH(ROWS($U$2:U238),$U$2:$U$1001,0),1)&gt;=100000,INDEX($AB$1005:$AQ$1005,1,MATCH(COLUMNS($AB$1006:AF1006),$AB$1006:$AQ$1006,0))&gt;=100000), " ",IF(INDEX($AB$2:$AQ$1001,MATCH(ROWS($U$2:U238),$U$2:$U$1001,0),MATCH(COLUMNS($AB$1006:AF1006),$AB$1006:$AQ$1006,0)), HYPERLINK("#",""), HYPERLINK(CONCATENATE("#Metadata!", ADDRESS(INDEX($W$2:$W$1001,MATCH(ROWS($U$2:U238),$U$2:$U$1001,0),0), INDEX($AB$1004:$AQ$1004,1,MATCH(COLUMNS($AB$1006:AF1006),$AB$1006:$AQ$1006,0)))),"Fix")))</f>
        <v>0</v>
      </c>
      <c r="G238" s="5">
        <f>IF(OR(INDEX($V$2:$V$1001,MATCH(ROWS($U$2:U238),$U$2:$U$1001,0),1)&gt;=100000,INDEX($AB$1005:$AQ$1005,1,MATCH(COLUMNS($AB$1006:AG1006),$AB$1006:$AQ$1006,0))&gt;=100000), " ",IF(INDEX($AB$2:$AQ$1001,MATCH(ROWS($U$2:U238),$U$2:$U$1001,0),MATCH(COLUMNS($AB$1006:AG1006),$AB$1006:$AQ$1006,0)), HYPERLINK("#",""), HYPERLINK(CONCATENATE("#Metadata!", ADDRESS(INDEX($W$2:$W$1001,MATCH(ROWS($U$2:U238),$U$2:$U$1001,0),0), INDEX($AB$1004:$AQ$1004,1,MATCH(COLUMNS($AB$1006:AG1006),$AB$1006:$AQ$1006,0)))),"Fix")))</f>
        <v>0</v>
      </c>
      <c r="H238" s="5">
        <f>IF(OR(INDEX($V$2:$V$1001,MATCH(ROWS($U$2:U238),$U$2:$U$1001,0),1)&gt;=100000,INDEX($AB$1005:$AQ$1005,1,MATCH(COLUMNS($AB$1006:AH1006),$AB$1006:$AQ$1006,0))&gt;=100000), " ",IF(INDEX($AB$2:$AQ$1001,MATCH(ROWS($U$2:U238),$U$2:$U$1001,0),MATCH(COLUMNS($AB$1006:AH1006),$AB$1006:$AQ$1006,0)), HYPERLINK("#",""), HYPERLINK(CONCATENATE("#Metadata!", ADDRESS(INDEX($W$2:$W$1001,MATCH(ROWS($U$2:U238),$U$2:$U$1001,0),0), INDEX($AB$1004:$AQ$1004,1,MATCH(COLUMNS($AB$1006:AH1006),$AB$1006:$AQ$1006,0)))),"Fix")))</f>
        <v>0</v>
      </c>
      <c r="I238" s="5">
        <f>IF(OR(INDEX($V$2:$V$1001,MATCH(ROWS($U$2:U238),$U$2:$U$1001,0),1)&gt;=100000,INDEX($AB$1005:$AQ$1005,1,MATCH(COLUMNS($AB$1006:AI1006),$AB$1006:$AQ$1006,0))&gt;=100000), " ",IF(INDEX($AB$2:$AQ$1001,MATCH(ROWS($U$2:U238),$U$2:$U$1001,0),MATCH(COLUMNS($AB$1006:AI1006),$AB$1006:$AQ$1006,0)), HYPERLINK("#",""), HYPERLINK(CONCATENATE("#Metadata!", ADDRESS(INDEX($W$2:$W$1001,MATCH(ROWS($U$2:U238),$U$2:$U$1001,0),0), INDEX($AB$1004:$AQ$1004,1,MATCH(COLUMNS($AB$1006:AI1006),$AB$1006:$AQ$1006,0)))),"Fix")))</f>
        <v>0</v>
      </c>
      <c r="J238" s="5">
        <f>IF(OR(INDEX($V$2:$V$1001,MATCH(ROWS($U$2:U238),$U$2:$U$1001,0),1)&gt;=100000,INDEX($AB$1005:$AQ$1005,1,MATCH(COLUMNS($AB$1006:AJ1006),$AB$1006:$AQ$1006,0))&gt;=100000), " ",IF(INDEX($AB$2:$AQ$1001,MATCH(ROWS($U$2:U238),$U$2:$U$1001,0),MATCH(COLUMNS($AB$1006:AJ1006),$AB$1006:$AQ$1006,0)), HYPERLINK("#",""), HYPERLINK(CONCATENATE("#Metadata!", ADDRESS(INDEX($W$2:$W$1001,MATCH(ROWS($U$2:U238),$U$2:$U$1001,0),0), INDEX($AB$1004:$AQ$1004,1,MATCH(COLUMNS($AB$1006:AJ1006),$AB$1006:$AQ$1006,0)))),"Fix")))</f>
        <v>0</v>
      </c>
      <c r="K238" s="5">
        <f>IF(OR(INDEX($V$2:$V$1001,MATCH(ROWS($U$2:U238),$U$2:$U$1001,0),1)&gt;=100000,INDEX($AB$1005:$AQ$1005,1,MATCH(COLUMNS($AB$1006:AK1006),$AB$1006:$AQ$1006,0))&gt;=100000), " ",IF(INDEX($AB$2:$AQ$1001,MATCH(ROWS($U$2:U238),$U$2:$U$1001,0),MATCH(COLUMNS($AB$1006:AK1006),$AB$1006:$AQ$1006,0)), HYPERLINK("#",""), HYPERLINK(CONCATENATE("#Metadata!", ADDRESS(INDEX($W$2:$W$1001,MATCH(ROWS($U$2:U238),$U$2:$U$1001,0),0), INDEX($AB$1004:$AQ$1004,1,MATCH(COLUMNS($AB$1006:AK1006),$AB$1006:$AQ$1006,0)))),"Fix")))</f>
        <v>0</v>
      </c>
      <c r="L238" s="5">
        <f>IF(OR(INDEX($V$2:$V$1001,MATCH(ROWS($U$2:U238),$U$2:$U$1001,0),1)&gt;=100000,INDEX($AB$1005:$AQ$1005,1,MATCH(COLUMNS($AB$1006:AL1006),$AB$1006:$AQ$1006,0))&gt;=100000), " ",IF(INDEX($AB$2:$AQ$1001,MATCH(ROWS($U$2:U238),$U$2:$U$1001,0),MATCH(COLUMNS($AB$1006:AL1006),$AB$1006:$AQ$1006,0)), HYPERLINK("#",""), HYPERLINK(CONCATENATE("#Metadata!", ADDRESS(INDEX($W$2:$W$1001,MATCH(ROWS($U$2:U238),$U$2:$U$1001,0),0), INDEX($AB$1004:$AQ$1004,1,MATCH(COLUMNS($AB$1006:AL1006),$AB$1006:$AQ$1006,0)))),"Fix")))</f>
        <v>0</v>
      </c>
      <c r="M238" s="5">
        <f>IF(OR(INDEX($V$2:$V$1001,MATCH(ROWS($U$2:U238),$U$2:$U$1001,0),1)&gt;=100000,INDEX($AB$1005:$AQ$1005,1,MATCH(COLUMNS($AB$1006:AM1006),$AB$1006:$AQ$1006,0))&gt;=100000), " ",IF(INDEX($AB$2:$AQ$1001,MATCH(ROWS($U$2:U238),$U$2:$U$1001,0),MATCH(COLUMNS($AB$1006:AM1006),$AB$1006:$AQ$1006,0)), HYPERLINK("#",""), HYPERLINK(CONCATENATE("#Metadata!", ADDRESS(INDEX($W$2:$W$1001,MATCH(ROWS($U$2:U238),$U$2:$U$1001,0),0), INDEX($AB$1004:$AQ$1004,1,MATCH(COLUMNS($AB$1006:AM1006),$AB$1006:$AQ$1006,0)))),"Fix")))</f>
        <v>0</v>
      </c>
      <c r="N238" s="5">
        <f>IF(OR(INDEX($V$2:$V$1001,MATCH(ROWS($U$2:U238),$U$2:$U$1001,0),1)&gt;=100000,INDEX($AB$1005:$AQ$1005,1,MATCH(COLUMNS($AB$1006:AN1006),$AB$1006:$AQ$1006,0))&gt;=100000), " ",IF(INDEX($AB$2:$AQ$1001,MATCH(ROWS($U$2:U238),$U$2:$U$1001,0),MATCH(COLUMNS($AB$1006:AN1006),$AB$1006:$AQ$1006,0)), HYPERLINK("#",""), HYPERLINK(CONCATENATE("#Metadata!", ADDRESS(INDEX($W$2:$W$1001,MATCH(ROWS($U$2:U238),$U$2:$U$1001,0),0), INDEX($AB$1004:$AQ$1004,1,MATCH(COLUMNS($AB$1006:AN1006),$AB$1006:$AQ$1006,0)))),"Fix")))</f>
        <v>0</v>
      </c>
      <c r="O238" s="5">
        <f>IF(OR(INDEX($V$2:$V$1001,MATCH(ROWS($U$2:U238),$U$2:$U$1001,0),1)&gt;=100000,INDEX($AB$1005:$AQ$1005,1,MATCH(COLUMNS($AB$1006:AO1006),$AB$1006:$AQ$1006,0))&gt;=100000), " ",IF(INDEX($AB$2:$AQ$1001,MATCH(ROWS($U$2:U238),$U$2:$U$1001,0),MATCH(COLUMNS($AB$1006:AO1006),$AB$1006:$AQ$1006,0)), HYPERLINK("#",""), HYPERLINK(CONCATENATE("#Metadata!", ADDRESS(INDEX($W$2:$W$1001,MATCH(ROWS($U$2:U238),$U$2:$U$1001,0),0), INDEX($AB$1004:$AQ$1004,1,MATCH(COLUMNS($AB$1006:AO1006),$AB$1006:$AQ$1006,0)))),"Fix")))</f>
        <v>0</v>
      </c>
      <c r="P238" s="5">
        <f>IF(OR(INDEX($V$2:$V$1001,MATCH(ROWS($U$2:U238),$U$2:$U$1001,0),1)&gt;=100000,INDEX($AB$1005:$AQ$1005,1,MATCH(COLUMNS($AB$1006:AP1006),$AB$1006:$AQ$1006,0))&gt;=100000), " ",IF(INDEX($AB$2:$AQ$1001,MATCH(ROWS($U$2:U238),$U$2:$U$1001,0),MATCH(COLUMNS($AB$1006:AP1006),$AB$1006:$AQ$1006,0)), HYPERLINK("#",""), HYPERLINK(CONCATENATE("#Metadata!", ADDRESS(INDEX($W$2:$W$1001,MATCH(ROWS($U$2:U238),$U$2:$U$1001,0),0), INDEX($AB$1004:$AQ$1004,1,MATCH(COLUMNS($AB$1006:AP1006),$AB$1006:$AQ$1006,0)))),"Fix")))</f>
        <v>0</v>
      </c>
      <c r="Q238" s="5">
        <f>IF(OR(INDEX($V$2:$V$1001,MATCH(ROWS($U$2:U238),$U$2:$U$1001,0),1)&gt;=100000,INDEX($AB$1005:$AQ$1005,1,MATCH(COLUMNS($AB$1006:AQ1006),$AB$1006:$AQ$1006,0))&gt;=100000), " ",IF(INDEX($AB$2:$AQ$1001,MATCH(ROWS($U$2:U238),$U$2:$U$1001,0),MATCH(COLUMNS($AB$1006:AQ1006),$AB$1006:$AQ$1006,0)), HYPERLINK("#",""), HYPERLINK(CONCATENATE("#Metadata!", ADDRESS(INDEX($W$2:$W$1001,MATCH(ROWS($U$2:U238),$U$2:$U$1001,0),0), INDEX($AB$1004:$AQ$1004,1,MATCH(COLUMNS($AB$1006:AQ1006),$AB$1006:$AQ$1006,0)))),"Fix")))</f>
        <v>0</v>
      </c>
      <c r="U238">
        <v>0</v>
      </c>
      <c r="V238">
        <v>0</v>
      </c>
      <c r="W238">
        <v>0</v>
      </c>
      <c r="X238">
        <f>IF(Y238,TRUE,AND(AB238:AQ238))</f>
        <v>0</v>
      </c>
      <c r="Y238">
        <f>COUNTBLANK(Metadata!B238:Q238)=COLUMNS(Metadata!B238:Q238)</f>
        <v>0</v>
      </c>
      <c r="Z238">
        <v>0</v>
      </c>
      <c r="AB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AC238">
        <f>AND(IF(Metadata!C238="",FALSE,TRUE),exact(Metadata!C238,"urban biome"))</f>
        <v>0</v>
      </c>
      <c r="AD238">
        <f>AND(IF(Metadata!D238="",FALSE,TRUE),exact(Metadata!D238,"human-associated habitat"))</f>
        <v>0</v>
      </c>
      <c r="AE238">
        <f>AND(IF(Metadata!E238="",FALSE,TRUE),OR(exact(Metadata!E238,"human-associated"),exact(Metadata!E238,"human-skin"),exact(Metadata!E238,"human-oral"),exact(Metadata!E238,"human-gut"),exact(Metadata!E238,"human-vaginal")))</f>
        <v>0</v>
      </c>
      <c r="AF238">
        <f>AND(IF(Metadata!F238="",FALSE,ISNUMBER(VALUE(Metadata!F238))),Metadata!F238&gt;0)</f>
        <v>0</v>
      </c>
      <c r="AG238">
        <f>AND(IF(Metadata!G238="",FALSE,TRUE),exact(Metadata!G238,"years"))</f>
        <v>0</v>
      </c>
      <c r="AH238">
        <f>OR(AND(IF(Metadata!H238="",FALSE,TRUE),OR(exact(Metadata!H238,"not applicable"),exact(Metadata!H238,"not collected"),exact(Metadata!H238,"not provided"),exact(Metadata!H238,"restricted access"))),AND(IF(Metadata!H238="",FALSE,ISNUMBER(VALUE(Metadata!H238))),Metadata!H238&gt;0))</f>
        <v>0</v>
      </c>
      <c r="AI238">
        <f>AND(IF(Metadata!I238="",FALSE,TRUE),exact(Metadata!I238,"human"))</f>
        <v>0</v>
      </c>
      <c r="AJ238">
        <f>AND(IF(Metadata!J238="",FALSE,ISNUMBER(VALUE(Metadata!J238))),Metadata!J238&gt;0)</f>
        <v>0</v>
      </c>
      <c r="AK238">
        <f>AND(IF(Metadata!K238="",FALSE,TRUE),exact(Metadata!K238,"cm"))</f>
        <v>0</v>
      </c>
      <c r="AL238">
        <f>AND(IF(Metadata!L238="",FALSE,TRUE),exact(Metadata!L238,"Homo sapiens"))</f>
        <v>0</v>
      </c>
      <c r="AM238">
        <f>AND(IF(Metadata!M238="",FALSE,TRUE),exact(Metadata!M238,"9606"))</f>
        <v>0</v>
      </c>
      <c r="AN238">
        <f>AND(IF(Metadata!N238="",FALSE,ISNUMBER(VALUE(Metadata!N238))),Metadata!N238&gt;0)</f>
        <v>0</v>
      </c>
      <c r="AO238">
        <f>AND(IF(Metadata!O238="",FALSE,TRUE),exact(Metadata!O238,"kg"))</f>
        <v>0</v>
      </c>
      <c r="AP238">
        <f>OR(AND(IF(Metadata!P238="",FALSE,TRUE),exact(Metadata!P238,"not provided")),IF(Metadata!P238="",FALSE,TRUE))</f>
        <v>0</v>
      </c>
      <c r="AQ238">
        <f>OR(AND(IF(Metadata!Q238="",FALSE,TRUE),exact(Metadata!Q238,"not provided")),IF(Metadata!Q238="",FALSE,TRUE))</f>
        <v>0</v>
      </c>
    </row>
    <row r="239" spans="1:43">
      <c r="A239" s="4">
        <f>IF(B239=" "," ",HYPERLINK(CONCATENATE("#metadata!",ADDRESS(INDEX($W$2:$W$1001,MATCH(ROWS($U$2:U239),$U$2:$U$1001,0),0),2)),INDEX($Z$2:$Z$1001,MATCH(ROWS($U$2:U239),$U$2:$U$1001,0),0)))</f>
        <v>0</v>
      </c>
      <c r="B239" s="5">
        <f>IF(OR(INDEX($V$2:$V$1001,MATCH(ROWS($U$2:U239),$U$2:$U$1001,0),1)&gt;=100000,INDEX($AB$1005:$AQ$1005,1,MATCH(COLUMNS($AB$1006:AB1006),$AB$1006:$AQ$1006,0))&gt;=100000), " ",IF(INDEX($AB$2:$AQ$1001,MATCH(ROWS($U$2:U239),$U$2:$U$1001,0),MATCH(COLUMNS($AB$1006:AB1006),$AB$1006:$AQ$1006,0)), HYPERLINK("#",""), HYPERLINK(CONCATENATE("#Metadata!", ADDRESS(INDEX($W$2:$W$1001,MATCH(ROWS($U$2:U239),$U$2:$U$1001,0),0), INDEX($AB$1004:$AQ$1004,1,MATCH(COLUMNS($AB$1006:AB1006),$AB$1006:$AQ$1006,0)))),"Fix")))</f>
        <v>0</v>
      </c>
      <c r="C239" s="5">
        <f>IF(OR(INDEX($V$2:$V$1001,MATCH(ROWS($U$2:U239),$U$2:$U$1001,0),1)&gt;=100000,INDEX($AB$1005:$AQ$1005,1,MATCH(COLUMNS($AB$1006:AC1006),$AB$1006:$AQ$1006,0))&gt;=100000), " ",IF(INDEX($AB$2:$AQ$1001,MATCH(ROWS($U$2:U239),$U$2:$U$1001,0),MATCH(COLUMNS($AB$1006:AC1006),$AB$1006:$AQ$1006,0)), HYPERLINK("#",""), HYPERLINK(CONCATENATE("#Metadata!", ADDRESS(INDEX($W$2:$W$1001,MATCH(ROWS($U$2:U239),$U$2:$U$1001,0),0), INDEX($AB$1004:$AQ$1004,1,MATCH(COLUMNS($AB$1006:AC1006),$AB$1006:$AQ$1006,0)))),"Fix")))</f>
        <v>0</v>
      </c>
      <c r="D239" s="5">
        <f>IF(OR(INDEX($V$2:$V$1001,MATCH(ROWS($U$2:U239),$U$2:$U$1001,0),1)&gt;=100000,INDEX($AB$1005:$AQ$1005,1,MATCH(COLUMNS($AB$1006:AD1006),$AB$1006:$AQ$1006,0))&gt;=100000), " ",IF(INDEX($AB$2:$AQ$1001,MATCH(ROWS($U$2:U239),$U$2:$U$1001,0),MATCH(COLUMNS($AB$1006:AD1006),$AB$1006:$AQ$1006,0)), HYPERLINK("#",""), HYPERLINK(CONCATENATE("#Metadata!", ADDRESS(INDEX($W$2:$W$1001,MATCH(ROWS($U$2:U239),$U$2:$U$1001,0),0), INDEX($AB$1004:$AQ$1004,1,MATCH(COLUMNS($AB$1006:AD1006),$AB$1006:$AQ$1006,0)))),"Fix")))</f>
        <v>0</v>
      </c>
      <c r="E239" s="5">
        <f>IF(OR(INDEX($V$2:$V$1001,MATCH(ROWS($U$2:U239),$U$2:$U$1001,0),1)&gt;=100000,INDEX($AB$1005:$AQ$1005,1,MATCH(COLUMNS($AB$1006:AE1006),$AB$1006:$AQ$1006,0))&gt;=100000), " ",IF(INDEX($AB$2:$AQ$1001,MATCH(ROWS($U$2:U239),$U$2:$U$1001,0),MATCH(COLUMNS($AB$1006:AE1006),$AB$1006:$AQ$1006,0)), HYPERLINK("#",""), HYPERLINK(CONCATENATE("#Metadata!", ADDRESS(INDEX($W$2:$W$1001,MATCH(ROWS($U$2:U239),$U$2:$U$1001,0),0), INDEX($AB$1004:$AQ$1004,1,MATCH(COLUMNS($AB$1006:AE1006),$AB$1006:$AQ$1006,0)))),"Fix")))</f>
        <v>0</v>
      </c>
      <c r="F239" s="5">
        <f>IF(OR(INDEX($V$2:$V$1001,MATCH(ROWS($U$2:U239),$U$2:$U$1001,0),1)&gt;=100000,INDEX($AB$1005:$AQ$1005,1,MATCH(COLUMNS($AB$1006:AF1006),$AB$1006:$AQ$1006,0))&gt;=100000), " ",IF(INDEX($AB$2:$AQ$1001,MATCH(ROWS($U$2:U239),$U$2:$U$1001,0),MATCH(COLUMNS($AB$1006:AF1006),$AB$1006:$AQ$1006,0)), HYPERLINK("#",""), HYPERLINK(CONCATENATE("#Metadata!", ADDRESS(INDEX($W$2:$W$1001,MATCH(ROWS($U$2:U239),$U$2:$U$1001,0),0), INDEX($AB$1004:$AQ$1004,1,MATCH(COLUMNS($AB$1006:AF1006),$AB$1006:$AQ$1006,0)))),"Fix")))</f>
        <v>0</v>
      </c>
      <c r="G239" s="5">
        <f>IF(OR(INDEX($V$2:$V$1001,MATCH(ROWS($U$2:U239),$U$2:$U$1001,0),1)&gt;=100000,INDEX($AB$1005:$AQ$1005,1,MATCH(COLUMNS($AB$1006:AG1006),$AB$1006:$AQ$1006,0))&gt;=100000), " ",IF(INDEX($AB$2:$AQ$1001,MATCH(ROWS($U$2:U239),$U$2:$U$1001,0),MATCH(COLUMNS($AB$1006:AG1006),$AB$1006:$AQ$1006,0)), HYPERLINK("#",""), HYPERLINK(CONCATENATE("#Metadata!", ADDRESS(INDEX($W$2:$W$1001,MATCH(ROWS($U$2:U239),$U$2:$U$1001,0),0), INDEX($AB$1004:$AQ$1004,1,MATCH(COLUMNS($AB$1006:AG1006),$AB$1006:$AQ$1006,0)))),"Fix")))</f>
        <v>0</v>
      </c>
      <c r="H239" s="5">
        <f>IF(OR(INDEX($V$2:$V$1001,MATCH(ROWS($U$2:U239),$U$2:$U$1001,0),1)&gt;=100000,INDEX($AB$1005:$AQ$1005,1,MATCH(COLUMNS($AB$1006:AH1006),$AB$1006:$AQ$1006,0))&gt;=100000), " ",IF(INDEX($AB$2:$AQ$1001,MATCH(ROWS($U$2:U239),$U$2:$U$1001,0),MATCH(COLUMNS($AB$1006:AH1006),$AB$1006:$AQ$1006,0)), HYPERLINK("#",""), HYPERLINK(CONCATENATE("#Metadata!", ADDRESS(INDEX($W$2:$W$1001,MATCH(ROWS($U$2:U239),$U$2:$U$1001,0),0), INDEX($AB$1004:$AQ$1004,1,MATCH(COLUMNS($AB$1006:AH1006),$AB$1006:$AQ$1006,0)))),"Fix")))</f>
        <v>0</v>
      </c>
      <c r="I239" s="5">
        <f>IF(OR(INDEX($V$2:$V$1001,MATCH(ROWS($U$2:U239),$U$2:$U$1001,0),1)&gt;=100000,INDEX($AB$1005:$AQ$1005,1,MATCH(COLUMNS($AB$1006:AI1006),$AB$1006:$AQ$1006,0))&gt;=100000), " ",IF(INDEX($AB$2:$AQ$1001,MATCH(ROWS($U$2:U239),$U$2:$U$1001,0),MATCH(COLUMNS($AB$1006:AI1006),$AB$1006:$AQ$1006,0)), HYPERLINK("#",""), HYPERLINK(CONCATENATE("#Metadata!", ADDRESS(INDEX($W$2:$W$1001,MATCH(ROWS($U$2:U239),$U$2:$U$1001,0),0), INDEX($AB$1004:$AQ$1004,1,MATCH(COLUMNS($AB$1006:AI1006),$AB$1006:$AQ$1006,0)))),"Fix")))</f>
        <v>0</v>
      </c>
      <c r="J239" s="5">
        <f>IF(OR(INDEX($V$2:$V$1001,MATCH(ROWS($U$2:U239),$U$2:$U$1001,0),1)&gt;=100000,INDEX($AB$1005:$AQ$1005,1,MATCH(COLUMNS($AB$1006:AJ1006),$AB$1006:$AQ$1006,0))&gt;=100000), " ",IF(INDEX($AB$2:$AQ$1001,MATCH(ROWS($U$2:U239),$U$2:$U$1001,0),MATCH(COLUMNS($AB$1006:AJ1006),$AB$1006:$AQ$1006,0)), HYPERLINK("#",""), HYPERLINK(CONCATENATE("#Metadata!", ADDRESS(INDEX($W$2:$W$1001,MATCH(ROWS($U$2:U239),$U$2:$U$1001,0),0), INDEX($AB$1004:$AQ$1004,1,MATCH(COLUMNS($AB$1006:AJ1006),$AB$1006:$AQ$1006,0)))),"Fix")))</f>
        <v>0</v>
      </c>
      <c r="K239" s="5">
        <f>IF(OR(INDEX($V$2:$V$1001,MATCH(ROWS($U$2:U239),$U$2:$U$1001,0),1)&gt;=100000,INDEX($AB$1005:$AQ$1005,1,MATCH(COLUMNS($AB$1006:AK1006),$AB$1006:$AQ$1006,0))&gt;=100000), " ",IF(INDEX($AB$2:$AQ$1001,MATCH(ROWS($U$2:U239),$U$2:$U$1001,0),MATCH(COLUMNS($AB$1006:AK1006),$AB$1006:$AQ$1006,0)), HYPERLINK("#",""), HYPERLINK(CONCATENATE("#Metadata!", ADDRESS(INDEX($W$2:$W$1001,MATCH(ROWS($U$2:U239),$U$2:$U$1001,0),0), INDEX($AB$1004:$AQ$1004,1,MATCH(COLUMNS($AB$1006:AK1006),$AB$1006:$AQ$1006,0)))),"Fix")))</f>
        <v>0</v>
      </c>
      <c r="L239" s="5">
        <f>IF(OR(INDEX($V$2:$V$1001,MATCH(ROWS($U$2:U239),$U$2:$U$1001,0),1)&gt;=100000,INDEX($AB$1005:$AQ$1005,1,MATCH(COLUMNS($AB$1006:AL1006),$AB$1006:$AQ$1006,0))&gt;=100000), " ",IF(INDEX($AB$2:$AQ$1001,MATCH(ROWS($U$2:U239),$U$2:$U$1001,0),MATCH(COLUMNS($AB$1006:AL1006),$AB$1006:$AQ$1006,0)), HYPERLINK("#",""), HYPERLINK(CONCATENATE("#Metadata!", ADDRESS(INDEX($W$2:$W$1001,MATCH(ROWS($U$2:U239),$U$2:$U$1001,0),0), INDEX($AB$1004:$AQ$1004,1,MATCH(COLUMNS($AB$1006:AL1006),$AB$1006:$AQ$1006,0)))),"Fix")))</f>
        <v>0</v>
      </c>
      <c r="M239" s="5">
        <f>IF(OR(INDEX($V$2:$V$1001,MATCH(ROWS($U$2:U239),$U$2:$U$1001,0),1)&gt;=100000,INDEX($AB$1005:$AQ$1005,1,MATCH(COLUMNS($AB$1006:AM1006),$AB$1006:$AQ$1006,0))&gt;=100000), " ",IF(INDEX($AB$2:$AQ$1001,MATCH(ROWS($U$2:U239),$U$2:$U$1001,0),MATCH(COLUMNS($AB$1006:AM1006),$AB$1006:$AQ$1006,0)), HYPERLINK("#",""), HYPERLINK(CONCATENATE("#Metadata!", ADDRESS(INDEX($W$2:$W$1001,MATCH(ROWS($U$2:U239),$U$2:$U$1001,0),0), INDEX($AB$1004:$AQ$1004,1,MATCH(COLUMNS($AB$1006:AM1006),$AB$1006:$AQ$1006,0)))),"Fix")))</f>
        <v>0</v>
      </c>
      <c r="N239" s="5">
        <f>IF(OR(INDEX($V$2:$V$1001,MATCH(ROWS($U$2:U239),$U$2:$U$1001,0),1)&gt;=100000,INDEX($AB$1005:$AQ$1005,1,MATCH(COLUMNS($AB$1006:AN1006),$AB$1006:$AQ$1006,0))&gt;=100000), " ",IF(INDEX($AB$2:$AQ$1001,MATCH(ROWS($U$2:U239),$U$2:$U$1001,0),MATCH(COLUMNS($AB$1006:AN1006),$AB$1006:$AQ$1006,0)), HYPERLINK("#",""), HYPERLINK(CONCATENATE("#Metadata!", ADDRESS(INDEX($W$2:$W$1001,MATCH(ROWS($U$2:U239),$U$2:$U$1001,0),0), INDEX($AB$1004:$AQ$1004,1,MATCH(COLUMNS($AB$1006:AN1006),$AB$1006:$AQ$1006,0)))),"Fix")))</f>
        <v>0</v>
      </c>
      <c r="O239" s="5">
        <f>IF(OR(INDEX($V$2:$V$1001,MATCH(ROWS($U$2:U239),$U$2:$U$1001,0),1)&gt;=100000,INDEX($AB$1005:$AQ$1005,1,MATCH(COLUMNS($AB$1006:AO1006),$AB$1006:$AQ$1006,0))&gt;=100000), " ",IF(INDEX($AB$2:$AQ$1001,MATCH(ROWS($U$2:U239),$U$2:$U$1001,0),MATCH(COLUMNS($AB$1006:AO1006),$AB$1006:$AQ$1006,0)), HYPERLINK("#",""), HYPERLINK(CONCATENATE("#Metadata!", ADDRESS(INDEX($W$2:$W$1001,MATCH(ROWS($U$2:U239),$U$2:$U$1001,0),0), INDEX($AB$1004:$AQ$1004,1,MATCH(COLUMNS($AB$1006:AO1006),$AB$1006:$AQ$1006,0)))),"Fix")))</f>
        <v>0</v>
      </c>
      <c r="P239" s="5">
        <f>IF(OR(INDEX($V$2:$V$1001,MATCH(ROWS($U$2:U239),$U$2:$U$1001,0),1)&gt;=100000,INDEX($AB$1005:$AQ$1005,1,MATCH(COLUMNS($AB$1006:AP1006),$AB$1006:$AQ$1006,0))&gt;=100000), " ",IF(INDEX($AB$2:$AQ$1001,MATCH(ROWS($U$2:U239),$U$2:$U$1001,0),MATCH(COLUMNS($AB$1006:AP1006),$AB$1006:$AQ$1006,0)), HYPERLINK("#",""), HYPERLINK(CONCATENATE("#Metadata!", ADDRESS(INDEX($W$2:$W$1001,MATCH(ROWS($U$2:U239),$U$2:$U$1001,0),0), INDEX($AB$1004:$AQ$1004,1,MATCH(COLUMNS($AB$1006:AP1006),$AB$1006:$AQ$1006,0)))),"Fix")))</f>
        <v>0</v>
      </c>
      <c r="Q239" s="5">
        <f>IF(OR(INDEX($V$2:$V$1001,MATCH(ROWS($U$2:U239),$U$2:$U$1001,0),1)&gt;=100000,INDEX($AB$1005:$AQ$1005,1,MATCH(COLUMNS($AB$1006:AQ1006),$AB$1006:$AQ$1006,0))&gt;=100000), " ",IF(INDEX($AB$2:$AQ$1001,MATCH(ROWS($U$2:U239),$U$2:$U$1001,0),MATCH(COLUMNS($AB$1006:AQ1006),$AB$1006:$AQ$1006,0)), HYPERLINK("#",""), HYPERLINK(CONCATENATE("#Metadata!", ADDRESS(INDEX($W$2:$W$1001,MATCH(ROWS($U$2:U239),$U$2:$U$1001,0),0), INDEX($AB$1004:$AQ$1004,1,MATCH(COLUMNS($AB$1006:AQ1006),$AB$1006:$AQ$1006,0)))),"Fix")))</f>
        <v>0</v>
      </c>
      <c r="U239">
        <v>0</v>
      </c>
      <c r="V239">
        <v>0</v>
      </c>
      <c r="W239">
        <v>0</v>
      </c>
      <c r="X239">
        <f>IF(Y239,TRUE,AND(AB239:AQ239))</f>
        <v>0</v>
      </c>
      <c r="Y239">
        <f>COUNTBLANK(Metadata!B239:Q239)=COLUMNS(Metadata!B239:Q239)</f>
        <v>0</v>
      </c>
      <c r="Z239">
        <v>0</v>
      </c>
      <c r="AB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AC239">
        <f>AND(IF(Metadata!C239="",FALSE,TRUE),exact(Metadata!C239,"urban biome"))</f>
        <v>0</v>
      </c>
      <c r="AD239">
        <f>AND(IF(Metadata!D239="",FALSE,TRUE),exact(Metadata!D239,"human-associated habitat"))</f>
        <v>0</v>
      </c>
      <c r="AE239">
        <f>AND(IF(Metadata!E239="",FALSE,TRUE),OR(exact(Metadata!E239,"human-associated"),exact(Metadata!E239,"human-skin"),exact(Metadata!E239,"human-oral"),exact(Metadata!E239,"human-gut"),exact(Metadata!E239,"human-vaginal")))</f>
        <v>0</v>
      </c>
      <c r="AF239">
        <f>AND(IF(Metadata!F239="",FALSE,ISNUMBER(VALUE(Metadata!F239))),Metadata!F239&gt;0)</f>
        <v>0</v>
      </c>
      <c r="AG239">
        <f>AND(IF(Metadata!G239="",FALSE,TRUE),exact(Metadata!G239,"years"))</f>
        <v>0</v>
      </c>
      <c r="AH239">
        <f>OR(AND(IF(Metadata!H239="",FALSE,TRUE),OR(exact(Metadata!H239,"not applicable"),exact(Metadata!H239,"not collected"),exact(Metadata!H239,"not provided"),exact(Metadata!H239,"restricted access"))),AND(IF(Metadata!H239="",FALSE,ISNUMBER(VALUE(Metadata!H239))),Metadata!H239&gt;0))</f>
        <v>0</v>
      </c>
      <c r="AI239">
        <f>AND(IF(Metadata!I239="",FALSE,TRUE),exact(Metadata!I239,"human"))</f>
        <v>0</v>
      </c>
      <c r="AJ239">
        <f>AND(IF(Metadata!J239="",FALSE,ISNUMBER(VALUE(Metadata!J239))),Metadata!J239&gt;0)</f>
        <v>0</v>
      </c>
      <c r="AK239">
        <f>AND(IF(Metadata!K239="",FALSE,TRUE),exact(Metadata!K239,"cm"))</f>
        <v>0</v>
      </c>
      <c r="AL239">
        <f>AND(IF(Metadata!L239="",FALSE,TRUE),exact(Metadata!L239,"Homo sapiens"))</f>
        <v>0</v>
      </c>
      <c r="AM239">
        <f>AND(IF(Metadata!M239="",FALSE,TRUE),exact(Metadata!M239,"9606"))</f>
        <v>0</v>
      </c>
      <c r="AN239">
        <f>AND(IF(Metadata!N239="",FALSE,ISNUMBER(VALUE(Metadata!N239))),Metadata!N239&gt;0)</f>
        <v>0</v>
      </c>
      <c r="AO239">
        <f>AND(IF(Metadata!O239="",FALSE,TRUE),exact(Metadata!O239,"kg"))</f>
        <v>0</v>
      </c>
      <c r="AP239">
        <f>OR(AND(IF(Metadata!P239="",FALSE,TRUE),exact(Metadata!P239,"not provided")),IF(Metadata!P239="",FALSE,TRUE))</f>
        <v>0</v>
      </c>
      <c r="AQ239">
        <f>OR(AND(IF(Metadata!Q239="",FALSE,TRUE),exact(Metadata!Q239,"not provided")),IF(Metadata!Q239="",FALSE,TRUE))</f>
        <v>0</v>
      </c>
    </row>
    <row r="240" spans="1:43">
      <c r="A240" s="4">
        <f>IF(B240=" "," ",HYPERLINK(CONCATENATE("#metadata!",ADDRESS(INDEX($W$2:$W$1001,MATCH(ROWS($U$2:U240),$U$2:$U$1001,0),0),2)),INDEX($Z$2:$Z$1001,MATCH(ROWS($U$2:U240),$U$2:$U$1001,0),0)))</f>
        <v>0</v>
      </c>
      <c r="B240" s="5">
        <f>IF(OR(INDEX($V$2:$V$1001,MATCH(ROWS($U$2:U240),$U$2:$U$1001,0),1)&gt;=100000,INDEX($AB$1005:$AQ$1005,1,MATCH(COLUMNS($AB$1006:AB1006),$AB$1006:$AQ$1006,0))&gt;=100000), " ",IF(INDEX($AB$2:$AQ$1001,MATCH(ROWS($U$2:U240),$U$2:$U$1001,0),MATCH(COLUMNS($AB$1006:AB1006),$AB$1006:$AQ$1006,0)), HYPERLINK("#",""), HYPERLINK(CONCATENATE("#Metadata!", ADDRESS(INDEX($W$2:$W$1001,MATCH(ROWS($U$2:U240),$U$2:$U$1001,0),0), INDEX($AB$1004:$AQ$1004,1,MATCH(COLUMNS($AB$1006:AB1006),$AB$1006:$AQ$1006,0)))),"Fix")))</f>
        <v>0</v>
      </c>
      <c r="C240" s="5">
        <f>IF(OR(INDEX($V$2:$V$1001,MATCH(ROWS($U$2:U240),$U$2:$U$1001,0),1)&gt;=100000,INDEX($AB$1005:$AQ$1005,1,MATCH(COLUMNS($AB$1006:AC1006),$AB$1006:$AQ$1006,0))&gt;=100000), " ",IF(INDEX($AB$2:$AQ$1001,MATCH(ROWS($U$2:U240),$U$2:$U$1001,0),MATCH(COLUMNS($AB$1006:AC1006),$AB$1006:$AQ$1006,0)), HYPERLINK("#",""), HYPERLINK(CONCATENATE("#Metadata!", ADDRESS(INDEX($W$2:$W$1001,MATCH(ROWS($U$2:U240),$U$2:$U$1001,0),0), INDEX($AB$1004:$AQ$1004,1,MATCH(COLUMNS($AB$1006:AC1006),$AB$1006:$AQ$1006,0)))),"Fix")))</f>
        <v>0</v>
      </c>
      <c r="D240" s="5">
        <f>IF(OR(INDEX($V$2:$V$1001,MATCH(ROWS($U$2:U240),$U$2:$U$1001,0),1)&gt;=100000,INDEX($AB$1005:$AQ$1005,1,MATCH(COLUMNS($AB$1006:AD1006),$AB$1006:$AQ$1006,0))&gt;=100000), " ",IF(INDEX($AB$2:$AQ$1001,MATCH(ROWS($U$2:U240),$U$2:$U$1001,0),MATCH(COLUMNS($AB$1006:AD1006),$AB$1006:$AQ$1006,0)), HYPERLINK("#",""), HYPERLINK(CONCATENATE("#Metadata!", ADDRESS(INDEX($W$2:$W$1001,MATCH(ROWS($U$2:U240),$U$2:$U$1001,0),0), INDEX($AB$1004:$AQ$1004,1,MATCH(COLUMNS($AB$1006:AD1006),$AB$1006:$AQ$1006,0)))),"Fix")))</f>
        <v>0</v>
      </c>
      <c r="E240" s="5">
        <f>IF(OR(INDEX($V$2:$V$1001,MATCH(ROWS($U$2:U240),$U$2:$U$1001,0),1)&gt;=100000,INDEX($AB$1005:$AQ$1005,1,MATCH(COLUMNS($AB$1006:AE1006),$AB$1006:$AQ$1006,0))&gt;=100000), " ",IF(INDEX($AB$2:$AQ$1001,MATCH(ROWS($U$2:U240),$U$2:$U$1001,0),MATCH(COLUMNS($AB$1006:AE1006),$AB$1006:$AQ$1006,0)), HYPERLINK("#",""), HYPERLINK(CONCATENATE("#Metadata!", ADDRESS(INDEX($W$2:$W$1001,MATCH(ROWS($U$2:U240),$U$2:$U$1001,0),0), INDEX($AB$1004:$AQ$1004,1,MATCH(COLUMNS($AB$1006:AE1006),$AB$1006:$AQ$1006,0)))),"Fix")))</f>
        <v>0</v>
      </c>
      <c r="F240" s="5">
        <f>IF(OR(INDEX($V$2:$V$1001,MATCH(ROWS($U$2:U240),$U$2:$U$1001,0),1)&gt;=100000,INDEX($AB$1005:$AQ$1005,1,MATCH(COLUMNS($AB$1006:AF1006),$AB$1006:$AQ$1006,0))&gt;=100000), " ",IF(INDEX($AB$2:$AQ$1001,MATCH(ROWS($U$2:U240),$U$2:$U$1001,0),MATCH(COLUMNS($AB$1006:AF1006),$AB$1006:$AQ$1006,0)), HYPERLINK("#",""), HYPERLINK(CONCATENATE("#Metadata!", ADDRESS(INDEX($W$2:$W$1001,MATCH(ROWS($U$2:U240),$U$2:$U$1001,0),0), INDEX($AB$1004:$AQ$1004,1,MATCH(COLUMNS($AB$1006:AF1006),$AB$1006:$AQ$1006,0)))),"Fix")))</f>
        <v>0</v>
      </c>
      <c r="G240" s="5">
        <f>IF(OR(INDEX($V$2:$V$1001,MATCH(ROWS($U$2:U240),$U$2:$U$1001,0),1)&gt;=100000,INDEX($AB$1005:$AQ$1005,1,MATCH(COLUMNS($AB$1006:AG1006),$AB$1006:$AQ$1006,0))&gt;=100000), " ",IF(INDEX($AB$2:$AQ$1001,MATCH(ROWS($U$2:U240),$U$2:$U$1001,0),MATCH(COLUMNS($AB$1006:AG1006),$AB$1006:$AQ$1006,0)), HYPERLINK("#",""), HYPERLINK(CONCATENATE("#Metadata!", ADDRESS(INDEX($W$2:$W$1001,MATCH(ROWS($U$2:U240),$U$2:$U$1001,0),0), INDEX($AB$1004:$AQ$1004,1,MATCH(COLUMNS($AB$1006:AG1006),$AB$1006:$AQ$1006,0)))),"Fix")))</f>
        <v>0</v>
      </c>
      <c r="H240" s="5">
        <f>IF(OR(INDEX($V$2:$V$1001,MATCH(ROWS($U$2:U240),$U$2:$U$1001,0),1)&gt;=100000,INDEX($AB$1005:$AQ$1005,1,MATCH(COLUMNS($AB$1006:AH1006),$AB$1006:$AQ$1006,0))&gt;=100000), " ",IF(INDEX($AB$2:$AQ$1001,MATCH(ROWS($U$2:U240),$U$2:$U$1001,0),MATCH(COLUMNS($AB$1006:AH1006),$AB$1006:$AQ$1006,0)), HYPERLINK("#",""), HYPERLINK(CONCATENATE("#Metadata!", ADDRESS(INDEX($W$2:$W$1001,MATCH(ROWS($U$2:U240),$U$2:$U$1001,0),0), INDEX($AB$1004:$AQ$1004,1,MATCH(COLUMNS($AB$1006:AH1006),$AB$1006:$AQ$1006,0)))),"Fix")))</f>
        <v>0</v>
      </c>
      <c r="I240" s="5">
        <f>IF(OR(INDEX($V$2:$V$1001,MATCH(ROWS($U$2:U240),$U$2:$U$1001,0),1)&gt;=100000,INDEX($AB$1005:$AQ$1005,1,MATCH(COLUMNS($AB$1006:AI1006),$AB$1006:$AQ$1006,0))&gt;=100000), " ",IF(INDEX($AB$2:$AQ$1001,MATCH(ROWS($U$2:U240),$U$2:$U$1001,0),MATCH(COLUMNS($AB$1006:AI1006),$AB$1006:$AQ$1006,0)), HYPERLINK("#",""), HYPERLINK(CONCATENATE("#Metadata!", ADDRESS(INDEX($W$2:$W$1001,MATCH(ROWS($U$2:U240),$U$2:$U$1001,0),0), INDEX($AB$1004:$AQ$1004,1,MATCH(COLUMNS($AB$1006:AI1006),$AB$1006:$AQ$1006,0)))),"Fix")))</f>
        <v>0</v>
      </c>
      <c r="J240" s="5">
        <f>IF(OR(INDEX($V$2:$V$1001,MATCH(ROWS($U$2:U240),$U$2:$U$1001,0),1)&gt;=100000,INDEX($AB$1005:$AQ$1005,1,MATCH(COLUMNS($AB$1006:AJ1006),$AB$1006:$AQ$1006,0))&gt;=100000), " ",IF(INDEX($AB$2:$AQ$1001,MATCH(ROWS($U$2:U240),$U$2:$U$1001,0),MATCH(COLUMNS($AB$1006:AJ1006),$AB$1006:$AQ$1006,0)), HYPERLINK("#",""), HYPERLINK(CONCATENATE("#Metadata!", ADDRESS(INDEX($W$2:$W$1001,MATCH(ROWS($U$2:U240),$U$2:$U$1001,0),0), INDEX($AB$1004:$AQ$1004,1,MATCH(COLUMNS($AB$1006:AJ1006),$AB$1006:$AQ$1006,0)))),"Fix")))</f>
        <v>0</v>
      </c>
      <c r="K240" s="5">
        <f>IF(OR(INDEX($V$2:$V$1001,MATCH(ROWS($U$2:U240),$U$2:$U$1001,0),1)&gt;=100000,INDEX($AB$1005:$AQ$1005,1,MATCH(COLUMNS($AB$1006:AK1006),$AB$1006:$AQ$1006,0))&gt;=100000), " ",IF(INDEX($AB$2:$AQ$1001,MATCH(ROWS($U$2:U240),$U$2:$U$1001,0),MATCH(COLUMNS($AB$1006:AK1006),$AB$1006:$AQ$1006,0)), HYPERLINK("#",""), HYPERLINK(CONCATENATE("#Metadata!", ADDRESS(INDEX($W$2:$W$1001,MATCH(ROWS($U$2:U240),$U$2:$U$1001,0),0), INDEX($AB$1004:$AQ$1004,1,MATCH(COLUMNS($AB$1006:AK1006),$AB$1006:$AQ$1006,0)))),"Fix")))</f>
        <v>0</v>
      </c>
      <c r="L240" s="5">
        <f>IF(OR(INDEX($V$2:$V$1001,MATCH(ROWS($U$2:U240),$U$2:$U$1001,0),1)&gt;=100000,INDEX($AB$1005:$AQ$1005,1,MATCH(COLUMNS($AB$1006:AL1006),$AB$1006:$AQ$1006,0))&gt;=100000), " ",IF(INDEX($AB$2:$AQ$1001,MATCH(ROWS($U$2:U240),$U$2:$U$1001,0),MATCH(COLUMNS($AB$1006:AL1006),$AB$1006:$AQ$1006,0)), HYPERLINK("#",""), HYPERLINK(CONCATENATE("#Metadata!", ADDRESS(INDEX($W$2:$W$1001,MATCH(ROWS($U$2:U240),$U$2:$U$1001,0),0), INDEX($AB$1004:$AQ$1004,1,MATCH(COLUMNS($AB$1006:AL1006),$AB$1006:$AQ$1006,0)))),"Fix")))</f>
        <v>0</v>
      </c>
      <c r="M240" s="5">
        <f>IF(OR(INDEX($V$2:$V$1001,MATCH(ROWS($U$2:U240),$U$2:$U$1001,0),1)&gt;=100000,INDEX($AB$1005:$AQ$1005,1,MATCH(COLUMNS($AB$1006:AM1006),$AB$1006:$AQ$1006,0))&gt;=100000), " ",IF(INDEX($AB$2:$AQ$1001,MATCH(ROWS($U$2:U240),$U$2:$U$1001,0),MATCH(COLUMNS($AB$1006:AM1006),$AB$1006:$AQ$1006,0)), HYPERLINK("#",""), HYPERLINK(CONCATENATE("#Metadata!", ADDRESS(INDEX($W$2:$W$1001,MATCH(ROWS($U$2:U240),$U$2:$U$1001,0),0), INDEX($AB$1004:$AQ$1004,1,MATCH(COLUMNS($AB$1006:AM1006),$AB$1006:$AQ$1006,0)))),"Fix")))</f>
        <v>0</v>
      </c>
      <c r="N240" s="5">
        <f>IF(OR(INDEX($V$2:$V$1001,MATCH(ROWS($U$2:U240),$U$2:$U$1001,0),1)&gt;=100000,INDEX($AB$1005:$AQ$1005,1,MATCH(COLUMNS($AB$1006:AN1006),$AB$1006:$AQ$1006,0))&gt;=100000), " ",IF(INDEX($AB$2:$AQ$1001,MATCH(ROWS($U$2:U240),$U$2:$U$1001,0),MATCH(COLUMNS($AB$1006:AN1006),$AB$1006:$AQ$1006,0)), HYPERLINK("#",""), HYPERLINK(CONCATENATE("#Metadata!", ADDRESS(INDEX($W$2:$W$1001,MATCH(ROWS($U$2:U240),$U$2:$U$1001,0),0), INDEX($AB$1004:$AQ$1004,1,MATCH(COLUMNS($AB$1006:AN1006),$AB$1006:$AQ$1006,0)))),"Fix")))</f>
        <v>0</v>
      </c>
      <c r="O240" s="5">
        <f>IF(OR(INDEX($V$2:$V$1001,MATCH(ROWS($U$2:U240),$U$2:$U$1001,0),1)&gt;=100000,INDEX($AB$1005:$AQ$1005,1,MATCH(COLUMNS($AB$1006:AO1006),$AB$1006:$AQ$1006,0))&gt;=100000), " ",IF(INDEX($AB$2:$AQ$1001,MATCH(ROWS($U$2:U240),$U$2:$U$1001,0),MATCH(COLUMNS($AB$1006:AO1006),$AB$1006:$AQ$1006,0)), HYPERLINK("#",""), HYPERLINK(CONCATENATE("#Metadata!", ADDRESS(INDEX($W$2:$W$1001,MATCH(ROWS($U$2:U240),$U$2:$U$1001,0),0), INDEX($AB$1004:$AQ$1004,1,MATCH(COLUMNS($AB$1006:AO1006),$AB$1006:$AQ$1006,0)))),"Fix")))</f>
        <v>0</v>
      </c>
      <c r="P240" s="5">
        <f>IF(OR(INDEX($V$2:$V$1001,MATCH(ROWS($U$2:U240),$U$2:$U$1001,0),1)&gt;=100000,INDEX($AB$1005:$AQ$1005,1,MATCH(COLUMNS($AB$1006:AP1006),$AB$1006:$AQ$1006,0))&gt;=100000), " ",IF(INDEX($AB$2:$AQ$1001,MATCH(ROWS($U$2:U240),$U$2:$U$1001,0),MATCH(COLUMNS($AB$1006:AP1006),$AB$1006:$AQ$1006,0)), HYPERLINK("#",""), HYPERLINK(CONCATENATE("#Metadata!", ADDRESS(INDEX($W$2:$W$1001,MATCH(ROWS($U$2:U240),$U$2:$U$1001,0),0), INDEX($AB$1004:$AQ$1004,1,MATCH(COLUMNS($AB$1006:AP1006),$AB$1006:$AQ$1006,0)))),"Fix")))</f>
        <v>0</v>
      </c>
      <c r="Q240" s="5">
        <f>IF(OR(INDEX($V$2:$V$1001,MATCH(ROWS($U$2:U240),$U$2:$U$1001,0),1)&gt;=100000,INDEX($AB$1005:$AQ$1005,1,MATCH(COLUMNS($AB$1006:AQ1006),$AB$1006:$AQ$1006,0))&gt;=100000), " ",IF(INDEX($AB$2:$AQ$1001,MATCH(ROWS($U$2:U240),$U$2:$U$1001,0),MATCH(COLUMNS($AB$1006:AQ1006),$AB$1006:$AQ$1006,0)), HYPERLINK("#",""), HYPERLINK(CONCATENATE("#Metadata!", ADDRESS(INDEX($W$2:$W$1001,MATCH(ROWS($U$2:U240),$U$2:$U$1001,0),0), INDEX($AB$1004:$AQ$1004,1,MATCH(COLUMNS($AB$1006:AQ1006),$AB$1006:$AQ$1006,0)))),"Fix")))</f>
        <v>0</v>
      </c>
      <c r="U240">
        <v>0</v>
      </c>
      <c r="V240">
        <v>0</v>
      </c>
      <c r="W240">
        <v>0</v>
      </c>
      <c r="X240">
        <f>IF(Y240,TRUE,AND(AB240:AQ240))</f>
        <v>0</v>
      </c>
      <c r="Y240">
        <f>COUNTBLANK(Metadata!B240:Q240)=COLUMNS(Metadata!B240:Q240)</f>
        <v>0</v>
      </c>
      <c r="Z240">
        <v>0</v>
      </c>
      <c r="AB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AC240">
        <f>AND(IF(Metadata!C240="",FALSE,TRUE),exact(Metadata!C240,"urban biome"))</f>
        <v>0</v>
      </c>
      <c r="AD240">
        <f>AND(IF(Metadata!D240="",FALSE,TRUE),exact(Metadata!D240,"human-associated habitat"))</f>
        <v>0</v>
      </c>
      <c r="AE240">
        <f>AND(IF(Metadata!E240="",FALSE,TRUE),OR(exact(Metadata!E240,"human-associated"),exact(Metadata!E240,"human-skin"),exact(Metadata!E240,"human-oral"),exact(Metadata!E240,"human-gut"),exact(Metadata!E240,"human-vaginal")))</f>
        <v>0</v>
      </c>
      <c r="AF240">
        <f>AND(IF(Metadata!F240="",FALSE,ISNUMBER(VALUE(Metadata!F240))),Metadata!F240&gt;0)</f>
        <v>0</v>
      </c>
      <c r="AG240">
        <f>AND(IF(Metadata!G240="",FALSE,TRUE),exact(Metadata!G240,"years"))</f>
        <v>0</v>
      </c>
      <c r="AH240">
        <f>OR(AND(IF(Metadata!H240="",FALSE,TRUE),OR(exact(Metadata!H240,"not applicable"),exact(Metadata!H240,"not collected"),exact(Metadata!H240,"not provided"),exact(Metadata!H240,"restricted access"))),AND(IF(Metadata!H240="",FALSE,ISNUMBER(VALUE(Metadata!H240))),Metadata!H240&gt;0))</f>
        <v>0</v>
      </c>
      <c r="AI240">
        <f>AND(IF(Metadata!I240="",FALSE,TRUE),exact(Metadata!I240,"human"))</f>
        <v>0</v>
      </c>
      <c r="AJ240">
        <f>AND(IF(Metadata!J240="",FALSE,ISNUMBER(VALUE(Metadata!J240))),Metadata!J240&gt;0)</f>
        <v>0</v>
      </c>
      <c r="AK240">
        <f>AND(IF(Metadata!K240="",FALSE,TRUE),exact(Metadata!K240,"cm"))</f>
        <v>0</v>
      </c>
      <c r="AL240">
        <f>AND(IF(Metadata!L240="",FALSE,TRUE),exact(Metadata!L240,"Homo sapiens"))</f>
        <v>0</v>
      </c>
      <c r="AM240">
        <f>AND(IF(Metadata!M240="",FALSE,TRUE),exact(Metadata!M240,"9606"))</f>
        <v>0</v>
      </c>
      <c r="AN240">
        <f>AND(IF(Metadata!N240="",FALSE,ISNUMBER(VALUE(Metadata!N240))),Metadata!N240&gt;0)</f>
        <v>0</v>
      </c>
      <c r="AO240">
        <f>AND(IF(Metadata!O240="",FALSE,TRUE),exact(Metadata!O240,"kg"))</f>
        <v>0</v>
      </c>
      <c r="AP240">
        <f>OR(AND(IF(Metadata!P240="",FALSE,TRUE),exact(Metadata!P240,"not provided")),IF(Metadata!P240="",FALSE,TRUE))</f>
        <v>0</v>
      </c>
      <c r="AQ240">
        <f>OR(AND(IF(Metadata!Q240="",FALSE,TRUE),exact(Metadata!Q240,"not provided")),IF(Metadata!Q240="",FALSE,TRUE))</f>
        <v>0</v>
      </c>
    </row>
    <row r="241" spans="1:43">
      <c r="A241" s="4">
        <f>IF(B241=" "," ",HYPERLINK(CONCATENATE("#metadata!",ADDRESS(INDEX($W$2:$W$1001,MATCH(ROWS($U$2:U241),$U$2:$U$1001,0),0),2)),INDEX($Z$2:$Z$1001,MATCH(ROWS($U$2:U241),$U$2:$U$1001,0),0)))</f>
        <v>0</v>
      </c>
      <c r="B241" s="5">
        <f>IF(OR(INDEX($V$2:$V$1001,MATCH(ROWS($U$2:U241),$U$2:$U$1001,0),1)&gt;=100000,INDEX($AB$1005:$AQ$1005,1,MATCH(COLUMNS($AB$1006:AB1006),$AB$1006:$AQ$1006,0))&gt;=100000), " ",IF(INDEX($AB$2:$AQ$1001,MATCH(ROWS($U$2:U241),$U$2:$U$1001,0),MATCH(COLUMNS($AB$1006:AB1006),$AB$1006:$AQ$1006,0)), HYPERLINK("#",""), HYPERLINK(CONCATENATE("#Metadata!", ADDRESS(INDEX($W$2:$W$1001,MATCH(ROWS($U$2:U241),$U$2:$U$1001,0),0), INDEX($AB$1004:$AQ$1004,1,MATCH(COLUMNS($AB$1006:AB1006),$AB$1006:$AQ$1006,0)))),"Fix")))</f>
        <v>0</v>
      </c>
      <c r="C241" s="5">
        <f>IF(OR(INDEX($V$2:$V$1001,MATCH(ROWS($U$2:U241),$U$2:$U$1001,0),1)&gt;=100000,INDEX($AB$1005:$AQ$1005,1,MATCH(COLUMNS($AB$1006:AC1006),$AB$1006:$AQ$1006,0))&gt;=100000), " ",IF(INDEX($AB$2:$AQ$1001,MATCH(ROWS($U$2:U241),$U$2:$U$1001,0),MATCH(COLUMNS($AB$1006:AC1006),$AB$1006:$AQ$1006,0)), HYPERLINK("#",""), HYPERLINK(CONCATENATE("#Metadata!", ADDRESS(INDEX($W$2:$W$1001,MATCH(ROWS($U$2:U241),$U$2:$U$1001,0),0), INDEX($AB$1004:$AQ$1004,1,MATCH(COLUMNS($AB$1006:AC1006),$AB$1006:$AQ$1006,0)))),"Fix")))</f>
        <v>0</v>
      </c>
      <c r="D241" s="5">
        <f>IF(OR(INDEX($V$2:$V$1001,MATCH(ROWS($U$2:U241),$U$2:$U$1001,0),1)&gt;=100000,INDEX($AB$1005:$AQ$1005,1,MATCH(COLUMNS($AB$1006:AD1006),$AB$1006:$AQ$1006,0))&gt;=100000), " ",IF(INDEX($AB$2:$AQ$1001,MATCH(ROWS($U$2:U241),$U$2:$U$1001,0),MATCH(COLUMNS($AB$1006:AD1006),$AB$1006:$AQ$1006,0)), HYPERLINK("#",""), HYPERLINK(CONCATENATE("#Metadata!", ADDRESS(INDEX($W$2:$W$1001,MATCH(ROWS($U$2:U241),$U$2:$U$1001,0),0), INDEX($AB$1004:$AQ$1004,1,MATCH(COLUMNS($AB$1006:AD1006),$AB$1006:$AQ$1006,0)))),"Fix")))</f>
        <v>0</v>
      </c>
      <c r="E241" s="5">
        <f>IF(OR(INDEX($V$2:$V$1001,MATCH(ROWS($U$2:U241),$U$2:$U$1001,0),1)&gt;=100000,INDEX($AB$1005:$AQ$1005,1,MATCH(COLUMNS($AB$1006:AE1006),$AB$1006:$AQ$1006,0))&gt;=100000), " ",IF(INDEX($AB$2:$AQ$1001,MATCH(ROWS($U$2:U241),$U$2:$U$1001,0),MATCH(COLUMNS($AB$1006:AE1006),$AB$1006:$AQ$1006,0)), HYPERLINK("#",""), HYPERLINK(CONCATENATE("#Metadata!", ADDRESS(INDEX($W$2:$W$1001,MATCH(ROWS($U$2:U241),$U$2:$U$1001,0),0), INDEX($AB$1004:$AQ$1004,1,MATCH(COLUMNS($AB$1006:AE1006),$AB$1006:$AQ$1006,0)))),"Fix")))</f>
        <v>0</v>
      </c>
      <c r="F241" s="5">
        <f>IF(OR(INDEX($V$2:$V$1001,MATCH(ROWS($U$2:U241),$U$2:$U$1001,0),1)&gt;=100000,INDEX($AB$1005:$AQ$1005,1,MATCH(COLUMNS($AB$1006:AF1006),$AB$1006:$AQ$1006,0))&gt;=100000), " ",IF(INDEX($AB$2:$AQ$1001,MATCH(ROWS($U$2:U241),$U$2:$U$1001,0),MATCH(COLUMNS($AB$1006:AF1006),$AB$1006:$AQ$1006,0)), HYPERLINK("#",""), HYPERLINK(CONCATENATE("#Metadata!", ADDRESS(INDEX($W$2:$W$1001,MATCH(ROWS($U$2:U241),$U$2:$U$1001,0),0), INDEX($AB$1004:$AQ$1004,1,MATCH(COLUMNS($AB$1006:AF1006),$AB$1006:$AQ$1006,0)))),"Fix")))</f>
        <v>0</v>
      </c>
      <c r="G241" s="5">
        <f>IF(OR(INDEX($V$2:$V$1001,MATCH(ROWS($U$2:U241),$U$2:$U$1001,0),1)&gt;=100000,INDEX($AB$1005:$AQ$1005,1,MATCH(COLUMNS($AB$1006:AG1006),$AB$1006:$AQ$1006,0))&gt;=100000), " ",IF(INDEX($AB$2:$AQ$1001,MATCH(ROWS($U$2:U241),$U$2:$U$1001,0),MATCH(COLUMNS($AB$1006:AG1006),$AB$1006:$AQ$1006,0)), HYPERLINK("#",""), HYPERLINK(CONCATENATE("#Metadata!", ADDRESS(INDEX($W$2:$W$1001,MATCH(ROWS($U$2:U241),$U$2:$U$1001,0),0), INDEX($AB$1004:$AQ$1004,1,MATCH(COLUMNS($AB$1006:AG1006),$AB$1006:$AQ$1006,0)))),"Fix")))</f>
        <v>0</v>
      </c>
      <c r="H241" s="5">
        <f>IF(OR(INDEX($V$2:$V$1001,MATCH(ROWS($U$2:U241),$U$2:$U$1001,0),1)&gt;=100000,INDEX($AB$1005:$AQ$1005,1,MATCH(COLUMNS($AB$1006:AH1006),$AB$1006:$AQ$1006,0))&gt;=100000), " ",IF(INDEX($AB$2:$AQ$1001,MATCH(ROWS($U$2:U241),$U$2:$U$1001,0),MATCH(COLUMNS($AB$1006:AH1006),$AB$1006:$AQ$1006,0)), HYPERLINK("#",""), HYPERLINK(CONCATENATE("#Metadata!", ADDRESS(INDEX($W$2:$W$1001,MATCH(ROWS($U$2:U241),$U$2:$U$1001,0),0), INDEX($AB$1004:$AQ$1004,1,MATCH(COLUMNS($AB$1006:AH1006),$AB$1006:$AQ$1006,0)))),"Fix")))</f>
        <v>0</v>
      </c>
      <c r="I241" s="5">
        <f>IF(OR(INDEX($V$2:$V$1001,MATCH(ROWS($U$2:U241),$U$2:$U$1001,0),1)&gt;=100000,INDEX($AB$1005:$AQ$1005,1,MATCH(COLUMNS($AB$1006:AI1006),$AB$1006:$AQ$1006,0))&gt;=100000), " ",IF(INDEX($AB$2:$AQ$1001,MATCH(ROWS($U$2:U241),$U$2:$U$1001,0),MATCH(COLUMNS($AB$1006:AI1006),$AB$1006:$AQ$1006,0)), HYPERLINK("#",""), HYPERLINK(CONCATENATE("#Metadata!", ADDRESS(INDEX($W$2:$W$1001,MATCH(ROWS($U$2:U241),$U$2:$U$1001,0),0), INDEX($AB$1004:$AQ$1004,1,MATCH(COLUMNS($AB$1006:AI1006),$AB$1006:$AQ$1006,0)))),"Fix")))</f>
        <v>0</v>
      </c>
      <c r="J241" s="5">
        <f>IF(OR(INDEX($V$2:$V$1001,MATCH(ROWS($U$2:U241),$U$2:$U$1001,0),1)&gt;=100000,INDEX($AB$1005:$AQ$1005,1,MATCH(COLUMNS($AB$1006:AJ1006),$AB$1006:$AQ$1006,0))&gt;=100000), " ",IF(INDEX($AB$2:$AQ$1001,MATCH(ROWS($U$2:U241),$U$2:$U$1001,0),MATCH(COLUMNS($AB$1006:AJ1006),$AB$1006:$AQ$1006,0)), HYPERLINK("#",""), HYPERLINK(CONCATENATE("#Metadata!", ADDRESS(INDEX($W$2:$W$1001,MATCH(ROWS($U$2:U241),$U$2:$U$1001,0),0), INDEX($AB$1004:$AQ$1004,1,MATCH(COLUMNS($AB$1006:AJ1006),$AB$1006:$AQ$1006,0)))),"Fix")))</f>
        <v>0</v>
      </c>
      <c r="K241" s="5">
        <f>IF(OR(INDEX($V$2:$V$1001,MATCH(ROWS($U$2:U241),$U$2:$U$1001,0),1)&gt;=100000,INDEX($AB$1005:$AQ$1005,1,MATCH(COLUMNS($AB$1006:AK1006),$AB$1006:$AQ$1006,0))&gt;=100000), " ",IF(INDEX($AB$2:$AQ$1001,MATCH(ROWS($U$2:U241),$U$2:$U$1001,0),MATCH(COLUMNS($AB$1006:AK1006),$AB$1006:$AQ$1006,0)), HYPERLINK("#",""), HYPERLINK(CONCATENATE("#Metadata!", ADDRESS(INDEX($W$2:$W$1001,MATCH(ROWS($U$2:U241),$U$2:$U$1001,0),0), INDEX($AB$1004:$AQ$1004,1,MATCH(COLUMNS($AB$1006:AK1006),$AB$1006:$AQ$1006,0)))),"Fix")))</f>
        <v>0</v>
      </c>
      <c r="L241" s="5">
        <f>IF(OR(INDEX($V$2:$V$1001,MATCH(ROWS($U$2:U241),$U$2:$U$1001,0),1)&gt;=100000,INDEX($AB$1005:$AQ$1005,1,MATCH(COLUMNS($AB$1006:AL1006),$AB$1006:$AQ$1006,0))&gt;=100000), " ",IF(INDEX($AB$2:$AQ$1001,MATCH(ROWS($U$2:U241),$U$2:$U$1001,0),MATCH(COLUMNS($AB$1006:AL1006),$AB$1006:$AQ$1006,0)), HYPERLINK("#",""), HYPERLINK(CONCATENATE("#Metadata!", ADDRESS(INDEX($W$2:$W$1001,MATCH(ROWS($U$2:U241),$U$2:$U$1001,0),0), INDEX($AB$1004:$AQ$1004,1,MATCH(COLUMNS($AB$1006:AL1006),$AB$1006:$AQ$1006,0)))),"Fix")))</f>
        <v>0</v>
      </c>
      <c r="M241" s="5">
        <f>IF(OR(INDEX($V$2:$V$1001,MATCH(ROWS($U$2:U241),$U$2:$U$1001,0),1)&gt;=100000,INDEX($AB$1005:$AQ$1005,1,MATCH(COLUMNS($AB$1006:AM1006),$AB$1006:$AQ$1006,0))&gt;=100000), " ",IF(INDEX($AB$2:$AQ$1001,MATCH(ROWS($U$2:U241),$U$2:$U$1001,0),MATCH(COLUMNS($AB$1006:AM1006),$AB$1006:$AQ$1006,0)), HYPERLINK("#",""), HYPERLINK(CONCATENATE("#Metadata!", ADDRESS(INDEX($W$2:$W$1001,MATCH(ROWS($U$2:U241),$U$2:$U$1001,0),0), INDEX($AB$1004:$AQ$1004,1,MATCH(COLUMNS($AB$1006:AM1006),$AB$1006:$AQ$1006,0)))),"Fix")))</f>
        <v>0</v>
      </c>
      <c r="N241" s="5">
        <f>IF(OR(INDEX($V$2:$V$1001,MATCH(ROWS($U$2:U241),$U$2:$U$1001,0),1)&gt;=100000,INDEX($AB$1005:$AQ$1005,1,MATCH(COLUMNS($AB$1006:AN1006),$AB$1006:$AQ$1006,0))&gt;=100000), " ",IF(INDEX($AB$2:$AQ$1001,MATCH(ROWS($U$2:U241),$U$2:$U$1001,0),MATCH(COLUMNS($AB$1006:AN1006),$AB$1006:$AQ$1006,0)), HYPERLINK("#",""), HYPERLINK(CONCATENATE("#Metadata!", ADDRESS(INDEX($W$2:$W$1001,MATCH(ROWS($U$2:U241),$U$2:$U$1001,0),0), INDEX($AB$1004:$AQ$1004,1,MATCH(COLUMNS($AB$1006:AN1006),$AB$1006:$AQ$1006,0)))),"Fix")))</f>
        <v>0</v>
      </c>
      <c r="O241" s="5">
        <f>IF(OR(INDEX($V$2:$V$1001,MATCH(ROWS($U$2:U241),$U$2:$U$1001,0),1)&gt;=100000,INDEX($AB$1005:$AQ$1005,1,MATCH(COLUMNS($AB$1006:AO1006),$AB$1006:$AQ$1006,0))&gt;=100000), " ",IF(INDEX($AB$2:$AQ$1001,MATCH(ROWS($U$2:U241),$U$2:$U$1001,0),MATCH(COLUMNS($AB$1006:AO1006),$AB$1006:$AQ$1006,0)), HYPERLINK("#",""), HYPERLINK(CONCATENATE("#Metadata!", ADDRESS(INDEX($W$2:$W$1001,MATCH(ROWS($U$2:U241),$U$2:$U$1001,0),0), INDEX($AB$1004:$AQ$1004,1,MATCH(COLUMNS($AB$1006:AO1006),$AB$1006:$AQ$1006,0)))),"Fix")))</f>
        <v>0</v>
      </c>
      <c r="P241" s="5">
        <f>IF(OR(INDEX($V$2:$V$1001,MATCH(ROWS($U$2:U241),$U$2:$U$1001,0),1)&gt;=100000,INDEX($AB$1005:$AQ$1005,1,MATCH(COLUMNS($AB$1006:AP1006),$AB$1006:$AQ$1006,0))&gt;=100000), " ",IF(INDEX($AB$2:$AQ$1001,MATCH(ROWS($U$2:U241),$U$2:$U$1001,0),MATCH(COLUMNS($AB$1006:AP1006),$AB$1006:$AQ$1006,0)), HYPERLINK("#",""), HYPERLINK(CONCATENATE("#Metadata!", ADDRESS(INDEX($W$2:$W$1001,MATCH(ROWS($U$2:U241),$U$2:$U$1001,0),0), INDEX($AB$1004:$AQ$1004,1,MATCH(COLUMNS($AB$1006:AP1006),$AB$1006:$AQ$1006,0)))),"Fix")))</f>
        <v>0</v>
      </c>
      <c r="Q241" s="5">
        <f>IF(OR(INDEX($V$2:$V$1001,MATCH(ROWS($U$2:U241),$U$2:$U$1001,0),1)&gt;=100000,INDEX($AB$1005:$AQ$1005,1,MATCH(COLUMNS($AB$1006:AQ1006),$AB$1006:$AQ$1006,0))&gt;=100000), " ",IF(INDEX($AB$2:$AQ$1001,MATCH(ROWS($U$2:U241),$U$2:$U$1001,0),MATCH(COLUMNS($AB$1006:AQ1006),$AB$1006:$AQ$1006,0)), HYPERLINK("#",""), HYPERLINK(CONCATENATE("#Metadata!", ADDRESS(INDEX($W$2:$W$1001,MATCH(ROWS($U$2:U241),$U$2:$U$1001,0),0), INDEX($AB$1004:$AQ$1004,1,MATCH(COLUMNS($AB$1006:AQ1006),$AB$1006:$AQ$1006,0)))),"Fix")))</f>
        <v>0</v>
      </c>
      <c r="U241">
        <v>0</v>
      </c>
      <c r="V241">
        <v>0</v>
      </c>
      <c r="W241">
        <v>0</v>
      </c>
      <c r="X241">
        <f>IF(Y241,TRUE,AND(AB241:AQ241))</f>
        <v>0</v>
      </c>
      <c r="Y241">
        <f>COUNTBLANK(Metadata!B241:Q241)=COLUMNS(Metadata!B241:Q241)</f>
        <v>0</v>
      </c>
      <c r="Z241">
        <v>0</v>
      </c>
      <c r="AB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AC241">
        <f>AND(IF(Metadata!C241="",FALSE,TRUE),exact(Metadata!C241,"urban biome"))</f>
        <v>0</v>
      </c>
      <c r="AD241">
        <f>AND(IF(Metadata!D241="",FALSE,TRUE),exact(Metadata!D241,"human-associated habitat"))</f>
        <v>0</v>
      </c>
      <c r="AE241">
        <f>AND(IF(Metadata!E241="",FALSE,TRUE),OR(exact(Metadata!E241,"human-associated"),exact(Metadata!E241,"human-skin"),exact(Metadata!E241,"human-oral"),exact(Metadata!E241,"human-gut"),exact(Metadata!E241,"human-vaginal")))</f>
        <v>0</v>
      </c>
      <c r="AF241">
        <f>AND(IF(Metadata!F241="",FALSE,ISNUMBER(VALUE(Metadata!F241))),Metadata!F241&gt;0)</f>
        <v>0</v>
      </c>
      <c r="AG241">
        <f>AND(IF(Metadata!G241="",FALSE,TRUE),exact(Metadata!G241,"years"))</f>
        <v>0</v>
      </c>
      <c r="AH241">
        <f>OR(AND(IF(Metadata!H241="",FALSE,TRUE),OR(exact(Metadata!H241,"not applicable"),exact(Metadata!H241,"not collected"),exact(Metadata!H241,"not provided"),exact(Metadata!H241,"restricted access"))),AND(IF(Metadata!H241="",FALSE,ISNUMBER(VALUE(Metadata!H241))),Metadata!H241&gt;0))</f>
        <v>0</v>
      </c>
      <c r="AI241">
        <f>AND(IF(Metadata!I241="",FALSE,TRUE),exact(Metadata!I241,"human"))</f>
        <v>0</v>
      </c>
      <c r="AJ241">
        <f>AND(IF(Metadata!J241="",FALSE,ISNUMBER(VALUE(Metadata!J241))),Metadata!J241&gt;0)</f>
        <v>0</v>
      </c>
      <c r="AK241">
        <f>AND(IF(Metadata!K241="",FALSE,TRUE),exact(Metadata!K241,"cm"))</f>
        <v>0</v>
      </c>
      <c r="AL241">
        <f>AND(IF(Metadata!L241="",FALSE,TRUE),exact(Metadata!L241,"Homo sapiens"))</f>
        <v>0</v>
      </c>
      <c r="AM241">
        <f>AND(IF(Metadata!M241="",FALSE,TRUE),exact(Metadata!M241,"9606"))</f>
        <v>0</v>
      </c>
      <c r="AN241">
        <f>AND(IF(Metadata!N241="",FALSE,ISNUMBER(VALUE(Metadata!N241))),Metadata!N241&gt;0)</f>
        <v>0</v>
      </c>
      <c r="AO241">
        <f>AND(IF(Metadata!O241="",FALSE,TRUE),exact(Metadata!O241,"kg"))</f>
        <v>0</v>
      </c>
      <c r="AP241">
        <f>OR(AND(IF(Metadata!P241="",FALSE,TRUE),exact(Metadata!P241,"not provided")),IF(Metadata!P241="",FALSE,TRUE))</f>
        <v>0</v>
      </c>
      <c r="AQ241">
        <f>OR(AND(IF(Metadata!Q241="",FALSE,TRUE),exact(Metadata!Q241,"not provided")),IF(Metadata!Q241="",FALSE,TRUE))</f>
        <v>0</v>
      </c>
    </row>
    <row r="242" spans="1:43">
      <c r="A242" s="4">
        <f>IF(B242=" "," ",HYPERLINK(CONCATENATE("#metadata!",ADDRESS(INDEX($W$2:$W$1001,MATCH(ROWS($U$2:U242),$U$2:$U$1001,0),0),2)),INDEX($Z$2:$Z$1001,MATCH(ROWS($U$2:U242),$U$2:$U$1001,0),0)))</f>
        <v>0</v>
      </c>
      <c r="B242" s="5">
        <f>IF(OR(INDEX($V$2:$V$1001,MATCH(ROWS($U$2:U242),$U$2:$U$1001,0),1)&gt;=100000,INDEX($AB$1005:$AQ$1005,1,MATCH(COLUMNS($AB$1006:AB1006),$AB$1006:$AQ$1006,0))&gt;=100000), " ",IF(INDEX($AB$2:$AQ$1001,MATCH(ROWS($U$2:U242),$U$2:$U$1001,0),MATCH(COLUMNS($AB$1006:AB1006),$AB$1006:$AQ$1006,0)), HYPERLINK("#",""), HYPERLINK(CONCATENATE("#Metadata!", ADDRESS(INDEX($W$2:$W$1001,MATCH(ROWS($U$2:U242),$U$2:$U$1001,0),0), INDEX($AB$1004:$AQ$1004,1,MATCH(COLUMNS($AB$1006:AB1006),$AB$1006:$AQ$1006,0)))),"Fix")))</f>
        <v>0</v>
      </c>
      <c r="C242" s="5">
        <f>IF(OR(INDEX($V$2:$V$1001,MATCH(ROWS($U$2:U242),$U$2:$U$1001,0),1)&gt;=100000,INDEX($AB$1005:$AQ$1005,1,MATCH(COLUMNS($AB$1006:AC1006),$AB$1006:$AQ$1006,0))&gt;=100000), " ",IF(INDEX($AB$2:$AQ$1001,MATCH(ROWS($U$2:U242),$U$2:$U$1001,0),MATCH(COLUMNS($AB$1006:AC1006),$AB$1006:$AQ$1006,0)), HYPERLINK("#",""), HYPERLINK(CONCATENATE("#Metadata!", ADDRESS(INDEX($W$2:$W$1001,MATCH(ROWS($U$2:U242),$U$2:$U$1001,0),0), INDEX($AB$1004:$AQ$1004,1,MATCH(COLUMNS($AB$1006:AC1006),$AB$1006:$AQ$1006,0)))),"Fix")))</f>
        <v>0</v>
      </c>
      <c r="D242" s="5">
        <f>IF(OR(INDEX($V$2:$V$1001,MATCH(ROWS($U$2:U242),$U$2:$U$1001,0),1)&gt;=100000,INDEX($AB$1005:$AQ$1005,1,MATCH(COLUMNS($AB$1006:AD1006),$AB$1006:$AQ$1006,0))&gt;=100000), " ",IF(INDEX($AB$2:$AQ$1001,MATCH(ROWS($U$2:U242),$U$2:$U$1001,0),MATCH(COLUMNS($AB$1006:AD1006),$AB$1006:$AQ$1006,0)), HYPERLINK("#",""), HYPERLINK(CONCATENATE("#Metadata!", ADDRESS(INDEX($W$2:$W$1001,MATCH(ROWS($U$2:U242),$U$2:$U$1001,0),0), INDEX($AB$1004:$AQ$1004,1,MATCH(COLUMNS($AB$1006:AD1006),$AB$1006:$AQ$1006,0)))),"Fix")))</f>
        <v>0</v>
      </c>
      <c r="E242" s="5">
        <f>IF(OR(INDEX($V$2:$V$1001,MATCH(ROWS($U$2:U242),$U$2:$U$1001,0),1)&gt;=100000,INDEX($AB$1005:$AQ$1005,1,MATCH(COLUMNS($AB$1006:AE1006),$AB$1006:$AQ$1006,0))&gt;=100000), " ",IF(INDEX($AB$2:$AQ$1001,MATCH(ROWS($U$2:U242),$U$2:$U$1001,0),MATCH(COLUMNS($AB$1006:AE1006),$AB$1006:$AQ$1006,0)), HYPERLINK("#",""), HYPERLINK(CONCATENATE("#Metadata!", ADDRESS(INDEX($W$2:$W$1001,MATCH(ROWS($U$2:U242),$U$2:$U$1001,0),0), INDEX($AB$1004:$AQ$1004,1,MATCH(COLUMNS($AB$1006:AE1006),$AB$1006:$AQ$1006,0)))),"Fix")))</f>
        <v>0</v>
      </c>
      <c r="F242" s="5">
        <f>IF(OR(INDEX($V$2:$V$1001,MATCH(ROWS($U$2:U242),$U$2:$U$1001,0),1)&gt;=100000,INDEX($AB$1005:$AQ$1005,1,MATCH(COLUMNS($AB$1006:AF1006),$AB$1006:$AQ$1006,0))&gt;=100000), " ",IF(INDEX($AB$2:$AQ$1001,MATCH(ROWS($U$2:U242),$U$2:$U$1001,0),MATCH(COLUMNS($AB$1006:AF1006),$AB$1006:$AQ$1006,0)), HYPERLINK("#",""), HYPERLINK(CONCATENATE("#Metadata!", ADDRESS(INDEX($W$2:$W$1001,MATCH(ROWS($U$2:U242),$U$2:$U$1001,0),0), INDEX($AB$1004:$AQ$1004,1,MATCH(COLUMNS($AB$1006:AF1006),$AB$1006:$AQ$1006,0)))),"Fix")))</f>
        <v>0</v>
      </c>
      <c r="G242" s="5">
        <f>IF(OR(INDEX($V$2:$V$1001,MATCH(ROWS($U$2:U242),$U$2:$U$1001,0),1)&gt;=100000,INDEX($AB$1005:$AQ$1005,1,MATCH(COLUMNS($AB$1006:AG1006),$AB$1006:$AQ$1006,0))&gt;=100000), " ",IF(INDEX($AB$2:$AQ$1001,MATCH(ROWS($U$2:U242),$U$2:$U$1001,0),MATCH(COLUMNS($AB$1006:AG1006),$AB$1006:$AQ$1006,0)), HYPERLINK("#",""), HYPERLINK(CONCATENATE("#Metadata!", ADDRESS(INDEX($W$2:$W$1001,MATCH(ROWS($U$2:U242),$U$2:$U$1001,0),0), INDEX($AB$1004:$AQ$1004,1,MATCH(COLUMNS($AB$1006:AG1006),$AB$1006:$AQ$1006,0)))),"Fix")))</f>
        <v>0</v>
      </c>
      <c r="H242" s="5">
        <f>IF(OR(INDEX($V$2:$V$1001,MATCH(ROWS($U$2:U242),$U$2:$U$1001,0),1)&gt;=100000,INDEX($AB$1005:$AQ$1005,1,MATCH(COLUMNS($AB$1006:AH1006),$AB$1006:$AQ$1006,0))&gt;=100000), " ",IF(INDEX($AB$2:$AQ$1001,MATCH(ROWS($U$2:U242),$U$2:$U$1001,0),MATCH(COLUMNS($AB$1006:AH1006),$AB$1006:$AQ$1006,0)), HYPERLINK("#",""), HYPERLINK(CONCATENATE("#Metadata!", ADDRESS(INDEX($W$2:$W$1001,MATCH(ROWS($U$2:U242),$U$2:$U$1001,0),0), INDEX($AB$1004:$AQ$1004,1,MATCH(COLUMNS($AB$1006:AH1006),$AB$1006:$AQ$1006,0)))),"Fix")))</f>
        <v>0</v>
      </c>
      <c r="I242" s="5">
        <f>IF(OR(INDEX($V$2:$V$1001,MATCH(ROWS($U$2:U242),$U$2:$U$1001,0),1)&gt;=100000,INDEX($AB$1005:$AQ$1005,1,MATCH(COLUMNS($AB$1006:AI1006),$AB$1006:$AQ$1006,0))&gt;=100000), " ",IF(INDEX($AB$2:$AQ$1001,MATCH(ROWS($U$2:U242),$U$2:$U$1001,0),MATCH(COLUMNS($AB$1006:AI1006),$AB$1006:$AQ$1006,0)), HYPERLINK("#",""), HYPERLINK(CONCATENATE("#Metadata!", ADDRESS(INDEX($W$2:$W$1001,MATCH(ROWS($U$2:U242),$U$2:$U$1001,0),0), INDEX($AB$1004:$AQ$1004,1,MATCH(COLUMNS($AB$1006:AI1006),$AB$1006:$AQ$1006,0)))),"Fix")))</f>
        <v>0</v>
      </c>
      <c r="J242" s="5">
        <f>IF(OR(INDEX($V$2:$V$1001,MATCH(ROWS($U$2:U242),$U$2:$U$1001,0),1)&gt;=100000,INDEX($AB$1005:$AQ$1005,1,MATCH(COLUMNS($AB$1006:AJ1006),$AB$1006:$AQ$1006,0))&gt;=100000), " ",IF(INDEX($AB$2:$AQ$1001,MATCH(ROWS($U$2:U242),$U$2:$U$1001,0),MATCH(COLUMNS($AB$1006:AJ1006),$AB$1006:$AQ$1006,0)), HYPERLINK("#",""), HYPERLINK(CONCATENATE("#Metadata!", ADDRESS(INDEX($W$2:$W$1001,MATCH(ROWS($U$2:U242),$U$2:$U$1001,0),0), INDEX($AB$1004:$AQ$1004,1,MATCH(COLUMNS($AB$1006:AJ1006),$AB$1006:$AQ$1006,0)))),"Fix")))</f>
        <v>0</v>
      </c>
      <c r="K242" s="5">
        <f>IF(OR(INDEX($V$2:$V$1001,MATCH(ROWS($U$2:U242),$U$2:$U$1001,0),1)&gt;=100000,INDEX($AB$1005:$AQ$1005,1,MATCH(COLUMNS($AB$1006:AK1006),$AB$1006:$AQ$1006,0))&gt;=100000), " ",IF(INDEX($AB$2:$AQ$1001,MATCH(ROWS($U$2:U242),$U$2:$U$1001,0),MATCH(COLUMNS($AB$1006:AK1006),$AB$1006:$AQ$1006,0)), HYPERLINK("#",""), HYPERLINK(CONCATENATE("#Metadata!", ADDRESS(INDEX($W$2:$W$1001,MATCH(ROWS($U$2:U242),$U$2:$U$1001,0),0), INDEX($AB$1004:$AQ$1004,1,MATCH(COLUMNS($AB$1006:AK1006),$AB$1006:$AQ$1006,0)))),"Fix")))</f>
        <v>0</v>
      </c>
      <c r="L242" s="5">
        <f>IF(OR(INDEX($V$2:$V$1001,MATCH(ROWS($U$2:U242),$U$2:$U$1001,0),1)&gt;=100000,INDEX($AB$1005:$AQ$1005,1,MATCH(COLUMNS($AB$1006:AL1006),$AB$1006:$AQ$1006,0))&gt;=100000), " ",IF(INDEX($AB$2:$AQ$1001,MATCH(ROWS($U$2:U242),$U$2:$U$1001,0),MATCH(COLUMNS($AB$1006:AL1006),$AB$1006:$AQ$1006,0)), HYPERLINK("#",""), HYPERLINK(CONCATENATE("#Metadata!", ADDRESS(INDEX($W$2:$W$1001,MATCH(ROWS($U$2:U242),$U$2:$U$1001,0),0), INDEX($AB$1004:$AQ$1004,1,MATCH(COLUMNS($AB$1006:AL1006),$AB$1006:$AQ$1006,0)))),"Fix")))</f>
        <v>0</v>
      </c>
      <c r="M242" s="5">
        <f>IF(OR(INDEX($V$2:$V$1001,MATCH(ROWS($U$2:U242),$U$2:$U$1001,0),1)&gt;=100000,INDEX($AB$1005:$AQ$1005,1,MATCH(COLUMNS($AB$1006:AM1006),$AB$1006:$AQ$1006,0))&gt;=100000), " ",IF(INDEX($AB$2:$AQ$1001,MATCH(ROWS($U$2:U242),$U$2:$U$1001,0),MATCH(COLUMNS($AB$1006:AM1006),$AB$1006:$AQ$1006,0)), HYPERLINK("#",""), HYPERLINK(CONCATENATE("#Metadata!", ADDRESS(INDEX($W$2:$W$1001,MATCH(ROWS($U$2:U242),$U$2:$U$1001,0),0), INDEX($AB$1004:$AQ$1004,1,MATCH(COLUMNS($AB$1006:AM1006),$AB$1006:$AQ$1006,0)))),"Fix")))</f>
        <v>0</v>
      </c>
      <c r="N242" s="5">
        <f>IF(OR(INDEX($V$2:$V$1001,MATCH(ROWS($U$2:U242),$U$2:$U$1001,0),1)&gt;=100000,INDEX($AB$1005:$AQ$1005,1,MATCH(COLUMNS($AB$1006:AN1006),$AB$1006:$AQ$1006,0))&gt;=100000), " ",IF(INDEX($AB$2:$AQ$1001,MATCH(ROWS($U$2:U242),$U$2:$U$1001,0),MATCH(COLUMNS($AB$1006:AN1006),$AB$1006:$AQ$1006,0)), HYPERLINK("#",""), HYPERLINK(CONCATENATE("#Metadata!", ADDRESS(INDEX($W$2:$W$1001,MATCH(ROWS($U$2:U242),$U$2:$U$1001,0),0), INDEX($AB$1004:$AQ$1004,1,MATCH(COLUMNS($AB$1006:AN1006),$AB$1006:$AQ$1006,0)))),"Fix")))</f>
        <v>0</v>
      </c>
      <c r="O242" s="5">
        <f>IF(OR(INDEX($V$2:$V$1001,MATCH(ROWS($U$2:U242),$U$2:$U$1001,0),1)&gt;=100000,INDEX($AB$1005:$AQ$1005,1,MATCH(COLUMNS($AB$1006:AO1006),$AB$1006:$AQ$1006,0))&gt;=100000), " ",IF(INDEX($AB$2:$AQ$1001,MATCH(ROWS($U$2:U242),$U$2:$U$1001,0),MATCH(COLUMNS($AB$1006:AO1006),$AB$1006:$AQ$1006,0)), HYPERLINK("#",""), HYPERLINK(CONCATENATE("#Metadata!", ADDRESS(INDEX($W$2:$W$1001,MATCH(ROWS($U$2:U242),$U$2:$U$1001,0),0), INDEX($AB$1004:$AQ$1004,1,MATCH(COLUMNS($AB$1006:AO1006),$AB$1006:$AQ$1006,0)))),"Fix")))</f>
        <v>0</v>
      </c>
      <c r="P242" s="5">
        <f>IF(OR(INDEX($V$2:$V$1001,MATCH(ROWS($U$2:U242),$U$2:$U$1001,0),1)&gt;=100000,INDEX($AB$1005:$AQ$1005,1,MATCH(COLUMNS($AB$1006:AP1006),$AB$1006:$AQ$1006,0))&gt;=100000), " ",IF(INDEX($AB$2:$AQ$1001,MATCH(ROWS($U$2:U242),$U$2:$U$1001,0),MATCH(COLUMNS($AB$1006:AP1006),$AB$1006:$AQ$1006,0)), HYPERLINK("#",""), HYPERLINK(CONCATENATE("#Metadata!", ADDRESS(INDEX($W$2:$W$1001,MATCH(ROWS($U$2:U242),$U$2:$U$1001,0),0), INDEX($AB$1004:$AQ$1004,1,MATCH(COLUMNS($AB$1006:AP1006),$AB$1006:$AQ$1006,0)))),"Fix")))</f>
        <v>0</v>
      </c>
      <c r="Q242" s="5">
        <f>IF(OR(INDEX($V$2:$V$1001,MATCH(ROWS($U$2:U242),$U$2:$U$1001,0),1)&gt;=100000,INDEX($AB$1005:$AQ$1005,1,MATCH(COLUMNS($AB$1006:AQ1006),$AB$1006:$AQ$1006,0))&gt;=100000), " ",IF(INDEX($AB$2:$AQ$1001,MATCH(ROWS($U$2:U242),$U$2:$U$1001,0),MATCH(COLUMNS($AB$1006:AQ1006),$AB$1006:$AQ$1006,0)), HYPERLINK("#",""), HYPERLINK(CONCATENATE("#Metadata!", ADDRESS(INDEX($W$2:$W$1001,MATCH(ROWS($U$2:U242),$U$2:$U$1001,0),0), INDEX($AB$1004:$AQ$1004,1,MATCH(COLUMNS($AB$1006:AQ1006),$AB$1006:$AQ$1006,0)))),"Fix")))</f>
        <v>0</v>
      </c>
      <c r="U242">
        <v>0</v>
      </c>
      <c r="V242">
        <v>0</v>
      </c>
      <c r="W242">
        <v>0</v>
      </c>
      <c r="X242">
        <f>IF(Y242,TRUE,AND(AB242:AQ242))</f>
        <v>0</v>
      </c>
      <c r="Y242">
        <f>COUNTBLANK(Metadata!B242:Q242)=COLUMNS(Metadata!B242:Q242)</f>
        <v>0</v>
      </c>
      <c r="Z242">
        <v>0</v>
      </c>
      <c r="AB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AC242">
        <f>AND(IF(Metadata!C242="",FALSE,TRUE),exact(Metadata!C242,"urban biome"))</f>
        <v>0</v>
      </c>
      <c r="AD242">
        <f>AND(IF(Metadata!D242="",FALSE,TRUE),exact(Metadata!D242,"human-associated habitat"))</f>
        <v>0</v>
      </c>
      <c r="AE242">
        <f>AND(IF(Metadata!E242="",FALSE,TRUE),OR(exact(Metadata!E242,"human-associated"),exact(Metadata!E242,"human-skin"),exact(Metadata!E242,"human-oral"),exact(Metadata!E242,"human-gut"),exact(Metadata!E242,"human-vaginal")))</f>
        <v>0</v>
      </c>
      <c r="AF242">
        <f>AND(IF(Metadata!F242="",FALSE,ISNUMBER(VALUE(Metadata!F242))),Metadata!F242&gt;0)</f>
        <v>0</v>
      </c>
      <c r="AG242">
        <f>AND(IF(Metadata!G242="",FALSE,TRUE),exact(Metadata!G242,"years"))</f>
        <v>0</v>
      </c>
      <c r="AH242">
        <f>OR(AND(IF(Metadata!H242="",FALSE,TRUE),OR(exact(Metadata!H242,"not applicable"),exact(Metadata!H242,"not collected"),exact(Metadata!H242,"not provided"),exact(Metadata!H242,"restricted access"))),AND(IF(Metadata!H242="",FALSE,ISNUMBER(VALUE(Metadata!H242))),Metadata!H242&gt;0))</f>
        <v>0</v>
      </c>
      <c r="AI242">
        <f>AND(IF(Metadata!I242="",FALSE,TRUE),exact(Metadata!I242,"human"))</f>
        <v>0</v>
      </c>
      <c r="AJ242">
        <f>AND(IF(Metadata!J242="",FALSE,ISNUMBER(VALUE(Metadata!J242))),Metadata!J242&gt;0)</f>
        <v>0</v>
      </c>
      <c r="AK242">
        <f>AND(IF(Metadata!K242="",FALSE,TRUE),exact(Metadata!K242,"cm"))</f>
        <v>0</v>
      </c>
      <c r="AL242">
        <f>AND(IF(Metadata!L242="",FALSE,TRUE),exact(Metadata!L242,"Homo sapiens"))</f>
        <v>0</v>
      </c>
      <c r="AM242">
        <f>AND(IF(Metadata!M242="",FALSE,TRUE),exact(Metadata!M242,"9606"))</f>
        <v>0</v>
      </c>
      <c r="AN242">
        <f>AND(IF(Metadata!N242="",FALSE,ISNUMBER(VALUE(Metadata!N242))),Metadata!N242&gt;0)</f>
        <v>0</v>
      </c>
      <c r="AO242">
        <f>AND(IF(Metadata!O242="",FALSE,TRUE),exact(Metadata!O242,"kg"))</f>
        <v>0</v>
      </c>
      <c r="AP242">
        <f>OR(AND(IF(Metadata!P242="",FALSE,TRUE),exact(Metadata!P242,"not provided")),IF(Metadata!P242="",FALSE,TRUE))</f>
        <v>0</v>
      </c>
      <c r="AQ242">
        <f>OR(AND(IF(Metadata!Q242="",FALSE,TRUE),exact(Metadata!Q242,"not provided")),IF(Metadata!Q242="",FALSE,TRUE))</f>
        <v>0</v>
      </c>
    </row>
    <row r="243" spans="1:43">
      <c r="A243" s="4">
        <f>IF(B243=" "," ",HYPERLINK(CONCATENATE("#metadata!",ADDRESS(INDEX($W$2:$W$1001,MATCH(ROWS($U$2:U243),$U$2:$U$1001,0),0),2)),INDEX($Z$2:$Z$1001,MATCH(ROWS($U$2:U243),$U$2:$U$1001,0),0)))</f>
        <v>0</v>
      </c>
      <c r="B243" s="5">
        <f>IF(OR(INDEX($V$2:$V$1001,MATCH(ROWS($U$2:U243),$U$2:$U$1001,0),1)&gt;=100000,INDEX($AB$1005:$AQ$1005,1,MATCH(COLUMNS($AB$1006:AB1006),$AB$1006:$AQ$1006,0))&gt;=100000), " ",IF(INDEX($AB$2:$AQ$1001,MATCH(ROWS($U$2:U243),$U$2:$U$1001,0),MATCH(COLUMNS($AB$1006:AB1006),$AB$1006:$AQ$1006,0)), HYPERLINK("#",""), HYPERLINK(CONCATENATE("#Metadata!", ADDRESS(INDEX($W$2:$W$1001,MATCH(ROWS($U$2:U243),$U$2:$U$1001,0),0), INDEX($AB$1004:$AQ$1004,1,MATCH(COLUMNS($AB$1006:AB1006),$AB$1006:$AQ$1006,0)))),"Fix")))</f>
        <v>0</v>
      </c>
      <c r="C243" s="5">
        <f>IF(OR(INDEX($V$2:$V$1001,MATCH(ROWS($U$2:U243),$U$2:$U$1001,0),1)&gt;=100000,INDEX($AB$1005:$AQ$1005,1,MATCH(COLUMNS($AB$1006:AC1006),$AB$1006:$AQ$1006,0))&gt;=100000), " ",IF(INDEX($AB$2:$AQ$1001,MATCH(ROWS($U$2:U243),$U$2:$U$1001,0),MATCH(COLUMNS($AB$1006:AC1006),$AB$1006:$AQ$1006,0)), HYPERLINK("#",""), HYPERLINK(CONCATENATE("#Metadata!", ADDRESS(INDEX($W$2:$W$1001,MATCH(ROWS($U$2:U243),$U$2:$U$1001,0),0), INDEX($AB$1004:$AQ$1004,1,MATCH(COLUMNS($AB$1006:AC1006),$AB$1006:$AQ$1006,0)))),"Fix")))</f>
        <v>0</v>
      </c>
      <c r="D243" s="5">
        <f>IF(OR(INDEX($V$2:$V$1001,MATCH(ROWS($U$2:U243),$U$2:$U$1001,0),1)&gt;=100000,INDEX($AB$1005:$AQ$1005,1,MATCH(COLUMNS($AB$1006:AD1006),$AB$1006:$AQ$1006,0))&gt;=100000), " ",IF(INDEX($AB$2:$AQ$1001,MATCH(ROWS($U$2:U243),$U$2:$U$1001,0),MATCH(COLUMNS($AB$1006:AD1006),$AB$1006:$AQ$1006,0)), HYPERLINK("#",""), HYPERLINK(CONCATENATE("#Metadata!", ADDRESS(INDEX($W$2:$W$1001,MATCH(ROWS($U$2:U243),$U$2:$U$1001,0),0), INDEX($AB$1004:$AQ$1004,1,MATCH(COLUMNS($AB$1006:AD1006),$AB$1006:$AQ$1006,0)))),"Fix")))</f>
        <v>0</v>
      </c>
      <c r="E243" s="5">
        <f>IF(OR(INDEX($V$2:$V$1001,MATCH(ROWS($U$2:U243),$U$2:$U$1001,0),1)&gt;=100000,INDEX($AB$1005:$AQ$1005,1,MATCH(COLUMNS($AB$1006:AE1006),$AB$1006:$AQ$1006,0))&gt;=100000), " ",IF(INDEX($AB$2:$AQ$1001,MATCH(ROWS($U$2:U243),$U$2:$U$1001,0),MATCH(COLUMNS($AB$1006:AE1006),$AB$1006:$AQ$1006,0)), HYPERLINK("#",""), HYPERLINK(CONCATENATE("#Metadata!", ADDRESS(INDEX($W$2:$W$1001,MATCH(ROWS($U$2:U243),$U$2:$U$1001,0),0), INDEX($AB$1004:$AQ$1004,1,MATCH(COLUMNS($AB$1006:AE1006),$AB$1006:$AQ$1006,0)))),"Fix")))</f>
        <v>0</v>
      </c>
      <c r="F243" s="5">
        <f>IF(OR(INDEX($V$2:$V$1001,MATCH(ROWS($U$2:U243),$U$2:$U$1001,0),1)&gt;=100000,INDEX($AB$1005:$AQ$1005,1,MATCH(COLUMNS($AB$1006:AF1006),$AB$1006:$AQ$1006,0))&gt;=100000), " ",IF(INDEX($AB$2:$AQ$1001,MATCH(ROWS($U$2:U243),$U$2:$U$1001,0),MATCH(COLUMNS($AB$1006:AF1006),$AB$1006:$AQ$1006,0)), HYPERLINK("#",""), HYPERLINK(CONCATENATE("#Metadata!", ADDRESS(INDEX($W$2:$W$1001,MATCH(ROWS($U$2:U243),$U$2:$U$1001,0),0), INDEX($AB$1004:$AQ$1004,1,MATCH(COLUMNS($AB$1006:AF1006),$AB$1006:$AQ$1006,0)))),"Fix")))</f>
        <v>0</v>
      </c>
      <c r="G243" s="5">
        <f>IF(OR(INDEX($V$2:$V$1001,MATCH(ROWS($U$2:U243),$U$2:$U$1001,0),1)&gt;=100000,INDEX($AB$1005:$AQ$1005,1,MATCH(COLUMNS($AB$1006:AG1006),$AB$1006:$AQ$1006,0))&gt;=100000), " ",IF(INDEX($AB$2:$AQ$1001,MATCH(ROWS($U$2:U243),$U$2:$U$1001,0),MATCH(COLUMNS($AB$1006:AG1006),$AB$1006:$AQ$1006,0)), HYPERLINK("#",""), HYPERLINK(CONCATENATE("#Metadata!", ADDRESS(INDEX($W$2:$W$1001,MATCH(ROWS($U$2:U243),$U$2:$U$1001,0),0), INDEX($AB$1004:$AQ$1004,1,MATCH(COLUMNS($AB$1006:AG1006),$AB$1006:$AQ$1006,0)))),"Fix")))</f>
        <v>0</v>
      </c>
      <c r="H243" s="5">
        <f>IF(OR(INDEX($V$2:$V$1001,MATCH(ROWS($U$2:U243),$U$2:$U$1001,0),1)&gt;=100000,INDEX($AB$1005:$AQ$1005,1,MATCH(COLUMNS($AB$1006:AH1006),$AB$1006:$AQ$1006,0))&gt;=100000), " ",IF(INDEX($AB$2:$AQ$1001,MATCH(ROWS($U$2:U243),$U$2:$U$1001,0),MATCH(COLUMNS($AB$1006:AH1006),$AB$1006:$AQ$1006,0)), HYPERLINK("#",""), HYPERLINK(CONCATENATE("#Metadata!", ADDRESS(INDEX($W$2:$W$1001,MATCH(ROWS($U$2:U243),$U$2:$U$1001,0),0), INDEX($AB$1004:$AQ$1004,1,MATCH(COLUMNS($AB$1006:AH1006),$AB$1006:$AQ$1006,0)))),"Fix")))</f>
        <v>0</v>
      </c>
      <c r="I243" s="5">
        <f>IF(OR(INDEX($V$2:$V$1001,MATCH(ROWS($U$2:U243),$U$2:$U$1001,0),1)&gt;=100000,INDEX($AB$1005:$AQ$1005,1,MATCH(COLUMNS($AB$1006:AI1006),$AB$1006:$AQ$1006,0))&gt;=100000), " ",IF(INDEX($AB$2:$AQ$1001,MATCH(ROWS($U$2:U243),$U$2:$U$1001,0),MATCH(COLUMNS($AB$1006:AI1006),$AB$1006:$AQ$1006,0)), HYPERLINK("#",""), HYPERLINK(CONCATENATE("#Metadata!", ADDRESS(INDEX($W$2:$W$1001,MATCH(ROWS($U$2:U243),$U$2:$U$1001,0),0), INDEX($AB$1004:$AQ$1004,1,MATCH(COLUMNS($AB$1006:AI1006),$AB$1006:$AQ$1006,0)))),"Fix")))</f>
        <v>0</v>
      </c>
      <c r="J243" s="5">
        <f>IF(OR(INDEX($V$2:$V$1001,MATCH(ROWS($U$2:U243),$U$2:$U$1001,0),1)&gt;=100000,INDEX($AB$1005:$AQ$1005,1,MATCH(COLUMNS($AB$1006:AJ1006),$AB$1006:$AQ$1006,0))&gt;=100000), " ",IF(INDEX($AB$2:$AQ$1001,MATCH(ROWS($U$2:U243),$U$2:$U$1001,0),MATCH(COLUMNS($AB$1006:AJ1006),$AB$1006:$AQ$1006,0)), HYPERLINK("#",""), HYPERLINK(CONCATENATE("#Metadata!", ADDRESS(INDEX($W$2:$W$1001,MATCH(ROWS($U$2:U243),$U$2:$U$1001,0),0), INDEX($AB$1004:$AQ$1004,1,MATCH(COLUMNS($AB$1006:AJ1006),$AB$1006:$AQ$1006,0)))),"Fix")))</f>
        <v>0</v>
      </c>
      <c r="K243" s="5">
        <f>IF(OR(INDEX($V$2:$V$1001,MATCH(ROWS($U$2:U243),$U$2:$U$1001,0),1)&gt;=100000,INDEX($AB$1005:$AQ$1005,1,MATCH(COLUMNS($AB$1006:AK1006),$AB$1006:$AQ$1006,0))&gt;=100000), " ",IF(INDEX($AB$2:$AQ$1001,MATCH(ROWS($U$2:U243),$U$2:$U$1001,0),MATCH(COLUMNS($AB$1006:AK1006),$AB$1006:$AQ$1006,0)), HYPERLINK("#",""), HYPERLINK(CONCATENATE("#Metadata!", ADDRESS(INDEX($W$2:$W$1001,MATCH(ROWS($U$2:U243),$U$2:$U$1001,0),0), INDEX($AB$1004:$AQ$1004,1,MATCH(COLUMNS($AB$1006:AK1006),$AB$1006:$AQ$1006,0)))),"Fix")))</f>
        <v>0</v>
      </c>
      <c r="L243" s="5">
        <f>IF(OR(INDEX($V$2:$V$1001,MATCH(ROWS($U$2:U243),$U$2:$U$1001,0),1)&gt;=100000,INDEX($AB$1005:$AQ$1005,1,MATCH(COLUMNS($AB$1006:AL1006),$AB$1006:$AQ$1006,0))&gt;=100000), " ",IF(INDEX($AB$2:$AQ$1001,MATCH(ROWS($U$2:U243),$U$2:$U$1001,0),MATCH(COLUMNS($AB$1006:AL1006),$AB$1006:$AQ$1006,0)), HYPERLINK("#",""), HYPERLINK(CONCATENATE("#Metadata!", ADDRESS(INDEX($W$2:$W$1001,MATCH(ROWS($U$2:U243),$U$2:$U$1001,0),0), INDEX($AB$1004:$AQ$1004,1,MATCH(COLUMNS($AB$1006:AL1006),$AB$1006:$AQ$1006,0)))),"Fix")))</f>
        <v>0</v>
      </c>
      <c r="M243" s="5">
        <f>IF(OR(INDEX($V$2:$V$1001,MATCH(ROWS($U$2:U243),$U$2:$U$1001,0),1)&gt;=100000,INDEX($AB$1005:$AQ$1005,1,MATCH(COLUMNS($AB$1006:AM1006),$AB$1006:$AQ$1006,0))&gt;=100000), " ",IF(INDEX($AB$2:$AQ$1001,MATCH(ROWS($U$2:U243),$U$2:$U$1001,0),MATCH(COLUMNS($AB$1006:AM1006),$AB$1006:$AQ$1006,0)), HYPERLINK("#",""), HYPERLINK(CONCATENATE("#Metadata!", ADDRESS(INDEX($W$2:$W$1001,MATCH(ROWS($U$2:U243),$U$2:$U$1001,0),0), INDEX($AB$1004:$AQ$1004,1,MATCH(COLUMNS($AB$1006:AM1006),$AB$1006:$AQ$1006,0)))),"Fix")))</f>
        <v>0</v>
      </c>
      <c r="N243" s="5">
        <f>IF(OR(INDEX($V$2:$V$1001,MATCH(ROWS($U$2:U243),$U$2:$U$1001,0),1)&gt;=100000,INDEX($AB$1005:$AQ$1005,1,MATCH(COLUMNS($AB$1006:AN1006),$AB$1006:$AQ$1006,0))&gt;=100000), " ",IF(INDEX($AB$2:$AQ$1001,MATCH(ROWS($U$2:U243),$U$2:$U$1001,0),MATCH(COLUMNS($AB$1006:AN1006),$AB$1006:$AQ$1006,0)), HYPERLINK("#",""), HYPERLINK(CONCATENATE("#Metadata!", ADDRESS(INDEX($W$2:$W$1001,MATCH(ROWS($U$2:U243),$U$2:$U$1001,0),0), INDEX($AB$1004:$AQ$1004,1,MATCH(COLUMNS($AB$1006:AN1006),$AB$1006:$AQ$1006,0)))),"Fix")))</f>
        <v>0</v>
      </c>
      <c r="O243" s="5">
        <f>IF(OR(INDEX($V$2:$V$1001,MATCH(ROWS($U$2:U243),$U$2:$U$1001,0),1)&gt;=100000,INDEX($AB$1005:$AQ$1005,1,MATCH(COLUMNS($AB$1006:AO1006),$AB$1006:$AQ$1006,0))&gt;=100000), " ",IF(INDEX($AB$2:$AQ$1001,MATCH(ROWS($U$2:U243),$U$2:$U$1001,0),MATCH(COLUMNS($AB$1006:AO1006),$AB$1006:$AQ$1006,0)), HYPERLINK("#",""), HYPERLINK(CONCATENATE("#Metadata!", ADDRESS(INDEX($W$2:$W$1001,MATCH(ROWS($U$2:U243),$U$2:$U$1001,0),0), INDEX($AB$1004:$AQ$1004,1,MATCH(COLUMNS($AB$1006:AO1006),$AB$1006:$AQ$1006,0)))),"Fix")))</f>
        <v>0</v>
      </c>
      <c r="P243" s="5">
        <f>IF(OR(INDEX($V$2:$V$1001,MATCH(ROWS($U$2:U243),$U$2:$U$1001,0),1)&gt;=100000,INDEX($AB$1005:$AQ$1005,1,MATCH(COLUMNS($AB$1006:AP1006),$AB$1006:$AQ$1006,0))&gt;=100000), " ",IF(INDEX($AB$2:$AQ$1001,MATCH(ROWS($U$2:U243),$U$2:$U$1001,0),MATCH(COLUMNS($AB$1006:AP1006),$AB$1006:$AQ$1006,0)), HYPERLINK("#",""), HYPERLINK(CONCATENATE("#Metadata!", ADDRESS(INDEX($W$2:$W$1001,MATCH(ROWS($U$2:U243),$U$2:$U$1001,0),0), INDEX($AB$1004:$AQ$1004,1,MATCH(COLUMNS($AB$1006:AP1006),$AB$1006:$AQ$1006,0)))),"Fix")))</f>
        <v>0</v>
      </c>
      <c r="Q243" s="5">
        <f>IF(OR(INDEX($V$2:$V$1001,MATCH(ROWS($U$2:U243),$U$2:$U$1001,0),1)&gt;=100000,INDEX($AB$1005:$AQ$1005,1,MATCH(COLUMNS($AB$1006:AQ1006),$AB$1006:$AQ$1006,0))&gt;=100000), " ",IF(INDEX($AB$2:$AQ$1001,MATCH(ROWS($U$2:U243),$U$2:$U$1001,0),MATCH(COLUMNS($AB$1006:AQ1006),$AB$1006:$AQ$1006,0)), HYPERLINK("#",""), HYPERLINK(CONCATENATE("#Metadata!", ADDRESS(INDEX($W$2:$W$1001,MATCH(ROWS($U$2:U243),$U$2:$U$1001,0),0), INDEX($AB$1004:$AQ$1004,1,MATCH(COLUMNS($AB$1006:AQ1006),$AB$1006:$AQ$1006,0)))),"Fix")))</f>
        <v>0</v>
      </c>
      <c r="U243">
        <v>0</v>
      </c>
      <c r="V243">
        <v>0</v>
      </c>
      <c r="W243">
        <v>0</v>
      </c>
      <c r="X243">
        <f>IF(Y243,TRUE,AND(AB243:AQ243))</f>
        <v>0</v>
      </c>
      <c r="Y243">
        <f>COUNTBLANK(Metadata!B243:Q243)=COLUMNS(Metadata!B243:Q243)</f>
        <v>0</v>
      </c>
      <c r="Z243">
        <v>0</v>
      </c>
      <c r="AB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AC243">
        <f>AND(IF(Metadata!C243="",FALSE,TRUE),exact(Metadata!C243,"urban biome"))</f>
        <v>0</v>
      </c>
      <c r="AD243">
        <f>AND(IF(Metadata!D243="",FALSE,TRUE),exact(Metadata!D243,"human-associated habitat"))</f>
        <v>0</v>
      </c>
      <c r="AE243">
        <f>AND(IF(Metadata!E243="",FALSE,TRUE),OR(exact(Metadata!E243,"human-associated"),exact(Metadata!E243,"human-skin"),exact(Metadata!E243,"human-oral"),exact(Metadata!E243,"human-gut"),exact(Metadata!E243,"human-vaginal")))</f>
        <v>0</v>
      </c>
      <c r="AF243">
        <f>AND(IF(Metadata!F243="",FALSE,ISNUMBER(VALUE(Metadata!F243))),Metadata!F243&gt;0)</f>
        <v>0</v>
      </c>
      <c r="AG243">
        <f>AND(IF(Metadata!G243="",FALSE,TRUE),exact(Metadata!G243,"years"))</f>
        <v>0</v>
      </c>
      <c r="AH243">
        <f>OR(AND(IF(Metadata!H243="",FALSE,TRUE),OR(exact(Metadata!H243,"not applicable"),exact(Metadata!H243,"not collected"),exact(Metadata!H243,"not provided"),exact(Metadata!H243,"restricted access"))),AND(IF(Metadata!H243="",FALSE,ISNUMBER(VALUE(Metadata!H243))),Metadata!H243&gt;0))</f>
        <v>0</v>
      </c>
      <c r="AI243">
        <f>AND(IF(Metadata!I243="",FALSE,TRUE),exact(Metadata!I243,"human"))</f>
        <v>0</v>
      </c>
      <c r="AJ243">
        <f>AND(IF(Metadata!J243="",FALSE,ISNUMBER(VALUE(Metadata!J243))),Metadata!J243&gt;0)</f>
        <v>0</v>
      </c>
      <c r="AK243">
        <f>AND(IF(Metadata!K243="",FALSE,TRUE),exact(Metadata!K243,"cm"))</f>
        <v>0</v>
      </c>
      <c r="AL243">
        <f>AND(IF(Metadata!L243="",FALSE,TRUE),exact(Metadata!L243,"Homo sapiens"))</f>
        <v>0</v>
      </c>
      <c r="AM243">
        <f>AND(IF(Metadata!M243="",FALSE,TRUE),exact(Metadata!M243,"9606"))</f>
        <v>0</v>
      </c>
      <c r="AN243">
        <f>AND(IF(Metadata!N243="",FALSE,ISNUMBER(VALUE(Metadata!N243))),Metadata!N243&gt;0)</f>
        <v>0</v>
      </c>
      <c r="AO243">
        <f>AND(IF(Metadata!O243="",FALSE,TRUE),exact(Metadata!O243,"kg"))</f>
        <v>0</v>
      </c>
      <c r="AP243">
        <f>OR(AND(IF(Metadata!P243="",FALSE,TRUE),exact(Metadata!P243,"not provided")),IF(Metadata!P243="",FALSE,TRUE))</f>
        <v>0</v>
      </c>
      <c r="AQ243">
        <f>OR(AND(IF(Metadata!Q243="",FALSE,TRUE),exact(Metadata!Q243,"not provided")),IF(Metadata!Q243="",FALSE,TRUE))</f>
        <v>0</v>
      </c>
    </row>
    <row r="244" spans="1:43">
      <c r="A244" s="4">
        <f>IF(B244=" "," ",HYPERLINK(CONCATENATE("#metadata!",ADDRESS(INDEX($W$2:$W$1001,MATCH(ROWS($U$2:U244),$U$2:$U$1001,0),0),2)),INDEX($Z$2:$Z$1001,MATCH(ROWS($U$2:U244),$U$2:$U$1001,0),0)))</f>
        <v>0</v>
      </c>
      <c r="B244" s="5">
        <f>IF(OR(INDEX($V$2:$V$1001,MATCH(ROWS($U$2:U244),$U$2:$U$1001,0),1)&gt;=100000,INDEX($AB$1005:$AQ$1005,1,MATCH(COLUMNS($AB$1006:AB1006),$AB$1006:$AQ$1006,0))&gt;=100000), " ",IF(INDEX($AB$2:$AQ$1001,MATCH(ROWS($U$2:U244),$U$2:$U$1001,0),MATCH(COLUMNS($AB$1006:AB1006),$AB$1006:$AQ$1006,0)), HYPERLINK("#",""), HYPERLINK(CONCATENATE("#Metadata!", ADDRESS(INDEX($W$2:$W$1001,MATCH(ROWS($U$2:U244),$U$2:$U$1001,0),0), INDEX($AB$1004:$AQ$1004,1,MATCH(COLUMNS($AB$1006:AB1006),$AB$1006:$AQ$1006,0)))),"Fix")))</f>
        <v>0</v>
      </c>
      <c r="C244" s="5">
        <f>IF(OR(INDEX($V$2:$V$1001,MATCH(ROWS($U$2:U244),$U$2:$U$1001,0),1)&gt;=100000,INDEX($AB$1005:$AQ$1005,1,MATCH(COLUMNS($AB$1006:AC1006),$AB$1006:$AQ$1006,0))&gt;=100000), " ",IF(INDEX($AB$2:$AQ$1001,MATCH(ROWS($U$2:U244),$U$2:$U$1001,0),MATCH(COLUMNS($AB$1006:AC1006),$AB$1006:$AQ$1006,0)), HYPERLINK("#",""), HYPERLINK(CONCATENATE("#Metadata!", ADDRESS(INDEX($W$2:$W$1001,MATCH(ROWS($U$2:U244),$U$2:$U$1001,0),0), INDEX($AB$1004:$AQ$1004,1,MATCH(COLUMNS($AB$1006:AC1006),$AB$1006:$AQ$1006,0)))),"Fix")))</f>
        <v>0</v>
      </c>
      <c r="D244" s="5">
        <f>IF(OR(INDEX($V$2:$V$1001,MATCH(ROWS($U$2:U244),$U$2:$U$1001,0),1)&gt;=100000,INDEX($AB$1005:$AQ$1005,1,MATCH(COLUMNS($AB$1006:AD1006),$AB$1006:$AQ$1006,0))&gt;=100000), " ",IF(INDEX($AB$2:$AQ$1001,MATCH(ROWS($U$2:U244),$U$2:$U$1001,0),MATCH(COLUMNS($AB$1006:AD1006),$AB$1006:$AQ$1006,0)), HYPERLINK("#",""), HYPERLINK(CONCATENATE("#Metadata!", ADDRESS(INDEX($W$2:$W$1001,MATCH(ROWS($U$2:U244),$U$2:$U$1001,0),0), INDEX($AB$1004:$AQ$1004,1,MATCH(COLUMNS($AB$1006:AD1006),$AB$1006:$AQ$1006,0)))),"Fix")))</f>
        <v>0</v>
      </c>
      <c r="E244" s="5">
        <f>IF(OR(INDEX($V$2:$V$1001,MATCH(ROWS($U$2:U244),$U$2:$U$1001,0),1)&gt;=100000,INDEX($AB$1005:$AQ$1005,1,MATCH(COLUMNS($AB$1006:AE1006),$AB$1006:$AQ$1006,0))&gt;=100000), " ",IF(INDEX($AB$2:$AQ$1001,MATCH(ROWS($U$2:U244),$U$2:$U$1001,0),MATCH(COLUMNS($AB$1006:AE1006),$AB$1006:$AQ$1006,0)), HYPERLINK("#",""), HYPERLINK(CONCATENATE("#Metadata!", ADDRESS(INDEX($W$2:$W$1001,MATCH(ROWS($U$2:U244),$U$2:$U$1001,0),0), INDEX($AB$1004:$AQ$1004,1,MATCH(COLUMNS($AB$1006:AE1006),$AB$1006:$AQ$1006,0)))),"Fix")))</f>
        <v>0</v>
      </c>
      <c r="F244" s="5">
        <f>IF(OR(INDEX($V$2:$V$1001,MATCH(ROWS($U$2:U244),$U$2:$U$1001,0),1)&gt;=100000,INDEX($AB$1005:$AQ$1005,1,MATCH(COLUMNS($AB$1006:AF1006),$AB$1006:$AQ$1006,0))&gt;=100000), " ",IF(INDEX($AB$2:$AQ$1001,MATCH(ROWS($U$2:U244),$U$2:$U$1001,0),MATCH(COLUMNS($AB$1006:AF1006),$AB$1006:$AQ$1006,0)), HYPERLINK("#",""), HYPERLINK(CONCATENATE("#Metadata!", ADDRESS(INDEX($W$2:$W$1001,MATCH(ROWS($U$2:U244),$U$2:$U$1001,0),0), INDEX($AB$1004:$AQ$1004,1,MATCH(COLUMNS($AB$1006:AF1006),$AB$1006:$AQ$1006,0)))),"Fix")))</f>
        <v>0</v>
      </c>
      <c r="G244" s="5">
        <f>IF(OR(INDEX($V$2:$V$1001,MATCH(ROWS($U$2:U244),$U$2:$U$1001,0),1)&gt;=100000,INDEX($AB$1005:$AQ$1005,1,MATCH(COLUMNS($AB$1006:AG1006),$AB$1006:$AQ$1006,0))&gt;=100000), " ",IF(INDEX($AB$2:$AQ$1001,MATCH(ROWS($U$2:U244),$U$2:$U$1001,0),MATCH(COLUMNS($AB$1006:AG1006),$AB$1006:$AQ$1006,0)), HYPERLINK("#",""), HYPERLINK(CONCATENATE("#Metadata!", ADDRESS(INDEX($W$2:$W$1001,MATCH(ROWS($U$2:U244),$U$2:$U$1001,0),0), INDEX($AB$1004:$AQ$1004,1,MATCH(COLUMNS($AB$1006:AG1006),$AB$1006:$AQ$1006,0)))),"Fix")))</f>
        <v>0</v>
      </c>
      <c r="H244" s="5">
        <f>IF(OR(INDEX($V$2:$V$1001,MATCH(ROWS($U$2:U244),$U$2:$U$1001,0),1)&gt;=100000,INDEX($AB$1005:$AQ$1005,1,MATCH(COLUMNS($AB$1006:AH1006),$AB$1006:$AQ$1006,0))&gt;=100000), " ",IF(INDEX($AB$2:$AQ$1001,MATCH(ROWS($U$2:U244),$U$2:$U$1001,0),MATCH(COLUMNS($AB$1006:AH1006),$AB$1006:$AQ$1006,0)), HYPERLINK("#",""), HYPERLINK(CONCATENATE("#Metadata!", ADDRESS(INDEX($W$2:$W$1001,MATCH(ROWS($U$2:U244),$U$2:$U$1001,0),0), INDEX($AB$1004:$AQ$1004,1,MATCH(COLUMNS($AB$1006:AH1006),$AB$1006:$AQ$1006,0)))),"Fix")))</f>
        <v>0</v>
      </c>
      <c r="I244" s="5">
        <f>IF(OR(INDEX($V$2:$V$1001,MATCH(ROWS($U$2:U244),$U$2:$U$1001,0),1)&gt;=100000,INDEX($AB$1005:$AQ$1005,1,MATCH(COLUMNS($AB$1006:AI1006),$AB$1006:$AQ$1006,0))&gt;=100000), " ",IF(INDEX($AB$2:$AQ$1001,MATCH(ROWS($U$2:U244),$U$2:$U$1001,0),MATCH(COLUMNS($AB$1006:AI1006),$AB$1006:$AQ$1006,0)), HYPERLINK("#",""), HYPERLINK(CONCATENATE("#Metadata!", ADDRESS(INDEX($W$2:$W$1001,MATCH(ROWS($U$2:U244),$U$2:$U$1001,0),0), INDEX($AB$1004:$AQ$1004,1,MATCH(COLUMNS($AB$1006:AI1006),$AB$1006:$AQ$1006,0)))),"Fix")))</f>
        <v>0</v>
      </c>
      <c r="J244" s="5">
        <f>IF(OR(INDEX($V$2:$V$1001,MATCH(ROWS($U$2:U244),$U$2:$U$1001,0),1)&gt;=100000,INDEX($AB$1005:$AQ$1005,1,MATCH(COLUMNS($AB$1006:AJ1006),$AB$1006:$AQ$1006,0))&gt;=100000), " ",IF(INDEX($AB$2:$AQ$1001,MATCH(ROWS($U$2:U244),$U$2:$U$1001,0),MATCH(COLUMNS($AB$1006:AJ1006),$AB$1006:$AQ$1006,0)), HYPERLINK("#",""), HYPERLINK(CONCATENATE("#Metadata!", ADDRESS(INDEX($W$2:$W$1001,MATCH(ROWS($U$2:U244),$U$2:$U$1001,0),0), INDEX($AB$1004:$AQ$1004,1,MATCH(COLUMNS($AB$1006:AJ1006),$AB$1006:$AQ$1006,0)))),"Fix")))</f>
        <v>0</v>
      </c>
      <c r="K244" s="5">
        <f>IF(OR(INDEX($V$2:$V$1001,MATCH(ROWS($U$2:U244),$U$2:$U$1001,0),1)&gt;=100000,INDEX($AB$1005:$AQ$1005,1,MATCH(COLUMNS($AB$1006:AK1006),$AB$1006:$AQ$1006,0))&gt;=100000), " ",IF(INDEX($AB$2:$AQ$1001,MATCH(ROWS($U$2:U244),$U$2:$U$1001,0),MATCH(COLUMNS($AB$1006:AK1006),$AB$1006:$AQ$1006,0)), HYPERLINK("#",""), HYPERLINK(CONCATENATE("#Metadata!", ADDRESS(INDEX($W$2:$W$1001,MATCH(ROWS($U$2:U244),$U$2:$U$1001,0),0), INDEX($AB$1004:$AQ$1004,1,MATCH(COLUMNS($AB$1006:AK1006),$AB$1006:$AQ$1006,0)))),"Fix")))</f>
        <v>0</v>
      </c>
      <c r="L244" s="5">
        <f>IF(OR(INDEX($V$2:$V$1001,MATCH(ROWS($U$2:U244),$U$2:$U$1001,0),1)&gt;=100000,INDEX($AB$1005:$AQ$1005,1,MATCH(COLUMNS($AB$1006:AL1006),$AB$1006:$AQ$1006,0))&gt;=100000), " ",IF(INDEX($AB$2:$AQ$1001,MATCH(ROWS($U$2:U244),$U$2:$U$1001,0),MATCH(COLUMNS($AB$1006:AL1006),$AB$1006:$AQ$1006,0)), HYPERLINK("#",""), HYPERLINK(CONCATENATE("#Metadata!", ADDRESS(INDEX($W$2:$W$1001,MATCH(ROWS($U$2:U244),$U$2:$U$1001,0),0), INDEX($AB$1004:$AQ$1004,1,MATCH(COLUMNS($AB$1006:AL1006),$AB$1006:$AQ$1006,0)))),"Fix")))</f>
        <v>0</v>
      </c>
      <c r="M244" s="5">
        <f>IF(OR(INDEX($V$2:$V$1001,MATCH(ROWS($U$2:U244),$U$2:$U$1001,0),1)&gt;=100000,INDEX($AB$1005:$AQ$1005,1,MATCH(COLUMNS($AB$1006:AM1006),$AB$1006:$AQ$1006,0))&gt;=100000), " ",IF(INDEX($AB$2:$AQ$1001,MATCH(ROWS($U$2:U244),$U$2:$U$1001,0),MATCH(COLUMNS($AB$1006:AM1006),$AB$1006:$AQ$1006,0)), HYPERLINK("#",""), HYPERLINK(CONCATENATE("#Metadata!", ADDRESS(INDEX($W$2:$W$1001,MATCH(ROWS($U$2:U244),$U$2:$U$1001,0),0), INDEX($AB$1004:$AQ$1004,1,MATCH(COLUMNS($AB$1006:AM1006),$AB$1006:$AQ$1006,0)))),"Fix")))</f>
        <v>0</v>
      </c>
      <c r="N244" s="5">
        <f>IF(OR(INDEX($V$2:$V$1001,MATCH(ROWS($U$2:U244),$U$2:$U$1001,0),1)&gt;=100000,INDEX($AB$1005:$AQ$1005,1,MATCH(COLUMNS($AB$1006:AN1006),$AB$1006:$AQ$1006,0))&gt;=100000), " ",IF(INDEX($AB$2:$AQ$1001,MATCH(ROWS($U$2:U244),$U$2:$U$1001,0),MATCH(COLUMNS($AB$1006:AN1006),$AB$1006:$AQ$1006,0)), HYPERLINK("#",""), HYPERLINK(CONCATENATE("#Metadata!", ADDRESS(INDEX($W$2:$W$1001,MATCH(ROWS($U$2:U244),$U$2:$U$1001,0),0), INDEX($AB$1004:$AQ$1004,1,MATCH(COLUMNS($AB$1006:AN1006),$AB$1006:$AQ$1006,0)))),"Fix")))</f>
        <v>0</v>
      </c>
      <c r="O244" s="5">
        <f>IF(OR(INDEX($V$2:$V$1001,MATCH(ROWS($U$2:U244),$U$2:$U$1001,0),1)&gt;=100000,INDEX($AB$1005:$AQ$1005,1,MATCH(COLUMNS($AB$1006:AO1006),$AB$1006:$AQ$1006,0))&gt;=100000), " ",IF(INDEX($AB$2:$AQ$1001,MATCH(ROWS($U$2:U244),$U$2:$U$1001,0),MATCH(COLUMNS($AB$1006:AO1006),$AB$1006:$AQ$1006,0)), HYPERLINK("#",""), HYPERLINK(CONCATENATE("#Metadata!", ADDRESS(INDEX($W$2:$W$1001,MATCH(ROWS($U$2:U244),$U$2:$U$1001,0),0), INDEX($AB$1004:$AQ$1004,1,MATCH(COLUMNS($AB$1006:AO1006),$AB$1006:$AQ$1006,0)))),"Fix")))</f>
        <v>0</v>
      </c>
      <c r="P244" s="5">
        <f>IF(OR(INDEX($V$2:$V$1001,MATCH(ROWS($U$2:U244),$U$2:$U$1001,0),1)&gt;=100000,INDEX($AB$1005:$AQ$1005,1,MATCH(COLUMNS($AB$1006:AP1006),$AB$1006:$AQ$1006,0))&gt;=100000), " ",IF(INDEX($AB$2:$AQ$1001,MATCH(ROWS($U$2:U244),$U$2:$U$1001,0),MATCH(COLUMNS($AB$1006:AP1006),$AB$1006:$AQ$1006,0)), HYPERLINK("#",""), HYPERLINK(CONCATENATE("#Metadata!", ADDRESS(INDEX($W$2:$W$1001,MATCH(ROWS($U$2:U244),$U$2:$U$1001,0),0), INDEX($AB$1004:$AQ$1004,1,MATCH(COLUMNS($AB$1006:AP1006),$AB$1006:$AQ$1006,0)))),"Fix")))</f>
        <v>0</v>
      </c>
      <c r="Q244" s="5">
        <f>IF(OR(INDEX($V$2:$V$1001,MATCH(ROWS($U$2:U244),$U$2:$U$1001,0),1)&gt;=100000,INDEX($AB$1005:$AQ$1005,1,MATCH(COLUMNS($AB$1006:AQ1006),$AB$1006:$AQ$1006,0))&gt;=100000), " ",IF(INDEX($AB$2:$AQ$1001,MATCH(ROWS($U$2:U244),$U$2:$U$1001,0),MATCH(COLUMNS($AB$1006:AQ1006),$AB$1006:$AQ$1006,0)), HYPERLINK("#",""), HYPERLINK(CONCATENATE("#Metadata!", ADDRESS(INDEX($W$2:$W$1001,MATCH(ROWS($U$2:U244),$U$2:$U$1001,0),0), INDEX($AB$1004:$AQ$1004,1,MATCH(COLUMNS($AB$1006:AQ1006),$AB$1006:$AQ$1006,0)))),"Fix")))</f>
        <v>0</v>
      </c>
      <c r="U244">
        <v>0</v>
      </c>
      <c r="V244">
        <v>0</v>
      </c>
      <c r="W244">
        <v>0</v>
      </c>
      <c r="X244">
        <f>IF(Y244,TRUE,AND(AB244:AQ244))</f>
        <v>0</v>
      </c>
      <c r="Y244">
        <f>COUNTBLANK(Metadata!B244:Q244)=COLUMNS(Metadata!B244:Q244)</f>
        <v>0</v>
      </c>
      <c r="Z244">
        <v>0</v>
      </c>
      <c r="AB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AC244">
        <f>AND(IF(Metadata!C244="",FALSE,TRUE),exact(Metadata!C244,"urban biome"))</f>
        <v>0</v>
      </c>
      <c r="AD244">
        <f>AND(IF(Metadata!D244="",FALSE,TRUE),exact(Metadata!D244,"human-associated habitat"))</f>
        <v>0</v>
      </c>
      <c r="AE244">
        <f>AND(IF(Metadata!E244="",FALSE,TRUE),OR(exact(Metadata!E244,"human-associated"),exact(Metadata!E244,"human-skin"),exact(Metadata!E244,"human-oral"),exact(Metadata!E244,"human-gut"),exact(Metadata!E244,"human-vaginal")))</f>
        <v>0</v>
      </c>
      <c r="AF244">
        <f>AND(IF(Metadata!F244="",FALSE,ISNUMBER(VALUE(Metadata!F244))),Metadata!F244&gt;0)</f>
        <v>0</v>
      </c>
      <c r="AG244">
        <f>AND(IF(Metadata!G244="",FALSE,TRUE),exact(Metadata!G244,"years"))</f>
        <v>0</v>
      </c>
      <c r="AH244">
        <f>OR(AND(IF(Metadata!H244="",FALSE,TRUE),OR(exact(Metadata!H244,"not applicable"),exact(Metadata!H244,"not collected"),exact(Metadata!H244,"not provided"),exact(Metadata!H244,"restricted access"))),AND(IF(Metadata!H244="",FALSE,ISNUMBER(VALUE(Metadata!H244))),Metadata!H244&gt;0))</f>
        <v>0</v>
      </c>
      <c r="AI244">
        <f>AND(IF(Metadata!I244="",FALSE,TRUE),exact(Metadata!I244,"human"))</f>
        <v>0</v>
      </c>
      <c r="AJ244">
        <f>AND(IF(Metadata!J244="",FALSE,ISNUMBER(VALUE(Metadata!J244))),Metadata!J244&gt;0)</f>
        <v>0</v>
      </c>
      <c r="AK244">
        <f>AND(IF(Metadata!K244="",FALSE,TRUE),exact(Metadata!K244,"cm"))</f>
        <v>0</v>
      </c>
      <c r="AL244">
        <f>AND(IF(Metadata!L244="",FALSE,TRUE),exact(Metadata!L244,"Homo sapiens"))</f>
        <v>0</v>
      </c>
      <c r="AM244">
        <f>AND(IF(Metadata!M244="",FALSE,TRUE),exact(Metadata!M244,"9606"))</f>
        <v>0</v>
      </c>
      <c r="AN244">
        <f>AND(IF(Metadata!N244="",FALSE,ISNUMBER(VALUE(Metadata!N244))),Metadata!N244&gt;0)</f>
        <v>0</v>
      </c>
      <c r="AO244">
        <f>AND(IF(Metadata!O244="",FALSE,TRUE),exact(Metadata!O244,"kg"))</f>
        <v>0</v>
      </c>
      <c r="AP244">
        <f>OR(AND(IF(Metadata!P244="",FALSE,TRUE),exact(Metadata!P244,"not provided")),IF(Metadata!P244="",FALSE,TRUE))</f>
        <v>0</v>
      </c>
      <c r="AQ244">
        <f>OR(AND(IF(Metadata!Q244="",FALSE,TRUE),exact(Metadata!Q244,"not provided")),IF(Metadata!Q244="",FALSE,TRUE))</f>
        <v>0</v>
      </c>
    </row>
    <row r="245" spans="1:43">
      <c r="A245" s="4">
        <f>IF(B245=" "," ",HYPERLINK(CONCATENATE("#metadata!",ADDRESS(INDEX($W$2:$W$1001,MATCH(ROWS($U$2:U245),$U$2:$U$1001,0),0),2)),INDEX($Z$2:$Z$1001,MATCH(ROWS($U$2:U245),$U$2:$U$1001,0),0)))</f>
        <v>0</v>
      </c>
      <c r="B245" s="5">
        <f>IF(OR(INDEX($V$2:$V$1001,MATCH(ROWS($U$2:U245),$U$2:$U$1001,0),1)&gt;=100000,INDEX($AB$1005:$AQ$1005,1,MATCH(COLUMNS($AB$1006:AB1006),$AB$1006:$AQ$1006,0))&gt;=100000), " ",IF(INDEX($AB$2:$AQ$1001,MATCH(ROWS($U$2:U245),$U$2:$U$1001,0),MATCH(COLUMNS($AB$1006:AB1006),$AB$1006:$AQ$1006,0)), HYPERLINK("#",""), HYPERLINK(CONCATENATE("#Metadata!", ADDRESS(INDEX($W$2:$W$1001,MATCH(ROWS($U$2:U245),$U$2:$U$1001,0),0), INDEX($AB$1004:$AQ$1004,1,MATCH(COLUMNS($AB$1006:AB1006),$AB$1006:$AQ$1006,0)))),"Fix")))</f>
        <v>0</v>
      </c>
      <c r="C245" s="5">
        <f>IF(OR(INDEX($V$2:$V$1001,MATCH(ROWS($U$2:U245),$U$2:$U$1001,0),1)&gt;=100000,INDEX($AB$1005:$AQ$1005,1,MATCH(COLUMNS($AB$1006:AC1006),$AB$1006:$AQ$1006,0))&gt;=100000), " ",IF(INDEX($AB$2:$AQ$1001,MATCH(ROWS($U$2:U245),$U$2:$U$1001,0),MATCH(COLUMNS($AB$1006:AC1006),$AB$1006:$AQ$1006,0)), HYPERLINK("#",""), HYPERLINK(CONCATENATE("#Metadata!", ADDRESS(INDEX($W$2:$W$1001,MATCH(ROWS($U$2:U245),$U$2:$U$1001,0),0), INDEX($AB$1004:$AQ$1004,1,MATCH(COLUMNS($AB$1006:AC1006),$AB$1006:$AQ$1006,0)))),"Fix")))</f>
        <v>0</v>
      </c>
      <c r="D245" s="5">
        <f>IF(OR(INDEX($V$2:$V$1001,MATCH(ROWS($U$2:U245),$U$2:$U$1001,0),1)&gt;=100000,INDEX($AB$1005:$AQ$1005,1,MATCH(COLUMNS($AB$1006:AD1006),$AB$1006:$AQ$1006,0))&gt;=100000), " ",IF(INDEX($AB$2:$AQ$1001,MATCH(ROWS($U$2:U245),$U$2:$U$1001,0),MATCH(COLUMNS($AB$1006:AD1006),$AB$1006:$AQ$1006,0)), HYPERLINK("#",""), HYPERLINK(CONCATENATE("#Metadata!", ADDRESS(INDEX($W$2:$W$1001,MATCH(ROWS($U$2:U245),$U$2:$U$1001,0),0), INDEX($AB$1004:$AQ$1004,1,MATCH(COLUMNS($AB$1006:AD1006),$AB$1006:$AQ$1006,0)))),"Fix")))</f>
        <v>0</v>
      </c>
      <c r="E245" s="5">
        <f>IF(OR(INDEX($V$2:$V$1001,MATCH(ROWS($U$2:U245),$U$2:$U$1001,0),1)&gt;=100000,INDEX($AB$1005:$AQ$1005,1,MATCH(COLUMNS($AB$1006:AE1006),$AB$1006:$AQ$1006,0))&gt;=100000), " ",IF(INDEX($AB$2:$AQ$1001,MATCH(ROWS($U$2:U245),$U$2:$U$1001,0),MATCH(COLUMNS($AB$1006:AE1006),$AB$1006:$AQ$1006,0)), HYPERLINK("#",""), HYPERLINK(CONCATENATE("#Metadata!", ADDRESS(INDEX($W$2:$W$1001,MATCH(ROWS($U$2:U245),$U$2:$U$1001,0),0), INDEX($AB$1004:$AQ$1004,1,MATCH(COLUMNS($AB$1006:AE1006),$AB$1006:$AQ$1006,0)))),"Fix")))</f>
        <v>0</v>
      </c>
      <c r="F245" s="5">
        <f>IF(OR(INDEX($V$2:$V$1001,MATCH(ROWS($U$2:U245),$U$2:$U$1001,0),1)&gt;=100000,INDEX($AB$1005:$AQ$1005,1,MATCH(COLUMNS($AB$1006:AF1006),$AB$1006:$AQ$1006,0))&gt;=100000), " ",IF(INDEX($AB$2:$AQ$1001,MATCH(ROWS($U$2:U245),$U$2:$U$1001,0),MATCH(COLUMNS($AB$1006:AF1006),$AB$1006:$AQ$1006,0)), HYPERLINK("#",""), HYPERLINK(CONCATENATE("#Metadata!", ADDRESS(INDEX($W$2:$W$1001,MATCH(ROWS($U$2:U245),$U$2:$U$1001,0),0), INDEX($AB$1004:$AQ$1004,1,MATCH(COLUMNS($AB$1006:AF1006),$AB$1006:$AQ$1006,0)))),"Fix")))</f>
        <v>0</v>
      </c>
      <c r="G245" s="5">
        <f>IF(OR(INDEX($V$2:$V$1001,MATCH(ROWS($U$2:U245),$U$2:$U$1001,0),1)&gt;=100000,INDEX($AB$1005:$AQ$1005,1,MATCH(COLUMNS($AB$1006:AG1006),$AB$1006:$AQ$1006,0))&gt;=100000), " ",IF(INDEX($AB$2:$AQ$1001,MATCH(ROWS($U$2:U245),$U$2:$U$1001,0),MATCH(COLUMNS($AB$1006:AG1006),$AB$1006:$AQ$1006,0)), HYPERLINK("#",""), HYPERLINK(CONCATENATE("#Metadata!", ADDRESS(INDEX($W$2:$W$1001,MATCH(ROWS($U$2:U245),$U$2:$U$1001,0),0), INDEX($AB$1004:$AQ$1004,1,MATCH(COLUMNS($AB$1006:AG1006),$AB$1006:$AQ$1006,0)))),"Fix")))</f>
        <v>0</v>
      </c>
      <c r="H245" s="5">
        <f>IF(OR(INDEX($V$2:$V$1001,MATCH(ROWS($U$2:U245),$U$2:$U$1001,0),1)&gt;=100000,INDEX($AB$1005:$AQ$1005,1,MATCH(COLUMNS($AB$1006:AH1006),$AB$1006:$AQ$1006,0))&gt;=100000), " ",IF(INDEX($AB$2:$AQ$1001,MATCH(ROWS($U$2:U245),$U$2:$U$1001,0),MATCH(COLUMNS($AB$1006:AH1006),$AB$1006:$AQ$1006,0)), HYPERLINK("#",""), HYPERLINK(CONCATENATE("#Metadata!", ADDRESS(INDEX($W$2:$W$1001,MATCH(ROWS($U$2:U245),$U$2:$U$1001,0),0), INDEX($AB$1004:$AQ$1004,1,MATCH(COLUMNS($AB$1006:AH1006),$AB$1006:$AQ$1006,0)))),"Fix")))</f>
        <v>0</v>
      </c>
      <c r="I245" s="5">
        <f>IF(OR(INDEX($V$2:$V$1001,MATCH(ROWS($U$2:U245),$U$2:$U$1001,0),1)&gt;=100000,INDEX($AB$1005:$AQ$1005,1,MATCH(COLUMNS($AB$1006:AI1006),$AB$1006:$AQ$1006,0))&gt;=100000), " ",IF(INDEX($AB$2:$AQ$1001,MATCH(ROWS($U$2:U245),$U$2:$U$1001,0),MATCH(COLUMNS($AB$1006:AI1006),$AB$1006:$AQ$1006,0)), HYPERLINK("#",""), HYPERLINK(CONCATENATE("#Metadata!", ADDRESS(INDEX($W$2:$W$1001,MATCH(ROWS($U$2:U245),$U$2:$U$1001,0),0), INDEX($AB$1004:$AQ$1004,1,MATCH(COLUMNS($AB$1006:AI1006),$AB$1006:$AQ$1006,0)))),"Fix")))</f>
        <v>0</v>
      </c>
      <c r="J245" s="5">
        <f>IF(OR(INDEX($V$2:$V$1001,MATCH(ROWS($U$2:U245),$U$2:$U$1001,0),1)&gt;=100000,INDEX($AB$1005:$AQ$1005,1,MATCH(COLUMNS($AB$1006:AJ1006),$AB$1006:$AQ$1006,0))&gt;=100000), " ",IF(INDEX($AB$2:$AQ$1001,MATCH(ROWS($U$2:U245),$U$2:$U$1001,0),MATCH(COLUMNS($AB$1006:AJ1006),$AB$1006:$AQ$1006,0)), HYPERLINK("#",""), HYPERLINK(CONCATENATE("#Metadata!", ADDRESS(INDEX($W$2:$W$1001,MATCH(ROWS($U$2:U245),$U$2:$U$1001,0),0), INDEX($AB$1004:$AQ$1004,1,MATCH(COLUMNS($AB$1006:AJ1006),$AB$1006:$AQ$1006,0)))),"Fix")))</f>
        <v>0</v>
      </c>
      <c r="K245" s="5">
        <f>IF(OR(INDEX($V$2:$V$1001,MATCH(ROWS($U$2:U245),$U$2:$U$1001,0),1)&gt;=100000,INDEX($AB$1005:$AQ$1005,1,MATCH(COLUMNS($AB$1006:AK1006),$AB$1006:$AQ$1006,0))&gt;=100000), " ",IF(INDEX($AB$2:$AQ$1001,MATCH(ROWS($U$2:U245),$U$2:$U$1001,0),MATCH(COLUMNS($AB$1006:AK1006),$AB$1006:$AQ$1006,0)), HYPERLINK("#",""), HYPERLINK(CONCATENATE("#Metadata!", ADDRESS(INDEX($W$2:$W$1001,MATCH(ROWS($U$2:U245),$U$2:$U$1001,0),0), INDEX($AB$1004:$AQ$1004,1,MATCH(COLUMNS($AB$1006:AK1006),$AB$1006:$AQ$1006,0)))),"Fix")))</f>
        <v>0</v>
      </c>
      <c r="L245" s="5">
        <f>IF(OR(INDEX($V$2:$V$1001,MATCH(ROWS($U$2:U245),$U$2:$U$1001,0),1)&gt;=100000,INDEX($AB$1005:$AQ$1005,1,MATCH(COLUMNS($AB$1006:AL1006),$AB$1006:$AQ$1006,0))&gt;=100000), " ",IF(INDEX($AB$2:$AQ$1001,MATCH(ROWS($U$2:U245),$U$2:$U$1001,0),MATCH(COLUMNS($AB$1006:AL1006),$AB$1006:$AQ$1006,0)), HYPERLINK("#",""), HYPERLINK(CONCATENATE("#Metadata!", ADDRESS(INDEX($W$2:$W$1001,MATCH(ROWS($U$2:U245),$U$2:$U$1001,0),0), INDEX($AB$1004:$AQ$1004,1,MATCH(COLUMNS($AB$1006:AL1006),$AB$1006:$AQ$1006,0)))),"Fix")))</f>
        <v>0</v>
      </c>
      <c r="M245" s="5">
        <f>IF(OR(INDEX($V$2:$V$1001,MATCH(ROWS($U$2:U245),$U$2:$U$1001,0),1)&gt;=100000,INDEX($AB$1005:$AQ$1005,1,MATCH(COLUMNS($AB$1006:AM1006),$AB$1006:$AQ$1006,0))&gt;=100000), " ",IF(INDEX($AB$2:$AQ$1001,MATCH(ROWS($U$2:U245),$U$2:$U$1001,0),MATCH(COLUMNS($AB$1006:AM1006),$AB$1006:$AQ$1006,0)), HYPERLINK("#",""), HYPERLINK(CONCATENATE("#Metadata!", ADDRESS(INDEX($W$2:$W$1001,MATCH(ROWS($U$2:U245),$U$2:$U$1001,0),0), INDEX($AB$1004:$AQ$1004,1,MATCH(COLUMNS($AB$1006:AM1006),$AB$1006:$AQ$1006,0)))),"Fix")))</f>
        <v>0</v>
      </c>
      <c r="N245" s="5">
        <f>IF(OR(INDEX($V$2:$V$1001,MATCH(ROWS($U$2:U245),$U$2:$U$1001,0),1)&gt;=100000,INDEX($AB$1005:$AQ$1005,1,MATCH(COLUMNS($AB$1006:AN1006),$AB$1006:$AQ$1006,0))&gt;=100000), " ",IF(INDEX($AB$2:$AQ$1001,MATCH(ROWS($U$2:U245),$U$2:$U$1001,0),MATCH(COLUMNS($AB$1006:AN1006),$AB$1006:$AQ$1006,0)), HYPERLINK("#",""), HYPERLINK(CONCATENATE("#Metadata!", ADDRESS(INDEX($W$2:$W$1001,MATCH(ROWS($U$2:U245),$U$2:$U$1001,0),0), INDEX($AB$1004:$AQ$1004,1,MATCH(COLUMNS($AB$1006:AN1006),$AB$1006:$AQ$1006,0)))),"Fix")))</f>
        <v>0</v>
      </c>
      <c r="O245" s="5">
        <f>IF(OR(INDEX($V$2:$V$1001,MATCH(ROWS($U$2:U245),$U$2:$U$1001,0),1)&gt;=100000,INDEX($AB$1005:$AQ$1005,1,MATCH(COLUMNS($AB$1006:AO1006),$AB$1006:$AQ$1006,0))&gt;=100000), " ",IF(INDEX($AB$2:$AQ$1001,MATCH(ROWS($U$2:U245),$U$2:$U$1001,0),MATCH(COLUMNS($AB$1006:AO1006),$AB$1006:$AQ$1006,0)), HYPERLINK("#",""), HYPERLINK(CONCATENATE("#Metadata!", ADDRESS(INDEX($W$2:$W$1001,MATCH(ROWS($U$2:U245),$U$2:$U$1001,0),0), INDEX($AB$1004:$AQ$1004,1,MATCH(COLUMNS($AB$1006:AO1006),$AB$1006:$AQ$1006,0)))),"Fix")))</f>
        <v>0</v>
      </c>
      <c r="P245" s="5">
        <f>IF(OR(INDEX($V$2:$V$1001,MATCH(ROWS($U$2:U245),$U$2:$U$1001,0),1)&gt;=100000,INDEX($AB$1005:$AQ$1005,1,MATCH(COLUMNS($AB$1006:AP1006),$AB$1006:$AQ$1006,0))&gt;=100000), " ",IF(INDEX($AB$2:$AQ$1001,MATCH(ROWS($U$2:U245),$U$2:$U$1001,0),MATCH(COLUMNS($AB$1006:AP1006),$AB$1006:$AQ$1006,0)), HYPERLINK("#",""), HYPERLINK(CONCATENATE("#Metadata!", ADDRESS(INDEX($W$2:$W$1001,MATCH(ROWS($U$2:U245),$U$2:$U$1001,0),0), INDEX($AB$1004:$AQ$1004,1,MATCH(COLUMNS($AB$1006:AP1006),$AB$1006:$AQ$1006,0)))),"Fix")))</f>
        <v>0</v>
      </c>
      <c r="Q245" s="5">
        <f>IF(OR(INDEX($V$2:$V$1001,MATCH(ROWS($U$2:U245),$U$2:$U$1001,0),1)&gt;=100000,INDEX($AB$1005:$AQ$1005,1,MATCH(COLUMNS($AB$1006:AQ1006),$AB$1006:$AQ$1006,0))&gt;=100000), " ",IF(INDEX($AB$2:$AQ$1001,MATCH(ROWS($U$2:U245),$U$2:$U$1001,0),MATCH(COLUMNS($AB$1006:AQ1006),$AB$1006:$AQ$1006,0)), HYPERLINK("#",""), HYPERLINK(CONCATENATE("#Metadata!", ADDRESS(INDEX($W$2:$W$1001,MATCH(ROWS($U$2:U245),$U$2:$U$1001,0),0), INDEX($AB$1004:$AQ$1004,1,MATCH(COLUMNS($AB$1006:AQ1006),$AB$1006:$AQ$1006,0)))),"Fix")))</f>
        <v>0</v>
      </c>
      <c r="U245">
        <v>0</v>
      </c>
      <c r="V245">
        <v>0</v>
      </c>
      <c r="W245">
        <v>0</v>
      </c>
      <c r="X245">
        <f>IF(Y245,TRUE,AND(AB245:AQ245))</f>
        <v>0</v>
      </c>
      <c r="Y245">
        <f>COUNTBLANK(Metadata!B245:Q245)=COLUMNS(Metadata!B245:Q245)</f>
        <v>0</v>
      </c>
      <c r="Z245">
        <v>0</v>
      </c>
      <c r="AB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AC245">
        <f>AND(IF(Metadata!C245="",FALSE,TRUE),exact(Metadata!C245,"urban biome"))</f>
        <v>0</v>
      </c>
      <c r="AD245">
        <f>AND(IF(Metadata!D245="",FALSE,TRUE),exact(Metadata!D245,"human-associated habitat"))</f>
        <v>0</v>
      </c>
      <c r="AE245">
        <f>AND(IF(Metadata!E245="",FALSE,TRUE),OR(exact(Metadata!E245,"human-associated"),exact(Metadata!E245,"human-skin"),exact(Metadata!E245,"human-oral"),exact(Metadata!E245,"human-gut"),exact(Metadata!E245,"human-vaginal")))</f>
        <v>0</v>
      </c>
      <c r="AF245">
        <f>AND(IF(Metadata!F245="",FALSE,ISNUMBER(VALUE(Metadata!F245))),Metadata!F245&gt;0)</f>
        <v>0</v>
      </c>
      <c r="AG245">
        <f>AND(IF(Metadata!G245="",FALSE,TRUE),exact(Metadata!G245,"years"))</f>
        <v>0</v>
      </c>
      <c r="AH245">
        <f>OR(AND(IF(Metadata!H245="",FALSE,TRUE),OR(exact(Metadata!H245,"not applicable"),exact(Metadata!H245,"not collected"),exact(Metadata!H245,"not provided"),exact(Metadata!H245,"restricted access"))),AND(IF(Metadata!H245="",FALSE,ISNUMBER(VALUE(Metadata!H245))),Metadata!H245&gt;0))</f>
        <v>0</v>
      </c>
      <c r="AI245">
        <f>AND(IF(Metadata!I245="",FALSE,TRUE),exact(Metadata!I245,"human"))</f>
        <v>0</v>
      </c>
      <c r="AJ245">
        <f>AND(IF(Metadata!J245="",FALSE,ISNUMBER(VALUE(Metadata!J245))),Metadata!J245&gt;0)</f>
        <v>0</v>
      </c>
      <c r="AK245">
        <f>AND(IF(Metadata!K245="",FALSE,TRUE),exact(Metadata!K245,"cm"))</f>
        <v>0</v>
      </c>
      <c r="AL245">
        <f>AND(IF(Metadata!L245="",FALSE,TRUE),exact(Metadata!L245,"Homo sapiens"))</f>
        <v>0</v>
      </c>
      <c r="AM245">
        <f>AND(IF(Metadata!M245="",FALSE,TRUE),exact(Metadata!M245,"9606"))</f>
        <v>0</v>
      </c>
      <c r="AN245">
        <f>AND(IF(Metadata!N245="",FALSE,ISNUMBER(VALUE(Metadata!N245))),Metadata!N245&gt;0)</f>
        <v>0</v>
      </c>
      <c r="AO245">
        <f>AND(IF(Metadata!O245="",FALSE,TRUE),exact(Metadata!O245,"kg"))</f>
        <v>0</v>
      </c>
      <c r="AP245">
        <f>OR(AND(IF(Metadata!P245="",FALSE,TRUE),exact(Metadata!P245,"not provided")),IF(Metadata!P245="",FALSE,TRUE))</f>
        <v>0</v>
      </c>
      <c r="AQ245">
        <f>OR(AND(IF(Metadata!Q245="",FALSE,TRUE),exact(Metadata!Q245,"not provided")),IF(Metadata!Q245="",FALSE,TRUE))</f>
        <v>0</v>
      </c>
    </row>
    <row r="246" spans="1:43">
      <c r="A246" s="4">
        <f>IF(B246=" "," ",HYPERLINK(CONCATENATE("#metadata!",ADDRESS(INDEX($W$2:$W$1001,MATCH(ROWS($U$2:U246),$U$2:$U$1001,0),0),2)),INDEX($Z$2:$Z$1001,MATCH(ROWS($U$2:U246),$U$2:$U$1001,0),0)))</f>
        <v>0</v>
      </c>
      <c r="B246" s="5">
        <f>IF(OR(INDEX($V$2:$V$1001,MATCH(ROWS($U$2:U246),$U$2:$U$1001,0),1)&gt;=100000,INDEX($AB$1005:$AQ$1005,1,MATCH(COLUMNS($AB$1006:AB1006),$AB$1006:$AQ$1006,0))&gt;=100000), " ",IF(INDEX($AB$2:$AQ$1001,MATCH(ROWS($U$2:U246),$U$2:$U$1001,0),MATCH(COLUMNS($AB$1006:AB1006),$AB$1006:$AQ$1006,0)), HYPERLINK("#",""), HYPERLINK(CONCATENATE("#Metadata!", ADDRESS(INDEX($W$2:$W$1001,MATCH(ROWS($U$2:U246),$U$2:$U$1001,0),0), INDEX($AB$1004:$AQ$1004,1,MATCH(COLUMNS($AB$1006:AB1006),$AB$1006:$AQ$1006,0)))),"Fix")))</f>
        <v>0</v>
      </c>
      <c r="C246" s="5">
        <f>IF(OR(INDEX($V$2:$V$1001,MATCH(ROWS($U$2:U246),$U$2:$U$1001,0),1)&gt;=100000,INDEX($AB$1005:$AQ$1005,1,MATCH(COLUMNS($AB$1006:AC1006),$AB$1006:$AQ$1006,0))&gt;=100000), " ",IF(INDEX($AB$2:$AQ$1001,MATCH(ROWS($U$2:U246),$U$2:$U$1001,0),MATCH(COLUMNS($AB$1006:AC1006),$AB$1006:$AQ$1006,0)), HYPERLINK("#",""), HYPERLINK(CONCATENATE("#Metadata!", ADDRESS(INDEX($W$2:$W$1001,MATCH(ROWS($U$2:U246),$U$2:$U$1001,0),0), INDEX($AB$1004:$AQ$1004,1,MATCH(COLUMNS($AB$1006:AC1006),$AB$1006:$AQ$1006,0)))),"Fix")))</f>
        <v>0</v>
      </c>
      <c r="D246" s="5">
        <f>IF(OR(INDEX($V$2:$V$1001,MATCH(ROWS($U$2:U246),$U$2:$U$1001,0),1)&gt;=100000,INDEX($AB$1005:$AQ$1005,1,MATCH(COLUMNS($AB$1006:AD1006),$AB$1006:$AQ$1006,0))&gt;=100000), " ",IF(INDEX($AB$2:$AQ$1001,MATCH(ROWS($U$2:U246),$U$2:$U$1001,0),MATCH(COLUMNS($AB$1006:AD1006),$AB$1006:$AQ$1006,0)), HYPERLINK("#",""), HYPERLINK(CONCATENATE("#Metadata!", ADDRESS(INDEX($W$2:$W$1001,MATCH(ROWS($U$2:U246),$U$2:$U$1001,0),0), INDEX($AB$1004:$AQ$1004,1,MATCH(COLUMNS($AB$1006:AD1006),$AB$1006:$AQ$1006,0)))),"Fix")))</f>
        <v>0</v>
      </c>
      <c r="E246" s="5">
        <f>IF(OR(INDEX($V$2:$V$1001,MATCH(ROWS($U$2:U246),$U$2:$U$1001,0),1)&gt;=100000,INDEX($AB$1005:$AQ$1005,1,MATCH(COLUMNS($AB$1006:AE1006),$AB$1006:$AQ$1006,0))&gt;=100000), " ",IF(INDEX($AB$2:$AQ$1001,MATCH(ROWS($U$2:U246),$U$2:$U$1001,0),MATCH(COLUMNS($AB$1006:AE1006),$AB$1006:$AQ$1006,0)), HYPERLINK("#",""), HYPERLINK(CONCATENATE("#Metadata!", ADDRESS(INDEX($W$2:$W$1001,MATCH(ROWS($U$2:U246),$U$2:$U$1001,0),0), INDEX($AB$1004:$AQ$1004,1,MATCH(COLUMNS($AB$1006:AE1006),$AB$1006:$AQ$1006,0)))),"Fix")))</f>
        <v>0</v>
      </c>
      <c r="F246" s="5">
        <f>IF(OR(INDEX($V$2:$V$1001,MATCH(ROWS($U$2:U246),$U$2:$U$1001,0),1)&gt;=100000,INDEX($AB$1005:$AQ$1005,1,MATCH(COLUMNS($AB$1006:AF1006),$AB$1006:$AQ$1006,0))&gt;=100000), " ",IF(INDEX($AB$2:$AQ$1001,MATCH(ROWS($U$2:U246),$U$2:$U$1001,0),MATCH(COLUMNS($AB$1006:AF1006),$AB$1006:$AQ$1006,0)), HYPERLINK("#",""), HYPERLINK(CONCATENATE("#Metadata!", ADDRESS(INDEX($W$2:$W$1001,MATCH(ROWS($U$2:U246),$U$2:$U$1001,0),0), INDEX($AB$1004:$AQ$1004,1,MATCH(COLUMNS($AB$1006:AF1006),$AB$1006:$AQ$1006,0)))),"Fix")))</f>
        <v>0</v>
      </c>
      <c r="G246" s="5">
        <f>IF(OR(INDEX($V$2:$V$1001,MATCH(ROWS($U$2:U246),$U$2:$U$1001,0),1)&gt;=100000,INDEX($AB$1005:$AQ$1005,1,MATCH(COLUMNS($AB$1006:AG1006),$AB$1006:$AQ$1006,0))&gt;=100000), " ",IF(INDEX($AB$2:$AQ$1001,MATCH(ROWS($U$2:U246),$U$2:$U$1001,0),MATCH(COLUMNS($AB$1006:AG1006),$AB$1006:$AQ$1006,0)), HYPERLINK("#",""), HYPERLINK(CONCATENATE("#Metadata!", ADDRESS(INDEX($W$2:$W$1001,MATCH(ROWS($U$2:U246),$U$2:$U$1001,0),0), INDEX($AB$1004:$AQ$1004,1,MATCH(COLUMNS($AB$1006:AG1006),$AB$1006:$AQ$1006,0)))),"Fix")))</f>
        <v>0</v>
      </c>
      <c r="H246" s="5">
        <f>IF(OR(INDEX($V$2:$V$1001,MATCH(ROWS($U$2:U246),$U$2:$U$1001,0),1)&gt;=100000,INDEX($AB$1005:$AQ$1005,1,MATCH(COLUMNS($AB$1006:AH1006),$AB$1006:$AQ$1006,0))&gt;=100000), " ",IF(INDEX($AB$2:$AQ$1001,MATCH(ROWS($U$2:U246),$U$2:$U$1001,0),MATCH(COLUMNS($AB$1006:AH1006),$AB$1006:$AQ$1006,0)), HYPERLINK("#",""), HYPERLINK(CONCATENATE("#Metadata!", ADDRESS(INDEX($W$2:$W$1001,MATCH(ROWS($U$2:U246),$U$2:$U$1001,0),0), INDEX($AB$1004:$AQ$1004,1,MATCH(COLUMNS($AB$1006:AH1006),$AB$1006:$AQ$1006,0)))),"Fix")))</f>
        <v>0</v>
      </c>
      <c r="I246" s="5">
        <f>IF(OR(INDEX($V$2:$V$1001,MATCH(ROWS($U$2:U246),$U$2:$U$1001,0),1)&gt;=100000,INDEX($AB$1005:$AQ$1005,1,MATCH(COLUMNS($AB$1006:AI1006),$AB$1006:$AQ$1006,0))&gt;=100000), " ",IF(INDEX($AB$2:$AQ$1001,MATCH(ROWS($U$2:U246),$U$2:$U$1001,0),MATCH(COLUMNS($AB$1006:AI1006),$AB$1006:$AQ$1006,0)), HYPERLINK("#",""), HYPERLINK(CONCATENATE("#Metadata!", ADDRESS(INDEX($W$2:$W$1001,MATCH(ROWS($U$2:U246),$U$2:$U$1001,0),0), INDEX($AB$1004:$AQ$1004,1,MATCH(COLUMNS($AB$1006:AI1006),$AB$1006:$AQ$1006,0)))),"Fix")))</f>
        <v>0</v>
      </c>
      <c r="J246" s="5">
        <f>IF(OR(INDEX($V$2:$V$1001,MATCH(ROWS($U$2:U246),$U$2:$U$1001,0),1)&gt;=100000,INDEX($AB$1005:$AQ$1005,1,MATCH(COLUMNS($AB$1006:AJ1006),$AB$1006:$AQ$1006,0))&gt;=100000), " ",IF(INDEX($AB$2:$AQ$1001,MATCH(ROWS($U$2:U246),$U$2:$U$1001,0),MATCH(COLUMNS($AB$1006:AJ1006),$AB$1006:$AQ$1006,0)), HYPERLINK("#",""), HYPERLINK(CONCATENATE("#Metadata!", ADDRESS(INDEX($W$2:$W$1001,MATCH(ROWS($U$2:U246),$U$2:$U$1001,0),0), INDEX($AB$1004:$AQ$1004,1,MATCH(COLUMNS($AB$1006:AJ1006),$AB$1006:$AQ$1006,0)))),"Fix")))</f>
        <v>0</v>
      </c>
      <c r="K246" s="5">
        <f>IF(OR(INDEX($V$2:$V$1001,MATCH(ROWS($U$2:U246),$U$2:$U$1001,0),1)&gt;=100000,INDEX($AB$1005:$AQ$1005,1,MATCH(COLUMNS($AB$1006:AK1006),$AB$1006:$AQ$1006,0))&gt;=100000), " ",IF(INDEX($AB$2:$AQ$1001,MATCH(ROWS($U$2:U246),$U$2:$U$1001,0),MATCH(COLUMNS($AB$1006:AK1006),$AB$1006:$AQ$1006,0)), HYPERLINK("#",""), HYPERLINK(CONCATENATE("#Metadata!", ADDRESS(INDEX($W$2:$W$1001,MATCH(ROWS($U$2:U246),$U$2:$U$1001,0),0), INDEX($AB$1004:$AQ$1004,1,MATCH(COLUMNS($AB$1006:AK1006),$AB$1006:$AQ$1006,0)))),"Fix")))</f>
        <v>0</v>
      </c>
      <c r="L246" s="5">
        <f>IF(OR(INDEX($V$2:$V$1001,MATCH(ROWS($U$2:U246),$U$2:$U$1001,0),1)&gt;=100000,INDEX($AB$1005:$AQ$1005,1,MATCH(COLUMNS($AB$1006:AL1006),$AB$1006:$AQ$1006,0))&gt;=100000), " ",IF(INDEX($AB$2:$AQ$1001,MATCH(ROWS($U$2:U246),$U$2:$U$1001,0),MATCH(COLUMNS($AB$1006:AL1006),$AB$1006:$AQ$1006,0)), HYPERLINK("#",""), HYPERLINK(CONCATENATE("#Metadata!", ADDRESS(INDEX($W$2:$W$1001,MATCH(ROWS($U$2:U246),$U$2:$U$1001,0),0), INDEX($AB$1004:$AQ$1004,1,MATCH(COLUMNS($AB$1006:AL1006),$AB$1006:$AQ$1006,0)))),"Fix")))</f>
        <v>0</v>
      </c>
      <c r="M246" s="5">
        <f>IF(OR(INDEX($V$2:$V$1001,MATCH(ROWS($U$2:U246),$U$2:$U$1001,0),1)&gt;=100000,INDEX($AB$1005:$AQ$1005,1,MATCH(COLUMNS($AB$1006:AM1006),$AB$1006:$AQ$1006,0))&gt;=100000), " ",IF(INDEX($AB$2:$AQ$1001,MATCH(ROWS($U$2:U246),$U$2:$U$1001,0),MATCH(COLUMNS($AB$1006:AM1006),$AB$1006:$AQ$1006,0)), HYPERLINK("#",""), HYPERLINK(CONCATENATE("#Metadata!", ADDRESS(INDEX($W$2:$W$1001,MATCH(ROWS($U$2:U246),$U$2:$U$1001,0),0), INDEX($AB$1004:$AQ$1004,1,MATCH(COLUMNS($AB$1006:AM1006),$AB$1006:$AQ$1006,0)))),"Fix")))</f>
        <v>0</v>
      </c>
      <c r="N246" s="5">
        <f>IF(OR(INDEX($V$2:$V$1001,MATCH(ROWS($U$2:U246),$U$2:$U$1001,0),1)&gt;=100000,INDEX($AB$1005:$AQ$1005,1,MATCH(COLUMNS($AB$1006:AN1006),$AB$1006:$AQ$1006,0))&gt;=100000), " ",IF(INDEX($AB$2:$AQ$1001,MATCH(ROWS($U$2:U246),$U$2:$U$1001,0),MATCH(COLUMNS($AB$1006:AN1006),$AB$1006:$AQ$1006,0)), HYPERLINK("#",""), HYPERLINK(CONCATENATE("#Metadata!", ADDRESS(INDEX($W$2:$W$1001,MATCH(ROWS($U$2:U246),$U$2:$U$1001,0),0), INDEX($AB$1004:$AQ$1004,1,MATCH(COLUMNS($AB$1006:AN1006),$AB$1006:$AQ$1006,0)))),"Fix")))</f>
        <v>0</v>
      </c>
      <c r="O246" s="5">
        <f>IF(OR(INDEX($V$2:$V$1001,MATCH(ROWS($U$2:U246),$U$2:$U$1001,0),1)&gt;=100000,INDEX($AB$1005:$AQ$1005,1,MATCH(COLUMNS($AB$1006:AO1006),$AB$1006:$AQ$1006,0))&gt;=100000), " ",IF(INDEX($AB$2:$AQ$1001,MATCH(ROWS($U$2:U246),$U$2:$U$1001,0),MATCH(COLUMNS($AB$1006:AO1006),$AB$1006:$AQ$1006,0)), HYPERLINK("#",""), HYPERLINK(CONCATENATE("#Metadata!", ADDRESS(INDEX($W$2:$W$1001,MATCH(ROWS($U$2:U246),$U$2:$U$1001,0),0), INDEX($AB$1004:$AQ$1004,1,MATCH(COLUMNS($AB$1006:AO1006),$AB$1006:$AQ$1006,0)))),"Fix")))</f>
        <v>0</v>
      </c>
      <c r="P246" s="5">
        <f>IF(OR(INDEX($V$2:$V$1001,MATCH(ROWS($U$2:U246),$U$2:$U$1001,0),1)&gt;=100000,INDEX($AB$1005:$AQ$1005,1,MATCH(COLUMNS($AB$1006:AP1006),$AB$1006:$AQ$1006,0))&gt;=100000), " ",IF(INDEX($AB$2:$AQ$1001,MATCH(ROWS($U$2:U246),$U$2:$U$1001,0),MATCH(COLUMNS($AB$1006:AP1006),$AB$1006:$AQ$1006,0)), HYPERLINK("#",""), HYPERLINK(CONCATENATE("#Metadata!", ADDRESS(INDEX($W$2:$W$1001,MATCH(ROWS($U$2:U246),$U$2:$U$1001,0),0), INDEX($AB$1004:$AQ$1004,1,MATCH(COLUMNS($AB$1006:AP1006),$AB$1006:$AQ$1006,0)))),"Fix")))</f>
        <v>0</v>
      </c>
      <c r="Q246" s="5">
        <f>IF(OR(INDEX($V$2:$V$1001,MATCH(ROWS($U$2:U246),$U$2:$U$1001,0),1)&gt;=100000,INDEX($AB$1005:$AQ$1005,1,MATCH(COLUMNS($AB$1006:AQ1006),$AB$1006:$AQ$1006,0))&gt;=100000), " ",IF(INDEX($AB$2:$AQ$1001,MATCH(ROWS($U$2:U246),$U$2:$U$1001,0),MATCH(COLUMNS($AB$1006:AQ1006),$AB$1006:$AQ$1006,0)), HYPERLINK("#",""), HYPERLINK(CONCATENATE("#Metadata!", ADDRESS(INDEX($W$2:$W$1001,MATCH(ROWS($U$2:U246),$U$2:$U$1001,0),0), INDEX($AB$1004:$AQ$1004,1,MATCH(COLUMNS($AB$1006:AQ1006),$AB$1006:$AQ$1006,0)))),"Fix")))</f>
        <v>0</v>
      </c>
      <c r="U246">
        <v>0</v>
      </c>
      <c r="V246">
        <v>0</v>
      </c>
      <c r="W246">
        <v>0</v>
      </c>
      <c r="X246">
        <f>IF(Y246,TRUE,AND(AB246:AQ246))</f>
        <v>0</v>
      </c>
      <c r="Y246">
        <f>COUNTBLANK(Metadata!B246:Q246)=COLUMNS(Metadata!B246:Q246)</f>
        <v>0</v>
      </c>
      <c r="Z246">
        <v>0</v>
      </c>
      <c r="AB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AC246">
        <f>AND(IF(Metadata!C246="",FALSE,TRUE),exact(Metadata!C246,"urban biome"))</f>
        <v>0</v>
      </c>
      <c r="AD246">
        <f>AND(IF(Metadata!D246="",FALSE,TRUE),exact(Metadata!D246,"human-associated habitat"))</f>
        <v>0</v>
      </c>
      <c r="AE246">
        <f>AND(IF(Metadata!E246="",FALSE,TRUE),OR(exact(Metadata!E246,"human-associated"),exact(Metadata!E246,"human-skin"),exact(Metadata!E246,"human-oral"),exact(Metadata!E246,"human-gut"),exact(Metadata!E246,"human-vaginal")))</f>
        <v>0</v>
      </c>
      <c r="AF246">
        <f>AND(IF(Metadata!F246="",FALSE,ISNUMBER(VALUE(Metadata!F246))),Metadata!F246&gt;0)</f>
        <v>0</v>
      </c>
      <c r="AG246">
        <f>AND(IF(Metadata!G246="",FALSE,TRUE),exact(Metadata!G246,"years"))</f>
        <v>0</v>
      </c>
      <c r="AH246">
        <f>OR(AND(IF(Metadata!H246="",FALSE,TRUE),OR(exact(Metadata!H246,"not applicable"),exact(Metadata!H246,"not collected"),exact(Metadata!H246,"not provided"),exact(Metadata!H246,"restricted access"))),AND(IF(Metadata!H246="",FALSE,ISNUMBER(VALUE(Metadata!H246))),Metadata!H246&gt;0))</f>
        <v>0</v>
      </c>
      <c r="AI246">
        <f>AND(IF(Metadata!I246="",FALSE,TRUE),exact(Metadata!I246,"human"))</f>
        <v>0</v>
      </c>
      <c r="AJ246">
        <f>AND(IF(Metadata!J246="",FALSE,ISNUMBER(VALUE(Metadata!J246))),Metadata!J246&gt;0)</f>
        <v>0</v>
      </c>
      <c r="AK246">
        <f>AND(IF(Metadata!K246="",FALSE,TRUE),exact(Metadata!K246,"cm"))</f>
        <v>0</v>
      </c>
      <c r="AL246">
        <f>AND(IF(Metadata!L246="",FALSE,TRUE),exact(Metadata!L246,"Homo sapiens"))</f>
        <v>0</v>
      </c>
      <c r="AM246">
        <f>AND(IF(Metadata!M246="",FALSE,TRUE),exact(Metadata!M246,"9606"))</f>
        <v>0</v>
      </c>
      <c r="AN246">
        <f>AND(IF(Metadata!N246="",FALSE,ISNUMBER(VALUE(Metadata!N246))),Metadata!N246&gt;0)</f>
        <v>0</v>
      </c>
      <c r="AO246">
        <f>AND(IF(Metadata!O246="",FALSE,TRUE),exact(Metadata!O246,"kg"))</f>
        <v>0</v>
      </c>
      <c r="AP246">
        <f>OR(AND(IF(Metadata!P246="",FALSE,TRUE),exact(Metadata!P246,"not provided")),IF(Metadata!P246="",FALSE,TRUE))</f>
        <v>0</v>
      </c>
      <c r="AQ246">
        <f>OR(AND(IF(Metadata!Q246="",FALSE,TRUE),exact(Metadata!Q246,"not provided")),IF(Metadata!Q246="",FALSE,TRUE))</f>
        <v>0</v>
      </c>
    </row>
    <row r="247" spans="1:43">
      <c r="A247" s="4">
        <f>IF(B247=" "," ",HYPERLINK(CONCATENATE("#metadata!",ADDRESS(INDEX($W$2:$W$1001,MATCH(ROWS($U$2:U247),$U$2:$U$1001,0),0),2)),INDEX($Z$2:$Z$1001,MATCH(ROWS($U$2:U247),$U$2:$U$1001,0),0)))</f>
        <v>0</v>
      </c>
      <c r="B247" s="5">
        <f>IF(OR(INDEX($V$2:$V$1001,MATCH(ROWS($U$2:U247),$U$2:$U$1001,0),1)&gt;=100000,INDEX($AB$1005:$AQ$1005,1,MATCH(COLUMNS($AB$1006:AB1006),$AB$1006:$AQ$1006,0))&gt;=100000), " ",IF(INDEX($AB$2:$AQ$1001,MATCH(ROWS($U$2:U247),$U$2:$U$1001,0),MATCH(COLUMNS($AB$1006:AB1006),$AB$1006:$AQ$1006,0)), HYPERLINK("#",""), HYPERLINK(CONCATENATE("#Metadata!", ADDRESS(INDEX($W$2:$W$1001,MATCH(ROWS($U$2:U247),$U$2:$U$1001,0),0), INDEX($AB$1004:$AQ$1004,1,MATCH(COLUMNS($AB$1006:AB1006),$AB$1006:$AQ$1006,0)))),"Fix")))</f>
        <v>0</v>
      </c>
      <c r="C247" s="5">
        <f>IF(OR(INDEX($V$2:$V$1001,MATCH(ROWS($U$2:U247),$U$2:$U$1001,0),1)&gt;=100000,INDEX($AB$1005:$AQ$1005,1,MATCH(COLUMNS($AB$1006:AC1006),$AB$1006:$AQ$1006,0))&gt;=100000), " ",IF(INDEX($AB$2:$AQ$1001,MATCH(ROWS($U$2:U247),$U$2:$U$1001,0),MATCH(COLUMNS($AB$1006:AC1006),$AB$1006:$AQ$1006,0)), HYPERLINK("#",""), HYPERLINK(CONCATENATE("#Metadata!", ADDRESS(INDEX($W$2:$W$1001,MATCH(ROWS($U$2:U247),$U$2:$U$1001,0),0), INDEX($AB$1004:$AQ$1004,1,MATCH(COLUMNS($AB$1006:AC1006),$AB$1006:$AQ$1006,0)))),"Fix")))</f>
        <v>0</v>
      </c>
      <c r="D247" s="5">
        <f>IF(OR(INDEX($V$2:$V$1001,MATCH(ROWS($U$2:U247),$U$2:$U$1001,0),1)&gt;=100000,INDEX($AB$1005:$AQ$1005,1,MATCH(COLUMNS($AB$1006:AD1006),$AB$1006:$AQ$1006,0))&gt;=100000), " ",IF(INDEX($AB$2:$AQ$1001,MATCH(ROWS($U$2:U247),$U$2:$U$1001,0),MATCH(COLUMNS($AB$1006:AD1006),$AB$1006:$AQ$1006,0)), HYPERLINK("#",""), HYPERLINK(CONCATENATE("#Metadata!", ADDRESS(INDEX($W$2:$W$1001,MATCH(ROWS($U$2:U247),$U$2:$U$1001,0),0), INDEX($AB$1004:$AQ$1004,1,MATCH(COLUMNS($AB$1006:AD1006),$AB$1006:$AQ$1006,0)))),"Fix")))</f>
        <v>0</v>
      </c>
      <c r="E247" s="5">
        <f>IF(OR(INDEX($V$2:$V$1001,MATCH(ROWS($U$2:U247),$U$2:$U$1001,0),1)&gt;=100000,INDEX($AB$1005:$AQ$1005,1,MATCH(COLUMNS($AB$1006:AE1006),$AB$1006:$AQ$1006,0))&gt;=100000), " ",IF(INDEX($AB$2:$AQ$1001,MATCH(ROWS($U$2:U247),$U$2:$U$1001,0),MATCH(COLUMNS($AB$1006:AE1006),$AB$1006:$AQ$1006,0)), HYPERLINK("#",""), HYPERLINK(CONCATENATE("#Metadata!", ADDRESS(INDEX($W$2:$W$1001,MATCH(ROWS($U$2:U247),$U$2:$U$1001,0),0), INDEX($AB$1004:$AQ$1004,1,MATCH(COLUMNS($AB$1006:AE1006),$AB$1006:$AQ$1006,0)))),"Fix")))</f>
        <v>0</v>
      </c>
      <c r="F247" s="5">
        <f>IF(OR(INDEX($V$2:$V$1001,MATCH(ROWS($U$2:U247),$U$2:$U$1001,0),1)&gt;=100000,INDEX($AB$1005:$AQ$1005,1,MATCH(COLUMNS($AB$1006:AF1006),$AB$1006:$AQ$1006,0))&gt;=100000), " ",IF(INDEX($AB$2:$AQ$1001,MATCH(ROWS($U$2:U247),$U$2:$U$1001,0),MATCH(COLUMNS($AB$1006:AF1006),$AB$1006:$AQ$1006,0)), HYPERLINK("#",""), HYPERLINK(CONCATENATE("#Metadata!", ADDRESS(INDEX($W$2:$W$1001,MATCH(ROWS($U$2:U247),$U$2:$U$1001,0),0), INDEX($AB$1004:$AQ$1004,1,MATCH(COLUMNS($AB$1006:AF1006),$AB$1006:$AQ$1006,0)))),"Fix")))</f>
        <v>0</v>
      </c>
      <c r="G247" s="5">
        <f>IF(OR(INDEX($V$2:$V$1001,MATCH(ROWS($U$2:U247),$U$2:$U$1001,0),1)&gt;=100000,INDEX($AB$1005:$AQ$1005,1,MATCH(COLUMNS($AB$1006:AG1006),$AB$1006:$AQ$1006,0))&gt;=100000), " ",IF(INDEX($AB$2:$AQ$1001,MATCH(ROWS($U$2:U247),$U$2:$U$1001,0),MATCH(COLUMNS($AB$1006:AG1006),$AB$1006:$AQ$1006,0)), HYPERLINK("#",""), HYPERLINK(CONCATENATE("#Metadata!", ADDRESS(INDEX($W$2:$W$1001,MATCH(ROWS($U$2:U247),$U$2:$U$1001,0),0), INDEX($AB$1004:$AQ$1004,1,MATCH(COLUMNS($AB$1006:AG1006),$AB$1006:$AQ$1006,0)))),"Fix")))</f>
        <v>0</v>
      </c>
      <c r="H247" s="5">
        <f>IF(OR(INDEX($V$2:$V$1001,MATCH(ROWS($U$2:U247),$U$2:$U$1001,0),1)&gt;=100000,INDEX($AB$1005:$AQ$1005,1,MATCH(COLUMNS($AB$1006:AH1006),$AB$1006:$AQ$1006,0))&gt;=100000), " ",IF(INDEX($AB$2:$AQ$1001,MATCH(ROWS($U$2:U247),$U$2:$U$1001,0),MATCH(COLUMNS($AB$1006:AH1006),$AB$1006:$AQ$1006,0)), HYPERLINK("#",""), HYPERLINK(CONCATENATE("#Metadata!", ADDRESS(INDEX($W$2:$W$1001,MATCH(ROWS($U$2:U247),$U$2:$U$1001,0),0), INDEX($AB$1004:$AQ$1004,1,MATCH(COLUMNS($AB$1006:AH1006),$AB$1006:$AQ$1006,0)))),"Fix")))</f>
        <v>0</v>
      </c>
      <c r="I247" s="5">
        <f>IF(OR(INDEX($V$2:$V$1001,MATCH(ROWS($U$2:U247),$U$2:$U$1001,0),1)&gt;=100000,INDEX($AB$1005:$AQ$1005,1,MATCH(COLUMNS($AB$1006:AI1006),$AB$1006:$AQ$1006,0))&gt;=100000), " ",IF(INDEX($AB$2:$AQ$1001,MATCH(ROWS($U$2:U247),$U$2:$U$1001,0),MATCH(COLUMNS($AB$1006:AI1006),$AB$1006:$AQ$1006,0)), HYPERLINK("#",""), HYPERLINK(CONCATENATE("#Metadata!", ADDRESS(INDEX($W$2:$W$1001,MATCH(ROWS($U$2:U247),$U$2:$U$1001,0),0), INDEX($AB$1004:$AQ$1004,1,MATCH(COLUMNS($AB$1006:AI1006),$AB$1006:$AQ$1006,0)))),"Fix")))</f>
        <v>0</v>
      </c>
      <c r="J247" s="5">
        <f>IF(OR(INDEX($V$2:$V$1001,MATCH(ROWS($U$2:U247),$U$2:$U$1001,0),1)&gt;=100000,INDEX($AB$1005:$AQ$1005,1,MATCH(COLUMNS($AB$1006:AJ1006),$AB$1006:$AQ$1006,0))&gt;=100000), " ",IF(INDEX($AB$2:$AQ$1001,MATCH(ROWS($U$2:U247),$U$2:$U$1001,0),MATCH(COLUMNS($AB$1006:AJ1006),$AB$1006:$AQ$1006,0)), HYPERLINK("#",""), HYPERLINK(CONCATENATE("#Metadata!", ADDRESS(INDEX($W$2:$W$1001,MATCH(ROWS($U$2:U247),$U$2:$U$1001,0),0), INDEX($AB$1004:$AQ$1004,1,MATCH(COLUMNS($AB$1006:AJ1006),$AB$1006:$AQ$1006,0)))),"Fix")))</f>
        <v>0</v>
      </c>
      <c r="K247" s="5">
        <f>IF(OR(INDEX($V$2:$V$1001,MATCH(ROWS($U$2:U247),$U$2:$U$1001,0),1)&gt;=100000,INDEX($AB$1005:$AQ$1005,1,MATCH(COLUMNS($AB$1006:AK1006),$AB$1006:$AQ$1006,0))&gt;=100000), " ",IF(INDEX($AB$2:$AQ$1001,MATCH(ROWS($U$2:U247),$U$2:$U$1001,0),MATCH(COLUMNS($AB$1006:AK1006),$AB$1006:$AQ$1006,0)), HYPERLINK("#",""), HYPERLINK(CONCATENATE("#Metadata!", ADDRESS(INDEX($W$2:$W$1001,MATCH(ROWS($U$2:U247),$U$2:$U$1001,0),0), INDEX($AB$1004:$AQ$1004,1,MATCH(COLUMNS($AB$1006:AK1006),$AB$1006:$AQ$1006,0)))),"Fix")))</f>
        <v>0</v>
      </c>
      <c r="L247" s="5">
        <f>IF(OR(INDEX($V$2:$V$1001,MATCH(ROWS($U$2:U247),$U$2:$U$1001,0),1)&gt;=100000,INDEX($AB$1005:$AQ$1005,1,MATCH(COLUMNS($AB$1006:AL1006),$AB$1006:$AQ$1006,0))&gt;=100000), " ",IF(INDEX($AB$2:$AQ$1001,MATCH(ROWS($U$2:U247),$U$2:$U$1001,0),MATCH(COLUMNS($AB$1006:AL1006),$AB$1006:$AQ$1006,0)), HYPERLINK("#",""), HYPERLINK(CONCATENATE("#Metadata!", ADDRESS(INDEX($W$2:$W$1001,MATCH(ROWS($U$2:U247),$U$2:$U$1001,0),0), INDEX($AB$1004:$AQ$1004,1,MATCH(COLUMNS($AB$1006:AL1006),$AB$1006:$AQ$1006,0)))),"Fix")))</f>
        <v>0</v>
      </c>
      <c r="M247" s="5">
        <f>IF(OR(INDEX($V$2:$V$1001,MATCH(ROWS($U$2:U247),$U$2:$U$1001,0),1)&gt;=100000,INDEX($AB$1005:$AQ$1005,1,MATCH(COLUMNS($AB$1006:AM1006),$AB$1006:$AQ$1006,0))&gt;=100000), " ",IF(INDEX($AB$2:$AQ$1001,MATCH(ROWS($U$2:U247),$U$2:$U$1001,0),MATCH(COLUMNS($AB$1006:AM1006),$AB$1006:$AQ$1006,0)), HYPERLINK("#",""), HYPERLINK(CONCATENATE("#Metadata!", ADDRESS(INDEX($W$2:$W$1001,MATCH(ROWS($U$2:U247),$U$2:$U$1001,0),0), INDEX($AB$1004:$AQ$1004,1,MATCH(COLUMNS($AB$1006:AM1006),$AB$1006:$AQ$1006,0)))),"Fix")))</f>
        <v>0</v>
      </c>
      <c r="N247" s="5">
        <f>IF(OR(INDEX($V$2:$V$1001,MATCH(ROWS($U$2:U247),$U$2:$U$1001,0),1)&gt;=100000,INDEX($AB$1005:$AQ$1005,1,MATCH(COLUMNS($AB$1006:AN1006),$AB$1006:$AQ$1006,0))&gt;=100000), " ",IF(INDEX($AB$2:$AQ$1001,MATCH(ROWS($U$2:U247),$U$2:$U$1001,0),MATCH(COLUMNS($AB$1006:AN1006),$AB$1006:$AQ$1006,0)), HYPERLINK("#",""), HYPERLINK(CONCATENATE("#Metadata!", ADDRESS(INDEX($W$2:$W$1001,MATCH(ROWS($U$2:U247),$U$2:$U$1001,0),0), INDEX($AB$1004:$AQ$1004,1,MATCH(COLUMNS($AB$1006:AN1006),$AB$1006:$AQ$1006,0)))),"Fix")))</f>
        <v>0</v>
      </c>
      <c r="O247" s="5">
        <f>IF(OR(INDEX($V$2:$V$1001,MATCH(ROWS($U$2:U247),$U$2:$U$1001,0),1)&gt;=100000,INDEX($AB$1005:$AQ$1005,1,MATCH(COLUMNS($AB$1006:AO1006),$AB$1006:$AQ$1006,0))&gt;=100000), " ",IF(INDEX($AB$2:$AQ$1001,MATCH(ROWS($U$2:U247),$U$2:$U$1001,0),MATCH(COLUMNS($AB$1006:AO1006),$AB$1006:$AQ$1006,0)), HYPERLINK("#",""), HYPERLINK(CONCATENATE("#Metadata!", ADDRESS(INDEX($W$2:$W$1001,MATCH(ROWS($U$2:U247),$U$2:$U$1001,0),0), INDEX($AB$1004:$AQ$1004,1,MATCH(COLUMNS($AB$1006:AO1006),$AB$1006:$AQ$1006,0)))),"Fix")))</f>
        <v>0</v>
      </c>
      <c r="P247" s="5">
        <f>IF(OR(INDEX($V$2:$V$1001,MATCH(ROWS($U$2:U247),$U$2:$U$1001,0),1)&gt;=100000,INDEX($AB$1005:$AQ$1005,1,MATCH(COLUMNS($AB$1006:AP1006),$AB$1006:$AQ$1006,0))&gt;=100000), " ",IF(INDEX($AB$2:$AQ$1001,MATCH(ROWS($U$2:U247),$U$2:$U$1001,0),MATCH(COLUMNS($AB$1006:AP1006),$AB$1006:$AQ$1006,0)), HYPERLINK("#",""), HYPERLINK(CONCATENATE("#Metadata!", ADDRESS(INDEX($W$2:$W$1001,MATCH(ROWS($U$2:U247),$U$2:$U$1001,0),0), INDEX($AB$1004:$AQ$1004,1,MATCH(COLUMNS($AB$1006:AP1006),$AB$1006:$AQ$1006,0)))),"Fix")))</f>
        <v>0</v>
      </c>
      <c r="Q247" s="5">
        <f>IF(OR(INDEX($V$2:$V$1001,MATCH(ROWS($U$2:U247),$U$2:$U$1001,0),1)&gt;=100000,INDEX($AB$1005:$AQ$1005,1,MATCH(COLUMNS($AB$1006:AQ1006),$AB$1006:$AQ$1006,0))&gt;=100000), " ",IF(INDEX($AB$2:$AQ$1001,MATCH(ROWS($U$2:U247),$U$2:$U$1001,0),MATCH(COLUMNS($AB$1006:AQ1006),$AB$1006:$AQ$1006,0)), HYPERLINK("#",""), HYPERLINK(CONCATENATE("#Metadata!", ADDRESS(INDEX($W$2:$W$1001,MATCH(ROWS($U$2:U247),$U$2:$U$1001,0),0), INDEX($AB$1004:$AQ$1004,1,MATCH(COLUMNS($AB$1006:AQ1006),$AB$1006:$AQ$1006,0)))),"Fix")))</f>
        <v>0</v>
      </c>
      <c r="U247">
        <v>0</v>
      </c>
      <c r="V247">
        <v>0</v>
      </c>
      <c r="W247">
        <v>0</v>
      </c>
      <c r="X247">
        <f>IF(Y247,TRUE,AND(AB247:AQ247))</f>
        <v>0</v>
      </c>
      <c r="Y247">
        <f>COUNTBLANK(Metadata!B247:Q247)=COLUMNS(Metadata!B247:Q247)</f>
        <v>0</v>
      </c>
      <c r="Z247">
        <v>0</v>
      </c>
      <c r="AB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AC247">
        <f>AND(IF(Metadata!C247="",FALSE,TRUE),exact(Metadata!C247,"urban biome"))</f>
        <v>0</v>
      </c>
      <c r="AD247">
        <f>AND(IF(Metadata!D247="",FALSE,TRUE),exact(Metadata!D247,"human-associated habitat"))</f>
        <v>0</v>
      </c>
      <c r="AE247">
        <f>AND(IF(Metadata!E247="",FALSE,TRUE),OR(exact(Metadata!E247,"human-associated"),exact(Metadata!E247,"human-skin"),exact(Metadata!E247,"human-oral"),exact(Metadata!E247,"human-gut"),exact(Metadata!E247,"human-vaginal")))</f>
        <v>0</v>
      </c>
      <c r="AF247">
        <f>AND(IF(Metadata!F247="",FALSE,ISNUMBER(VALUE(Metadata!F247))),Metadata!F247&gt;0)</f>
        <v>0</v>
      </c>
      <c r="AG247">
        <f>AND(IF(Metadata!G247="",FALSE,TRUE),exact(Metadata!G247,"years"))</f>
        <v>0</v>
      </c>
      <c r="AH247">
        <f>OR(AND(IF(Metadata!H247="",FALSE,TRUE),OR(exact(Metadata!H247,"not applicable"),exact(Metadata!H247,"not collected"),exact(Metadata!H247,"not provided"),exact(Metadata!H247,"restricted access"))),AND(IF(Metadata!H247="",FALSE,ISNUMBER(VALUE(Metadata!H247))),Metadata!H247&gt;0))</f>
        <v>0</v>
      </c>
      <c r="AI247">
        <f>AND(IF(Metadata!I247="",FALSE,TRUE),exact(Metadata!I247,"human"))</f>
        <v>0</v>
      </c>
      <c r="AJ247">
        <f>AND(IF(Metadata!J247="",FALSE,ISNUMBER(VALUE(Metadata!J247))),Metadata!J247&gt;0)</f>
        <v>0</v>
      </c>
      <c r="AK247">
        <f>AND(IF(Metadata!K247="",FALSE,TRUE),exact(Metadata!K247,"cm"))</f>
        <v>0</v>
      </c>
      <c r="AL247">
        <f>AND(IF(Metadata!L247="",FALSE,TRUE),exact(Metadata!L247,"Homo sapiens"))</f>
        <v>0</v>
      </c>
      <c r="AM247">
        <f>AND(IF(Metadata!M247="",FALSE,TRUE),exact(Metadata!M247,"9606"))</f>
        <v>0</v>
      </c>
      <c r="AN247">
        <f>AND(IF(Metadata!N247="",FALSE,ISNUMBER(VALUE(Metadata!N247))),Metadata!N247&gt;0)</f>
        <v>0</v>
      </c>
      <c r="AO247">
        <f>AND(IF(Metadata!O247="",FALSE,TRUE),exact(Metadata!O247,"kg"))</f>
        <v>0</v>
      </c>
      <c r="AP247">
        <f>OR(AND(IF(Metadata!P247="",FALSE,TRUE),exact(Metadata!P247,"not provided")),IF(Metadata!P247="",FALSE,TRUE))</f>
        <v>0</v>
      </c>
      <c r="AQ247">
        <f>OR(AND(IF(Metadata!Q247="",FALSE,TRUE),exact(Metadata!Q247,"not provided")),IF(Metadata!Q247="",FALSE,TRUE))</f>
        <v>0</v>
      </c>
    </row>
    <row r="248" spans="1:43">
      <c r="A248" s="4">
        <f>IF(B248=" "," ",HYPERLINK(CONCATENATE("#metadata!",ADDRESS(INDEX($W$2:$W$1001,MATCH(ROWS($U$2:U248),$U$2:$U$1001,0),0),2)),INDEX($Z$2:$Z$1001,MATCH(ROWS($U$2:U248),$U$2:$U$1001,0),0)))</f>
        <v>0</v>
      </c>
      <c r="B248" s="5">
        <f>IF(OR(INDEX($V$2:$V$1001,MATCH(ROWS($U$2:U248),$U$2:$U$1001,0),1)&gt;=100000,INDEX($AB$1005:$AQ$1005,1,MATCH(COLUMNS($AB$1006:AB1006),$AB$1006:$AQ$1006,0))&gt;=100000), " ",IF(INDEX($AB$2:$AQ$1001,MATCH(ROWS($U$2:U248),$U$2:$U$1001,0),MATCH(COLUMNS($AB$1006:AB1006),$AB$1006:$AQ$1006,0)), HYPERLINK("#",""), HYPERLINK(CONCATENATE("#Metadata!", ADDRESS(INDEX($W$2:$W$1001,MATCH(ROWS($U$2:U248),$U$2:$U$1001,0),0), INDEX($AB$1004:$AQ$1004,1,MATCH(COLUMNS($AB$1006:AB1006),$AB$1006:$AQ$1006,0)))),"Fix")))</f>
        <v>0</v>
      </c>
      <c r="C248" s="5">
        <f>IF(OR(INDEX($V$2:$V$1001,MATCH(ROWS($U$2:U248),$U$2:$U$1001,0),1)&gt;=100000,INDEX($AB$1005:$AQ$1005,1,MATCH(COLUMNS($AB$1006:AC1006),$AB$1006:$AQ$1006,0))&gt;=100000), " ",IF(INDEX($AB$2:$AQ$1001,MATCH(ROWS($U$2:U248),$U$2:$U$1001,0),MATCH(COLUMNS($AB$1006:AC1006),$AB$1006:$AQ$1006,0)), HYPERLINK("#",""), HYPERLINK(CONCATENATE("#Metadata!", ADDRESS(INDEX($W$2:$W$1001,MATCH(ROWS($U$2:U248),$U$2:$U$1001,0),0), INDEX($AB$1004:$AQ$1004,1,MATCH(COLUMNS($AB$1006:AC1006),$AB$1006:$AQ$1006,0)))),"Fix")))</f>
        <v>0</v>
      </c>
      <c r="D248" s="5">
        <f>IF(OR(INDEX($V$2:$V$1001,MATCH(ROWS($U$2:U248),$U$2:$U$1001,0),1)&gt;=100000,INDEX($AB$1005:$AQ$1005,1,MATCH(COLUMNS($AB$1006:AD1006),$AB$1006:$AQ$1006,0))&gt;=100000), " ",IF(INDEX($AB$2:$AQ$1001,MATCH(ROWS($U$2:U248),$U$2:$U$1001,0),MATCH(COLUMNS($AB$1006:AD1006),$AB$1006:$AQ$1006,0)), HYPERLINK("#",""), HYPERLINK(CONCATENATE("#Metadata!", ADDRESS(INDEX($W$2:$W$1001,MATCH(ROWS($U$2:U248),$U$2:$U$1001,0),0), INDEX($AB$1004:$AQ$1004,1,MATCH(COLUMNS($AB$1006:AD1006),$AB$1006:$AQ$1006,0)))),"Fix")))</f>
        <v>0</v>
      </c>
      <c r="E248" s="5">
        <f>IF(OR(INDEX($V$2:$V$1001,MATCH(ROWS($U$2:U248),$U$2:$U$1001,0),1)&gt;=100000,INDEX($AB$1005:$AQ$1005,1,MATCH(COLUMNS($AB$1006:AE1006),$AB$1006:$AQ$1006,0))&gt;=100000), " ",IF(INDEX($AB$2:$AQ$1001,MATCH(ROWS($U$2:U248),$U$2:$U$1001,0),MATCH(COLUMNS($AB$1006:AE1006),$AB$1006:$AQ$1006,0)), HYPERLINK("#",""), HYPERLINK(CONCATENATE("#Metadata!", ADDRESS(INDEX($W$2:$W$1001,MATCH(ROWS($U$2:U248),$U$2:$U$1001,0),0), INDEX($AB$1004:$AQ$1004,1,MATCH(COLUMNS($AB$1006:AE1006),$AB$1006:$AQ$1006,0)))),"Fix")))</f>
        <v>0</v>
      </c>
      <c r="F248" s="5">
        <f>IF(OR(INDEX($V$2:$V$1001,MATCH(ROWS($U$2:U248),$U$2:$U$1001,0),1)&gt;=100000,INDEX($AB$1005:$AQ$1005,1,MATCH(COLUMNS($AB$1006:AF1006),$AB$1006:$AQ$1006,0))&gt;=100000), " ",IF(INDEX($AB$2:$AQ$1001,MATCH(ROWS($U$2:U248),$U$2:$U$1001,0),MATCH(COLUMNS($AB$1006:AF1006),$AB$1006:$AQ$1006,0)), HYPERLINK("#",""), HYPERLINK(CONCATENATE("#Metadata!", ADDRESS(INDEX($W$2:$W$1001,MATCH(ROWS($U$2:U248),$U$2:$U$1001,0),0), INDEX($AB$1004:$AQ$1004,1,MATCH(COLUMNS($AB$1006:AF1006),$AB$1006:$AQ$1006,0)))),"Fix")))</f>
        <v>0</v>
      </c>
      <c r="G248" s="5">
        <f>IF(OR(INDEX($V$2:$V$1001,MATCH(ROWS($U$2:U248),$U$2:$U$1001,0),1)&gt;=100000,INDEX($AB$1005:$AQ$1005,1,MATCH(COLUMNS($AB$1006:AG1006),$AB$1006:$AQ$1006,0))&gt;=100000), " ",IF(INDEX($AB$2:$AQ$1001,MATCH(ROWS($U$2:U248),$U$2:$U$1001,0),MATCH(COLUMNS($AB$1006:AG1006),$AB$1006:$AQ$1006,0)), HYPERLINK("#",""), HYPERLINK(CONCATENATE("#Metadata!", ADDRESS(INDEX($W$2:$W$1001,MATCH(ROWS($U$2:U248),$U$2:$U$1001,0),0), INDEX($AB$1004:$AQ$1004,1,MATCH(COLUMNS($AB$1006:AG1006),$AB$1006:$AQ$1006,0)))),"Fix")))</f>
        <v>0</v>
      </c>
      <c r="H248" s="5">
        <f>IF(OR(INDEX($V$2:$V$1001,MATCH(ROWS($U$2:U248),$U$2:$U$1001,0),1)&gt;=100000,INDEX($AB$1005:$AQ$1005,1,MATCH(COLUMNS($AB$1006:AH1006),$AB$1006:$AQ$1006,0))&gt;=100000), " ",IF(INDEX($AB$2:$AQ$1001,MATCH(ROWS($U$2:U248),$U$2:$U$1001,0),MATCH(COLUMNS($AB$1006:AH1006),$AB$1006:$AQ$1006,0)), HYPERLINK("#",""), HYPERLINK(CONCATENATE("#Metadata!", ADDRESS(INDEX($W$2:$W$1001,MATCH(ROWS($U$2:U248),$U$2:$U$1001,0),0), INDEX($AB$1004:$AQ$1004,1,MATCH(COLUMNS($AB$1006:AH1006),$AB$1006:$AQ$1006,0)))),"Fix")))</f>
        <v>0</v>
      </c>
      <c r="I248" s="5">
        <f>IF(OR(INDEX($V$2:$V$1001,MATCH(ROWS($U$2:U248),$U$2:$U$1001,0),1)&gt;=100000,INDEX($AB$1005:$AQ$1005,1,MATCH(COLUMNS($AB$1006:AI1006),$AB$1006:$AQ$1006,0))&gt;=100000), " ",IF(INDEX($AB$2:$AQ$1001,MATCH(ROWS($U$2:U248),$U$2:$U$1001,0),MATCH(COLUMNS($AB$1006:AI1006),$AB$1006:$AQ$1006,0)), HYPERLINK("#",""), HYPERLINK(CONCATENATE("#Metadata!", ADDRESS(INDEX($W$2:$W$1001,MATCH(ROWS($U$2:U248),$U$2:$U$1001,0),0), INDEX($AB$1004:$AQ$1004,1,MATCH(COLUMNS($AB$1006:AI1006),$AB$1006:$AQ$1006,0)))),"Fix")))</f>
        <v>0</v>
      </c>
      <c r="J248" s="5">
        <f>IF(OR(INDEX($V$2:$V$1001,MATCH(ROWS($U$2:U248),$U$2:$U$1001,0),1)&gt;=100000,INDEX($AB$1005:$AQ$1005,1,MATCH(COLUMNS($AB$1006:AJ1006),$AB$1006:$AQ$1006,0))&gt;=100000), " ",IF(INDEX($AB$2:$AQ$1001,MATCH(ROWS($U$2:U248),$U$2:$U$1001,0),MATCH(COLUMNS($AB$1006:AJ1006),$AB$1006:$AQ$1006,0)), HYPERLINK("#",""), HYPERLINK(CONCATENATE("#Metadata!", ADDRESS(INDEX($W$2:$W$1001,MATCH(ROWS($U$2:U248),$U$2:$U$1001,0),0), INDEX($AB$1004:$AQ$1004,1,MATCH(COLUMNS($AB$1006:AJ1006),$AB$1006:$AQ$1006,0)))),"Fix")))</f>
        <v>0</v>
      </c>
      <c r="K248" s="5">
        <f>IF(OR(INDEX($V$2:$V$1001,MATCH(ROWS($U$2:U248),$U$2:$U$1001,0),1)&gt;=100000,INDEX($AB$1005:$AQ$1005,1,MATCH(COLUMNS($AB$1006:AK1006),$AB$1006:$AQ$1006,0))&gt;=100000), " ",IF(INDEX($AB$2:$AQ$1001,MATCH(ROWS($U$2:U248),$U$2:$U$1001,0),MATCH(COLUMNS($AB$1006:AK1006),$AB$1006:$AQ$1006,0)), HYPERLINK("#",""), HYPERLINK(CONCATENATE("#Metadata!", ADDRESS(INDEX($W$2:$W$1001,MATCH(ROWS($U$2:U248),$U$2:$U$1001,0),0), INDEX($AB$1004:$AQ$1004,1,MATCH(COLUMNS($AB$1006:AK1006),$AB$1006:$AQ$1006,0)))),"Fix")))</f>
        <v>0</v>
      </c>
      <c r="L248" s="5">
        <f>IF(OR(INDEX($V$2:$V$1001,MATCH(ROWS($U$2:U248),$U$2:$U$1001,0),1)&gt;=100000,INDEX($AB$1005:$AQ$1005,1,MATCH(COLUMNS($AB$1006:AL1006),$AB$1006:$AQ$1006,0))&gt;=100000), " ",IF(INDEX($AB$2:$AQ$1001,MATCH(ROWS($U$2:U248),$U$2:$U$1001,0),MATCH(COLUMNS($AB$1006:AL1006),$AB$1006:$AQ$1006,0)), HYPERLINK("#",""), HYPERLINK(CONCATENATE("#Metadata!", ADDRESS(INDEX($W$2:$W$1001,MATCH(ROWS($U$2:U248),$U$2:$U$1001,0),0), INDEX($AB$1004:$AQ$1004,1,MATCH(COLUMNS($AB$1006:AL1006),$AB$1006:$AQ$1006,0)))),"Fix")))</f>
        <v>0</v>
      </c>
      <c r="M248" s="5">
        <f>IF(OR(INDEX($V$2:$V$1001,MATCH(ROWS($U$2:U248),$U$2:$U$1001,0),1)&gt;=100000,INDEX($AB$1005:$AQ$1005,1,MATCH(COLUMNS($AB$1006:AM1006),$AB$1006:$AQ$1006,0))&gt;=100000), " ",IF(INDEX($AB$2:$AQ$1001,MATCH(ROWS($U$2:U248),$U$2:$U$1001,0),MATCH(COLUMNS($AB$1006:AM1006),$AB$1006:$AQ$1006,0)), HYPERLINK("#",""), HYPERLINK(CONCATENATE("#Metadata!", ADDRESS(INDEX($W$2:$W$1001,MATCH(ROWS($U$2:U248),$U$2:$U$1001,0),0), INDEX($AB$1004:$AQ$1004,1,MATCH(COLUMNS($AB$1006:AM1006),$AB$1006:$AQ$1006,0)))),"Fix")))</f>
        <v>0</v>
      </c>
      <c r="N248" s="5">
        <f>IF(OR(INDEX($V$2:$V$1001,MATCH(ROWS($U$2:U248),$U$2:$U$1001,0),1)&gt;=100000,INDEX($AB$1005:$AQ$1005,1,MATCH(COLUMNS($AB$1006:AN1006),$AB$1006:$AQ$1006,0))&gt;=100000), " ",IF(INDEX($AB$2:$AQ$1001,MATCH(ROWS($U$2:U248),$U$2:$U$1001,0),MATCH(COLUMNS($AB$1006:AN1006),$AB$1006:$AQ$1006,0)), HYPERLINK("#",""), HYPERLINK(CONCATENATE("#Metadata!", ADDRESS(INDEX($W$2:$W$1001,MATCH(ROWS($U$2:U248),$U$2:$U$1001,0),0), INDEX($AB$1004:$AQ$1004,1,MATCH(COLUMNS($AB$1006:AN1006),$AB$1006:$AQ$1006,0)))),"Fix")))</f>
        <v>0</v>
      </c>
      <c r="O248" s="5">
        <f>IF(OR(INDEX($V$2:$V$1001,MATCH(ROWS($U$2:U248),$U$2:$U$1001,0),1)&gt;=100000,INDEX($AB$1005:$AQ$1005,1,MATCH(COLUMNS($AB$1006:AO1006),$AB$1006:$AQ$1006,0))&gt;=100000), " ",IF(INDEX($AB$2:$AQ$1001,MATCH(ROWS($U$2:U248),$U$2:$U$1001,0),MATCH(COLUMNS($AB$1006:AO1006),$AB$1006:$AQ$1006,0)), HYPERLINK("#",""), HYPERLINK(CONCATENATE("#Metadata!", ADDRESS(INDEX($W$2:$W$1001,MATCH(ROWS($U$2:U248),$U$2:$U$1001,0),0), INDEX($AB$1004:$AQ$1004,1,MATCH(COLUMNS($AB$1006:AO1006),$AB$1006:$AQ$1006,0)))),"Fix")))</f>
        <v>0</v>
      </c>
      <c r="P248" s="5">
        <f>IF(OR(INDEX($V$2:$V$1001,MATCH(ROWS($U$2:U248),$U$2:$U$1001,0),1)&gt;=100000,INDEX($AB$1005:$AQ$1005,1,MATCH(COLUMNS($AB$1006:AP1006),$AB$1006:$AQ$1006,0))&gt;=100000), " ",IF(INDEX($AB$2:$AQ$1001,MATCH(ROWS($U$2:U248),$U$2:$U$1001,0),MATCH(COLUMNS($AB$1006:AP1006),$AB$1006:$AQ$1006,0)), HYPERLINK("#",""), HYPERLINK(CONCATENATE("#Metadata!", ADDRESS(INDEX($W$2:$W$1001,MATCH(ROWS($U$2:U248),$U$2:$U$1001,0),0), INDEX($AB$1004:$AQ$1004,1,MATCH(COLUMNS($AB$1006:AP1006),$AB$1006:$AQ$1006,0)))),"Fix")))</f>
        <v>0</v>
      </c>
      <c r="Q248" s="5">
        <f>IF(OR(INDEX($V$2:$V$1001,MATCH(ROWS($U$2:U248),$U$2:$U$1001,0),1)&gt;=100000,INDEX($AB$1005:$AQ$1005,1,MATCH(COLUMNS($AB$1006:AQ1006),$AB$1006:$AQ$1006,0))&gt;=100000), " ",IF(INDEX($AB$2:$AQ$1001,MATCH(ROWS($U$2:U248),$U$2:$U$1001,0),MATCH(COLUMNS($AB$1006:AQ1006),$AB$1006:$AQ$1006,0)), HYPERLINK("#",""), HYPERLINK(CONCATENATE("#Metadata!", ADDRESS(INDEX($W$2:$W$1001,MATCH(ROWS($U$2:U248),$U$2:$U$1001,0),0), INDEX($AB$1004:$AQ$1004,1,MATCH(COLUMNS($AB$1006:AQ1006),$AB$1006:$AQ$1006,0)))),"Fix")))</f>
        <v>0</v>
      </c>
      <c r="U248">
        <v>0</v>
      </c>
      <c r="V248">
        <v>0</v>
      </c>
      <c r="W248">
        <v>0</v>
      </c>
      <c r="X248">
        <f>IF(Y248,TRUE,AND(AB248:AQ248))</f>
        <v>0</v>
      </c>
      <c r="Y248">
        <f>COUNTBLANK(Metadata!B248:Q248)=COLUMNS(Metadata!B248:Q248)</f>
        <v>0</v>
      </c>
      <c r="Z248">
        <v>0</v>
      </c>
      <c r="AB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AC248">
        <f>AND(IF(Metadata!C248="",FALSE,TRUE),exact(Metadata!C248,"urban biome"))</f>
        <v>0</v>
      </c>
      <c r="AD248">
        <f>AND(IF(Metadata!D248="",FALSE,TRUE),exact(Metadata!D248,"human-associated habitat"))</f>
        <v>0</v>
      </c>
      <c r="AE248">
        <f>AND(IF(Metadata!E248="",FALSE,TRUE),OR(exact(Metadata!E248,"human-associated"),exact(Metadata!E248,"human-skin"),exact(Metadata!E248,"human-oral"),exact(Metadata!E248,"human-gut"),exact(Metadata!E248,"human-vaginal")))</f>
        <v>0</v>
      </c>
      <c r="AF248">
        <f>AND(IF(Metadata!F248="",FALSE,ISNUMBER(VALUE(Metadata!F248))),Metadata!F248&gt;0)</f>
        <v>0</v>
      </c>
      <c r="AG248">
        <f>AND(IF(Metadata!G248="",FALSE,TRUE),exact(Metadata!G248,"years"))</f>
        <v>0</v>
      </c>
      <c r="AH248">
        <f>OR(AND(IF(Metadata!H248="",FALSE,TRUE),OR(exact(Metadata!H248,"not applicable"),exact(Metadata!H248,"not collected"),exact(Metadata!H248,"not provided"),exact(Metadata!H248,"restricted access"))),AND(IF(Metadata!H248="",FALSE,ISNUMBER(VALUE(Metadata!H248))),Metadata!H248&gt;0))</f>
        <v>0</v>
      </c>
      <c r="AI248">
        <f>AND(IF(Metadata!I248="",FALSE,TRUE),exact(Metadata!I248,"human"))</f>
        <v>0</v>
      </c>
      <c r="AJ248">
        <f>AND(IF(Metadata!J248="",FALSE,ISNUMBER(VALUE(Metadata!J248))),Metadata!J248&gt;0)</f>
        <v>0</v>
      </c>
      <c r="AK248">
        <f>AND(IF(Metadata!K248="",FALSE,TRUE),exact(Metadata!K248,"cm"))</f>
        <v>0</v>
      </c>
      <c r="AL248">
        <f>AND(IF(Metadata!L248="",FALSE,TRUE),exact(Metadata!L248,"Homo sapiens"))</f>
        <v>0</v>
      </c>
      <c r="AM248">
        <f>AND(IF(Metadata!M248="",FALSE,TRUE),exact(Metadata!M248,"9606"))</f>
        <v>0</v>
      </c>
      <c r="AN248">
        <f>AND(IF(Metadata!N248="",FALSE,ISNUMBER(VALUE(Metadata!N248))),Metadata!N248&gt;0)</f>
        <v>0</v>
      </c>
      <c r="AO248">
        <f>AND(IF(Metadata!O248="",FALSE,TRUE),exact(Metadata!O248,"kg"))</f>
        <v>0</v>
      </c>
      <c r="AP248">
        <f>OR(AND(IF(Metadata!P248="",FALSE,TRUE),exact(Metadata!P248,"not provided")),IF(Metadata!P248="",FALSE,TRUE))</f>
        <v>0</v>
      </c>
      <c r="AQ248">
        <f>OR(AND(IF(Metadata!Q248="",FALSE,TRUE),exact(Metadata!Q248,"not provided")),IF(Metadata!Q248="",FALSE,TRUE))</f>
        <v>0</v>
      </c>
    </row>
    <row r="249" spans="1:43">
      <c r="A249" s="4">
        <f>IF(B249=" "," ",HYPERLINK(CONCATENATE("#metadata!",ADDRESS(INDEX($W$2:$W$1001,MATCH(ROWS($U$2:U249),$U$2:$U$1001,0),0),2)),INDEX($Z$2:$Z$1001,MATCH(ROWS($U$2:U249),$U$2:$U$1001,0),0)))</f>
        <v>0</v>
      </c>
      <c r="B249" s="5">
        <f>IF(OR(INDEX($V$2:$V$1001,MATCH(ROWS($U$2:U249),$U$2:$U$1001,0),1)&gt;=100000,INDEX($AB$1005:$AQ$1005,1,MATCH(COLUMNS($AB$1006:AB1006),$AB$1006:$AQ$1006,0))&gt;=100000), " ",IF(INDEX($AB$2:$AQ$1001,MATCH(ROWS($U$2:U249),$U$2:$U$1001,0),MATCH(COLUMNS($AB$1006:AB1006),$AB$1006:$AQ$1006,0)), HYPERLINK("#",""), HYPERLINK(CONCATENATE("#Metadata!", ADDRESS(INDEX($W$2:$W$1001,MATCH(ROWS($U$2:U249),$U$2:$U$1001,0),0), INDEX($AB$1004:$AQ$1004,1,MATCH(COLUMNS($AB$1006:AB1006),$AB$1006:$AQ$1006,0)))),"Fix")))</f>
        <v>0</v>
      </c>
      <c r="C249" s="5">
        <f>IF(OR(INDEX($V$2:$V$1001,MATCH(ROWS($U$2:U249),$U$2:$U$1001,0),1)&gt;=100000,INDEX($AB$1005:$AQ$1005,1,MATCH(COLUMNS($AB$1006:AC1006),$AB$1006:$AQ$1006,0))&gt;=100000), " ",IF(INDEX($AB$2:$AQ$1001,MATCH(ROWS($U$2:U249),$U$2:$U$1001,0),MATCH(COLUMNS($AB$1006:AC1006),$AB$1006:$AQ$1006,0)), HYPERLINK("#",""), HYPERLINK(CONCATENATE("#Metadata!", ADDRESS(INDEX($W$2:$W$1001,MATCH(ROWS($U$2:U249),$U$2:$U$1001,0),0), INDEX($AB$1004:$AQ$1004,1,MATCH(COLUMNS($AB$1006:AC1006),$AB$1006:$AQ$1006,0)))),"Fix")))</f>
        <v>0</v>
      </c>
      <c r="D249" s="5">
        <f>IF(OR(INDEX($V$2:$V$1001,MATCH(ROWS($U$2:U249),$U$2:$U$1001,0),1)&gt;=100000,INDEX($AB$1005:$AQ$1005,1,MATCH(COLUMNS($AB$1006:AD1006),$AB$1006:$AQ$1006,0))&gt;=100000), " ",IF(INDEX($AB$2:$AQ$1001,MATCH(ROWS($U$2:U249),$U$2:$U$1001,0),MATCH(COLUMNS($AB$1006:AD1006),$AB$1006:$AQ$1006,0)), HYPERLINK("#",""), HYPERLINK(CONCATENATE("#Metadata!", ADDRESS(INDEX($W$2:$W$1001,MATCH(ROWS($U$2:U249),$U$2:$U$1001,0),0), INDEX($AB$1004:$AQ$1004,1,MATCH(COLUMNS($AB$1006:AD1006),$AB$1006:$AQ$1006,0)))),"Fix")))</f>
        <v>0</v>
      </c>
      <c r="E249" s="5">
        <f>IF(OR(INDEX($V$2:$V$1001,MATCH(ROWS($U$2:U249),$U$2:$U$1001,0),1)&gt;=100000,INDEX($AB$1005:$AQ$1005,1,MATCH(COLUMNS($AB$1006:AE1006),$AB$1006:$AQ$1006,0))&gt;=100000), " ",IF(INDEX($AB$2:$AQ$1001,MATCH(ROWS($U$2:U249),$U$2:$U$1001,0),MATCH(COLUMNS($AB$1006:AE1006),$AB$1006:$AQ$1006,0)), HYPERLINK("#",""), HYPERLINK(CONCATENATE("#Metadata!", ADDRESS(INDEX($W$2:$W$1001,MATCH(ROWS($U$2:U249),$U$2:$U$1001,0),0), INDEX($AB$1004:$AQ$1004,1,MATCH(COLUMNS($AB$1006:AE1006),$AB$1006:$AQ$1006,0)))),"Fix")))</f>
        <v>0</v>
      </c>
      <c r="F249" s="5">
        <f>IF(OR(INDEX($V$2:$V$1001,MATCH(ROWS($U$2:U249),$U$2:$U$1001,0),1)&gt;=100000,INDEX($AB$1005:$AQ$1005,1,MATCH(COLUMNS($AB$1006:AF1006),$AB$1006:$AQ$1006,0))&gt;=100000), " ",IF(INDEX($AB$2:$AQ$1001,MATCH(ROWS($U$2:U249),$U$2:$U$1001,0),MATCH(COLUMNS($AB$1006:AF1006),$AB$1006:$AQ$1006,0)), HYPERLINK("#",""), HYPERLINK(CONCATENATE("#Metadata!", ADDRESS(INDEX($W$2:$W$1001,MATCH(ROWS($U$2:U249),$U$2:$U$1001,0),0), INDEX($AB$1004:$AQ$1004,1,MATCH(COLUMNS($AB$1006:AF1006),$AB$1006:$AQ$1006,0)))),"Fix")))</f>
        <v>0</v>
      </c>
      <c r="G249" s="5">
        <f>IF(OR(INDEX($V$2:$V$1001,MATCH(ROWS($U$2:U249),$U$2:$U$1001,0),1)&gt;=100000,INDEX($AB$1005:$AQ$1005,1,MATCH(COLUMNS($AB$1006:AG1006),$AB$1006:$AQ$1006,0))&gt;=100000), " ",IF(INDEX($AB$2:$AQ$1001,MATCH(ROWS($U$2:U249),$U$2:$U$1001,0),MATCH(COLUMNS($AB$1006:AG1006),$AB$1006:$AQ$1006,0)), HYPERLINK("#",""), HYPERLINK(CONCATENATE("#Metadata!", ADDRESS(INDEX($W$2:$W$1001,MATCH(ROWS($U$2:U249),$U$2:$U$1001,0),0), INDEX($AB$1004:$AQ$1004,1,MATCH(COLUMNS($AB$1006:AG1006),$AB$1006:$AQ$1006,0)))),"Fix")))</f>
        <v>0</v>
      </c>
      <c r="H249" s="5">
        <f>IF(OR(INDEX($V$2:$V$1001,MATCH(ROWS($U$2:U249),$U$2:$U$1001,0),1)&gt;=100000,INDEX($AB$1005:$AQ$1005,1,MATCH(COLUMNS($AB$1006:AH1006),$AB$1006:$AQ$1006,0))&gt;=100000), " ",IF(INDEX($AB$2:$AQ$1001,MATCH(ROWS($U$2:U249),$U$2:$U$1001,0),MATCH(COLUMNS($AB$1006:AH1006),$AB$1006:$AQ$1006,0)), HYPERLINK("#",""), HYPERLINK(CONCATENATE("#Metadata!", ADDRESS(INDEX($W$2:$W$1001,MATCH(ROWS($U$2:U249),$U$2:$U$1001,0),0), INDEX($AB$1004:$AQ$1004,1,MATCH(COLUMNS($AB$1006:AH1006),$AB$1006:$AQ$1006,0)))),"Fix")))</f>
        <v>0</v>
      </c>
      <c r="I249" s="5">
        <f>IF(OR(INDEX($V$2:$V$1001,MATCH(ROWS($U$2:U249),$U$2:$U$1001,0),1)&gt;=100000,INDEX($AB$1005:$AQ$1005,1,MATCH(COLUMNS($AB$1006:AI1006),$AB$1006:$AQ$1006,0))&gt;=100000), " ",IF(INDEX($AB$2:$AQ$1001,MATCH(ROWS($U$2:U249),$U$2:$U$1001,0),MATCH(COLUMNS($AB$1006:AI1006),$AB$1006:$AQ$1006,0)), HYPERLINK("#",""), HYPERLINK(CONCATENATE("#Metadata!", ADDRESS(INDEX($W$2:$W$1001,MATCH(ROWS($U$2:U249),$U$2:$U$1001,0),0), INDEX($AB$1004:$AQ$1004,1,MATCH(COLUMNS($AB$1006:AI1006),$AB$1006:$AQ$1006,0)))),"Fix")))</f>
        <v>0</v>
      </c>
      <c r="J249" s="5">
        <f>IF(OR(INDEX($V$2:$V$1001,MATCH(ROWS($U$2:U249),$U$2:$U$1001,0),1)&gt;=100000,INDEX($AB$1005:$AQ$1005,1,MATCH(COLUMNS($AB$1006:AJ1006),$AB$1006:$AQ$1006,0))&gt;=100000), " ",IF(INDEX($AB$2:$AQ$1001,MATCH(ROWS($U$2:U249),$U$2:$U$1001,0),MATCH(COLUMNS($AB$1006:AJ1006),$AB$1006:$AQ$1006,0)), HYPERLINK("#",""), HYPERLINK(CONCATENATE("#Metadata!", ADDRESS(INDEX($W$2:$W$1001,MATCH(ROWS($U$2:U249),$U$2:$U$1001,0),0), INDEX($AB$1004:$AQ$1004,1,MATCH(COLUMNS($AB$1006:AJ1006),$AB$1006:$AQ$1006,0)))),"Fix")))</f>
        <v>0</v>
      </c>
      <c r="K249" s="5">
        <f>IF(OR(INDEX($V$2:$V$1001,MATCH(ROWS($U$2:U249),$U$2:$U$1001,0),1)&gt;=100000,INDEX($AB$1005:$AQ$1005,1,MATCH(COLUMNS($AB$1006:AK1006),$AB$1006:$AQ$1006,0))&gt;=100000), " ",IF(INDEX($AB$2:$AQ$1001,MATCH(ROWS($U$2:U249),$U$2:$U$1001,0),MATCH(COLUMNS($AB$1006:AK1006),$AB$1006:$AQ$1006,0)), HYPERLINK("#",""), HYPERLINK(CONCATENATE("#Metadata!", ADDRESS(INDEX($W$2:$W$1001,MATCH(ROWS($U$2:U249),$U$2:$U$1001,0),0), INDEX($AB$1004:$AQ$1004,1,MATCH(COLUMNS($AB$1006:AK1006),$AB$1006:$AQ$1006,0)))),"Fix")))</f>
        <v>0</v>
      </c>
      <c r="L249" s="5">
        <f>IF(OR(INDEX($V$2:$V$1001,MATCH(ROWS($U$2:U249),$U$2:$U$1001,0),1)&gt;=100000,INDEX($AB$1005:$AQ$1005,1,MATCH(COLUMNS($AB$1006:AL1006),$AB$1006:$AQ$1006,0))&gt;=100000), " ",IF(INDEX($AB$2:$AQ$1001,MATCH(ROWS($U$2:U249),$U$2:$U$1001,0),MATCH(COLUMNS($AB$1006:AL1006),$AB$1006:$AQ$1006,0)), HYPERLINK("#",""), HYPERLINK(CONCATENATE("#Metadata!", ADDRESS(INDEX($W$2:$W$1001,MATCH(ROWS($U$2:U249),$U$2:$U$1001,0),0), INDEX($AB$1004:$AQ$1004,1,MATCH(COLUMNS($AB$1006:AL1006),$AB$1006:$AQ$1006,0)))),"Fix")))</f>
        <v>0</v>
      </c>
      <c r="M249" s="5">
        <f>IF(OR(INDEX($V$2:$V$1001,MATCH(ROWS($U$2:U249),$U$2:$U$1001,0),1)&gt;=100000,INDEX($AB$1005:$AQ$1005,1,MATCH(COLUMNS($AB$1006:AM1006),$AB$1006:$AQ$1006,0))&gt;=100000), " ",IF(INDEX($AB$2:$AQ$1001,MATCH(ROWS($U$2:U249),$U$2:$U$1001,0),MATCH(COLUMNS($AB$1006:AM1006),$AB$1006:$AQ$1006,0)), HYPERLINK("#",""), HYPERLINK(CONCATENATE("#Metadata!", ADDRESS(INDEX($W$2:$W$1001,MATCH(ROWS($U$2:U249),$U$2:$U$1001,0),0), INDEX($AB$1004:$AQ$1004,1,MATCH(COLUMNS($AB$1006:AM1006),$AB$1006:$AQ$1006,0)))),"Fix")))</f>
        <v>0</v>
      </c>
      <c r="N249" s="5">
        <f>IF(OR(INDEX($V$2:$V$1001,MATCH(ROWS($U$2:U249),$U$2:$U$1001,0),1)&gt;=100000,INDEX($AB$1005:$AQ$1005,1,MATCH(COLUMNS($AB$1006:AN1006),$AB$1006:$AQ$1006,0))&gt;=100000), " ",IF(INDEX($AB$2:$AQ$1001,MATCH(ROWS($U$2:U249),$U$2:$U$1001,0),MATCH(COLUMNS($AB$1006:AN1006),$AB$1006:$AQ$1006,0)), HYPERLINK("#",""), HYPERLINK(CONCATENATE("#Metadata!", ADDRESS(INDEX($W$2:$W$1001,MATCH(ROWS($U$2:U249),$U$2:$U$1001,0),0), INDEX($AB$1004:$AQ$1004,1,MATCH(COLUMNS($AB$1006:AN1006),$AB$1006:$AQ$1006,0)))),"Fix")))</f>
        <v>0</v>
      </c>
      <c r="O249" s="5">
        <f>IF(OR(INDEX($V$2:$V$1001,MATCH(ROWS($U$2:U249),$U$2:$U$1001,0),1)&gt;=100000,INDEX($AB$1005:$AQ$1005,1,MATCH(COLUMNS($AB$1006:AO1006),$AB$1006:$AQ$1006,0))&gt;=100000), " ",IF(INDEX($AB$2:$AQ$1001,MATCH(ROWS($U$2:U249),$U$2:$U$1001,0),MATCH(COLUMNS($AB$1006:AO1006),$AB$1006:$AQ$1006,0)), HYPERLINK("#",""), HYPERLINK(CONCATENATE("#Metadata!", ADDRESS(INDEX($W$2:$W$1001,MATCH(ROWS($U$2:U249),$U$2:$U$1001,0),0), INDEX($AB$1004:$AQ$1004,1,MATCH(COLUMNS($AB$1006:AO1006),$AB$1006:$AQ$1006,0)))),"Fix")))</f>
        <v>0</v>
      </c>
      <c r="P249" s="5">
        <f>IF(OR(INDEX($V$2:$V$1001,MATCH(ROWS($U$2:U249),$U$2:$U$1001,0),1)&gt;=100000,INDEX($AB$1005:$AQ$1005,1,MATCH(COLUMNS($AB$1006:AP1006),$AB$1006:$AQ$1006,0))&gt;=100000), " ",IF(INDEX($AB$2:$AQ$1001,MATCH(ROWS($U$2:U249),$U$2:$U$1001,0),MATCH(COLUMNS($AB$1006:AP1006),$AB$1006:$AQ$1006,0)), HYPERLINK("#",""), HYPERLINK(CONCATENATE("#Metadata!", ADDRESS(INDEX($W$2:$W$1001,MATCH(ROWS($U$2:U249),$U$2:$U$1001,0),0), INDEX($AB$1004:$AQ$1004,1,MATCH(COLUMNS($AB$1006:AP1006),$AB$1006:$AQ$1006,0)))),"Fix")))</f>
        <v>0</v>
      </c>
      <c r="Q249" s="5">
        <f>IF(OR(INDEX($V$2:$V$1001,MATCH(ROWS($U$2:U249),$U$2:$U$1001,0),1)&gt;=100000,INDEX($AB$1005:$AQ$1005,1,MATCH(COLUMNS($AB$1006:AQ1006),$AB$1006:$AQ$1006,0))&gt;=100000), " ",IF(INDEX($AB$2:$AQ$1001,MATCH(ROWS($U$2:U249),$U$2:$U$1001,0),MATCH(COLUMNS($AB$1006:AQ1006),$AB$1006:$AQ$1006,0)), HYPERLINK("#",""), HYPERLINK(CONCATENATE("#Metadata!", ADDRESS(INDEX($W$2:$W$1001,MATCH(ROWS($U$2:U249),$U$2:$U$1001,0),0), INDEX($AB$1004:$AQ$1004,1,MATCH(COLUMNS($AB$1006:AQ1006),$AB$1006:$AQ$1006,0)))),"Fix")))</f>
        <v>0</v>
      </c>
      <c r="U249">
        <v>0</v>
      </c>
      <c r="V249">
        <v>0</v>
      </c>
      <c r="W249">
        <v>0</v>
      </c>
      <c r="X249">
        <f>IF(Y249,TRUE,AND(AB249:AQ249))</f>
        <v>0</v>
      </c>
      <c r="Y249">
        <f>COUNTBLANK(Metadata!B249:Q249)=COLUMNS(Metadata!B249:Q249)</f>
        <v>0</v>
      </c>
      <c r="Z249">
        <v>0</v>
      </c>
      <c r="AB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AC249">
        <f>AND(IF(Metadata!C249="",FALSE,TRUE),exact(Metadata!C249,"urban biome"))</f>
        <v>0</v>
      </c>
      <c r="AD249">
        <f>AND(IF(Metadata!D249="",FALSE,TRUE),exact(Metadata!D249,"human-associated habitat"))</f>
        <v>0</v>
      </c>
      <c r="AE249">
        <f>AND(IF(Metadata!E249="",FALSE,TRUE),OR(exact(Metadata!E249,"human-associated"),exact(Metadata!E249,"human-skin"),exact(Metadata!E249,"human-oral"),exact(Metadata!E249,"human-gut"),exact(Metadata!E249,"human-vaginal")))</f>
        <v>0</v>
      </c>
      <c r="AF249">
        <f>AND(IF(Metadata!F249="",FALSE,ISNUMBER(VALUE(Metadata!F249))),Metadata!F249&gt;0)</f>
        <v>0</v>
      </c>
      <c r="AG249">
        <f>AND(IF(Metadata!G249="",FALSE,TRUE),exact(Metadata!G249,"years"))</f>
        <v>0</v>
      </c>
      <c r="AH249">
        <f>OR(AND(IF(Metadata!H249="",FALSE,TRUE),OR(exact(Metadata!H249,"not applicable"),exact(Metadata!H249,"not collected"),exact(Metadata!H249,"not provided"),exact(Metadata!H249,"restricted access"))),AND(IF(Metadata!H249="",FALSE,ISNUMBER(VALUE(Metadata!H249))),Metadata!H249&gt;0))</f>
        <v>0</v>
      </c>
      <c r="AI249">
        <f>AND(IF(Metadata!I249="",FALSE,TRUE),exact(Metadata!I249,"human"))</f>
        <v>0</v>
      </c>
      <c r="AJ249">
        <f>AND(IF(Metadata!J249="",FALSE,ISNUMBER(VALUE(Metadata!J249))),Metadata!J249&gt;0)</f>
        <v>0</v>
      </c>
      <c r="AK249">
        <f>AND(IF(Metadata!K249="",FALSE,TRUE),exact(Metadata!K249,"cm"))</f>
        <v>0</v>
      </c>
      <c r="AL249">
        <f>AND(IF(Metadata!L249="",FALSE,TRUE),exact(Metadata!L249,"Homo sapiens"))</f>
        <v>0</v>
      </c>
      <c r="AM249">
        <f>AND(IF(Metadata!M249="",FALSE,TRUE),exact(Metadata!M249,"9606"))</f>
        <v>0</v>
      </c>
      <c r="AN249">
        <f>AND(IF(Metadata!N249="",FALSE,ISNUMBER(VALUE(Metadata!N249))),Metadata!N249&gt;0)</f>
        <v>0</v>
      </c>
      <c r="AO249">
        <f>AND(IF(Metadata!O249="",FALSE,TRUE),exact(Metadata!O249,"kg"))</f>
        <v>0</v>
      </c>
      <c r="AP249">
        <f>OR(AND(IF(Metadata!P249="",FALSE,TRUE),exact(Metadata!P249,"not provided")),IF(Metadata!P249="",FALSE,TRUE))</f>
        <v>0</v>
      </c>
      <c r="AQ249">
        <f>OR(AND(IF(Metadata!Q249="",FALSE,TRUE),exact(Metadata!Q249,"not provided")),IF(Metadata!Q249="",FALSE,TRUE))</f>
        <v>0</v>
      </c>
    </row>
    <row r="250" spans="1:43">
      <c r="A250" s="4">
        <f>IF(B250=" "," ",HYPERLINK(CONCATENATE("#metadata!",ADDRESS(INDEX($W$2:$W$1001,MATCH(ROWS($U$2:U250),$U$2:$U$1001,0),0),2)),INDEX($Z$2:$Z$1001,MATCH(ROWS($U$2:U250),$U$2:$U$1001,0),0)))</f>
        <v>0</v>
      </c>
      <c r="B250" s="5">
        <f>IF(OR(INDEX($V$2:$V$1001,MATCH(ROWS($U$2:U250),$U$2:$U$1001,0),1)&gt;=100000,INDEX($AB$1005:$AQ$1005,1,MATCH(COLUMNS($AB$1006:AB1006),$AB$1006:$AQ$1006,0))&gt;=100000), " ",IF(INDEX($AB$2:$AQ$1001,MATCH(ROWS($U$2:U250),$U$2:$U$1001,0),MATCH(COLUMNS($AB$1006:AB1006),$AB$1006:$AQ$1006,0)), HYPERLINK("#",""), HYPERLINK(CONCATENATE("#Metadata!", ADDRESS(INDEX($W$2:$W$1001,MATCH(ROWS($U$2:U250),$U$2:$U$1001,0),0), INDEX($AB$1004:$AQ$1004,1,MATCH(COLUMNS($AB$1006:AB1006),$AB$1006:$AQ$1006,0)))),"Fix")))</f>
        <v>0</v>
      </c>
      <c r="C250" s="5">
        <f>IF(OR(INDEX($V$2:$V$1001,MATCH(ROWS($U$2:U250),$U$2:$U$1001,0),1)&gt;=100000,INDEX($AB$1005:$AQ$1005,1,MATCH(COLUMNS($AB$1006:AC1006),$AB$1006:$AQ$1006,0))&gt;=100000), " ",IF(INDEX($AB$2:$AQ$1001,MATCH(ROWS($U$2:U250),$U$2:$U$1001,0),MATCH(COLUMNS($AB$1006:AC1006),$AB$1006:$AQ$1006,0)), HYPERLINK("#",""), HYPERLINK(CONCATENATE("#Metadata!", ADDRESS(INDEX($W$2:$W$1001,MATCH(ROWS($U$2:U250),$U$2:$U$1001,0),0), INDEX($AB$1004:$AQ$1004,1,MATCH(COLUMNS($AB$1006:AC1006),$AB$1006:$AQ$1006,0)))),"Fix")))</f>
        <v>0</v>
      </c>
      <c r="D250" s="5">
        <f>IF(OR(INDEX($V$2:$V$1001,MATCH(ROWS($U$2:U250),$U$2:$U$1001,0),1)&gt;=100000,INDEX($AB$1005:$AQ$1005,1,MATCH(COLUMNS($AB$1006:AD1006),$AB$1006:$AQ$1006,0))&gt;=100000), " ",IF(INDEX($AB$2:$AQ$1001,MATCH(ROWS($U$2:U250),$U$2:$U$1001,0),MATCH(COLUMNS($AB$1006:AD1006),$AB$1006:$AQ$1006,0)), HYPERLINK("#",""), HYPERLINK(CONCATENATE("#Metadata!", ADDRESS(INDEX($W$2:$W$1001,MATCH(ROWS($U$2:U250),$U$2:$U$1001,0),0), INDEX($AB$1004:$AQ$1004,1,MATCH(COLUMNS($AB$1006:AD1006),$AB$1006:$AQ$1006,0)))),"Fix")))</f>
        <v>0</v>
      </c>
      <c r="E250" s="5">
        <f>IF(OR(INDEX($V$2:$V$1001,MATCH(ROWS($U$2:U250),$U$2:$U$1001,0),1)&gt;=100000,INDEX($AB$1005:$AQ$1005,1,MATCH(COLUMNS($AB$1006:AE1006),$AB$1006:$AQ$1006,0))&gt;=100000), " ",IF(INDEX($AB$2:$AQ$1001,MATCH(ROWS($U$2:U250),$U$2:$U$1001,0),MATCH(COLUMNS($AB$1006:AE1006),$AB$1006:$AQ$1006,0)), HYPERLINK("#",""), HYPERLINK(CONCATENATE("#Metadata!", ADDRESS(INDEX($W$2:$W$1001,MATCH(ROWS($U$2:U250),$U$2:$U$1001,0),0), INDEX($AB$1004:$AQ$1004,1,MATCH(COLUMNS($AB$1006:AE1006),$AB$1006:$AQ$1006,0)))),"Fix")))</f>
        <v>0</v>
      </c>
      <c r="F250" s="5">
        <f>IF(OR(INDEX($V$2:$V$1001,MATCH(ROWS($U$2:U250),$U$2:$U$1001,0),1)&gt;=100000,INDEX($AB$1005:$AQ$1005,1,MATCH(COLUMNS($AB$1006:AF1006),$AB$1006:$AQ$1006,0))&gt;=100000), " ",IF(INDEX($AB$2:$AQ$1001,MATCH(ROWS($U$2:U250),$U$2:$U$1001,0),MATCH(COLUMNS($AB$1006:AF1006),$AB$1006:$AQ$1006,0)), HYPERLINK("#",""), HYPERLINK(CONCATENATE("#Metadata!", ADDRESS(INDEX($W$2:$W$1001,MATCH(ROWS($U$2:U250),$U$2:$U$1001,0),0), INDEX($AB$1004:$AQ$1004,1,MATCH(COLUMNS($AB$1006:AF1006),$AB$1006:$AQ$1006,0)))),"Fix")))</f>
        <v>0</v>
      </c>
      <c r="G250" s="5">
        <f>IF(OR(INDEX($V$2:$V$1001,MATCH(ROWS($U$2:U250),$U$2:$U$1001,0),1)&gt;=100000,INDEX($AB$1005:$AQ$1005,1,MATCH(COLUMNS($AB$1006:AG1006),$AB$1006:$AQ$1006,0))&gt;=100000), " ",IF(INDEX($AB$2:$AQ$1001,MATCH(ROWS($U$2:U250),$U$2:$U$1001,0),MATCH(COLUMNS($AB$1006:AG1006),$AB$1006:$AQ$1006,0)), HYPERLINK("#",""), HYPERLINK(CONCATENATE("#Metadata!", ADDRESS(INDEX($W$2:$W$1001,MATCH(ROWS($U$2:U250),$U$2:$U$1001,0),0), INDEX($AB$1004:$AQ$1004,1,MATCH(COLUMNS($AB$1006:AG1006),$AB$1006:$AQ$1006,0)))),"Fix")))</f>
        <v>0</v>
      </c>
      <c r="H250" s="5">
        <f>IF(OR(INDEX($V$2:$V$1001,MATCH(ROWS($U$2:U250),$U$2:$U$1001,0),1)&gt;=100000,INDEX($AB$1005:$AQ$1005,1,MATCH(COLUMNS($AB$1006:AH1006),$AB$1006:$AQ$1006,0))&gt;=100000), " ",IF(INDEX($AB$2:$AQ$1001,MATCH(ROWS($U$2:U250),$U$2:$U$1001,0),MATCH(COLUMNS($AB$1006:AH1006),$AB$1006:$AQ$1006,0)), HYPERLINK("#",""), HYPERLINK(CONCATENATE("#Metadata!", ADDRESS(INDEX($W$2:$W$1001,MATCH(ROWS($U$2:U250),$U$2:$U$1001,0),0), INDEX($AB$1004:$AQ$1004,1,MATCH(COLUMNS($AB$1006:AH1006),$AB$1006:$AQ$1006,0)))),"Fix")))</f>
        <v>0</v>
      </c>
      <c r="I250" s="5">
        <f>IF(OR(INDEX($V$2:$V$1001,MATCH(ROWS($U$2:U250),$U$2:$U$1001,0),1)&gt;=100000,INDEX($AB$1005:$AQ$1005,1,MATCH(COLUMNS($AB$1006:AI1006),$AB$1006:$AQ$1006,0))&gt;=100000), " ",IF(INDEX($AB$2:$AQ$1001,MATCH(ROWS($U$2:U250),$U$2:$U$1001,0),MATCH(COLUMNS($AB$1006:AI1006),$AB$1006:$AQ$1006,0)), HYPERLINK("#",""), HYPERLINK(CONCATENATE("#Metadata!", ADDRESS(INDEX($W$2:$W$1001,MATCH(ROWS($U$2:U250),$U$2:$U$1001,0),0), INDEX($AB$1004:$AQ$1004,1,MATCH(COLUMNS($AB$1006:AI1006),$AB$1006:$AQ$1006,0)))),"Fix")))</f>
        <v>0</v>
      </c>
      <c r="J250" s="5">
        <f>IF(OR(INDEX($V$2:$V$1001,MATCH(ROWS($U$2:U250),$U$2:$U$1001,0),1)&gt;=100000,INDEX($AB$1005:$AQ$1005,1,MATCH(COLUMNS($AB$1006:AJ1006),$AB$1006:$AQ$1006,0))&gt;=100000), " ",IF(INDEX($AB$2:$AQ$1001,MATCH(ROWS($U$2:U250),$U$2:$U$1001,0),MATCH(COLUMNS($AB$1006:AJ1006),$AB$1006:$AQ$1006,0)), HYPERLINK("#",""), HYPERLINK(CONCATENATE("#Metadata!", ADDRESS(INDEX($W$2:$W$1001,MATCH(ROWS($U$2:U250),$U$2:$U$1001,0),0), INDEX($AB$1004:$AQ$1004,1,MATCH(COLUMNS($AB$1006:AJ1006),$AB$1006:$AQ$1006,0)))),"Fix")))</f>
        <v>0</v>
      </c>
      <c r="K250" s="5">
        <f>IF(OR(INDEX($V$2:$V$1001,MATCH(ROWS($U$2:U250),$U$2:$U$1001,0),1)&gt;=100000,INDEX($AB$1005:$AQ$1005,1,MATCH(COLUMNS($AB$1006:AK1006),$AB$1006:$AQ$1006,0))&gt;=100000), " ",IF(INDEX($AB$2:$AQ$1001,MATCH(ROWS($U$2:U250),$U$2:$U$1001,0),MATCH(COLUMNS($AB$1006:AK1006),$AB$1006:$AQ$1006,0)), HYPERLINK("#",""), HYPERLINK(CONCATENATE("#Metadata!", ADDRESS(INDEX($W$2:$W$1001,MATCH(ROWS($U$2:U250),$U$2:$U$1001,0),0), INDEX($AB$1004:$AQ$1004,1,MATCH(COLUMNS($AB$1006:AK1006),$AB$1006:$AQ$1006,0)))),"Fix")))</f>
        <v>0</v>
      </c>
      <c r="L250" s="5">
        <f>IF(OR(INDEX($V$2:$V$1001,MATCH(ROWS($U$2:U250),$U$2:$U$1001,0),1)&gt;=100000,INDEX($AB$1005:$AQ$1005,1,MATCH(COLUMNS($AB$1006:AL1006),$AB$1006:$AQ$1006,0))&gt;=100000), " ",IF(INDEX($AB$2:$AQ$1001,MATCH(ROWS($U$2:U250),$U$2:$U$1001,0),MATCH(COLUMNS($AB$1006:AL1006),$AB$1006:$AQ$1006,0)), HYPERLINK("#",""), HYPERLINK(CONCATENATE("#Metadata!", ADDRESS(INDEX($W$2:$W$1001,MATCH(ROWS($U$2:U250),$U$2:$U$1001,0),0), INDEX($AB$1004:$AQ$1004,1,MATCH(COLUMNS($AB$1006:AL1006),$AB$1006:$AQ$1006,0)))),"Fix")))</f>
        <v>0</v>
      </c>
      <c r="M250" s="5">
        <f>IF(OR(INDEX($V$2:$V$1001,MATCH(ROWS($U$2:U250),$U$2:$U$1001,0),1)&gt;=100000,INDEX($AB$1005:$AQ$1005,1,MATCH(COLUMNS($AB$1006:AM1006),$AB$1006:$AQ$1006,0))&gt;=100000), " ",IF(INDEX($AB$2:$AQ$1001,MATCH(ROWS($U$2:U250),$U$2:$U$1001,0),MATCH(COLUMNS($AB$1006:AM1006),$AB$1006:$AQ$1006,0)), HYPERLINK("#",""), HYPERLINK(CONCATENATE("#Metadata!", ADDRESS(INDEX($W$2:$W$1001,MATCH(ROWS($U$2:U250),$U$2:$U$1001,0),0), INDEX($AB$1004:$AQ$1004,1,MATCH(COLUMNS($AB$1006:AM1006),$AB$1006:$AQ$1006,0)))),"Fix")))</f>
        <v>0</v>
      </c>
      <c r="N250" s="5">
        <f>IF(OR(INDEX($V$2:$V$1001,MATCH(ROWS($U$2:U250),$U$2:$U$1001,0),1)&gt;=100000,INDEX($AB$1005:$AQ$1005,1,MATCH(COLUMNS($AB$1006:AN1006),$AB$1006:$AQ$1006,0))&gt;=100000), " ",IF(INDEX($AB$2:$AQ$1001,MATCH(ROWS($U$2:U250),$U$2:$U$1001,0),MATCH(COLUMNS($AB$1006:AN1006),$AB$1006:$AQ$1006,0)), HYPERLINK("#",""), HYPERLINK(CONCATENATE("#Metadata!", ADDRESS(INDEX($W$2:$W$1001,MATCH(ROWS($U$2:U250),$U$2:$U$1001,0),0), INDEX($AB$1004:$AQ$1004,1,MATCH(COLUMNS($AB$1006:AN1006),$AB$1006:$AQ$1006,0)))),"Fix")))</f>
        <v>0</v>
      </c>
      <c r="O250" s="5">
        <f>IF(OR(INDEX($V$2:$V$1001,MATCH(ROWS($U$2:U250),$U$2:$U$1001,0),1)&gt;=100000,INDEX($AB$1005:$AQ$1005,1,MATCH(COLUMNS($AB$1006:AO1006),$AB$1006:$AQ$1006,0))&gt;=100000), " ",IF(INDEX($AB$2:$AQ$1001,MATCH(ROWS($U$2:U250),$U$2:$U$1001,0),MATCH(COLUMNS($AB$1006:AO1006),$AB$1006:$AQ$1006,0)), HYPERLINK("#",""), HYPERLINK(CONCATENATE("#Metadata!", ADDRESS(INDEX($W$2:$W$1001,MATCH(ROWS($U$2:U250),$U$2:$U$1001,0),0), INDEX($AB$1004:$AQ$1004,1,MATCH(COLUMNS($AB$1006:AO1006),$AB$1006:$AQ$1006,0)))),"Fix")))</f>
        <v>0</v>
      </c>
      <c r="P250" s="5">
        <f>IF(OR(INDEX($V$2:$V$1001,MATCH(ROWS($U$2:U250),$U$2:$U$1001,0),1)&gt;=100000,INDEX($AB$1005:$AQ$1005,1,MATCH(COLUMNS($AB$1006:AP1006),$AB$1006:$AQ$1006,0))&gt;=100000), " ",IF(INDEX($AB$2:$AQ$1001,MATCH(ROWS($U$2:U250),$U$2:$U$1001,0),MATCH(COLUMNS($AB$1006:AP1006),$AB$1006:$AQ$1006,0)), HYPERLINK("#",""), HYPERLINK(CONCATENATE("#Metadata!", ADDRESS(INDEX($W$2:$W$1001,MATCH(ROWS($U$2:U250),$U$2:$U$1001,0),0), INDEX($AB$1004:$AQ$1004,1,MATCH(COLUMNS($AB$1006:AP1006),$AB$1006:$AQ$1006,0)))),"Fix")))</f>
        <v>0</v>
      </c>
      <c r="Q250" s="5">
        <f>IF(OR(INDEX($V$2:$V$1001,MATCH(ROWS($U$2:U250),$U$2:$U$1001,0),1)&gt;=100000,INDEX($AB$1005:$AQ$1005,1,MATCH(COLUMNS($AB$1006:AQ1006),$AB$1006:$AQ$1006,0))&gt;=100000), " ",IF(INDEX($AB$2:$AQ$1001,MATCH(ROWS($U$2:U250),$U$2:$U$1001,0),MATCH(COLUMNS($AB$1006:AQ1006),$AB$1006:$AQ$1006,0)), HYPERLINK("#",""), HYPERLINK(CONCATENATE("#Metadata!", ADDRESS(INDEX($W$2:$W$1001,MATCH(ROWS($U$2:U250),$U$2:$U$1001,0),0), INDEX($AB$1004:$AQ$1004,1,MATCH(COLUMNS($AB$1006:AQ1006),$AB$1006:$AQ$1006,0)))),"Fix")))</f>
        <v>0</v>
      </c>
      <c r="U250">
        <v>0</v>
      </c>
      <c r="V250">
        <v>0</v>
      </c>
      <c r="W250">
        <v>0</v>
      </c>
      <c r="X250">
        <f>IF(Y250,TRUE,AND(AB250:AQ250))</f>
        <v>0</v>
      </c>
      <c r="Y250">
        <f>COUNTBLANK(Metadata!B250:Q250)=COLUMNS(Metadata!B250:Q250)</f>
        <v>0</v>
      </c>
      <c r="Z250">
        <v>0</v>
      </c>
      <c r="AB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AC250">
        <f>AND(IF(Metadata!C250="",FALSE,TRUE),exact(Metadata!C250,"urban biome"))</f>
        <v>0</v>
      </c>
      <c r="AD250">
        <f>AND(IF(Metadata!D250="",FALSE,TRUE),exact(Metadata!D250,"human-associated habitat"))</f>
        <v>0</v>
      </c>
      <c r="AE250">
        <f>AND(IF(Metadata!E250="",FALSE,TRUE),OR(exact(Metadata!E250,"human-associated"),exact(Metadata!E250,"human-skin"),exact(Metadata!E250,"human-oral"),exact(Metadata!E250,"human-gut"),exact(Metadata!E250,"human-vaginal")))</f>
        <v>0</v>
      </c>
      <c r="AF250">
        <f>AND(IF(Metadata!F250="",FALSE,ISNUMBER(VALUE(Metadata!F250))),Metadata!F250&gt;0)</f>
        <v>0</v>
      </c>
      <c r="AG250">
        <f>AND(IF(Metadata!G250="",FALSE,TRUE),exact(Metadata!G250,"years"))</f>
        <v>0</v>
      </c>
      <c r="AH250">
        <f>OR(AND(IF(Metadata!H250="",FALSE,TRUE),OR(exact(Metadata!H250,"not applicable"),exact(Metadata!H250,"not collected"),exact(Metadata!H250,"not provided"),exact(Metadata!H250,"restricted access"))),AND(IF(Metadata!H250="",FALSE,ISNUMBER(VALUE(Metadata!H250))),Metadata!H250&gt;0))</f>
        <v>0</v>
      </c>
      <c r="AI250">
        <f>AND(IF(Metadata!I250="",FALSE,TRUE),exact(Metadata!I250,"human"))</f>
        <v>0</v>
      </c>
      <c r="AJ250">
        <f>AND(IF(Metadata!J250="",FALSE,ISNUMBER(VALUE(Metadata!J250))),Metadata!J250&gt;0)</f>
        <v>0</v>
      </c>
      <c r="AK250">
        <f>AND(IF(Metadata!K250="",FALSE,TRUE),exact(Metadata!K250,"cm"))</f>
        <v>0</v>
      </c>
      <c r="AL250">
        <f>AND(IF(Metadata!L250="",FALSE,TRUE),exact(Metadata!L250,"Homo sapiens"))</f>
        <v>0</v>
      </c>
      <c r="AM250">
        <f>AND(IF(Metadata!M250="",FALSE,TRUE),exact(Metadata!M250,"9606"))</f>
        <v>0</v>
      </c>
      <c r="AN250">
        <f>AND(IF(Metadata!N250="",FALSE,ISNUMBER(VALUE(Metadata!N250))),Metadata!N250&gt;0)</f>
        <v>0</v>
      </c>
      <c r="AO250">
        <f>AND(IF(Metadata!O250="",FALSE,TRUE),exact(Metadata!O250,"kg"))</f>
        <v>0</v>
      </c>
      <c r="AP250">
        <f>OR(AND(IF(Metadata!P250="",FALSE,TRUE),exact(Metadata!P250,"not provided")),IF(Metadata!P250="",FALSE,TRUE))</f>
        <v>0</v>
      </c>
      <c r="AQ250">
        <f>OR(AND(IF(Metadata!Q250="",FALSE,TRUE),exact(Metadata!Q250,"not provided")),IF(Metadata!Q250="",FALSE,TRUE))</f>
        <v>0</v>
      </c>
    </row>
    <row r="251" spans="1:43">
      <c r="A251" s="4">
        <f>IF(B251=" "," ",HYPERLINK(CONCATENATE("#metadata!",ADDRESS(INDEX($W$2:$W$1001,MATCH(ROWS($U$2:U251),$U$2:$U$1001,0),0),2)),INDEX($Z$2:$Z$1001,MATCH(ROWS($U$2:U251),$U$2:$U$1001,0),0)))</f>
        <v>0</v>
      </c>
      <c r="B251" s="5">
        <f>IF(OR(INDEX($V$2:$V$1001,MATCH(ROWS($U$2:U251),$U$2:$U$1001,0),1)&gt;=100000,INDEX($AB$1005:$AQ$1005,1,MATCH(COLUMNS($AB$1006:AB1006),$AB$1006:$AQ$1006,0))&gt;=100000), " ",IF(INDEX($AB$2:$AQ$1001,MATCH(ROWS($U$2:U251),$U$2:$U$1001,0),MATCH(COLUMNS($AB$1006:AB1006),$AB$1006:$AQ$1006,0)), HYPERLINK("#",""), HYPERLINK(CONCATENATE("#Metadata!", ADDRESS(INDEX($W$2:$W$1001,MATCH(ROWS($U$2:U251),$U$2:$U$1001,0),0), INDEX($AB$1004:$AQ$1004,1,MATCH(COLUMNS($AB$1006:AB1006),$AB$1006:$AQ$1006,0)))),"Fix")))</f>
        <v>0</v>
      </c>
      <c r="C251" s="5">
        <f>IF(OR(INDEX($V$2:$V$1001,MATCH(ROWS($U$2:U251),$U$2:$U$1001,0),1)&gt;=100000,INDEX($AB$1005:$AQ$1005,1,MATCH(COLUMNS($AB$1006:AC1006),$AB$1006:$AQ$1006,0))&gt;=100000), " ",IF(INDEX($AB$2:$AQ$1001,MATCH(ROWS($U$2:U251),$U$2:$U$1001,0),MATCH(COLUMNS($AB$1006:AC1006),$AB$1006:$AQ$1006,0)), HYPERLINK("#",""), HYPERLINK(CONCATENATE("#Metadata!", ADDRESS(INDEX($W$2:$W$1001,MATCH(ROWS($U$2:U251),$U$2:$U$1001,0),0), INDEX($AB$1004:$AQ$1004,1,MATCH(COLUMNS($AB$1006:AC1006),$AB$1006:$AQ$1006,0)))),"Fix")))</f>
        <v>0</v>
      </c>
      <c r="D251" s="5">
        <f>IF(OR(INDEX($V$2:$V$1001,MATCH(ROWS($U$2:U251),$U$2:$U$1001,0),1)&gt;=100000,INDEX($AB$1005:$AQ$1005,1,MATCH(COLUMNS($AB$1006:AD1006),$AB$1006:$AQ$1006,0))&gt;=100000), " ",IF(INDEX($AB$2:$AQ$1001,MATCH(ROWS($U$2:U251),$U$2:$U$1001,0),MATCH(COLUMNS($AB$1006:AD1006),$AB$1006:$AQ$1006,0)), HYPERLINK("#",""), HYPERLINK(CONCATENATE("#Metadata!", ADDRESS(INDEX($W$2:$W$1001,MATCH(ROWS($U$2:U251),$U$2:$U$1001,0),0), INDEX($AB$1004:$AQ$1004,1,MATCH(COLUMNS($AB$1006:AD1006),$AB$1006:$AQ$1006,0)))),"Fix")))</f>
        <v>0</v>
      </c>
      <c r="E251" s="5">
        <f>IF(OR(INDEX($V$2:$V$1001,MATCH(ROWS($U$2:U251),$U$2:$U$1001,0),1)&gt;=100000,INDEX($AB$1005:$AQ$1005,1,MATCH(COLUMNS($AB$1006:AE1006),$AB$1006:$AQ$1006,0))&gt;=100000), " ",IF(INDEX($AB$2:$AQ$1001,MATCH(ROWS($U$2:U251),$U$2:$U$1001,0),MATCH(COLUMNS($AB$1006:AE1006),$AB$1006:$AQ$1006,0)), HYPERLINK("#",""), HYPERLINK(CONCATENATE("#Metadata!", ADDRESS(INDEX($W$2:$W$1001,MATCH(ROWS($U$2:U251),$U$2:$U$1001,0),0), INDEX($AB$1004:$AQ$1004,1,MATCH(COLUMNS($AB$1006:AE1006),$AB$1006:$AQ$1006,0)))),"Fix")))</f>
        <v>0</v>
      </c>
      <c r="F251" s="5">
        <f>IF(OR(INDEX($V$2:$V$1001,MATCH(ROWS($U$2:U251),$U$2:$U$1001,0),1)&gt;=100000,INDEX($AB$1005:$AQ$1005,1,MATCH(COLUMNS($AB$1006:AF1006),$AB$1006:$AQ$1006,0))&gt;=100000), " ",IF(INDEX($AB$2:$AQ$1001,MATCH(ROWS($U$2:U251),$U$2:$U$1001,0),MATCH(COLUMNS($AB$1006:AF1006),$AB$1006:$AQ$1006,0)), HYPERLINK("#",""), HYPERLINK(CONCATENATE("#Metadata!", ADDRESS(INDEX($W$2:$W$1001,MATCH(ROWS($U$2:U251),$U$2:$U$1001,0),0), INDEX($AB$1004:$AQ$1004,1,MATCH(COLUMNS($AB$1006:AF1006),$AB$1006:$AQ$1006,0)))),"Fix")))</f>
        <v>0</v>
      </c>
      <c r="G251" s="5">
        <f>IF(OR(INDEX($V$2:$V$1001,MATCH(ROWS($U$2:U251),$U$2:$U$1001,0),1)&gt;=100000,INDEX($AB$1005:$AQ$1005,1,MATCH(COLUMNS($AB$1006:AG1006),$AB$1006:$AQ$1006,0))&gt;=100000), " ",IF(INDEX($AB$2:$AQ$1001,MATCH(ROWS($U$2:U251),$U$2:$U$1001,0),MATCH(COLUMNS($AB$1006:AG1006),$AB$1006:$AQ$1006,0)), HYPERLINK("#",""), HYPERLINK(CONCATENATE("#Metadata!", ADDRESS(INDEX($W$2:$W$1001,MATCH(ROWS($U$2:U251),$U$2:$U$1001,0),0), INDEX($AB$1004:$AQ$1004,1,MATCH(COLUMNS($AB$1006:AG1006),$AB$1006:$AQ$1006,0)))),"Fix")))</f>
        <v>0</v>
      </c>
      <c r="H251" s="5">
        <f>IF(OR(INDEX($V$2:$V$1001,MATCH(ROWS($U$2:U251),$U$2:$U$1001,0),1)&gt;=100000,INDEX($AB$1005:$AQ$1005,1,MATCH(COLUMNS($AB$1006:AH1006),$AB$1006:$AQ$1006,0))&gt;=100000), " ",IF(INDEX($AB$2:$AQ$1001,MATCH(ROWS($U$2:U251),$U$2:$U$1001,0),MATCH(COLUMNS($AB$1006:AH1006),$AB$1006:$AQ$1006,0)), HYPERLINK("#",""), HYPERLINK(CONCATENATE("#Metadata!", ADDRESS(INDEX($W$2:$W$1001,MATCH(ROWS($U$2:U251),$U$2:$U$1001,0),0), INDEX($AB$1004:$AQ$1004,1,MATCH(COLUMNS($AB$1006:AH1006),$AB$1006:$AQ$1006,0)))),"Fix")))</f>
        <v>0</v>
      </c>
      <c r="I251" s="5">
        <f>IF(OR(INDEX($V$2:$V$1001,MATCH(ROWS($U$2:U251),$U$2:$U$1001,0),1)&gt;=100000,INDEX($AB$1005:$AQ$1005,1,MATCH(COLUMNS($AB$1006:AI1006),$AB$1006:$AQ$1006,0))&gt;=100000), " ",IF(INDEX($AB$2:$AQ$1001,MATCH(ROWS($U$2:U251),$U$2:$U$1001,0),MATCH(COLUMNS($AB$1006:AI1006),$AB$1006:$AQ$1006,0)), HYPERLINK("#",""), HYPERLINK(CONCATENATE("#Metadata!", ADDRESS(INDEX($W$2:$W$1001,MATCH(ROWS($U$2:U251),$U$2:$U$1001,0),0), INDEX($AB$1004:$AQ$1004,1,MATCH(COLUMNS($AB$1006:AI1006),$AB$1006:$AQ$1006,0)))),"Fix")))</f>
        <v>0</v>
      </c>
      <c r="J251" s="5">
        <f>IF(OR(INDEX($V$2:$V$1001,MATCH(ROWS($U$2:U251),$U$2:$U$1001,0),1)&gt;=100000,INDEX($AB$1005:$AQ$1005,1,MATCH(COLUMNS($AB$1006:AJ1006),$AB$1006:$AQ$1006,0))&gt;=100000), " ",IF(INDEX($AB$2:$AQ$1001,MATCH(ROWS($U$2:U251),$U$2:$U$1001,0),MATCH(COLUMNS($AB$1006:AJ1006),$AB$1006:$AQ$1006,0)), HYPERLINK("#",""), HYPERLINK(CONCATENATE("#Metadata!", ADDRESS(INDEX($W$2:$W$1001,MATCH(ROWS($U$2:U251),$U$2:$U$1001,0),0), INDEX($AB$1004:$AQ$1004,1,MATCH(COLUMNS($AB$1006:AJ1006),$AB$1006:$AQ$1006,0)))),"Fix")))</f>
        <v>0</v>
      </c>
      <c r="K251" s="5">
        <f>IF(OR(INDEX($V$2:$V$1001,MATCH(ROWS($U$2:U251),$U$2:$U$1001,0),1)&gt;=100000,INDEX($AB$1005:$AQ$1005,1,MATCH(COLUMNS($AB$1006:AK1006),$AB$1006:$AQ$1006,0))&gt;=100000), " ",IF(INDEX($AB$2:$AQ$1001,MATCH(ROWS($U$2:U251),$U$2:$U$1001,0),MATCH(COLUMNS($AB$1006:AK1006),$AB$1006:$AQ$1006,0)), HYPERLINK("#",""), HYPERLINK(CONCATENATE("#Metadata!", ADDRESS(INDEX($W$2:$W$1001,MATCH(ROWS($U$2:U251),$U$2:$U$1001,0),0), INDEX($AB$1004:$AQ$1004,1,MATCH(COLUMNS($AB$1006:AK1006),$AB$1006:$AQ$1006,0)))),"Fix")))</f>
        <v>0</v>
      </c>
      <c r="L251" s="5">
        <f>IF(OR(INDEX($V$2:$V$1001,MATCH(ROWS($U$2:U251),$U$2:$U$1001,0),1)&gt;=100000,INDEX($AB$1005:$AQ$1005,1,MATCH(COLUMNS($AB$1006:AL1006),$AB$1006:$AQ$1006,0))&gt;=100000), " ",IF(INDEX($AB$2:$AQ$1001,MATCH(ROWS($U$2:U251),$U$2:$U$1001,0),MATCH(COLUMNS($AB$1006:AL1006),$AB$1006:$AQ$1006,0)), HYPERLINK("#",""), HYPERLINK(CONCATENATE("#Metadata!", ADDRESS(INDEX($W$2:$W$1001,MATCH(ROWS($U$2:U251),$U$2:$U$1001,0),0), INDEX($AB$1004:$AQ$1004,1,MATCH(COLUMNS($AB$1006:AL1006),$AB$1006:$AQ$1006,0)))),"Fix")))</f>
        <v>0</v>
      </c>
      <c r="M251" s="5">
        <f>IF(OR(INDEX($V$2:$V$1001,MATCH(ROWS($U$2:U251),$U$2:$U$1001,0),1)&gt;=100000,INDEX($AB$1005:$AQ$1005,1,MATCH(COLUMNS($AB$1006:AM1006),$AB$1006:$AQ$1006,0))&gt;=100000), " ",IF(INDEX($AB$2:$AQ$1001,MATCH(ROWS($U$2:U251),$U$2:$U$1001,0),MATCH(COLUMNS($AB$1006:AM1006),$AB$1006:$AQ$1006,0)), HYPERLINK("#",""), HYPERLINK(CONCATENATE("#Metadata!", ADDRESS(INDEX($W$2:$W$1001,MATCH(ROWS($U$2:U251),$U$2:$U$1001,0),0), INDEX($AB$1004:$AQ$1004,1,MATCH(COLUMNS($AB$1006:AM1006),$AB$1006:$AQ$1006,0)))),"Fix")))</f>
        <v>0</v>
      </c>
      <c r="N251" s="5">
        <f>IF(OR(INDEX($V$2:$V$1001,MATCH(ROWS($U$2:U251),$U$2:$U$1001,0),1)&gt;=100000,INDEX($AB$1005:$AQ$1005,1,MATCH(COLUMNS($AB$1006:AN1006),$AB$1006:$AQ$1006,0))&gt;=100000), " ",IF(INDEX($AB$2:$AQ$1001,MATCH(ROWS($U$2:U251),$U$2:$U$1001,0),MATCH(COLUMNS($AB$1006:AN1006),$AB$1006:$AQ$1006,0)), HYPERLINK("#",""), HYPERLINK(CONCATENATE("#Metadata!", ADDRESS(INDEX($W$2:$W$1001,MATCH(ROWS($U$2:U251),$U$2:$U$1001,0),0), INDEX($AB$1004:$AQ$1004,1,MATCH(COLUMNS($AB$1006:AN1006),$AB$1006:$AQ$1006,0)))),"Fix")))</f>
        <v>0</v>
      </c>
      <c r="O251" s="5">
        <f>IF(OR(INDEX($V$2:$V$1001,MATCH(ROWS($U$2:U251),$U$2:$U$1001,0),1)&gt;=100000,INDEX($AB$1005:$AQ$1005,1,MATCH(COLUMNS($AB$1006:AO1006),$AB$1006:$AQ$1006,0))&gt;=100000), " ",IF(INDEX($AB$2:$AQ$1001,MATCH(ROWS($U$2:U251),$U$2:$U$1001,0),MATCH(COLUMNS($AB$1006:AO1006),$AB$1006:$AQ$1006,0)), HYPERLINK("#",""), HYPERLINK(CONCATENATE("#Metadata!", ADDRESS(INDEX($W$2:$W$1001,MATCH(ROWS($U$2:U251),$U$2:$U$1001,0),0), INDEX($AB$1004:$AQ$1004,1,MATCH(COLUMNS($AB$1006:AO1006),$AB$1006:$AQ$1006,0)))),"Fix")))</f>
        <v>0</v>
      </c>
      <c r="P251" s="5">
        <f>IF(OR(INDEX($V$2:$V$1001,MATCH(ROWS($U$2:U251),$U$2:$U$1001,0),1)&gt;=100000,INDEX($AB$1005:$AQ$1005,1,MATCH(COLUMNS($AB$1006:AP1006),$AB$1006:$AQ$1006,0))&gt;=100000), " ",IF(INDEX($AB$2:$AQ$1001,MATCH(ROWS($U$2:U251),$U$2:$U$1001,0),MATCH(COLUMNS($AB$1006:AP1006),$AB$1006:$AQ$1006,0)), HYPERLINK("#",""), HYPERLINK(CONCATENATE("#Metadata!", ADDRESS(INDEX($W$2:$W$1001,MATCH(ROWS($U$2:U251),$U$2:$U$1001,0),0), INDEX($AB$1004:$AQ$1004,1,MATCH(COLUMNS($AB$1006:AP1006),$AB$1006:$AQ$1006,0)))),"Fix")))</f>
        <v>0</v>
      </c>
      <c r="Q251" s="5">
        <f>IF(OR(INDEX($V$2:$V$1001,MATCH(ROWS($U$2:U251),$U$2:$U$1001,0),1)&gt;=100000,INDEX($AB$1005:$AQ$1005,1,MATCH(COLUMNS($AB$1006:AQ1006),$AB$1006:$AQ$1006,0))&gt;=100000), " ",IF(INDEX($AB$2:$AQ$1001,MATCH(ROWS($U$2:U251),$U$2:$U$1001,0),MATCH(COLUMNS($AB$1006:AQ1006),$AB$1006:$AQ$1006,0)), HYPERLINK("#",""), HYPERLINK(CONCATENATE("#Metadata!", ADDRESS(INDEX($W$2:$W$1001,MATCH(ROWS($U$2:U251),$U$2:$U$1001,0),0), INDEX($AB$1004:$AQ$1004,1,MATCH(COLUMNS($AB$1006:AQ1006),$AB$1006:$AQ$1006,0)))),"Fix")))</f>
        <v>0</v>
      </c>
      <c r="U251">
        <v>0</v>
      </c>
      <c r="V251">
        <v>0</v>
      </c>
      <c r="W251">
        <v>0</v>
      </c>
      <c r="X251">
        <f>IF(Y251,TRUE,AND(AB251:AQ251))</f>
        <v>0</v>
      </c>
      <c r="Y251">
        <f>COUNTBLANK(Metadata!B251:Q251)=COLUMNS(Metadata!B251:Q251)</f>
        <v>0</v>
      </c>
      <c r="Z251">
        <v>0</v>
      </c>
      <c r="AB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AC251">
        <f>AND(IF(Metadata!C251="",FALSE,TRUE),exact(Metadata!C251,"urban biome"))</f>
        <v>0</v>
      </c>
      <c r="AD251">
        <f>AND(IF(Metadata!D251="",FALSE,TRUE),exact(Metadata!D251,"human-associated habitat"))</f>
        <v>0</v>
      </c>
      <c r="AE251">
        <f>AND(IF(Metadata!E251="",FALSE,TRUE),OR(exact(Metadata!E251,"human-associated"),exact(Metadata!E251,"human-skin"),exact(Metadata!E251,"human-oral"),exact(Metadata!E251,"human-gut"),exact(Metadata!E251,"human-vaginal")))</f>
        <v>0</v>
      </c>
      <c r="AF251">
        <f>AND(IF(Metadata!F251="",FALSE,ISNUMBER(VALUE(Metadata!F251))),Metadata!F251&gt;0)</f>
        <v>0</v>
      </c>
      <c r="AG251">
        <f>AND(IF(Metadata!G251="",FALSE,TRUE),exact(Metadata!G251,"years"))</f>
        <v>0</v>
      </c>
      <c r="AH251">
        <f>OR(AND(IF(Metadata!H251="",FALSE,TRUE),OR(exact(Metadata!H251,"not applicable"),exact(Metadata!H251,"not collected"),exact(Metadata!H251,"not provided"),exact(Metadata!H251,"restricted access"))),AND(IF(Metadata!H251="",FALSE,ISNUMBER(VALUE(Metadata!H251))),Metadata!H251&gt;0))</f>
        <v>0</v>
      </c>
      <c r="AI251">
        <f>AND(IF(Metadata!I251="",FALSE,TRUE),exact(Metadata!I251,"human"))</f>
        <v>0</v>
      </c>
      <c r="AJ251">
        <f>AND(IF(Metadata!J251="",FALSE,ISNUMBER(VALUE(Metadata!J251))),Metadata!J251&gt;0)</f>
        <v>0</v>
      </c>
      <c r="AK251">
        <f>AND(IF(Metadata!K251="",FALSE,TRUE),exact(Metadata!K251,"cm"))</f>
        <v>0</v>
      </c>
      <c r="AL251">
        <f>AND(IF(Metadata!L251="",FALSE,TRUE),exact(Metadata!L251,"Homo sapiens"))</f>
        <v>0</v>
      </c>
      <c r="AM251">
        <f>AND(IF(Metadata!M251="",FALSE,TRUE),exact(Metadata!M251,"9606"))</f>
        <v>0</v>
      </c>
      <c r="AN251">
        <f>AND(IF(Metadata!N251="",FALSE,ISNUMBER(VALUE(Metadata!N251))),Metadata!N251&gt;0)</f>
        <v>0</v>
      </c>
      <c r="AO251">
        <f>AND(IF(Metadata!O251="",FALSE,TRUE),exact(Metadata!O251,"kg"))</f>
        <v>0</v>
      </c>
      <c r="AP251">
        <f>OR(AND(IF(Metadata!P251="",FALSE,TRUE),exact(Metadata!P251,"not provided")),IF(Metadata!P251="",FALSE,TRUE))</f>
        <v>0</v>
      </c>
      <c r="AQ251">
        <f>OR(AND(IF(Metadata!Q251="",FALSE,TRUE),exact(Metadata!Q251,"not provided")),IF(Metadata!Q251="",FALSE,TRUE))</f>
        <v>0</v>
      </c>
    </row>
    <row r="252" spans="1:43">
      <c r="A252" s="4">
        <f>IF(B252=" "," ",HYPERLINK(CONCATENATE("#metadata!",ADDRESS(INDEX($W$2:$W$1001,MATCH(ROWS($U$2:U252),$U$2:$U$1001,0),0),2)),INDEX($Z$2:$Z$1001,MATCH(ROWS($U$2:U252),$U$2:$U$1001,0),0)))</f>
        <v>0</v>
      </c>
      <c r="B252" s="5">
        <f>IF(OR(INDEX($V$2:$V$1001,MATCH(ROWS($U$2:U252),$U$2:$U$1001,0),1)&gt;=100000,INDEX($AB$1005:$AQ$1005,1,MATCH(COLUMNS($AB$1006:AB1006),$AB$1006:$AQ$1006,0))&gt;=100000), " ",IF(INDEX($AB$2:$AQ$1001,MATCH(ROWS($U$2:U252),$U$2:$U$1001,0),MATCH(COLUMNS($AB$1006:AB1006),$AB$1006:$AQ$1006,0)), HYPERLINK("#",""), HYPERLINK(CONCATENATE("#Metadata!", ADDRESS(INDEX($W$2:$W$1001,MATCH(ROWS($U$2:U252),$U$2:$U$1001,0),0), INDEX($AB$1004:$AQ$1004,1,MATCH(COLUMNS($AB$1006:AB1006),$AB$1006:$AQ$1006,0)))),"Fix")))</f>
        <v>0</v>
      </c>
      <c r="C252" s="5">
        <f>IF(OR(INDEX($V$2:$V$1001,MATCH(ROWS($U$2:U252),$U$2:$U$1001,0),1)&gt;=100000,INDEX($AB$1005:$AQ$1005,1,MATCH(COLUMNS($AB$1006:AC1006),$AB$1006:$AQ$1006,0))&gt;=100000), " ",IF(INDEX($AB$2:$AQ$1001,MATCH(ROWS($U$2:U252),$U$2:$U$1001,0),MATCH(COLUMNS($AB$1006:AC1006),$AB$1006:$AQ$1006,0)), HYPERLINK("#",""), HYPERLINK(CONCATENATE("#Metadata!", ADDRESS(INDEX($W$2:$W$1001,MATCH(ROWS($U$2:U252),$U$2:$U$1001,0),0), INDEX($AB$1004:$AQ$1004,1,MATCH(COLUMNS($AB$1006:AC1006),$AB$1006:$AQ$1006,0)))),"Fix")))</f>
        <v>0</v>
      </c>
      <c r="D252" s="5">
        <f>IF(OR(INDEX($V$2:$V$1001,MATCH(ROWS($U$2:U252),$U$2:$U$1001,0),1)&gt;=100000,INDEX($AB$1005:$AQ$1005,1,MATCH(COLUMNS($AB$1006:AD1006),$AB$1006:$AQ$1006,0))&gt;=100000), " ",IF(INDEX($AB$2:$AQ$1001,MATCH(ROWS($U$2:U252),$U$2:$U$1001,0),MATCH(COLUMNS($AB$1006:AD1006),$AB$1006:$AQ$1006,0)), HYPERLINK("#",""), HYPERLINK(CONCATENATE("#Metadata!", ADDRESS(INDEX($W$2:$W$1001,MATCH(ROWS($U$2:U252),$U$2:$U$1001,0),0), INDEX($AB$1004:$AQ$1004,1,MATCH(COLUMNS($AB$1006:AD1006),$AB$1006:$AQ$1006,0)))),"Fix")))</f>
        <v>0</v>
      </c>
      <c r="E252" s="5">
        <f>IF(OR(INDEX($V$2:$V$1001,MATCH(ROWS($U$2:U252),$U$2:$U$1001,0),1)&gt;=100000,INDEX($AB$1005:$AQ$1005,1,MATCH(COLUMNS($AB$1006:AE1006),$AB$1006:$AQ$1006,0))&gt;=100000), " ",IF(INDEX($AB$2:$AQ$1001,MATCH(ROWS($U$2:U252),$U$2:$U$1001,0),MATCH(COLUMNS($AB$1006:AE1006),$AB$1006:$AQ$1006,0)), HYPERLINK("#",""), HYPERLINK(CONCATENATE("#Metadata!", ADDRESS(INDEX($W$2:$W$1001,MATCH(ROWS($U$2:U252),$U$2:$U$1001,0),0), INDEX($AB$1004:$AQ$1004,1,MATCH(COLUMNS($AB$1006:AE1006),$AB$1006:$AQ$1006,0)))),"Fix")))</f>
        <v>0</v>
      </c>
      <c r="F252" s="5">
        <f>IF(OR(INDEX($V$2:$V$1001,MATCH(ROWS($U$2:U252),$U$2:$U$1001,0),1)&gt;=100000,INDEX($AB$1005:$AQ$1005,1,MATCH(COLUMNS($AB$1006:AF1006),$AB$1006:$AQ$1006,0))&gt;=100000), " ",IF(INDEX($AB$2:$AQ$1001,MATCH(ROWS($U$2:U252),$U$2:$U$1001,0),MATCH(COLUMNS($AB$1006:AF1006),$AB$1006:$AQ$1006,0)), HYPERLINK("#",""), HYPERLINK(CONCATENATE("#Metadata!", ADDRESS(INDEX($W$2:$W$1001,MATCH(ROWS($U$2:U252),$U$2:$U$1001,0),0), INDEX($AB$1004:$AQ$1004,1,MATCH(COLUMNS($AB$1006:AF1006),$AB$1006:$AQ$1006,0)))),"Fix")))</f>
        <v>0</v>
      </c>
      <c r="G252" s="5">
        <f>IF(OR(INDEX($V$2:$V$1001,MATCH(ROWS($U$2:U252),$U$2:$U$1001,0),1)&gt;=100000,INDEX($AB$1005:$AQ$1005,1,MATCH(COLUMNS($AB$1006:AG1006),$AB$1006:$AQ$1006,0))&gt;=100000), " ",IF(INDEX($AB$2:$AQ$1001,MATCH(ROWS($U$2:U252),$U$2:$U$1001,0),MATCH(COLUMNS($AB$1006:AG1006),$AB$1006:$AQ$1006,0)), HYPERLINK("#",""), HYPERLINK(CONCATENATE("#Metadata!", ADDRESS(INDEX($W$2:$W$1001,MATCH(ROWS($U$2:U252),$U$2:$U$1001,0),0), INDEX($AB$1004:$AQ$1004,1,MATCH(COLUMNS($AB$1006:AG1006),$AB$1006:$AQ$1006,0)))),"Fix")))</f>
        <v>0</v>
      </c>
      <c r="H252" s="5">
        <f>IF(OR(INDEX($V$2:$V$1001,MATCH(ROWS($U$2:U252),$U$2:$U$1001,0),1)&gt;=100000,INDEX($AB$1005:$AQ$1005,1,MATCH(COLUMNS($AB$1006:AH1006),$AB$1006:$AQ$1006,0))&gt;=100000), " ",IF(INDEX($AB$2:$AQ$1001,MATCH(ROWS($U$2:U252),$U$2:$U$1001,0),MATCH(COLUMNS($AB$1006:AH1006),$AB$1006:$AQ$1006,0)), HYPERLINK("#",""), HYPERLINK(CONCATENATE("#Metadata!", ADDRESS(INDEX($W$2:$W$1001,MATCH(ROWS($U$2:U252),$U$2:$U$1001,0),0), INDEX($AB$1004:$AQ$1004,1,MATCH(COLUMNS($AB$1006:AH1006),$AB$1006:$AQ$1006,0)))),"Fix")))</f>
        <v>0</v>
      </c>
      <c r="I252" s="5">
        <f>IF(OR(INDEX($V$2:$V$1001,MATCH(ROWS($U$2:U252),$U$2:$U$1001,0),1)&gt;=100000,INDEX($AB$1005:$AQ$1005,1,MATCH(COLUMNS($AB$1006:AI1006),$AB$1006:$AQ$1006,0))&gt;=100000), " ",IF(INDEX($AB$2:$AQ$1001,MATCH(ROWS($U$2:U252),$U$2:$U$1001,0),MATCH(COLUMNS($AB$1006:AI1006),$AB$1006:$AQ$1006,0)), HYPERLINK("#",""), HYPERLINK(CONCATENATE("#Metadata!", ADDRESS(INDEX($W$2:$W$1001,MATCH(ROWS($U$2:U252),$U$2:$U$1001,0),0), INDEX($AB$1004:$AQ$1004,1,MATCH(COLUMNS($AB$1006:AI1006),$AB$1006:$AQ$1006,0)))),"Fix")))</f>
        <v>0</v>
      </c>
      <c r="J252" s="5">
        <f>IF(OR(INDEX($V$2:$V$1001,MATCH(ROWS($U$2:U252),$U$2:$U$1001,0),1)&gt;=100000,INDEX($AB$1005:$AQ$1005,1,MATCH(COLUMNS($AB$1006:AJ1006),$AB$1006:$AQ$1006,0))&gt;=100000), " ",IF(INDEX($AB$2:$AQ$1001,MATCH(ROWS($U$2:U252),$U$2:$U$1001,0),MATCH(COLUMNS($AB$1006:AJ1006),$AB$1006:$AQ$1006,0)), HYPERLINK("#",""), HYPERLINK(CONCATENATE("#Metadata!", ADDRESS(INDEX($W$2:$W$1001,MATCH(ROWS($U$2:U252),$U$2:$U$1001,0),0), INDEX($AB$1004:$AQ$1004,1,MATCH(COLUMNS($AB$1006:AJ1006),$AB$1006:$AQ$1006,0)))),"Fix")))</f>
        <v>0</v>
      </c>
      <c r="K252" s="5">
        <f>IF(OR(INDEX($V$2:$V$1001,MATCH(ROWS($U$2:U252),$U$2:$U$1001,0),1)&gt;=100000,INDEX($AB$1005:$AQ$1005,1,MATCH(COLUMNS($AB$1006:AK1006),$AB$1006:$AQ$1006,0))&gt;=100000), " ",IF(INDEX($AB$2:$AQ$1001,MATCH(ROWS($U$2:U252),$U$2:$U$1001,0),MATCH(COLUMNS($AB$1006:AK1006),$AB$1006:$AQ$1006,0)), HYPERLINK("#",""), HYPERLINK(CONCATENATE("#Metadata!", ADDRESS(INDEX($W$2:$W$1001,MATCH(ROWS($U$2:U252),$U$2:$U$1001,0),0), INDEX($AB$1004:$AQ$1004,1,MATCH(COLUMNS($AB$1006:AK1006),$AB$1006:$AQ$1006,0)))),"Fix")))</f>
        <v>0</v>
      </c>
      <c r="L252" s="5">
        <f>IF(OR(INDEX($V$2:$V$1001,MATCH(ROWS($U$2:U252),$U$2:$U$1001,0),1)&gt;=100000,INDEX($AB$1005:$AQ$1005,1,MATCH(COLUMNS($AB$1006:AL1006),$AB$1006:$AQ$1006,0))&gt;=100000), " ",IF(INDEX($AB$2:$AQ$1001,MATCH(ROWS($U$2:U252),$U$2:$U$1001,0),MATCH(COLUMNS($AB$1006:AL1006),$AB$1006:$AQ$1006,0)), HYPERLINK("#",""), HYPERLINK(CONCATENATE("#Metadata!", ADDRESS(INDEX($W$2:$W$1001,MATCH(ROWS($U$2:U252),$U$2:$U$1001,0),0), INDEX($AB$1004:$AQ$1004,1,MATCH(COLUMNS($AB$1006:AL1006),$AB$1006:$AQ$1006,0)))),"Fix")))</f>
        <v>0</v>
      </c>
      <c r="M252" s="5">
        <f>IF(OR(INDEX($V$2:$V$1001,MATCH(ROWS($U$2:U252),$U$2:$U$1001,0),1)&gt;=100000,INDEX($AB$1005:$AQ$1005,1,MATCH(COLUMNS($AB$1006:AM1006),$AB$1006:$AQ$1006,0))&gt;=100000), " ",IF(INDEX($AB$2:$AQ$1001,MATCH(ROWS($U$2:U252),$U$2:$U$1001,0),MATCH(COLUMNS($AB$1006:AM1006),$AB$1006:$AQ$1006,0)), HYPERLINK("#",""), HYPERLINK(CONCATENATE("#Metadata!", ADDRESS(INDEX($W$2:$W$1001,MATCH(ROWS($U$2:U252),$U$2:$U$1001,0),0), INDEX($AB$1004:$AQ$1004,1,MATCH(COLUMNS($AB$1006:AM1006),$AB$1006:$AQ$1006,0)))),"Fix")))</f>
        <v>0</v>
      </c>
      <c r="N252" s="5">
        <f>IF(OR(INDEX($V$2:$V$1001,MATCH(ROWS($U$2:U252),$U$2:$U$1001,0),1)&gt;=100000,INDEX($AB$1005:$AQ$1005,1,MATCH(COLUMNS($AB$1006:AN1006),$AB$1006:$AQ$1006,0))&gt;=100000), " ",IF(INDEX($AB$2:$AQ$1001,MATCH(ROWS($U$2:U252),$U$2:$U$1001,0),MATCH(COLUMNS($AB$1006:AN1006),$AB$1006:$AQ$1006,0)), HYPERLINK("#",""), HYPERLINK(CONCATENATE("#Metadata!", ADDRESS(INDEX($W$2:$W$1001,MATCH(ROWS($U$2:U252),$U$2:$U$1001,0),0), INDEX($AB$1004:$AQ$1004,1,MATCH(COLUMNS($AB$1006:AN1006),$AB$1006:$AQ$1006,0)))),"Fix")))</f>
        <v>0</v>
      </c>
      <c r="O252" s="5">
        <f>IF(OR(INDEX($V$2:$V$1001,MATCH(ROWS($U$2:U252),$U$2:$U$1001,0),1)&gt;=100000,INDEX($AB$1005:$AQ$1005,1,MATCH(COLUMNS($AB$1006:AO1006),$AB$1006:$AQ$1006,0))&gt;=100000), " ",IF(INDEX($AB$2:$AQ$1001,MATCH(ROWS($U$2:U252),$U$2:$U$1001,0),MATCH(COLUMNS($AB$1006:AO1006),$AB$1006:$AQ$1006,0)), HYPERLINK("#",""), HYPERLINK(CONCATENATE("#Metadata!", ADDRESS(INDEX($W$2:$W$1001,MATCH(ROWS($U$2:U252),$U$2:$U$1001,0),0), INDEX($AB$1004:$AQ$1004,1,MATCH(COLUMNS($AB$1006:AO1006),$AB$1006:$AQ$1006,0)))),"Fix")))</f>
        <v>0</v>
      </c>
      <c r="P252" s="5">
        <f>IF(OR(INDEX($V$2:$V$1001,MATCH(ROWS($U$2:U252),$U$2:$U$1001,0),1)&gt;=100000,INDEX($AB$1005:$AQ$1005,1,MATCH(COLUMNS($AB$1006:AP1006),$AB$1006:$AQ$1006,0))&gt;=100000), " ",IF(INDEX($AB$2:$AQ$1001,MATCH(ROWS($U$2:U252),$U$2:$U$1001,0),MATCH(COLUMNS($AB$1006:AP1006),$AB$1006:$AQ$1006,0)), HYPERLINK("#",""), HYPERLINK(CONCATENATE("#Metadata!", ADDRESS(INDEX($W$2:$W$1001,MATCH(ROWS($U$2:U252),$U$2:$U$1001,0),0), INDEX($AB$1004:$AQ$1004,1,MATCH(COLUMNS($AB$1006:AP1006),$AB$1006:$AQ$1006,0)))),"Fix")))</f>
        <v>0</v>
      </c>
      <c r="Q252" s="5">
        <f>IF(OR(INDEX($V$2:$V$1001,MATCH(ROWS($U$2:U252),$U$2:$U$1001,0),1)&gt;=100000,INDEX($AB$1005:$AQ$1005,1,MATCH(COLUMNS($AB$1006:AQ1006),$AB$1006:$AQ$1006,0))&gt;=100000), " ",IF(INDEX($AB$2:$AQ$1001,MATCH(ROWS($U$2:U252),$U$2:$U$1001,0),MATCH(COLUMNS($AB$1006:AQ1006),$AB$1006:$AQ$1006,0)), HYPERLINK("#",""), HYPERLINK(CONCATENATE("#Metadata!", ADDRESS(INDEX($W$2:$W$1001,MATCH(ROWS($U$2:U252),$U$2:$U$1001,0),0), INDEX($AB$1004:$AQ$1004,1,MATCH(COLUMNS($AB$1006:AQ1006),$AB$1006:$AQ$1006,0)))),"Fix")))</f>
        <v>0</v>
      </c>
      <c r="U252">
        <v>0</v>
      </c>
      <c r="V252">
        <v>0</v>
      </c>
      <c r="W252">
        <v>0</v>
      </c>
      <c r="X252">
        <f>IF(Y252,TRUE,AND(AB252:AQ252))</f>
        <v>0</v>
      </c>
      <c r="Y252">
        <f>COUNTBLANK(Metadata!B252:Q252)=COLUMNS(Metadata!B252:Q252)</f>
        <v>0</v>
      </c>
      <c r="Z252">
        <v>0</v>
      </c>
      <c r="AB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AC252">
        <f>AND(IF(Metadata!C252="",FALSE,TRUE),exact(Metadata!C252,"urban biome"))</f>
        <v>0</v>
      </c>
      <c r="AD252">
        <f>AND(IF(Metadata!D252="",FALSE,TRUE),exact(Metadata!D252,"human-associated habitat"))</f>
        <v>0</v>
      </c>
      <c r="AE252">
        <f>AND(IF(Metadata!E252="",FALSE,TRUE),OR(exact(Metadata!E252,"human-associated"),exact(Metadata!E252,"human-skin"),exact(Metadata!E252,"human-oral"),exact(Metadata!E252,"human-gut"),exact(Metadata!E252,"human-vaginal")))</f>
        <v>0</v>
      </c>
      <c r="AF252">
        <f>AND(IF(Metadata!F252="",FALSE,ISNUMBER(VALUE(Metadata!F252))),Metadata!F252&gt;0)</f>
        <v>0</v>
      </c>
      <c r="AG252">
        <f>AND(IF(Metadata!G252="",FALSE,TRUE),exact(Metadata!G252,"years"))</f>
        <v>0</v>
      </c>
      <c r="AH252">
        <f>OR(AND(IF(Metadata!H252="",FALSE,TRUE),OR(exact(Metadata!H252,"not applicable"),exact(Metadata!H252,"not collected"),exact(Metadata!H252,"not provided"),exact(Metadata!H252,"restricted access"))),AND(IF(Metadata!H252="",FALSE,ISNUMBER(VALUE(Metadata!H252))),Metadata!H252&gt;0))</f>
        <v>0</v>
      </c>
      <c r="AI252">
        <f>AND(IF(Metadata!I252="",FALSE,TRUE),exact(Metadata!I252,"human"))</f>
        <v>0</v>
      </c>
      <c r="AJ252">
        <f>AND(IF(Metadata!J252="",FALSE,ISNUMBER(VALUE(Metadata!J252))),Metadata!J252&gt;0)</f>
        <v>0</v>
      </c>
      <c r="AK252">
        <f>AND(IF(Metadata!K252="",FALSE,TRUE),exact(Metadata!K252,"cm"))</f>
        <v>0</v>
      </c>
      <c r="AL252">
        <f>AND(IF(Metadata!L252="",FALSE,TRUE),exact(Metadata!L252,"Homo sapiens"))</f>
        <v>0</v>
      </c>
      <c r="AM252">
        <f>AND(IF(Metadata!M252="",FALSE,TRUE),exact(Metadata!M252,"9606"))</f>
        <v>0</v>
      </c>
      <c r="AN252">
        <f>AND(IF(Metadata!N252="",FALSE,ISNUMBER(VALUE(Metadata!N252))),Metadata!N252&gt;0)</f>
        <v>0</v>
      </c>
      <c r="AO252">
        <f>AND(IF(Metadata!O252="",FALSE,TRUE),exact(Metadata!O252,"kg"))</f>
        <v>0</v>
      </c>
      <c r="AP252">
        <f>OR(AND(IF(Metadata!P252="",FALSE,TRUE),exact(Metadata!P252,"not provided")),IF(Metadata!P252="",FALSE,TRUE))</f>
        <v>0</v>
      </c>
      <c r="AQ252">
        <f>OR(AND(IF(Metadata!Q252="",FALSE,TRUE),exact(Metadata!Q252,"not provided")),IF(Metadata!Q252="",FALSE,TRUE))</f>
        <v>0</v>
      </c>
    </row>
    <row r="253" spans="1:43">
      <c r="A253" s="4">
        <f>IF(B253=" "," ",HYPERLINK(CONCATENATE("#metadata!",ADDRESS(INDEX($W$2:$W$1001,MATCH(ROWS($U$2:U253),$U$2:$U$1001,0),0),2)),INDEX($Z$2:$Z$1001,MATCH(ROWS($U$2:U253),$U$2:$U$1001,0),0)))</f>
        <v>0</v>
      </c>
      <c r="B253" s="5">
        <f>IF(OR(INDEX($V$2:$V$1001,MATCH(ROWS($U$2:U253),$U$2:$U$1001,0),1)&gt;=100000,INDEX($AB$1005:$AQ$1005,1,MATCH(COLUMNS($AB$1006:AB1006),$AB$1006:$AQ$1006,0))&gt;=100000), " ",IF(INDEX($AB$2:$AQ$1001,MATCH(ROWS($U$2:U253),$U$2:$U$1001,0),MATCH(COLUMNS($AB$1006:AB1006),$AB$1006:$AQ$1006,0)), HYPERLINK("#",""), HYPERLINK(CONCATENATE("#Metadata!", ADDRESS(INDEX($W$2:$W$1001,MATCH(ROWS($U$2:U253),$U$2:$U$1001,0),0), INDEX($AB$1004:$AQ$1004,1,MATCH(COLUMNS($AB$1006:AB1006),$AB$1006:$AQ$1006,0)))),"Fix")))</f>
        <v>0</v>
      </c>
      <c r="C253" s="5">
        <f>IF(OR(INDEX($V$2:$V$1001,MATCH(ROWS($U$2:U253),$U$2:$U$1001,0),1)&gt;=100000,INDEX($AB$1005:$AQ$1005,1,MATCH(COLUMNS($AB$1006:AC1006),$AB$1006:$AQ$1006,0))&gt;=100000), " ",IF(INDEX($AB$2:$AQ$1001,MATCH(ROWS($U$2:U253),$U$2:$U$1001,0),MATCH(COLUMNS($AB$1006:AC1006),$AB$1006:$AQ$1006,0)), HYPERLINK("#",""), HYPERLINK(CONCATENATE("#Metadata!", ADDRESS(INDEX($W$2:$W$1001,MATCH(ROWS($U$2:U253),$U$2:$U$1001,0),0), INDEX($AB$1004:$AQ$1004,1,MATCH(COLUMNS($AB$1006:AC1006),$AB$1006:$AQ$1006,0)))),"Fix")))</f>
        <v>0</v>
      </c>
      <c r="D253" s="5">
        <f>IF(OR(INDEX($V$2:$V$1001,MATCH(ROWS($U$2:U253),$U$2:$U$1001,0),1)&gt;=100000,INDEX($AB$1005:$AQ$1005,1,MATCH(COLUMNS($AB$1006:AD1006),$AB$1006:$AQ$1006,0))&gt;=100000), " ",IF(INDEX($AB$2:$AQ$1001,MATCH(ROWS($U$2:U253),$U$2:$U$1001,0),MATCH(COLUMNS($AB$1006:AD1006),$AB$1006:$AQ$1006,0)), HYPERLINK("#",""), HYPERLINK(CONCATENATE("#Metadata!", ADDRESS(INDEX($W$2:$W$1001,MATCH(ROWS($U$2:U253),$U$2:$U$1001,0),0), INDEX($AB$1004:$AQ$1004,1,MATCH(COLUMNS($AB$1006:AD1006),$AB$1006:$AQ$1006,0)))),"Fix")))</f>
        <v>0</v>
      </c>
      <c r="E253" s="5">
        <f>IF(OR(INDEX($V$2:$V$1001,MATCH(ROWS($U$2:U253),$U$2:$U$1001,0),1)&gt;=100000,INDEX($AB$1005:$AQ$1005,1,MATCH(COLUMNS($AB$1006:AE1006),$AB$1006:$AQ$1006,0))&gt;=100000), " ",IF(INDEX($AB$2:$AQ$1001,MATCH(ROWS($U$2:U253),$U$2:$U$1001,0),MATCH(COLUMNS($AB$1006:AE1006),$AB$1006:$AQ$1006,0)), HYPERLINK("#",""), HYPERLINK(CONCATENATE("#Metadata!", ADDRESS(INDEX($W$2:$W$1001,MATCH(ROWS($U$2:U253),$U$2:$U$1001,0),0), INDEX($AB$1004:$AQ$1004,1,MATCH(COLUMNS($AB$1006:AE1006),$AB$1006:$AQ$1006,0)))),"Fix")))</f>
        <v>0</v>
      </c>
      <c r="F253" s="5">
        <f>IF(OR(INDEX($V$2:$V$1001,MATCH(ROWS($U$2:U253),$U$2:$U$1001,0),1)&gt;=100000,INDEX($AB$1005:$AQ$1005,1,MATCH(COLUMNS($AB$1006:AF1006),$AB$1006:$AQ$1006,0))&gt;=100000), " ",IF(INDEX($AB$2:$AQ$1001,MATCH(ROWS($U$2:U253),$U$2:$U$1001,0),MATCH(COLUMNS($AB$1006:AF1006),$AB$1006:$AQ$1006,0)), HYPERLINK("#",""), HYPERLINK(CONCATENATE("#Metadata!", ADDRESS(INDEX($W$2:$W$1001,MATCH(ROWS($U$2:U253),$U$2:$U$1001,0),0), INDEX($AB$1004:$AQ$1004,1,MATCH(COLUMNS($AB$1006:AF1006),$AB$1006:$AQ$1006,0)))),"Fix")))</f>
        <v>0</v>
      </c>
      <c r="G253" s="5">
        <f>IF(OR(INDEX($V$2:$V$1001,MATCH(ROWS($U$2:U253),$U$2:$U$1001,0),1)&gt;=100000,INDEX($AB$1005:$AQ$1005,1,MATCH(COLUMNS($AB$1006:AG1006),$AB$1006:$AQ$1006,0))&gt;=100000), " ",IF(INDEX($AB$2:$AQ$1001,MATCH(ROWS($U$2:U253),$U$2:$U$1001,0),MATCH(COLUMNS($AB$1006:AG1006),$AB$1006:$AQ$1006,0)), HYPERLINK("#",""), HYPERLINK(CONCATENATE("#Metadata!", ADDRESS(INDEX($W$2:$W$1001,MATCH(ROWS($U$2:U253),$U$2:$U$1001,0),0), INDEX($AB$1004:$AQ$1004,1,MATCH(COLUMNS($AB$1006:AG1006),$AB$1006:$AQ$1006,0)))),"Fix")))</f>
        <v>0</v>
      </c>
      <c r="H253" s="5">
        <f>IF(OR(INDEX($V$2:$V$1001,MATCH(ROWS($U$2:U253),$U$2:$U$1001,0),1)&gt;=100000,INDEX($AB$1005:$AQ$1005,1,MATCH(COLUMNS($AB$1006:AH1006),$AB$1006:$AQ$1006,0))&gt;=100000), " ",IF(INDEX($AB$2:$AQ$1001,MATCH(ROWS($U$2:U253),$U$2:$U$1001,0),MATCH(COLUMNS($AB$1006:AH1006),$AB$1006:$AQ$1006,0)), HYPERLINK("#",""), HYPERLINK(CONCATENATE("#Metadata!", ADDRESS(INDEX($W$2:$W$1001,MATCH(ROWS($U$2:U253),$U$2:$U$1001,0),0), INDEX($AB$1004:$AQ$1004,1,MATCH(COLUMNS($AB$1006:AH1006),$AB$1006:$AQ$1006,0)))),"Fix")))</f>
        <v>0</v>
      </c>
      <c r="I253" s="5">
        <f>IF(OR(INDEX($V$2:$V$1001,MATCH(ROWS($U$2:U253),$U$2:$U$1001,0),1)&gt;=100000,INDEX($AB$1005:$AQ$1005,1,MATCH(COLUMNS($AB$1006:AI1006),$AB$1006:$AQ$1006,0))&gt;=100000), " ",IF(INDEX($AB$2:$AQ$1001,MATCH(ROWS($U$2:U253),$U$2:$U$1001,0),MATCH(COLUMNS($AB$1006:AI1006),$AB$1006:$AQ$1006,0)), HYPERLINK("#",""), HYPERLINK(CONCATENATE("#Metadata!", ADDRESS(INDEX($W$2:$W$1001,MATCH(ROWS($U$2:U253),$U$2:$U$1001,0),0), INDEX($AB$1004:$AQ$1004,1,MATCH(COLUMNS($AB$1006:AI1006),$AB$1006:$AQ$1006,0)))),"Fix")))</f>
        <v>0</v>
      </c>
      <c r="J253" s="5">
        <f>IF(OR(INDEX($V$2:$V$1001,MATCH(ROWS($U$2:U253),$U$2:$U$1001,0),1)&gt;=100000,INDEX($AB$1005:$AQ$1005,1,MATCH(COLUMNS($AB$1006:AJ1006),$AB$1006:$AQ$1006,0))&gt;=100000), " ",IF(INDEX($AB$2:$AQ$1001,MATCH(ROWS($U$2:U253),$U$2:$U$1001,0),MATCH(COLUMNS($AB$1006:AJ1006),$AB$1006:$AQ$1006,0)), HYPERLINK("#",""), HYPERLINK(CONCATENATE("#Metadata!", ADDRESS(INDEX($W$2:$W$1001,MATCH(ROWS($U$2:U253),$U$2:$U$1001,0),0), INDEX($AB$1004:$AQ$1004,1,MATCH(COLUMNS($AB$1006:AJ1006),$AB$1006:$AQ$1006,0)))),"Fix")))</f>
        <v>0</v>
      </c>
      <c r="K253" s="5">
        <f>IF(OR(INDEX($V$2:$V$1001,MATCH(ROWS($U$2:U253),$U$2:$U$1001,0),1)&gt;=100000,INDEX($AB$1005:$AQ$1005,1,MATCH(COLUMNS($AB$1006:AK1006),$AB$1006:$AQ$1006,0))&gt;=100000), " ",IF(INDEX($AB$2:$AQ$1001,MATCH(ROWS($U$2:U253),$U$2:$U$1001,0),MATCH(COLUMNS($AB$1006:AK1006),$AB$1006:$AQ$1006,0)), HYPERLINK("#",""), HYPERLINK(CONCATENATE("#Metadata!", ADDRESS(INDEX($W$2:$W$1001,MATCH(ROWS($U$2:U253),$U$2:$U$1001,0),0), INDEX($AB$1004:$AQ$1004,1,MATCH(COLUMNS($AB$1006:AK1006),$AB$1006:$AQ$1006,0)))),"Fix")))</f>
        <v>0</v>
      </c>
      <c r="L253" s="5">
        <f>IF(OR(INDEX($V$2:$V$1001,MATCH(ROWS($U$2:U253),$U$2:$U$1001,0),1)&gt;=100000,INDEX($AB$1005:$AQ$1005,1,MATCH(COLUMNS($AB$1006:AL1006),$AB$1006:$AQ$1006,0))&gt;=100000), " ",IF(INDEX($AB$2:$AQ$1001,MATCH(ROWS($U$2:U253),$U$2:$U$1001,0),MATCH(COLUMNS($AB$1006:AL1006),$AB$1006:$AQ$1006,0)), HYPERLINK("#",""), HYPERLINK(CONCATENATE("#Metadata!", ADDRESS(INDEX($W$2:$W$1001,MATCH(ROWS($U$2:U253),$U$2:$U$1001,0),0), INDEX($AB$1004:$AQ$1004,1,MATCH(COLUMNS($AB$1006:AL1006),$AB$1006:$AQ$1006,0)))),"Fix")))</f>
        <v>0</v>
      </c>
      <c r="M253" s="5">
        <f>IF(OR(INDEX($V$2:$V$1001,MATCH(ROWS($U$2:U253),$U$2:$U$1001,0),1)&gt;=100000,INDEX($AB$1005:$AQ$1005,1,MATCH(COLUMNS($AB$1006:AM1006),$AB$1006:$AQ$1006,0))&gt;=100000), " ",IF(INDEX($AB$2:$AQ$1001,MATCH(ROWS($U$2:U253),$U$2:$U$1001,0),MATCH(COLUMNS($AB$1006:AM1006),$AB$1006:$AQ$1006,0)), HYPERLINK("#",""), HYPERLINK(CONCATENATE("#Metadata!", ADDRESS(INDEX($W$2:$W$1001,MATCH(ROWS($U$2:U253),$U$2:$U$1001,0),0), INDEX($AB$1004:$AQ$1004,1,MATCH(COLUMNS($AB$1006:AM1006),$AB$1006:$AQ$1006,0)))),"Fix")))</f>
        <v>0</v>
      </c>
      <c r="N253" s="5">
        <f>IF(OR(INDEX($V$2:$V$1001,MATCH(ROWS($U$2:U253),$U$2:$U$1001,0),1)&gt;=100000,INDEX($AB$1005:$AQ$1005,1,MATCH(COLUMNS($AB$1006:AN1006),$AB$1006:$AQ$1006,0))&gt;=100000), " ",IF(INDEX($AB$2:$AQ$1001,MATCH(ROWS($U$2:U253),$U$2:$U$1001,0),MATCH(COLUMNS($AB$1006:AN1006),$AB$1006:$AQ$1006,0)), HYPERLINK("#",""), HYPERLINK(CONCATENATE("#Metadata!", ADDRESS(INDEX($W$2:$W$1001,MATCH(ROWS($U$2:U253),$U$2:$U$1001,0),0), INDEX($AB$1004:$AQ$1004,1,MATCH(COLUMNS($AB$1006:AN1006),$AB$1006:$AQ$1006,0)))),"Fix")))</f>
        <v>0</v>
      </c>
      <c r="O253" s="5">
        <f>IF(OR(INDEX($V$2:$V$1001,MATCH(ROWS($U$2:U253),$U$2:$U$1001,0),1)&gt;=100000,INDEX($AB$1005:$AQ$1005,1,MATCH(COLUMNS($AB$1006:AO1006),$AB$1006:$AQ$1006,0))&gt;=100000), " ",IF(INDEX($AB$2:$AQ$1001,MATCH(ROWS($U$2:U253),$U$2:$U$1001,0),MATCH(COLUMNS($AB$1006:AO1006),$AB$1006:$AQ$1006,0)), HYPERLINK("#",""), HYPERLINK(CONCATENATE("#Metadata!", ADDRESS(INDEX($W$2:$W$1001,MATCH(ROWS($U$2:U253),$U$2:$U$1001,0),0), INDEX($AB$1004:$AQ$1004,1,MATCH(COLUMNS($AB$1006:AO1006),$AB$1006:$AQ$1006,0)))),"Fix")))</f>
        <v>0</v>
      </c>
      <c r="P253" s="5">
        <f>IF(OR(INDEX($V$2:$V$1001,MATCH(ROWS($U$2:U253),$U$2:$U$1001,0),1)&gt;=100000,INDEX($AB$1005:$AQ$1005,1,MATCH(COLUMNS($AB$1006:AP1006),$AB$1006:$AQ$1006,0))&gt;=100000), " ",IF(INDEX($AB$2:$AQ$1001,MATCH(ROWS($U$2:U253),$U$2:$U$1001,0),MATCH(COLUMNS($AB$1006:AP1006),$AB$1006:$AQ$1006,0)), HYPERLINK("#",""), HYPERLINK(CONCATENATE("#Metadata!", ADDRESS(INDEX($W$2:$W$1001,MATCH(ROWS($U$2:U253),$U$2:$U$1001,0),0), INDEX($AB$1004:$AQ$1004,1,MATCH(COLUMNS($AB$1006:AP1006),$AB$1006:$AQ$1006,0)))),"Fix")))</f>
        <v>0</v>
      </c>
      <c r="Q253" s="5">
        <f>IF(OR(INDEX($V$2:$V$1001,MATCH(ROWS($U$2:U253),$U$2:$U$1001,0),1)&gt;=100000,INDEX($AB$1005:$AQ$1005,1,MATCH(COLUMNS($AB$1006:AQ1006),$AB$1006:$AQ$1006,0))&gt;=100000), " ",IF(INDEX($AB$2:$AQ$1001,MATCH(ROWS($U$2:U253),$U$2:$U$1001,0),MATCH(COLUMNS($AB$1006:AQ1006),$AB$1006:$AQ$1006,0)), HYPERLINK("#",""), HYPERLINK(CONCATENATE("#Metadata!", ADDRESS(INDEX($W$2:$W$1001,MATCH(ROWS($U$2:U253),$U$2:$U$1001,0),0), INDEX($AB$1004:$AQ$1004,1,MATCH(COLUMNS($AB$1006:AQ1006),$AB$1006:$AQ$1006,0)))),"Fix")))</f>
        <v>0</v>
      </c>
      <c r="U253">
        <v>0</v>
      </c>
      <c r="V253">
        <v>0</v>
      </c>
      <c r="W253">
        <v>0</v>
      </c>
      <c r="X253">
        <f>IF(Y253,TRUE,AND(AB253:AQ253))</f>
        <v>0</v>
      </c>
      <c r="Y253">
        <f>COUNTBLANK(Metadata!B253:Q253)=COLUMNS(Metadata!B253:Q253)</f>
        <v>0</v>
      </c>
      <c r="Z253">
        <v>0</v>
      </c>
      <c r="AB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AC253">
        <f>AND(IF(Metadata!C253="",FALSE,TRUE),exact(Metadata!C253,"urban biome"))</f>
        <v>0</v>
      </c>
      <c r="AD253">
        <f>AND(IF(Metadata!D253="",FALSE,TRUE),exact(Metadata!D253,"human-associated habitat"))</f>
        <v>0</v>
      </c>
      <c r="AE253">
        <f>AND(IF(Metadata!E253="",FALSE,TRUE),OR(exact(Metadata!E253,"human-associated"),exact(Metadata!E253,"human-skin"),exact(Metadata!E253,"human-oral"),exact(Metadata!E253,"human-gut"),exact(Metadata!E253,"human-vaginal")))</f>
        <v>0</v>
      </c>
      <c r="AF253">
        <f>AND(IF(Metadata!F253="",FALSE,ISNUMBER(VALUE(Metadata!F253))),Metadata!F253&gt;0)</f>
        <v>0</v>
      </c>
      <c r="AG253">
        <f>AND(IF(Metadata!G253="",FALSE,TRUE),exact(Metadata!G253,"years"))</f>
        <v>0</v>
      </c>
      <c r="AH253">
        <f>OR(AND(IF(Metadata!H253="",FALSE,TRUE),OR(exact(Metadata!H253,"not applicable"),exact(Metadata!H253,"not collected"),exact(Metadata!H253,"not provided"),exact(Metadata!H253,"restricted access"))),AND(IF(Metadata!H253="",FALSE,ISNUMBER(VALUE(Metadata!H253))),Metadata!H253&gt;0))</f>
        <v>0</v>
      </c>
      <c r="AI253">
        <f>AND(IF(Metadata!I253="",FALSE,TRUE),exact(Metadata!I253,"human"))</f>
        <v>0</v>
      </c>
      <c r="AJ253">
        <f>AND(IF(Metadata!J253="",FALSE,ISNUMBER(VALUE(Metadata!J253))),Metadata!J253&gt;0)</f>
        <v>0</v>
      </c>
      <c r="AK253">
        <f>AND(IF(Metadata!K253="",FALSE,TRUE),exact(Metadata!K253,"cm"))</f>
        <v>0</v>
      </c>
      <c r="AL253">
        <f>AND(IF(Metadata!L253="",FALSE,TRUE),exact(Metadata!L253,"Homo sapiens"))</f>
        <v>0</v>
      </c>
      <c r="AM253">
        <f>AND(IF(Metadata!M253="",FALSE,TRUE),exact(Metadata!M253,"9606"))</f>
        <v>0</v>
      </c>
      <c r="AN253">
        <f>AND(IF(Metadata!N253="",FALSE,ISNUMBER(VALUE(Metadata!N253))),Metadata!N253&gt;0)</f>
        <v>0</v>
      </c>
      <c r="AO253">
        <f>AND(IF(Metadata!O253="",FALSE,TRUE),exact(Metadata!O253,"kg"))</f>
        <v>0</v>
      </c>
      <c r="AP253">
        <f>OR(AND(IF(Metadata!P253="",FALSE,TRUE),exact(Metadata!P253,"not provided")),IF(Metadata!P253="",FALSE,TRUE))</f>
        <v>0</v>
      </c>
      <c r="AQ253">
        <f>OR(AND(IF(Metadata!Q253="",FALSE,TRUE),exact(Metadata!Q253,"not provided")),IF(Metadata!Q253="",FALSE,TRUE))</f>
        <v>0</v>
      </c>
    </row>
    <row r="254" spans="1:43">
      <c r="A254" s="4">
        <f>IF(B254=" "," ",HYPERLINK(CONCATENATE("#metadata!",ADDRESS(INDEX($W$2:$W$1001,MATCH(ROWS($U$2:U254),$U$2:$U$1001,0),0),2)),INDEX($Z$2:$Z$1001,MATCH(ROWS($U$2:U254),$U$2:$U$1001,0),0)))</f>
        <v>0</v>
      </c>
      <c r="B254" s="5">
        <f>IF(OR(INDEX($V$2:$V$1001,MATCH(ROWS($U$2:U254),$U$2:$U$1001,0),1)&gt;=100000,INDEX($AB$1005:$AQ$1005,1,MATCH(COLUMNS($AB$1006:AB1006),$AB$1006:$AQ$1006,0))&gt;=100000), " ",IF(INDEX($AB$2:$AQ$1001,MATCH(ROWS($U$2:U254),$U$2:$U$1001,0),MATCH(COLUMNS($AB$1006:AB1006),$AB$1006:$AQ$1006,0)), HYPERLINK("#",""), HYPERLINK(CONCATENATE("#Metadata!", ADDRESS(INDEX($W$2:$W$1001,MATCH(ROWS($U$2:U254),$U$2:$U$1001,0),0), INDEX($AB$1004:$AQ$1004,1,MATCH(COLUMNS($AB$1006:AB1006),$AB$1006:$AQ$1006,0)))),"Fix")))</f>
        <v>0</v>
      </c>
      <c r="C254" s="5">
        <f>IF(OR(INDEX($V$2:$V$1001,MATCH(ROWS($U$2:U254),$U$2:$U$1001,0),1)&gt;=100000,INDEX($AB$1005:$AQ$1005,1,MATCH(COLUMNS($AB$1006:AC1006),$AB$1006:$AQ$1006,0))&gt;=100000), " ",IF(INDEX($AB$2:$AQ$1001,MATCH(ROWS($U$2:U254),$U$2:$U$1001,0),MATCH(COLUMNS($AB$1006:AC1006),$AB$1006:$AQ$1006,0)), HYPERLINK("#",""), HYPERLINK(CONCATENATE("#Metadata!", ADDRESS(INDEX($W$2:$W$1001,MATCH(ROWS($U$2:U254),$U$2:$U$1001,0),0), INDEX($AB$1004:$AQ$1004,1,MATCH(COLUMNS($AB$1006:AC1006),$AB$1006:$AQ$1006,0)))),"Fix")))</f>
        <v>0</v>
      </c>
      <c r="D254" s="5">
        <f>IF(OR(INDEX($V$2:$V$1001,MATCH(ROWS($U$2:U254),$U$2:$U$1001,0),1)&gt;=100000,INDEX($AB$1005:$AQ$1005,1,MATCH(COLUMNS($AB$1006:AD1006),$AB$1006:$AQ$1006,0))&gt;=100000), " ",IF(INDEX($AB$2:$AQ$1001,MATCH(ROWS($U$2:U254),$U$2:$U$1001,0),MATCH(COLUMNS($AB$1006:AD1006),$AB$1006:$AQ$1006,0)), HYPERLINK("#",""), HYPERLINK(CONCATENATE("#Metadata!", ADDRESS(INDEX($W$2:$W$1001,MATCH(ROWS($U$2:U254),$U$2:$U$1001,0),0), INDEX($AB$1004:$AQ$1004,1,MATCH(COLUMNS($AB$1006:AD1006),$AB$1006:$AQ$1006,0)))),"Fix")))</f>
        <v>0</v>
      </c>
      <c r="E254" s="5">
        <f>IF(OR(INDEX($V$2:$V$1001,MATCH(ROWS($U$2:U254),$U$2:$U$1001,0),1)&gt;=100000,INDEX($AB$1005:$AQ$1005,1,MATCH(COLUMNS($AB$1006:AE1006),$AB$1006:$AQ$1006,0))&gt;=100000), " ",IF(INDEX($AB$2:$AQ$1001,MATCH(ROWS($U$2:U254),$U$2:$U$1001,0),MATCH(COLUMNS($AB$1006:AE1006),$AB$1006:$AQ$1006,0)), HYPERLINK("#",""), HYPERLINK(CONCATENATE("#Metadata!", ADDRESS(INDEX($W$2:$W$1001,MATCH(ROWS($U$2:U254),$U$2:$U$1001,0),0), INDEX($AB$1004:$AQ$1004,1,MATCH(COLUMNS($AB$1006:AE1006),$AB$1006:$AQ$1006,0)))),"Fix")))</f>
        <v>0</v>
      </c>
      <c r="F254" s="5">
        <f>IF(OR(INDEX($V$2:$V$1001,MATCH(ROWS($U$2:U254),$U$2:$U$1001,0),1)&gt;=100000,INDEX($AB$1005:$AQ$1005,1,MATCH(COLUMNS($AB$1006:AF1006),$AB$1006:$AQ$1006,0))&gt;=100000), " ",IF(INDEX($AB$2:$AQ$1001,MATCH(ROWS($U$2:U254),$U$2:$U$1001,0),MATCH(COLUMNS($AB$1006:AF1006),$AB$1006:$AQ$1006,0)), HYPERLINK("#",""), HYPERLINK(CONCATENATE("#Metadata!", ADDRESS(INDEX($W$2:$W$1001,MATCH(ROWS($U$2:U254),$U$2:$U$1001,0),0), INDEX($AB$1004:$AQ$1004,1,MATCH(COLUMNS($AB$1006:AF1006),$AB$1006:$AQ$1006,0)))),"Fix")))</f>
        <v>0</v>
      </c>
      <c r="G254" s="5">
        <f>IF(OR(INDEX($V$2:$V$1001,MATCH(ROWS($U$2:U254),$U$2:$U$1001,0),1)&gt;=100000,INDEX($AB$1005:$AQ$1005,1,MATCH(COLUMNS($AB$1006:AG1006),$AB$1006:$AQ$1006,0))&gt;=100000), " ",IF(INDEX($AB$2:$AQ$1001,MATCH(ROWS($U$2:U254),$U$2:$U$1001,0),MATCH(COLUMNS($AB$1006:AG1006),$AB$1006:$AQ$1006,0)), HYPERLINK("#",""), HYPERLINK(CONCATENATE("#Metadata!", ADDRESS(INDEX($W$2:$W$1001,MATCH(ROWS($U$2:U254),$U$2:$U$1001,0),0), INDEX($AB$1004:$AQ$1004,1,MATCH(COLUMNS($AB$1006:AG1006),$AB$1006:$AQ$1006,0)))),"Fix")))</f>
        <v>0</v>
      </c>
      <c r="H254" s="5">
        <f>IF(OR(INDEX($V$2:$V$1001,MATCH(ROWS($U$2:U254),$U$2:$U$1001,0),1)&gt;=100000,INDEX($AB$1005:$AQ$1005,1,MATCH(COLUMNS($AB$1006:AH1006),$AB$1006:$AQ$1006,0))&gt;=100000), " ",IF(INDEX($AB$2:$AQ$1001,MATCH(ROWS($U$2:U254),$U$2:$U$1001,0),MATCH(COLUMNS($AB$1006:AH1006),$AB$1006:$AQ$1006,0)), HYPERLINK("#",""), HYPERLINK(CONCATENATE("#Metadata!", ADDRESS(INDEX($W$2:$W$1001,MATCH(ROWS($U$2:U254),$U$2:$U$1001,0),0), INDEX($AB$1004:$AQ$1004,1,MATCH(COLUMNS($AB$1006:AH1006),$AB$1006:$AQ$1006,0)))),"Fix")))</f>
        <v>0</v>
      </c>
      <c r="I254" s="5">
        <f>IF(OR(INDEX($V$2:$V$1001,MATCH(ROWS($U$2:U254),$U$2:$U$1001,0),1)&gt;=100000,INDEX($AB$1005:$AQ$1005,1,MATCH(COLUMNS($AB$1006:AI1006),$AB$1006:$AQ$1006,0))&gt;=100000), " ",IF(INDEX($AB$2:$AQ$1001,MATCH(ROWS($U$2:U254),$U$2:$U$1001,0),MATCH(COLUMNS($AB$1006:AI1006),$AB$1006:$AQ$1006,0)), HYPERLINK("#",""), HYPERLINK(CONCATENATE("#Metadata!", ADDRESS(INDEX($W$2:$W$1001,MATCH(ROWS($U$2:U254),$U$2:$U$1001,0),0), INDEX($AB$1004:$AQ$1004,1,MATCH(COLUMNS($AB$1006:AI1006),$AB$1006:$AQ$1006,0)))),"Fix")))</f>
        <v>0</v>
      </c>
      <c r="J254" s="5">
        <f>IF(OR(INDEX($V$2:$V$1001,MATCH(ROWS($U$2:U254),$U$2:$U$1001,0),1)&gt;=100000,INDEX($AB$1005:$AQ$1005,1,MATCH(COLUMNS($AB$1006:AJ1006),$AB$1006:$AQ$1006,0))&gt;=100000), " ",IF(INDEX($AB$2:$AQ$1001,MATCH(ROWS($U$2:U254),$U$2:$U$1001,0),MATCH(COLUMNS($AB$1006:AJ1006),$AB$1006:$AQ$1006,0)), HYPERLINK("#",""), HYPERLINK(CONCATENATE("#Metadata!", ADDRESS(INDEX($W$2:$W$1001,MATCH(ROWS($U$2:U254),$U$2:$U$1001,0),0), INDEX($AB$1004:$AQ$1004,1,MATCH(COLUMNS($AB$1006:AJ1006),$AB$1006:$AQ$1006,0)))),"Fix")))</f>
        <v>0</v>
      </c>
      <c r="K254" s="5">
        <f>IF(OR(INDEX($V$2:$V$1001,MATCH(ROWS($U$2:U254),$U$2:$U$1001,0),1)&gt;=100000,INDEX($AB$1005:$AQ$1005,1,MATCH(COLUMNS($AB$1006:AK1006),$AB$1006:$AQ$1006,0))&gt;=100000), " ",IF(INDEX($AB$2:$AQ$1001,MATCH(ROWS($U$2:U254),$U$2:$U$1001,0),MATCH(COLUMNS($AB$1006:AK1006),$AB$1006:$AQ$1006,0)), HYPERLINK("#",""), HYPERLINK(CONCATENATE("#Metadata!", ADDRESS(INDEX($W$2:$W$1001,MATCH(ROWS($U$2:U254),$U$2:$U$1001,0),0), INDEX($AB$1004:$AQ$1004,1,MATCH(COLUMNS($AB$1006:AK1006),$AB$1006:$AQ$1006,0)))),"Fix")))</f>
        <v>0</v>
      </c>
      <c r="L254" s="5">
        <f>IF(OR(INDEX($V$2:$V$1001,MATCH(ROWS($U$2:U254),$U$2:$U$1001,0),1)&gt;=100000,INDEX($AB$1005:$AQ$1005,1,MATCH(COLUMNS($AB$1006:AL1006),$AB$1006:$AQ$1006,0))&gt;=100000), " ",IF(INDEX($AB$2:$AQ$1001,MATCH(ROWS($U$2:U254),$U$2:$U$1001,0),MATCH(COLUMNS($AB$1006:AL1006),$AB$1006:$AQ$1006,0)), HYPERLINK("#",""), HYPERLINK(CONCATENATE("#Metadata!", ADDRESS(INDEX($W$2:$W$1001,MATCH(ROWS($U$2:U254),$U$2:$U$1001,0),0), INDEX($AB$1004:$AQ$1004,1,MATCH(COLUMNS($AB$1006:AL1006),$AB$1006:$AQ$1006,0)))),"Fix")))</f>
        <v>0</v>
      </c>
      <c r="M254" s="5">
        <f>IF(OR(INDEX($V$2:$V$1001,MATCH(ROWS($U$2:U254),$U$2:$U$1001,0),1)&gt;=100000,INDEX($AB$1005:$AQ$1005,1,MATCH(COLUMNS($AB$1006:AM1006),$AB$1006:$AQ$1006,0))&gt;=100000), " ",IF(INDEX($AB$2:$AQ$1001,MATCH(ROWS($U$2:U254),$U$2:$U$1001,0),MATCH(COLUMNS($AB$1006:AM1006),$AB$1006:$AQ$1006,0)), HYPERLINK("#",""), HYPERLINK(CONCATENATE("#Metadata!", ADDRESS(INDEX($W$2:$W$1001,MATCH(ROWS($U$2:U254),$U$2:$U$1001,0),0), INDEX($AB$1004:$AQ$1004,1,MATCH(COLUMNS($AB$1006:AM1006),$AB$1006:$AQ$1006,0)))),"Fix")))</f>
        <v>0</v>
      </c>
      <c r="N254" s="5">
        <f>IF(OR(INDEX($V$2:$V$1001,MATCH(ROWS($U$2:U254),$U$2:$U$1001,0),1)&gt;=100000,INDEX($AB$1005:$AQ$1005,1,MATCH(COLUMNS($AB$1006:AN1006),$AB$1006:$AQ$1006,0))&gt;=100000), " ",IF(INDEX($AB$2:$AQ$1001,MATCH(ROWS($U$2:U254),$U$2:$U$1001,0),MATCH(COLUMNS($AB$1006:AN1006),$AB$1006:$AQ$1006,0)), HYPERLINK("#",""), HYPERLINK(CONCATENATE("#Metadata!", ADDRESS(INDEX($W$2:$W$1001,MATCH(ROWS($U$2:U254),$U$2:$U$1001,0),0), INDEX($AB$1004:$AQ$1004,1,MATCH(COLUMNS($AB$1006:AN1006),$AB$1006:$AQ$1006,0)))),"Fix")))</f>
        <v>0</v>
      </c>
      <c r="O254" s="5">
        <f>IF(OR(INDEX($V$2:$V$1001,MATCH(ROWS($U$2:U254),$U$2:$U$1001,0),1)&gt;=100000,INDEX($AB$1005:$AQ$1005,1,MATCH(COLUMNS($AB$1006:AO1006),$AB$1006:$AQ$1006,0))&gt;=100000), " ",IF(INDEX($AB$2:$AQ$1001,MATCH(ROWS($U$2:U254),$U$2:$U$1001,0),MATCH(COLUMNS($AB$1006:AO1006),$AB$1006:$AQ$1006,0)), HYPERLINK("#",""), HYPERLINK(CONCATENATE("#Metadata!", ADDRESS(INDEX($W$2:$W$1001,MATCH(ROWS($U$2:U254),$U$2:$U$1001,0),0), INDEX($AB$1004:$AQ$1004,1,MATCH(COLUMNS($AB$1006:AO1006),$AB$1006:$AQ$1006,0)))),"Fix")))</f>
        <v>0</v>
      </c>
      <c r="P254" s="5">
        <f>IF(OR(INDEX($V$2:$V$1001,MATCH(ROWS($U$2:U254),$U$2:$U$1001,0),1)&gt;=100000,INDEX($AB$1005:$AQ$1005,1,MATCH(COLUMNS($AB$1006:AP1006),$AB$1006:$AQ$1006,0))&gt;=100000), " ",IF(INDEX($AB$2:$AQ$1001,MATCH(ROWS($U$2:U254),$U$2:$U$1001,0),MATCH(COLUMNS($AB$1006:AP1006),$AB$1006:$AQ$1006,0)), HYPERLINK("#",""), HYPERLINK(CONCATENATE("#Metadata!", ADDRESS(INDEX($W$2:$W$1001,MATCH(ROWS($U$2:U254),$U$2:$U$1001,0),0), INDEX($AB$1004:$AQ$1004,1,MATCH(COLUMNS($AB$1006:AP1006),$AB$1006:$AQ$1006,0)))),"Fix")))</f>
        <v>0</v>
      </c>
      <c r="Q254" s="5">
        <f>IF(OR(INDEX($V$2:$V$1001,MATCH(ROWS($U$2:U254),$U$2:$U$1001,0),1)&gt;=100000,INDEX($AB$1005:$AQ$1005,1,MATCH(COLUMNS($AB$1006:AQ1006),$AB$1006:$AQ$1006,0))&gt;=100000), " ",IF(INDEX($AB$2:$AQ$1001,MATCH(ROWS($U$2:U254),$U$2:$U$1001,0),MATCH(COLUMNS($AB$1006:AQ1006),$AB$1006:$AQ$1006,0)), HYPERLINK("#",""), HYPERLINK(CONCATENATE("#Metadata!", ADDRESS(INDEX($W$2:$W$1001,MATCH(ROWS($U$2:U254),$U$2:$U$1001,0),0), INDEX($AB$1004:$AQ$1004,1,MATCH(COLUMNS($AB$1006:AQ1006),$AB$1006:$AQ$1006,0)))),"Fix")))</f>
        <v>0</v>
      </c>
      <c r="U254">
        <v>0</v>
      </c>
      <c r="V254">
        <v>0</v>
      </c>
      <c r="W254">
        <v>0</v>
      </c>
      <c r="X254">
        <f>IF(Y254,TRUE,AND(AB254:AQ254))</f>
        <v>0</v>
      </c>
      <c r="Y254">
        <f>COUNTBLANK(Metadata!B254:Q254)=COLUMNS(Metadata!B254:Q254)</f>
        <v>0</v>
      </c>
      <c r="Z254">
        <v>0</v>
      </c>
      <c r="AB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AC254">
        <f>AND(IF(Metadata!C254="",FALSE,TRUE),exact(Metadata!C254,"urban biome"))</f>
        <v>0</v>
      </c>
      <c r="AD254">
        <f>AND(IF(Metadata!D254="",FALSE,TRUE),exact(Metadata!D254,"human-associated habitat"))</f>
        <v>0</v>
      </c>
      <c r="AE254">
        <f>AND(IF(Metadata!E254="",FALSE,TRUE),OR(exact(Metadata!E254,"human-associated"),exact(Metadata!E254,"human-skin"),exact(Metadata!E254,"human-oral"),exact(Metadata!E254,"human-gut"),exact(Metadata!E254,"human-vaginal")))</f>
        <v>0</v>
      </c>
      <c r="AF254">
        <f>AND(IF(Metadata!F254="",FALSE,ISNUMBER(VALUE(Metadata!F254))),Metadata!F254&gt;0)</f>
        <v>0</v>
      </c>
      <c r="AG254">
        <f>AND(IF(Metadata!G254="",FALSE,TRUE),exact(Metadata!G254,"years"))</f>
        <v>0</v>
      </c>
      <c r="AH254">
        <f>OR(AND(IF(Metadata!H254="",FALSE,TRUE),OR(exact(Metadata!H254,"not applicable"),exact(Metadata!H254,"not collected"),exact(Metadata!H254,"not provided"),exact(Metadata!H254,"restricted access"))),AND(IF(Metadata!H254="",FALSE,ISNUMBER(VALUE(Metadata!H254))),Metadata!H254&gt;0))</f>
        <v>0</v>
      </c>
      <c r="AI254">
        <f>AND(IF(Metadata!I254="",FALSE,TRUE),exact(Metadata!I254,"human"))</f>
        <v>0</v>
      </c>
      <c r="AJ254">
        <f>AND(IF(Metadata!J254="",FALSE,ISNUMBER(VALUE(Metadata!J254))),Metadata!J254&gt;0)</f>
        <v>0</v>
      </c>
      <c r="AK254">
        <f>AND(IF(Metadata!K254="",FALSE,TRUE),exact(Metadata!K254,"cm"))</f>
        <v>0</v>
      </c>
      <c r="AL254">
        <f>AND(IF(Metadata!L254="",FALSE,TRUE),exact(Metadata!L254,"Homo sapiens"))</f>
        <v>0</v>
      </c>
      <c r="AM254">
        <f>AND(IF(Metadata!M254="",FALSE,TRUE),exact(Metadata!M254,"9606"))</f>
        <v>0</v>
      </c>
      <c r="AN254">
        <f>AND(IF(Metadata!N254="",FALSE,ISNUMBER(VALUE(Metadata!N254))),Metadata!N254&gt;0)</f>
        <v>0</v>
      </c>
      <c r="AO254">
        <f>AND(IF(Metadata!O254="",FALSE,TRUE),exact(Metadata!O254,"kg"))</f>
        <v>0</v>
      </c>
      <c r="AP254">
        <f>OR(AND(IF(Metadata!P254="",FALSE,TRUE),exact(Metadata!P254,"not provided")),IF(Metadata!P254="",FALSE,TRUE))</f>
        <v>0</v>
      </c>
      <c r="AQ254">
        <f>OR(AND(IF(Metadata!Q254="",FALSE,TRUE),exact(Metadata!Q254,"not provided")),IF(Metadata!Q254="",FALSE,TRUE))</f>
        <v>0</v>
      </c>
    </row>
    <row r="255" spans="1:43">
      <c r="A255" s="4">
        <f>IF(B255=" "," ",HYPERLINK(CONCATENATE("#metadata!",ADDRESS(INDEX($W$2:$W$1001,MATCH(ROWS($U$2:U255),$U$2:$U$1001,0),0),2)),INDEX($Z$2:$Z$1001,MATCH(ROWS($U$2:U255),$U$2:$U$1001,0),0)))</f>
        <v>0</v>
      </c>
      <c r="B255" s="5">
        <f>IF(OR(INDEX($V$2:$V$1001,MATCH(ROWS($U$2:U255),$U$2:$U$1001,0),1)&gt;=100000,INDEX($AB$1005:$AQ$1005,1,MATCH(COLUMNS($AB$1006:AB1006),$AB$1006:$AQ$1006,0))&gt;=100000), " ",IF(INDEX($AB$2:$AQ$1001,MATCH(ROWS($U$2:U255),$U$2:$U$1001,0),MATCH(COLUMNS($AB$1006:AB1006),$AB$1006:$AQ$1006,0)), HYPERLINK("#",""), HYPERLINK(CONCATENATE("#Metadata!", ADDRESS(INDEX($W$2:$W$1001,MATCH(ROWS($U$2:U255),$U$2:$U$1001,0),0), INDEX($AB$1004:$AQ$1004,1,MATCH(COLUMNS($AB$1006:AB1006),$AB$1006:$AQ$1006,0)))),"Fix")))</f>
        <v>0</v>
      </c>
      <c r="C255" s="5">
        <f>IF(OR(INDEX($V$2:$V$1001,MATCH(ROWS($U$2:U255),$U$2:$U$1001,0),1)&gt;=100000,INDEX($AB$1005:$AQ$1005,1,MATCH(COLUMNS($AB$1006:AC1006),$AB$1006:$AQ$1006,0))&gt;=100000), " ",IF(INDEX($AB$2:$AQ$1001,MATCH(ROWS($U$2:U255),$U$2:$U$1001,0),MATCH(COLUMNS($AB$1006:AC1006),$AB$1006:$AQ$1006,0)), HYPERLINK("#",""), HYPERLINK(CONCATENATE("#Metadata!", ADDRESS(INDEX($W$2:$W$1001,MATCH(ROWS($U$2:U255),$U$2:$U$1001,0),0), INDEX($AB$1004:$AQ$1004,1,MATCH(COLUMNS($AB$1006:AC1006),$AB$1006:$AQ$1006,0)))),"Fix")))</f>
        <v>0</v>
      </c>
      <c r="D255" s="5">
        <f>IF(OR(INDEX($V$2:$V$1001,MATCH(ROWS($U$2:U255),$U$2:$U$1001,0),1)&gt;=100000,INDEX($AB$1005:$AQ$1005,1,MATCH(COLUMNS($AB$1006:AD1006),$AB$1006:$AQ$1006,0))&gt;=100000), " ",IF(INDEX($AB$2:$AQ$1001,MATCH(ROWS($U$2:U255),$U$2:$U$1001,0),MATCH(COLUMNS($AB$1006:AD1006),$AB$1006:$AQ$1006,0)), HYPERLINK("#",""), HYPERLINK(CONCATENATE("#Metadata!", ADDRESS(INDEX($W$2:$W$1001,MATCH(ROWS($U$2:U255),$U$2:$U$1001,0),0), INDEX($AB$1004:$AQ$1004,1,MATCH(COLUMNS($AB$1006:AD1006),$AB$1006:$AQ$1006,0)))),"Fix")))</f>
        <v>0</v>
      </c>
      <c r="E255" s="5">
        <f>IF(OR(INDEX($V$2:$V$1001,MATCH(ROWS($U$2:U255),$U$2:$U$1001,0),1)&gt;=100000,INDEX($AB$1005:$AQ$1005,1,MATCH(COLUMNS($AB$1006:AE1006),$AB$1006:$AQ$1006,0))&gt;=100000), " ",IF(INDEX($AB$2:$AQ$1001,MATCH(ROWS($U$2:U255),$U$2:$U$1001,0),MATCH(COLUMNS($AB$1006:AE1006),$AB$1006:$AQ$1006,0)), HYPERLINK("#",""), HYPERLINK(CONCATENATE("#Metadata!", ADDRESS(INDEX($W$2:$W$1001,MATCH(ROWS($U$2:U255),$U$2:$U$1001,0),0), INDEX($AB$1004:$AQ$1004,1,MATCH(COLUMNS($AB$1006:AE1006),$AB$1006:$AQ$1006,0)))),"Fix")))</f>
        <v>0</v>
      </c>
      <c r="F255" s="5">
        <f>IF(OR(INDEX($V$2:$V$1001,MATCH(ROWS($U$2:U255),$U$2:$U$1001,0),1)&gt;=100000,INDEX($AB$1005:$AQ$1005,1,MATCH(COLUMNS($AB$1006:AF1006),$AB$1006:$AQ$1006,0))&gt;=100000), " ",IF(INDEX($AB$2:$AQ$1001,MATCH(ROWS($U$2:U255),$U$2:$U$1001,0),MATCH(COLUMNS($AB$1006:AF1006),$AB$1006:$AQ$1006,0)), HYPERLINK("#",""), HYPERLINK(CONCATENATE("#Metadata!", ADDRESS(INDEX($W$2:$W$1001,MATCH(ROWS($U$2:U255),$U$2:$U$1001,0),0), INDEX($AB$1004:$AQ$1004,1,MATCH(COLUMNS($AB$1006:AF1006),$AB$1006:$AQ$1006,0)))),"Fix")))</f>
        <v>0</v>
      </c>
      <c r="G255" s="5">
        <f>IF(OR(INDEX($V$2:$V$1001,MATCH(ROWS($U$2:U255),$U$2:$U$1001,0),1)&gt;=100000,INDEX($AB$1005:$AQ$1005,1,MATCH(COLUMNS($AB$1006:AG1006),$AB$1006:$AQ$1006,0))&gt;=100000), " ",IF(INDEX($AB$2:$AQ$1001,MATCH(ROWS($U$2:U255),$U$2:$U$1001,0),MATCH(COLUMNS($AB$1006:AG1006),$AB$1006:$AQ$1006,0)), HYPERLINK("#",""), HYPERLINK(CONCATENATE("#Metadata!", ADDRESS(INDEX($W$2:$W$1001,MATCH(ROWS($U$2:U255),$U$2:$U$1001,0),0), INDEX($AB$1004:$AQ$1004,1,MATCH(COLUMNS($AB$1006:AG1006),$AB$1006:$AQ$1006,0)))),"Fix")))</f>
        <v>0</v>
      </c>
      <c r="H255" s="5">
        <f>IF(OR(INDEX($V$2:$V$1001,MATCH(ROWS($U$2:U255),$U$2:$U$1001,0),1)&gt;=100000,INDEX($AB$1005:$AQ$1005,1,MATCH(COLUMNS($AB$1006:AH1006),$AB$1006:$AQ$1006,0))&gt;=100000), " ",IF(INDEX($AB$2:$AQ$1001,MATCH(ROWS($U$2:U255),$U$2:$U$1001,0),MATCH(COLUMNS($AB$1006:AH1006),$AB$1006:$AQ$1006,0)), HYPERLINK("#",""), HYPERLINK(CONCATENATE("#Metadata!", ADDRESS(INDEX($W$2:$W$1001,MATCH(ROWS($U$2:U255),$U$2:$U$1001,0),0), INDEX($AB$1004:$AQ$1004,1,MATCH(COLUMNS($AB$1006:AH1006),$AB$1006:$AQ$1006,0)))),"Fix")))</f>
        <v>0</v>
      </c>
      <c r="I255" s="5">
        <f>IF(OR(INDEX($V$2:$V$1001,MATCH(ROWS($U$2:U255),$U$2:$U$1001,0),1)&gt;=100000,INDEX($AB$1005:$AQ$1005,1,MATCH(COLUMNS($AB$1006:AI1006),$AB$1006:$AQ$1006,0))&gt;=100000), " ",IF(INDEX($AB$2:$AQ$1001,MATCH(ROWS($U$2:U255),$U$2:$U$1001,0),MATCH(COLUMNS($AB$1006:AI1006),$AB$1006:$AQ$1006,0)), HYPERLINK("#",""), HYPERLINK(CONCATENATE("#Metadata!", ADDRESS(INDEX($W$2:$W$1001,MATCH(ROWS($U$2:U255),$U$2:$U$1001,0),0), INDEX($AB$1004:$AQ$1004,1,MATCH(COLUMNS($AB$1006:AI1006),$AB$1006:$AQ$1006,0)))),"Fix")))</f>
        <v>0</v>
      </c>
      <c r="J255" s="5">
        <f>IF(OR(INDEX($V$2:$V$1001,MATCH(ROWS($U$2:U255),$U$2:$U$1001,0),1)&gt;=100000,INDEX($AB$1005:$AQ$1005,1,MATCH(COLUMNS($AB$1006:AJ1006),$AB$1006:$AQ$1006,0))&gt;=100000), " ",IF(INDEX($AB$2:$AQ$1001,MATCH(ROWS($U$2:U255),$U$2:$U$1001,0),MATCH(COLUMNS($AB$1006:AJ1006),$AB$1006:$AQ$1006,0)), HYPERLINK("#",""), HYPERLINK(CONCATENATE("#Metadata!", ADDRESS(INDEX($W$2:$W$1001,MATCH(ROWS($U$2:U255),$U$2:$U$1001,0),0), INDEX($AB$1004:$AQ$1004,1,MATCH(COLUMNS($AB$1006:AJ1006),$AB$1006:$AQ$1006,0)))),"Fix")))</f>
        <v>0</v>
      </c>
      <c r="K255" s="5">
        <f>IF(OR(INDEX($V$2:$V$1001,MATCH(ROWS($U$2:U255),$U$2:$U$1001,0),1)&gt;=100000,INDEX($AB$1005:$AQ$1005,1,MATCH(COLUMNS($AB$1006:AK1006),$AB$1006:$AQ$1006,0))&gt;=100000), " ",IF(INDEX($AB$2:$AQ$1001,MATCH(ROWS($U$2:U255),$U$2:$U$1001,0),MATCH(COLUMNS($AB$1006:AK1006),$AB$1006:$AQ$1006,0)), HYPERLINK("#",""), HYPERLINK(CONCATENATE("#Metadata!", ADDRESS(INDEX($W$2:$W$1001,MATCH(ROWS($U$2:U255),$U$2:$U$1001,0),0), INDEX($AB$1004:$AQ$1004,1,MATCH(COLUMNS($AB$1006:AK1006),$AB$1006:$AQ$1006,0)))),"Fix")))</f>
        <v>0</v>
      </c>
      <c r="L255" s="5">
        <f>IF(OR(INDEX($V$2:$V$1001,MATCH(ROWS($U$2:U255),$U$2:$U$1001,0),1)&gt;=100000,INDEX($AB$1005:$AQ$1005,1,MATCH(COLUMNS($AB$1006:AL1006),$AB$1006:$AQ$1006,0))&gt;=100000), " ",IF(INDEX($AB$2:$AQ$1001,MATCH(ROWS($U$2:U255),$U$2:$U$1001,0),MATCH(COLUMNS($AB$1006:AL1006),$AB$1006:$AQ$1006,0)), HYPERLINK("#",""), HYPERLINK(CONCATENATE("#Metadata!", ADDRESS(INDEX($W$2:$W$1001,MATCH(ROWS($U$2:U255),$U$2:$U$1001,0),0), INDEX($AB$1004:$AQ$1004,1,MATCH(COLUMNS($AB$1006:AL1006),$AB$1006:$AQ$1006,0)))),"Fix")))</f>
        <v>0</v>
      </c>
      <c r="M255" s="5">
        <f>IF(OR(INDEX($V$2:$V$1001,MATCH(ROWS($U$2:U255),$U$2:$U$1001,0),1)&gt;=100000,INDEX($AB$1005:$AQ$1005,1,MATCH(COLUMNS($AB$1006:AM1006),$AB$1006:$AQ$1006,0))&gt;=100000), " ",IF(INDEX($AB$2:$AQ$1001,MATCH(ROWS($U$2:U255),$U$2:$U$1001,0),MATCH(COLUMNS($AB$1006:AM1006),$AB$1006:$AQ$1006,0)), HYPERLINK("#",""), HYPERLINK(CONCATENATE("#Metadata!", ADDRESS(INDEX($W$2:$W$1001,MATCH(ROWS($U$2:U255),$U$2:$U$1001,0),0), INDEX($AB$1004:$AQ$1004,1,MATCH(COLUMNS($AB$1006:AM1006),$AB$1006:$AQ$1006,0)))),"Fix")))</f>
        <v>0</v>
      </c>
      <c r="N255" s="5">
        <f>IF(OR(INDEX($V$2:$V$1001,MATCH(ROWS($U$2:U255),$U$2:$U$1001,0),1)&gt;=100000,INDEX($AB$1005:$AQ$1005,1,MATCH(COLUMNS($AB$1006:AN1006),$AB$1006:$AQ$1006,0))&gt;=100000), " ",IF(INDEX($AB$2:$AQ$1001,MATCH(ROWS($U$2:U255),$U$2:$U$1001,0),MATCH(COLUMNS($AB$1006:AN1006),$AB$1006:$AQ$1006,0)), HYPERLINK("#",""), HYPERLINK(CONCATENATE("#Metadata!", ADDRESS(INDEX($W$2:$W$1001,MATCH(ROWS($U$2:U255),$U$2:$U$1001,0),0), INDEX($AB$1004:$AQ$1004,1,MATCH(COLUMNS($AB$1006:AN1006),$AB$1006:$AQ$1006,0)))),"Fix")))</f>
        <v>0</v>
      </c>
      <c r="O255" s="5">
        <f>IF(OR(INDEX($V$2:$V$1001,MATCH(ROWS($U$2:U255),$U$2:$U$1001,0),1)&gt;=100000,INDEX($AB$1005:$AQ$1005,1,MATCH(COLUMNS($AB$1006:AO1006),$AB$1006:$AQ$1006,0))&gt;=100000), " ",IF(INDEX($AB$2:$AQ$1001,MATCH(ROWS($U$2:U255),$U$2:$U$1001,0),MATCH(COLUMNS($AB$1006:AO1006),$AB$1006:$AQ$1006,0)), HYPERLINK("#",""), HYPERLINK(CONCATENATE("#Metadata!", ADDRESS(INDEX($W$2:$W$1001,MATCH(ROWS($U$2:U255),$U$2:$U$1001,0),0), INDEX($AB$1004:$AQ$1004,1,MATCH(COLUMNS($AB$1006:AO1006),$AB$1006:$AQ$1006,0)))),"Fix")))</f>
        <v>0</v>
      </c>
      <c r="P255" s="5">
        <f>IF(OR(INDEX($V$2:$V$1001,MATCH(ROWS($U$2:U255),$U$2:$U$1001,0),1)&gt;=100000,INDEX($AB$1005:$AQ$1005,1,MATCH(COLUMNS($AB$1006:AP1006),$AB$1006:$AQ$1006,0))&gt;=100000), " ",IF(INDEX($AB$2:$AQ$1001,MATCH(ROWS($U$2:U255),$U$2:$U$1001,0),MATCH(COLUMNS($AB$1006:AP1006),$AB$1006:$AQ$1006,0)), HYPERLINK("#",""), HYPERLINK(CONCATENATE("#Metadata!", ADDRESS(INDEX($W$2:$W$1001,MATCH(ROWS($U$2:U255),$U$2:$U$1001,0),0), INDEX($AB$1004:$AQ$1004,1,MATCH(COLUMNS($AB$1006:AP1006),$AB$1006:$AQ$1006,0)))),"Fix")))</f>
        <v>0</v>
      </c>
      <c r="Q255" s="5">
        <f>IF(OR(INDEX($V$2:$V$1001,MATCH(ROWS($U$2:U255),$U$2:$U$1001,0),1)&gt;=100000,INDEX($AB$1005:$AQ$1005,1,MATCH(COLUMNS($AB$1006:AQ1006),$AB$1006:$AQ$1006,0))&gt;=100000), " ",IF(INDEX($AB$2:$AQ$1001,MATCH(ROWS($U$2:U255),$U$2:$U$1001,0),MATCH(COLUMNS($AB$1006:AQ1006),$AB$1006:$AQ$1006,0)), HYPERLINK("#",""), HYPERLINK(CONCATENATE("#Metadata!", ADDRESS(INDEX($W$2:$W$1001,MATCH(ROWS($U$2:U255),$U$2:$U$1001,0),0), INDEX($AB$1004:$AQ$1004,1,MATCH(COLUMNS($AB$1006:AQ1006),$AB$1006:$AQ$1006,0)))),"Fix")))</f>
        <v>0</v>
      </c>
      <c r="U255">
        <v>0</v>
      </c>
      <c r="V255">
        <v>0</v>
      </c>
      <c r="W255">
        <v>0</v>
      </c>
      <c r="X255">
        <f>IF(Y255,TRUE,AND(AB255:AQ255))</f>
        <v>0</v>
      </c>
      <c r="Y255">
        <f>COUNTBLANK(Metadata!B255:Q255)=COLUMNS(Metadata!B255:Q255)</f>
        <v>0</v>
      </c>
      <c r="Z255">
        <v>0</v>
      </c>
      <c r="AB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AC255">
        <f>AND(IF(Metadata!C255="",FALSE,TRUE),exact(Metadata!C255,"urban biome"))</f>
        <v>0</v>
      </c>
      <c r="AD255">
        <f>AND(IF(Metadata!D255="",FALSE,TRUE),exact(Metadata!D255,"human-associated habitat"))</f>
        <v>0</v>
      </c>
      <c r="AE255">
        <f>AND(IF(Metadata!E255="",FALSE,TRUE),OR(exact(Metadata!E255,"human-associated"),exact(Metadata!E255,"human-skin"),exact(Metadata!E255,"human-oral"),exact(Metadata!E255,"human-gut"),exact(Metadata!E255,"human-vaginal")))</f>
        <v>0</v>
      </c>
      <c r="AF255">
        <f>AND(IF(Metadata!F255="",FALSE,ISNUMBER(VALUE(Metadata!F255))),Metadata!F255&gt;0)</f>
        <v>0</v>
      </c>
      <c r="AG255">
        <f>AND(IF(Metadata!G255="",FALSE,TRUE),exact(Metadata!G255,"years"))</f>
        <v>0</v>
      </c>
      <c r="AH255">
        <f>OR(AND(IF(Metadata!H255="",FALSE,TRUE),OR(exact(Metadata!H255,"not applicable"),exact(Metadata!H255,"not collected"),exact(Metadata!H255,"not provided"),exact(Metadata!H255,"restricted access"))),AND(IF(Metadata!H255="",FALSE,ISNUMBER(VALUE(Metadata!H255))),Metadata!H255&gt;0))</f>
        <v>0</v>
      </c>
      <c r="AI255">
        <f>AND(IF(Metadata!I255="",FALSE,TRUE),exact(Metadata!I255,"human"))</f>
        <v>0</v>
      </c>
      <c r="AJ255">
        <f>AND(IF(Metadata!J255="",FALSE,ISNUMBER(VALUE(Metadata!J255))),Metadata!J255&gt;0)</f>
        <v>0</v>
      </c>
      <c r="AK255">
        <f>AND(IF(Metadata!K255="",FALSE,TRUE),exact(Metadata!K255,"cm"))</f>
        <v>0</v>
      </c>
      <c r="AL255">
        <f>AND(IF(Metadata!L255="",FALSE,TRUE),exact(Metadata!L255,"Homo sapiens"))</f>
        <v>0</v>
      </c>
      <c r="AM255">
        <f>AND(IF(Metadata!M255="",FALSE,TRUE),exact(Metadata!M255,"9606"))</f>
        <v>0</v>
      </c>
      <c r="AN255">
        <f>AND(IF(Metadata!N255="",FALSE,ISNUMBER(VALUE(Metadata!N255))),Metadata!N255&gt;0)</f>
        <v>0</v>
      </c>
      <c r="AO255">
        <f>AND(IF(Metadata!O255="",FALSE,TRUE),exact(Metadata!O255,"kg"))</f>
        <v>0</v>
      </c>
      <c r="AP255">
        <f>OR(AND(IF(Metadata!P255="",FALSE,TRUE),exact(Metadata!P255,"not provided")),IF(Metadata!P255="",FALSE,TRUE))</f>
        <v>0</v>
      </c>
      <c r="AQ255">
        <f>OR(AND(IF(Metadata!Q255="",FALSE,TRUE),exact(Metadata!Q255,"not provided")),IF(Metadata!Q255="",FALSE,TRUE))</f>
        <v>0</v>
      </c>
    </row>
    <row r="256" spans="1:43">
      <c r="A256" s="4">
        <f>IF(B256=" "," ",HYPERLINK(CONCATENATE("#metadata!",ADDRESS(INDEX($W$2:$W$1001,MATCH(ROWS($U$2:U256),$U$2:$U$1001,0),0),2)),INDEX($Z$2:$Z$1001,MATCH(ROWS($U$2:U256),$U$2:$U$1001,0),0)))</f>
        <v>0</v>
      </c>
      <c r="B256" s="5">
        <f>IF(OR(INDEX($V$2:$V$1001,MATCH(ROWS($U$2:U256),$U$2:$U$1001,0),1)&gt;=100000,INDEX($AB$1005:$AQ$1005,1,MATCH(COLUMNS($AB$1006:AB1006),$AB$1006:$AQ$1006,0))&gt;=100000), " ",IF(INDEX($AB$2:$AQ$1001,MATCH(ROWS($U$2:U256),$U$2:$U$1001,0),MATCH(COLUMNS($AB$1006:AB1006),$AB$1006:$AQ$1006,0)), HYPERLINK("#",""), HYPERLINK(CONCATENATE("#Metadata!", ADDRESS(INDEX($W$2:$W$1001,MATCH(ROWS($U$2:U256),$U$2:$U$1001,0),0), INDEX($AB$1004:$AQ$1004,1,MATCH(COLUMNS($AB$1006:AB1006),$AB$1006:$AQ$1006,0)))),"Fix")))</f>
        <v>0</v>
      </c>
      <c r="C256" s="5">
        <f>IF(OR(INDEX($V$2:$V$1001,MATCH(ROWS($U$2:U256),$U$2:$U$1001,0),1)&gt;=100000,INDEX($AB$1005:$AQ$1005,1,MATCH(COLUMNS($AB$1006:AC1006),$AB$1006:$AQ$1006,0))&gt;=100000), " ",IF(INDEX($AB$2:$AQ$1001,MATCH(ROWS($U$2:U256),$U$2:$U$1001,0),MATCH(COLUMNS($AB$1006:AC1006),$AB$1006:$AQ$1006,0)), HYPERLINK("#",""), HYPERLINK(CONCATENATE("#Metadata!", ADDRESS(INDEX($W$2:$W$1001,MATCH(ROWS($U$2:U256),$U$2:$U$1001,0),0), INDEX($AB$1004:$AQ$1004,1,MATCH(COLUMNS($AB$1006:AC1006),$AB$1006:$AQ$1006,0)))),"Fix")))</f>
        <v>0</v>
      </c>
      <c r="D256" s="5">
        <f>IF(OR(INDEX($V$2:$V$1001,MATCH(ROWS($U$2:U256),$U$2:$U$1001,0),1)&gt;=100000,INDEX($AB$1005:$AQ$1005,1,MATCH(COLUMNS($AB$1006:AD1006),$AB$1006:$AQ$1006,0))&gt;=100000), " ",IF(INDEX($AB$2:$AQ$1001,MATCH(ROWS($U$2:U256),$U$2:$U$1001,0),MATCH(COLUMNS($AB$1006:AD1006),$AB$1006:$AQ$1006,0)), HYPERLINK("#",""), HYPERLINK(CONCATENATE("#Metadata!", ADDRESS(INDEX($W$2:$W$1001,MATCH(ROWS($U$2:U256),$U$2:$U$1001,0),0), INDEX($AB$1004:$AQ$1004,1,MATCH(COLUMNS($AB$1006:AD1006),$AB$1006:$AQ$1006,0)))),"Fix")))</f>
        <v>0</v>
      </c>
      <c r="E256" s="5">
        <f>IF(OR(INDEX($V$2:$V$1001,MATCH(ROWS($U$2:U256),$U$2:$U$1001,0),1)&gt;=100000,INDEX($AB$1005:$AQ$1005,1,MATCH(COLUMNS($AB$1006:AE1006),$AB$1006:$AQ$1006,0))&gt;=100000), " ",IF(INDEX($AB$2:$AQ$1001,MATCH(ROWS($U$2:U256),$U$2:$U$1001,0),MATCH(COLUMNS($AB$1006:AE1006),$AB$1006:$AQ$1006,0)), HYPERLINK("#",""), HYPERLINK(CONCATENATE("#Metadata!", ADDRESS(INDEX($W$2:$W$1001,MATCH(ROWS($U$2:U256),$U$2:$U$1001,0),0), INDEX($AB$1004:$AQ$1004,1,MATCH(COLUMNS($AB$1006:AE1006),$AB$1006:$AQ$1006,0)))),"Fix")))</f>
        <v>0</v>
      </c>
      <c r="F256" s="5">
        <f>IF(OR(INDEX($V$2:$V$1001,MATCH(ROWS($U$2:U256),$U$2:$U$1001,0),1)&gt;=100000,INDEX($AB$1005:$AQ$1005,1,MATCH(COLUMNS($AB$1006:AF1006),$AB$1006:$AQ$1006,0))&gt;=100000), " ",IF(INDEX($AB$2:$AQ$1001,MATCH(ROWS($U$2:U256),$U$2:$U$1001,0),MATCH(COLUMNS($AB$1006:AF1006),$AB$1006:$AQ$1006,0)), HYPERLINK("#",""), HYPERLINK(CONCATENATE("#Metadata!", ADDRESS(INDEX($W$2:$W$1001,MATCH(ROWS($U$2:U256),$U$2:$U$1001,0),0), INDEX($AB$1004:$AQ$1004,1,MATCH(COLUMNS($AB$1006:AF1006),$AB$1006:$AQ$1006,0)))),"Fix")))</f>
        <v>0</v>
      </c>
      <c r="G256" s="5">
        <f>IF(OR(INDEX($V$2:$V$1001,MATCH(ROWS($U$2:U256),$U$2:$U$1001,0),1)&gt;=100000,INDEX($AB$1005:$AQ$1005,1,MATCH(COLUMNS($AB$1006:AG1006),$AB$1006:$AQ$1006,0))&gt;=100000), " ",IF(INDEX($AB$2:$AQ$1001,MATCH(ROWS($U$2:U256),$U$2:$U$1001,0),MATCH(COLUMNS($AB$1006:AG1006),$AB$1006:$AQ$1006,0)), HYPERLINK("#",""), HYPERLINK(CONCATENATE("#Metadata!", ADDRESS(INDEX($W$2:$W$1001,MATCH(ROWS($U$2:U256),$U$2:$U$1001,0),0), INDEX($AB$1004:$AQ$1004,1,MATCH(COLUMNS($AB$1006:AG1006),$AB$1006:$AQ$1006,0)))),"Fix")))</f>
        <v>0</v>
      </c>
      <c r="H256" s="5">
        <f>IF(OR(INDEX($V$2:$V$1001,MATCH(ROWS($U$2:U256),$U$2:$U$1001,0),1)&gt;=100000,INDEX($AB$1005:$AQ$1005,1,MATCH(COLUMNS($AB$1006:AH1006),$AB$1006:$AQ$1006,0))&gt;=100000), " ",IF(INDEX($AB$2:$AQ$1001,MATCH(ROWS($U$2:U256),$U$2:$U$1001,0),MATCH(COLUMNS($AB$1006:AH1006),$AB$1006:$AQ$1006,0)), HYPERLINK("#",""), HYPERLINK(CONCATENATE("#Metadata!", ADDRESS(INDEX($W$2:$W$1001,MATCH(ROWS($U$2:U256),$U$2:$U$1001,0),0), INDEX($AB$1004:$AQ$1004,1,MATCH(COLUMNS($AB$1006:AH1006),$AB$1006:$AQ$1006,0)))),"Fix")))</f>
        <v>0</v>
      </c>
      <c r="I256" s="5">
        <f>IF(OR(INDEX($V$2:$V$1001,MATCH(ROWS($U$2:U256),$U$2:$U$1001,0),1)&gt;=100000,INDEX($AB$1005:$AQ$1005,1,MATCH(COLUMNS($AB$1006:AI1006),$AB$1006:$AQ$1006,0))&gt;=100000), " ",IF(INDEX($AB$2:$AQ$1001,MATCH(ROWS($U$2:U256),$U$2:$U$1001,0),MATCH(COLUMNS($AB$1006:AI1006),$AB$1006:$AQ$1006,0)), HYPERLINK("#",""), HYPERLINK(CONCATENATE("#Metadata!", ADDRESS(INDEX($W$2:$W$1001,MATCH(ROWS($U$2:U256),$U$2:$U$1001,0),0), INDEX($AB$1004:$AQ$1004,1,MATCH(COLUMNS($AB$1006:AI1006),$AB$1006:$AQ$1006,0)))),"Fix")))</f>
        <v>0</v>
      </c>
      <c r="J256" s="5">
        <f>IF(OR(INDEX($V$2:$V$1001,MATCH(ROWS($U$2:U256),$U$2:$U$1001,0),1)&gt;=100000,INDEX($AB$1005:$AQ$1005,1,MATCH(COLUMNS($AB$1006:AJ1006),$AB$1006:$AQ$1006,0))&gt;=100000), " ",IF(INDEX($AB$2:$AQ$1001,MATCH(ROWS($U$2:U256),$U$2:$U$1001,0),MATCH(COLUMNS($AB$1006:AJ1006),$AB$1006:$AQ$1006,0)), HYPERLINK("#",""), HYPERLINK(CONCATENATE("#Metadata!", ADDRESS(INDEX($W$2:$W$1001,MATCH(ROWS($U$2:U256),$U$2:$U$1001,0),0), INDEX($AB$1004:$AQ$1004,1,MATCH(COLUMNS($AB$1006:AJ1006),$AB$1006:$AQ$1006,0)))),"Fix")))</f>
        <v>0</v>
      </c>
      <c r="K256" s="5">
        <f>IF(OR(INDEX($V$2:$V$1001,MATCH(ROWS($U$2:U256),$U$2:$U$1001,0),1)&gt;=100000,INDEX($AB$1005:$AQ$1005,1,MATCH(COLUMNS($AB$1006:AK1006),$AB$1006:$AQ$1006,0))&gt;=100000), " ",IF(INDEX($AB$2:$AQ$1001,MATCH(ROWS($U$2:U256),$U$2:$U$1001,0),MATCH(COLUMNS($AB$1006:AK1006),$AB$1006:$AQ$1006,0)), HYPERLINK("#",""), HYPERLINK(CONCATENATE("#Metadata!", ADDRESS(INDEX($W$2:$W$1001,MATCH(ROWS($U$2:U256),$U$2:$U$1001,0),0), INDEX($AB$1004:$AQ$1004,1,MATCH(COLUMNS($AB$1006:AK1006),$AB$1006:$AQ$1006,0)))),"Fix")))</f>
        <v>0</v>
      </c>
      <c r="L256" s="5">
        <f>IF(OR(INDEX($V$2:$V$1001,MATCH(ROWS($U$2:U256),$U$2:$U$1001,0),1)&gt;=100000,INDEX($AB$1005:$AQ$1005,1,MATCH(COLUMNS($AB$1006:AL1006),$AB$1006:$AQ$1006,0))&gt;=100000), " ",IF(INDEX($AB$2:$AQ$1001,MATCH(ROWS($U$2:U256),$U$2:$U$1001,0),MATCH(COLUMNS($AB$1006:AL1006),$AB$1006:$AQ$1006,0)), HYPERLINK("#",""), HYPERLINK(CONCATENATE("#Metadata!", ADDRESS(INDEX($W$2:$W$1001,MATCH(ROWS($U$2:U256),$U$2:$U$1001,0),0), INDEX($AB$1004:$AQ$1004,1,MATCH(COLUMNS($AB$1006:AL1006),$AB$1006:$AQ$1006,0)))),"Fix")))</f>
        <v>0</v>
      </c>
      <c r="M256" s="5">
        <f>IF(OR(INDEX($V$2:$V$1001,MATCH(ROWS($U$2:U256),$U$2:$U$1001,0),1)&gt;=100000,INDEX($AB$1005:$AQ$1005,1,MATCH(COLUMNS($AB$1006:AM1006),$AB$1006:$AQ$1006,0))&gt;=100000), " ",IF(INDEX($AB$2:$AQ$1001,MATCH(ROWS($U$2:U256),$U$2:$U$1001,0),MATCH(COLUMNS($AB$1006:AM1006),$AB$1006:$AQ$1006,0)), HYPERLINK("#",""), HYPERLINK(CONCATENATE("#Metadata!", ADDRESS(INDEX($W$2:$W$1001,MATCH(ROWS($U$2:U256),$U$2:$U$1001,0),0), INDEX($AB$1004:$AQ$1004,1,MATCH(COLUMNS($AB$1006:AM1006),$AB$1006:$AQ$1006,0)))),"Fix")))</f>
        <v>0</v>
      </c>
      <c r="N256" s="5">
        <f>IF(OR(INDEX($V$2:$V$1001,MATCH(ROWS($U$2:U256),$U$2:$U$1001,0),1)&gt;=100000,INDEX($AB$1005:$AQ$1005,1,MATCH(COLUMNS($AB$1006:AN1006),$AB$1006:$AQ$1006,0))&gt;=100000), " ",IF(INDEX($AB$2:$AQ$1001,MATCH(ROWS($U$2:U256),$U$2:$U$1001,0),MATCH(COLUMNS($AB$1006:AN1006),$AB$1006:$AQ$1006,0)), HYPERLINK("#",""), HYPERLINK(CONCATENATE("#Metadata!", ADDRESS(INDEX($W$2:$W$1001,MATCH(ROWS($U$2:U256),$U$2:$U$1001,0),0), INDEX($AB$1004:$AQ$1004,1,MATCH(COLUMNS($AB$1006:AN1006),$AB$1006:$AQ$1006,0)))),"Fix")))</f>
        <v>0</v>
      </c>
      <c r="O256" s="5">
        <f>IF(OR(INDEX($V$2:$V$1001,MATCH(ROWS($U$2:U256),$U$2:$U$1001,0),1)&gt;=100000,INDEX($AB$1005:$AQ$1005,1,MATCH(COLUMNS($AB$1006:AO1006),$AB$1006:$AQ$1006,0))&gt;=100000), " ",IF(INDEX($AB$2:$AQ$1001,MATCH(ROWS($U$2:U256),$U$2:$U$1001,0),MATCH(COLUMNS($AB$1006:AO1006),$AB$1006:$AQ$1006,0)), HYPERLINK("#",""), HYPERLINK(CONCATENATE("#Metadata!", ADDRESS(INDEX($W$2:$W$1001,MATCH(ROWS($U$2:U256),$U$2:$U$1001,0),0), INDEX($AB$1004:$AQ$1004,1,MATCH(COLUMNS($AB$1006:AO1006),$AB$1006:$AQ$1006,0)))),"Fix")))</f>
        <v>0</v>
      </c>
      <c r="P256" s="5">
        <f>IF(OR(INDEX($V$2:$V$1001,MATCH(ROWS($U$2:U256),$U$2:$U$1001,0),1)&gt;=100000,INDEX($AB$1005:$AQ$1005,1,MATCH(COLUMNS($AB$1006:AP1006),$AB$1006:$AQ$1006,0))&gt;=100000), " ",IF(INDEX($AB$2:$AQ$1001,MATCH(ROWS($U$2:U256),$U$2:$U$1001,0),MATCH(COLUMNS($AB$1006:AP1006),$AB$1006:$AQ$1006,0)), HYPERLINK("#",""), HYPERLINK(CONCATENATE("#Metadata!", ADDRESS(INDEX($W$2:$W$1001,MATCH(ROWS($U$2:U256),$U$2:$U$1001,0),0), INDEX($AB$1004:$AQ$1004,1,MATCH(COLUMNS($AB$1006:AP1006),$AB$1006:$AQ$1006,0)))),"Fix")))</f>
        <v>0</v>
      </c>
      <c r="Q256" s="5">
        <f>IF(OR(INDEX($V$2:$V$1001,MATCH(ROWS($U$2:U256),$U$2:$U$1001,0),1)&gt;=100000,INDEX($AB$1005:$AQ$1005,1,MATCH(COLUMNS($AB$1006:AQ1006),$AB$1006:$AQ$1006,0))&gt;=100000), " ",IF(INDEX($AB$2:$AQ$1001,MATCH(ROWS($U$2:U256),$U$2:$U$1001,0),MATCH(COLUMNS($AB$1006:AQ1006),$AB$1006:$AQ$1006,0)), HYPERLINK("#",""), HYPERLINK(CONCATENATE("#Metadata!", ADDRESS(INDEX($W$2:$W$1001,MATCH(ROWS($U$2:U256),$U$2:$U$1001,0),0), INDEX($AB$1004:$AQ$1004,1,MATCH(COLUMNS($AB$1006:AQ1006),$AB$1006:$AQ$1006,0)))),"Fix")))</f>
        <v>0</v>
      </c>
      <c r="U256">
        <v>0</v>
      </c>
      <c r="V256">
        <v>0</v>
      </c>
      <c r="W256">
        <v>0</v>
      </c>
      <c r="X256">
        <f>IF(Y256,TRUE,AND(AB256:AQ256))</f>
        <v>0</v>
      </c>
      <c r="Y256">
        <f>COUNTBLANK(Metadata!B256:Q256)=COLUMNS(Metadata!B256:Q256)</f>
        <v>0</v>
      </c>
      <c r="Z256">
        <v>0</v>
      </c>
      <c r="AB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AC256">
        <f>AND(IF(Metadata!C256="",FALSE,TRUE),exact(Metadata!C256,"urban biome"))</f>
        <v>0</v>
      </c>
      <c r="AD256">
        <f>AND(IF(Metadata!D256="",FALSE,TRUE),exact(Metadata!D256,"human-associated habitat"))</f>
        <v>0</v>
      </c>
      <c r="AE256">
        <f>AND(IF(Metadata!E256="",FALSE,TRUE),OR(exact(Metadata!E256,"human-associated"),exact(Metadata!E256,"human-skin"),exact(Metadata!E256,"human-oral"),exact(Metadata!E256,"human-gut"),exact(Metadata!E256,"human-vaginal")))</f>
        <v>0</v>
      </c>
      <c r="AF256">
        <f>AND(IF(Metadata!F256="",FALSE,ISNUMBER(VALUE(Metadata!F256))),Metadata!F256&gt;0)</f>
        <v>0</v>
      </c>
      <c r="AG256">
        <f>AND(IF(Metadata!G256="",FALSE,TRUE),exact(Metadata!G256,"years"))</f>
        <v>0</v>
      </c>
      <c r="AH256">
        <f>OR(AND(IF(Metadata!H256="",FALSE,TRUE),OR(exact(Metadata!H256,"not applicable"),exact(Metadata!H256,"not collected"),exact(Metadata!H256,"not provided"),exact(Metadata!H256,"restricted access"))),AND(IF(Metadata!H256="",FALSE,ISNUMBER(VALUE(Metadata!H256))),Metadata!H256&gt;0))</f>
        <v>0</v>
      </c>
      <c r="AI256">
        <f>AND(IF(Metadata!I256="",FALSE,TRUE),exact(Metadata!I256,"human"))</f>
        <v>0</v>
      </c>
      <c r="AJ256">
        <f>AND(IF(Metadata!J256="",FALSE,ISNUMBER(VALUE(Metadata!J256))),Metadata!J256&gt;0)</f>
        <v>0</v>
      </c>
      <c r="AK256">
        <f>AND(IF(Metadata!K256="",FALSE,TRUE),exact(Metadata!K256,"cm"))</f>
        <v>0</v>
      </c>
      <c r="AL256">
        <f>AND(IF(Metadata!L256="",FALSE,TRUE),exact(Metadata!L256,"Homo sapiens"))</f>
        <v>0</v>
      </c>
      <c r="AM256">
        <f>AND(IF(Metadata!M256="",FALSE,TRUE),exact(Metadata!M256,"9606"))</f>
        <v>0</v>
      </c>
      <c r="AN256">
        <f>AND(IF(Metadata!N256="",FALSE,ISNUMBER(VALUE(Metadata!N256))),Metadata!N256&gt;0)</f>
        <v>0</v>
      </c>
      <c r="AO256">
        <f>AND(IF(Metadata!O256="",FALSE,TRUE),exact(Metadata!O256,"kg"))</f>
        <v>0</v>
      </c>
      <c r="AP256">
        <f>OR(AND(IF(Metadata!P256="",FALSE,TRUE),exact(Metadata!P256,"not provided")),IF(Metadata!P256="",FALSE,TRUE))</f>
        <v>0</v>
      </c>
      <c r="AQ256">
        <f>OR(AND(IF(Metadata!Q256="",FALSE,TRUE),exact(Metadata!Q256,"not provided")),IF(Metadata!Q256="",FALSE,TRUE))</f>
        <v>0</v>
      </c>
    </row>
    <row r="257" spans="1:43">
      <c r="A257" s="4">
        <f>IF(B257=" "," ",HYPERLINK(CONCATENATE("#metadata!",ADDRESS(INDEX($W$2:$W$1001,MATCH(ROWS($U$2:U257),$U$2:$U$1001,0),0),2)),INDEX($Z$2:$Z$1001,MATCH(ROWS($U$2:U257),$U$2:$U$1001,0),0)))</f>
        <v>0</v>
      </c>
      <c r="B257" s="5">
        <f>IF(OR(INDEX($V$2:$V$1001,MATCH(ROWS($U$2:U257),$U$2:$U$1001,0),1)&gt;=100000,INDEX($AB$1005:$AQ$1005,1,MATCH(COLUMNS($AB$1006:AB1006),$AB$1006:$AQ$1006,0))&gt;=100000), " ",IF(INDEX($AB$2:$AQ$1001,MATCH(ROWS($U$2:U257),$U$2:$U$1001,0),MATCH(COLUMNS($AB$1006:AB1006),$AB$1006:$AQ$1006,0)), HYPERLINK("#",""), HYPERLINK(CONCATENATE("#Metadata!", ADDRESS(INDEX($W$2:$W$1001,MATCH(ROWS($U$2:U257),$U$2:$U$1001,0),0), INDEX($AB$1004:$AQ$1004,1,MATCH(COLUMNS($AB$1006:AB1006),$AB$1006:$AQ$1006,0)))),"Fix")))</f>
        <v>0</v>
      </c>
      <c r="C257" s="5">
        <f>IF(OR(INDEX($V$2:$V$1001,MATCH(ROWS($U$2:U257),$U$2:$U$1001,0),1)&gt;=100000,INDEX($AB$1005:$AQ$1005,1,MATCH(COLUMNS($AB$1006:AC1006),$AB$1006:$AQ$1006,0))&gt;=100000), " ",IF(INDEX($AB$2:$AQ$1001,MATCH(ROWS($U$2:U257),$U$2:$U$1001,0),MATCH(COLUMNS($AB$1006:AC1006),$AB$1006:$AQ$1006,0)), HYPERLINK("#",""), HYPERLINK(CONCATENATE("#Metadata!", ADDRESS(INDEX($W$2:$W$1001,MATCH(ROWS($U$2:U257),$U$2:$U$1001,0),0), INDEX($AB$1004:$AQ$1004,1,MATCH(COLUMNS($AB$1006:AC1006),$AB$1006:$AQ$1006,0)))),"Fix")))</f>
        <v>0</v>
      </c>
      <c r="D257" s="5">
        <f>IF(OR(INDEX($V$2:$V$1001,MATCH(ROWS($U$2:U257),$U$2:$U$1001,0),1)&gt;=100000,INDEX($AB$1005:$AQ$1005,1,MATCH(COLUMNS($AB$1006:AD1006),$AB$1006:$AQ$1006,0))&gt;=100000), " ",IF(INDEX($AB$2:$AQ$1001,MATCH(ROWS($U$2:U257),$U$2:$U$1001,0),MATCH(COLUMNS($AB$1006:AD1006),$AB$1006:$AQ$1006,0)), HYPERLINK("#",""), HYPERLINK(CONCATENATE("#Metadata!", ADDRESS(INDEX($W$2:$W$1001,MATCH(ROWS($U$2:U257),$U$2:$U$1001,0),0), INDEX($AB$1004:$AQ$1004,1,MATCH(COLUMNS($AB$1006:AD1006),$AB$1006:$AQ$1006,0)))),"Fix")))</f>
        <v>0</v>
      </c>
      <c r="E257" s="5">
        <f>IF(OR(INDEX($V$2:$V$1001,MATCH(ROWS($U$2:U257),$U$2:$U$1001,0),1)&gt;=100000,INDEX($AB$1005:$AQ$1005,1,MATCH(COLUMNS($AB$1006:AE1006),$AB$1006:$AQ$1006,0))&gt;=100000), " ",IF(INDEX($AB$2:$AQ$1001,MATCH(ROWS($U$2:U257),$U$2:$U$1001,0),MATCH(COLUMNS($AB$1006:AE1006),$AB$1006:$AQ$1006,0)), HYPERLINK("#",""), HYPERLINK(CONCATENATE("#Metadata!", ADDRESS(INDEX($W$2:$W$1001,MATCH(ROWS($U$2:U257),$U$2:$U$1001,0),0), INDEX($AB$1004:$AQ$1004,1,MATCH(COLUMNS($AB$1006:AE1006),$AB$1006:$AQ$1006,0)))),"Fix")))</f>
        <v>0</v>
      </c>
      <c r="F257" s="5">
        <f>IF(OR(INDEX($V$2:$V$1001,MATCH(ROWS($U$2:U257),$U$2:$U$1001,0),1)&gt;=100000,INDEX($AB$1005:$AQ$1005,1,MATCH(COLUMNS($AB$1006:AF1006),$AB$1006:$AQ$1006,0))&gt;=100000), " ",IF(INDEX($AB$2:$AQ$1001,MATCH(ROWS($U$2:U257),$U$2:$U$1001,0),MATCH(COLUMNS($AB$1006:AF1006),$AB$1006:$AQ$1006,0)), HYPERLINK("#",""), HYPERLINK(CONCATENATE("#Metadata!", ADDRESS(INDEX($W$2:$W$1001,MATCH(ROWS($U$2:U257),$U$2:$U$1001,0),0), INDEX($AB$1004:$AQ$1004,1,MATCH(COLUMNS($AB$1006:AF1006),$AB$1006:$AQ$1006,0)))),"Fix")))</f>
        <v>0</v>
      </c>
      <c r="G257" s="5">
        <f>IF(OR(INDEX($V$2:$V$1001,MATCH(ROWS($U$2:U257),$U$2:$U$1001,0),1)&gt;=100000,INDEX($AB$1005:$AQ$1005,1,MATCH(COLUMNS($AB$1006:AG1006),$AB$1006:$AQ$1006,0))&gt;=100000), " ",IF(INDEX($AB$2:$AQ$1001,MATCH(ROWS($U$2:U257),$U$2:$U$1001,0),MATCH(COLUMNS($AB$1006:AG1006),$AB$1006:$AQ$1006,0)), HYPERLINK("#",""), HYPERLINK(CONCATENATE("#Metadata!", ADDRESS(INDEX($W$2:$W$1001,MATCH(ROWS($U$2:U257),$U$2:$U$1001,0),0), INDEX($AB$1004:$AQ$1004,1,MATCH(COLUMNS($AB$1006:AG1006),$AB$1006:$AQ$1006,0)))),"Fix")))</f>
        <v>0</v>
      </c>
      <c r="H257" s="5">
        <f>IF(OR(INDEX($V$2:$V$1001,MATCH(ROWS($U$2:U257),$U$2:$U$1001,0),1)&gt;=100000,INDEX($AB$1005:$AQ$1005,1,MATCH(COLUMNS($AB$1006:AH1006),$AB$1006:$AQ$1006,0))&gt;=100000), " ",IF(INDEX($AB$2:$AQ$1001,MATCH(ROWS($U$2:U257),$U$2:$U$1001,0),MATCH(COLUMNS($AB$1006:AH1006),$AB$1006:$AQ$1006,0)), HYPERLINK("#",""), HYPERLINK(CONCATENATE("#Metadata!", ADDRESS(INDEX($W$2:$W$1001,MATCH(ROWS($U$2:U257),$U$2:$U$1001,0),0), INDEX($AB$1004:$AQ$1004,1,MATCH(COLUMNS($AB$1006:AH1006),$AB$1006:$AQ$1006,0)))),"Fix")))</f>
        <v>0</v>
      </c>
      <c r="I257" s="5">
        <f>IF(OR(INDEX($V$2:$V$1001,MATCH(ROWS($U$2:U257),$U$2:$U$1001,0),1)&gt;=100000,INDEX($AB$1005:$AQ$1005,1,MATCH(COLUMNS($AB$1006:AI1006),$AB$1006:$AQ$1006,0))&gt;=100000), " ",IF(INDEX($AB$2:$AQ$1001,MATCH(ROWS($U$2:U257),$U$2:$U$1001,0),MATCH(COLUMNS($AB$1006:AI1006),$AB$1006:$AQ$1006,0)), HYPERLINK("#",""), HYPERLINK(CONCATENATE("#Metadata!", ADDRESS(INDEX($W$2:$W$1001,MATCH(ROWS($U$2:U257),$U$2:$U$1001,0),0), INDEX($AB$1004:$AQ$1004,1,MATCH(COLUMNS($AB$1006:AI1006),$AB$1006:$AQ$1006,0)))),"Fix")))</f>
        <v>0</v>
      </c>
      <c r="J257" s="5">
        <f>IF(OR(INDEX($V$2:$V$1001,MATCH(ROWS($U$2:U257),$U$2:$U$1001,0),1)&gt;=100000,INDEX($AB$1005:$AQ$1005,1,MATCH(COLUMNS($AB$1006:AJ1006),$AB$1006:$AQ$1006,0))&gt;=100000), " ",IF(INDEX($AB$2:$AQ$1001,MATCH(ROWS($U$2:U257),$U$2:$U$1001,0),MATCH(COLUMNS($AB$1006:AJ1006),$AB$1006:$AQ$1006,0)), HYPERLINK("#",""), HYPERLINK(CONCATENATE("#Metadata!", ADDRESS(INDEX($W$2:$W$1001,MATCH(ROWS($U$2:U257),$U$2:$U$1001,0),0), INDEX($AB$1004:$AQ$1004,1,MATCH(COLUMNS($AB$1006:AJ1006),$AB$1006:$AQ$1006,0)))),"Fix")))</f>
        <v>0</v>
      </c>
      <c r="K257" s="5">
        <f>IF(OR(INDEX($V$2:$V$1001,MATCH(ROWS($U$2:U257),$U$2:$U$1001,0),1)&gt;=100000,INDEX($AB$1005:$AQ$1005,1,MATCH(COLUMNS($AB$1006:AK1006),$AB$1006:$AQ$1006,0))&gt;=100000), " ",IF(INDEX($AB$2:$AQ$1001,MATCH(ROWS($U$2:U257),$U$2:$U$1001,0),MATCH(COLUMNS($AB$1006:AK1006),$AB$1006:$AQ$1006,0)), HYPERLINK("#",""), HYPERLINK(CONCATENATE("#Metadata!", ADDRESS(INDEX($W$2:$W$1001,MATCH(ROWS($U$2:U257),$U$2:$U$1001,0),0), INDEX($AB$1004:$AQ$1004,1,MATCH(COLUMNS($AB$1006:AK1006),$AB$1006:$AQ$1006,0)))),"Fix")))</f>
        <v>0</v>
      </c>
      <c r="L257" s="5">
        <f>IF(OR(INDEX($V$2:$V$1001,MATCH(ROWS($U$2:U257),$U$2:$U$1001,0),1)&gt;=100000,INDEX($AB$1005:$AQ$1005,1,MATCH(COLUMNS($AB$1006:AL1006),$AB$1006:$AQ$1006,0))&gt;=100000), " ",IF(INDEX($AB$2:$AQ$1001,MATCH(ROWS($U$2:U257),$U$2:$U$1001,0),MATCH(COLUMNS($AB$1006:AL1006),$AB$1006:$AQ$1006,0)), HYPERLINK("#",""), HYPERLINK(CONCATENATE("#Metadata!", ADDRESS(INDEX($W$2:$W$1001,MATCH(ROWS($U$2:U257),$U$2:$U$1001,0),0), INDEX($AB$1004:$AQ$1004,1,MATCH(COLUMNS($AB$1006:AL1006),$AB$1006:$AQ$1006,0)))),"Fix")))</f>
        <v>0</v>
      </c>
      <c r="M257" s="5">
        <f>IF(OR(INDEX($V$2:$V$1001,MATCH(ROWS($U$2:U257),$U$2:$U$1001,0),1)&gt;=100000,INDEX($AB$1005:$AQ$1005,1,MATCH(COLUMNS($AB$1006:AM1006),$AB$1006:$AQ$1006,0))&gt;=100000), " ",IF(INDEX($AB$2:$AQ$1001,MATCH(ROWS($U$2:U257),$U$2:$U$1001,0),MATCH(COLUMNS($AB$1006:AM1006),$AB$1006:$AQ$1006,0)), HYPERLINK("#",""), HYPERLINK(CONCATENATE("#Metadata!", ADDRESS(INDEX($W$2:$W$1001,MATCH(ROWS($U$2:U257),$U$2:$U$1001,0),0), INDEX($AB$1004:$AQ$1004,1,MATCH(COLUMNS($AB$1006:AM1006),$AB$1006:$AQ$1006,0)))),"Fix")))</f>
        <v>0</v>
      </c>
      <c r="N257" s="5">
        <f>IF(OR(INDEX($V$2:$V$1001,MATCH(ROWS($U$2:U257),$U$2:$U$1001,0),1)&gt;=100000,INDEX($AB$1005:$AQ$1005,1,MATCH(COLUMNS($AB$1006:AN1006),$AB$1006:$AQ$1006,0))&gt;=100000), " ",IF(INDEX($AB$2:$AQ$1001,MATCH(ROWS($U$2:U257),$U$2:$U$1001,0),MATCH(COLUMNS($AB$1006:AN1006),$AB$1006:$AQ$1006,0)), HYPERLINK("#",""), HYPERLINK(CONCATENATE("#Metadata!", ADDRESS(INDEX($W$2:$W$1001,MATCH(ROWS($U$2:U257),$U$2:$U$1001,0),0), INDEX($AB$1004:$AQ$1004,1,MATCH(COLUMNS($AB$1006:AN1006),$AB$1006:$AQ$1006,0)))),"Fix")))</f>
        <v>0</v>
      </c>
      <c r="O257" s="5">
        <f>IF(OR(INDEX($V$2:$V$1001,MATCH(ROWS($U$2:U257),$U$2:$U$1001,0),1)&gt;=100000,INDEX($AB$1005:$AQ$1005,1,MATCH(COLUMNS($AB$1006:AO1006),$AB$1006:$AQ$1006,0))&gt;=100000), " ",IF(INDEX($AB$2:$AQ$1001,MATCH(ROWS($U$2:U257),$U$2:$U$1001,0),MATCH(COLUMNS($AB$1006:AO1006),$AB$1006:$AQ$1006,0)), HYPERLINK("#",""), HYPERLINK(CONCATENATE("#Metadata!", ADDRESS(INDEX($W$2:$W$1001,MATCH(ROWS($U$2:U257),$U$2:$U$1001,0),0), INDEX($AB$1004:$AQ$1004,1,MATCH(COLUMNS($AB$1006:AO1006),$AB$1006:$AQ$1006,0)))),"Fix")))</f>
        <v>0</v>
      </c>
      <c r="P257" s="5">
        <f>IF(OR(INDEX($V$2:$V$1001,MATCH(ROWS($U$2:U257),$U$2:$U$1001,0),1)&gt;=100000,INDEX($AB$1005:$AQ$1005,1,MATCH(COLUMNS($AB$1006:AP1006),$AB$1006:$AQ$1006,0))&gt;=100000), " ",IF(INDEX($AB$2:$AQ$1001,MATCH(ROWS($U$2:U257),$U$2:$U$1001,0),MATCH(COLUMNS($AB$1006:AP1006),$AB$1006:$AQ$1006,0)), HYPERLINK("#",""), HYPERLINK(CONCATENATE("#Metadata!", ADDRESS(INDEX($W$2:$W$1001,MATCH(ROWS($U$2:U257),$U$2:$U$1001,0),0), INDEX($AB$1004:$AQ$1004,1,MATCH(COLUMNS($AB$1006:AP1006),$AB$1006:$AQ$1006,0)))),"Fix")))</f>
        <v>0</v>
      </c>
      <c r="Q257" s="5">
        <f>IF(OR(INDEX($V$2:$V$1001,MATCH(ROWS($U$2:U257),$U$2:$U$1001,0),1)&gt;=100000,INDEX($AB$1005:$AQ$1005,1,MATCH(COLUMNS($AB$1006:AQ1006),$AB$1006:$AQ$1006,0))&gt;=100000), " ",IF(INDEX($AB$2:$AQ$1001,MATCH(ROWS($U$2:U257),$U$2:$U$1001,0),MATCH(COLUMNS($AB$1006:AQ1006),$AB$1006:$AQ$1006,0)), HYPERLINK("#",""), HYPERLINK(CONCATENATE("#Metadata!", ADDRESS(INDEX($W$2:$W$1001,MATCH(ROWS($U$2:U257),$U$2:$U$1001,0),0), INDEX($AB$1004:$AQ$1004,1,MATCH(COLUMNS($AB$1006:AQ1006),$AB$1006:$AQ$1006,0)))),"Fix")))</f>
        <v>0</v>
      </c>
      <c r="U257">
        <v>0</v>
      </c>
      <c r="V257">
        <v>0</v>
      </c>
      <c r="W257">
        <v>0</v>
      </c>
      <c r="X257">
        <f>IF(Y257,TRUE,AND(AB257:AQ257))</f>
        <v>0</v>
      </c>
      <c r="Y257">
        <f>COUNTBLANK(Metadata!B257:Q257)=COLUMNS(Metadata!B257:Q257)</f>
        <v>0</v>
      </c>
      <c r="Z257">
        <v>0</v>
      </c>
      <c r="AB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AC257">
        <f>AND(IF(Metadata!C257="",FALSE,TRUE),exact(Metadata!C257,"urban biome"))</f>
        <v>0</v>
      </c>
      <c r="AD257">
        <f>AND(IF(Metadata!D257="",FALSE,TRUE),exact(Metadata!D257,"human-associated habitat"))</f>
        <v>0</v>
      </c>
      <c r="AE257">
        <f>AND(IF(Metadata!E257="",FALSE,TRUE),OR(exact(Metadata!E257,"human-associated"),exact(Metadata!E257,"human-skin"),exact(Metadata!E257,"human-oral"),exact(Metadata!E257,"human-gut"),exact(Metadata!E257,"human-vaginal")))</f>
        <v>0</v>
      </c>
      <c r="AF257">
        <f>AND(IF(Metadata!F257="",FALSE,ISNUMBER(VALUE(Metadata!F257))),Metadata!F257&gt;0)</f>
        <v>0</v>
      </c>
      <c r="AG257">
        <f>AND(IF(Metadata!G257="",FALSE,TRUE),exact(Metadata!G257,"years"))</f>
        <v>0</v>
      </c>
      <c r="AH257">
        <f>OR(AND(IF(Metadata!H257="",FALSE,TRUE),OR(exact(Metadata!H257,"not applicable"),exact(Metadata!H257,"not collected"),exact(Metadata!H257,"not provided"),exact(Metadata!H257,"restricted access"))),AND(IF(Metadata!H257="",FALSE,ISNUMBER(VALUE(Metadata!H257))),Metadata!H257&gt;0))</f>
        <v>0</v>
      </c>
      <c r="AI257">
        <f>AND(IF(Metadata!I257="",FALSE,TRUE),exact(Metadata!I257,"human"))</f>
        <v>0</v>
      </c>
      <c r="AJ257">
        <f>AND(IF(Metadata!J257="",FALSE,ISNUMBER(VALUE(Metadata!J257))),Metadata!J257&gt;0)</f>
        <v>0</v>
      </c>
      <c r="AK257">
        <f>AND(IF(Metadata!K257="",FALSE,TRUE),exact(Metadata!K257,"cm"))</f>
        <v>0</v>
      </c>
      <c r="AL257">
        <f>AND(IF(Metadata!L257="",FALSE,TRUE),exact(Metadata!L257,"Homo sapiens"))</f>
        <v>0</v>
      </c>
      <c r="AM257">
        <f>AND(IF(Metadata!M257="",FALSE,TRUE),exact(Metadata!M257,"9606"))</f>
        <v>0</v>
      </c>
      <c r="AN257">
        <f>AND(IF(Metadata!N257="",FALSE,ISNUMBER(VALUE(Metadata!N257))),Metadata!N257&gt;0)</f>
        <v>0</v>
      </c>
      <c r="AO257">
        <f>AND(IF(Metadata!O257="",FALSE,TRUE),exact(Metadata!O257,"kg"))</f>
        <v>0</v>
      </c>
      <c r="AP257">
        <f>OR(AND(IF(Metadata!P257="",FALSE,TRUE),exact(Metadata!P257,"not provided")),IF(Metadata!P257="",FALSE,TRUE))</f>
        <v>0</v>
      </c>
      <c r="AQ257">
        <f>OR(AND(IF(Metadata!Q257="",FALSE,TRUE),exact(Metadata!Q257,"not provided")),IF(Metadata!Q257="",FALSE,TRUE))</f>
        <v>0</v>
      </c>
    </row>
    <row r="258" spans="1:43">
      <c r="A258" s="4">
        <f>IF(B258=" "," ",HYPERLINK(CONCATENATE("#metadata!",ADDRESS(INDEX($W$2:$W$1001,MATCH(ROWS($U$2:U258),$U$2:$U$1001,0),0),2)),INDEX($Z$2:$Z$1001,MATCH(ROWS($U$2:U258),$U$2:$U$1001,0),0)))</f>
        <v>0</v>
      </c>
      <c r="B258" s="5">
        <f>IF(OR(INDEX($V$2:$V$1001,MATCH(ROWS($U$2:U258),$U$2:$U$1001,0),1)&gt;=100000,INDEX($AB$1005:$AQ$1005,1,MATCH(COLUMNS($AB$1006:AB1006),$AB$1006:$AQ$1006,0))&gt;=100000), " ",IF(INDEX($AB$2:$AQ$1001,MATCH(ROWS($U$2:U258),$U$2:$U$1001,0),MATCH(COLUMNS($AB$1006:AB1006),$AB$1006:$AQ$1006,0)), HYPERLINK("#",""), HYPERLINK(CONCATENATE("#Metadata!", ADDRESS(INDEX($W$2:$W$1001,MATCH(ROWS($U$2:U258),$U$2:$U$1001,0),0), INDEX($AB$1004:$AQ$1004,1,MATCH(COLUMNS($AB$1006:AB1006),$AB$1006:$AQ$1006,0)))),"Fix")))</f>
        <v>0</v>
      </c>
      <c r="C258" s="5">
        <f>IF(OR(INDEX($V$2:$V$1001,MATCH(ROWS($U$2:U258),$U$2:$U$1001,0),1)&gt;=100000,INDEX($AB$1005:$AQ$1005,1,MATCH(COLUMNS($AB$1006:AC1006),$AB$1006:$AQ$1006,0))&gt;=100000), " ",IF(INDEX($AB$2:$AQ$1001,MATCH(ROWS($U$2:U258),$U$2:$U$1001,0),MATCH(COLUMNS($AB$1006:AC1006),$AB$1006:$AQ$1006,0)), HYPERLINK("#",""), HYPERLINK(CONCATENATE("#Metadata!", ADDRESS(INDEX($W$2:$W$1001,MATCH(ROWS($U$2:U258),$U$2:$U$1001,0),0), INDEX($AB$1004:$AQ$1004,1,MATCH(COLUMNS($AB$1006:AC1006),$AB$1006:$AQ$1006,0)))),"Fix")))</f>
        <v>0</v>
      </c>
      <c r="D258" s="5">
        <f>IF(OR(INDEX($V$2:$V$1001,MATCH(ROWS($U$2:U258),$U$2:$U$1001,0),1)&gt;=100000,INDEX($AB$1005:$AQ$1005,1,MATCH(COLUMNS($AB$1006:AD1006),$AB$1006:$AQ$1006,0))&gt;=100000), " ",IF(INDEX($AB$2:$AQ$1001,MATCH(ROWS($U$2:U258),$U$2:$U$1001,0),MATCH(COLUMNS($AB$1006:AD1006),$AB$1006:$AQ$1006,0)), HYPERLINK("#",""), HYPERLINK(CONCATENATE("#Metadata!", ADDRESS(INDEX($W$2:$W$1001,MATCH(ROWS($U$2:U258),$U$2:$U$1001,0),0), INDEX($AB$1004:$AQ$1004,1,MATCH(COLUMNS($AB$1006:AD1006),$AB$1006:$AQ$1006,0)))),"Fix")))</f>
        <v>0</v>
      </c>
      <c r="E258" s="5">
        <f>IF(OR(INDEX($V$2:$V$1001,MATCH(ROWS($U$2:U258),$U$2:$U$1001,0),1)&gt;=100000,INDEX($AB$1005:$AQ$1005,1,MATCH(COLUMNS($AB$1006:AE1006),$AB$1006:$AQ$1006,0))&gt;=100000), " ",IF(INDEX($AB$2:$AQ$1001,MATCH(ROWS($U$2:U258),$U$2:$U$1001,0),MATCH(COLUMNS($AB$1006:AE1006),$AB$1006:$AQ$1006,0)), HYPERLINK("#",""), HYPERLINK(CONCATENATE("#Metadata!", ADDRESS(INDEX($W$2:$W$1001,MATCH(ROWS($U$2:U258),$U$2:$U$1001,0),0), INDEX($AB$1004:$AQ$1004,1,MATCH(COLUMNS($AB$1006:AE1006),$AB$1006:$AQ$1006,0)))),"Fix")))</f>
        <v>0</v>
      </c>
      <c r="F258" s="5">
        <f>IF(OR(INDEX($V$2:$V$1001,MATCH(ROWS($U$2:U258),$U$2:$U$1001,0),1)&gt;=100000,INDEX($AB$1005:$AQ$1005,1,MATCH(COLUMNS($AB$1006:AF1006),$AB$1006:$AQ$1006,0))&gt;=100000), " ",IF(INDEX($AB$2:$AQ$1001,MATCH(ROWS($U$2:U258),$U$2:$U$1001,0),MATCH(COLUMNS($AB$1006:AF1006),$AB$1006:$AQ$1006,0)), HYPERLINK("#",""), HYPERLINK(CONCATENATE("#Metadata!", ADDRESS(INDEX($W$2:$W$1001,MATCH(ROWS($U$2:U258),$U$2:$U$1001,0),0), INDEX($AB$1004:$AQ$1004,1,MATCH(COLUMNS($AB$1006:AF1006),$AB$1006:$AQ$1006,0)))),"Fix")))</f>
        <v>0</v>
      </c>
      <c r="G258" s="5">
        <f>IF(OR(INDEX($V$2:$V$1001,MATCH(ROWS($U$2:U258),$U$2:$U$1001,0),1)&gt;=100000,INDEX($AB$1005:$AQ$1005,1,MATCH(COLUMNS($AB$1006:AG1006),$AB$1006:$AQ$1006,0))&gt;=100000), " ",IF(INDEX($AB$2:$AQ$1001,MATCH(ROWS($U$2:U258),$U$2:$U$1001,0),MATCH(COLUMNS($AB$1006:AG1006),$AB$1006:$AQ$1006,0)), HYPERLINK("#",""), HYPERLINK(CONCATENATE("#Metadata!", ADDRESS(INDEX($W$2:$W$1001,MATCH(ROWS($U$2:U258),$U$2:$U$1001,0),0), INDEX($AB$1004:$AQ$1004,1,MATCH(COLUMNS($AB$1006:AG1006),$AB$1006:$AQ$1006,0)))),"Fix")))</f>
        <v>0</v>
      </c>
      <c r="H258" s="5">
        <f>IF(OR(INDEX($V$2:$V$1001,MATCH(ROWS($U$2:U258),$U$2:$U$1001,0),1)&gt;=100000,INDEX($AB$1005:$AQ$1005,1,MATCH(COLUMNS($AB$1006:AH1006),$AB$1006:$AQ$1006,0))&gt;=100000), " ",IF(INDEX($AB$2:$AQ$1001,MATCH(ROWS($U$2:U258),$U$2:$U$1001,0),MATCH(COLUMNS($AB$1006:AH1006),$AB$1006:$AQ$1006,0)), HYPERLINK("#",""), HYPERLINK(CONCATENATE("#Metadata!", ADDRESS(INDEX($W$2:$W$1001,MATCH(ROWS($U$2:U258),$U$2:$U$1001,0),0), INDEX($AB$1004:$AQ$1004,1,MATCH(COLUMNS($AB$1006:AH1006),$AB$1006:$AQ$1006,0)))),"Fix")))</f>
        <v>0</v>
      </c>
      <c r="I258" s="5">
        <f>IF(OR(INDEX($V$2:$V$1001,MATCH(ROWS($U$2:U258),$U$2:$U$1001,0),1)&gt;=100000,INDEX($AB$1005:$AQ$1005,1,MATCH(COLUMNS($AB$1006:AI1006),$AB$1006:$AQ$1006,0))&gt;=100000), " ",IF(INDEX($AB$2:$AQ$1001,MATCH(ROWS($U$2:U258),$U$2:$U$1001,0),MATCH(COLUMNS($AB$1006:AI1006),$AB$1006:$AQ$1006,0)), HYPERLINK("#",""), HYPERLINK(CONCATENATE("#Metadata!", ADDRESS(INDEX($W$2:$W$1001,MATCH(ROWS($U$2:U258),$U$2:$U$1001,0),0), INDEX($AB$1004:$AQ$1004,1,MATCH(COLUMNS($AB$1006:AI1006),$AB$1006:$AQ$1006,0)))),"Fix")))</f>
        <v>0</v>
      </c>
      <c r="J258" s="5">
        <f>IF(OR(INDEX($V$2:$V$1001,MATCH(ROWS($U$2:U258),$U$2:$U$1001,0),1)&gt;=100000,INDEX($AB$1005:$AQ$1005,1,MATCH(COLUMNS($AB$1006:AJ1006),$AB$1006:$AQ$1006,0))&gt;=100000), " ",IF(INDEX($AB$2:$AQ$1001,MATCH(ROWS($U$2:U258),$U$2:$U$1001,0),MATCH(COLUMNS($AB$1006:AJ1006),$AB$1006:$AQ$1006,0)), HYPERLINK("#",""), HYPERLINK(CONCATENATE("#Metadata!", ADDRESS(INDEX($W$2:$W$1001,MATCH(ROWS($U$2:U258),$U$2:$U$1001,0),0), INDEX($AB$1004:$AQ$1004,1,MATCH(COLUMNS($AB$1006:AJ1006),$AB$1006:$AQ$1006,0)))),"Fix")))</f>
        <v>0</v>
      </c>
      <c r="K258" s="5">
        <f>IF(OR(INDEX($V$2:$V$1001,MATCH(ROWS($U$2:U258),$U$2:$U$1001,0),1)&gt;=100000,INDEX($AB$1005:$AQ$1005,1,MATCH(COLUMNS($AB$1006:AK1006),$AB$1006:$AQ$1006,0))&gt;=100000), " ",IF(INDEX($AB$2:$AQ$1001,MATCH(ROWS($U$2:U258),$U$2:$U$1001,0),MATCH(COLUMNS($AB$1006:AK1006),$AB$1006:$AQ$1006,0)), HYPERLINK("#",""), HYPERLINK(CONCATENATE("#Metadata!", ADDRESS(INDEX($W$2:$W$1001,MATCH(ROWS($U$2:U258),$U$2:$U$1001,0),0), INDEX($AB$1004:$AQ$1004,1,MATCH(COLUMNS($AB$1006:AK1006),$AB$1006:$AQ$1006,0)))),"Fix")))</f>
        <v>0</v>
      </c>
      <c r="L258" s="5">
        <f>IF(OR(INDEX($V$2:$V$1001,MATCH(ROWS($U$2:U258),$U$2:$U$1001,0),1)&gt;=100000,INDEX($AB$1005:$AQ$1005,1,MATCH(COLUMNS($AB$1006:AL1006),$AB$1006:$AQ$1006,0))&gt;=100000), " ",IF(INDEX($AB$2:$AQ$1001,MATCH(ROWS($U$2:U258),$U$2:$U$1001,0),MATCH(COLUMNS($AB$1006:AL1006),$AB$1006:$AQ$1006,0)), HYPERLINK("#",""), HYPERLINK(CONCATENATE("#Metadata!", ADDRESS(INDEX($W$2:$W$1001,MATCH(ROWS($U$2:U258),$U$2:$U$1001,0),0), INDEX($AB$1004:$AQ$1004,1,MATCH(COLUMNS($AB$1006:AL1006),$AB$1006:$AQ$1006,0)))),"Fix")))</f>
        <v>0</v>
      </c>
      <c r="M258" s="5">
        <f>IF(OR(INDEX($V$2:$V$1001,MATCH(ROWS($U$2:U258),$U$2:$U$1001,0),1)&gt;=100000,INDEX($AB$1005:$AQ$1005,1,MATCH(COLUMNS($AB$1006:AM1006),$AB$1006:$AQ$1006,0))&gt;=100000), " ",IF(INDEX($AB$2:$AQ$1001,MATCH(ROWS($U$2:U258),$U$2:$U$1001,0),MATCH(COLUMNS($AB$1006:AM1006),$AB$1006:$AQ$1006,0)), HYPERLINK("#",""), HYPERLINK(CONCATENATE("#Metadata!", ADDRESS(INDEX($W$2:$W$1001,MATCH(ROWS($U$2:U258),$U$2:$U$1001,0),0), INDEX($AB$1004:$AQ$1004,1,MATCH(COLUMNS($AB$1006:AM1006),$AB$1006:$AQ$1006,0)))),"Fix")))</f>
        <v>0</v>
      </c>
      <c r="N258" s="5">
        <f>IF(OR(INDEX($V$2:$V$1001,MATCH(ROWS($U$2:U258),$U$2:$U$1001,0),1)&gt;=100000,INDEX($AB$1005:$AQ$1005,1,MATCH(COLUMNS($AB$1006:AN1006),$AB$1006:$AQ$1006,0))&gt;=100000), " ",IF(INDEX($AB$2:$AQ$1001,MATCH(ROWS($U$2:U258),$U$2:$U$1001,0),MATCH(COLUMNS($AB$1006:AN1006),$AB$1006:$AQ$1006,0)), HYPERLINK("#",""), HYPERLINK(CONCATENATE("#Metadata!", ADDRESS(INDEX($W$2:$W$1001,MATCH(ROWS($U$2:U258),$U$2:$U$1001,0),0), INDEX($AB$1004:$AQ$1004,1,MATCH(COLUMNS($AB$1006:AN1006),$AB$1006:$AQ$1006,0)))),"Fix")))</f>
        <v>0</v>
      </c>
      <c r="O258" s="5">
        <f>IF(OR(INDEX($V$2:$V$1001,MATCH(ROWS($U$2:U258),$U$2:$U$1001,0),1)&gt;=100000,INDEX($AB$1005:$AQ$1005,1,MATCH(COLUMNS($AB$1006:AO1006),$AB$1006:$AQ$1006,0))&gt;=100000), " ",IF(INDEX($AB$2:$AQ$1001,MATCH(ROWS($U$2:U258),$U$2:$U$1001,0),MATCH(COLUMNS($AB$1006:AO1006),$AB$1006:$AQ$1006,0)), HYPERLINK("#",""), HYPERLINK(CONCATENATE("#Metadata!", ADDRESS(INDEX($W$2:$W$1001,MATCH(ROWS($U$2:U258),$U$2:$U$1001,0),0), INDEX($AB$1004:$AQ$1004,1,MATCH(COLUMNS($AB$1006:AO1006),$AB$1006:$AQ$1006,0)))),"Fix")))</f>
        <v>0</v>
      </c>
      <c r="P258" s="5">
        <f>IF(OR(INDEX($V$2:$V$1001,MATCH(ROWS($U$2:U258),$U$2:$U$1001,0),1)&gt;=100000,INDEX($AB$1005:$AQ$1005,1,MATCH(COLUMNS($AB$1006:AP1006),$AB$1006:$AQ$1006,0))&gt;=100000), " ",IF(INDEX($AB$2:$AQ$1001,MATCH(ROWS($U$2:U258),$U$2:$U$1001,0),MATCH(COLUMNS($AB$1006:AP1006),$AB$1006:$AQ$1006,0)), HYPERLINK("#",""), HYPERLINK(CONCATENATE("#Metadata!", ADDRESS(INDEX($W$2:$W$1001,MATCH(ROWS($U$2:U258),$U$2:$U$1001,0),0), INDEX($AB$1004:$AQ$1004,1,MATCH(COLUMNS($AB$1006:AP1006),$AB$1006:$AQ$1006,0)))),"Fix")))</f>
        <v>0</v>
      </c>
      <c r="Q258" s="5">
        <f>IF(OR(INDEX($V$2:$V$1001,MATCH(ROWS($U$2:U258),$U$2:$U$1001,0),1)&gt;=100000,INDEX($AB$1005:$AQ$1005,1,MATCH(COLUMNS($AB$1006:AQ1006),$AB$1006:$AQ$1006,0))&gt;=100000), " ",IF(INDEX($AB$2:$AQ$1001,MATCH(ROWS($U$2:U258),$U$2:$U$1001,0),MATCH(COLUMNS($AB$1006:AQ1006),$AB$1006:$AQ$1006,0)), HYPERLINK("#",""), HYPERLINK(CONCATENATE("#Metadata!", ADDRESS(INDEX($W$2:$W$1001,MATCH(ROWS($U$2:U258),$U$2:$U$1001,0),0), INDEX($AB$1004:$AQ$1004,1,MATCH(COLUMNS($AB$1006:AQ1006),$AB$1006:$AQ$1006,0)))),"Fix")))</f>
        <v>0</v>
      </c>
      <c r="U258">
        <v>0</v>
      </c>
      <c r="V258">
        <v>0</v>
      </c>
      <c r="W258">
        <v>0</v>
      </c>
      <c r="X258">
        <f>IF(Y258,TRUE,AND(AB258:AQ258))</f>
        <v>0</v>
      </c>
      <c r="Y258">
        <f>COUNTBLANK(Metadata!B258:Q258)=COLUMNS(Metadata!B258:Q258)</f>
        <v>0</v>
      </c>
      <c r="Z258">
        <v>0</v>
      </c>
      <c r="AB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AC258">
        <f>AND(IF(Metadata!C258="",FALSE,TRUE),exact(Metadata!C258,"urban biome"))</f>
        <v>0</v>
      </c>
      <c r="AD258">
        <f>AND(IF(Metadata!D258="",FALSE,TRUE),exact(Metadata!D258,"human-associated habitat"))</f>
        <v>0</v>
      </c>
      <c r="AE258">
        <f>AND(IF(Metadata!E258="",FALSE,TRUE),OR(exact(Metadata!E258,"human-associated"),exact(Metadata!E258,"human-skin"),exact(Metadata!E258,"human-oral"),exact(Metadata!E258,"human-gut"),exact(Metadata!E258,"human-vaginal")))</f>
        <v>0</v>
      </c>
      <c r="AF258">
        <f>AND(IF(Metadata!F258="",FALSE,ISNUMBER(VALUE(Metadata!F258))),Metadata!F258&gt;0)</f>
        <v>0</v>
      </c>
      <c r="AG258">
        <f>AND(IF(Metadata!G258="",FALSE,TRUE),exact(Metadata!G258,"years"))</f>
        <v>0</v>
      </c>
      <c r="AH258">
        <f>OR(AND(IF(Metadata!H258="",FALSE,TRUE),OR(exact(Metadata!H258,"not applicable"),exact(Metadata!H258,"not collected"),exact(Metadata!H258,"not provided"),exact(Metadata!H258,"restricted access"))),AND(IF(Metadata!H258="",FALSE,ISNUMBER(VALUE(Metadata!H258))),Metadata!H258&gt;0))</f>
        <v>0</v>
      </c>
      <c r="AI258">
        <f>AND(IF(Metadata!I258="",FALSE,TRUE),exact(Metadata!I258,"human"))</f>
        <v>0</v>
      </c>
      <c r="AJ258">
        <f>AND(IF(Metadata!J258="",FALSE,ISNUMBER(VALUE(Metadata!J258))),Metadata!J258&gt;0)</f>
        <v>0</v>
      </c>
      <c r="AK258">
        <f>AND(IF(Metadata!K258="",FALSE,TRUE),exact(Metadata!K258,"cm"))</f>
        <v>0</v>
      </c>
      <c r="AL258">
        <f>AND(IF(Metadata!L258="",FALSE,TRUE),exact(Metadata!L258,"Homo sapiens"))</f>
        <v>0</v>
      </c>
      <c r="AM258">
        <f>AND(IF(Metadata!M258="",FALSE,TRUE),exact(Metadata!M258,"9606"))</f>
        <v>0</v>
      </c>
      <c r="AN258">
        <f>AND(IF(Metadata!N258="",FALSE,ISNUMBER(VALUE(Metadata!N258))),Metadata!N258&gt;0)</f>
        <v>0</v>
      </c>
      <c r="AO258">
        <f>AND(IF(Metadata!O258="",FALSE,TRUE),exact(Metadata!O258,"kg"))</f>
        <v>0</v>
      </c>
      <c r="AP258">
        <f>OR(AND(IF(Metadata!P258="",FALSE,TRUE),exact(Metadata!P258,"not provided")),IF(Metadata!P258="",FALSE,TRUE))</f>
        <v>0</v>
      </c>
      <c r="AQ258">
        <f>OR(AND(IF(Metadata!Q258="",FALSE,TRUE),exact(Metadata!Q258,"not provided")),IF(Metadata!Q258="",FALSE,TRUE))</f>
        <v>0</v>
      </c>
    </row>
    <row r="259" spans="1:43">
      <c r="A259" s="4">
        <f>IF(B259=" "," ",HYPERLINK(CONCATENATE("#metadata!",ADDRESS(INDEX($W$2:$W$1001,MATCH(ROWS($U$2:U259),$U$2:$U$1001,0),0),2)),INDEX($Z$2:$Z$1001,MATCH(ROWS($U$2:U259),$U$2:$U$1001,0),0)))</f>
        <v>0</v>
      </c>
      <c r="B259" s="5">
        <f>IF(OR(INDEX($V$2:$V$1001,MATCH(ROWS($U$2:U259),$U$2:$U$1001,0),1)&gt;=100000,INDEX($AB$1005:$AQ$1005,1,MATCH(COLUMNS($AB$1006:AB1006),$AB$1006:$AQ$1006,0))&gt;=100000), " ",IF(INDEX($AB$2:$AQ$1001,MATCH(ROWS($U$2:U259),$U$2:$U$1001,0),MATCH(COLUMNS($AB$1006:AB1006),$AB$1006:$AQ$1006,0)), HYPERLINK("#",""), HYPERLINK(CONCATENATE("#Metadata!", ADDRESS(INDEX($W$2:$W$1001,MATCH(ROWS($U$2:U259),$U$2:$U$1001,0),0), INDEX($AB$1004:$AQ$1004,1,MATCH(COLUMNS($AB$1006:AB1006),$AB$1006:$AQ$1006,0)))),"Fix")))</f>
        <v>0</v>
      </c>
      <c r="C259" s="5">
        <f>IF(OR(INDEX($V$2:$V$1001,MATCH(ROWS($U$2:U259),$U$2:$U$1001,0),1)&gt;=100000,INDEX($AB$1005:$AQ$1005,1,MATCH(COLUMNS($AB$1006:AC1006),$AB$1006:$AQ$1006,0))&gt;=100000), " ",IF(INDEX($AB$2:$AQ$1001,MATCH(ROWS($U$2:U259),$U$2:$U$1001,0),MATCH(COLUMNS($AB$1006:AC1006),$AB$1006:$AQ$1006,0)), HYPERLINK("#",""), HYPERLINK(CONCATENATE("#Metadata!", ADDRESS(INDEX($W$2:$W$1001,MATCH(ROWS($U$2:U259),$U$2:$U$1001,0),0), INDEX($AB$1004:$AQ$1004,1,MATCH(COLUMNS($AB$1006:AC1006),$AB$1006:$AQ$1006,0)))),"Fix")))</f>
        <v>0</v>
      </c>
      <c r="D259" s="5">
        <f>IF(OR(INDEX($V$2:$V$1001,MATCH(ROWS($U$2:U259),$U$2:$U$1001,0),1)&gt;=100000,INDEX($AB$1005:$AQ$1005,1,MATCH(COLUMNS($AB$1006:AD1006),$AB$1006:$AQ$1006,0))&gt;=100000), " ",IF(INDEX($AB$2:$AQ$1001,MATCH(ROWS($U$2:U259),$U$2:$U$1001,0),MATCH(COLUMNS($AB$1006:AD1006),$AB$1006:$AQ$1006,0)), HYPERLINK("#",""), HYPERLINK(CONCATENATE("#Metadata!", ADDRESS(INDEX($W$2:$W$1001,MATCH(ROWS($U$2:U259),$U$2:$U$1001,0),0), INDEX($AB$1004:$AQ$1004,1,MATCH(COLUMNS($AB$1006:AD1006),$AB$1006:$AQ$1006,0)))),"Fix")))</f>
        <v>0</v>
      </c>
      <c r="E259" s="5">
        <f>IF(OR(INDEX($V$2:$V$1001,MATCH(ROWS($U$2:U259),$U$2:$U$1001,0),1)&gt;=100000,INDEX($AB$1005:$AQ$1005,1,MATCH(COLUMNS($AB$1006:AE1006),$AB$1006:$AQ$1006,0))&gt;=100000), " ",IF(INDEX($AB$2:$AQ$1001,MATCH(ROWS($U$2:U259),$U$2:$U$1001,0),MATCH(COLUMNS($AB$1006:AE1006),$AB$1006:$AQ$1006,0)), HYPERLINK("#",""), HYPERLINK(CONCATENATE("#Metadata!", ADDRESS(INDEX($W$2:$W$1001,MATCH(ROWS($U$2:U259),$U$2:$U$1001,0),0), INDEX($AB$1004:$AQ$1004,1,MATCH(COLUMNS($AB$1006:AE1006),$AB$1006:$AQ$1006,0)))),"Fix")))</f>
        <v>0</v>
      </c>
      <c r="F259" s="5">
        <f>IF(OR(INDEX($V$2:$V$1001,MATCH(ROWS($U$2:U259),$U$2:$U$1001,0),1)&gt;=100000,INDEX($AB$1005:$AQ$1005,1,MATCH(COLUMNS($AB$1006:AF1006),$AB$1006:$AQ$1006,0))&gt;=100000), " ",IF(INDEX($AB$2:$AQ$1001,MATCH(ROWS($U$2:U259),$U$2:$U$1001,0),MATCH(COLUMNS($AB$1006:AF1006),$AB$1006:$AQ$1006,0)), HYPERLINK("#",""), HYPERLINK(CONCATENATE("#Metadata!", ADDRESS(INDEX($W$2:$W$1001,MATCH(ROWS($U$2:U259),$U$2:$U$1001,0),0), INDEX($AB$1004:$AQ$1004,1,MATCH(COLUMNS($AB$1006:AF1006),$AB$1006:$AQ$1006,0)))),"Fix")))</f>
        <v>0</v>
      </c>
      <c r="G259" s="5">
        <f>IF(OR(INDEX($V$2:$V$1001,MATCH(ROWS($U$2:U259),$U$2:$U$1001,0),1)&gt;=100000,INDEX($AB$1005:$AQ$1005,1,MATCH(COLUMNS($AB$1006:AG1006),$AB$1006:$AQ$1006,0))&gt;=100000), " ",IF(INDEX($AB$2:$AQ$1001,MATCH(ROWS($U$2:U259),$U$2:$U$1001,0),MATCH(COLUMNS($AB$1006:AG1006),$AB$1006:$AQ$1006,0)), HYPERLINK("#",""), HYPERLINK(CONCATENATE("#Metadata!", ADDRESS(INDEX($W$2:$W$1001,MATCH(ROWS($U$2:U259),$U$2:$U$1001,0),0), INDEX($AB$1004:$AQ$1004,1,MATCH(COLUMNS($AB$1006:AG1006),$AB$1006:$AQ$1006,0)))),"Fix")))</f>
        <v>0</v>
      </c>
      <c r="H259" s="5">
        <f>IF(OR(INDEX($V$2:$V$1001,MATCH(ROWS($U$2:U259),$U$2:$U$1001,0),1)&gt;=100000,INDEX($AB$1005:$AQ$1005,1,MATCH(COLUMNS($AB$1006:AH1006),$AB$1006:$AQ$1006,0))&gt;=100000), " ",IF(INDEX($AB$2:$AQ$1001,MATCH(ROWS($U$2:U259),$U$2:$U$1001,0),MATCH(COLUMNS($AB$1006:AH1006),$AB$1006:$AQ$1006,0)), HYPERLINK("#",""), HYPERLINK(CONCATENATE("#Metadata!", ADDRESS(INDEX($W$2:$W$1001,MATCH(ROWS($U$2:U259),$U$2:$U$1001,0),0), INDEX($AB$1004:$AQ$1004,1,MATCH(COLUMNS($AB$1006:AH1006),$AB$1006:$AQ$1006,0)))),"Fix")))</f>
        <v>0</v>
      </c>
      <c r="I259" s="5">
        <f>IF(OR(INDEX($V$2:$V$1001,MATCH(ROWS($U$2:U259),$U$2:$U$1001,0),1)&gt;=100000,INDEX($AB$1005:$AQ$1005,1,MATCH(COLUMNS($AB$1006:AI1006),$AB$1006:$AQ$1006,0))&gt;=100000), " ",IF(INDEX($AB$2:$AQ$1001,MATCH(ROWS($U$2:U259),$U$2:$U$1001,0),MATCH(COLUMNS($AB$1006:AI1006),$AB$1006:$AQ$1006,0)), HYPERLINK("#",""), HYPERLINK(CONCATENATE("#Metadata!", ADDRESS(INDEX($W$2:$W$1001,MATCH(ROWS($U$2:U259),$U$2:$U$1001,0),0), INDEX($AB$1004:$AQ$1004,1,MATCH(COLUMNS($AB$1006:AI1006),$AB$1006:$AQ$1006,0)))),"Fix")))</f>
        <v>0</v>
      </c>
      <c r="J259" s="5">
        <f>IF(OR(INDEX($V$2:$V$1001,MATCH(ROWS($U$2:U259),$U$2:$U$1001,0),1)&gt;=100000,INDEX($AB$1005:$AQ$1005,1,MATCH(COLUMNS($AB$1006:AJ1006),$AB$1006:$AQ$1006,0))&gt;=100000), " ",IF(INDEX($AB$2:$AQ$1001,MATCH(ROWS($U$2:U259),$U$2:$U$1001,0),MATCH(COLUMNS($AB$1006:AJ1006),$AB$1006:$AQ$1006,0)), HYPERLINK("#",""), HYPERLINK(CONCATENATE("#Metadata!", ADDRESS(INDEX($W$2:$W$1001,MATCH(ROWS($U$2:U259),$U$2:$U$1001,0),0), INDEX($AB$1004:$AQ$1004,1,MATCH(COLUMNS($AB$1006:AJ1006),$AB$1006:$AQ$1006,0)))),"Fix")))</f>
        <v>0</v>
      </c>
      <c r="K259" s="5">
        <f>IF(OR(INDEX($V$2:$V$1001,MATCH(ROWS($U$2:U259),$U$2:$U$1001,0),1)&gt;=100000,INDEX($AB$1005:$AQ$1005,1,MATCH(COLUMNS($AB$1006:AK1006),$AB$1006:$AQ$1006,0))&gt;=100000), " ",IF(INDEX($AB$2:$AQ$1001,MATCH(ROWS($U$2:U259),$U$2:$U$1001,0),MATCH(COLUMNS($AB$1006:AK1006),$AB$1006:$AQ$1006,0)), HYPERLINK("#",""), HYPERLINK(CONCATENATE("#Metadata!", ADDRESS(INDEX($W$2:$W$1001,MATCH(ROWS($U$2:U259),$U$2:$U$1001,0),0), INDEX($AB$1004:$AQ$1004,1,MATCH(COLUMNS($AB$1006:AK1006),$AB$1006:$AQ$1006,0)))),"Fix")))</f>
        <v>0</v>
      </c>
      <c r="L259" s="5">
        <f>IF(OR(INDEX($V$2:$V$1001,MATCH(ROWS($U$2:U259),$U$2:$U$1001,0),1)&gt;=100000,INDEX($AB$1005:$AQ$1005,1,MATCH(COLUMNS($AB$1006:AL1006),$AB$1006:$AQ$1006,0))&gt;=100000), " ",IF(INDEX($AB$2:$AQ$1001,MATCH(ROWS($U$2:U259),$U$2:$U$1001,0),MATCH(COLUMNS($AB$1006:AL1006),$AB$1006:$AQ$1006,0)), HYPERLINK("#",""), HYPERLINK(CONCATENATE("#Metadata!", ADDRESS(INDEX($W$2:$W$1001,MATCH(ROWS($U$2:U259),$U$2:$U$1001,0),0), INDEX($AB$1004:$AQ$1004,1,MATCH(COLUMNS($AB$1006:AL1006),$AB$1006:$AQ$1006,0)))),"Fix")))</f>
        <v>0</v>
      </c>
      <c r="M259" s="5">
        <f>IF(OR(INDEX($V$2:$V$1001,MATCH(ROWS($U$2:U259),$U$2:$U$1001,0),1)&gt;=100000,INDEX($AB$1005:$AQ$1005,1,MATCH(COLUMNS($AB$1006:AM1006),$AB$1006:$AQ$1006,0))&gt;=100000), " ",IF(INDEX($AB$2:$AQ$1001,MATCH(ROWS($U$2:U259),$U$2:$U$1001,0),MATCH(COLUMNS($AB$1006:AM1006),$AB$1006:$AQ$1006,0)), HYPERLINK("#",""), HYPERLINK(CONCATENATE("#Metadata!", ADDRESS(INDEX($W$2:$W$1001,MATCH(ROWS($U$2:U259),$U$2:$U$1001,0),0), INDEX($AB$1004:$AQ$1004,1,MATCH(COLUMNS($AB$1006:AM1006),$AB$1006:$AQ$1006,0)))),"Fix")))</f>
        <v>0</v>
      </c>
      <c r="N259" s="5">
        <f>IF(OR(INDEX($V$2:$V$1001,MATCH(ROWS($U$2:U259),$U$2:$U$1001,0),1)&gt;=100000,INDEX($AB$1005:$AQ$1005,1,MATCH(COLUMNS($AB$1006:AN1006),$AB$1006:$AQ$1006,0))&gt;=100000), " ",IF(INDEX($AB$2:$AQ$1001,MATCH(ROWS($U$2:U259),$U$2:$U$1001,0),MATCH(COLUMNS($AB$1006:AN1006),$AB$1006:$AQ$1006,0)), HYPERLINK("#",""), HYPERLINK(CONCATENATE("#Metadata!", ADDRESS(INDEX($W$2:$W$1001,MATCH(ROWS($U$2:U259),$U$2:$U$1001,0),0), INDEX($AB$1004:$AQ$1004,1,MATCH(COLUMNS($AB$1006:AN1006),$AB$1006:$AQ$1006,0)))),"Fix")))</f>
        <v>0</v>
      </c>
      <c r="O259" s="5">
        <f>IF(OR(INDEX($V$2:$V$1001,MATCH(ROWS($U$2:U259),$U$2:$U$1001,0),1)&gt;=100000,INDEX($AB$1005:$AQ$1005,1,MATCH(COLUMNS($AB$1006:AO1006),$AB$1006:$AQ$1006,0))&gt;=100000), " ",IF(INDEX($AB$2:$AQ$1001,MATCH(ROWS($U$2:U259),$U$2:$U$1001,0),MATCH(COLUMNS($AB$1006:AO1006),$AB$1006:$AQ$1006,0)), HYPERLINK("#",""), HYPERLINK(CONCATENATE("#Metadata!", ADDRESS(INDEX($W$2:$W$1001,MATCH(ROWS($U$2:U259),$U$2:$U$1001,0),0), INDEX($AB$1004:$AQ$1004,1,MATCH(COLUMNS($AB$1006:AO1006),$AB$1006:$AQ$1006,0)))),"Fix")))</f>
        <v>0</v>
      </c>
      <c r="P259" s="5">
        <f>IF(OR(INDEX($V$2:$V$1001,MATCH(ROWS($U$2:U259),$U$2:$U$1001,0),1)&gt;=100000,INDEX($AB$1005:$AQ$1005,1,MATCH(COLUMNS($AB$1006:AP1006),$AB$1006:$AQ$1006,0))&gt;=100000), " ",IF(INDEX($AB$2:$AQ$1001,MATCH(ROWS($U$2:U259),$U$2:$U$1001,0),MATCH(COLUMNS($AB$1006:AP1006),$AB$1006:$AQ$1006,0)), HYPERLINK("#",""), HYPERLINK(CONCATENATE("#Metadata!", ADDRESS(INDEX($W$2:$W$1001,MATCH(ROWS($U$2:U259),$U$2:$U$1001,0),0), INDEX($AB$1004:$AQ$1004,1,MATCH(COLUMNS($AB$1006:AP1006),$AB$1006:$AQ$1006,0)))),"Fix")))</f>
        <v>0</v>
      </c>
      <c r="Q259" s="5">
        <f>IF(OR(INDEX($V$2:$V$1001,MATCH(ROWS($U$2:U259),$U$2:$U$1001,0),1)&gt;=100000,INDEX($AB$1005:$AQ$1005,1,MATCH(COLUMNS($AB$1006:AQ1006),$AB$1006:$AQ$1006,0))&gt;=100000), " ",IF(INDEX($AB$2:$AQ$1001,MATCH(ROWS($U$2:U259),$U$2:$U$1001,0),MATCH(COLUMNS($AB$1006:AQ1006),$AB$1006:$AQ$1006,0)), HYPERLINK("#",""), HYPERLINK(CONCATENATE("#Metadata!", ADDRESS(INDEX($W$2:$W$1001,MATCH(ROWS($U$2:U259),$U$2:$U$1001,0),0), INDEX($AB$1004:$AQ$1004,1,MATCH(COLUMNS($AB$1006:AQ1006),$AB$1006:$AQ$1006,0)))),"Fix")))</f>
        <v>0</v>
      </c>
      <c r="U259">
        <v>0</v>
      </c>
      <c r="V259">
        <v>0</v>
      </c>
      <c r="W259">
        <v>0</v>
      </c>
      <c r="X259">
        <f>IF(Y259,TRUE,AND(AB259:AQ259))</f>
        <v>0</v>
      </c>
      <c r="Y259">
        <f>COUNTBLANK(Metadata!B259:Q259)=COLUMNS(Metadata!B259:Q259)</f>
        <v>0</v>
      </c>
      <c r="Z259">
        <v>0</v>
      </c>
      <c r="AB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AC259">
        <f>AND(IF(Metadata!C259="",FALSE,TRUE),exact(Metadata!C259,"urban biome"))</f>
        <v>0</v>
      </c>
      <c r="AD259">
        <f>AND(IF(Metadata!D259="",FALSE,TRUE),exact(Metadata!D259,"human-associated habitat"))</f>
        <v>0</v>
      </c>
      <c r="AE259">
        <f>AND(IF(Metadata!E259="",FALSE,TRUE),OR(exact(Metadata!E259,"human-associated"),exact(Metadata!E259,"human-skin"),exact(Metadata!E259,"human-oral"),exact(Metadata!E259,"human-gut"),exact(Metadata!E259,"human-vaginal")))</f>
        <v>0</v>
      </c>
      <c r="AF259">
        <f>AND(IF(Metadata!F259="",FALSE,ISNUMBER(VALUE(Metadata!F259))),Metadata!F259&gt;0)</f>
        <v>0</v>
      </c>
      <c r="AG259">
        <f>AND(IF(Metadata!G259="",FALSE,TRUE),exact(Metadata!G259,"years"))</f>
        <v>0</v>
      </c>
      <c r="AH259">
        <f>OR(AND(IF(Metadata!H259="",FALSE,TRUE),OR(exact(Metadata!H259,"not applicable"),exact(Metadata!H259,"not collected"),exact(Metadata!H259,"not provided"),exact(Metadata!H259,"restricted access"))),AND(IF(Metadata!H259="",FALSE,ISNUMBER(VALUE(Metadata!H259))),Metadata!H259&gt;0))</f>
        <v>0</v>
      </c>
      <c r="AI259">
        <f>AND(IF(Metadata!I259="",FALSE,TRUE),exact(Metadata!I259,"human"))</f>
        <v>0</v>
      </c>
      <c r="AJ259">
        <f>AND(IF(Metadata!J259="",FALSE,ISNUMBER(VALUE(Metadata!J259))),Metadata!J259&gt;0)</f>
        <v>0</v>
      </c>
      <c r="AK259">
        <f>AND(IF(Metadata!K259="",FALSE,TRUE),exact(Metadata!K259,"cm"))</f>
        <v>0</v>
      </c>
      <c r="AL259">
        <f>AND(IF(Metadata!L259="",FALSE,TRUE),exact(Metadata!L259,"Homo sapiens"))</f>
        <v>0</v>
      </c>
      <c r="AM259">
        <f>AND(IF(Metadata!M259="",FALSE,TRUE),exact(Metadata!M259,"9606"))</f>
        <v>0</v>
      </c>
      <c r="AN259">
        <f>AND(IF(Metadata!N259="",FALSE,ISNUMBER(VALUE(Metadata!N259))),Metadata!N259&gt;0)</f>
        <v>0</v>
      </c>
      <c r="AO259">
        <f>AND(IF(Metadata!O259="",FALSE,TRUE),exact(Metadata!O259,"kg"))</f>
        <v>0</v>
      </c>
      <c r="AP259">
        <f>OR(AND(IF(Metadata!P259="",FALSE,TRUE),exact(Metadata!P259,"not provided")),IF(Metadata!P259="",FALSE,TRUE))</f>
        <v>0</v>
      </c>
      <c r="AQ259">
        <f>OR(AND(IF(Metadata!Q259="",FALSE,TRUE),exact(Metadata!Q259,"not provided")),IF(Metadata!Q259="",FALSE,TRUE))</f>
        <v>0</v>
      </c>
    </row>
    <row r="260" spans="1:43">
      <c r="A260" s="4">
        <f>IF(B260=" "," ",HYPERLINK(CONCATENATE("#metadata!",ADDRESS(INDEX($W$2:$W$1001,MATCH(ROWS($U$2:U260),$U$2:$U$1001,0),0),2)),INDEX($Z$2:$Z$1001,MATCH(ROWS($U$2:U260),$U$2:$U$1001,0),0)))</f>
        <v>0</v>
      </c>
      <c r="B260" s="5">
        <f>IF(OR(INDEX($V$2:$V$1001,MATCH(ROWS($U$2:U260),$U$2:$U$1001,0),1)&gt;=100000,INDEX($AB$1005:$AQ$1005,1,MATCH(COLUMNS($AB$1006:AB1006),$AB$1006:$AQ$1006,0))&gt;=100000), " ",IF(INDEX($AB$2:$AQ$1001,MATCH(ROWS($U$2:U260),$U$2:$U$1001,0),MATCH(COLUMNS($AB$1006:AB1006),$AB$1006:$AQ$1006,0)), HYPERLINK("#",""), HYPERLINK(CONCATENATE("#Metadata!", ADDRESS(INDEX($W$2:$W$1001,MATCH(ROWS($U$2:U260),$U$2:$U$1001,0),0), INDEX($AB$1004:$AQ$1004,1,MATCH(COLUMNS($AB$1006:AB1006),$AB$1006:$AQ$1006,0)))),"Fix")))</f>
        <v>0</v>
      </c>
      <c r="C260" s="5">
        <f>IF(OR(INDEX($V$2:$V$1001,MATCH(ROWS($U$2:U260),$U$2:$U$1001,0),1)&gt;=100000,INDEX($AB$1005:$AQ$1005,1,MATCH(COLUMNS($AB$1006:AC1006),$AB$1006:$AQ$1006,0))&gt;=100000), " ",IF(INDEX($AB$2:$AQ$1001,MATCH(ROWS($U$2:U260),$U$2:$U$1001,0),MATCH(COLUMNS($AB$1006:AC1006),$AB$1006:$AQ$1006,0)), HYPERLINK("#",""), HYPERLINK(CONCATENATE("#Metadata!", ADDRESS(INDEX($W$2:$W$1001,MATCH(ROWS($U$2:U260),$U$2:$U$1001,0),0), INDEX($AB$1004:$AQ$1004,1,MATCH(COLUMNS($AB$1006:AC1006),$AB$1006:$AQ$1006,0)))),"Fix")))</f>
        <v>0</v>
      </c>
      <c r="D260" s="5">
        <f>IF(OR(INDEX($V$2:$V$1001,MATCH(ROWS($U$2:U260),$U$2:$U$1001,0),1)&gt;=100000,INDEX($AB$1005:$AQ$1005,1,MATCH(COLUMNS($AB$1006:AD1006),$AB$1006:$AQ$1006,0))&gt;=100000), " ",IF(INDEX($AB$2:$AQ$1001,MATCH(ROWS($U$2:U260),$U$2:$U$1001,0),MATCH(COLUMNS($AB$1006:AD1006),$AB$1006:$AQ$1006,0)), HYPERLINK("#",""), HYPERLINK(CONCATENATE("#Metadata!", ADDRESS(INDEX($W$2:$W$1001,MATCH(ROWS($U$2:U260),$U$2:$U$1001,0),0), INDEX($AB$1004:$AQ$1004,1,MATCH(COLUMNS($AB$1006:AD1006),$AB$1006:$AQ$1006,0)))),"Fix")))</f>
        <v>0</v>
      </c>
      <c r="E260" s="5">
        <f>IF(OR(INDEX($V$2:$V$1001,MATCH(ROWS($U$2:U260),$U$2:$U$1001,0),1)&gt;=100000,INDEX($AB$1005:$AQ$1005,1,MATCH(COLUMNS($AB$1006:AE1006),$AB$1006:$AQ$1006,0))&gt;=100000), " ",IF(INDEX($AB$2:$AQ$1001,MATCH(ROWS($U$2:U260),$U$2:$U$1001,0),MATCH(COLUMNS($AB$1006:AE1006),$AB$1006:$AQ$1006,0)), HYPERLINK("#",""), HYPERLINK(CONCATENATE("#Metadata!", ADDRESS(INDEX($W$2:$W$1001,MATCH(ROWS($U$2:U260),$U$2:$U$1001,0),0), INDEX($AB$1004:$AQ$1004,1,MATCH(COLUMNS($AB$1006:AE1006),$AB$1006:$AQ$1006,0)))),"Fix")))</f>
        <v>0</v>
      </c>
      <c r="F260" s="5">
        <f>IF(OR(INDEX($V$2:$V$1001,MATCH(ROWS($U$2:U260),$U$2:$U$1001,0),1)&gt;=100000,INDEX($AB$1005:$AQ$1005,1,MATCH(COLUMNS($AB$1006:AF1006),$AB$1006:$AQ$1006,0))&gt;=100000), " ",IF(INDEX($AB$2:$AQ$1001,MATCH(ROWS($U$2:U260),$U$2:$U$1001,0),MATCH(COLUMNS($AB$1006:AF1006),$AB$1006:$AQ$1006,0)), HYPERLINK("#",""), HYPERLINK(CONCATENATE("#Metadata!", ADDRESS(INDEX($W$2:$W$1001,MATCH(ROWS($U$2:U260),$U$2:$U$1001,0),0), INDEX($AB$1004:$AQ$1004,1,MATCH(COLUMNS($AB$1006:AF1006),$AB$1006:$AQ$1006,0)))),"Fix")))</f>
        <v>0</v>
      </c>
      <c r="G260" s="5">
        <f>IF(OR(INDEX($V$2:$V$1001,MATCH(ROWS($U$2:U260),$U$2:$U$1001,0),1)&gt;=100000,INDEX($AB$1005:$AQ$1005,1,MATCH(COLUMNS($AB$1006:AG1006),$AB$1006:$AQ$1006,0))&gt;=100000), " ",IF(INDEX($AB$2:$AQ$1001,MATCH(ROWS($U$2:U260),$U$2:$U$1001,0),MATCH(COLUMNS($AB$1006:AG1006),$AB$1006:$AQ$1006,0)), HYPERLINK("#",""), HYPERLINK(CONCATENATE("#Metadata!", ADDRESS(INDEX($W$2:$W$1001,MATCH(ROWS($U$2:U260),$U$2:$U$1001,0),0), INDEX($AB$1004:$AQ$1004,1,MATCH(COLUMNS($AB$1006:AG1006),$AB$1006:$AQ$1006,0)))),"Fix")))</f>
        <v>0</v>
      </c>
      <c r="H260" s="5">
        <f>IF(OR(INDEX($V$2:$V$1001,MATCH(ROWS($U$2:U260),$U$2:$U$1001,0),1)&gt;=100000,INDEX($AB$1005:$AQ$1005,1,MATCH(COLUMNS($AB$1006:AH1006),$AB$1006:$AQ$1006,0))&gt;=100000), " ",IF(INDEX($AB$2:$AQ$1001,MATCH(ROWS($U$2:U260),$U$2:$U$1001,0),MATCH(COLUMNS($AB$1006:AH1006),$AB$1006:$AQ$1006,0)), HYPERLINK("#",""), HYPERLINK(CONCATENATE("#Metadata!", ADDRESS(INDEX($W$2:$W$1001,MATCH(ROWS($U$2:U260),$U$2:$U$1001,0),0), INDEX($AB$1004:$AQ$1004,1,MATCH(COLUMNS($AB$1006:AH1006),$AB$1006:$AQ$1006,0)))),"Fix")))</f>
        <v>0</v>
      </c>
      <c r="I260" s="5">
        <f>IF(OR(INDEX($V$2:$V$1001,MATCH(ROWS($U$2:U260),$U$2:$U$1001,0),1)&gt;=100000,INDEX($AB$1005:$AQ$1005,1,MATCH(COLUMNS($AB$1006:AI1006),$AB$1006:$AQ$1006,0))&gt;=100000), " ",IF(INDEX($AB$2:$AQ$1001,MATCH(ROWS($U$2:U260),$U$2:$U$1001,0),MATCH(COLUMNS($AB$1006:AI1006),$AB$1006:$AQ$1006,0)), HYPERLINK("#",""), HYPERLINK(CONCATENATE("#Metadata!", ADDRESS(INDEX($W$2:$W$1001,MATCH(ROWS($U$2:U260),$U$2:$U$1001,0),0), INDEX($AB$1004:$AQ$1004,1,MATCH(COLUMNS($AB$1006:AI1006),$AB$1006:$AQ$1006,0)))),"Fix")))</f>
        <v>0</v>
      </c>
      <c r="J260" s="5">
        <f>IF(OR(INDEX($V$2:$V$1001,MATCH(ROWS($U$2:U260),$U$2:$U$1001,0),1)&gt;=100000,INDEX($AB$1005:$AQ$1005,1,MATCH(COLUMNS($AB$1006:AJ1006),$AB$1006:$AQ$1006,0))&gt;=100000), " ",IF(INDEX($AB$2:$AQ$1001,MATCH(ROWS($U$2:U260),$U$2:$U$1001,0),MATCH(COLUMNS($AB$1006:AJ1006),$AB$1006:$AQ$1006,0)), HYPERLINK("#",""), HYPERLINK(CONCATENATE("#Metadata!", ADDRESS(INDEX($W$2:$W$1001,MATCH(ROWS($U$2:U260),$U$2:$U$1001,0),0), INDEX($AB$1004:$AQ$1004,1,MATCH(COLUMNS($AB$1006:AJ1006),$AB$1006:$AQ$1006,0)))),"Fix")))</f>
        <v>0</v>
      </c>
      <c r="K260" s="5">
        <f>IF(OR(INDEX($V$2:$V$1001,MATCH(ROWS($U$2:U260),$U$2:$U$1001,0),1)&gt;=100000,INDEX($AB$1005:$AQ$1005,1,MATCH(COLUMNS($AB$1006:AK1006),$AB$1006:$AQ$1006,0))&gt;=100000), " ",IF(INDEX($AB$2:$AQ$1001,MATCH(ROWS($U$2:U260),$U$2:$U$1001,0),MATCH(COLUMNS($AB$1006:AK1006),$AB$1006:$AQ$1006,0)), HYPERLINK("#",""), HYPERLINK(CONCATENATE("#Metadata!", ADDRESS(INDEX($W$2:$W$1001,MATCH(ROWS($U$2:U260),$U$2:$U$1001,0),0), INDEX($AB$1004:$AQ$1004,1,MATCH(COLUMNS($AB$1006:AK1006),$AB$1006:$AQ$1006,0)))),"Fix")))</f>
        <v>0</v>
      </c>
      <c r="L260" s="5">
        <f>IF(OR(INDEX($V$2:$V$1001,MATCH(ROWS($U$2:U260),$U$2:$U$1001,0),1)&gt;=100000,INDEX($AB$1005:$AQ$1005,1,MATCH(COLUMNS($AB$1006:AL1006),$AB$1006:$AQ$1006,0))&gt;=100000), " ",IF(INDEX($AB$2:$AQ$1001,MATCH(ROWS($U$2:U260),$U$2:$U$1001,0),MATCH(COLUMNS($AB$1006:AL1006),$AB$1006:$AQ$1006,0)), HYPERLINK("#",""), HYPERLINK(CONCATENATE("#Metadata!", ADDRESS(INDEX($W$2:$W$1001,MATCH(ROWS($U$2:U260),$U$2:$U$1001,0),0), INDEX($AB$1004:$AQ$1004,1,MATCH(COLUMNS($AB$1006:AL1006),$AB$1006:$AQ$1006,0)))),"Fix")))</f>
        <v>0</v>
      </c>
      <c r="M260" s="5">
        <f>IF(OR(INDEX($V$2:$V$1001,MATCH(ROWS($U$2:U260),$U$2:$U$1001,0),1)&gt;=100000,INDEX($AB$1005:$AQ$1005,1,MATCH(COLUMNS($AB$1006:AM1006),$AB$1006:$AQ$1006,0))&gt;=100000), " ",IF(INDEX($AB$2:$AQ$1001,MATCH(ROWS($U$2:U260),$U$2:$U$1001,0),MATCH(COLUMNS($AB$1006:AM1006),$AB$1006:$AQ$1006,0)), HYPERLINK("#",""), HYPERLINK(CONCATENATE("#Metadata!", ADDRESS(INDEX($W$2:$W$1001,MATCH(ROWS($U$2:U260),$U$2:$U$1001,0),0), INDEX($AB$1004:$AQ$1004,1,MATCH(COLUMNS($AB$1006:AM1006),$AB$1006:$AQ$1006,0)))),"Fix")))</f>
        <v>0</v>
      </c>
      <c r="N260" s="5">
        <f>IF(OR(INDEX($V$2:$V$1001,MATCH(ROWS($U$2:U260),$U$2:$U$1001,0),1)&gt;=100000,INDEX($AB$1005:$AQ$1005,1,MATCH(COLUMNS($AB$1006:AN1006),$AB$1006:$AQ$1006,0))&gt;=100000), " ",IF(INDEX($AB$2:$AQ$1001,MATCH(ROWS($U$2:U260),$U$2:$U$1001,0),MATCH(COLUMNS($AB$1006:AN1006),$AB$1006:$AQ$1006,0)), HYPERLINK("#",""), HYPERLINK(CONCATENATE("#Metadata!", ADDRESS(INDEX($W$2:$W$1001,MATCH(ROWS($U$2:U260),$U$2:$U$1001,0),0), INDEX($AB$1004:$AQ$1004,1,MATCH(COLUMNS($AB$1006:AN1006),$AB$1006:$AQ$1006,0)))),"Fix")))</f>
        <v>0</v>
      </c>
      <c r="O260" s="5">
        <f>IF(OR(INDEX($V$2:$V$1001,MATCH(ROWS($U$2:U260),$U$2:$U$1001,0),1)&gt;=100000,INDEX($AB$1005:$AQ$1005,1,MATCH(COLUMNS($AB$1006:AO1006),$AB$1006:$AQ$1006,0))&gt;=100000), " ",IF(INDEX($AB$2:$AQ$1001,MATCH(ROWS($U$2:U260),$U$2:$U$1001,0),MATCH(COLUMNS($AB$1006:AO1006),$AB$1006:$AQ$1006,0)), HYPERLINK("#",""), HYPERLINK(CONCATENATE("#Metadata!", ADDRESS(INDEX($W$2:$W$1001,MATCH(ROWS($U$2:U260),$U$2:$U$1001,0),0), INDEX($AB$1004:$AQ$1004,1,MATCH(COLUMNS($AB$1006:AO1006),$AB$1006:$AQ$1006,0)))),"Fix")))</f>
        <v>0</v>
      </c>
      <c r="P260" s="5">
        <f>IF(OR(INDEX($V$2:$V$1001,MATCH(ROWS($U$2:U260),$U$2:$U$1001,0),1)&gt;=100000,INDEX($AB$1005:$AQ$1005,1,MATCH(COLUMNS($AB$1006:AP1006),$AB$1006:$AQ$1006,0))&gt;=100000), " ",IF(INDEX($AB$2:$AQ$1001,MATCH(ROWS($U$2:U260),$U$2:$U$1001,0),MATCH(COLUMNS($AB$1006:AP1006),$AB$1006:$AQ$1006,0)), HYPERLINK("#",""), HYPERLINK(CONCATENATE("#Metadata!", ADDRESS(INDEX($W$2:$W$1001,MATCH(ROWS($U$2:U260),$U$2:$U$1001,0),0), INDEX($AB$1004:$AQ$1004,1,MATCH(COLUMNS($AB$1006:AP1006),$AB$1006:$AQ$1006,0)))),"Fix")))</f>
        <v>0</v>
      </c>
      <c r="Q260" s="5">
        <f>IF(OR(INDEX($V$2:$V$1001,MATCH(ROWS($U$2:U260),$U$2:$U$1001,0),1)&gt;=100000,INDEX($AB$1005:$AQ$1005,1,MATCH(COLUMNS($AB$1006:AQ1006),$AB$1006:$AQ$1006,0))&gt;=100000), " ",IF(INDEX($AB$2:$AQ$1001,MATCH(ROWS($U$2:U260),$U$2:$U$1001,0),MATCH(COLUMNS($AB$1006:AQ1006),$AB$1006:$AQ$1006,0)), HYPERLINK("#",""), HYPERLINK(CONCATENATE("#Metadata!", ADDRESS(INDEX($W$2:$W$1001,MATCH(ROWS($U$2:U260),$U$2:$U$1001,0),0), INDEX($AB$1004:$AQ$1004,1,MATCH(COLUMNS($AB$1006:AQ1006),$AB$1006:$AQ$1006,0)))),"Fix")))</f>
        <v>0</v>
      </c>
      <c r="U260">
        <v>0</v>
      </c>
      <c r="V260">
        <v>0</v>
      </c>
      <c r="W260">
        <v>0</v>
      </c>
      <c r="X260">
        <f>IF(Y260,TRUE,AND(AB260:AQ260))</f>
        <v>0</v>
      </c>
      <c r="Y260">
        <f>COUNTBLANK(Metadata!B260:Q260)=COLUMNS(Metadata!B260:Q260)</f>
        <v>0</v>
      </c>
      <c r="Z260">
        <v>0</v>
      </c>
      <c r="AB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AC260">
        <f>AND(IF(Metadata!C260="",FALSE,TRUE),exact(Metadata!C260,"urban biome"))</f>
        <v>0</v>
      </c>
      <c r="AD260">
        <f>AND(IF(Metadata!D260="",FALSE,TRUE),exact(Metadata!D260,"human-associated habitat"))</f>
        <v>0</v>
      </c>
      <c r="AE260">
        <f>AND(IF(Metadata!E260="",FALSE,TRUE),OR(exact(Metadata!E260,"human-associated"),exact(Metadata!E260,"human-skin"),exact(Metadata!E260,"human-oral"),exact(Metadata!E260,"human-gut"),exact(Metadata!E260,"human-vaginal")))</f>
        <v>0</v>
      </c>
      <c r="AF260">
        <f>AND(IF(Metadata!F260="",FALSE,ISNUMBER(VALUE(Metadata!F260))),Metadata!F260&gt;0)</f>
        <v>0</v>
      </c>
      <c r="AG260">
        <f>AND(IF(Metadata!G260="",FALSE,TRUE),exact(Metadata!G260,"years"))</f>
        <v>0</v>
      </c>
      <c r="AH260">
        <f>OR(AND(IF(Metadata!H260="",FALSE,TRUE),OR(exact(Metadata!H260,"not applicable"),exact(Metadata!H260,"not collected"),exact(Metadata!H260,"not provided"),exact(Metadata!H260,"restricted access"))),AND(IF(Metadata!H260="",FALSE,ISNUMBER(VALUE(Metadata!H260))),Metadata!H260&gt;0))</f>
        <v>0</v>
      </c>
      <c r="AI260">
        <f>AND(IF(Metadata!I260="",FALSE,TRUE),exact(Metadata!I260,"human"))</f>
        <v>0</v>
      </c>
      <c r="AJ260">
        <f>AND(IF(Metadata!J260="",FALSE,ISNUMBER(VALUE(Metadata!J260))),Metadata!J260&gt;0)</f>
        <v>0</v>
      </c>
      <c r="AK260">
        <f>AND(IF(Metadata!K260="",FALSE,TRUE),exact(Metadata!K260,"cm"))</f>
        <v>0</v>
      </c>
      <c r="AL260">
        <f>AND(IF(Metadata!L260="",FALSE,TRUE),exact(Metadata!L260,"Homo sapiens"))</f>
        <v>0</v>
      </c>
      <c r="AM260">
        <f>AND(IF(Metadata!M260="",FALSE,TRUE),exact(Metadata!M260,"9606"))</f>
        <v>0</v>
      </c>
      <c r="AN260">
        <f>AND(IF(Metadata!N260="",FALSE,ISNUMBER(VALUE(Metadata!N260))),Metadata!N260&gt;0)</f>
        <v>0</v>
      </c>
      <c r="AO260">
        <f>AND(IF(Metadata!O260="",FALSE,TRUE),exact(Metadata!O260,"kg"))</f>
        <v>0</v>
      </c>
      <c r="AP260">
        <f>OR(AND(IF(Metadata!P260="",FALSE,TRUE),exact(Metadata!P260,"not provided")),IF(Metadata!P260="",FALSE,TRUE))</f>
        <v>0</v>
      </c>
      <c r="AQ260">
        <f>OR(AND(IF(Metadata!Q260="",FALSE,TRUE),exact(Metadata!Q260,"not provided")),IF(Metadata!Q260="",FALSE,TRUE))</f>
        <v>0</v>
      </c>
    </row>
    <row r="261" spans="1:43">
      <c r="A261" s="4">
        <f>IF(B261=" "," ",HYPERLINK(CONCATENATE("#metadata!",ADDRESS(INDEX($W$2:$W$1001,MATCH(ROWS($U$2:U261),$U$2:$U$1001,0),0),2)),INDEX($Z$2:$Z$1001,MATCH(ROWS($U$2:U261),$U$2:$U$1001,0),0)))</f>
        <v>0</v>
      </c>
      <c r="B261" s="5">
        <f>IF(OR(INDEX($V$2:$V$1001,MATCH(ROWS($U$2:U261),$U$2:$U$1001,0),1)&gt;=100000,INDEX($AB$1005:$AQ$1005,1,MATCH(COLUMNS($AB$1006:AB1006),$AB$1006:$AQ$1006,0))&gt;=100000), " ",IF(INDEX($AB$2:$AQ$1001,MATCH(ROWS($U$2:U261),$U$2:$U$1001,0),MATCH(COLUMNS($AB$1006:AB1006),$AB$1006:$AQ$1006,0)), HYPERLINK("#",""), HYPERLINK(CONCATENATE("#Metadata!", ADDRESS(INDEX($W$2:$W$1001,MATCH(ROWS($U$2:U261),$U$2:$U$1001,0),0), INDEX($AB$1004:$AQ$1004,1,MATCH(COLUMNS($AB$1006:AB1006),$AB$1006:$AQ$1006,0)))),"Fix")))</f>
        <v>0</v>
      </c>
      <c r="C261" s="5">
        <f>IF(OR(INDEX($V$2:$V$1001,MATCH(ROWS($U$2:U261),$U$2:$U$1001,0),1)&gt;=100000,INDEX($AB$1005:$AQ$1005,1,MATCH(COLUMNS($AB$1006:AC1006),$AB$1006:$AQ$1006,0))&gt;=100000), " ",IF(INDEX($AB$2:$AQ$1001,MATCH(ROWS($U$2:U261),$U$2:$U$1001,0),MATCH(COLUMNS($AB$1006:AC1006),$AB$1006:$AQ$1006,0)), HYPERLINK("#",""), HYPERLINK(CONCATENATE("#Metadata!", ADDRESS(INDEX($W$2:$W$1001,MATCH(ROWS($U$2:U261),$U$2:$U$1001,0),0), INDEX($AB$1004:$AQ$1004,1,MATCH(COLUMNS($AB$1006:AC1006),$AB$1006:$AQ$1006,0)))),"Fix")))</f>
        <v>0</v>
      </c>
      <c r="D261" s="5">
        <f>IF(OR(INDEX($V$2:$V$1001,MATCH(ROWS($U$2:U261),$U$2:$U$1001,0),1)&gt;=100000,INDEX($AB$1005:$AQ$1005,1,MATCH(COLUMNS($AB$1006:AD1006),$AB$1006:$AQ$1006,0))&gt;=100000), " ",IF(INDEX($AB$2:$AQ$1001,MATCH(ROWS($U$2:U261),$U$2:$U$1001,0),MATCH(COLUMNS($AB$1006:AD1006),$AB$1006:$AQ$1006,0)), HYPERLINK("#",""), HYPERLINK(CONCATENATE("#Metadata!", ADDRESS(INDEX($W$2:$W$1001,MATCH(ROWS($U$2:U261),$U$2:$U$1001,0),0), INDEX($AB$1004:$AQ$1004,1,MATCH(COLUMNS($AB$1006:AD1006),$AB$1006:$AQ$1006,0)))),"Fix")))</f>
        <v>0</v>
      </c>
      <c r="E261" s="5">
        <f>IF(OR(INDEX($V$2:$V$1001,MATCH(ROWS($U$2:U261),$U$2:$U$1001,0),1)&gt;=100000,INDEX($AB$1005:$AQ$1005,1,MATCH(COLUMNS($AB$1006:AE1006),$AB$1006:$AQ$1006,0))&gt;=100000), " ",IF(INDEX($AB$2:$AQ$1001,MATCH(ROWS($U$2:U261),$U$2:$U$1001,0),MATCH(COLUMNS($AB$1006:AE1006),$AB$1006:$AQ$1006,0)), HYPERLINK("#",""), HYPERLINK(CONCATENATE("#Metadata!", ADDRESS(INDEX($W$2:$W$1001,MATCH(ROWS($U$2:U261),$U$2:$U$1001,0),0), INDEX($AB$1004:$AQ$1004,1,MATCH(COLUMNS($AB$1006:AE1006),$AB$1006:$AQ$1006,0)))),"Fix")))</f>
        <v>0</v>
      </c>
      <c r="F261" s="5">
        <f>IF(OR(INDEX($V$2:$V$1001,MATCH(ROWS($U$2:U261),$U$2:$U$1001,0),1)&gt;=100000,INDEX($AB$1005:$AQ$1005,1,MATCH(COLUMNS($AB$1006:AF1006),$AB$1006:$AQ$1006,0))&gt;=100000), " ",IF(INDEX($AB$2:$AQ$1001,MATCH(ROWS($U$2:U261),$U$2:$U$1001,0),MATCH(COLUMNS($AB$1006:AF1006),$AB$1006:$AQ$1006,0)), HYPERLINK("#",""), HYPERLINK(CONCATENATE("#Metadata!", ADDRESS(INDEX($W$2:$W$1001,MATCH(ROWS($U$2:U261),$U$2:$U$1001,0),0), INDEX($AB$1004:$AQ$1004,1,MATCH(COLUMNS($AB$1006:AF1006),$AB$1006:$AQ$1006,0)))),"Fix")))</f>
        <v>0</v>
      </c>
      <c r="G261" s="5">
        <f>IF(OR(INDEX($V$2:$V$1001,MATCH(ROWS($U$2:U261),$U$2:$U$1001,0),1)&gt;=100000,INDEX($AB$1005:$AQ$1005,1,MATCH(COLUMNS($AB$1006:AG1006),$AB$1006:$AQ$1006,0))&gt;=100000), " ",IF(INDEX($AB$2:$AQ$1001,MATCH(ROWS($U$2:U261),$U$2:$U$1001,0),MATCH(COLUMNS($AB$1006:AG1006),$AB$1006:$AQ$1006,0)), HYPERLINK("#",""), HYPERLINK(CONCATENATE("#Metadata!", ADDRESS(INDEX($W$2:$W$1001,MATCH(ROWS($U$2:U261),$U$2:$U$1001,0),0), INDEX($AB$1004:$AQ$1004,1,MATCH(COLUMNS($AB$1006:AG1006),$AB$1006:$AQ$1006,0)))),"Fix")))</f>
        <v>0</v>
      </c>
      <c r="H261" s="5">
        <f>IF(OR(INDEX($V$2:$V$1001,MATCH(ROWS($U$2:U261),$U$2:$U$1001,0),1)&gt;=100000,INDEX($AB$1005:$AQ$1005,1,MATCH(COLUMNS($AB$1006:AH1006),$AB$1006:$AQ$1006,0))&gt;=100000), " ",IF(INDEX($AB$2:$AQ$1001,MATCH(ROWS($U$2:U261),$U$2:$U$1001,0),MATCH(COLUMNS($AB$1006:AH1006),$AB$1006:$AQ$1006,0)), HYPERLINK("#",""), HYPERLINK(CONCATENATE("#Metadata!", ADDRESS(INDEX($W$2:$W$1001,MATCH(ROWS($U$2:U261),$U$2:$U$1001,0),0), INDEX($AB$1004:$AQ$1004,1,MATCH(COLUMNS($AB$1006:AH1006),$AB$1006:$AQ$1006,0)))),"Fix")))</f>
        <v>0</v>
      </c>
      <c r="I261" s="5">
        <f>IF(OR(INDEX($V$2:$V$1001,MATCH(ROWS($U$2:U261),$U$2:$U$1001,0),1)&gt;=100000,INDEX($AB$1005:$AQ$1005,1,MATCH(COLUMNS($AB$1006:AI1006),$AB$1006:$AQ$1006,0))&gt;=100000), " ",IF(INDEX($AB$2:$AQ$1001,MATCH(ROWS($U$2:U261),$U$2:$U$1001,0),MATCH(COLUMNS($AB$1006:AI1006),$AB$1006:$AQ$1006,0)), HYPERLINK("#",""), HYPERLINK(CONCATENATE("#Metadata!", ADDRESS(INDEX($W$2:$W$1001,MATCH(ROWS($U$2:U261),$U$2:$U$1001,0),0), INDEX($AB$1004:$AQ$1004,1,MATCH(COLUMNS($AB$1006:AI1006),$AB$1006:$AQ$1006,0)))),"Fix")))</f>
        <v>0</v>
      </c>
      <c r="J261" s="5">
        <f>IF(OR(INDEX($V$2:$V$1001,MATCH(ROWS($U$2:U261),$U$2:$U$1001,0),1)&gt;=100000,INDEX($AB$1005:$AQ$1005,1,MATCH(COLUMNS($AB$1006:AJ1006),$AB$1006:$AQ$1006,0))&gt;=100000), " ",IF(INDEX($AB$2:$AQ$1001,MATCH(ROWS($U$2:U261),$U$2:$U$1001,0),MATCH(COLUMNS($AB$1006:AJ1006),$AB$1006:$AQ$1006,0)), HYPERLINK("#",""), HYPERLINK(CONCATENATE("#Metadata!", ADDRESS(INDEX($W$2:$W$1001,MATCH(ROWS($U$2:U261),$U$2:$U$1001,0),0), INDEX($AB$1004:$AQ$1004,1,MATCH(COLUMNS($AB$1006:AJ1006),$AB$1006:$AQ$1006,0)))),"Fix")))</f>
        <v>0</v>
      </c>
      <c r="K261" s="5">
        <f>IF(OR(INDEX($V$2:$V$1001,MATCH(ROWS($U$2:U261),$U$2:$U$1001,0),1)&gt;=100000,INDEX($AB$1005:$AQ$1005,1,MATCH(COLUMNS($AB$1006:AK1006),$AB$1006:$AQ$1006,0))&gt;=100000), " ",IF(INDEX($AB$2:$AQ$1001,MATCH(ROWS($U$2:U261),$U$2:$U$1001,0),MATCH(COLUMNS($AB$1006:AK1006),$AB$1006:$AQ$1006,0)), HYPERLINK("#",""), HYPERLINK(CONCATENATE("#Metadata!", ADDRESS(INDEX($W$2:$W$1001,MATCH(ROWS($U$2:U261),$U$2:$U$1001,0),0), INDEX($AB$1004:$AQ$1004,1,MATCH(COLUMNS($AB$1006:AK1006),$AB$1006:$AQ$1006,0)))),"Fix")))</f>
        <v>0</v>
      </c>
      <c r="L261" s="5">
        <f>IF(OR(INDEX($V$2:$V$1001,MATCH(ROWS($U$2:U261),$U$2:$U$1001,0),1)&gt;=100000,INDEX($AB$1005:$AQ$1005,1,MATCH(COLUMNS($AB$1006:AL1006),$AB$1006:$AQ$1006,0))&gt;=100000), " ",IF(INDEX($AB$2:$AQ$1001,MATCH(ROWS($U$2:U261),$U$2:$U$1001,0),MATCH(COLUMNS($AB$1006:AL1006),$AB$1006:$AQ$1006,0)), HYPERLINK("#",""), HYPERLINK(CONCATENATE("#Metadata!", ADDRESS(INDEX($W$2:$W$1001,MATCH(ROWS($U$2:U261),$U$2:$U$1001,0),0), INDEX($AB$1004:$AQ$1004,1,MATCH(COLUMNS($AB$1006:AL1006),$AB$1006:$AQ$1006,0)))),"Fix")))</f>
        <v>0</v>
      </c>
      <c r="M261" s="5">
        <f>IF(OR(INDEX($V$2:$V$1001,MATCH(ROWS($U$2:U261),$U$2:$U$1001,0),1)&gt;=100000,INDEX($AB$1005:$AQ$1005,1,MATCH(COLUMNS($AB$1006:AM1006),$AB$1006:$AQ$1006,0))&gt;=100000), " ",IF(INDEX($AB$2:$AQ$1001,MATCH(ROWS($U$2:U261),$U$2:$U$1001,0),MATCH(COLUMNS($AB$1006:AM1006),$AB$1006:$AQ$1006,0)), HYPERLINK("#",""), HYPERLINK(CONCATENATE("#Metadata!", ADDRESS(INDEX($W$2:$W$1001,MATCH(ROWS($U$2:U261),$U$2:$U$1001,0),0), INDEX($AB$1004:$AQ$1004,1,MATCH(COLUMNS($AB$1006:AM1006),$AB$1006:$AQ$1006,0)))),"Fix")))</f>
        <v>0</v>
      </c>
      <c r="N261" s="5">
        <f>IF(OR(INDEX($V$2:$V$1001,MATCH(ROWS($U$2:U261),$U$2:$U$1001,0),1)&gt;=100000,INDEX($AB$1005:$AQ$1005,1,MATCH(COLUMNS($AB$1006:AN1006),$AB$1006:$AQ$1006,0))&gt;=100000), " ",IF(INDEX($AB$2:$AQ$1001,MATCH(ROWS($U$2:U261),$U$2:$U$1001,0),MATCH(COLUMNS($AB$1006:AN1006),$AB$1006:$AQ$1006,0)), HYPERLINK("#",""), HYPERLINK(CONCATENATE("#Metadata!", ADDRESS(INDEX($W$2:$W$1001,MATCH(ROWS($U$2:U261),$U$2:$U$1001,0),0), INDEX($AB$1004:$AQ$1004,1,MATCH(COLUMNS($AB$1006:AN1006),$AB$1006:$AQ$1006,0)))),"Fix")))</f>
        <v>0</v>
      </c>
      <c r="O261" s="5">
        <f>IF(OR(INDEX($V$2:$V$1001,MATCH(ROWS($U$2:U261),$U$2:$U$1001,0),1)&gt;=100000,INDEX($AB$1005:$AQ$1005,1,MATCH(COLUMNS($AB$1006:AO1006),$AB$1006:$AQ$1006,0))&gt;=100000), " ",IF(INDEX($AB$2:$AQ$1001,MATCH(ROWS($U$2:U261),$U$2:$U$1001,0),MATCH(COLUMNS($AB$1006:AO1006),$AB$1006:$AQ$1006,0)), HYPERLINK("#",""), HYPERLINK(CONCATENATE("#Metadata!", ADDRESS(INDEX($W$2:$W$1001,MATCH(ROWS($U$2:U261),$U$2:$U$1001,0),0), INDEX($AB$1004:$AQ$1004,1,MATCH(COLUMNS($AB$1006:AO1006),$AB$1006:$AQ$1006,0)))),"Fix")))</f>
        <v>0</v>
      </c>
      <c r="P261" s="5">
        <f>IF(OR(INDEX($V$2:$V$1001,MATCH(ROWS($U$2:U261),$U$2:$U$1001,0),1)&gt;=100000,INDEX($AB$1005:$AQ$1005,1,MATCH(COLUMNS($AB$1006:AP1006),$AB$1006:$AQ$1006,0))&gt;=100000), " ",IF(INDEX($AB$2:$AQ$1001,MATCH(ROWS($U$2:U261),$U$2:$U$1001,0),MATCH(COLUMNS($AB$1006:AP1006),$AB$1006:$AQ$1006,0)), HYPERLINK("#",""), HYPERLINK(CONCATENATE("#Metadata!", ADDRESS(INDEX($W$2:$W$1001,MATCH(ROWS($U$2:U261),$U$2:$U$1001,0),0), INDEX($AB$1004:$AQ$1004,1,MATCH(COLUMNS($AB$1006:AP1006),$AB$1006:$AQ$1006,0)))),"Fix")))</f>
        <v>0</v>
      </c>
      <c r="Q261" s="5">
        <f>IF(OR(INDEX($V$2:$V$1001,MATCH(ROWS($U$2:U261),$U$2:$U$1001,0),1)&gt;=100000,INDEX($AB$1005:$AQ$1005,1,MATCH(COLUMNS($AB$1006:AQ1006),$AB$1006:$AQ$1006,0))&gt;=100000), " ",IF(INDEX($AB$2:$AQ$1001,MATCH(ROWS($U$2:U261),$U$2:$U$1001,0),MATCH(COLUMNS($AB$1006:AQ1006),$AB$1006:$AQ$1006,0)), HYPERLINK("#",""), HYPERLINK(CONCATENATE("#Metadata!", ADDRESS(INDEX($W$2:$W$1001,MATCH(ROWS($U$2:U261),$U$2:$U$1001,0),0), INDEX($AB$1004:$AQ$1004,1,MATCH(COLUMNS($AB$1006:AQ1006),$AB$1006:$AQ$1006,0)))),"Fix")))</f>
        <v>0</v>
      </c>
      <c r="U261">
        <v>0</v>
      </c>
      <c r="V261">
        <v>0</v>
      </c>
      <c r="W261">
        <v>0</v>
      </c>
      <c r="X261">
        <f>IF(Y261,TRUE,AND(AB261:AQ261))</f>
        <v>0</v>
      </c>
      <c r="Y261">
        <f>COUNTBLANK(Metadata!B261:Q261)=COLUMNS(Metadata!B261:Q261)</f>
        <v>0</v>
      </c>
      <c r="Z261">
        <v>0</v>
      </c>
      <c r="AB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AC261">
        <f>AND(IF(Metadata!C261="",FALSE,TRUE),exact(Metadata!C261,"urban biome"))</f>
        <v>0</v>
      </c>
      <c r="AD261">
        <f>AND(IF(Metadata!D261="",FALSE,TRUE),exact(Metadata!D261,"human-associated habitat"))</f>
        <v>0</v>
      </c>
      <c r="AE261">
        <f>AND(IF(Metadata!E261="",FALSE,TRUE),OR(exact(Metadata!E261,"human-associated"),exact(Metadata!E261,"human-skin"),exact(Metadata!E261,"human-oral"),exact(Metadata!E261,"human-gut"),exact(Metadata!E261,"human-vaginal")))</f>
        <v>0</v>
      </c>
      <c r="AF261">
        <f>AND(IF(Metadata!F261="",FALSE,ISNUMBER(VALUE(Metadata!F261))),Metadata!F261&gt;0)</f>
        <v>0</v>
      </c>
      <c r="AG261">
        <f>AND(IF(Metadata!G261="",FALSE,TRUE),exact(Metadata!G261,"years"))</f>
        <v>0</v>
      </c>
      <c r="AH261">
        <f>OR(AND(IF(Metadata!H261="",FALSE,TRUE),OR(exact(Metadata!H261,"not applicable"),exact(Metadata!H261,"not collected"),exact(Metadata!H261,"not provided"),exact(Metadata!H261,"restricted access"))),AND(IF(Metadata!H261="",FALSE,ISNUMBER(VALUE(Metadata!H261))),Metadata!H261&gt;0))</f>
        <v>0</v>
      </c>
      <c r="AI261">
        <f>AND(IF(Metadata!I261="",FALSE,TRUE),exact(Metadata!I261,"human"))</f>
        <v>0</v>
      </c>
      <c r="AJ261">
        <f>AND(IF(Metadata!J261="",FALSE,ISNUMBER(VALUE(Metadata!J261))),Metadata!J261&gt;0)</f>
        <v>0</v>
      </c>
      <c r="AK261">
        <f>AND(IF(Metadata!K261="",FALSE,TRUE),exact(Metadata!K261,"cm"))</f>
        <v>0</v>
      </c>
      <c r="AL261">
        <f>AND(IF(Metadata!L261="",FALSE,TRUE),exact(Metadata!L261,"Homo sapiens"))</f>
        <v>0</v>
      </c>
      <c r="AM261">
        <f>AND(IF(Metadata!M261="",FALSE,TRUE),exact(Metadata!M261,"9606"))</f>
        <v>0</v>
      </c>
      <c r="AN261">
        <f>AND(IF(Metadata!N261="",FALSE,ISNUMBER(VALUE(Metadata!N261))),Metadata!N261&gt;0)</f>
        <v>0</v>
      </c>
      <c r="AO261">
        <f>AND(IF(Metadata!O261="",FALSE,TRUE),exact(Metadata!O261,"kg"))</f>
        <v>0</v>
      </c>
      <c r="AP261">
        <f>OR(AND(IF(Metadata!P261="",FALSE,TRUE),exact(Metadata!P261,"not provided")),IF(Metadata!P261="",FALSE,TRUE))</f>
        <v>0</v>
      </c>
      <c r="AQ261">
        <f>OR(AND(IF(Metadata!Q261="",FALSE,TRUE),exact(Metadata!Q261,"not provided")),IF(Metadata!Q261="",FALSE,TRUE))</f>
        <v>0</v>
      </c>
    </row>
    <row r="262" spans="1:43">
      <c r="A262" s="4">
        <f>IF(B262=" "," ",HYPERLINK(CONCATENATE("#metadata!",ADDRESS(INDEX($W$2:$W$1001,MATCH(ROWS($U$2:U262),$U$2:$U$1001,0),0),2)),INDEX($Z$2:$Z$1001,MATCH(ROWS($U$2:U262),$U$2:$U$1001,0),0)))</f>
        <v>0</v>
      </c>
      <c r="B262" s="5">
        <f>IF(OR(INDEX($V$2:$V$1001,MATCH(ROWS($U$2:U262),$U$2:$U$1001,0),1)&gt;=100000,INDEX($AB$1005:$AQ$1005,1,MATCH(COLUMNS($AB$1006:AB1006),$AB$1006:$AQ$1006,0))&gt;=100000), " ",IF(INDEX($AB$2:$AQ$1001,MATCH(ROWS($U$2:U262),$U$2:$U$1001,0),MATCH(COLUMNS($AB$1006:AB1006),$AB$1006:$AQ$1006,0)), HYPERLINK("#",""), HYPERLINK(CONCATENATE("#Metadata!", ADDRESS(INDEX($W$2:$W$1001,MATCH(ROWS($U$2:U262),$U$2:$U$1001,0),0), INDEX($AB$1004:$AQ$1004,1,MATCH(COLUMNS($AB$1006:AB1006),$AB$1006:$AQ$1006,0)))),"Fix")))</f>
        <v>0</v>
      </c>
      <c r="C262" s="5">
        <f>IF(OR(INDEX($V$2:$V$1001,MATCH(ROWS($U$2:U262),$U$2:$U$1001,0),1)&gt;=100000,INDEX($AB$1005:$AQ$1005,1,MATCH(COLUMNS($AB$1006:AC1006),$AB$1006:$AQ$1006,0))&gt;=100000), " ",IF(INDEX($AB$2:$AQ$1001,MATCH(ROWS($U$2:U262),$U$2:$U$1001,0),MATCH(COLUMNS($AB$1006:AC1006),$AB$1006:$AQ$1006,0)), HYPERLINK("#",""), HYPERLINK(CONCATENATE("#Metadata!", ADDRESS(INDEX($W$2:$W$1001,MATCH(ROWS($U$2:U262),$U$2:$U$1001,0),0), INDEX($AB$1004:$AQ$1004,1,MATCH(COLUMNS($AB$1006:AC1006),$AB$1006:$AQ$1006,0)))),"Fix")))</f>
        <v>0</v>
      </c>
      <c r="D262" s="5">
        <f>IF(OR(INDEX($V$2:$V$1001,MATCH(ROWS($U$2:U262),$U$2:$U$1001,0),1)&gt;=100000,INDEX($AB$1005:$AQ$1005,1,MATCH(COLUMNS($AB$1006:AD1006),$AB$1006:$AQ$1006,0))&gt;=100000), " ",IF(INDEX($AB$2:$AQ$1001,MATCH(ROWS($U$2:U262),$U$2:$U$1001,0),MATCH(COLUMNS($AB$1006:AD1006),$AB$1006:$AQ$1006,0)), HYPERLINK("#",""), HYPERLINK(CONCATENATE("#Metadata!", ADDRESS(INDEX($W$2:$W$1001,MATCH(ROWS($U$2:U262),$U$2:$U$1001,0),0), INDEX($AB$1004:$AQ$1004,1,MATCH(COLUMNS($AB$1006:AD1006),$AB$1006:$AQ$1006,0)))),"Fix")))</f>
        <v>0</v>
      </c>
      <c r="E262" s="5">
        <f>IF(OR(INDEX($V$2:$V$1001,MATCH(ROWS($U$2:U262),$U$2:$U$1001,0),1)&gt;=100000,INDEX($AB$1005:$AQ$1005,1,MATCH(COLUMNS($AB$1006:AE1006),$AB$1006:$AQ$1006,0))&gt;=100000), " ",IF(INDEX($AB$2:$AQ$1001,MATCH(ROWS($U$2:U262),$U$2:$U$1001,0),MATCH(COLUMNS($AB$1006:AE1006),$AB$1006:$AQ$1006,0)), HYPERLINK("#",""), HYPERLINK(CONCATENATE("#Metadata!", ADDRESS(INDEX($W$2:$W$1001,MATCH(ROWS($U$2:U262),$U$2:$U$1001,0),0), INDEX($AB$1004:$AQ$1004,1,MATCH(COLUMNS($AB$1006:AE1006),$AB$1006:$AQ$1006,0)))),"Fix")))</f>
        <v>0</v>
      </c>
      <c r="F262" s="5">
        <f>IF(OR(INDEX($V$2:$V$1001,MATCH(ROWS($U$2:U262),$U$2:$U$1001,0),1)&gt;=100000,INDEX($AB$1005:$AQ$1005,1,MATCH(COLUMNS($AB$1006:AF1006),$AB$1006:$AQ$1006,0))&gt;=100000), " ",IF(INDEX($AB$2:$AQ$1001,MATCH(ROWS($U$2:U262),$U$2:$U$1001,0),MATCH(COLUMNS($AB$1006:AF1006),$AB$1006:$AQ$1006,0)), HYPERLINK("#",""), HYPERLINK(CONCATENATE("#Metadata!", ADDRESS(INDEX($W$2:$W$1001,MATCH(ROWS($U$2:U262),$U$2:$U$1001,0),0), INDEX($AB$1004:$AQ$1004,1,MATCH(COLUMNS($AB$1006:AF1006),$AB$1006:$AQ$1006,0)))),"Fix")))</f>
        <v>0</v>
      </c>
      <c r="G262" s="5">
        <f>IF(OR(INDEX($V$2:$V$1001,MATCH(ROWS($U$2:U262),$U$2:$U$1001,0),1)&gt;=100000,INDEX($AB$1005:$AQ$1005,1,MATCH(COLUMNS($AB$1006:AG1006),$AB$1006:$AQ$1006,0))&gt;=100000), " ",IF(INDEX($AB$2:$AQ$1001,MATCH(ROWS($U$2:U262),$U$2:$U$1001,0),MATCH(COLUMNS($AB$1006:AG1006),$AB$1006:$AQ$1006,0)), HYPERLINK("#",""), HYPERLINK(CONCATENATE("#Metadata!", ADDRESS(INDEX($W$2:$W$1001,MATCH(ROWS($U$2:U262),$U$2:$U$1001,0),0), INDEX($AB$1004:$AQ$1004,1,MATCH(COLUMNS($AB$1006:AG1006),$AB$1006:$AQ$1006,0)))),"Fix")))</f>
        <v>0</v>
      </c>
      <c r="H262" s="5">
        <f>IF(OR(INDEX($V$2:$V$1001,MATCH(ROWS($U$2:U262),$U$2:$U$1001,0),1)&gt;=100000,INDEX($AB$1005:$AQ$1005,1,MATCH(COLUMNS($AB$1006:AH1006),$AB$1006:$AQ$1006,0))&gt;=100000), " ",IF(INDEX($AB$2:$AQ$1001,MATCH(ROWS($U$2:U262),$U$2:$U$1001,0),MATCH(COLUMNS($AB$1006:AH1006),$AB$1006:$AQ$1006,0)), HYPERLINK("#",""), HYPERLINK(CONCATENATE("#Metadata!", ADDRESS(INDEX($W$2:$W$1001,MATCH(ROWS($U$2:U262),$U$2:$U$1001,0),0), INDEX($AB$1004:$AQ$1004,1,MATCH(COLUMNS($AB$1006:AH1006),$AB$1006:$AQ$1006,0)))),"Fix")))</f>
        <v>0</v>
      </c>
      <c r="I262" s="5">
        <f>IF(OR(INDEX($V$2:$V$1001,MATCH(ROWS($U$2:U262),$U$2:$U$1001,0),1)&gt;=100000,INDEX($AB$1005:$AQ$1005,1,MATCH(COLUMNS($AB$1006:AI1006),$AB$1006:$AQ$1006,0))&gt;=100000), " ",IF(INDEX($AB$2:$AQ$1001,MATCH(ROWS($U$2:U262),$U$2:$U$1001,0),MATCH(COLUMNS($AB$1006:AI1006),$AB$1006:$AQ$1006,0)), HYPERLINK("#",""), HYPERLINK(CONCATENATE("#Metadata!", ADDRESS(INDEX($W$2:$W$1001,MATCH(ROWS($U$2:U262),$U$2:$U$1001,0),0), INDEX($AB$1004:$AQ$1004,1,MATCH(COLUMNS($AB$1006:AI1006),$AB$1006:$AQ$1006,0)))),"Fix")))</f>
        <v>0</v>
      </c>
      <c r="J262" s="5">
        <f>IF(OR(INDEX($V$2:$V$1001,MATCH(ROWS($U$2:U262),$U$2:$U$1001,0),1)&gt;=100000,INDEX($AB$1005:$AQ$1005,1,MATCH(COLUMNS($AB$1006:AJ1006),$AB$1006:$AQ$1006,0))&gt;=100000), " ",IF(INDEX($AB$2:$AQ$1001,MATCH(ROWS($U$2:U262),$U$2:$U$1001,0),MATCH(COLUMNS($AB$1006:AJ1006),$AB$1006:$AQ$1006,0)), HYPERLINK("#",""), HYPERLINK(CONCATENATE("#Metadata!", ADDRESS(INDEX($W$2:$W$1001,MATCH(ROWS($U$2:U262),$U$2:$U$1001,0),0), INDEX($AB$1004:$AQ$1004,1,MATCH(COLUMNS($AB$1006:AJ1006),$AB$1006:$AQ$1006,0)))),"Fix")))</f>
        <v>0</v>
      </c>
      <c r="K262" s="5">
        <f>IF(OR(INDEX($V$2:$V$1001,MATCH(ROWS($U$2:U262),$U$2:$U$1001,0),1)&gt;=100000,INDEX($AB$1005:$AQ$1005,1,MATCH(COLUMNS($AB$1006:AK1006),$AB$1006:$AQ$1006,0))&gt;=100000), " ",IF(INDEX($AB$2:$AQ$1001,MATCH(ROWS($U$2:U262),$U$2:$U$1001,0),MATCH(COLUMNS($AB$1006:AK1006),$AB$1006:$AQ$1006,0)), HYPERLINK("#",""), HYPERLINK(CONCATENATE("#Metadata!", ADDRESS(INDEX($W$2:$W$1001,MATCH(ROWS($U$2:U262),$U$2:$U$1001,0),0), INDEX($AB$1004:$AQ$1004,1,MATCH(COLUMNS($AB$1006:AK1006),$AB$1006:$AQ$1006,0)))),"Fix")))</f>
        <v>0</v>
      </c>
      <c r="L262" s="5">
        <f>IF(OR(INDEX($V$2:$V$1001,MATCH(ROWS($U$2:U262),$U$2:$U$1001,0),1)&gt;=100000,INDEX($AB$1005:$AQ$1005,1,MATCH(COLUMNS($AB$1006:AL1006),$AB$1006:$AQ$1006,0))&gt;=100000), " ",IF(INDEX($AB$2:$AQ$1001,MATCH(ROWS($U$2:U262),$U$2:$U$1001,0),MATCH(COLUMNS($AB$1006:AL1006),$AB$1006:$AQ$1006,0)), HYPERLINK("#",""), HYPERLINK(CONCATENATE("#Metadata!", ADDRESS(INDEX($W$2:$W$1001,MATCH(ROWS($U$2:U262),$U$2:$U$1001,0),0), INDEX($AB$1004:$AQ$1004,1,MATCH(COLUMNS($AB$1006:AL1006),$AB$1006:$AQ$1006,0)))),"Fix")))</f>
        <v>0</v>
      </c>
      <c r="M262" s="5">
        <f>IF(OR(INDEX($V$2:$V$1001,MATCH(ROWS($U$2:U262),$U$2:$U$1001,0),1)&gt;=100000,INDEX($AB$1005:$AQ$1005,1,MATCH(COLUMNS($AB$1006:AM1006),$AB$1006:$AQ$1006,0))&gt;=100000), " ",IF(INDEX($AB$2:$AQ$1001,MATCH(ROWS($U$2:U262),$U$2:$U$1001,0),MATCH(COLUMNS($AB$1006:AM1006),$AB$1006:$AQ$1006,0)), HYPERLINK("#",""), HYPERLINK(CONCATENATE("#Metadata!", ADDRESS(INDEX($W$2:$W$1001,MATCH(ROWS($U$2:U262),$U$2:$U$1001,0),0), INDEX($AB$1004:$AQ$1004,1,MATCH(COLUMNS($AB$1006:AM1006),$AB$1006:$AQ$1006,0)))),"Fix")))</f>
        <v>0</v>
      </c>
      <c r="N262" s="5">
        <f>IF(OR(INDEX($V$2:$V$1001,MATCH(ROWS($U$2:U262),$U$2:$U$1001,0),1)&gt;=100000,INDEX($AB$1005:$AQ$1005,1,MATCH(COLUMNS($AB$1006:AN1006),$AB$1006:$AQ$1006,0))&gt;=100000), " ",IF(INDEX($AB$2:$AQ$1001,MATCH(ROWS($U$2:U262),$U$2:$U$1001,0),MATCH(COLUMNS($AB$1006:AN1006),$AB$1006:$AQ$1006,0)), HYPERLINK("#",""), HYPERLINK(CONCATENATE("#Metadata!", ADDRESS(INDEX($W$2:$W$1001,MATCH(ROWS($U$2:U262),$U$2:$U$1001,0),0), INDEX($AB$1004:$AQ$1004,1,MATCH(COLUMNS($AB$1006:AN1006),$AB$1006:$AQ$1006,0)))),"Fix")))</f>
        <v>0</v>
      </c>
      <c r="O262" s="5">
        <f>IF(OR(INDEX($V$2:$V$1001,MATCH(ROWS($U$2:U262),$U$2:$U$1001,0),1)&gt;=100000,INDEX($AB$1005:$AQ$1005,1,MATCH(COLUMNS($AB$1006:AO1006),$AB$1006:$AQ$1006,0))&gt;=100000), " ",IF(INDEX($AB$2:$AQ$1001,MATCH(ROWS($U$2:U262),$U$2:$U$1001,0),MATCH(COLUMNS($AB$1006:AO1006),$AB$1006:$AQ$1006,0)), HYPERLINK("#",""), HYPERLINK(CONCATENATE("#Metadata!", ADDRESS(INDEX($W$2:$W$1001,MATCH(ROWS($U$2:U262),$U$2:$U$1001,0),0), INDEX($AB$1004:$AQ$1004,1,MATCH(COLUMNS($AB$1006:AO1006),$AB$1006:$AQ$1006,0)))),"Fix")))</f>
        <v>0</v>
      </c>
      <c r="P262" s="5">
        <f>IF(OR(INDEX($V$2:$V$1001,MATCH(ROWS($U$2:U262),$U$2:$U$1001,0),1)&gt;=100000,INDEX($AB$1005:$AQ$1005,1,MATCH(COLUMNS($AB$1006:AP1006),$AB$1006:$AQ$1006,0))&gt;=100000), " ",IF(INDEX($AB$2:$AQ$1001,MATCH(ROWS($U$2:U262),$U$2:$U$1001,0),MATCH(COLUMNS($AB$1006:AP1006),$AB$1006:$AQ$1006,0)), HYPERLINK("#",""), HYPERLINK(CONCATENATE("#Metadata!", ADDRESS(INDEX($W$2:$W$1001,MATCH(ROWS($U$2:U262),$U$2:$U$1001,0),0), INDEX($AB$1004:$AQ$1004,1,MATCH(COLUMNS($AB$1006:AP1006),$AB$1006:$AQ$1006,0)))),"Fix")))</f>
        <v>0</v>
      </c>
      <c r="Q262" s="5">
        <f>IF(OR(INDEX($V$2:$V$1001,MATCH(ROWS($U$2:U262),$U$2:$U$1001,0),1)&gt;=100000,INDEX($AB$1005:$AQ$1005,1,MATCH(COLUMNS($AB$1006:AQ1006),$AB$1006:$AQ$1006,0))&gt;=100000), " ",IF(INDEX($AB$2:$AQ$1001,MATCH(ROWS($U$2:U262),$U$2:$U$1001,0),MATCH(COLUMNS($AB$1006:AQ1006),$AB$1006:$AQ$1006,0)), HYPERLINK("#",""), HYPERLINK(CONCATENATE("#Metadata!", ADDRESS(INDEX($W$2:$W$1001,MATCH(ROWS($U$2:U262),$U$2:$U$1001,0),0), INDEX($AB$1004:$AQ$1004,1,MATCH(COLUMNS($AB$1006:AQ1006),$AB$1006:$AQ$1006,0)))),"Fix")))</f>
        <v>0</v>
      </c>
      <c r="U262">
        <v>0</v>
      </c>
      <c r="V262">
        <v>0</v>
      </c>
      <c r="W262">
        <v>0</v>
      </c>
      <c r="X262">
        <f>IF(Y262,TRUE,AND(AB262:AQ262))</f>
        <v>0</v>
      </c>
      <c r="Y262">
        <f>COUNTBLANK(Metadata!B262:Q262)=COLUMNS(Metadata!B262:Q262)</f>
        <v>0</v>
      </c>
      <c r="Z262">
        <v>0</v>
      </c>
      <c r="AB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AC262">
        <f>AND(IF(Metadata!C262="",FALSE,TRUE),exact(Metadata!C262,"urban biome"))</f>
        <v>0</v>
      </c>
      <c r="AD262">
        <f>AND(IF(Metadata!D262="",FALSE,TRUE),exact(Metadata!D262,"human-associated habitat"))</f>
        <v>0</v>
      </c>
      <c r="AE262">
        <f>AND(IF(Metadata!E262="",FALSE,TRUE),OR(exact(Metadata!E262,"human-associated"),exact(Metadata!E262,"human-skin"),exact(Metadata!E262,"human-oral"),exact(Metadata!E262,"human-gut"),exact(Metadata!E262,"human-vaginal")))</f>
        <v>0</v>
      </c>
      <c r="AF262">
        <f>AND(IF(Metadata!F262="",FALSE,ISNUMBER(VALUE(Metadata!F262))),Metadata!F262&gt;0)</f>
        <v>0</v>
      </c>
      <c r="AG262">
        <f>AND(IF(Metadata!G262="",FALSE,TRUE),exact(Metadata!G262,"years"))</f>
        <v>0</v>
      </c>
      <c r="AH262">
        <f>OR(AND(IF(Metadata!H262="",FALSE,TRUE),OR(exact(Metadata!H262,"not applicable"),exact(Metadata!H262,"not collected"),exact(Metadata!H262,"not provided"),exact(Metadata!H262,"restricted access"))),AND(IF(Metadata!H262="",FALSE,ISNUMBER(VALUE(Metadata!H262))),Metadata!H262&gt;0))</f>
        <v>0</v>
      </c>
      <c r="AI262">
        <f>AND(IF(Metadata!I262="",FALSE,TRUE),exact(Metadata!I262,"human"))</f>
        <v>0</v>
      </c>
      <c r="AJ262">
        <f>AND(IF(Metadata!J262="",FALSE,ISNUMBER(VALUE(Metadata!J262))),Metadata!J262&gt;0)</f>
        <v>0</v>
      </c>
      <c r="AK262">
        <f>AND(IF(Metadata!K262="",FALSE,TRUE),exact(Metadata!K262,"cm"))</f>
        <v>0</v>
      </c>
      <c r="AL262">
        <f>AND(IF(Metadata!L262="",FALSE,TRUE),exact(Metadata!L262,"Homo sapiens"))</f>
        <v>0</v>
      </c>
      <c r="AM262">
        <f>AND(IF(Metadata!M262="",FALSE,TRUE),exact(Metadata!M262,"9606"))</f>
        <v>0</v>
      </c>
      <c r="AN262">
        <f>AND(IF(Metadata!N262="",FALSE,ISNUMBER(VALUE(Metadata!N262))),Metadata!N262&gt;0)</f>
        <v>0</v>
      </c>
      <c r="AO262">
        <f>AND(IF(Metadata!O262="",FALSE,TRUE),exact(Metadata!O262,"kg"))</f>
        <v>0</v>
      </c>
      <c r="AP262">
        <f>OR(AND(IF(Metadata!P262="",FALSE,TRUE),exact(Metadata!P262,"not provided")),IF(Metadata!P262="",FALSE,TRUE))</f>
        <v>0</v>
      </c>
      <c r="AQ262">
        <f>OR(AND(IF(Metadata!Q262="",FALSE,TRUE),exact(Metadata!Q262,"not provided")),IF(Metadata!Q262="",FALSE,TRUE))</f>
        <v>0</v>
      </c>
    </row>
    <row r="263" spans="1:43">
      <c r="A263" s="4">
        <f>IF(B263=" "," ",HYPERLINK(CONCATENATE("#metadata!",ADDRESS(INDEX($W$2:$W$1001,MATCH(ROWS($U$2:U263),$U$2:$U$1001,0),0),2)),INDEX($Z$2:$Z$1001,MATCH(ROWS($U$2:U263),$U$2:$U$1001,0),0)))</f>
        <v>0</v>
      </c>
      <c r="B263" s="5">
        <f>IF(OR(INDEX($V$2:$V$1001,MATCH(ROWS($U$2:U263),$U$2:$U$1001,0),1)&gt;=100000,INDEX($AB$1005:$AQ$1005,1,MATCH(COLUMNS($AB$1006:AB1006),$AB$1006:$AQ$1006,0))&gt;=100000), " ",IF(INDEX($AB$2:$AQ$1001,MATCH(ROWS($U$2:U263),$U$2:$U$1001,0),MATCH(COLUMNS($AB$1006:AB1006),$AB$1006:$AQ$1006,0)), HYPERLINK("#",""), HYPERLINK(CONCATENATE("#Metadata!", ADDRESS(INDEX($W$2:$W$1001,MATCH(ROWS($U$2:U263),$U$2:$U$1001,0),0), INDEX($AB$1004:$AQ$1004,1,MATCH(COLUMNS($AB$1006:AB1006),$AB$1006:$AQ$1006,0)))),"Fix")))</f>
        <v>0</v>
      </c>
      <c r="C263" s="5">
        <f>IF(OR(INDEX($V$2:$V$1001,MATCH(ROWS($U$2:U263),$U$2:$U$1001,0),1)&gt;=100000,INDEX($AB$1005:$AQ$1005,1,MATCH(COLUMNS($AB$1006:AC1006),$AB$1006:$AQ$1006,0))&gt;=100000), " ",IF(INDEX($AB$2:$AQ$1001,MATCH(ROWS($U$2:U263),$U$2:$U$1001,0),MATCH(COLUMNS($AB$1006:AC1006),$AB$1006:$AQ$1006,0)), HYPERLINK("#",""), HYPERLINK(CONCATENATE("#Metadata!", ADDRESS(INDEX($W$2:$W$1001,MATCH(ROWS($U$2:U263),$U$2:$U$1001,0),0), INDEX($AB$1004:$AQ$1004,1,MATCH(COLUMNS($AB$1006:AC1006),$AB$1006:$AQ$1006,0)))),"Fix")))</f>
        <v>0</v>
      </c>
      <c r="D263" s="5">
        <f>IF(OR(INDEX($V$2:$V$1001,MATCH(ROWS($U$2:U263),$U$2:$U$1001,0),1)&gt;=100000,INDEX($AB$1005:$AQ$1005,1,MATCH(COLUMNS($AB$1006:AD1006),$AB$1006:$AQ$1006,0))&gt;=100000), " ",IF(INDEX($AB$2:$AQ$1001,MATCH(ROWS($U$2:U263),$U$2:$U$1001,0),MATCH(COLUMNS($AB$1006:AD1006),$AB$1006:$AQ$1006,0)), HYPERLINK("#",""), HYPERLINK(CONCATENATE("#Metadata!", ADDRESS(INDEX($W$2:$W$1001,MATCH(ROWS($U$2:U263),$U$2:$U$1001,0),0), INDEX($AB$1004:$AQ$1004,1,MATCH(COLUMNS($AB$1006:AD1006),$AB$1006:$AQ$1006,0)))),"Fix")))</f>
        <v>0</v>
      </c>
      <c r="E263" s="5">
        <f>IF(OR(INDEX($V$2:$V$1001,MATCH(ROWS($U$2:U263),$U$2:$U$1001,0),1)&gt;=100000,INDEX($AB$1005:$AQ$1005,1,MATCH(COLUMNS($AB$1006:AE1006),$AB$1006:$AQ$1006,0))&gt;=100000), " ",IF(INDEX($AB$2:$AQ$1001,MATCH(ROWS($U$2:U263),$U$2:$U$1001,0),MATCH(COLUMNS($AB$1006:AE1006),$AB$1006:$AQ$1006,0)), HYPERLINK("#",""), HYPERLINK(CONCATENATE("#Metadata!", ADDRESS(INDEX($W$2:$W$1001,MATCH(ROWS($U$2:U263),$U$2:$U$1001,0),0), INDEX($AB$1004:$AQ$1004,1,MATCH(COLUMNS($AB$1006:AE1006),$AB$1006:$AQ$1006,0)))),"Fix")))</f>
        <v>0</v>
      </c>
      <c r="F263" s="5">
        <f>IF(OR(INDEX($V$2:$V$1001,MATCH(ROWS($U$2:U263),$U$2:$U$1001,0),1)&gt;=100000,INDEX($AB$1005:$AQ$1005,1,MATCH(COLUMNS($AB$1006:AF1006),$AB$1006:$AQ$1006,0))&gt;=100000), " ",IF(INDEX($AB$2:$AQ$1001,MATCH(ROWS($U$2:U263),$U$2:$U$1001,0),MATCH(COLUMNS($AB$1006:AF1006),$AB$1006:$AQ$1006,0)), HYPERLINK("#",""), HYPERLINK(CONCATENATE("#Metadata!", ADDRESS(INDEX($W$2:$W$1001,MATCH(ROWS($U$2:U263),$U$2:$U$1001,0),0), INDEX($AB$1004:$AQ$1004,1,MATCH(COLUMNS($AB$1006:AF1006),$AB$1006:$AQ$1006,0)))),"Fix")))</f>
        <v>0</v>
      </c>
      <c r="G263" s="5">
        <f>IF(OR(INDEX($V$2:$V$1001,MATCH(ROWS($U$2:U263),$U$2:$U$1001,0),1)&gt;=100000,INDEX($AB$1005:$AQ$1005,1,MATCH(COLUMNS($AB$1006:AG1006),$AB$1006:$AQ$1006,0))&gt;=100000), " ",IF(INDEX($AB$2:$AQ$1001,MATCH(ROWS($U$2:U263),$U$2:$U$1001,0),MATCH(COLUMNS($AB$1006:AG1006),$AB$1006:$AQ$1006,0)), HYPERLINK("#",""), HYPERLINK(CONCATENATE("#Metadata!", ADDRESS(INDEX($W$2:$W$1001,MATCH(ROWS($U$2:U263),$U$2:$U$1001,0),0), INDEX($AB$1004:$AQ$1004,1,MATCH(COLUMNS($AB$1006:AG1006),$AB$1006:$AQ$1006,0)))),"Fix")))</f>
        <v>0</v>
      </c>
      <c r="H263" s="5">
        <f>IF(OR(INDEX($V$2:$V$1001,MATCH(ROWS($U$2:U263),$U$2:$U$1001,0),1)&gt;=100000,INDEX($AB$1005:$AQ$1005,1,MATCH(COLUMNS($AB$1006:AH1006),$AB$1006:$AQ$1006,0))&gt;=100000), " ",IF(INDEX($AB$2:$AQ$1001,MATCH(ROWS($U$2:U263),$U$2:$U$1001,0),MATCH(COLUMNS($AB$1006:AH1006),$AB$1006:$AQ$1006,0)), HYPERLINK("#",""), HYPERLINK(CONCATENATE("#Metadata!", ADDRESS(INDEX($W$2:$W$1001,MATCH(ROWS($U$2:U263),$U$2:$U$1001,0),0), INDEX($AB$1004:$AQ$1004,1,MATCH(COLUMNS($AB$1006:AH1006),$AB$1006:$AQ$1006,0)))),"Fix")))</f>
        <v>0</v>
      </c>
      <c r="I263" s="5">
        <f>IF(OR(INDEX($V$2:$V$1001,MATCH(ROWS($U$2:U263),$U$2:$U$1001,0),1)&gt;=100000,INDEX($AB$1005:$AQ$1005,1,MATCH(COLUMNS($AB$1006:AI1006),$AB$1006:$AQ$1006,0))&gt;=100000), " ",IF(INDEX($AB$2:$AQ$1001,MATCH(ROWS($U$2:U263),$U$2:$U$1001,0),MATCH(COLUMNS($AB$1006:AI1006),$AB$1006:$AQ$1006,0)), HYPERLINK("#",""), HYPERLINK(CONCATENATE("#Metadata!", ADDRESS(INDEX($W$2:$W$1001,MATCH(ROWS($U$2:U263),$U$2:$U$1001,0),0), INDEX($AB$1004:$AQ$1004,1,MATCH(COLUMNS($AB$1006:AI1006),$AB$1006:$AQ$1006,0)))),"Fix")))</f>
        <v>0</v>
      </c>
      <c r="J263" s="5">
        <f>IF(OR(INDEX($V$2:$V$1001,MATCH(ROWS($U$2:U263),$U$2:$U$1001,0),1)&gt;=100000,INDEX($AB$1005:$AQ$1005,1,MATCH(COLUMNS($AB$1006:AJ1006),$AB$1006:$AQ$1006,0))&gt;=100000), " ",IF(INDEX($AB$2:$AQ$1001,MATCH(ROWS($U$2:U263),$U$2:$U$1001,0),MATCH(COLUMNS($AB$1006:AJ1006),$AB$1006:$AQ$1006,0)), HYPERLINK("#",""), HYPERLINK(CONCATENATE("#Metadata!", ADDRESS(INDEX($W$2:$W$1001,MATCH(ROWS($U$2:U263),$U$2:$U$1001,0),0), INDEX($AB$1004:$AQ$1004,1,MATCH(COLUMNS($AB$1006:AJ1006),$AB$1006:$AQ$1006,0)))),"Fix")))</f>
        <v>0</v>
      </c>
      <c r="K263" s="5">
        <f>IF(OR(INDEX($V$2:$V$1001,MATCH(ROWS($U$2:U263),$U$2:$U$1001,0),1)&gt;=100000,INDEX($AB$1005:$AQ$1005,1,MATCH(COLUMNS($AB$1006:AK1006),$AB$1006:$AQ$1006,0))&gt;=100000), " ",IF(INDEX($AB$2:$AQ$1001,MATCH(ROWS($U$2:U263),$U$2:$U$1001,0),MATCH(COLUMNS($AB$1006:AK1006),$AB$1006:$AQ$1006,0)), HYPERLINK("#",""), HYPERLINK(CONCATENATE("#Metadata!", ADDRESS(INDEX($W$2:$W$1001,MATCH(ROWS($U$2:U263),$U$2:$U$1001,0),0), INDEX($AB$1004:$AQ$1004,1,MATCH(COLUMNS($AB$1006:AK1006),$AB$1006:$AQ$1006,0)))),"Fix")))</f>
        <v>0</v>
      </c>
      <c r="L263" s="5">
        <f>IF(OR(INDEX($V$2:$V$1001,MATCH(ROWS($U$2:U263),$U$2:$U$1001,0),1)&gt;=100000,INDEX($AB$1005:$AQ$1005,1,MATCH(COLUMNS($AB$1006:AL1006),$AB$1006:$AQ$1006,0))&gt;=100000), " ",IF(INDEX($AB$2:$AQ$1001,MATCH(ROWS($U$2:U263),$U$2:$U$1001,0),MATCH(COLUMNS($AB$1006:AL1006),$AB$1006:$AQ$1006,0)), HYPERLINK("#",""), HYPERLINK(CONCATENATE("#Metadata!", ADDRESS(INDEX($W$2:$W$1001,MATCH(ROWS($U$2:U263),$U$2:$U$1001,0),0), INDEX($AB$1004:$AQ$1004,1,MATCH(COLUMNS($AB$1006:AL1006),$AB$1006:$AQ$1006,0)))),"Fix")))</f>
        <v>0</v>
      </c>
      <c r="M263" s="5">
        <f>IF(OR(INDEX($V$2:$V$1001,MATCH(ROWS($U$2:U263),$U$2:$U$1001,0),1)&gt;=100000,INDEX($AB$1005:$AQ$1005,1,MATCH(COLUMNS($AB$1006:AM1006),$AB$1006:$AQ$1006,0))&gt;=100000), " ",IF(INDEX($AB$2:$AQ$1001,MATCH(ROWS($U$2:U263),$U$2:$U$1001,0),MATCH(COLUMNS($AB$1006:AM1006),$AB$1006:$AQ$1006,0)), HYPERLINK("#",""), HYPERLINK(CONCATENATE("#Metadata!", ADDRESS(INDEX($W$2:$W$1001,MATCH(ROWS($U$2:U263),$U$2:$U$1001,0),0), INDEX($AB$1004:$AQ$1004,1,MATCH(COLUMNS($AB$1006:AM1006),$AB$1006:$AQ$1006,0)))),"Fix")))</f>
        <v>0</v>
      </c>
      <c r="N263" s="5">
        <f>IF(OR(INDEX($V$2:$V$1001,MATCH(ROWS($U$2:U263),$U$2:$U$1001,0),1)&gt;=100000,INDEX($AB$1005:$AQ$1005,1,MATCH(COLUMNS($AB$1006:AN1006),$AB$1006:$AQ$1006,0))&gt;=100000), " ",IF(INDEX($AB$2:$AQ$1001,MATCH(ROWS($U$2:U263),$U$2:$U$1001,0),MATCH(COLUMNS($AB$1006:AN1006),$AB$1006:$AQ$1006,0)), HYPERLINK("#",""), HYPERLINK(CONCATENATE("#Metadata!", ADDRESS(INDEX($W$2:$W$1001,MATCH(ROWS($U$2:U263),$U$2:$U$1001,0),0), INDEX($AB$1004:$AQ$1004,1,MATCH(COLUMNS($AB$1006:AN1006),$AB$1006:$AQ$1006,0)))),"Fix")))</f>
        <v>0</v>
      </c>
      <c r="O263" s="5">
        <f>IF(OR(INDEX($V$2:$V$1001,MATCH(ROWS($U$2:U263),$U$2:$U$1001,0),1)&gt;=100000,INDEX($AB$1005:$AQ$1005,1,MATCH(COLUMNS($AB$1006:AO1006),$AB$1006:$AQ$1006,0))&gt;=100000), " ",IF(INDEX($AB$2:$AQ$1001,MATCH(ROWS($U$2:U263),$U$2:$U$1001,0),MATCH(COLUMNS($AB$1006:AO1006),$AB$1006:$AQ$1006,0)), HYPERLINK("#",""), HYPERLINK(CONCATENATE("#Metadata!", ADDRESS(INDEX($W$2:$W$1001,MATCH(ROWS($U$2:U263),$U$2:$U$1001,0),0), INDEX($AB$1004:$AQ$1004,1,MATCH(COLUMNS($AB$1006:AO1006),$AB$1006:$AQ$1006,0)))),"Fix")))</f>
        <v>0</v>
      </c>
      <c r="P263" s="5">
        <f>IF(OR(INDEX($V$2:$V$1001,MATCH(ROWS($U$2:U263),$U$2:$U$1001,0),1)&gt;=100000,INDEX($AB$1005:$AQ$1005,1,MATCH(COLUMNS($AB$1006:AP1006),$AB$1006:$AQ$1006,0))&gt;=100000), " ",IF(INDEX($AB$2:$AQ$1001,MATCH(ROWS($U$2:U263),$U$2:$U$1001,0),MATCH(COLUMNS($AB$1006:AP1006),$AB$1006:$AQ$1006,0)), HYPERLINK("#",""), HYPERLINK(CONCATENATE("#Metadata!", ADDRESS(INDEX($W$2:$W$1001,MATCH(ROWS($U$2:U263),$U$2:$U$1001,0),0), INDEX($AB$1004:$AQ$1004,1,MATCH(COLUMNS($AB$1006:AP1006),$AB$1006:$AQ$1006,0)))),"Fix")))</f>
        <v>0</v>
      </c>
      <c r="Q263" s="5">
        <f>IF(OR(INDEX($V$2:$V$1001,MATCH(ROWS($U$2:U263),$U$2:$U$1001,0),1)&gt;=100000,INDEX($AB$1005:$AQ$1005,1,MATCH(COLUMNS($AB$1006:AQ1006),$AB$1006:$AQ$1006,0))&gt;=100000), " ",IF(INDEX($AB$2:$AQ$1001,MATCH(ROWS($U$2:U263),$U$2:$U$1001,0),MATCH(COLUMNS($AB$1006:AQ1006),$AB$1006:$AQ$1006,0)), HYPERLINK("#",""), HYPERLINK(CONCATENATE("#Metadata!", ADDRESS(INDEX($W$2:$W$1001,MATCH(ROWS($U$2:U263),$U$2:$U$1001,0),0), INDEX($AB$1004:$AQ$1004,1,MATCH(COLUMNS($AB$1006:AQ1006),$AB$1006:$AQ$1006,0)))),"Fix")))</f>
        <v>0</v>
      </c>
      <c r="U263">
        <v>0</v>
      </c>
      <c r="V263">
        <v>0</v>
      </c>
      <c r="W263">
        <v>0</v>
      </c>
      <c r="X263">
        <f>IF(Y263,TRUE,AND(AB263:AQ263))</f>
        <v>0</v>
      </c>
      <c r="Y263">
        <f>COUNTBLANK(Metadata!B263:Q263)=COLUMNS(Metadata!B263:Q263)</f>
        <v>0</v>
      </c>
      <c r="Z263">
        <v>0</v>
      </c>
      <c r="AB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AC263">
        <f>AND(IF(Metadata!C263="",FALSE,TRUE),exact(Metadata!C263,"urban biome"))</f>
        <v>0</v>
      </c>
      <c r="AD263">
        <f>AND(IF(Metadata!D263="",FALSE,TRUE),exact(Metadata!D263,"human-associated habitat"))</f>
        <v>0</v>
      </c>
      <c r="AE263">
        <f>AND(IF(Metadata!E263="",FALSE,TRUE),OR(exact(Metadata!E263,"human-associated"),exact(Metadata!E263,"human-skin"),exact(Metadata!E263,"human-oral"),exact(Metadata!E263,"human-gut"),exact(Metadata!E263,"human-vaginal")))</f>
        <v>0</v>
      </c>
      <c r="AF263">
        <f>AND(IF(Metadata!F263="",FALSE,ISNUMBER(VALUE(Metadata!F263))),Metadata!F263&gt;0)</f>
        <v>0</v>
      </c>
      <c r="AG263">
        <f>AND(IF(Metadata!G263="",FALSE,TRUE),exact(Metadata!G263,"years"))</f>
        <v>0</v>
      </c>
      <c r="AH263">
        <f>OR(AND(IF(Metadata!H263="",FALSE,TRUE),OR(exact(Metadata!H263,"not applicable"),exact(Metadata!H263,"not collected"),exact(Metadata!H263,"not provided"),exact(Metadata!H263,"restricted access"))),AND(IF(Metadata!H263="",FALSE,ISNUMBER(VALUE(Metadata!H263))),Metadata!H263&gt;0))</f>
        <v>0</v>
      </c>
      <c r="AI263">
        <f>AND(IF(Metadata!I263="",FALSE,TRUE),exact(Metadata!I263,"human"))</f>
        <v>0</v>
      </c>
      <c r="AJ263">
        <f>AND(IF(Metadata!J263="",FALSE,ISNUMBER(VALUE(Metadata!J263))),Metadata!J263&gt;0)</f>
        <v>0</v>
      </c>
      <c r="AK263">
        <f>AND(IF(Metadata!K263="",FALSE,TRUE),exact(Metadata!K263,"cm"))</f>
        <v>0</v>
      </c>
      <c r="AL263">
        <f>AND(IF(Metadata!L263="",FALSE,TRUE),exact(Metadata!L263,"Homo sapiens"))</f>
        <v>0</v>
      </c>
      <c r="AM263">
        <f>AND(IF(Metadata!M263="",FALSE,TRUE),exact(Metadata!M263,"9606"))</f>
        <v>0</v>
      </c>
      <c r="AN263">
        <f>AND(IF(Metadata!N263="",FALSE,ISNUMBER(VALUE(Metadata!N263))),Metadata!N263&gt;0)</f>
        <v>0</v>
      </c>
      <c r="AO263">
        <f>AND(IF(Metadata!O263="",FALSE,TRUE),exact(Metadata!O263,"kg"))</f>
        <v>0</v>
      </c>
      <c r="AP263">
        <f>OR(AND(IF(Metadata!P263="",FALSE,TRUE),exact(Metadata!P263,"not provided")),IF(Metadata!P263="",FALSE,TRUE))</f>
        <v>0</v>
      </c>
      <c r="AQ263">
        <f>OR(AND(IF(Metadata!Q263="",FALSE,TRUE),exact(Metadata!Q263,"not provided")),IF(Metadata!Q263="",FALSE,TRUE))</f>
        <v>0</v>
      </c>
    </row>
    <row r="264" spans="1:43">
      <c r="A264" s="4">
        <f>IF(B264=" "," ",HYPERLINK(CONCATENATE("#metadata!",ADDRESS(INDEX($W$2:$W$1001,MATCH(ROWS($U$2:U264),$U$2:$U$1001,0),0),2)),INDEX($Z$2:$Z$1001,MATCH(ROWS($U$2:U264),$U$2:$U$1001,0),0)))</f>
        <v>0</v>
      </c>
      <c r="B264" s="5">
        <f>IF(OR(INDEX($V$2:$V$1001,MATCH(ROWS($U$2:U264),$U$2:$U$1001,0),1)&gt;=100000,INDEX($AB$1005:$AQ$1005,1,MATCH(COLUMNS($AB$1006:AB1006),$AB$1006:$AQ$1006,0))&gt;=100000), " ",IF(INDEX($AB$2:$AQ$1001,MATCH(ROWS($U$2:U264),$U$2:$U$1001,0),MATCH(COLUMNS($AB$1006:AB1006),$AB$1006:$AQ$1006,0)), HYPERLINK("#",""), HYPERLINK(CONCATENATE("#Metadata!", ADDRESS(INDEX($W$2:$W$1001,MATCH(ROWS($U$2:U264),$U$2:$U$1001,0),0), INDEX($AB$1004:$AQ$1004,1,MATCH(COLUMNS($AB$1006:AB1006),$AB$1006:$AQ$1006,0)))),"Fix")))</f>
        <v>0</v>
      </c>
      <c r="C264" s="5">
        <f>IF(OR(INDEX($V$2:$V$1001,MATCH(ROWS($U$2:U264),$U$2:$U$1001,0),1)&gt;=100000,INDEX($AB$1005:$AQ$1005,1,MATCH(COLUMNS($AB$1006:AC1006),$AB$1006:$AQ$1006,0))&gt;=100000), " ",IF(INDEX($AB$2:$AQ$1001,MATCH(ROWS($U$2:U264),$U$2:$U$1001,0),MATCH(COLUMNS($AB$1006:AC1006),$AB$1006:$AQ$1006,0)), HYPERLINK("#",""), HYPERLINK(CONCATENATE("#Metadata!", ADDRESS(INDEX($W$2:$W$1001,MATCH(ROWS($U$2:U264),$U$2:$U$1001,0),0), INDEX($AB$1004:$AQ$1004,1,MATCH(COLUMNS($AB$1006:AC1006),$AB$1006:$AQ$1006,0)))),"Fix")))</f>
        <v>0</v>
      </c>
      <c r="D264" s="5">
        <f>IF(OR(INDEX($V$2:$V$1001,MATCH(ROWS($U$2:U264),$U$2:$U$1001,0),1)&gt;=100000,INDEX($AB$1005:$AQ$1005,1,MATCH(COLUMNS($AB$1006:AD1006),$AB$1006:$AQ$1006,0))&gt;=100000), " ",IF(INDEX($AB$2:$AQ$1001,MATCH(ROWS($U$2:U264),$U$2:$U$1001,0),MATCH(COLUMNS($AB$1006:AD1006),$AB$1006:$AQ$1006,0)), HYPERLINK("#",""), HYPERLINK(CONCATENATE("#Metadata!", ADDRESS(INDEX($W$2:$W$1001,MATCH(ROWS($U$2:U264),$U$2:$U$1001,0),0), INDEX($AB$1004:$AQ$1004,1,MATCH(COLUMNS($AB$1006:AD1006),$AB$1006:$AQ$1006,0)))),"Fix")))</f>
        <v>0</v>
      </c>
      <c r="E264" s="5">
        <f>IF(OR(INDEX($V$2:$V$1001,MATCH(ROWS($U$2:U264),$U$2:$U$1001,0),1)&gt;=100000,INDEX($AB$1005:$AQ$1005,1,MATCH(COLUMNS($AB$1006:AE1006),$AB$1006:$AQ$1006,0))&gt;=100000), " ",IF(INDEX($AB$2:$AQ$1001,MATCH(ROWS($U$2:U264),$U$2:$U$1001,0),MATCH(COLUMNS($AB$1006:AE1006),$AB$1006:$AQ$1006,0)), HYPERLINK("#",""), HYPERLINK(CONCATENATE("#Metadata!", ADDRESS(INDEX($W$2:$W$1001,MATCH(ROWS($U$2:U264),$U$2:$U$1001,0),0), INDEX($AB$1004:$AQ$1004,1,MATCH(COLUMNS($AB$1006:AE1006),$AB$1006:$AQ$1006,0)))),"Fix")))</f>
        <v>0</v>
      </c>
      <c r="F264" s="5">
        <f>IF(OR(INDEX($V$2:$V$1001,MATCH(ROWS($U$2:U264),$U$2:$U$1001,0),1)&gt;=100000,INDEX($AB$1005:$AQ$1005,1,MATCH(COLUMNS($AB$1006:AF1006),$AB$1006:$AQ$1006,0))&gt;=100000), " ",IF(INDEX($AB$2:$AQ$1001,MATCH(ROWS($U$2:U264),$U$2:$U$1001,0),MATCH(COLUMNS($AB$1006:AF1006),$AB$1006:$AQ$1006,0)), HYPERLINK("#",""), HYPERLINK(CONCATENATE("#Metadata!", ADDRESS(INDEX($W$2:$W$1001,MATCH(ROWS($U$2:U264),$U$2:$U$1001,0),0), INDEX($AB$1004:$AQ$1004,1,MATCH(COLUMNS($AB$1006:AF1006),$AB$1006:$AQ$1006,0)))),"Fix")))</f>
        <v>0</v>
      </c>
      <c r="G264" s="5">
        <f>IF(OR(INDEX($V$2:$V$1001,MATCH(ROWS($U$2:U264),$U$2:$U$1001,0),1)&gt;=100000,INDEX($AB$1005:$AQ$1005,1,MATCH(COLUMNS($AB$1006:AG1006),$AB$1006:$AQ$1006,0))&gt;=100000), " ",IF(INDEX($AB$2:$AQ$1001,MATCH(ROWS($U$2:U264),$U$2:$U$1001,0),MATCH(COLUMNS($AB$1006:AG1006),$AB$1006:$AQ$1006,0)), HYPERLINK("#",""), HYPERLINK(CONCATENATE("#Metadata!", ADDRESS(INDEX($W$2:$W$1001,MATCH(ROWS($U$2:U264),$U$2:$U$1001,0),0), INDEX($AB$1004:$AQ$1004,1,MATCH(COLUMNS($AB$1006:AG1006),$AB$1006:$AQ$1006,0)))),"Fix")))</f>
        <v>0</v>
      </c>
      <c r="H264" s="5">
        <f>IF(OR(INDEX($V$2:$V$1001,MATCH(ROWS($U$2:U264),$U$2:$U$1001,0),1)&gt;=100000,INDEX($AB$1005:$AQ$1005,1,MATCH(COLUMNS($AB$1006:AH1006),$AB$1006:$AQ$1006,0))&gt;=100000), " ",IF(INDEX($AB$2:$AQ$1001,MATCH(ROWS($U$2:U264),$U$2:$U$1001,0),MATCH(COLUMNS($AB$1006:AH1006),$AB$1006:$AQ$1006,0)), HYPERLINK("#",""), HYPERLINK(CONCATENATE("#Metadata!", ADDRESS(INDEX($W$2:$W$1001,MATCH(ROWS($U$2:U264),$U$2:$U$1001,0),0), INDEX($AB$1004:$AQ$1004,1,MATCH(COLUMNS($AB$1006:AH1006),$AB$1006:$AQ$1006,0)))),"Fix")))</f>
        <v>0</v>
      </c>
      <c r="I264" s="5">
        <f>IF(OR(INDEX($V$2:$V$1001,MATCH(ROWS($U$2:U264),$U$2:$U$1001,0),1)&gt;=100000,INDEX($AB$1005:$AQ$1005,1,MATCH(COLUMNS($AB$1006:AI1006),$AB$1006:$AQ$1006,0))&gt;=100000), " ",IF(INDEX($AB$2:$AQ$1001,MATCH(ROWS($U$2:U264),$U$2:$U$1001,0),MATCH(COLUMNS($AB$1006:AI1006),$AB$1006:$AQ$1006,0)), HYPERLINK("#",""), HYPERLINK(CONCATENATE("#Metadata!", ADDRESS(INDEX($W$2:$W$1001,MATCH(ROWS($U$2:U264),$U$2:$U$1001,0),0), INDEX($AB$1004:$AQ$1004,1,MATCH(COLUMNS($AB$1006:AI1006),$AB$1006:$AQ$1006,0)))),"Fix")))</f>
        <v>0</v>
      </c>
      <c r="J264" s="5">
        <f>IF(OR(INDEX($V$2:$V$1001,MATCH(ROWS($U$2:U264),$U$2:$U$1001,0),1)&gt;=100000,INDEX($AB$1005:$AQ$1005,1,MATCH(COLUMNS($AB$1006:AJ1006),$AB$1006:$AQ$1006,0))&gt;=100000), " ",IF(INDEX($AB$2:$AQ$1001,MATCH(ROWS($U$2:U264),$U$2:$U$1001,0),MATCH(COLUMNS($AB$1006:AJ1006),$AB$1006:$AQ$1006,0)), HYPERLINK("#",""), HYPERLINK(CONCATENATE("#Metadata!", ADDRESS(INDEX($W$2:$W$1001,MATCH(ROWS($U$2:U264),$U$2:$U$1001,0),0), INDEX($AB$1004:$AQ$1004,1,MATCH(COLUMNS($AB$1006:AJ1006),$AB$1006:$AQ$1006,0)))),"Fix")))</f>
        <v>0</v>
      </c>
      <c r="K264" s="5">
        <f>IF(OR(INDEX($V$2:$V$1001,MATCH(ROWS($U$2:U264),$U$2:$U$1001,0),1)&gt;=100000,INDEX($AB$1005:$AQ$1005,1,MATCH(COLUMNS($AB$1006:AK1006),$AB$1006:$AQ$1006,0))&gt;=100000), " ",IF(INDEX($AB$2:$AQ$1001,MATCH(ROWS($U$2:U264),$U$2:$U$1001,0),MATCH(COLUMNS($AB$1006:AK1006),$AB$1006:$AQ$1006,0)), HYPERLINK("#",""), HYPERLINK(CONCATENATE("#Metadata!", ADDRESS(INDEX($W$2:$W$1001,MATCH(ROWS($U$2:U264),$U$2:$U$1001,0),0), INDEX($AB$1004:$AQ$1004,1,MATCH(COLUMNS($AB$1006:AK1006),$AB$1006:$AQ$1006,0)))),"Fix")))</f>
        <v>0</v>
      </c>
      <c r="L264" s="5">
        <f>IF(OR(INDEX($V$2:$V$1001,MATCH(ROWS($U$2:U264),$U$2:$U$1001,0),1)&gt;=100000,INDEX($AB$1005:$AQ$1005,1,MATCH(COLUMNS($AB$1006:AL1006),$AB$1006:$AQ$1006,0))&gt;=100000), " ",IF(INDEX($AB$2:$AQ$1001,MATCH(ROWS($U$2:U264),$U$2:$U$1001,0),MATCH(COLUMNS($AB$1006:AL1006),$AB$1006:$AQ$1006,0)), HYPERLINK("#",""), HYPERLINK(CONCATENATE("#Metadata!", ADDRESS(INDEX($W$2:$W$1001,MATCH(ROWS($U$2:U264),$U$2:$U$1001,0),0), INDEX($AB$1004:$AQ$1004,1,MATCH(COLUMNS($AB$1006:AL1006),$AB$1006:$AQ$1006,0)))),"Fix")))</f>
        <v>0</v>
      </c>
      <c r="M264" s="5">
        <f>IF(OR(INDEX($V$2:$V$1001,MATCH(ROWS($U$2:U264),$U$2:$U$1001,0),1)&gt;=100000,INDEX($AB$1005:$AQ$1005,1,MATCH(COLUMNS($AB$1006:AM1006),$AB$1006:$AQ$1006,0))&gt;=100000), " ",IF(INDEX($AB$2:$AQ$1001,MATCH(ROWS($U$2:U264),$U$2:$U$1001,0),MATCH(COLUMNS($AB$1006:AM1006),$AB$1006:$AQ$1006,0)), HYPERLINK("#",""), HYPERLINK(CONCATENATE("#Metadata!", ADDRESS(INDEX($W$2:$W$1001,MATCH(ROWS($U$2:U264),$U$2:$U$1001,0),0), INDEX($AB$1004:$AQ$1004,1,MATCH(COLUMNS($AB$1006:AM1006),$AB$1006:$AQ$1006,0)))),"Fix")))</f>
        <v>0</v>
      </c>
      <c r="N264" s="5">
        <f>IF(OR(INDEX($V$2:$V$1001,MATCH(ROWS($U$2:U264),$U$2:$U$1001,0),1)&gt;=100000,INDEX($AB$1005:$AQ$1005,1,MATCH(COLUMNS($AB$1006:AN1006),$AB$1006:$AQ$1006,0))&gt;=100000), " ",IF(INDEX($AB$2:$AQ$1001,MATCH(ROWS($U$2:U264),$U$2:$U$1001,0),MATCH(COLUMNS($AB$1006:AN1006),$AB$1006:$AQ$1006,0)), HYPERLINK("#",""), HYPERLINK(CONCATENATE("#Metadata!", ADDRESS(INDEX($W$2:$W$1001,MATCH(ROWS($U$2:U264),$U$2:$U$1001,0),0), INDEX($AB$1004:$AQ$1004,1,MATCH(COLUMNS($AB$1006:AN1006),$AB$1006:$AQ$1006,0)))),"Fix")))</f>
        <v>0</v>
      </c>
      <c r="O264" s="5">
        <f>IF(OR(INDEX($V$2:$V$1001,MATCH(ROWS($U$2:U264),$U$2:$U$1001,0),1)&gt;=100000,INDEX($AB$1005:$AQ$1005,1,MATCH(COLUMNS($AB$1006:AO1006),$AB$1006:$AQ$1006,0))&gt;=100000), " ",IF(INDEX($AB$2:$AQ$1001,MATCH(ROWS($U$2:U264),$U$2:$U$1001,0),MATCH(COLUMNS($AB$1006:AO1006),$AB$1006:$AQ$1006,0)), HYPERLINK("#",""), HYPERLINK(CONCATENATE("#Metadata!", ADDRESS(INDEX($W$2:$W$1001,MATCH(ROWS($U$2:U264),$U$2:$U$1001,0),0), INDEX($AB$1004:$AQ$1004,1,MATCH(COLUMNS($AB$1006:AO1006),$AB$1006:$AQ$1006,0)))),"Fix")))</f>
        <v>0</v>
      </c>
      <c r="P264" s="5">
        <f>IF(OR(INDEX($V$2:$V$1001,MATCH(ROWS($U$2:U264),$U$2:$U$1001,0),1)&gt;=100000,INDEX($AB$1005:$AQ$1005,1,MATCH(COLUMNS($AB$1006:AP1006),$AB$1006:$AQ$1006,0))&gt;=100000), " ",IF(INDEX($AB$2:$AQ$1001,MATCH(ROWS($U$2:U264),$U$2:$U$1001,0),MATCH(COLUMNS($AB$1006:AP1006),$AB$1006:$AQ$1006,0)), HYPERLINK("#",""), HYPERLINK(CONCATENATE("#Metadata!", ADDRESS(INDEX($W$2:$W$1001,MATCH(ROWS($U$2:U264),$U$2:$U$1001,0),0), INDEX($AB$1004:$AQ$1004,1,MATCH(COLUMNS($AB$1006:AP1006),$AB$1006:$AQ$1006,0)))),"Fix")))</f>
        <v>0</v>
      </c>
      <c r="Q264" s="5">
        <f>IF(OR(INDEX($V$2:$V$1001,MATCH(ROWS($U$2:U264),$U$2:$U$1001,0),1)&gt;=100000,INDEX($AB$1005:$AQ$1005,1,MATCH(COLUMNS($AB$1006:AQ1006),$AB$1006:$AQ$1006,0))&gt;=100000), " ",IF(INDEX($AB$2:$AQ$1001,MATCH(ROWS($U$2:U264),$U$2:$U$1001,0),MATCH(COLUMNS($AB$1006:AQ1006),$AB$1006:$AQ$1006,0)), HYPERLINK("#",""), HYPERLINK(CONCATENATE("#Metadata!", ADDRESS(INDEX($W$2:$W$1001,MATCH(ROWS($U$2:U264),$U$2:$U$1001,0),0), INDEX($AB$1004:$AQ$1004,1,MATCH(COLUMNS($AB$1006:AQ1006),$AB$1006:$AQ$1006,0)))),"Fix")))</f>
        <v>0</v>
      </c>
      <c r="U264">
        <v>0</v>
      </c>
      <c r="V264">
        <v>0</v>
      </c>
      <c r="W264">
        <v>0</v>
      </c>
      <c r="X264">
        <f>IF(Y264,TRUE,AND(AB264:AQ264))</f>
        <v>0</v>
      </c>
      <c r="Y264">
        <f>COUNTBLANK(Metadata!B264:Q264)=COLUMNS(Metadata!B264:Q264)</f>
        <v>0</v>
      </c>
      <c r="Z264">
        <v>0</v>
      </c>
      <c r="AB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AC264">
        <f>AND(IF(Metadata!C264="",FALSE,TRUE),exact(Metadata!C264,"urban biome"))</f>
        <v>0</v>
      </c>
      <c r="AD264">
        <f>AND(IF(Metadata!D264="",FALSE,TRUE),exact(Metadata!D264,"human-associated habitat"))</f>
        <v>0</v>
      </c>
      <c r="AE264">
        <f>AND(IF(Metadata!E264="",FALSE,TRUE),OR(exact(Metadata!E264,"human-associated"),exact(Metadata!E264,"human-skin"),exact(Metadata!E264,"human-oral"),exact(Metadata!E264,"human-gut"),exact(Metadata!E264,"human-vaginal")))</f>
        <v>0</v>
      </c>
      <c r="AF264">
        <f>AND(IF(Metadata!F264="",FALSE,ISNUMBER(VALUE(Metadata!F264))),Metadata!F264&gt;0)</f>
        <v>0</v>
      </c>
      <c r="AG264">
        <f>AND(IF(Metadata!G264="",FALSE,TRUE),exact(Metadata!G264,"years"))</f>
        <v>0</v>
      </c>
      <c r="AH264">
        <f>OR(AND(IF(Metadata!H264="",FALSE,TRUE),OR(exact(Metadata!H264,"not applicable"),exact(Metadata!H264,"not collected"),exact(Metadata!H264,"not provided"),exact(Metadata!H264,"restricted access"))),AND(IF(Metadata!H264="",FALSE,ISNUMBER(VALUE(Metadata!H264))),Metadata!H264&gt;0))</f>
        <v>0</v>
      </c>
      <c r="AI264">
        <f>AND(IF(Metadata!I264="",FALSE,TRUE),exact(Metadata!I264,"human"))</f>
        <v>0</v>
      </c>
      <c r="AJ264">
        <f>AND(IF(Metadata!J264="",FALSE,ISNUMBER(VALUE(Metadata!J264))),Metadata!J264&gt;0)</f>
        <v>0</v>
      </c>
      <c r="AK264">
        <f>AND(IF(Metadata!K264="",FALSE,TRUE),exact(Metadata!K264,"cm"))</f>
        <v>0</v>
      </c>
      <c r="AL264">
        <f>AND(IF(Metadata!L264="",FALSE,TRUE),exact(Metadata!L264,"Homo sapiens"))</f>
        <v>0</v>
      </c>
      <c r="AM264">
        <f>AND(IF(Metadata!M264="",FALSE,TRUE),exact(Metadata!M264,"9606"))</f>
        <v>0</v>
      </c>
      <c r="AN264">
        <f>AND(IF(Metadata!N264="",FALSE,ISNUMBER(VALUE(Metadata!N264))),Metadata!N264&gt;0)</f>
        <v>0</v>
      </c>
      <c r="AO264">
        <f>AND(IF(Metadata!O264="",FALSE,TRUE),exact(Metadata!O264,"kg"))</f>
        <v>0</v>
      </c>
      <c r="AP264">
        <f>OR(AND(IF(Metadata!P264="",FALSE,TRUE),exact(Metadata!P264,"not provided")),IF(Metadata!P264="",FALSE,TRUE))</f>
        <v>0</v>
      </c>
      <c r="AQ264">
        <f>OR(AND(IF(Metadata!Q264="",FALSE,TRUE),exact(Metadata!Q264,"not provided")),IF(Metadata!Q264="",FALSE,TRUE))</f>
        <v>0</v>
      </c>
    </row>
    <row r="265" spans="1:43">
      <c r="A265" s="4">
        <f>IF(B265=" "," ",HYPERLINK(CONCATENATE("#metadata!",ADDRESS(INDEX($W$2:$W$1001,MATCH(ROWS($U$2:U265),$U$2:$U$1001,0),0),2)),INDEX($Z$2:$Z$1001,MATCH(ROWS($U$2:U265),$U$2:$U$1001,0),0)))</f>
        <v>0</v>
      </c>
      <c r="B265" s="5">
        <f>IF(OR(INDEX($V$2:$V$1001,MATCH(ROWS($U$2:U265),$U$2:$U$1001,0),1)&gt;=100000,INDEX($AB$1005:$AQ$1005,1,MATCH(COLUMNS($AB$1006:AB1006),$AB$1006:$AQ$1006,0))&gt;=100000), " ",IF(INDEX($AB$2:$AQ$1001,MATCH(ROWS($U$2:U265),$U$2:$U$1001,0),MATCH(COLUMNS($AB$1006:AB1006),$AB$1006:$AQ$1006,0)), HYPERLINK("#",""), HYPERLINK(CONCATENATE("#Metadata!", ADDRESS(INDEX($W$2:$W$1001,MATCH(ROWS($U$2:U265),$U$2:$U$1001,0),0), INDEX($AB$1004:$AQ$1004,1,MATCH(COLUMNS($AB$1006:AB1006),$AB$1006:$AQ$1006,0)))),"Fix")))</f>
        <v>0</v>
      </c>
      <c r="C265" s="5">
        <f>IF(OR(INDEX($V$2:$V$1001,MATCH(ROWS($U$2:U265),$U$2:$U$1001,0),1)&gt;=100000,INDEX($AB$1005:$AQ$1005,1,MATCH(COLUMNS($AB$1006:AC1006),$AB$1006:$AQ$1006,0))&gt;=100000), " ",IF(INDEX($AB$2:$AQ$1001,MATCH(ROWS($U$2:U265),$U$2:$U$1001,0),MATCH(COLUMNS($AB$1006:AC1006),$AB$1006:$AQ$1006,0)), HYPERLINK("#",""), HYPERLINK(CONCATENATE("#Metadata!", ADDRESS(INDEX($W$2:$W$1001,MATCH(ROWS($U$2:U265),$U$2:$U$1001,0),0), INDEX($AB$1004:$AQ$1004,1,MATCH(COLUMNS($AB$1006:AC1006),$AB$1006:$AQ$1006,0)))),"Fix")))</f>
        <v>0</v>
      </c>
      <c r="D265" s="5">
        <f>IF(OR(INDEX($V$2:$V$1001,MATCH(ROWS($U$2:U265),$U$2:$U$1001,0),1)&gt;=100000,INDEX($AB$1005:$AQ$1005,1,MATCH(COLUMNS($AB$1006:AD1006),$AB$1006:$AQ$1006,0))&gt;=100000), " ",IF(INDEX($AB$2:$AQ$1001,MATCH(ROWS($U$2:U265),$U$2:$U$1001,0),MATCH(COLUMNS($AB$1006:AD1006),$AB$1006:$AQ$1006,0)), HYPERLINK("#",""), HYPERLINK(CONCATENATE("#Metadata!", ADDRESS(INDEX($W$2:$W$1001,MATCH(ROWS($U$2:U265),$U$2:$U$1001,0),0), INDEX($AB$1004:$AQ$1004,1,MATCH(COLUMNS($AB$1006:AD1006),$AB$1006:$AQ$1006,0)))),"Fix")))</f>
        <v>0</v>
      </c>
      <c r="E265" s="5">
        <f>IF(OR(INDEX($V$2:$V$1001,MATCH(ROWS($U$2:U265),$U$2:$U$1001,0),1)&gt;=100000,INDEX($AB$1005:$AQ$1005,1,MATCH(COLUMNS($AB$1006:AE1006),$AB$1006:$AQ$1006,0))&gt;=100000), " ",IF(INDEX($AB$2:$AQ$1001,MATCH(ROWS($U$2:U265),$U$2:$U$1001,0),MATCH(COLUMNS($AB$1006:AE1006),$AB$1006:$AQ$1006,0)), HYPERLINK("#",""), HYPERLINK(CONCATENATE("#Metadata!", ADDRESS(INDEX($W$2:$W$1001,MATCH(ROWS($U$2:U265),$U$2:$U$1001,0),0), INDEX($AB$1004:$AQ$1004,1,MATCH(COLUMNS($AB$1006:AE1006),$AB$1006:$AQ$1006,0)))),"Fix")))</f>
        <v>0</v>
      </c>
      <c r="F265" s="5">
        <f>IF(OR(INDEX($V$2:$V$1001,MATCH(ROWS($U$2:U265),$U$2:$U$1001,0),1)&gt;=100000,INDEX($AB$1005:$AQ$1005,1,MATCH(COLUMNS($AB$1006:AF1006),$AB$1006:$AQ$1006,0))&gt;=100000), " ",IF(INDEX($AB$2:$AQ$1001,MATCH(ROWS($U$2:U265),$U$2:$U$1001,0),MATCH(COLUMNS($AB$1006:AF1006),$AB$1006:$AQ$1006,0)), HYPERLINK("#",""), HYPERLINK(CONCATENATE("#Metadata!", ADDRESS(INDEX($W$2:$W$1001,MATCH(ROWS($U$2:U265),$U$2:$U$1001,0),0), INDEX($AB$1004:$AQ$1004,1,MATCH(COLUMNS($AB$1006:AF1006),$AB$1006:$AQ$1006,0)))),"Fix")))</f>
        <v>0</v>
      </c>
      <c r="G265" s="5">
        <f>IF(OR(INDEX($V$2:$V$1001,MATCH(ROWS($U$2:U265),$U$2:$U$1001,0),1)&gt;=100000,INDEX($AB$1005:$AQ$1005,1,MATCH(COLUMNS($AB$1006:AG1006),$AB$1006:$AQ$1006,0))&gt;=100000), " ",IF(INDEX($AB$2:$AQ$1001,MATCH(ROWS($U$2:U265),$U$2:$U$1001,0),MATCH(COLUMNS($AB$1006:AG1006),$AB$1006:$AQ$1006,0)), HYPERLINK("#",""), HYPERLINK(CONCATENATE("#Metadata!", ADDRESS(INDEX($W$2:$W$1001,MATCH(ROWS($U$2:U265),$U$2:$U$1001,0),0), INDEX($AB$1004:$AQ$1004,1,MATCH(COLUMNS($AB$1006:AG1006),$AB$1006:$AQ$1006,0)))),"Fix")))</f>
        <v>0</v>
      </c>
      <c r="H265" s="5">
        <f>IF(OR(INDEX($V$2:$V$1001,MATCH(ROWS($U$2:U265),$U$2:$U$1001,0),1)&gt;=100000,INDEX($AB$1005:$AQ$1005,1,MATCH(COLUMNS($AB$1006:AH1006),$AB$1006:$AQ$1006,0))&gt;=100000), " ",IF(INDEX($AB$2:$AQ$1001,MATCH(ROWS($U$2:U265),$U$2:$U$1001,0),MATCH(COLUMNS($AB$1006:AH1006),$AB$1006:$AQ$1006,0)), HYPERLINK("#",""), HYPERLINK(CONCATENATE("#Metadata!", ADDRESS(INDEX($W$2:$W$1001,MATCH(ROWS($U$2:U265),$U$2:$U$1001,0),0), INDEX($AB$1004:$AQ$1004,1,MATCH(COLUMNS($AB$1006:AH1006),$AB$1006:$AQ$1006,0)))),"Fix")))</f>
        <v>0</v>
      </c>
      <c r="I265" s="5">
        <f>IF(OR(INDEX($V$2:$V$1001,MATCH(ROWS($U$2:U265),$U$2:$U$1001,0),1)&gt;=100000,INDEX($AB$1005:$AQ$1005,1,MATCH(COLUMNS($AB$1006:AI1006),$AB$1006:$AQ$1006,0))&gt;=100000), " ",IF(INDEX($AB$2:$AQ$1001,MATCH(ROWS($U$2:U265),$U$2:$U$1001,0),MATCH(COLUMNS($AB$1006:AI1006),$AB$1006:$AQ$1006,0)), HYPERLINK("#",""), HYPERLINK(CONCATENATE("#Metadata!", ADDRESS(INDEX($W$2:$W$1001,MATCH(ROWS($U$2:U265),$U$2:$U$1001,0),0), INDEX($AB$1004:$AQ$1004,1,MATCH(COLUMNS($AB$1006:AI1006),$AB$1006:$AQ$1006,0)))),"Fix")))</f>
        <v>0</v>
      </c>
      <c r="J265" s="5">
        <f>IF(OR(INDEX($V$2:$V$1001,MATCH(ROWS($U$2:U265),$U$2:$U$1001,0),1)&gt;=100000,INDEX($AB$1005:$AQ$1005,1,MATCH(COLUMNS($AB$1006:AJ1006),$AB$1006:$AQ$1006,0))&gt;=100000), " ",IF(INDEX($AB$2:$AQ$1001,MATCH(ROWS($U$2:U265),$U$2:$U$1001,0),MATCH(COLUMNS($AB$1006:AJ1006),$AB$1006:$AQ$1006,0)), HYPERLINK("#",""), HYPERLINK(CONCATENATE("#Metadata!", ADDRESS(INDEX($W$2:$W$1001,MATCH(ROWS($U$2:U265),$U$2:$U$1001,0),0), INDEX($AB$1004:$AQ$1004,1,MATCH(COLUMNS($AB$1006:AJ1006),$AB$1006:$AQ$1006,0)))),"Fix")))</f>
        <v>0</v>
      </c>
      <c r="K265" s="5">
        <f>IF(OR(INDEX($V$2:$V$1001,MATCH(ROWS($U$2:U265),$U$2:$U$1001,0),1)&gt;=100000,INDEX($AB$1005:$AQ$1005,1,MATCH(COLUMNS($AB$1006:AK1006),$AB$1006:$AQ$1006,0))&gt;=100000), " ",IF(INDEX($AB$2:$AQ$1001,MATCH(ROWS($U$2:U265),$U$2:$U$1001,0),MATCH(COLUMNS($AB$1006:AK1006),$AB$1006:$AQ$1006,0)), HYPERLINK("#",""), HYPERLINK(CONCATENATE("#Metadata!", ADDRESS(INDEX($W$2:$W$1001,MATCH(ROWS($U$2:U265),$U$2:$U$1001,0),0), INDEX($AB$1004:$AQ$1004,1,MATCH(COLUMNS($AB$1006:AK1006),$AB$1006:$AQ$1006,0)))),"Fix")))</f>
        <v>0</v>
      </c>
      <c r="L265" s="5">
        <f>IF(OR(INDEX($V$2:$V$1001,MATCH(ROWS($U$2:U265),$U$2:$U$1001,0),1)&gt;=100000,INDEX($AB$1005:$AQ$1005,1,MATCH(COLUMNS($AB$1006:AL1006),$AB$1006:$AQ$1006,0))&gt;=100000), " ",IF(INDEX($AB$2:$AQ$1001,MATCH(ROWS($U$2:U265),$U$2:$U$1001,0),MATCH(COLUMNS($AB$1006:AL1006),$AB$1006:$AQ$1006,0)), HYPERLINK("#",""), HYPERLINK(CONCATENATE("#Metadata!", ADDRESS(INDEX($W$2:$W$1001,MATCH(ROWS($U$2:U265),$U$2:$U$1001,0),0), INDEX($AB$1004:$AQ$1004,1,MATCH(COLUMNS($AB$1006:AL1006),$AB$1006:$AQ$1006,0)))),"Fix")))</f>
        <v>0</v>
      </c>
      <c r="M265" s="5">
        <f>IF(OR(INDEX($V$2:$V$1001,MATCH(ROWS($U$2:U265),$U$2:$U$1001,0),1)&gt;=100000,INDEX($AB$1005:$AQ$1005,1,MATCH(COLUMNS($AB$1006:AM1006),$AB$1006:$AQ$1006,0))&gt;=100000), " ",IF(INDEX($AB$2:$AQ$1001,MATCH(ROWS($U$2:U265),$U$2:$U$1001,0),MATCH(COLUMNS($AB$1006:AM1006),$AB$1006:$AQ$1006,0)), HYPERLINK("#",""), HYPERLINK(CONCATENATE("#Metadata!", ADDRESS(INDEX($W$2:$W$1001,MATCH(ROWS($U$2:U265),$U$2:$U$1001,0),0), INDEX($AB$1004:$AQ$1004,1,MATCH(COLUMNS($AB$1006:AM1006),$AB$1006:$AQ$1006,0)))),"Fix")))</f>
        <v>0</v>
      </c>
      <c r="N265" s="5">
        <f>IF(OR(INDEX($V$2:$V$1001,MATCH(ROWS($U$2:U265),$U$2:$U$1001,0),1)&gt;=100000,INDEX($AB$1005:$AQ$1005,1,MATCH(COLUMNS($AB$1006:AN1006),$AB$1006:$AQ$1006,0))&gt;=100000), " ",IF(INDEX($AB$2:$AQ$1001,MATCH(ROWS($U$2:U265),$U$2:$U$1001,0),MATCH(COLUMNS($AB$1006:AN1006),$AB$1006:$AQ$1006,0)), HYPERLINK("#",""), HYPERLINK(CONCATENATE("#Metadata!", ADDRESS(INDEX($W$2:$W$1001,MATCH(ROWS($U$2:U265),$U$2:$U$1001,0),0), INDEX($AB$1004:$AQ$1004,1,MATCH(COLUMNS($AB$1006:AN1006),$AB$1006:$AQ$1006,0)))),"Fix")))</f>
        <v>0</v>
      </c>
      <c r="O265" s="5">
        <f>IF(OR(INDEX($V$2:$V$1001,MATCH(ROWS($U$2:U265),$U$2:$U$1001,0),1)&gt;=100000,INDEX($AB$1005:$AQ$1005,1,MATCH(COLUMNS($AB$1006:AO1006),$AB$1006:$AQ$1006,0))&gt;=100000), " ",IF(INDEX($AB$2:$AQ$1001,MATCH(ROWS($U$2:U265),$U$2:$U$1001,0),MATCH(COLUMNS($AB$1006:AO1006),$AB$1006:$AQ$1006,0)), HYPERLINK("#",""), HYPERLINK(CONCATENATE("#Metadata!", ADDRESS(INDEX($W$2:$W$1001,MATCH(ROWS($U$2:U265),$U$2:$U$1001,0),0), INDEX($AB$1004:$AQ$1004,1,MATCH(COLUMNS($AB$1006:AO1006),$AB$1006:$AQ$1006,0)))),"Fix")))</f>
        <v>0</v>
      </c>
      <c r="P265" s="5">
        <f>IF(OR(INDEX($V$2:$V$1001,MATCH(ROWS($U$2:U265),$U$2:$U$1001,0),1)&gt;=100000,INDEX($AB$1005:$AQ$1005,1,MATCH(COLUMNS($AB$1006:AP1006),$AB$1006:$AQ$1006,0))&gt;=100000), " ",IF(INDEX($AB$2:$AQ$1001,MATCH(ROWS($U$2:U265),$U$2:$U$1001,0),MATCH(COLUMNS($AB$1006:AP1006),$AB$1006:$AQ$1006,0)), HYPERLINK("#",""), HYPERLINK(CONCATENATE("#Metadata!", ADDRESS(INDEX($W$2:$W$1001,MATCH(ROWS($U$2:U265),$U$2:$U$1001,0),0), INDEX($AB$1004:$AQ$1004,1,MATCH(COLUMNS($AB$1006:AP1006),$AB$1006:$AQ$1006,0)))),"Fix")))</f>
        <v>0</v>
      </c>
      <c r="Q265" s="5">
        <f>IF(OR(INDEX($V$2:$V$1001,MATCH(ROWS($U$2:U265),$U$2:$U$1001,0),1)&gt;=100000,INDEX($AB$1005:$AQ$1005,1,MATCH(COLUMNS($AB$1006:AQ1006),$AB$1006:$AQ$1006,0))&gt;=100000), " ",IF(INDEX($AB$2:$AQ$1001,MATCH(ROWS($U$2:U265),$U$2:$U$1001,0),MATCH(COLUMNS($AB$1006:AQ1006),$AB$1006:$AQ$1006,0)), HYPERLINK("#",""), HYPERLINK(CONCATENATE("#Metadata!", ADDRESS(INDEX($W$2:$W$1001,MATCH(ROWS($U$2:U265),$U$2:$U$1001,0),0), INDEX($AB$1004:$AQ$1004,1,MATCH(COLUMNS($AB$1006:AQ1006),$AB$1006:$AQ$1006,0)))),"Fix")))</f>
        <v>0</v>
      </c>
      <c r="U265">
        <v>0</v>
      </c>
      <c r="V265">
        <v>0</v>
      </c>
      <c r="W265">
        <v>0</v>
      </c>
      <c r="X265">
        <f>IF(Y265,TRUE,AND(AB265:AQ265))</f>
        <v>0</v>
      </c>
      <c r="Y265">
        <f>COUNTBLANK(Metadata!B265:Q265)=COLUMNS(Metadata!B265:Q265)</f>
        <v>0</v>
      </c>
      <c r="Z265">
        <v>0</v>
      </c>
      <c r="AB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AC265">
        <f>AND(IF(Metadata!C265="",FALSE,TRUE),exact(Metadata!C265,"urban biome"))</f>
        <v>0</v>
      </c>
      <c r="AD265">
        <f>AND(IF(Metadata!D265="",FALSE,TRUE),exact(Metadata!D265,"human-associated habitat"))</f>
        <v>0</v>
      </c>
      <c r="AE265">
        <f>AND(IF(Metadata!E265="",FALSE,TRUE),OR(exact(Metadata!E265,"human-associated"),exact(Metadata!E265,"human-skin"),exact(Metadata!E265,"human-oral"),exact(Metadata!E265,"human-gut"),exact(Metadata!E265,"human-vaginal")))</f>
        <v>0</v>
      </c>
      <c r="AF265">
        <f>AND(IF(Metadata!F265="",FALSE,ISNUMBER(VALUE(Metadata!F265))),Metadata!F265&gt;0)</f>
        <v>0</v>
      </c>
      <c r="AG265">
        <f>AND(IF(Metadata!G265="",FALSE,TRUE),exact(Metadata!G265,"years"))</f>
        <v>0</v>
      </c>
      <c r="AH265">
        <f>OR(AND(IF(Metadata!H265="",FALSE,TRUE),OR(exact(Metadata!H265,"not applicable"),exact(Metadata!H265,"not collected"),exact(Metadata!H265,"not provided"),exact(Metadata!H265,"restricted access"))),AND(IF(Metadata!H265="",FALSE,ISNUMBER(VALUE(Metadata!H265))),Metadata!H265&gt;0))</f>
        <v>0</v>
      </c>
      <c r="AI265">
        <f>AND(IF(Metadata!I265="",FALSE,TRUE),exact(Metadata!I265,"human"))</f>
        <v>0</v>
      </c>
      <c r="AJ265">
        <f>AND(IF(Metadata!J265="",FALSE,ISNUMBER(VALUE(Metadata!J265))),Metadata!J265&gt;0)</f>
        <v>0</v>
      </c>
      <c r="AK265">
        <f>AND(IF(Metadata!K265="",FALSE,TRUE),exact(Metadata!K265,"cm"))</f>
        <v>0</v>
      </c>
      <c r="AL265">
        <f>AND(IF(Metadata!L265="",FALSE,TRUE),exact(Metadata!L265,"Homo sapiens"))</f>
        <v>0</v>
      </c>
      <c r="AM265">
        <f>AND(IF(Metadata!M265="",FALSE,TRUE),exact(Metadata!M265,"9606"))</f>
        <v>0</v>
      </c>
      <c r="AN265">
        <f>AND(IF(Metadata!N265="",FALSE,ISNUMBER(VALUE(Metadata!N265))),Metadata!N265&gt;0)</f>
        <v>0</v>
      </c>
      <c r="AO265">
        <f>AND(IF(Metadata!O265="",FALSE,TRUE),exact(Metadata!O265,"kg"))</f>
        <v>0</v>
      </c>
      <c r="AP265">
        <f>OR(AND(IF(Metadata!P265="",FALSE,TRUE),exact(Metadata!P265,"not provided")),IF(Metadata!P265="",FALSE,TRUE))</f>
        <v>0</v>
      </c>
      <c r="AQ265">
        <f>OR(AND(IF(Metadata!Q265="",FALSE,TRUE),exact(Metadata!Q265,"not provided")),IF(Metadata!Q265="",FALSE,TRUE))</f>
        <v>0</v>
      </c>
    </row>
    <row r="266" spans="1:43">
      <c r="A266" s="4">
        <f>IF(B266=" "," ",HYPERLINK(CONCATENATE("#metadata!",ADDRESS(INDEX($W$2:$W$1001,MATCH(ROWS($U$2:U266),$U$2:$U$1001,0),0),2)),INDEX($Z$2:$Z$1001,MATCH(ROWS($U$2:U266),$U$2:$U$1001,0),0)))</f>
        <v>0</v>
      </c>
      <c r="B266" s="5">
        <f>IF(OR(INDEX($V$2:$V$1001,MATCH(ROWS($U$2:U266),$U$2:$U$1001,0),1)&gt;=100000,INDEX($AB$1005:$AQ$1005,1,MATCH(COLUMNS($AB$1006:AB1006),$AB$1006:$AQ$1006,0))&gt;=100000), " ",IF(INDEX($AB$2:$AQ$1001,MATCH(ROWS($U$2:U266),$U$2:$U$1001,0),MATCH(COLUMNS($AB$1006:AB1006),$AB$1006:$AQ$1006,0)), HYPERLINK("#",""), HYPERLINK(CONCATENATE("#Metadata!", ADDRESS(INDEX($W$2:$W$1001,MATCH(ROWS($U$2:U266),$U$2:$U$1001,0),0), INDEX($AB$1004:$AQ$1004,1,MATCH(COLUMNS($AB$1006:AB1006),$AB$1006:$AQ$1006,0)))),"Fix")))</f>
        <v>0</v>
      </c>
      <c r="C266" s="5">
        <f>IF(OR(INDEX($V$2:$V$1001,MATCH(ROWS($U$2:U266),$U$2:$U$1001,0),1)&gt;=100000,INDEX($AB$1005:$AQ$1005,1,MATCH(COLUMNS($AB$1006:AC1006),$AB$1006:$AQ$1006,0))&gt;=100000), " ",IF(INDEX($AB$2:$AQ$1001,MATCH(ROWS($U$2:U266),$U$2:$U$1001,0),MATCH(COLUMNS($AB$1006:AC1006),$AB$1006:$AQ$1006,0)), HYPERLINK("#",""), HYPERLINK(CONCATENATE("#Metadata!", ADDRESS(INDEX($W$2:$W$1001,MATCH(ROWS($U$2:U266),$U$2:$U$1001,0),0), INDEX($AB$1004:$AQ$1004,1,MATCH(COLUMNS($AB$1006:AC1006),$AB$1006:$AQ$1006,0)))),"Fix")))</f>
        <v>0</v>
      </c>
      <c r="D266" s="5">
        <f>IF(OR(INDEX($V$2:$V$1001,MATCH(ROWS($U$2:U266),$U$2:$U$1001,0),1)&gt;=100000,INDEX($AB$1005:$AQ$1005,1,MATCH(COLUMNS($AB$1006:AD1006),$AB$1006:$AQ$1006,0))&gt;=100000), " ",IF(INDEX($AB$2:$AQ$1001,MATCH(ROWS($U$2:U266),$U$2:$U$1001,0),MATCH(COLUMNS($AB$1006:AD1006),$AB$1006:$AQ$1006,0)), HYPERLINK("#",""), HYPERLINK(CONCATENATE("#Metadata!", ADDRESS(INDEX($W$2:$W$1001,MATCH(ROWS($U$2:U266),$U$2:$U$1001,0),0), INDEX($AB$1004:$AQ$1004,1,MATCH(COLUMNS($AB$1006:AD1006),$AB$1006:$AQ$1006,0)))),"Fix")))</f>
        <v>0</v>
      </c>
      <c r="E266" s="5">
        <f>IF(OR(INDEX($V$2:$V$1001,MATCH(ROWS($U$2:U266),$U$2:$U$1001,0),1)&gt;=100000,INDEX($AB$1005:$AQ$1005,1,MATCH(COLUMNS($AB$1006:AE1006),$AB$1006:$AQ$1006,0))&gt;=100000), " ",IF(INDEX($AB$2:$AQ$1001,MATCH(ROWS($U$2:U266),$U$2:$U$1001,0),MATCH(COLUMNS($AB$1006:AE1006),$AB$1006:$AQ$1006,0)), HYPERLINK("#",""), HYPERLINK(CONCATENATE("#Metadata!", ADDRESS(INDEX($W$2:$W$1001,MATCH(ROWS($U$2:U266),$U$2:$U$1001,0),0), INDEX($AB$1004:$AQ$1004,1,MATCH(COLUMNS($AB$1006:AE1006),$AB$1006:$AQ$1006,0)))),"Fix")))</f>
        <v>0</v>
      </c>
      <c r="F266" s="5">
        <f>IF(OR(INDEX($V$2:$V$1001,MATCH(ROWS($U$2:U266),$U$2:$U$1001,0),1)&gt;=100000,INDEX($AB$1005:$AQ$1005,1,MATCH(COLUMNS($AB$1006:AF1006),$AB$1006:$AQ$1006,0))&gt;=100000), " ",IF(INDEX($AB$2:$AQ$1001,MATCH(ROWS($U$2:U266),$U$2:$U$1001,0),MATCH(COLUMNS($AB$1006:AF1006),$AB$1006:$AQ$1006,0)), HYPERLINK("#",""), HYPERLINK(CONCATENATE("#Metadata!", ADDRESS(INDEX($W$2:$W$1001,MATCH(ROWS($U$2:U266),$U$2:$U$1001,0),0), INDEX($AB$1004:$AQ$1004,1,MATCH(COLUMNS($AB$1006:AF1006),$AB$1006:$AQ$1006,0)))),"Fix")))</f>
        <v>0</v>
      </c>
      <c r="G266" s="5">
        <f>IF(OR(INDEX($V$2:$V$1001,MATCH(ROWS($U$2:U266),$U$2:$U$1001,0),1)&gt;=100000,INDEX($AB$1005:$AQ$1005,1,MATCH(COLUMNS($AB$1006:AG1006),$AB$1006:$AQ$1006,0))&gt;=100000), " ",IF(INDEX($AB$2:$AQ$1001,MATCH(ROWS($U$2:U266),$U$2:$U$1001,0),MATCH(COLUMNS($AB$1006:AG1006),$AB$1006:$AQ$1006,0)), HYPERLINK("#",""), HYPERLINK(CONCATENATE("#Metadata!", ADDRESS(INDEX($W$2:$W$1001,MATCH(ROWS($U$2:U266),$U$2:$U$1001,0),0), INDEX($AB$1004:$AQ$1004,1,MATCH(COLUMNS($AB$1006:AG1006),$AB$1006:$AQ$1006,0)))),"Fix")))</f>
        <v>0</v>
      </c>
      <c r="H266" s="5">
        <f>IF(OR(INDEX($V$2:$V$1001,MATCH(ROWS($U$2:U266),$U$2:$U$1001,0),1)&gt;=100000,INDEX($AB$1005:$AQ$1005,1,MATCH(COLUMNS($AB$1006:AH1006),$AB$1006:$AQ$1006,0))&gt;=100000), " ",IF(INDEX($AB$2:$AQ$1001,MATCH(ROWS($U$2:U266),$U$2:$U$1001,0),MATCH(COLUMNS($AB$1006:AH1006),$AB$1006:$AQ$1006,0)), HYPERLINK("#",""), HYPERLINK(CONCATENATE("#Metadata!", ADDRESS(INDEX($W$2:$W$1001,MATCH(ROWS($U$2:U266),$U$2:$U$1001,0),0), INDEX($AB$1004:$AQ$1004,1,MATCH(COLUMNS($AB$1006:AH1006),$AB$1006:$AQ$1006,0)))),"Fix")))</f>
        <v>0</v>
      </c>
      <c r="I266" s="5">
        <f>IF(OR(INDEX($V$2:$V$1001,MATCH(ROWS($U$2:U266),$U$2:$U$1001,0),1)&gt;=100000,INDEX($AB$1005:$AQ$1005,1,MATCH(COLUMNS($AB$1006:AI1006),$AB$1006:$AQ$1006,0))&gt;=100000), " ",IF(INDEX($AB$2:$AQ$1001,MATCH(ROWS($U$2:U266),$U$2:$U$1001,0),MATCH(COLUMNS($AB$1006:AI1006),$AB$1006:$AQ$1006,0)), HYPERLINK("#",""), HYPERLINK(CONCATENATE("#Metadata!", ADDRESS(INDEX($W$2:$W$1001,MATCH(ROWS($U$2:U266),$U$2:$U$1001,0),0), INDEX($AB$1004:$AQ$1004,1,MATCH(COLUMNS($AB$1006:AI1006),$AB$1006:$AQ$1006,0)))),"Fix")))</f>
        <v>0</v>
      </c>
      <c r="J266" s="5">
        <f>IF(OR(INDEX($V$2:$V$1001,MATCH(ROWS($U$2:U266),$U$2:$U$1001,0),1)&gt;=100000,INDEX($AB$1005:$AQ$1005,1,MATCH(COLUMNS($AB$1006:AJ1006),$AB$1006:$AQ$1006,0))&gt;=100000), " ",IF(INDEX($AB$2:$AQ$1001,MATCH(ROWS($U$2:U266),$U$2:$U$1001,0),MATCH(COLUMNS($AB$1006:AJ1006),$AB$1006:$AQ$1006,0)), HYPERLINK("#",""), HYPERLINK(CONCATENATE("#Metadata!", ADDRESS(INDEX($W$2:$W$1001,MATCH(ROWS($U$2:U266),$U$2:$U$1001,0),0), INDEX($AB$1004:$AQ$1004,1,MATCH(COLUMNS($AB$1006:AJ1006),$AB$1006:$AQ$1006,0)))),"Fix")))</f>
        <v>0</v>
      </c>
      <c r="K266" s="5">
        <f>IF(OR(INDEX($V$2:$V$1001,MATCH(ROWS($U$2:U266),$U$2:$U$1001,0),1)&gt;=100000,INDEX($AB$1005:$AQ$1005,1,MATCH(COLUMNS($AB$1006:AK1006),$AB$1006:$AQ$1006,0))&gt;=100000), " ",IF(INDEX($AB$2:$AQ$1001,MATCH(ROWS($U$2:U266),$U$2:$U$1001,0),MATCH(COLUMNS($AB$1006:AK1006),$AB$1006:$AQ$1006,0)), HYPERLINK("#",""), HYPERLINK(CONCATENATE("#Metadata!", ADDRESS(INDEX($W$2:$W$1001,MATCH(ROWS($U$2:U266),$U$2:$U$1001,0),0), INDEX($AB$1004:$AQ$1004,1,MATCH(COLUMNS($AB$1006:AK1006),$AB$1006:$AQ$1006,0)))),"Fix")))</f>
        <v>0</v>
      </c>
      <c r="L266" s="5">
        <f>IF(OR(INDEX($V$2:$V$1001,MATCH(ROWS($U$2:U266),$U$2:$U$1001,0),1)&gt;=100000,INDEX($AB$1005:$AQ$1005,1,MATCH(COLUMNS($AB$1006:AL1006),$AB$1006:$AQ$1006,0))&gt;=100000), " ",IF(INDEX($AB$2:$AQ$1001,MATCH(ROWS($U$2:U266),$U$2:$U$1001,0),MATCH(COLUMNS($AB$1006:AL1006),$AB$1006:$AQ$1006,0)), HYPERLINK("#",""), HYPERLINK(CONCATENATE("#Metadata!", ADDRESS(INDEX($W$2:$W$1001,MATCH(ROWS($U$2:U266),$U$2:$U$1001,0),0), INDEX($AB$1004:$AQ$1004,1,MATCH(COLUMNS($AB$1006:AL1006),$AB$1006:$AQ$1006,0)))),"Fix")))</f>
        <v>0</v>
      </c>
      <c r="M266" s="5">
        <f>IF(OR(INDEX($V$2:$V$1001,MATCH(ROWS($U$2:U266),$U$2:$U$1001,0),1)&gt;=100000,INDEX($AB$1005:$AQ$1005,1,MATCH(COLUMNS($AB$1006:AM1006),$AB$1006:$AQ$1006,0))&gt;=100000), " ",IF(INDEX($AB$2:$AQ$1001,MATCH(ROWS($U$2:U266),$U$2:$U$1001,0),MATCH(COLUMNS($AB$1006:AM1006),$AB$1006:$AQ$1006,0)), HYPERLINK("#",""), HYPERLINK(CONCATENATE("#Metadata!", ADDRESS(INDEX($W$2:$W$1001,MATCH(ROWS($U$2:U266),$U$2:$U$1001,0),0), INDEX($AB$1004:$AQ$1004,1,MATCH(COLUMNS($AB$1006:AM1006),$AB$1006:$AQ$1006,0)))),"Fix")))</f>
        <v>0</v>
      </c>
      <c r="N266" s="5">
        <f>IF(OR(INDEX($V$2:$V$1001,MATCH(ROWS($U$2:U266),$U$2:$U$1001,0),1)&gt;=100000,INDEX($AB$1005:$AQ$1005,1,MATCH(COLUMNS($AB$1006:AN1006),$AB$1006:$AQ$1006,0))&gt;=100000), " ",IF(INDEX($AB$2:$AQ$1001,MATCH(ROWS($U$2:U266),$U$2:$U$1001,0),MATCH(COLUMNS($AB$1006:AN1006),$AB$1006:$AQ$1006,0)), HYPERLINK("#",""), HYPERLINK(CONCATENATE("#Metadata!", ADDRESS(INDEX($W$2:$W$1001,MATCH(ROWS($U$2:U266),$U$2:$U$1001,0),0), INDEX($AB$1004:$AQ$1004,1,MATCH(COLUMNS($AB$1006:AN1006),$AB$1006:$AQ$1006,0)))),"Fix")))</f>
        <v>0</v>
      </c>
      <c r="O266" s="5">
        <f>IF(OR(INDEX($V$2:$V$1001,MATCH(ROWS($U$2:U266),$U$2:$U$1001,0),1)&gt;=100000,INDEX($AB$1005:$AQ$1005,1,MATCH(COLUMNS($AB$1006:AO1006),$AB$1006:$AQ$1006,0))&gt;=100000), " ",IF(INDEX($AB$2:$AQ$1001,MATCH(ROWS($U$2:U266),$U$2:$U$1001,0),MATCH(COLUMNS($AB$1006:AO1006),$AB$1006:$AQ$1006,0)), HYPERLINK("#",""), HYPERLINK(CONCATENATE("#Metadata!", ADDRESS(INDEX($W$2:$W$1001,MATCH(ROWS($U$2:U266),$U$2:$U$1001,0),0), INDEX($AB$1004:$AQ$1004,1,MATCH(COLUMNS($AB$1006:AO1006),$AB$1006:$AQ$1006,0)))),"Fix")))</f>
        <v>0</v>
      </c>
      <c r="P266" s="5">
        <f>IF(OR(INDEX($V$2:$V$1001,MATCH(ROWS($U$2:U266),$U$2:$U$1001,0),1)&gt;=100000,INDEX($AB$1005:$AQ$1005,1,MATCH(COLUMNS($AB$1006:AP1006),$AB$1006:$AQ$1006,0))&gt;=100000), " ",IF(INDEX($AB$2:$AQ$1001,MATCH(ROWS($U$2:U266),$U$2:$U$1001,0),MATCH(COLUMNS($AB$1006:AP1006),$AB$1006:$AQ$1006,0)), HYPERLINK("#",""), HYPERLINK(CONCATENATE("#Metadata!", ADDRESS(INDEX($W$2:$W$1001,MATCH(ROWS($U$2:U266),$U$2:$U$1001,0),0), INDEX($AB$1004:$AQ$1004,1,MATCH(COLUMNS($AB$1006:AP1006),$AB$1006:$AQ$1006,0)))),"Fix")))</f>
        <v>0</v>
      </c>
      <c r="Q266" s="5">
        <f>IF(OR(INDEX($V$2:$V$1001,MATCH(ROWS($U$2:U266),$U$2:$U$1001,0),1)&gt;=100000,INDEX($AB$1005:$AQ$1005,1,MATCH(COLUMNS($AB$1006:AQ1006),$AB$1006:$AQ$1006,0))&gt;=100000), " ",IF(INDEX($AB$2:$AQ$1001,MATCH(ROWS($U$2:U266),$U$2:$U$1001,0),MATCH(COLUMNS($AB$1006:AQ1006),$AB$1006:$AQ$1006,0)), HYPERLINK("#",""), HYPERLINK(CONCATENATE("#Metadata!", ADDRESS(INDEX($W$2:$W$1001,MATCH(ROWS($U$2:U266),$U$2:$U$1001,0),0), INDEX($AB$1004:$AQ$1004,1,MATCH(COLUMNS($AB$1006:AQ1006),$AB$1006:$AQ$1006,0)))),"Fix")))</f>
        <v>0</v>
      </c>
      <c r="U266">
        <v>0</v>
      </c>
      <c r="V266">
        <v>0</v>
      </c>
      <c r="W266">
        <v>0</v>
      </c>
      <c r="X266">
        <f>IF(Y266,TRUE,AND(AB266:AQ266))</f>
        <v>0</v>
      </c>
      <c r="Y266">
        <f>COUNTBLANK(Metadata!B266:Q266)=COLUMNS(Metadata!B266:Q266)</f>
        <v>0</v>
      </c>
      <c r="Z266">
        <v>0</v>
      </c>
      <c r="AB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AC266">
        <f>AND(IF(Metadata!C266="",FALSE,TRUE),exact(Metadata!C266,"urban biome"))</f>
        <v>0</v>
      </c>
      <c r="AD266">
        <f>AND(IF(Metadata!D266="",FALSE,TRUE),exact(Metadata!D266,"human-associated habitat"))</f>
        <v>0</v>
      </c>
      <c r="AE266">
        <f>AND(IF(Metadata!E266="",FALSE,TRUE),OR(exact(Metadata!E266,"human-associated"),exact(Metadata!E266,"human-skin"),exact(Metadata!E266,"human-oral"),exact(Metadata!E266,"human-gut"),exact(Metadata!E266,"human-vaginal")))</f>
        <v>0</v>
      </c>
      <c r="AF266">
        <f>AND(IF(Metadata!F266="",FALSE,ISNUMBER(VALUE(Metadata!F266))),Metadata!F266&gt;0)</f>
        <v>0</v>
      </c>
      <c r="AG266">
        <f>AND(IF(Metadata!G266="",FALSE,TRUE),exact(Metadata!G266,"years"))</f>
        <v>0</v>
      </c>
      <c r="AH266">
        <f>OR(AND(IF(Metadata!H266="",FALSE,TRUE),OR(exact(Metadata!H266,"not applicable"),exact(Metadata!H266,"not collected"),exact(Metadata!H266,"not provided"),exact(Metadata!H266,"restricted access"))),AND(IF(Metadata!H266="",FALSE,ISNUMBER(VALUE(Metadata!H266))),Metadata!H266&gt;0))</f>
        <v>0</v>
      </c>
      <c r="AI266">
        <f>AND(IF(Metadata!I266="",FALSE,TRUE),exact(Metadata!I266,"human"))</f>
        <v>0</v>
      </c>
      <c r="AJ266">
        <f>AND(IF(Metadata!J266="",FALSE,ISNUMBER(VALUE(Metadata!J266))),Metadata!J266&gt;0)</f>
        <v>0</v>
      </c>
      <c r="AK266">
        <f>AND(IF(Metadata!K266="",FALSE,TRUE),exact(Metadata!K266,"cm"))</f>
        <v>0</v>
      </c>
      <c r="AL266">
        <f>AND(IF(Metadata!L266="",FALSE,TRUE),exact(Metadata!L266,"Homo sapiens"))</f>
        <v>0</v>
      </c>
      <c r="AM266">
        <f>AND(IF(Metadata!M266="",FALSE,TRUE),exact(Metadata!M266,"9606"))</f>
        <v>0</v>
      </c>
      <c r="AN266">
        <f>AND(IF(Metadata!N266="",FALSE,ISNUMBER(VALUE(Metadata!N266))),Metadata!N266&gt;0)</f>
        <v>0</v>
      </c>
      <c r="AO266">
        <f>AND(IF(Metadata!O266="",FALSE,TRUE),exact(Metadata!O266,"kg"))</f>
        <v>0</v>
      </c>
      <c r="AP266">
        <f>OR(AND(IF(Metadata!P266="",FALSE,TRUE),exact(Metadata!P266,"not provided")),IF(Metadata!P266="",FALSE,TRUE))</f>
        <v>0</v>
      </c>
      <c r="AQ266">
        <f>OR(AND(IF(Metadata!Q266="",FALSE,TRUE),exact(Metadata!Q266,"not provided")),IF(Metadata!Q266="",FALSE,TRUE))</f>
        <v>0</v>
      </c>
    </row>
    <row r="267" spans="1:43">
      <c r="A267" s="4">
        <f>IF(B267=" "," ",HYPERLINK(CONCATENATE("#metadata!",ADDRESS(INDEX($W$2:$W$1001,MATCH(ROWS($U$2:U267),$U$2:$U$1001,0),0),2)),INDEX($Z$2:$Z$1001,MATCH(ROWS($U$2:U267),$U$2:$U$1001,0),0)))</f>
        <v>0</v>
      </c>
      <c r="B267" s="5">
        <f>IF(OR(INDEX($V$2:$V$1001,MATCH(ROWS($U$2:U267),$U$2:$U$1001,0),1)&gt;=100000,INDEX($AB$1005:$AQ$1005,1,MATCH(COLUMNS($AB$1006:AB1006),$AB$1006:$AQ$1006,0))&gt;=100000), " ",IF(INDEX($AB$2:$AQ$1001,MATCH(ROWS($U$2:U267),$U$2:$U$1001,0),MATCH(COLUMNS($AB$1006:AB1006),$AB$1006:$AQ$1006,0)), HYPERLINK("#",""), HYPERLINK(CONCATENATE("#Metadata!", ADDRESS(INDEX($W$2:$W$1001,MATCH(ROWS($U$2:U267),$U$2:$U$1001,0),0), INDEX($AB$1004:$AQ$1004,1,MATCH(COLUMNS($AB$1006:AB1006),$AB$1006:$AQ$1006,0)))),"Fix")))</f>
        <v>0</v>
      </c>
      <c r="C267" s="5">
        <f>IF(OR(INDEX($V$2:$V$1001,MATCH(ROWS($U$2:U267),$U$2:$U$1001,0),1)&gt;=100000,INDEX($AB$1005:$AQ$1005,1,MATCH(COLUMNS($AB$1006:AC1006),$AB$1006:$AQ$1006,0))&gt;=100000), " ",IF(INDEX($AB$2:$AQ$1001,MATCH(ROWS($U$2:U267),$U$2:$U$1001,0),MATCH(COLUMNS($AB$1006:AC1006),$AB$1006:$AQ$1006,0)), HYPERLINK("#",""), HYPERLINK(CONCATENATE("#Metadata!", ADDRESS(INDEX($W$2:$W$1001,MATCH(ROWS($U$2:U267),$U$2:$U$1001,0),0), INDEX($AB$1004:$AQ$1004,1,MATCH(COLUMNS($AB$1006:AC1006),$AB$1006:$AQ$1006,0)))),"Fix")))</f>
        <v>0</v>
      </c>
      <c r="D267" s="5">
        <f>IF(OR(INDEX($V$2:$V$1001,MATCH(ROWS($U$2:U267),$U$2:$U$1001,0),1)&gt;=100000,INDEX($AB$1005:$AQ$1005,1,MATCH(COLUMNS($AB$1006:AD1006),$AB$1006:$AQ$1006,0))&gt;=100000), " ",IF(INDEX($AB$2:$AQ$1001,MATCH(ROWS($U$2:U267),$U$2:$U$1001,0),MATCH(COLUMNS($AB$1006:AD1006),$AB$1006:$AQ$1006,0)), HYPERLINK("#",""), HYPERLINK(CONCATENATE("#Metadata!", ADDRESS(INDEX($W$2:$W$1001,MATCH(ROWS($U$2:U267),$U$2:$U$1001,0),0), INDEX($AB$1004:$AQ$1004,1,MATCH(COLUMNS($AB$1006:AD1006),$AB$1006:$AQ$1006,0)))),"Fix")))</f>
        <v>0</v>
      </c>
      <c r="E267" s="5">
        <f>IF(OR(INDEX($V$2:$V$1001,MATCH(ROWS($U$2:U267),$U$2:$U$1001,0),1)&gt;=100000,INDEX($AB$1005:$AQ$1005,1,MATCH(COLUMNS($AB$1006:AE1006),$AB$1006:$AQ$1006,0))&gt;=100000), " ",IF(INDEX($AB$2:$AQ$1001,MATCH(ROWS($U$2:U267),$U$2:$U$1001,0),MATCH(COLUMNS($AB$1006:AE1006),$AB$1006:$AQ$1006,0)), HYPERLINK("#",""), HYPERLINK(CONCATENATE("#Metadata!", ADDRESS(INDEX($W$2:$W$1001,MATCH(ROWS($U$2:U267),$U$2:$U$1001,0),0), INDEX($AB$1004:$AQ$1004,1,MATCH(COLUMNS($AB$1006:AE1006),$AB$1006:$AQ$1006,0)))),"Fix")))</f>
        <v>0</v>
      </c>
      <c r="F267" s="5">
        <f>IF(OR(INDEX($V$2:$V$1001,MATCH(ROWS($U$2:U267),$U$2:$U$1001,0),1)&gt;=100000,INDEX($AB$1005:$AQ$1005,1,MATCH(COLUMNS($AB$1006:AF1006),$AB$1006:$AQ$1006,0))&gt;=100000), " ",IF(INDEX($AB$2:$AQ$1001,MATCH(ROWS($U$2:U267),$U$2:$U$1001,0),MATCH(COLUMNS($AB$1006:AF1006),$AB$1006:$AQ$1006,0)), HYPERLINK("#",""), HYPERLINK(CONCATENATE("#Metadata!", ADDRESS(INDEX($W$2:$W$1001,MATCH(ROWS($U$2:U267),$U$2:$U$1001,0),0), INDEX($AB$1004:$AQ$1004,1,MATCH(COLUMNS($AB$1006:AF1006),$AB$1006:$AQ$1006,0)))),"Fix")))</f>
        <v>0</v>
      </c>
      <c r="G267" s="5">
        <f>IF(OR(INDEX($V$2:$V$1001,MATCH(ROWS($U$2:U267),$U$2:$U$1001,0),1)&gt;=100000,INDEX($AB$1005:$AQ$1005,1,MATCH(COLUMNS($AB$1006:AG1006),$AB$1006:$AQ$1006,0))&gt;=100000), " ",IF(INDEX($AB$2:$AQ$1001,MATCH(ROWS($U$2:U267),$U$2:$U$1001,0),MATCH(COLUMNS($AB$1006:AG1006),$AB$1006:$AQ$1006,0)), HYPERLINK("#",""), HYPERLINK(CONCATENATE("#Metadata!", ADDRESS(INDEX($W$2:$W$1001,MATCH(ROWS($U$2:U267),$U$2:$U$1001,0),0), INDEX($AB$1004:$AQ$1004,1,MATCH(COLUMNS($AB$1006:AG1006),$AB$1006:$AQ$1006,0)))),"Fix")))</f>
        <v>0</v>
      </c>
      <c r="H267" s="5">
        <f>IF(OR(INDEX($V$2:$V$1001,MATCH(ROWS($U$2:U267),$U$2:$U$1001,0),1)&gt;=100000,INDEX($AB$1005:$AQ$1005,1,MATCH(COLUMNS($AB$1006:AH1006),$AB$1006:$AQ$1006,0))&gt;=100000), " ",IF(INDEX($AB$2:$AQ$1001,MATCH(ROWS($U$2:U267),$U$2:$U$1001,0),MATCH(COLUMNS($AB$1006:AH1006),$AB$1006:$AQ$1006,0)), HYPERLINK("#",""), HYPERLINK(CONCATENATE("#Metadata!", ADDRESS(INDEX($W$2:$W$1001,MATCH(ROWS($U$2:U267),$U$2:$U$1001,0),0), INDEX($AB$1004:$AQ$1004,1,MATCH(COLUMNS($AB$1006:AH1006),$AB$1006:$AQ$1006,0)))),"Fix")))</f>
        <v>0</v>
      </c>
      <c r="I267" s="5">
        <f>IF(OR(INDEX($V$2:$V$1001,MATCH(ROWS($U$2:U267),$U$2:$U$1001,0),1)&gt;=100000,INDEX($AB$1005:$AQ$1005,1,MATCH(COLUMNS($AB$1006:AI1006),$AB$1006:$AQ$1006,0))&gt;=100000), " ",IF(INDEX($AB$2:$AQ$1001,MATCH(ROWS($U$2:U267),$U$2:$U$1001,0),MATCH(COLUMNS($AB$1006:AI1006),$AB$1006:$AQ$1006,0)), HYPERLINK("#",""), HYPERLINK(CONCATENATE("#Metadata!", ADDRESS(INDEX($W$2:$W$1001,MATCH(ROWS($U$2:U267),$U$2:$U$1001,0),0), INDEX($AB$1004:$AQ$1004,1,MATCH(COLUMNS($AB$1006:AI1006),$AB$1006:$AQ$1006,0)))),"Fix")))</f>
        <v>0</v>
      </c>
      <c r="J267" s="5">
        <f>IF(OR(INDEX($V$2:$V$1001,MATCH(ROWS($U$2:U267),$U$2:$U$1001,0),1)&gt;=100000,INDEX($AB$1005:$AQ$1005,1,MATCH(COLUMNS($AB$1006:AJ1006),$AB$1006:$AQ$1006,0))&gt;=100000), " ",IF(INDEX($AB$2:$AQ$1001,MATCH(ROWS($U$2:U267),$U$2:$U$1001,0),MATCH(COLUMNS($AB$1006:AJ1006),$AB$1006:$AQ$1006,0)), HYPERLINK("#",""), HYPERLINK(CONCATENATE("#Metadata!", ADDRESS(INDEX($W$2:$W$1001,MATCH(ROWS($U$2:U267),$U$2:$U$1001,0),0), INDEX($AB$1004:$AQ$1004,1,MATCH(COLUMNS($AB$1006:AJ1006),$AB$1006:$AQ$1006,0)))),"Fix")))</f>
        <v>0</v>
      </c>
      <c r="K267" s="5">
        <f>IF(OR(INDEX($V$2:$V$1001,MATCH(ROWS($U$2:U267),$U$2:$U$1001,0),1)&gt;=100000,INDEX($AB$1005:$AQ$1005,1,MATCH(COLUMNS($AB$1006:AK1006),$AB$1006:$AQ$1006,0))&gt;=100000), " ",IF(INDEX($AB$2:$AQ$1001,MATCH(ROWS($U$2:U267),$U$2:$U$1001,0),MATCH(COLUMNS($AB$1006:AK1006),$AB$1006:$AQ$1006,0)), HYPERLINK("#",""), HYPERLINK(CONCATENATE("#Metadata!", ADDRESS(INDEX($W$2:$W$1001,MATCH(ROWS($U$2:U267),$U$2:$U$1001,0),0), INDEX($AB$1004:$AQ$1004,1,MATCH(COLUMNS($AB$1006:AK1006),$AB$1006:$AQ$1006,0)))),"Fix")))</f>
        <v>0</v>
      </c>
      <c r="L267" s="5">
        <f>IF(OR(INDEX($V$2:$V$1001,MATCH(ROWS($U$2:U267),$U$2:$U$1001,0),1)&gt;=100000,INDEX($AB$1005:$AQ$1005,1,MATCH(COLUMNS($AB$1006:AL1006),$AB$1006:$AQ$1006,0))&gt;=100000), " ",IF(INDEX($AB$2:$AQ$1001,MATCH(ROWS($U$2:U267),$U$2:$U$1001,0),MATCH(COLUMNS($AB$1006:AL1006),$AB$1006:$AQ$1006,0)), HYPERLINK("#",""), HYPERLINK(CONCATENATE("#Metadata!", ADDRESS(INDEX($W$2:$W$1001,MATCH(ROWS($U$2:U267),$U$2:$U$1001,0),0), INDEX($AB$1004:$AQ$1004,1,MATCH(COLUMNS($AB$1006:AL1006),$AB$1006:$AQ$1006,0)))),"Fix")))</f>
        <v>0</v>
      </c>
      <c r="M267" s="5">
        <f>IF(OR(INDEX($V$2:$V$1001,MATCH(ROWS($U$2:U267),$U$2:$U$1001,0),1)&gt;=100000,INDEX($AB$1005:$AQ$1005,1,MATCH(COLUMNS($AB$1006:AM1006),$AB$1006:$AQ$1006,0))&gt;=100000), " ",IF(INDEX($AB$2:$AQ$1001,MATCH(ROWS($U$2:U267),$U$2:$U$1001,0),MATCH(COLUMNS($AB$1006:AM1006),$AB$1006:$AQ$1006,0)), HYPERLINK("#",""), HYPERLINK(CONCATENATE("#Metadata!", ADDRESS(INDEX($W$2:$W$1001,MATCH(ROWS($U$2:U267),$U$2:$U$1001,0),0), INDEX($AB$1004:$AQ$1004,1,MATCH(COLUMNS($AB$1006:AM1006),$AB$1006:$AQ$1006,0)))),"Fix")))</f>
        <v>0</v>
      </c>
      <c r="N267" s="5">
        <f>IF(OR(INDEX($V$2:$V$1001,MATCH(ROWS($U$2:U267),$U$2:$U$1001,0),1)&gt;=100000,INDEX($AB$1005:$AQ$1005,1,MATCH(COLUMNS($AB$1006:AN1006),$AB$1006:$AQ$1006,0))&gt;=100000), " ",IF(INDEX($AB$2:$AQ$1001,MATCH(ROWS($U$2:U267),$U$2:$U$1001,0),MATCH(COLUMNS($AB$1006:AN1006),$AB$1006:$AQ$1006,0)), HYPERLINK("#",""), HYPERLINK(CONCATENATE("#Metadata!", ADDRESS(INDEX($W$2:$W$1001,MATCH(ROWS($U$2:U267),$U$2:$U$1001,0),0), INDEX($AB$1004:$AQ$1004,1,MATCH(COLUMNS($AB$1006:AN1006),$AB$1006:$AQ$1006,0)))),"Fix")))</f>
        <v>0</v>
      </c>
      <c r="O267" s="5">
        <f>IF(OR(INDEX($V$2:$V$1001,MATCH(ROWS($U$2:U267),$U$2:$U$1001,0),1)&gt;=100000,INDEX($AB$1005:$AQ$1005,1,MATCH(COLUMNS($AB$1006:AO1006),$AB$1006:$AQ$1006,0))&gt;=100000), " ",IF(INDEX($AB$2:$AQ$1001,MATCH(ROWS($U$2:U267),$U$2:$U$1001,0),MATCH(COLUMNS($AB$1006:AO1006),$AB$1006:$AQ$1006,0)), HYPERLINK("#",""), HYPERLINK(CONCATENATE("#Metadata!", ADDRESS(INDEX($W$2:$W$1001,MATCH(ROWS($U$2:U267),$U$2:$U$1001,0),0), INDEX($AB$1004:$AQ$1004,1,MATCH(COLUMNS($AB$1006:AO1006),$AB$1006:$AQ$1006,0)))),"Fix")))</f>
        <v>0</v>
      </c>
      <c r="P267" s="5">
        <f>IF(OR(INDEX($V$2:$V$1001,MATCH(ROWS($U$2:U267),$U$2:$U$1001,0),1)&gt;=100000,INDEX($AB$1005:$AQ$1005,1,MATCH(COLUMNS($AB$1006:AP1006),$AB$1006:$AQ$1006,0))&gt;=100000), " ",IF(INDEX($AB$2:$AQ$1001,MATCH(ROWS($U$2:U267),$U$2:$U$1001,0),MATCH(COLUMNS($AB$1006:AP1006),$AB$1006:$AQ$1006,0)), HYPERLINK("#",""), HYPERLINK(CONCATENATE("#Metadata!", ADDRESS(INDEX($W$2:$W$1001,MATCH(ROWS($U$2:U267),$U$2:$U$1001,0),0), INDEX($AB$1004:$AQ$1004,1,MATCH(COLUMNS($AB$1006:AP1006),$AB$1006:$AQ$1006,0)))),"Fix")))</f>
        <v>0</v>
      </c>
      <c r="Q267" s="5">
        <f>IF(OR(INDEX($V$2:$V$1001,MATCH(ROWS($U$2:U267),$U$2:$U$1001,0),1)&gt;=100000,INDEX($AB$1005:$AQ$1005,1,MATCH(COLUMNS($AB$1006:AQ1006),$AB$1006:$AQ$1006,0))&gt;=100000), " ",IF(INDEX($AB$2:$AQ$1001,MATCH(ROWS($U$2:U267),$U$2:$U$1001,0),MATCH(COLUMNS($AB$1006:AQ1006),$AB$1006:$AQ$1006,0)), HYPERLINK("#",""), HYPERLINK(CONCATENATE("#Metadata!", ADDRESS(INDEX($W$2:$W$1001,MATCH(ROWS($U$2:U267),$U$2:$U$1001,0),0), INDEX($AB$1004:$AQ$1004,1,MATCH(COLUMNS($AB$1006:AQ1006),$AB$1006:$AQ$1006,0)))),"Fix")))</f>
        <v>0</v>
      </c>
      <c r="U267">
        <v>0</v>
      </c>
      <c r="V267">
        <v>0</v>
      </c>
      <c r="W267">
        <v>0</v>
      </c>
      <c r="X267">
        <f>IF(Y267,TRUE,AND(AB267:AQ267))</f>
        <v>0</v>
      </c>
      <c r="Y267">
        <f>COUNTBLANK(Metadata!B267:Q267)=COLUMNS(Metadata!B267:Q267)</f>
        <v>0</v>
      </c>
      <c r="Z267">
        <v>0</v>
      </c>
      <c r="AB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AC267">
        <f>AND(IF(Metadata!C267="",FALSE,TRUE),exact(Metadata!C267,"urban biome"))</f>
        <v>0</v>
      </c>
      <c r="AD267">
        <f>AND(IF(Metadata!D267="",FALSE,TRUE),exact(Metadata!D267,"human-associated habitat"))</f>
        <v>0</v>
      </c>
      <c r="AE267">
        <f>AND(IF(Metadata!E267="",FALSE,TRUE),OR(exact(Metadata!E267,"human-associated"),exact(Metadata!E267,"human-skin"),exact(Metadata!E267,"human-oral"),exact(Metadata!E267,"human-gut"),exact(Metadata!E267,"human-vaginal")))</f>
        <v>0</v>
      </c>
      <c r="AF267">
        <f>AND(IF(Metadata!F267="",FALSE,ISNUMBER(VALUE(Metadata!F267))),Metadata!F267&gt;0)</f>
        <v>0</v>
      </c>
      <c r="AG267">
        <f>AND(IF(Metadata!G267="",FALSE,TRUE),exact(Metadata!G267,"years"))</f>
        <v>0</v>
      </c>
      <c r="AH267">
        <f>OR(AND(IF(Metadata!H267="",FALSE,TRUE),OR(exact(Metadata!H267,"not applicable"),exact(Metadata!H267,"not collected"),exact(Metadata!H267,"not provided"),exact(Metadata!H267,"restricted access"))),AND(IF(Metadata!H267="",FALSE,ISNUMBER(VALUE(Metadata!H267))),Metadata!H267&gt;0))</f>
        <v>0</v>
      </c>
      <c r="AI267">
        <f>AND(IF(Metadata!I267="",FALSE,TRUE),exact(Metadata!I267,"human"))</f>
        <v>0</v>
      </c>
      <c r="AJ267">
        <f>AND(IF(Metadata!J267="",FALSE,ISNUMBER(VALUE(Metadata!J267))),Metadata!J267&gt;0)</f>
        <v>0</v>
      </c>
      <c r="AK267">
        <f>AND(IF(Metadata!K267="",FALSE,TRUE),exact(Metadata!K267,"cm"))</f>
        <v>0</v>
      </c>
      <c r="AL267">
        <f>AND(IF(Metadata!L267="",FALSE,TRUE),exact(Metadata!L267,"Homo sapiens"))</f>
        <v>0</v>
      </c>
      <c r="AM267">
        <f>AND(IF(Metadata!M267="",FALSE,TRUE),exact(Metadata!M267,"9606"))</f>
        <v>0</v>
      </c>
      <c r="AN267">
        <f>AND(IF(Metadata!N267="",FALSE,ISNUMBER(VALUE(Metadata!N267))),Metadata!N267&gt;0)</f>
        <v>0</v>
      </c>
      <c r="AO267">
        <f>AND(IF(Metadata!O267="",FALSE,TRUE),exact(Metadata!O267,"kg"))</f>
        <v>0</v>
      </c>
      <c r="AP267">
        <f>OR(AND(IF(Metadata!P267="",FALSE,TRUE),exact(Metadata!P267,"not provided")),IF(Metadata!P267="",FALSE,TRUE))</f>
        <v>0</v>
      </c>
      <c r="AQ267">
        <f>OR(AND(IF(Metadata!Q267="",FALSE,TRUE),exact(Metadata!Q267,"not provided")),IF(Metadata!Q267="",FALSE,TRUE))</f>
        <v>0</v>
      </c>
    </row>
    <row r="268" spans="1:43">
      <c r="A268" s="4">
        <f>IF(B268=" "," ",HYPERLINK(CONCATENATE("#metadata!",ADDRESS(INDEX($W$2:$W$1001,MATCH(ROWS($U$2:U268),$U$2:$U$1001,0),0),2)),INDEX($Z$2:$Z$1001,MATCH(ROWS($U$2:U268),$U$2:$U$1001,0),0)))</f>
        <v>0</v>
      </c>
      <c r="B268" s="5">
        <f>IF(OR(INDEX($V$2:$V$1001,MATCH(ROWS($U$2:U268),$U$2:$U$1001,0),1)&gt;=100000,INDEX($AB$1005:$AQ$1005,1,MATCH(COLUMNS($AB$1006:AB1006),$AB$1006:$AQ$1006,0))&gt;=100000), " ",IF(INDEX($AB$2:$AQ$1001,MATCH(ROWS($U$2:U268),$U$2:$U$1001,0),MATCH(COLUMNS($AB$1006:AB1006),$AB$1006:$AQ$1006,0)), HYPERLINK("#",""), HYPERLINK(CONCATENATE("#Metadata!", ADDRESS(INDEX($W$2:$W$1001,MATCH(ROWS($U$2:U268),$U$2:$U$1001,0),0), INDEX($AB$1004:$AQ$1004,1,MATCH(COLUMNS($AB$1006:AB1006),$AB$1006:$AQ$1006,0)))),"Fix")))</f>
        <v>0</v>
      </c>
      <c r="C268" s="5">
        <f>IF(OR(INDEX($V$2:$V$1001,MATCH(ROWS($U$2:U268),$U$2:$U$1001,0),1)&gt;=100000,INDEX($AB$1005:$AQ$1005,1,MATCH(COLUMNS($AB$1006:AC1006),$AB$1006:$AQ$1006,0))&gt;=100000), " ",IF(INDEX($AB$2:$AQ$1001,MATCH(ROWS($U$2:U268),$U$2:$U$1001,0),MATCH(COLUMNS($AB$1006:AC1006),$AB$1006:$AQ$1006,0)), HYPERLINK("#",""), HYPERLINK(CONCATENATE("#Metadata!", ADDRESS(INDEX($W$2:$W$1001,MATCH(ROWS($U$2:U268),$U$2:$U$1001,0),0), INDEX($AB$1004:$AQ$1004,1,MATCH(COLUMNS($AB$1006:AC1006),$AB$1006:$AQ$1006,0)))),"Fix")))</f>
        <v>0</v>
      </c>
      <c r="D268" s="5">
        <f>IF(OR(INDEX($V$2:$V$1001,MATCH(ROWS($U$2:U268),$U$2:$U$1001,0),1)&gt;=100000,INDEX($AB$1005:$AQ$1005,1,MATCH(COLUMNS($AB$1006:AD1006),$AB$1006:$AQ$1006,0))&gt;=100000), " ",IF(INDEX($AB$2:$AQ$1001,MATCH(ROWS($U$2:U268),$U$2:$U$1001,0),MATCH(COLUMNS($AB$1006:AD1006),$AB$1006:$AQ$1006,0)), HYPERLINK("#",""), HYPERLINK(CONCATENATE("#Metadata!", ADDRESS(INDEX($W$2:$W$1001,MATCH(ROWS($U$2:U268),$U$2:$U$1001,0),0), INDEX($AB$1004:$AQ$1004,1,MATCH(COLUMNS($AB$1006:AD1006),$AB$1006:$AQ$1006,0)))),"Fix")))</f>
        <v>0</v>
      </c>
      <c r="E268" s="5">
        <f>IF(OR(INDEX($V$2:$V$1001,MATCH(ROWS($U$2:U268),$U$2:$U$1001,0),1)&gt;=100000,INDEX($AB$1005:$AQ$1005,1,MATCH(COLUMNS($AB$1006:AE1006),$AB$1006:$AQ$1006,0))&gt;=100000), " ",IF(INDEX($AB$2:$AQ$1001,MATCH(ROWS($U$2:U268),$U$2:$U$1001,0),MATCH(COLUMNS($AB$1006:AE1006),$AB$1006:$AQ$1006,0)), HYPERLINK("#",""), HYPERLINK(CONCATENATE("#Metadata!", ADDRESS(INDEX($W$2:$W$1001,MATCH(ROWS($U$2:U268),$U$2:$U$1001,0),0), INDEX($AB$1004:$AQ$1004,1,MATCH(COLUMNS($AB$1006:AE1006),$AB$1006:$AQ$1006,0)))),"Fix")))</f>
        <v>0</v>
      </c>
      <c r="F268" s="5">
        <f>IF(OR(INDEX($V$2:$V$1001,MATCH(ROWS($U$2:U268),$U$2:$U$1001,0),1)&gt;=100000,INDEX($AB$1005:$AQ$1005,1,MATCH(COLUMNS($AB$1006:AF1006),$AB$1006:$AQ$1006,0))&gt;=100000), " ",IF(INDEX($AB$2:$AQ$1001,MATCH(ROWS($U$2:U268),$U$2:$U$1001,0),MATCH(COLUMNS($AB$1006:AF1006),$AB$1006:$AQ$1006,0)), HYPERLINK("#",""), HYPERLINK(CONCATENATE("#Metadata!", ADDRESS(INDEX($W$2:$W$1001,MATCH(ROWS($U$2:U268),$U$2:$U$1001,0),0), INDEX($AB$1004:$AQ$1004,1,MATCH(COLUMNS($AB$1006:AF1006),$AB$1006:$AQ$1006,0)))),"Fix")))</f>
        <v>0</v>
      </c>
      <c r="G268" s="5">
        <f>IF(OR(INDEX($V$2:$V$1001,MATCH(ROWS($U$2:U268),$U$2:$U$1001,0),1)&gt;=100000,INDEX($AB$1005:$AQ$1005,1,MATCH(COLUMNS($AB$1006:AG1006),$AB$1006:$AQ$1006,0))&gt;=100000), " ",IF(INDEX($AB$2:$AQ$1001,MATCH(ROWS($U$2:U268),$U$2:$U$1001,0),MATCH(COLUMNS($AB$1006:AG1006),$AB$1006:$AQ$1006,0)), HYPERLINK("#",""), HYPERLINK(CONCATENATE("#Metadata!", ADDRESS(INDEX($W$2:$W$1001,MATCH(ROWS($U$2:U268),$U$2:$U$1001,0),0), INDEX($AB$1004:$AQ$1004,1,MATCH(COLUMNS($AB$1006:AG1006),$AB$1006:$AQ$1006,0)))),"Fix")))</f>
        <v>0</v>
      </c>
      <c r="H268" s="5">
        <f>IF(OR(INDEX($V$2:$V$1001,MATCH(ROWS($U$2:U268),$U$2:$U$1001,0),1)&gt;=100000,INDEX($AB$1005:$AQ$1005,1,MATCH(COLUMNS($AB$1006:AH1006),$AB$1006:$AQ$1006,0))&gt;=100000), " ",IF(INDEX($AB$2:$AQ$1001,MATCH(ROWS($U$2:U268),$U$2:$U$1001,0),MATCH(COLUMNS($AB$1006:AH1006),$AB$1006:$AQ$1006,0)), HYPERLINK("#",""), HYPERLINK(CONCATENATE("#Metadata!", ADDRESS(INDEX($W$2:$W$1001,MATCH(ROWS($U$2:U268),$U$2:$U$1001,0),0), INDEX($AB$1004:$AQ$1004,1,MATCH(COLUMNS($AB$1006:AH1006),$AB$1006:$AQ$1006,0)))),"Fix")))</f>
        <v>0</v>
      </c>
      <c r="I268" s="5">
        <f>IF(OR(INDEX($V$2:$V$1001,MATCH(ROWS($U$2:U268),$U$2:$U$1001,0),1)&gt;=100000,INDEX($AB$1005:$AQ$1005,1,MATCH(COLUMNS($AB$1006:AI1006),$AB$1006:$AQ$1006,0))&gt;=100000), " ",IF(INDEX($AB$2:$AQ$1001,MATCH(ROWS($U$2:U268),$U$2:$U$1001,0),MATCH(COLUMNS($AB$1006:AI1006),$AB$1006:$AQ$1006,0)), HYPERLINK("#",""), HYPERLINK(CONCATENATE("#Metadata!", ADDRESS(INDEX($W$2:$W$1001,MATCH(ROWS($U$2:U268),$U$2:$U$1001,0),0), INDEX($AB$1004:$AQ$1004,1,MATCH(COLUMNS($AB$1006:AI1006),$AB$1006:$AQ$1006,0)))),"Fix")))</f>
        <v>0</v>
      </c>
      <c r="J268" s="5">
        <f>IF(OR(INDEX($V$2:$V$1001,MATCH(ROWS($U$2:U268),$U$2:$U$1001,0),1)&gt;=100000,INDEX($AB$1005:$AQ$1005,1,MATCH(COLUMNS($AB$1006:AJ1006),$AB$1006:$AQ$1006,0))&gt;=100000), " ",IF(INDEX($AB$2:$AQ$1001,MATCH(ROWS($U$2:U268),$U$2:$U$1001,0),MATCH(COLUMNS($AB$1006:AJ1006),$AB$1006:$AQ$1006,0)), HYPERLINK("#",""), HYPERLINK(CONCATENATE("#Metadata!", ADDRESS(INDEX($W$2:$W$1001,MATCH(ROWS($U$2:U268),$U$2:$U$1001,0),0), INDEX($AB$1004:$AQ$1004,1,MATCH(COLUMNS($AB$1006:AJ1006),$AB$1006:$AQ$1006,0)))),"Fix")))</f>
        <v>0</v>
      </c>
      <c r="K268" s="5">
        <f>IF(OR(INDEX($V$2:$V$1001,MATCH(ROWS($U$2:U268),$U$2:$U$1001,0),1)&gt;=100000,INDEX($AB$1005:$AQ$1005,1,MATCH(COLUMNS($AB$1006:AK1006),$AB$1006:$AQ$1006,0))&gt;=100000), " ",IF(INDEX($AB$2:$AQ$1001,MATCH(ROWS($U$2:U268),$U$2:$U$1001,0),MATCH(COLUMNS($AB$1006:AK1006),$AB$1006:$AQ$1006,0)), HYPERLINK("#",""), HYPERLINK(CONCATENATE("#Metadata!", ADDRESS(INDEX($W$2:$W$1001,MATCH(ROWS($U$2:U268),$U$2:$U$1001,0),0), INDEX($AB$1004:$AQ$1004,1,MATCH(COLUMNS($AB$1006:AK1006),$AB$1006:$AQ$1006,0)))),"Fix")))</f>
        <v>0</v>
      </c>
      <c r="L268" s="5">
        <f>IF(OR(INDEX($V$2:$V$1001,MATCH(ROWS($U$2:U268),$U$2:$U$1001,0),1)&gt;=100000,INDEX($AB$1005:$AQ$1005,1,MATCH(COLUMNS($AB$1006:AL1006),$AB$1006:$AQ$1006,0))&gt;=100000), " ",IF(INDEX($AB$2:$AQ$1001,MATCH(ROWS($U$2:U268),$U$2:$U$1001,0),MATCH(COLUMNS($AB$1006:AL1006),$AB$1006:$AQ$1006,0)), HYPERLINK("#",""), HYPERLINK(CONCATENATE("#Metadata!", ADDRESS(INDEX($W$2:$W$1001,MATCH(ROWS($U$2:U268),$U$2:$U$1001,0),0), INDEX($AB$1004:$AQ$1004,1,MATCH(COLUMNS($AB$1006:AL1006),$AB$1006:$AQ$1006,0)))),"Fix")))</f>
        <v>0</v>
      </c>
      <c r="M268" s="5">
        <f>IF(OR(INDEX($V$2:$V$1001,MATCH(ROWS($U$2:U268),$U$2:$U$1001,0),1)&gt;=100000,INDEX($AB$1005:$AQ$1005,1,MATCH(COLUMNS($AB$1006:AM1006),$AB$1006:$AQ$1006,0))&gt;=100000), " ",IF(INDEX($AB$2:$AQ$1001,MATCH(ROWS($U$2:U268),$U$2:$U$1001,0),MATCH(COLUMNS($AB$1006:AM1006),$AB$1006:$AQ$1006,0)), HYPERLINK("#",""), HYPERLINK(CONCATENATE("#Metadata!", ADDRESS(INDEX($W$2:$W$1001,MATCH(ROWS($U$2:U268),$U$2:$U$1001,0),0), INDEX($AB$1004:$AQ$1004,1,MATCH(COLUMNS($AB$1006:AM1006),$AB$1006:$AQ$1006,0)))),"Fix")))</f>
        <v>0</v>
      </c>
      <c r="N268" s="5">
        <f>IF(OR(INDEX($V$2:$V$1001,MATCH(ROWS($U$2:U268),$U$2:$U$1001,0),1)&gt;=100000,INDEX($AB$1005:$AQ$1005,1,MATCH(COLUMNS($AB$1006:AN1006),$AB$1006:$AQ$1006,0))&gt;=100000), " ",IF(INDEX($AB$2:$AQ$1001,MATCH(ROWS($U$2:U268),$U$2:$U$1001,0),MATCH(COLUMNS($AB$1006:AN1006),$AB$1006:$AQ$1006,0)), HYPERLINK("#",""), HYPERLINK(CONCATENATE("#Metadata!", ADDRESS(INDEX($W$2:$W$1001,MATCH(ROWS($U$2:U268),$U$2:$U$1001,0),0), INDEX($AB$1004:$AQ$1004,1,MATCH(COLUMNS($AB$1006:AN1006),$AB$1006:$AQ$1006,0)))),"Fix")))</f>
        <v>0</v>
      </c>
      <c r="O268" s="5">
        <f>IF(OR(INDEX($V$2:$V$1001,MATCH(ROWS($U$2:U268),$U$2:$U$1001,0),1)&gt;=100000,INDEX($AB$1005:$AQ$1005,1,MATCH(COLUMNS($AB$1006:AO1006),$AB$1006:$AQ$1006,0))&gt;=100000), " ",IF(INDEX($AB$2:$AQ$1001,MATCH(ROWS($U$2:U268),$U$2:$U$1001,0),MATCH(COLUMNS($AB$1006:AO1006),$AB$1006:$AQ$1006,0)), HYPERLINK("#",""), HYPERLINK(CONCATENATE("#Metadata!", ADDRESS(INDEX($W$2:$W$1001,MATCH(ROWS($U$2:U268),$U$2:$U$1001,0),0), INDEX($AB$1004:$AQ$1004,1,MATCH(COLUMNS($AB$1006:AO1006),$AB$1006:$AQ$1006,0)))),"Fix")))</f>
        <v>0</v>
      </c>
      <c r="P268" s="5">
        <f>IF(OR(INDEX($V$2:$V$1001,MATCH(ROWS($U$2:U268),$U$2:$U$1001,0),1)&gt;=100000,INDEX($AB$1005:$AQ$1005,1,MATCH(COLUMNS($AB$1006:AP1006),$AB$1006:$AQ$1006,0))&gt;=100000), " ",IF(INDEX($AB$2:$AQ$1001,MATCH(ROWS($U$2:U268),$U$2:$U$1001,0),MATCH(COLUMNS($AB$1006:AP1006),$AB$1006:$AQ$1006,0)), HYPERLINK("#",""), HYPERLINK(CONCATENATE("#Metadata!", ADDRESS(INDEX($W$2:$W$1001,MATCH(ROWS($U$2:U268),$U$2:$U$1001,0),0), INDEX($AB$1004:$AQ$1004,1,MATCH(COLUMNS($AB$1006:AP1006),$AB$1006:$AQ$1006,0)))),"Fix")))</f>
        <v>0</v>
      </c>
      <c r="Q268" s="5">
        <f>IF(OR(INDEX($V$2:$V$1001,MATCH(ROWS($U$2:U268),$U$2:$U$1001,0),1)&gt;=100000,INDEX($AB$1005:$AQ$1005,1,MATCH(COLUMNS($AB$1006:AQ1006),$AB$1006:$AQ$1006,0))&gt;=100000), " ",IF(INDEX($AB$2:$AQ$1001,MATCH(ROWS($U$2:U268),$U$2:$U$1001,0),MATCH(COLUMNS($AB$1006:AQ1006),$AB$1006:$AQ$1006,0)), HYPERLINK("#",""), HYPERLINK(CONCATENATE("#Metadata!", ADDRESS(INDEX($W$2:$W$1001,MATCH(ROWS($U$2:U268),$U$2:$U$1001,0),0), INDEX($AB$1004:$AQ$1004,1,MATCH(COLUMNS($AB$1006:AQ1006),$AB$1006:$AQ$1006,0)))),"Fix")))</f>
        <v>0</v>
      </c>
      <c r="U268">
        <v>0</v>
      </c>
      <c r="V268">
        <v>0</v>
      </c>
      <c r="W268">
        <v>0</v>
      </c>
      <c r="X268">
        <f>IF(Y268,TRUE,AND(AB268:AQ268))</f>
        <v>0</v>
      </c>
      <c r="Y268">
        <f>COUNTBLANK(Metadata!B268:Q268)=COLUMNS(Metadata!B268:Q268)</f>
        <v>0</v>
      </c>
      <c r="Z268">
        <v>0</v>
      </c>
      <c r="AB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AC268">
        <f>AND(IF(Metadata!C268="",FALSE,TRUE),exact(Metadata!C268,"urban biome"))</f>
        <v>0</v>
      </c>
      <c r="AD268">
        <f>AND(IF(Metadata!D268="",FALSE,TRUE),exact(Metadata!D268,"human-associated habitat"))</f>
        <v>0</v>
      </c>
      <c r="AE268">
        <f>AND(IF(Metadata!E268="",FALSE,TRUE),OR(exact(Metadata!E268,"human-associated"),exact(Metadata!E268,"human-skin"),exact(Metadata!E268,"human-oral"),exact(Metadata!E268,"human-gut"),exact(Metadata!E268,"human-vaginal")))</f>
        <v>0</v>
      </c>
      <c r="AF268">
        <f>AND(IF(Metadata!F268="",FALSE,ISNUMBER(VALUE(Metadata!F268))),Metadata!F268&gt;0)</f>
        <v>0</v>
      </c>
      <c r="AG268">
        <f>AND(IF(Metadata!G268="",FALSE,TRUE),exact(Metadata!G268,"years"))</f>
        <v>0</v>
      </c>
      <c r="AH268">
        <f>OR(AND(IF(Metadata!H268="",FALSE,TRUE),OR(exact(Metadata!H268,"not applicable"),exact(Metadata!H268,"not collected"),exact(Metadata!H268,"not provided"),exact(Metadata!H268,"restricted access"))),AND(IF(Metadata!H268="",FALSE,ISNUMBER(VALUE(Metadata!H268))),Metadata!H268&gt;0))</f>
        <v>0</v>
      </c>
      <c r="AI268">
        <f>AND(IF(Metadata!I268="",FALSE,TRUE),exact(Metadata!I268,"human"))</f>
        <v>0</v>
      </c>
      <c r="AJ268">
        <f>AND(IF(Metadata!J268="",FALSE,ISNUMBER(VALUE(Metadata!J268))),Metadata!J268&gt;0)</f>
        <v>0</v>
      </c>
      <c r="AK268">
        <f>AND(IF(Metadata!K268="",FALSE,TRUE),exact(Metadata!K268,"cm"))</f>
        <v>0</v>
      </c>
      <c r="AL268">
        <f>AND(IF(Metadata!L268="",FALSE,TRUE),exact(Metadata!L268,"Homo sapiens"))</f>
        <v>0</v>
      </c>
      <c r="AM268">
        <f>AND(IF(Metadata!M268="",FALSE,TRUE),exact(Metadata!M268,"9606"))</f>
        <v>0</v>
      </c>
      <c r="AN268">
        <f>AND(IF(Metadata!N268="",FALSE,ISNUMBER(VALUE(Metadata!N268))),Metadata!N268&gt;0)</f>
        <v>0</v>
      </c>
      <c r="AO268">
        <f>AND(IF(Metadata!O268="",FALSE,TRUE),exact(Metadata!O268,"kg"))</f>
        <v>0</v>
      </c>
      <c r="AP268">
        <f>OR(AND(IF(Metadata!P268="",FALSE,TRUE),exact(Metadata!P268,"not provided")),IF(Metadata!P268="",FALSE,TRUE))</f>
        <v>0</v>
      </c>
      <c r="AQ268">
        <f>OR(AND(IF(Metadata!Q268="",FALSE,TRUE),exact(Metadata!Q268,"not provided")),IF(Metadata!Q268="",FALSE,TRUE))</f>
        <v>0</v>
      </c>
    </row>
    <row r="269" spans="1:43">
      <c r="A269" s="4">
        <f>IF(B269=" "," ",HYPERLINK(CONCATENATE("#metadata!",ADDRESS(INDEX($W$2:$W$1001,MATCH(ROWS($U$2:U269),$U$2:$U$1001,0),0),2)),INDEX($Z$2:$Z$1001,MATCH(ROWS($U$2:U269),$U$2:$U$1001,0),0)))</f>
        <v>0</v>
      </c>
      <c r="B269" s="5">
        <f>IF(OR(INDEX($V$2:$V$1001,MATCH(ROWS($U$2:U269),$U$2:$U$1001,0),1)&gt;=100000,INDEX($AB$1005:$AQ$1005,1,MATCH(COLUMNS($AB$1006:AB1006),$AB$1006:$AQ$1006,0))&gt;=100000), " ",IF(INDEX($AB$2:$AQ$1001,MATCH(ROWS($U$2:U269),$U$2:$U$1001,0),MATCH(COLUMNS($AB$1006:AB1006),$AB$1006:$AQ$1006,0)), HYPERLINK("#",""), HYPERLINK(CONCATENATE("#Metadata!", ADDRESS(INDEX($W$2:$W$1001,MATCH(ROWS($U$2:U269),$U$2:$U$1001,0),0), INDEX($AB$1004:$AQ$1004,1,MATCH(COLUMNS($AB$1006:AB1006),$AB$1006:$AQ$1006,0)))),"Fix")))</f>
        <v>0</v>
      </c>
      <c r="C269" s="5">
        <f>IF(OR(INDEX($V$2:$V$1001,MATCH(ROWS($U$2:U269),$U$2:$U$1001,0),1)&gt;=100000,INDEX($AB$1005:$AQ$1005,1,MATCH(COLUMNS($AB$1006:AC1006),$AB$1006:$AQ$1006,0))&gt;=100000), " ",IF(INDEX($AB$2:$AQ$1001,MATCH(ROWS($U$2:U269),$U$2:$U$1001,0),MATCH(COLUMNS($AB$1006:AC1006),$AB$1006:$AQ$1006,0)), HYPERLINK("#",""), HYPERLINK(CONCATENATE("#Metadata!", ADDRESS(INDEX($W$2:$W$1001,MATCH(ROWS($U$2:U269),$U$2:$U$1001,0),0), INDEX($AB$1004:$AQ$1004,1,MATCH(COLUMNS($AB$1006:AC1006),$AB$1006:$AQ$1006,0)))),"Fix")))</f>
        <v>0</v>
      </c>
      <c r="D269" s="5">
        <f>IF(OR(INDEX($V$2:$V$1001,MATCH(ROWS($U$2:U269),$U$2:$U$1001,0),1)&gt;=100000,INDEX($AB$1005:$AQ$1005,1,MATCH(COLUMNS($AB$1006:AD1006),$AB$1006:$AQ$1006,0))&gt;=100000), " ",IF(INDEX($AB$2:$AQ$1001,MATCH(ROWS($U$2:U269),$U$2:$U$1001,0),MATCH(COLUMNS($AB$1006:AD1006),$AB$1006:$AQ$1006,0)), HYPERLINK("#",""), HYPERLINK(CONCATENATE("#Metadata!", ADDRESS(INDEX($W$2:$W$1001,MATCH(ROWS($U$2:U269),$U$2:$U$1001,0),0), INDEX($AB$1004:$AQ$1004,1,MATCH(COLUMNS($AB$1006:AD1006),$AB$1006:$AQ$1006,0)))),"Fix")))</f>
        <v>0</v>
      </c>
      <c r="E269" s="5">
        <f>IF(OR(INDEX($V$2:$V$1001,MATCH(ROWS($U$2:U269),$U$2:$U$1001,0),1)&gt;=100000,INDEX($AB$1005:$AQ$1005,1,MATCH(COLUMNS($AB$1006:AE1006),$AB$1006:$AQ$1006,0))&gt;=100000), " ",IF(INDEX($AB$2:$AQ$1001,MATCH(ROWS($U$2:U269),$U$2:$U$1001,0),MATCH(COLUMNS($AB$1006:AE1006),$AB$1006:$AQ$1006,0)), HYPERLINK("#",""), HYPERLINK(CONCATENATE("#Metadata!", ADDRESS(INDEX($W$2:$W$1001,MATCH(ROWS($U$2:U269),$U$2:$U$1001,0),0), INDEX($AB$1004:$AQ$1004,1,MATCH(COLUMNS($AB$1006:AE1006),$AB$1006:$AQ$1006,0)))),"Fix")))</f>
        <v>0</v>
      </c>
      <c r="F269" s="5">
        <f>IF(OR(INDEX($V$2:$V$1001,MATCH(ROWS($U$2:U269),$U$2:$U$1001,0),1)&gt;=100000,INDEX($AB$1005:$AQ$1005,1,MATCH(COLUMNS($AB$1006:AF1006),$AB$1006:$AQ$1006,0))&gt;=100000), " ",IF(INDEX($AB$2:$AQ$1001,MATCH(ROWS($U$2:U269),$U$2:$U$1001,0),MATCH(COLUMNS($AB$1006:AF1006),$AB$1006:$AQ$1006,0)), HYPERLINK("#",""), HYPERLINK(CONCATENATE("#Metadata!", ADDRESS(INDEX($W$2:$W$1001,MATCH(ROWS($U$2:U269),$U$2:$U$1001,0),0), INDEX($AB$1004:$AQ$1004,1,MATCH(COLUMNS($AB$1006:AF1006),$AB$1006:$AQ$1006,0)))),"Fix")))</f>
        <v>0</v>
      </c>
      <c r="G269" s="5">
        <f>IF(OR(INDEX($V$2:$V$1001,MATCH(ROWS($U$2:U269),$U$2:$U$1001,0),1)&gt;=100000,INDEX($AB$1005:$AQ$1005,1,MATCH(COLUMNS($AB$1006:AG1006),$AB$1006:$AQ$1006,0))&gt;=100000), " ",IF(INDEX($AB$2:$AQ$1001,MATCH(ROWS($U$2:U269),$U$2:$U$1001,0),MATCH(COLUMNS($AB$1006:AG1006),$AB$1006:$AQ$1006,0)), HYPERLINK("#",""), HYPERLINK(CONCATENATE("#Metadata!", ADDRESS(INDEX($W$2:$W$1001,MATCH(ROWS($U$2:U269),$U$2:$U$1001,0),0), INDEX($AB$1004:$AQ$1004,1,MATCH(COLUMNS($AB$1006:AG1006),$AB$1006:$AQ$1006,0)))),"Fix")))</f>
        <v>0</v>
      </c>
      <c r="H269" s="5">
        <f>IF(OR(INDEX($V$2:$V$1001,MATCH(ROWS($U$2:U269),$U$2:$U$1001,0),1)&gt;=100000,INDEX($AB$1005:$AQ$1005,1,MATCH(COLUMNS($AB$1006:AH1006),$AB$1006:$AQ$1006,0))&gt;=100000), " ",IF(INDEX($AB$2:$AQ$1001,MATCH(ROWS($U$2:U269),$U$2:$U$1001,0),MATCH(COLUMNS($AB$1006:AH1006),$AB$1006:$AQ$1006,0)), HYPERLINK("#",""), HYPERLINK(CONCATENATE("#Metadata!", ADDRESS(INDEX($W$2:$W$1001,MATCH(ROWS($U$2:U269),$U$2:$U$1001,0),0), INDEX($AB$1004:$AQ$1004,1,MATCH(COLUMNS($AB$1006:AH1006),$AB$1006:$AQ$1006,0)))),"Fix")))</f>
        <v>0</v>
      </c>
      <c r="I269" s="5">
        <f>IF(OR(INDEX($V$2:$V$1001,MATCH(ROWS($U$2:U269),$U$2:$U$1001,0),1)&gt;=100000,INDEX($AB$1005:$AQ$1005,1,MATCH(COLUMNS($AB$1006:AI1006),$AB$1006:$AQ$1006,0))&gt;=100000), " ",IF(INDEX($AB$2:$AQ$1001,MATCH(ROWS($U$2:U269),$U$2:$U$1001,0),MATCH(COLUMNS($AB$1006:AI1006),$AB$1006:$AQ$1006,0)), HYPERLINK("#",""), HYPERLINK(CONCATENATE("#Metadata!", ADDRESS(INDEX($W$2:$W$1001,MATCH(ROWS($U$2:U269),$U$2:$U$1001,0),0), INDEX($AB$1004:$AQ$1004,1,MATCH(COLUMNS($AB$1006:AI1006),$AB$1006:$AQ$1006,0)))),"Fix")))</f>
        <v>0</v>
      </c>
      <c r="J269" s="5">
        <f>IF(OR(INDEX($V$2:$V$1001,MATCH(ROWS($U$2:U269),$U$2:$U$1001,0),1)&gt;=100000,INDEX($AB$1005:$AQ$1005,1,MATCH(COLUMNS($AB$1006:AJ1006),$AB$1006:$AQ$1006,0))&gt;=100000), " ",IF(INDEX($AB$2:$AQ$1001,MATCH(ROWS($U$2:U269),$U$2:$U$1001,0),MATCH(COLUMNS($AB$1006:AJ1006),$AB$1006:$AQ$1006,0)), HYPERLINK("#",""), HYPERLINK(CONCATENATE("#Metadata!", ADDRESS(INDEX($W$2:$W$1001,MATCH(ROWS($U$2:U269),$U$2:$U$1001,0),0), INDEX($AB$1004:$AQ$1004,1,MATCH(COLUMNS($AB$1006:AJ1006),$AB$1006:$AQ$1006,0)))),"Fix")))</f>
        <v>0</v>
      </c>
      <c r="K269" s="5">
        <f>IF(OR(INDEX($V$2:$V$1001,MATCH(ROWS($U$2:U269),$U$2:$U$1001,0),1)&gt;=100000,INDEX($AB$1005:$AQ$1005,1,MATCH(COLUMNS($AB$1006:AK1006),$AB$1006:$AQ$1006,0))&gt;=100000), " ",IF(INDEX($AB$2:$AQ$1001,MATCH(ROWS($U$2:U269),$U$2:$U$1001,0),MATCH(COLUMNS($AB$1006:AK1006),$AB$1006:$AQ$1006,0)), HYPERLINK("#",""), HYPERLINK(CONCATENATE("#Metadata!", ADDRESS(INDEX($W$2:$W$1001,MATCH(ROWS($U$2:U269),$U$2:$U$1001,0),0), INDEX($AB$1004:$AQ$1004,1,MATCH(COLUMNS($AB$1006:AK1006),$AB$1006:$AQ$1006,0)))),"Fix")))</f>
        <v>0</v>
      </c>
      <c r="L269" s="5">
        <f>IF(OR(INDEX($V$2:$V$1001,MATCH(ROWS($U$2:U269),$U$2:$U$1001,0),1)&gt;=100000,INDEX($AB$1005:$AQ$1005,1,MATCH(COLUMNS($AB$1006:AL1006),$AB$1006:$AQ$1006,0))&gt;=100000), " ",IF(INDEX($AB$2:$AQ$1001,MATCH(ROWS($U$2:U269),$U$2:$U$1001,0),MATCH(COLUMNS($AB$1006:AL1006),$AB$1006:$AQ$1006,0)), HYPERLINK("#",""), HYPERLINK(CONCATENATE("#Metadata!", ADDRESS(INDEX($W$2:$W$1001,MATCH(ROWS($U$2:U269),$U$2:$U$1001,0),0), INDEX($AB$1004:$AQ$1004,1,MATCH(COLUMNS($AB$1006:AL1006),$AB$1006:$AQ$1006,0)))),"Fix")))</f>
        <v>0</v>
      </c>
      <c r="M269" s="5">
        <f>IF(OR(INDEX($V$2:$V$1001,MATCH(ROWS($U$2:U269),$U$2:$U$1001,0),1)&gt;=100000,INDEX($AB$1005:$AQ$1005,1,MATCH(COLUMNS($AB$1006:AM1006),$AB$1006:$AQ$1006,0))&gt;=100000), " ",IF(INDEX($AB$2:$AQ$1001,MATCH(ROWS($U$2:U269),$U$2:$U$1001,0),MATCH(COLUMNS($AB$1006:AM1006),$AB$1006:$AQ$1006,0)), HYPERLINK("#",""), HYPERLINK(CONCATENATE("#Metadata!", ADDRESS(INDEX($W$2:$W$1001,MATCH(ROWS($U$2:U269),$U$2:$U$1001,0),0), INDEX($AB$1004:$AQ$1004,1,MATCH(COLUMNS($AB$1006:AM1006),$AB$1006:$AQ$1006,0)))),"Fix")))</f>
        <v>0</v>
      </c>
      <c r="N269" s="5">
        <f>IF(OR(INDEX($V$2:$V$1001,MATCH(ROWS($U$2:U269),$U$2:$U$1001,0),1)&gt;=100000,INDEX($AB$1005:$AQ$1005,1,MATCH(COLUMNS($AB$1006:AN1006),$AB$1006:$AQ$1006,0))&gt;=100000), " ",IF(INDEX($AB$2:$AQ$1001,MATCH(ROWS($U$2:U269),$U$2:$U$1001,0),MATCH(COLUMNS($AB$1006:AN1006),$AB$1006:$AQ$1006,0)), HYPERLINK("#",""), HYPERLINK(CONCATENATE("#Metadata!", ADDRESS(INDEX($W$2:$W$1001,MATCH(ROWS($U$2:U269),$U$2:$U$1001,0),0), INDEX($AB$1004:$AQ$1004,1,MATCH(COLUMNS($AB$1006:AN1006),$AB$1006:$AQ$1006,0)))),"Fix")))</f>
        <v>0</v>
      </c>
      <c r="O269" s="5">
        <f>IF(OR(INDEX($V$2:$V$1001,MATCH(ROWS($U$2:U269),$U$2:$U$1001,0),1)&gt;=100000,INDEX($AB$1005:$AQ$1005,1,MATCH(COLUMNS($AB$1006:AO1006),$AB$1006:$AQ$1006,0))&gt;=100000), " ",IF(INDEX($AB$2:$AQ$1001,MATCH(ROWS($U$2:U269),$U$2:$U$1001,0),MATCH(COLUMNS($AB$1006:AO1006),$AB$1006:$AQ$1006,0)), HYPERLINK("#",""), HYPERLINK(CONCATENATE("#Metadata!", ADDRESS(INDEX($W$2:$W$1001,MATCH(ROWS($U$2:U269),$U$2:$U$1001,0),0), INDEX($AB$1004:$AQ$1004,1,MATCH(COLUMNS($AB$1006:AO1006),$AB$1006:$AQ$1006,0)))),"Fix")))</f>
        <v>0</v>
      </c>
      <c r="P269" s="5">
        <f>IF(OR(INDEX($V$2:$V$1001,MATCH(ROWS($U$2:U269),$U$2:$U$1001,0),1)&gt;=100000,INDEX($AB$1005:$AQ$1005,1,MATCH(COLUMNS($AB$1006:AP1006),$AB$1006:$AQ$1006,0))&gt;=100000), " ",IF(INDEX($AB$2:$AQ$1001,MATCH(ROWS($U$2:U269),$U$2:$U$1001,0),MATCH(COLUMNS($AB$1006:AP1006),$AB$1006:$AQ$1006,0)), HYPERLINK("#",""), HYPERLINK(CONCATENATE("#Metadata!", ADDRESS(INDEX($W$2:$W$1001,MATCH(ROWS($U$2:U269),$U$2:$U$1001,0),0), INDEX($AB$1004:$AQ$1004,1,MATCH(COLUMNS($AB$1006:AP1006),$AB$1006:$AQ$1006,0)))),"Fix")))</f>
        <v>0</v>
      </c>
      <c r="Q269" s="5">
        <f>IF(OR(INDEX($V$2:$V$1001,MATCH(ROWS($U$2:U269),$U$2:$U$1001,0),1)&gt;=100000,INDEX($AB$1005:$AQ$1005,1,MATCH(COLUMNS($AB$1006:AQ1006),$AB$1006:$AQ$1006,0))&gt;=100000), " ",IF(INDEX($AB$2:$AQ$1001,MATCH(ROWS($U$2:U269),$U$2:$U$1001,0),MATCH(COLUMNS($AB$1006:AQ1006),$AB$1006:$AQ$1006,0)), HYPERLINK("#",""), HYPERLINK(CONCATENATE("#Metadata!", ADDRESS(INDEX($W$2:$W$1001,MATCH(ROWS($U$2:U269),$U$2:$U$1001,0),0), INDEX($AB$1004:$AQ$1004,1,MATCH(COLUMNS($AB$1006:AQ1006),$AB$1006:$AQ$1006,0)))),"Fix")))</f>
        <v>0</v>
      </c>
      <c r="U269">
        <v>0</v>
      </c>
      <c r="V269">
        <v>0</v>
      </c>
      <c r="W269">
        <v>0</v>
      </c>
      <c r="X269">
        <f>IF(Y269,TRUE,AND(AB269:AQ269))</f>
        <v>0</v>
      </c>
      <c r="Y269">
        <f>COUNTBLANK(Metadata!B269:Q269)=COLUMNS(Metadata!B269:Q269)</f>
        <v>0</v>
      </c>
      <c r="Z269">
        <v>0</v>
      </c>
      <c r="AB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AC269">
        <f>AND(IF(Metadata!C269="",FALSE,TRUE),exact(Metadata!C269,"urban biome"))</f>
        <v>0</v>
      </c>
      <c r="AD269">
        <f>AND(IF(Metadata!D269="",FALSE,TRUE),exact(Metadata!D269,"human-associated habitat"))</f>
        <v>0</v>
      </c>
      <c r="AE269">
        <f>AND(IF(Metadata!E269="",FALSE,TRUE),OR(exact(Metadata!E269,"human-associated"),exact(Metadata!E269,"human-skin"),exact(Metadata!E269,"human-oral"),exact(Metadata!E269,"human-gut"),exact(Metadata!E269,"human-vaginal")))</f>
        <v>0</v>
      </c>
      <c r="AF269">
        <f>AND(IF(Metadata!F269="",FALSE,ISNUMBER(VALUE(Metadata!F269))),Metadata!F269&gt;0)</f>
        <v>0</v>
      </c>
      <c r="AG269">
        <f>AND(IF(Metadata!G269="",FALSE,TRUE),exact(Metadata!G269,"years"))</f>
        <v>0</v>
      </c>
      <c r="AH269">
        <f>OR(AND(IF(Metadata!H269="",FALSE,TRUE),OR(exact(Metadata!H269,"not applicable"),exact(Metadata!H269,"not collected"),exact(Metadata!H269,"not provided"),exact(Metadata!H269,"restricted access"))),AND(IF(Metadata!H269="",FALSE,ISNUMBER(VALUE(Metadata!H269))),Metadata!H269&gt;0))</f>
        <v>0</v>
      </c>
      <c r="AI269">
        <f>AND(IF(Metadata!I269="",FALSE,TRUE),exact(Metadata!I269,"human"))</f>
        <v>0</v>
      </c>
      <c r="AJ269">
        <f>AND(IF(Metadata!J269="",FALSE,ISNUMBER(VALUE(Metadata!J269))),Metadata!J269&gt;0)</f>
        <v>0</v>
      </c>
      <c r="AK269">
        <f>AND(IF(Metadata!K269="",FALSE,TRUE),exact(Metadata!K269,"cm"))</f>
        <v>0</v>
      </c>
      <c r="AL269">
        <f>AND(IF(Metadata!L269="",FALSE,TRUE),exact(Metadata!L269,"Homo sapiens"))</f>
        <v>0</v>
      </c>
      <c r="AM269">
        <f>AND(IF(Metadata!M269="",FALSE,TRUE),exact(Metadata!M269,"9606"))</f>
        <v>0</v>
      </c>
      <c r="AN269">
        <f>AND(IF(Metadata!N269="",FALSE,ISNUMBER(VALUE(Metadata!N269))),Metadata!N269&gt;0)</f>
        <v>0</v>
      </c>
      <c r="AO269">
        <f>AND(IF(Metadata!O269="",FALSE,TRUE),exact(Metadata!O269,"kg"))</f>
        <v>0</v>
      </c>
      <c r="AP269">
        <f>OR(AND(IF(Metadata!P269="",FALSE,TRUE),exact(Metadata!P269,"not provided")),IF(Metadata!P269="",FALSE,TRUE))</f>
        <v>0</v>
      </c>
      <c r="AQ269">
        <f>OR(AND(IF(Metadata!Q269="",FALSE,TRUE),exact(Metadata!Q269,"not provided")),IF(Metadata!Q269="",FALSE,TRUE))</f>
        <v>0</v>
      </c>
    </row>
    <row r="270" spans="1:43">
      <c r="A270" s="4">
        <f>IF(B270=" "," ",HYPERLINK(CONCATENATE("#metadata!",ADDRESS(INDEX($W$2:$W$1001,MATCH(ROWS($U$2:U270),$U$2:$U$1001,0),0),2)),INDEX($Z$2:$Z$1001,MATCH(ROWS($U$2:U270),$U$2:$U$1001,0),0)))</f>
        <v>0</v>
      </c>
      <c r="B270" s="5">
        <f>IF(OR(INDEX($V$2:$V$1001,MATCH(ROWS($U$2:U270),$U$2:$U$1001,0),1)&gt;=100000,INDEX($AB$1005:$AQ$1005,1,MATCH(COLUMNS($AB$1006:AB1006),$AB$1006:$AQ$1006,0))&gt;=100000), " ",IF(INDEX($AB$2:$AQ$1001,MATCH(ROWS($U$2:U270),$U$2:$U$1001,0),MATCH(COLUMNS($AB$1006:AB1006),$AB$1006:$AQ$1006,0)), HYPERLINK("#",""), HYPERLINK(CONCATENATE("#Metadata!", ADDRESS(INDEX($W$2:$W$1001,MATCH(ROWS($U$2:U270),$U$2:$U$1001,0),0), INDEX($AB$1004:$AQ$1004,1,MATCH(COLUMNS($AB$1006:AB1006),$AB$1006:$AQ$1006,0)))),"Fix")))</f>
        <v>0</v>
      </c>
      <c r="C270" s="5">
        <f>IF(OR(INDEX($V$2:$V$1001,MATCH(ROWS($U$2:U270),$U$2:$U$1001,0),1)&gt;=100000,INDEX($AB$1005:$AQ$1005,1,MATCH(COLUMNS($AB$1006:AC1006),$AB$1006:$AQ$1006,0))&gt;=100000), " ",IF(INDEX($AB$2:$AQ$1001,MATCH(ROWS($U$2:U270),$U$2:$U$1001,0),MATCH(COLUMNS($AB$1006:AC1006),$AB$1006:$AQ$1006,0)), HYPERLINK("#",""), HYPERLINK(CONCATENATE("#Metadata!", ADDRESS(INDEX($W$2:$W$1001,MATCH(ROWS($U$2:U270),$U$2:$U$1001,0),0), INDEX($AB$1004:$AQ$1004,1,MATCH(COLUMNS($AB$1006:AC1006),$AB$1006:$AQ$1006,0)))),"Fix")))</f>
        <v>0</v>
      </c>
      <c r="D270" s="5">
        <f>IF(OR(INDEX($V$2:$V$1001,MATCH(ROWS($U$2:U270),$U$2:$U$1001,0),1)&gt;=100000,INDEX($AB$1005:$AQ$1005,1,MATCH(COLUMNS($AB$1006:AD1006),$AB$1006:$AQ$1006,0))&gt;=100000), " ",IF(INDEX($AB$2:$AQ$1001,MATCH(ROWS($U$2:U270),$U$2:$U$1001,0),MATCH(COLUMNS($AB$1006:AD1006),$AB$1006:$AQ$1006,0)), HYPERLINK("#",""), HYPERLINK(CONCATENATE("#Metadata!", ADDRESS(INDEX($W$2:$W$1001,MATCH(ROWS($U$2:U270),$U$2:$U$1001,0),0), INDEX($AB$1004:$AQ$1004,1,MATCH(COLUMNS($AB$1006:AD1006),$AB$1006:$AQ$1006,0)))),"Fix")))</f>
        <v>0</v>
      </c>
      <c r="E270" s="5">
        <f>IF(OR(INDEX($V$2:$V$1001,MATCH(ROWS($U$2:U270),$U$2:$U$1001,0),1)&gt;=100000,INDEX($AB$1005:$AQ$1005,1,MATCH(COLUMNS($AB$1006:AE1006),$AB$1006:$AQ$1006,0))&gt;=100000), " ",IF(INDEX($AB$2:$AQ$1001,MATCH(ROWS($U$2:U270),$U$2:$U$1001,0),MATCH(COLUMNS($AB$1006:AE1006),$AB$1006:$AQ$1006,0)), HYPERLINK("#",""), HYPERLINK(CONCATENATE("#Metadata!", ADDRESS(INDEX($W$2:$W$1001,MATCH(ROWS($U$2:U270),$U$2:$U$1001,0),0), INDEX($AB$1004:$AQ$1004,1,MATCH(COLUMNS($AB$1006:AE1006),$AB$1006:$AQ$1006,0)))),"Fix")))</f>
        <v>0</v>
      </c>
      <c r="F270" s="5">
        <f>IF(OR(INDEX($V$2:$V$1001,MATCH(ROWS($U$2:U270),$U$2:$U$1001,0),1)&gt;=100000,INDEX($AB$1005:$AQ$1005,1,MATCH(COLUMNS($AB$1006:AF1006),$AB$1006:$AQ$1006,0))&gt;=100000), " ",IF(INDEX($AB$2:$AQ$1001,MATCH(ROWS($U$2:U270),$U$2:$U$1001,0),MATCH(COLUMNS($AB$1006:AF1006),$AB$1006:$AQ$1006,0)), HYPERLINK("#",""), HYPERLINK(CONCATENATE("#Metadata!", ADDRESS(INDEX($W$2:$W$1001,MATCH(ROWS($U$2:U270),$U$2:$U$1001,0),0), INDEX($AB$1004:$AQ$1004,1,MATCH(COLUMNS($AB$1006:AF1006),$AB$1006:$AQ$1006,0)))),"Fix")))</f>
        <v>0</v>
      </c>
      <c r="G270" s="5">
        <f>IF(OR(INDEX($V$2:$V$1001,MATCH(ROWS($U$2:U270),$U$2:$U$1001,0),1)&gt;=100000,INDEX($AB$1005:$AQ$1005,1,MATCH(COLUMNS($AB$1006:AG1006),$AB$1006:$AQ$1006,0))&gt;=100000), " ",IF(INDEX($AB$2:$AQ$1001,MATCH(ROWS($U$2:U270),$U$2:$U$1001,0),MATCH(COLUMNS($AB$1006:AG1006),$AB$1006:$AQ$1006,0)), HYPERLINK("#",""), HYPERLINK(CONCATENATE("#Metadata!", ADDRESS(INDEX($W$2:$W$1001,MATCH(ROWS($U$2:U270),$U$2:$U$1001,0),0), INDEX($AB$1004:$AQ$1004,1,MATCH(COLUMNS($AB$1006:AG1006),$AB$1006:$AQ$1006,0)))),"Fix")))</f>
        <v>0</v>
      </c>
      <c r="H270" s="5">
        <f>IF(OR(INDEX($V$2:$V$1001,MATCH(ROWS($U$2:U270),$U$2:$U$1001,0),1)&gt;=100000,INDEX($AB$1005:$AQ$1005,1,MATCH(COLUMNS($AB$1006:AH1006),$AB$1006:$AQ$1006,0))&gt;=100000), " ",IF(INDEX($AB$2:$AQ$1001,MATCH(ROWS($U$2:U270),$U$2:$U$1001,0),MATCH(COLUMNS($AB$1006:AH1006),$AB$1006:$AQ$1006,0)), HYPERLINK("#",""), HYPERLINK(CONCATENATE("#Metadata!", ADDRESS(INDEX($W$2:$W$1001,MATCH(ROWS($U$2:U270),$U$2:$U$1001,0),0), INDEX($AB$1004:$AQ$1004,1,MATCH(COLUMNS($AB$1006:AH1006),$AB$1006:$AQ$1006,0)))),"Fix")))</f>
        <v>0</v>
      </c>
      <c r="I270" s="5">
        <f>IF(OR(INDEX($V$2:$V$1001,MATCH(ROWS($U$2:U270),$U$2:$U$1001,0),1)&gt;=100000,INDEX($AB$1005:$AQ$1005,1,MATCH(COLUMNS($AB$1006:AI1006),$AB$1006:$AQ$1006,0))&gt;=100000), " ",IF(INDEX($AB$2:$AQ$1001,MATCH(ROWS($U$2:U270),$U$2:$U$1001,0),MATCH(COLUMNS($AB$1006:AI1006),$AB$1006:$AQ$1006,0)), HYPERLINK("#",""), HYPERLINK(CONCATENATE("#Metadata!", ADDRESS(INDEX($W$2:$W$1001,MATCH(ROWS($U$2:U270),$U$2:$U$1001,0),0), INDEX($AB$1004:$AQ$1004,1,MATCH(COLUMNS($AB$1006:AI1006),$AB$1006:$AQ$1006,0)))),"Fix")))</f>
        <v>0</v>
      </c>
      <c r="J270" s="5">
        <f>IF(OR(INDEX($V$2:$V$1001,MATCH(ROWS($U$2:U270),$U$2:$U$1001,0),1)&gt;=100000,INDEX($AB$1005:$AQ$1005,1,MATCH(COLUMNS($AB$1006:AJ1006),$AB$1006:$AQ$1006,0))&gt;=100000), " ",IF(INDEX($AB$2:$AQ$1001,MATCH(ROWS($U$2:U270),$U$2:$U$1001,0),MATCH(COLUMNS($AB$1006:AJ1006),$AB$1006:$AQ$1006,0)), HYPERLINK("#",""), HYPERLINK(CONCATENATE("#Metadata!", ADDRESS(INDEX($W$2:$W$1001,MATCH(ROWS($U$2:U270),$U$2:$U$1001,0),0), INDEX($AB$1004:$AQ$1004,1,MATCH(COLUMNS($AB$1006:AJ1006),$AB$1006:$AQ$1006,0)))),"Fix")))</f>
        <v>0</v>
      </c>
      <c r="K270" s="5">
        <f>IF(OR(INDEX($V$2:$V$1001,MATCH(ROWS($U$2:U270),$U$2:$U$1001,0),1)&gt;=100000,INDEX($AB$1005:$AQ$1005,1,MATCH(COLUMNS($AB$1006:AK1006),$AB$1006:$AQ$1006,0))&gt;=100000), " ",IF(INDEX($AB$2:$AQ$1001,MATCH(ROWS($U$2:U270),$U$2:$U$1001,0),MATCH(COLUMNS($AB$1006:AK1006),$AB$1006:$AQ$1006,0)), HYPERLINK("#",""), HYPERLINK(CONCATENATE("#Metadata!", ADDRESS(INDEX($W$2:$W$1001,MATCH(ROWS($U$2:U270),$U$2:$U$1001,0),0), INDEX($AB$1004:$AQ$1004,1,MATCH(COLUMNS($AB$1006:AK1006),$AB$1006:$AQ$1006,0)))),"Fix")))</f>
        <v>0</v>
      </c>
      <c r="L270" s="5">
        <f>IF(OR(INDEX($V$2:$V$1001,MATCH(ROWS($U$2:U270),$U$2:$U$1001,0),1)&gt;=100000,INDEX($AB$1005:$AQ$1005,1,MATCH(COLUMNS($AB$1006:AL1006),$AB$1006:$AQ$1006,0))&gt;=100000), " ",IF(INDEX($AB$2:$AQ$1001,MATCH(ROWS($U$2:U270),$U$2:$U$1001,0),MATCH(COLUMNS($AB$1006:AL1006),$AB$1006:$AQ$1006,0)), HYPERLINK("#",""), HYPERLINK(CONCATENATE("#Metadata!", ADDRESS(INDEX($W$2:$W$1001,MATCH(ROWS($U$2:U270),$U$2:$U$1001,0),0), INDEX($AB$1004:$AQ$1004,1,MATCH(COLUMNS($AB$1006:AL1006),$AB$1006:$AQ$1006,0)))),"Fix")))</f>
        <v>0</v>
      </c>
      <c r="M270" s="5">
        <f>IF(OR(INDEX($V$2:$V$1001,MATCH(ROWS($U$2:U270),$U$2:$U$1001,0),1)&gt;=100000,INDEX($AB$1005:$AQ$1005,1,MATCH(COLUMNS($AB$1006:AM1006),$AB$1006:$AQ$1006,0))&gt;=100000), " ",IF(INDEX($AB$2:$AQ$1001,MATCH(ROWS($U$2:U270),$U$2:$U$1001,0),MATCH(COLUMNS($AB$1006:AM1006),$AB$1006:$AQ$1006,0)), HYPERLINK("#",""), HYPERLINK(CONCATENATE("#Metadata!", ADDRESS(INDEX($W$2:$W$1001,MATCH(ROWS($U$2:U270),$U$2:$U$1001,0),0), INDEX($AB$1004:$AQ$1004,1,MATCH(COLUMNS($AB$1006:AM1006),$AB$1006:$AQ$1006,0)))),"Fix")))</f>
        <v>0</v>
      </c>
      <c r="N270" s="5">
        <f>IF(OR(INDEX($V$2:$V$1001,MATCH(ROWS($U$2:U270),$U$2:$U$1001,0),1)&gt;=100000,INDEX($AB$1005:$AQ$1005,1,MATCH(COLUMNS($AB$1006:AN1006),$AB$1006:$AQ$1006,0))&gt;=100000), " ",IF(INDEX($AB$2:$AQ$1001,MATCH(ROWS($U$2:U270),$U$2:$U$1001,0),MATCH(COLUMNS($AB$1006:AN1006),$AB$1006:$AQ$1006,0)), HYPERLINK("#",""), HYPERLINK(CONCATENATE("#Metadata!", ADDRESS(INDEX($W$2:$W$1001,MATCH(ROWS($U$2:U270),$U$2:$U$1001,0),0), INDEX($AB$1004:$AQ$1004,1,MATCH(COLUMNS($AB$1006:AN1006),$AB$1006:$AQ$1006,0)))),"Fix")))</f>
        <v>0</v>
      </c>
      <c r="O270" s="5">
        <f>IF(OR(INDEX($V$2:$V$1001,MATCH(ROWS($U$2:U270),$U$2:$U$1001,0),1)&gt;=100000,INDEX($AB$1005:$AQ$1005,1,MATCH(COLUMNS($AB$1006:AO1006),$AB$1006:$AQ$1006,0))&gt;=100000), " ",IF(INDEX($AB$2:$AQ$1001,MATCH(ROWS($U$2:U270),$U$2:$U$1001,0),MATCH(COLUMNS($AB$1006:AO1006),$AB$1006:$AQ$1006,0)), HYPERLINK("#",""), HYPERLINK(CONCATENATE("#Metadata!", ADDRESS(INDEX($W$2:$W$1001,MATCH(ROWS($U$2:U270),$U$2:$U$1001,0),0), INDEX($AB$1004:$AQ$1004,1,MATCH(COLUMNS($AB$1006:AO1006),$AB$1006:$AQ$1006,0)))),"Fix")))</f>
        <v>0</v>
      </c>
      <c r="P270" s="5">
        <f>IF(OR(INDEX($V$2:$V$1001,MATCH(ROWS($U$2:U270),$U$2:$U$1001,0),1)&gt;=100000,INDEX($AB$1005:$AQ$1005,1,MATCH(COLUMNS($AB$1006:AP1006),$AB$1006:$AQ$1006,0))&gt;=100000), " ",IF(INDEX($AB$2:$AQ$1001,MATCH(ROWS($U$2:U270),$U$2:$U$1001,0),MATCH(COLUMNS($AB$1006:AP1006),$AB$1006:$AQ$1006,0)), HYPERLINK("#",""), HYPERLINK(CONCATENATE("#Metadata!", ADDRESS(INDEX($W$2:$W$1001,MATCH(ROWS($U$2:U270),$U$2:$U$1001,0),0), INDEX($AB$1004:$AQ$1004,1,MATCH(COLUMNS($AB$1006:AP1006),$AB$1006:$AQ$1006,0)))),"Fix")))</f>
        <v>0</v>
      </c>
      <c r="Q270" s="5">
        <f>IF(OR(INDEX($V$2:$V$1001,MATCH(ROWS($U$2:U270),$U$2:$U$1001,0),1)&gt;=100000,INDEX($AB$1005:$AQ$1005,1,MATCH(COLUMNS($AB$1006:AQ1006),$AB$1006:$AQ$1006,0))&gt;=100000), " ",IF(INDEX($AB$2:$AQ$1001,MATCH(ROWS($U$2:U270),$U$2:$U$1001,0),MATCH(COLUMNS($AB$1006:AQ1006),$AB$1006:$AQ$1006,0)), HYPERLINK("#",""), HYPERLINK(CONCATENATE("#Metadata!", ADDRESS(INDEX($W$2:$W$1001,MATCH(ROWS($U$2:U270),$U$2:$U$1001,0),0), INDEX($AB$1004:$AQ$1004,1,MATCH(COLUMNS($AB$1006:AQ1006),$AB$1006:$AQ$1006,0)))),"Fix")))</f>
        <v>0</v>
      </c>
      <c r="U270">
        <v>0</v>
      </c>
      <c r="V270">
        <v>0</v>
      </c>
      <c r="W270">
        <v>0</v>
      </c>
      <c r="X270">
        <f>IF(Y270,TRUE,AND(AB270:AQ270))</f>
        <v>0</v>
      </c>
      <c r="Y270">
        <f>COUNTBLANK(Metadata!B270:Q270)=COLUMNS(Metadata!B270:Q270)</f>
        <v>0</v>
      </c>
      <c r="Z270">
        <v>0</v>
      </c>
      <c r="AB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AC270">
        <f>AND(IF(Metadata!C270="",FALSE,TRUE),exact(Metadata!C270,"urban biome"))</f>
        <v>0</v>
      </c>
      <c r="AD270">
        <f>AND(IF(Metadata!D270="",FALSE,TRUE),exact(Metadata!D270,"human-associated habitat"))</f>
        <v>0</v>
      </c>
      <c r="AE270">
        <f>AND(IF(Metadata!E270="",FALSE,TRUE),OR(exact(Metadata!E270,"human-associated"),exact(Metadata!E270,"human-skin"),exact(Metadata!E270,"human-oral"),exact(Metadata!E270,"human-gut"),exact(Metadata!E270,"human-vaginal")))</f>
        <v>0</v>
      </c>
      <c r="AF270">
        <f>AND(IF(Metadata!F270="",FALSE,ISNUMBER(VALUE(Metadata!F270))),Metadata!F270&gt;0)</f>
        <v>0</v>
      </c>
      <c r="AG270">
        <f>AND(IF(Metadata!G270="",FALSE,TRUE),exact(Metadata!G270,"years"))</f>
        <v>0</v>
      </c>
      <c r="AH270">
        <f>OR(AND(IF(Metadata!H270="",FALSE,TRUE),OR(exact(Metadata!H270,"not applicable"),exact(Metadata!H270,"not collected"),exact(Metadata!H270,"not provided"),exact(Metadata!H270,"restricted access"))),AND(IF(Metadata!H270="",FALSE,ISNUMBER(VALUE(Metadata!H270))),Metadata!H270&gt;0))</f>
        <v>0</v>
      </c>
      <c r="AI270">
        <f>AND(IF(Metadata!I270="",FALSE,TRUE),exact(Metadata!I270,"human"))</f>
        <v>0</v>
      </c>
      <c r="AJ270">
        <f>AND(IF(Metadata!J270="",FALSE,ISNUMBER(VALUE(Metadata!J270))),Metadata!J270&gt;0)</f>
        <v>0</v>
      </c>
      <c r="AK270">
        <f>AND(IF(Metadata!K270="",FALSE,TRUE),exact(Metadata!K270,"cm"))</f>
        <v>0</v>
      </c>
      <c r="AL270">
        <f>AND(IF(Metadata!L270="",FALSE,TRUE),exact(Metadata!L270,"Homo sapiens"))</f>
        <v>0</v>
      </c>
      <c r="AM270">
        <f>AND(IF(Metadata!M270="",FALSE,TRUE),exact(Metadata!M270,"9606"))</f>
        <v>0</v>
      </c>
      <c r="AN270">
        <f>AND(IF(Metadata!N270="",FALSE,ISNUMBER(VALUE(Metadata!N270))),Metadata!N270&gt;0)</f>
        <v>0</v>
      </c>
      <c r="AO270">
        <f>AND(IF(Metadata!O270="",FALSE,TRUE),exact(Metadata!O270,"kg"))</f>
        <v>0</v>
      </c>
      <c r="AP270">
        <f>OR(AND(IF(Metadata!P270="",FALSE,TRUE),exact(Metadata!P270,"not provided")),IF(Metadata!P270="",FALSE,TRUE))</f>
        <v>0</v>
      </c>
      <c r="AQ270">
        <f>OR(AND(IF(Metadata!Q270="",FALSE,TRUE),exact(Metadata!Q270,"not provided")),IF(Metadata!Q270="",FALSE,TRUE))</f>
        <v>0</v>
      </c>
    </row>
    <row r="271" spans="1:43">
      <c r="A271" s="4">
        <f>IF(B271=" "," ",HYPERLINK(CONCATENATE("#metadata!",ADDRESS(INDEX($W$2:$W$1001,MATCH(ROWS($U$2:U271),$U$2:$U$1001,0),0),2)),INDEX($Z$2:$Z$1001,MATCH(ROWS($U$2:U271),$U$2:$U$1001,0),0)))</f>
        <v>0</v>
      </c>
      <c r="B271" s="5">
        <f>IF(OR(INDEX($V$2:$V$1001,MATCH(ROWS($U$2:U271),$U$2:$U$1001,0),1)&gt;=100000,INDEX($AB$1005:$AQ$1005,1,MATCH(COLUMNS($AB$1006:AB1006),$AB$1006:$AQ$1006,0))&gt;=100000), " ",IF(INDEX($AB$2:$AQ$1001,MATCH(ROWS($U$2:U271),$U$2:$U$1001,0),MATCH(COLUMNS($AB$1006:AB1006),$AB$1006:$AQ$1006,0)), HYPERLINK("#",""), HYPERLINK(CONCATENATE("#Metadata!", ADDRESS(INDEX($W$2:$W$1001,MATCH(ROWS($U$2:U271),$U$2:$U$1001,0),0), INDEX($AB$1004:$AQ$1004,1,MATCH(COLUMNS($AB$1006:AB1006),$AB$1006:$AQ$1006,0)))),"Fix")))</f>
        <v>0</v>
      </c>
      <c r="C271" s="5">
        <f>IF(OR(INDEX($V$2:$V$1001,MATCH(ROWS($U$2:U271),$U$2:$U$1001,0),1)&gt;=100000,INDEX($AB$1005:$AQ$1005,1,MATCH(COLUMNS($AB$1006:AC1006),$AB$1006:$AQ$1006,0))&gt;=100000), " ",IF(INDEX($AB$2:$AQ$1001,MATCH(ROWS($U$2:U271),$U$2:$U$1001,0),MATCH(COLUMNS($AB$1006:AC1006),$AB$1006:$AQ$1006,0)), HYPERLINK("#",""), HYPERLINK(CONCATENATE("#Metadata!", ADDRESS(INDEX($W$2:$W$1001,MATCH(ROWS($U$2:U271),$U$2:$U$1001,0),0), INDEX($AB$1004:$AQ$1004,1,MATCH(COLUMNS($AB$1006:AC1006),$AB$1006:$AQ$1006,0)))),"Fix")))</f>
        <v>0</v>
      </c>
      <c r="D271" s="5">
        <f>IF(OR(INDEX($V$2:$V$1001,MATCH(ROWS($U$2:U271),$U$2:$U$1001,0),1)&gt;=100000,INDEX($AB$1005:$AQ$1005,1,MATCH(COLUMNS($AB$1006:AD1006),$AB$1006:$AQ$1006,0))&gt;=100000), " ",IF(INDEX($AB$2:$AQ$1001,MATCH(ROWS($U$2:U271),$U$2:$U$1001,0),MATCH(COLUMNS($AB$1006:AD1006),$AB$1006:$AQ$1006,0)), HYPERLINK("#",""), HYPERLINK(CONCATENATE("#Metadata!", ADDRESS(INDEX($W$2:$W$1001,MATCH(ROWS($U$2:U271),$U$2:$U$1001,0),0), INDEX($AB$1004:$AQ$1004,1,MATCH(COLUMNS($AB$1006:AD1006),$AB$1006:$AQ$1006,0)))),"Fix")))</f>
        <v>0</v>
      </c>
      <c r="E271" s="5">
        <f>IF(OR(INDEX($V$2:$V$1001,MATCH(ROWS($U$2:U271),$U$2:$U$1001,0),1)&gt;=100000,INDEX($AB$1005:$AQ$1005,1,MATCH(COLUMNS($AB$1006:AE1006),$AB$1006:$AQ$1006,0))&gt;=100000), " ",IF(INDEX($AB$2:$AQ$1001,MATCH(ROWS($U$2:U271),$U$2:$U$1001,0),MATCH(COLUMNS($AB$1006:AE1006),$AB$1006:$AQ$1006,0)), HYPERLINK("#",""), HYPERLINK(CONCATENATE("#Metadata!", ADDRESS(INDEX($W$2:$W$1001,MATCH(ROWS($U$2:U271),$U$2:$U$1001,0),0), INDEX($AB$1004:$AQ$1004,1,MATCH(COLUMNS($AB$1006:AE1006),$AB$1006:$AQ$1006,0)))),"Fix")))</f>
        <v>0</v>
      </c>
      <c r="F271" s="5">
        <f>IF(OR(INDEX($V$2:$V$1001,MATCH(ROWS($U$2:U271),$U$2:$U$1001,0),1)&gt;=100000,INDEX($AB$1005:$AQ$1005,1,MATCH(COLUMNS($AB$1006:AF1006),$AB$1006:$AQ$1006,0))&gt;=100000), " ",IF(INDEX($AB$2:$AQ$1001,MATCH(ROWS($U$2:U271),$U$2:$U$1001,0),MATCH(COLUMNS($AB$1006:AF1006),$AB$1006:$AQ$1006,0)), HYPERLINK("#",""), HYPERLINK(CONCATENATE("#Metadata!", ADDRESS(INDEX($W$2:$W$1001,MATCH(ROWS($U$2:U271),$U$2:$U$1001,0),0), INDEX($AB$1004:$AQ$1004,1,MATCH(COLUMNS($AB$1006:AF1006),$AB$1006:$AQ$1006,0)))),"Fix")))</f>
        <v>0</v>
      </c>
      <c r="G271" s="5">
        <f>IF(OR(INDEX($V$2:$V$1001,MATCH(ROWS($U$2:U271),$U$2:$U$1001,0),1)&gt;=100000,INDEX($AB$1005:$AQ$1005,1,MATCH(COLUMNS($AB$1006:AG1006),$AB$1006:$AQ$1006,0))&gt;=100000), " ",IF(INDEX($AB$2:$AQ$1001,MATCH(ROWS($U$2:U271),$U$2:$U$1001,0),MATCH(COLUMNS($AB$1006:AG1006),$AB$1006:$AQ$1006,0)), HYPERLINK("#",""), HYPERLINK(CONCATENATE("#Metadata!", ADDRESS(INDEX($W$2:$W$1001,MATCH(ROWS($U$2:U271),$U$2:$U$1001,0),0), INDEX($AB$1004:$AQ$1004,1,MATCH(COLUMNS($AB$1006:AG1006),$AB$1006:$AQ$1006,0)))),"Fix")))</f>
        <v>0</v>
      </c>
      <c r="H271" s="5">
        <f>IF(OR(INDEX($V$2:$V$1001,MATCH(ROWS($U$2:U271),$U$2:$U$1001,0),1)&gt;=100000,INDEX($AB$1005:$AQ$1005,1,MATCH(COLUMNS($AB$1006:AH1006),$AB$1006:$AQ$1006,0))&gt;=100000), " ",IF(INDEX($AB$2:$AQ$1001,MATCH(ROWS($U$2:U271),$U$2:$U$1001,0),MATCH(COLUMNS($AB$1006:AH1006),$AB$1006:$AQ$1006,0)), HYPERLINK("#",""), HYPERLINK(CONCATENATE("#Metadata!", ADDRESS(INDEX($W$2:$W$1001,MATCH(ROWS($U$2:U271),$U$2:$U$1001,0),0), INDEX($AB$1004:$AQ$1004,1,MATCH(COLUMNS($AB$1006:AH1006),$AB$1006:$AQ$1006,0)))),"Fix")))</f>
        <v>0</v>
      </c>
      <c r="I271" s="5">
        <f>IF(OR(INDEX($V$2:$V$1001,MATCH(ROWS($U$2:U271),$U$2:$U$1001,0),1)&gt;=100000,INDEX($AB$1005:$AQ$1005,1,MATCH(COLUMNS($AB$1006:AI1006),$AB$1006:$AQ$1006,0))&gt;=100000), " ",IF(INDEX($AB$2:$AQ$1001,MATCH(ROWS($U$2:U271),$U$2:$U$1001,0),MATCH(COLUMNS($AB$1006:AI1006),$AB$1006:$AQ$1006,0)), HYPERLINK("#",""), HYPERLINK(CONCATENATE("#Metadata!", ADDRESS(INDEX($W$2:$W$1001,MATCH(ROWS($U$2:U271),$U$2:$U$1001,0),0), INDEX($AB$1004:$AQ$1004,1,MATCH(COLUMNS($AB$1006:AI1006),$AB$1006:$AQ$1006,0)))),"Fix")))</f>
        <v>0</v>
      </c>
      <c r="J271" s="5">
        <f>IF(OR(INDEX($V$2:$V$1001,MATCH(ROWS($U$2:U271),$U$2:$U$1001,0),1)&gt;=100000,INDEX($AB$1005:$AQ$1005,1,MATCH(COLUMNS($AB$1006:AJ1006),$AB$1006:$AQ$1006,0))&gt;=100000), " ",IF(INDEX($AB$2:$AQ$1001,MATCH(ROWS($U$2:U271),$U$2:$U$1001,0),MATCH(COLUMNS($AB$1006:AJ1006),$AB$1006:$AQ$1006,0)), HYPERLINK("#",""), HYPERLINK(CONCATENATE("#Metadata!", ADDRESS(INDEX($W$2:$W$1001,MATCH(ROWS($U$2:U271),$U$2:$U$1001,0),0), INDEX($AB$1004:$AQ$1004,1,MATCH(COLUMNS($AB$1006:AJ1006),$AB$1006:$AQ$1006,0)))),"Fix")))</f>
        <v>0</v>
      </c>
      <c r="K271" s="5">
        <f>IF(OR(INDEX($V$2:$V$1001,MATCH(ROWS($U$2:U271),$U$2:$U$1001,0),1)&gt;=100000,INDEX($AB$1005:$AQ$1005,1,MATCH(COLUMNS($AB$1006:AK1006),$AB$1006:$AQ$1006,0))&gt;=100000), " ",IF(INDEX($AB$2:$AQ$1001,MATCH(ROWS($U$2:U271),$U$2:$U$1001,0),MATCH(COLUMNS($AB$1006:AK1006),$AB$1006:$AQ$1006,0)), HYPERLINK("#",""), HYPERLINK(CONCATENATE("#Metadata!", ADDRESS(INDEX($W$2:$W$1001,MATCH(ROWS($U$2:U271),$U$2:$U$1001,0),0), INDEX($AB$1004:$AQ$1004,1,MATCH(COLUMNS($AB$1006:AK1006),$AB$1006:$AQ$1006,0)))),"Fix")))</f>
        <v>0</v>
      </c>
      <c r="L271" s="5">
        <f>IF(OR(INDEX($V$2:$V$1001,MATCH(ROWS($U$2:U271),$U$2:$U$1001,0),1)&gt;=100000,INDEX($AB$1005:$AQ$1005,1,MATCH(COLUMNS($AB$1006:AL1006),$AB$1006:$AQ$1006,0))&gt;=100000), " ",IF(INDEX($AB$2:$AQ$1001,MATCH(ROWS($U$2:U271),$U$2:$U$1001,0),MATCH(COLUMNS($AB$1006:AL1006),$AB$1006:$AQ$1006,0)), HYPERLINK("#",""), HYPERLINK(CONCATENATE("#Metadata!", ADDRESS(INDEX($W$2:$W$1001,MATCH(ROWS($U$2:U271),$U$2:$U$1001,0),0), INDEX($AB$1004:$AQ$1004,1,MATCH(COLUMNS($AB$1006:AL1006),$AB$1006:$AQ$1006,0)))),"Fix")))</f>
        <v>0</v>
      </c>
      <c r="M271" s="5">
        <f>IF(OR(INDEX($V$2:$V$1001,MATCH(ROWS($U$2:U271),$U$2:$U$1001,0),1)&gt;=100000,INDEX($AB$1005:$AQ$1005,1,MATCH(COLUMNS($AB$1006:AM1006),$AB$1006:$AQ$1006,0))&gt;=100000), " ",IF(INDEX($AB$2:$AQ$1001,MATCH(ROWS($U$2:U271),$U$2:$U$1001,0),MATCH(COLUMNS($AB$1006:AM1006),$AB$1006:$AQ$1006,0)), HYPERLINK("#",""), HYPERLINK(CONCATENATE("#Metadata!", ADDRESS(INDEX($W$2:$W$1001,MATCH(ROWS($U$2:U271),$U$2:$U$1001,0),0), INDEX($AB$1004:$AQ$1004,1,MATCH(COLUMNS($AB$1006:AM1006),$AB$1006:$AQ$1006,0)))),"Fix")))</f>
        <v>0</v>
      </c>
      <c r="N271" s="5">
        <f>IF(OR(INDEX($V$2:$V$1001,MATCH(ROWS($U$2:U271),$U$2:$U$1001,0),1)&gt;=100000,INDEX($AB$1005:$AQ$1005,1,MATCH(COLUMNS($AB$1006:AN1006),$AB$1006:$AQ$1006,0))&gt;=100000), " ",IF(INDEX($AB$2:$AQ$1001,MATCH(ROWS($U$2:U271),$U$2:$U$1001,0),MATCH(COLUMNS($AB$1006:AN1006),$AB$1006:$AQ$1006,0)), HYPERLINK("#",""), HYPERLINK(CONCATENATE("#Metadata!", ADDRESS(INDEX($W$2:$W$1001,MATCH(ROWS($U$2:U271),$U$2:$U$1001,0),0), INDEX($AB$1004:$AQ$1004,1,MATCH(COLUMNS($AB$1006:AN1006),$AB$1006:$AQ$1006,0)))),"Fix")))</f>
        <v>0</v>
      </c>
      <c r="O271" s="5">
        <f>IF(OR(INDEX($V$2:$V$1001,MATCH(ROWS($U$2:U271),$U$2:$U$1001,0),1)&gt;=100000,INDEX($AB$1005:$AQ$1005,1,MATCH(COLUMNS($AB$1006:AO1006),$AB$1006:$AQ$1006,0))&gt;=100000), " ",IF(INDEX($AB$2:$AQ$1001,MATCH(ROWS($U$2:U271),$U$2:$U$1001,0),MATCH(COLUMNS($AB$1006:AO1006),$AB$1006:$AQ$1006,0)), HYPERLINK("#",""), HYPERLINK(CONCATENATE("#Metadata!", ADDRESS(INDEX($W$2:$W$1001,MATCH(ROWS($U$2:U271),$U$2:$U$1001,0),0), INDEX($AB$1004:$AQ$1004,1,MATCH(COLUMNS($AB$1006:AO1006),$AB$1006:$AQ$1006,0)))),"Fix")))</f>
        <v>0</v>
      </c>
      <c r="P271" s="5">
        <f>IF(OR(INDEX($V$2:$V$1001,MATCH(ROWS($U$2:U271),$U$2:$U$1001,0),1)&gt;=100000,INDEX($AB$1005:$AQ$1005,1,MATCH(COLUMNS($AB$1006:AP1006),$AB$1006:$AQ$1006,0))&gt;=100000), " ",IF(INDEX($AB$2:$AQ$1001,MATCH(ROWS($U$2:U271),$U$2:$U$1001,0),MATCH(COLUMNS($AB$1006:AP1006),$AB$1006:$AQ$1006,0)), HYPERLINK("#",""), HYPERLINK(CONCATENATE("#Metadata!", ADDRESS(INDEX($W$2:$W$1001,MATCH(ROWS($U$2:U271),$U$2:$U$1001,0),0), INDEX($AB$1004:$AQ$1004,1,MATCH(COLUMNS($AB$1006:AP1006),$AB$1006:$AQ$1006,0)))),"Fix")))</f>
        <v>0</v>
      </c>
      <c r="Q271" s="5">
        <f>IF(OR(INDEX($V$2:$V$1001,MATCH(ROWS($U$2:U271),$U$2:$U$1001,0),1)&gt;=100000,INDEX($AB$1005:$AQ$1005,1,MATCH(COLUMNS($AB$1006:AQ1006),$AB$1006:$AQ$1006,0))&gt;=100000), " ",IF(INDEX($AB$2:$AQ$1001,MATCH(ROWS($U$2:U271),$U$2:$U$1001,0),MATCH(COLUMNS($AB$1006:AQ1006),$AB$1006:$AQ$1006,0)), HYPERLINK("#",""), HYPERLINK(CONCATENATE("#Metadata!", ADDRESS(INDEX($W$2:$W$1001,MATCH(ROWS($U$2:U271),$U$2:$U$1001,0),0), INDEX($AB$1004:$AQ$1004,1,MATCH(COLUMNS($AB$1006:AQ1006),$AB$1006:$AQ$1006,0)))),"Fix")))</f>
        <v>0</v>
      </c>
      <c r="U271">
        <v>0</v>
      </c>
      <c r="V271">
        <v>0</v>
      </c>
      <c r="W271">
        <v>0</v>
      </c>
      <c r="X271">
        <f>IF(Y271,TRUE,AND(AB271:AQ271))</f>
        <v>0</v>
      </c>
      <c r="Y271">
        <f>COUNTBLANK(Metadata!B271:Q271)=COLUMNS(Metadata!B271:Q271)</f>
        <v>0</v>
      </c>
      <c r="Z271">
        <v>0</v>
      </c>
      <c r="AB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AC271">
        <f>AND(IF(Metadata!C271="",FALSE,TRUE),exact(Metadata!C271,"urban biome"))</f>
        <v>0</v>
      </c>
      <c r="AD271">
        <f>AND(IF(Metadata!D271="",FALSE,TRUE),exact(Metadata!D271,"human-associated habitat"))</f>
        <v>0</v>
      </c>
      <c r="AE271">
        <f>AND(IF(Metadata!E271="",FALSE,TRUE),OR(exact(Metadata!E271,"human-associated"),exact(Metadata!E271,"human-skin"),exact(Metadata!E271,"human-oral"),exact(Metadata!E271,"human-gut"),exact(Metadata!E271,"human-vaginal")))</f>
        <v>0</v>
      </c>
      <c r="AF271">
        <f>AND(IF(Metadata!F271="",FALSE,ISNUMBER(VALUE(Metadata!F271))),Metadata!F271&gt;0)</f>
        <v>0</v>
      </c>
      <c r="AG271">
        <f>AND(IF(Metadata!G271="",FALSE,TRUE),exact(Metadata!G271,"years"))</f>
        <v>0</v>
      </c>
      <c r="AH271">
        <f>OR(AND(IF(Metadata!H271="",FALSE,TRUE),OR(exact(Metadata!H271,"not applicable"),exact(Metadata!H271,"not collected"),exact(Metadata!H271,"not provided"),exact(Metadata!H271,"restricted access"))),AND(IF(Metadata!H271="",FALSE,ISNUMBER(VALUE(Metadata!H271))),Metadata!H271&gt;0))</f>
        <v>0</v>
      </c>
      <c r="AI271">
        <f>AND(IF(Metadata!I271="",FALSE,TRUE),exact(Metadata!I271,"human"))</f>
        <v>0</v>
      </c>
      <c r="AJ271">
        <f>AND(IF(Metadata!J271="",FALSE,ISNUMBER(VALUE(Metadata!J271))),Metadata!J271&gt;0)</f>
        <v>0</v>
      </c>
      <c r="AK271">
        <f>AND(IF(Metadata!K271="",FALSE,TRUE),exact(Metadata!K271,"cm"))</f>
        <v>0</v>
      </c>
      <c r="AL271">
        <f>AND(IF(Metadata!L271="",FALSE,TRUE),exact(Metadata!L271,"Homo sapiens"))</f>
        <v>0</v>
      </c>
      <c r="AM271">
        <f>AND(IF(Metadata!M271="",FALSE,TRUE),exact(Metadata!M271,"9606"))</f>
        <v>0</v>
      </c>
      <c r="AN271">
        <f>AND(IF(Metadata!N271="",FALSE,ISNUMBER(VALUE(Metadata!N271))),Metadata!N271&gt;0)</f>
        <v>0</v>
      </c>
      <c r="AO271">
        <f>AND(IF(Metadata!O271="",FALSE,TRUE),exact(Metadata!O271,"kg"))</f>
        <v>0</v>
      </c>
      <c r="AP271">
        <f>OR(AND(IF(Metadata!P271="",FALSE,TRUE),exact(Metadata!P271,"not provided")),IF(Metadata!P271="",FALSE,TRUE))</f>
        <v>0</v>
      </c>
      <c r="AQ271">
        <f>OR(AND(IF(Metadata!Q271="",FALSE,TRUE),exact(Metadata!Q271,"not provided")),IF(Metadata!Q271="",FALSE,TRUE))</f>
        <v>0</v>
      </c>
    </row>
    <row r="272" spans="1:43">
      <c r="A272" s="4">
        <f>IF(B272=" "," ",HYPERLINK(CONCATENATE("#metadata!",ADDRESS(INDEX($W$2:$W$1001,MATCH(ROWS($U$2:U272),$U$2:$U$1001,0),0),2)),INDEX($Z$2:$Z$1001,MATCH(ROWS($U$2:U272),$U$2:$U$1001,0),0)))</f>
        <v>0</v>
      </c>
      <c r="B272" s="5">
        <f>IF(OR(INDEX($V$2:$V$1001,MATCH(ROWS($U$2:U272),$U$2:$U$1001,0),1)&gt;=100000,INDEX($AB$1005:$AQ$1005,1,MATCH(COLUMNS($AB$1006:AB1006),$AB$1006:$AQ$1006,0))&gt;=100000), " ",IF(INDEX($AB$2:$AQ$1001,MATCH(ROWS($U$2:U272),$U$2:$U$1001,0),MATCH(COLUMNS($AB$1006:AB1006),$AB$1006:$AQ$1006,0)), HYPERLINK("#",""), HYPERLINK(CONCATENATE("#Metadata!", ADDRESS(INDEX($W$2:$W$1001,MATCH(ROWS($U$2:U272),$U$2:$U$1001,0),0), INDEX($AB$1004:$AQ$1004,1,MATCH(COLUMNS($AB$1006:AB1006),$AB$1006:$AQ$1006,0)))),"Fix")))</f>
        <v>0</v>
      </c>
      <c r="C272" s="5">
        <f>IF(OR(INDEX($V$2:$V$1001,MATCH(ROWS($U$2:U272),$U$2:$U$1001,0),1)&gt;=100000,INDEX($AB$1005:$AQ$1005,1,MATCH(COLUMNS($AB$1006:AC1006),$AB$1006:$AQ$1006,0))&gt;=100000), " ",IF(INDEX($AB$2:$AQ$1001,MATCH(ROWS($U$2:U272),$U$2:$U$1001,0),MATCH(COLUMNS($AB$1006:AC1006),$AB$1006:$AQ$1006,0)), HYPERLINK("#",""), HYPERLINK(CONCATENATE("#Metadata!", ADDRESS(INDEX($W$2:$W$1001,MATCH(ROWS($U$2:U272),$U$2:$U$1001,0),0), INDEX($AB$1004:$AQ$1004,1,MATCH(COLUMNS($AB$1006:AC1006),$AB$1006:$AQ$1006,0)))),"Fix")))</f>
        <v>0</v>
      </c>
      <c r="D272" s="5">
        <f>IF(OR(INDEX($V$2:$V$1001,MATCH(ROWS($U$2:U272),$U$2:$U$1001,0),1)&gt;=100000,INDEX($AB$1005:$AQ$1005,1,MATCH(COLUMNS($AB$1006:AD1006),$AB$1006:$AQ$1006,0))&gt;=100000), " ",IF(INDEX($AB$2:$AQ$1001,MATCH(ROWS($U$2:U272),$U$2:$U$1001,0),MATCH(COLUMNS($AB$1006:AD1006),$AB$1006:$AQ$1006,0)), HYPERLINK("#",""), HYPERLINK(CONCATENATE("#Metadata!", ADDRESS(INDEX($W$2:$W$1001,MATCH(ROWS($U$2:U272),$U$2:$U$1001,0),0), INDEX($AB$1004:$AQ$1004,1,MATCH(COLUMNS($AB$1006:AD1006),$AB$1006:$AQ$1006,0)))),"Fix")))</f>
        <v>0</v>
      </c>
      <c r="E272" s="5">
        <f>IF(OR(INDEX($V$2:$V$1001,MATCH(ROWS($U$2:U272),$U$2:$U$1001,0),1)&gt;=100000,INDEX($AB$1005:$AQ$1005,1,MATCH(COLUMNS($AB$1006:AE1006),$AB$1006:$AQ$1006,0))&gt;=100000), " ",IF(INDEX($AB$2:$AQ$1001,MATCH(ROWS($U$2:U272),$U$2:$U$1001,0),MATCH(COLUMNS($AB$1006:AE1006),$AB$1006:$AQ$1006,0)), HYPERLINK("#",""), HYPERLINK(CONCATENATE("#Metadata!", ADDRESS(INDEX($W$2:$W$1001,MATCH(ROWS($U$2:U272),$U$2:$U$1001,0),0), INDEX($AB$1004:$AQ$1004,1,MATCH(COLUMNS($AB$1006:AE1006),$AB$1006:$AQ$1006,0)))),"Fix")))</f>
        <v>0</v>
      </c>
      <c r="F272" s="5">
        <f>IF(OR(INDEX($V$2:$V$1001,MATCH(ROWS($U$2:U272),$U$2:$U$1001,0),1)&gt;=100000,INDEX($AB$1005:$AQ$1005,1,MATCH(COLUMNS($AB$1006:AF1006),$AB$1006:$AQ$1006,0))&gt;=100000), " ",IF(INDEX($AB$2:$AQ$1001,MATCH(ROWS($U$2:U272),$U$2:$U$1001,0),MATCH(COLUMNS($AB$1006:AF1006),$AB$1006:$AQ$1006,0)), HYPERLINK("#",""), HYPERLINK(CONCATENATE("#Metadata!", ADDRESS(INDEX($W$2:$W$1001,MATCH(ROWS($U$2:U272),$U$2:$U$1001,0),0), INDEX($AB$1004:$AQ$1004,1,MATCH(COLUMNS($AB$1006:AF1006),$AB$1006:$AQ$1006,0)))),"Fix")))</f>
        <v>0</v>
      </c>
      <c r="G272" s="5">
        <f>IF(OR(INDEX($V$2:$V$1001,MATCH(ROWS($U$2:U272),$U$2:$U$1001,0),1)&gt;=100000,INDEX($AB$1005:$AQ$1005,1,MATCH(COLUMNS($AB$1006:AG1006),$AB$1006:$AQ$1006,0))&gt;=100000), " ",IF(INDEX($AB$2:$AQ$1001,MATCH(ROWS($U$2:U272),$U$2:$U$1001,0),MATCH(COLUMNS($AB$1006:AG1006),$AB$1006:$AQ$1006,0)), HYPERLINK("#",""), HYPERLINK(CONCATENATE("#Metadata!", ADDRESS(INDEX($W$2:$W$1001,MATCH(ROWS($U$2:U272),$U$2:$U$1001,0),0), INDEX($AB$1004:$AQ$1004,1,MATCH(COLUMNS($AB$1006:AG1006),$AB$1006:$AQ$1006,0)))),"Fix")))</f>
        <v>0</v>
      </c>
      <c r="H272" s="5">
        <f>IF(OR(INDEX($V$2:$V$1001,MATCH(ROWS($U$2:U272),$U$2:$U$1001,0),1)&gt;=100000,INDEX($AB$1005:$AQ$1005,1,MATCH(COLUMNS($AB$1006:AH1006),$AB$1006:$AQ$1006,0))&gt;=100000), " ",IF(INDEX($AB$2:$AQ$1001,MATCH(ROWS($U$2:U272),$U$2:$U$1001,0),MATCH(COLUMNS($AB$1006:AH1006),$AB$1006:$AQ$1006,0)), HYPERLINK("#",""), HYPERLINK(CONCATENATE("#Metadata!", ADDRESS(INDEX($W$2:$W$1001,MATCH(ROWS($U$2:U272),$U$2:$U$1001,0),0), INDEX($AB$1004:$AQ$1004,1,MATCH(COLUMNS($AB$1006:AH1006),$AB$1006:$AQ$1006,0)))),"Fix")))</f>
        <v>0</v>
      </c>
      <c r="I272" s="5">
        <f>IF(OR(INDEX($V$2:$V$1001,MATCH(ROWS($U$2:U272),$U$2:$U$1001,0),1)&gt;=100000,INDEX($AB$1005:$AQ$1005,1,MATCH(COLUMNS($AB$1006:AI1006),$AB$1006:$AQ$1006,0))&gt;=100000), " ",IF(INDEX($AB$2:$AQ$1001,MATCH(ROWS($U$2:U272),$U$2:$U$1001,0),MATCH(COLUMNS($AB$1006:AI1006),$AB$1006:$AQ$1006,0)), HYPERLINK("#",""), HYPERLINK(CONCATENATE("#Metadata!", ADDRESS(INDEX($W$2:$W$1001,MATCH(ROWS($U$2:U272),$U$2:$U$1001,0),0), INDEX($AB$1004:$AQ$1004,1,MATCH(COLUMNS($AB$1006:AI1006),$AB$1006:$AQ$1006,0)))),"Fix")))</f>
        <v>0</v>
      </c>
      <c r="J272" s="5">
        <f>IF(OR(INDEX($V$2:$V$1001,MATCH(ROWS($U$2:U272),$U$2:$U$1001,0),1)&gt;=100000,INDEX($AB$1005:$AQ$1005,1,MATCH(COLUMNS($AB$1006:AJ1006),$AB$1006:$AQ$1006,0))&gt;=100000), " ",IF(INDEX($AB$2:$AQ$1001,MATCH(ROWS($U$2:U272),$U$2:$U$1001,0),MATCH(COLUMNS($AB$1006:AJ1006),$AB$1006:$AQ$1006,0)), HYPERLINK("#",""), HYPERLINK(CONCATENATE("#Metadata!", ADDRESS(INDEX($W$2:$W$1001,MATCH(ROWS($U$2:U272),$U$2:$U$1001,0),0), INDEX($AB$1004:$AQ$1004,1,MATCH(COLUMNS($AB$1006:AJ1006),$AB$1006:$AQ$1006,0)))),"Fix")))</f>
        <v>0</v>
      </c>
      <c r="K272" s="5">
        <f>IF(OR(INDEX($V$2:$V$1001,MATCH(ROWS($U$2:U272),$U$2:$U$1001,0),1)&gt;=100000,INDEX($AB$1005:$AQ$1005,1,MATCH(COLUMNS($AB$1006:AK1006),$AB$1006:$AQ$1006,0))&gt;=100000), " ",IF(INDEX($AB$2:$AQ$1001,MATCH(ROWS($U$2:U272),$U$2:$U$1001,0),MATCH(COLUMNS($AB$1006:AK1006),$AB$1006:$AQ$1006,0)), HYPERLINK("#",""), HYPERLINK(CONCATENATE("#Metadata!", ADDRESS(INDEX($W$2:$W$1001,MATCH(ROWS($U$2:U272),$U$2:$U$1001,0),0), INDEX($AB$1004:$AQ$1004,1,MATCH(COLUMNS($AB$1006:AK1006),$AB$1006:$AQ$1006,0)))),"Fix")))</f>
        <v>0</v>
      </c>
      <c r="L272" s="5">
        <f>IF(OR(INDEX($V$2:$V$1001,MATCH(ROWS($U$2:U272),$U$2:$U$1001,0),1)&gt;=100000,INDEX($AB$1005:$AQ$1005,1,MATCH(COLUMNS($AB$1006:AL1006),$AB$1006:$AQ$1006,0))&gt;=100000), " ",IF(INDEX($AB$2:$AQ$1001,MATCH(ROWS($U$2:U272),$U$2:$U$1001,0),MATCH(COLUMNS($AB$1006:AL1006),$AB$1006:$AQ$1006,0)), HYPERLINK("#",""), HYPERLINK(CONCATENATE("#Metadata!", ADDRESS(INDEX($W$2:$W$1001,MATCH(ROWS($U$2:U272),$U$2:$U$1001,0),0), INDEX($AB$1004:$AQ$1004,1,MATCH(COLUMNS($AB$1006:AL1006),$AB$1006:$AQ$1006,0)))),"Fix")))</f>
        <v>0</v>
      </c>
      <c r="M272" s="5">
        <f>IF(OR(INDEX($V$2:$V$1001,MATCH(ROWS($U$2:U272),$U$2:$U$1001,0),1)&gt;=100000,INDEX($AB$1005:$AQ$1005,1,MATCH(COLUMNS($AB$1006:AM1006),$AB$1006:$AQ$1006,0))&gt;=100000), " ",IF(INDEX($AB$2:$AQ$1001,MATCH(ROWS($U$2:U272),$U$2:$U$1001,0),MATCH(COLUMNS($AB$1006:AM1006),$AB$1006:$AQ$1006,0)), HYPERLINK("#",""), HYPERLINK(CONCATENATE("#Metadata!", ADDRESS(INDEX($W$2:$W$1001,MATCH(ROWS($U$2:U272),$U$2:$U$1001,0),0), INDEX($AB$1004:$AQ$1004,1,MATCH(COLUMNS($AB$1006:AM1006),$AB$1006:$AQ$1006,0)))),"Fix")))</f>
        <v>0</v>
      </c>
      <c r="N272" s="5">
        <f>IF(OR(INDEX($V$2:$V$1001,MATCH(ROWS($U$2:U272),$U$2:$U$1001,0),1)&gt;=100000,INDEX($AB$1005:$AQ$1005,1,MATCH(COLUMNS($AB$1006:AN1006),$AB$1006:$AQ$1006,0))&gt;=100000), " ",IF(INDEX($AB$2:$AQ$1001,MATCH(ROWS($U$2:U272),$U$2:$U$1001,0),MATCH(COLUMNS($AB$1006:AN1006),$AB$1006:$AQ$1006,0)), HYPERLINK("#",""), HYPERLINK(CONCATENATE("#Metadata!", ADDRESS(INDEX($W$2:$W$1001,MATCH(ROWS($U$2:U272),$U$2:$U$1001,0),0), INDEX($AB$1004:$AQ$1004,1,MATCH(COLUMNS($AB$1006:AN1006),$AB$1006:$AQ$1006,0)))),"Fix")))</f>
        <v>0</v>
      </c>
      <c r="O272" s="5">
        <f>IF(OR(INDEX($V$2:$V$1001,MATCH(ROWS($U$2:U272),$U$2:$U$1001,0),1)&gt;=100000,INDEX($AB$1005:$AQ$1005,1,MATCH(COLUMNS($AB$1006:AO1006),$AB$1006:$AQ$1006,0))&gt;=100000), " ",IF(INDEX($AB$2:$AQ$1001,MATCH(ROWS($U$2:U272),$U$2:$U$1001,0),MATCH(COLUMNS($AB$1006:AO1006),$AB$1006:$AQ$1006,0)), HYPERLINK("#",""), HYPERLINK(CONCATENATE("#Metadata!", ADDRESS(INDEX($W$2:$W$1001,MATCH(ROWS($U$2:U272),$U$2:$U$1001,0),0), INDEX($AB$1004:$AQ$1004,1,MATCH(COLUMNS($AB$1006:AO1006),$AB$1006:$AQ$1006,0)))),"Fix")))</f>
        <v>0</v>
      </c>
      <c r="P272" s="5">
        <f>IF(OR(INDEX($V$2:$V$1001,MATCH(ROWS($U$2:U272),$U$2:$U$1001,0),1)&gt;=100000,INDEX($AB$1005:$AQ$1005,1,MATCH(COLUMNS($AB$1006:AP1006),$AB$1006:$AQ$1006,0))&gt;=100000), " ",IF(INDEX($AB$2:$AQ$1001,MATCH(ROWS($U$2:U272),$U$2:$U$1001,0),MATCH(COLUMNS($AB$1006:AP1006),$AB$1006:$AQ$1006,0)), HYPERLINK("#",""), HYPERLINK(CONCATENATE("#Metadata!", ADDRESS(INDEX($W$2:$W$1001,MATCH(ROWS($U$2:U272),$U$2:$U$1001,0),0), INDEX($AB$1004:$AQ$1004,1,MATCH(COLUMNS($AB$1006:AP1006),$AB$1006:$AQ$1006,0)))),"Fix")))</f>
        <v>0</v>
      </c>
      <c r="Q272" s="5">
        <f>IF(OR(INDEX($V$2:$V$1001,MATCH(ROWS($U$2:U272),$U$2:$U$1001,0),1)&gt;=100000,INDEX($AB$1005:$AQ$1005,1,MATCH(COLUMNS($AB$1006:AQ1006),$AB$1006:$AQ$1006,0))&gt;=100000), " ",IF(INDEX($AB$2:$AQ$1001,MATCH(ROWS($U$2:U272),$U$2:$U$1001,0),MATCH(COLUMNS($AB$1006:AQ1006),$AB$1006:$AQ$1006,0)), HYPERLINK("#",""), HYPERLINK(CONCATENATE("#Metadata!", ADDRESS(INDEX($W$2:$W$1001,MATCH(ROWS($U$2:U272),$U$2:$U$1001,0),0), INDEX($AB$1004:$AQ$1004,1,MATCH(COLUMNS($AB$1006:AQ1006),$AB$1006:$AQ$1006,0)))),"Fix")))</f>
        <v>0</v>
      </c>
      <c r="U272">
        <v>0</v>
      </c>
      <c r="V272">
        <v>0</v>
      </c>
      <c r="W272">
        <v>0</v>
      </c>
      <c r="X272">
        <f>IF(Y272,TRUE,AND(AB272:AQ272))</f>
        <v>0</v>
      </c>
      <c r="Y272">
        <f>COUNTBLANK(Metadata!B272:Q272)=COLUMNS(Metadata!B272:Q272)</f>
        <v>0</v>
      </c>
      <c r="Z272">
        <v>0</v>
      </c>
      <c r="AB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AC272">
        <f>AND(IF(Metadata!C272="",FALSE,TRUE),exact(Metadata!C272,"urban biome"))</f>
        <v>0</v>
      </c>
      <c r="AD272">
        <f>AND(IF(Metadata!D272="",FALSE,TRUE),exact(Metadata!D272,"human-associated habitat"))</f>
        <v>0</v>
      </c>
      <c r="AE272">
        <f>AND(IF(Metadata!E272="",FALSE,TRUE),OR(exact(Metadata!E272,"human-associated"),exact(Metadata!E272,"human-skin"),exact(Metadata!E272,"human-oral"),exact(Metadata!E272,"human-gut"),exact(Metadata!E272,"human-vaginal")))</f>
        <v>0</v>
      </c>
      <c r="AF272">
        <f>AND(IF(Metadata!F272="",FALSE,ISNUMBER(VALUE(Metadata!F272))),Metadata!F272&gt;0)</f>
        <v>0</v>
      </c>
      <c r="AG272">
        <f>AND(IF(Metadata!G272="",FALSE,TRUE),exact(Metadata!G272,"years"))</f>
        <v>0</v>
      </c>
      <c r="AH272">
        <f>OR(AND(IF(Metadata!H272="",FALSE,TRUE),OR(exact(Metadata!H272,"not applicable"),exact(Metadata!H272,"not collected"),exact(Metadata!H272,"not provided"),exact(Metadata!H272,"restricted access"))),AND(IF(Metadata!H272="",FALSE,ISNUMBER(VALUE(Metadata!H272))),Metadata!H272&gt;0))</f>
        <v>0</v>
      </c>
      <c r="AI272">
        <f>AND(IF(Metadata!I272="",FALSE,TRUE),exact(Metadata!I272,"human"))</f>
        <v>0</v>
      </c>
      <c r="AJ272">
        <f>AND(IF(Metadata!J272="",FALSE,ISNUMBER(VALUE(Metadata!J272))),Metadata!J272&gt;0)</f>
        <v>0</v>
      </c>
      <c r="AK272">
        <f>AND(IF(Metadata!K272="",FALSE,TRUE),exact(Metadata!K272,"cm"))</f>
        <v>0</v>
      </c>
      <c r="AL272">
        <f>AND(IF(Metadata!L272="",FALSE,TRUE),exact(Metadata!L272,"Homo sapiens"))</f>
        <v>0</v>
      </c>
      <c r="AM272">
        <f>AND(IF(Metadata!M272="",FALSE,TRUE),exact(Metadata!M272,"9606"))</f>
        <v>0</v>
      </c>
      <c r="AN272">
        <f>AND(IF(Metadata!N272="",FALSE,ISNUMBER(VALUE(Metadata!N272))),Metadata!N272&gt;0)</f>
        <v>0</v>
      </c>
      <c r="AO272">
        <f>AND(IF(Metadata!O272="",FALSE,TRUE),exact(Metadata!O272,"kg"))</f>
        <v>0</v>
      </c>
      <c r="AP272">
        <f>OR(AND(IF(Metadata!P272="",FALSE,TRUE),exact(Metadata!P272,"not provided")),IF(Metadata!P272="",FALSE,TRUE))</f>
        <v>0</v>
      </c>
      <c r="AQ272">
        <f>OR(AND(IF(Metadata!Q272="",FALSE,TRUE),exact(Metadata!Q272,"not provided")),IF(Metadata!Q272="",FALSE,TRUE))</f>
        <v>0</v>
      </c>
    </row>
    <row r="273" spans="1:43">
      <c r="A273" s="4">
        <f>IF(B273=" "," ",HYPERLINK(CONCATENATE("#metadata!",ADDRESS(INDEX($W$2:$W$1001,MATCH(ROWS($U$2:U273),$U$2:$U$1001,0),0),2)),INDEX($Z$2:$Z$1001,MATCH(ROWS($U$2:U273),$U$2:$U$1001,0),0)))</f>
        <v>0</v>
      </c>
      <c r="B273" s="5">
        <f>IF(OR(INDEX($V$2:$V$1001,MATCH(ROWS($U$2:U273),$U$2:$U$1001,0),1)&gt;=100000,INDEX($AB$1005:$AQ$1005,1,MATCH(COLUMNS($AB$1006:AB1006),$AB$1006:$AQ$1006,0))&gt;=100000), " ",IF(INDEX($AB$2:$AQ$1001,MATCH(ROWS($U$2:U273),$U$2:$U$1001,0),MATCH(COLUMNS($AB$1006:AB1006),$AB$1006:$AQ$1006,0)), HYPERLINK("#",""), HYPERLINK(CONCATENATE("#Metadata!", ADDRESS(INDEX($W$2:$W$1001,MATCH(ROWS($U$2:U273),$U$2:$U$1001,0),0), INDEX($AB$1004:$AQ$1004,1,MATCH(COLUMNS($AB$1006:AB1006),$AB$1006:$AQ$1006,0)))),"Fix")))</f>
        <v>0</v>
      </c>
      <c r="C273" s="5">
        <f>IF(OR(INDEX($V$2:$V$1001,MATCH(ROWS($U$2:U273),$U$2:$U$1001,0),1)&gt;=100000,INDEX($AB$1005:$AQ$1005,1,MATCH(COLUMNS($AB$1006:AC1006),$AB$1006:$AQ$1006,0))&gt;=100000), " ",IF(INDEX($AB$2:$AQ$1001,MATCH(ROWS($U$2:U273),$U$2:$U$1001,0),MATCH(COLUMNS($AB$1006:AC1006),$AB$1006:$AQ$1006,0)), HYPERLINK("#",""), HYPERLINK(CONCATENATE("#Metadata!", ADDRESS(INDEX($W$2:$W$1001,MATCH(ROWS($U$2:U273),$U$2:$U$1001,0),0), INDEX($AB$1004:$AQ$1004,1,MATCH(COLUMNS($AB$1006:AC1006),$AB$1006:$AQ$1006,0)))),"Fix")))</f>
        <v>0</v>
      </c>
      <c r="D273" s="5">
        <f>IF(OR(INDEX($V$2:$V$1001,MATCH(ROWS($U$2:U273),$U$2:$U$1001,0),1)&gt;=100000,INDEX($AB$1005:$AQ$1005,1,MATCH(COLUMNS($AB$1006:AD1006),$AB$1006:$AQ$1006,0))&gt;=100000), " ",IF(INDEX($AB$2:$AQ$1001,MATCH(ROWS($U$2:U273),$U$2:$U$1001,0),MATCH(COLUMNS($AB$1006:AD1006),$AB$1006:$AQ$1006,0)), HYPERLINK("#",""), HYPERLINK(CONCATENATE("#Metadata!", ADDRESS(INDEX($W$2:$W$1001,MATCH(ROWS($U$2:U273),$U$2:$U$1001,0),0), INDEX($AB$1004:$AQ$1004,1,MATCH(COLUMNS($AB$1006:AD1006),$AB$1006:$AQ$1006,0)))),"Fix")))</f>
        <v>0</v>
      </c>
      <c r="E273" s="5">
        <f>IF(OR(INDEX($V$2:$V$1001,MATCH(ROWS($U$2:U273),$U$2:$U$1001,0),1)&gt;=100000,INDEX($AB$1005:$AQ$1005,1,MATCH(COLUMNS($AB$1006:AE1006),$AB$1006:$AQ$1006,0))&gt;=100000), " ",IF(INDEX($AB$2:$AQ$1001,MATCH(ROWS($U$2:U273),$U$2:$U$1001,0),MATCH(COLUMNS($AB$1006:AE1006),$AB$1006:$AQ$1006,0)), HYPERLINK("#",""), HYPERLINK(CONCATENATE("#Metadata!", ADDRESS(INDEX($W$2:$W$1001,MATCH(ROWS($U$2:U273),$U$2:$U$1001,0),0), INDEX($AB$1004:$AQ$1004,1,MATCH(COLUMNS($AB$1006:AE1006),$AB$1006:$AQ$1006,0)))),"Fix")))</f>
        <v>0</v>
      </c>
      <c r="F273" s="5">
        <f>IF(OR(INDEX($V$2:$V$1001,MATCH(ROWS($U$2:U273),$U$2:$U$1001,0),1)&gt;=100000,INDEX($AB$1005:$AQ$1005,1,MATCH(COLUMNS($AB$1006:AF1006),$AB$1006:$AQ$1006,0))&gt;=100000), " ",IF(INDEX($AB$2:$AQ$1001,MATCH(ROWS($U$2:U273),$U$2:$U$1001,0),MATCH(COLUMNS($AB$1006:AF1006),$AB$1006:$AQ$1006,0)), HYPERLINK("#",""), HYPERLINK(CONCATENATE("#Metadata!", ADDRESS(INDEX($W$2:$W$1001,MATCH(ROWS($U$2:U273),$U$2:$U$1001,0),0), INDEX($AB$1004:$AQ$1004,1,MATCH(COLUMNS($AB$1006:AF1006),$AB$1006:$AQ$1006,0)))),"Fix")))</f>
        <v>0</v>
      </c>
      <c r="G273" s="5">
        <f>IF(OR(INDEX($V$2:$V$1001,MATCH(ROWS($U$2:U273),$U$2:$U$1001,0),1)&gt;=100000,INDEX($AB$1005:$AQ$1005,1,MATCH(COLUMNS($AB$1006:AG1006),$AB$1006:$AQ$1006,0))&gt;=100000), " ",IF(INDEX($AB$2:$AQ$1001,MATCH(ROWS($U$2:U273),$U$2:$U$1001,0),MATCH(COLUMNS($AB$1006:AG1006),$AB$1006:$AQ$1006,0)), HYPERLINK("#",""), HYPERLINK(CONCATENATE("#Metadata!", ADDRESS(INDEX($W$2:$W$1001,MATCH(ROWS($U$2:U273),$U$2:$U$1001,0),0), INDEX($AB$1004:$AQ$1004,1,MATCH(COLUMNS($AB$1006:AG1006),$AB$1006:$AQ$1006,0)))),"Fix")))</f>
        <v>0</v>
      </c>
      <c r="H273" s="5">
        <f>IF(OR(INDEX($V$2:$V$1001,MATCH(ROWS($U$2:U273),$U$2:$U$1001,0),1)&gt;=100000,INDEX($AB$1005:$AQ$1005,1,MATCH(COLUMNS($AB$1006:AH1006),$AB$1006:$AQ$1006,0))&gt;=100000), " ",IF(INDEX($AB$2:$AQ$1001,MATCH(ROWS($U$2:U273),$U$2:$U$1001,0),MATCH(COLUMNS($AB$1006:AH1006),$AB$1006:$AQ$1006,0)), HYPERLINK("#",""), HYPERLINK(CONCATENATE("#Metadata!", ADDRESS(INDEX($W$2:$W$1001,MATCH(ROWS($U$2:U273),$U$2:$U$1001,0),0), INDEX($AB$1004:$AQ$1004,1,MATCH(COLUMNS($AB$1006:AH1006),$AB$1006:$AQ$1006,0)))),"Fix")))</f>
        <v>0</v>
      </c>
      <c r="I273" s="5">
        <f>IF(OR(INDEX($V$2:$V$1001,MATCH(ROWS($U$2:U273),$U$2:$U$1001,0),1)&gt;=100000,INDEX($AB$1005:$AQ$1005,1,MATCH(COLUMNS($AB$1006:AI1006),$AB$1006:$AQ$1006,0))&gt;=100000), " ",IF(INDEX($AB$2:$AQ$1001,MATCH(ROWS($U$2:U273),$U$2:$U$1001,0),MATCH(COLUMNS($AB$1006:AI1006),$AB$1006:$AQ$1006,0)), HYPERLINK("#",""), HYPERLINK(CONCATENATE("#Metadata!", ADDRESS(INDEX($W$2:$W$1001,MATCH(ROWS($U$2:U273),$U$2:$U$1001,0),0), INDEX($AB$1004:$AQ$1004,1,MATCH(COLUMNS($AB$1006:AI1006),$AB$1006:$AQ$1006,0)))),"Fix")))</f>
        <v>0</v>
      </c>
      <c r="J273" s="5">
        <f>IF(OR(INDEX($V$2:$V$1001,MATCH(ROWS($U$2:U273),$U$2:$U$1001,0),1)&gt;=100000,INDEX($AB$1005:$AQ$1005,1,MATCH(COLUMNS($AB$1006:AJ1006),$AB$1006:$AQ$1006,0))&gt;=100000), " ",IF(INDEX($AB$2:$AQ$1001,MATCH(ROWS($U$2:U273),$U$2:$U$1001,0),MATCH(COLUMNS($AB$1006:AJ1006),$AB$1006:$AQ$1006,0)), HYPERLINK("#",""), HYPERLINK(CONCATENATE("#Metadata!", ADDRESS(INDEX($W$2:$W$1001,MATCH(ROWS($U$2:U273),$U$2:$U$1001,0),0), INDEX($AB$1004:$AQ$1004,1,MATCH(COLUMNS($AB$1006:AJ1006),$AB$1006:$AQ$1006,0)))),"Fix")))</f>
        <v>0</v>
      </c>
      <c r="K273" s="5">
        <f>IF(OR(INDEX($V$2:$V$1001,MATCH(ROWS($U$2:U273),$U$2:$U$1001,0),1)&gt;=100000,INDEX($AB$1005:$AQ$1005,1,MATCH(COLUMNS($AB$1006:AK1006),$AB$1006:$AQ$1006,0))&gt;=100000), " ",IF(INDEX($AB$2:$AQ$1001,MATCH(ROWS($U$2:U273),$U$2:$U$1001,0),MATCH(COLUMNS($AB$1006:AK1006),$AB$1006:$AQ$1006,0)), HYPERLINK("#",""), HYPERLINK(CONCATENATE("#Metadata!", ADDRESS(INDEX($W$2:$W$1001,MATCH(ROWS($U$2:U273),$U$2:$U$1001,0),0), INDEX($AB$1004:$AQ$1004,1,MATCH(COLUMNS($AB$1006:AK1006),$AB$1006:$AQ$1006,0)))),"Fix")))</f>
        <v>0</v>
      </c>
      <c r="L273" s="5">
        <f>IF(OR(INDEX($V$2:$V$1001,MATCH(ROWS($U$2:U273),$U$2:$U$1001,0),1)&gt;=100000,INDEX($AB$1005:$AQ$1005,1,MATCH(COLUMNS($AB$1006:AL1006),$AB$1006:$AQ$1006,0))&gt;=100000), " ",IF(INDEX($AB$2:$AQ$1001,MATCH(ROWS($U$2:U273),$U$2:$U$1001,0),MATCH(COLUMNS($AB$1006:AL1006),$AB$1006:$AQ$1006,0)), HYPERLINK("#",""), HYPERLINK(CONCATENATE("#Metadata!", ADDRESS(INDEX($W$2:$W$1001,MATCH(ROWS($U$2:U273),$U$2:$U$1001,0),0), INDEX($AB$1004:$AQ$1004,1,MATCH(COLUMNS($AB$1006:AL1006),$AB$1006:$AQ$1006,0)))),"Fix")))</f>
        <v>0</v>
      </c>
      <c r="M273" s="5">
        <f>IF(OR(INDEX($V$2:$V$1001,MATCH(ROWS($U$2:U273),$U$2:$U$1001,0),1)&gt;=100000,INDEX($AB$1005:$AQ$1005,1,MATCH(COLUMNS($AB$1006:AM1006),$AB$1006:$AQ$1006,0))&gt;=100000), " ",IF(INDEX($AB$2:$AQ$1001,MATCH(ROWS($U$2:U273),$U$2:$U$1001,0),MATCH(COLUMNS($AB$1006:AM1006),$AB$1006:$AQ$1006,0)), HYPERLINK("#",""), HYPERLINK(CONCATENATE("#Metadata!", ADDRESS(INDEX($W$2:$W$1001,MATCH(ROWS($U$2:U273),$U$2:$U$1001,0),0), INDEX($AB$1004:$AQ$1004,1,MATCH(COLUMNS($AB$1006:AM1006),$AB$1006:$AQ$1006,0)))),"Fix")))</f>
        <v>0</v>
      </c>
      <c r="N273" s="5">
        <f>IF(OR(INDEX($V$2:$V$1001,MATCH(ROWS($U$2:U273),$U$2:$U$1001,0),1)&gt;=100000,INDEX($AB$1005:$AQ$1005,1,MATCH(COLUMNS($AB$1006:AN1006),$AB$1006:$AQ$1006,0))&gt;=100000), " ",IF(INDEX($AB$2:$AQ$1001,MATCH(ROWS($U$2:U273),$U$2:$U$1001,0),MATCH(COLUMNS($AB$1006:AN1006),$AB$1006:$AQ$1006,0)), HYPERLINK("#",""), HYPERLINK(CONCATENATE("#Metadata!", ADDRESS(INDEX($W$2:$W$1001,MATCH(ROWS($U$2:U273),$U$2:$U$1001,0),0), INDEX($AB$1004:$AQ$1004,1,MATCH(COLUMNS($AB$1006:AN1006),$AB$1006:$AQ$1006,0)))),"Fix")))</f>
        <v>0</v>
      </c>
      <c r="O273" s="5">
        <f>IF(OR(INDEX($V$2:$V$1001,MATCH(ROWS($U$2:U273),$U$2:$U$1001,0),1)&gt;=100000,INDEX($AB$1005:$AQ$1005,1,MATCH(COLUMNS($AB$1006:AO1006),$AB$1006:$AQ$1006,0))&gt;=100000), " ",IF(INDEX($AB$2:$AQ$1001,MATCH(ROWS($U$2:U273),$U$2:$U$1001,0),MATCH(COLUMNS($AB$1006:AO1006),$AB$1006:$AQ$1006,0)), HYPERLINK("#",""), HYPERLINK(CONCATENATE("#Metadata!", ADDRESS(INDEX($W$2:$W$1001,MATCH(ROWS($U$2:U273),$U$2:$U$1001,0),0), INDEX($AB$1004:$AQ$1004,1,MATCH(COLUMNS($AB$1006:AO1006),$AB$1006:$AQ$1006,0)))),"Fix")))</f>
        <v>0</v>
      </c>
      <c r="P273" s="5">
        <f>IF(OR(INDEX($V$2:$V$1001,MATCH(ROWS($U$2:U273),$U$2:$U$1001,0),1)&gt;=100000,INDEX($AB$1005:$AQ$1005,1,MATCH(COLUMNS($AB$1006:AP1006),$AB$1006:$AQ$1006,0))&gt;=100000), " ",IF(INDEX($AB$2:$AQ$1001,MATCH(ROWS($U$2:U273),$U$2:$U$1001,0),MATCH(COLUMNS($AB$1006:AP1006),$AB$1006:$AQ$1006,0)), HYPERLINK("#",""), HYPERLINK(CONCATENATE("#Metadata!", ADDRESS(INDEX($W$2:$W$1001,MATCH(ROWS($U$2:U273),$U$2:$U$1001,0),0), INDEX($AB$1004:$AQ$1004,1,MATCH(COLUMNS($AB$1006:AP1006),$AB$1006:$AQ$1006,0)))),"Fix")))</f>
        <v>0</v>
      </c>
      <c r="Q273" s="5">
        <f>IF(OR(INDEX($V$2:$V$1001,MATCH(ROWS($U$2:U273),$U$2:$U$1001,0),1)&gt;=100000,INDEX($AB$1005:$AQ$1005,1,MATCH(COLUMNS($AB$1006:AQ1006),$AB$1006:$AQ$1006,0))&gt;=100000), " ",IF(INDEX($AB$2:$AQ$1001,MATCH(ROWS($U$2:U273),$U$2:$U$1001,0),MATCH(COLUMNS($AB$1006:AQ1006),$AB$1006:$AQ$1006,0)), HYPERLINK("#",""), HYPERLINK(CONCATENATE("#Metadata!", ADDRESS(INDEX($W$2:$W$1001,MATCH(ROWS($U$2:U273),$U$2:$U$1001,0),0), INDEX($AB$1004:$AQ$1004,1,MATCH(COLUMNS($AB$1006:AQ1006),$AB$1006:$AQ$1006,0)))),"Fix")))</f>
        <v>0</v>
      </c>
      <c r="U273">
        <v>0</v>
      </c>
      <c r="V273">
        <v>0</v>
      </c>
      <c r="W273">
        <v>0</v>
      </c>
      <c r="X273">
        <f>IF(Y273,TRUE,AND(AB273:AQ273))</f>
        <v>0</v>
      </c>
      <c r="Y273">
        <f>COUNTBLANK(Metadata!B273:Q273)=COLUMNS(Metadata!B273:Q273)</f>
        <v>0</v>
      </c>
      <c r="Z273">
        <v>0</v>
      </c>
      <c r="AB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AC273">
        <f>AND(IF(Metadata!C273="",FALSE,TRUE),exact(Metadata!C273,"urban biome"))</f>
        <v>0</v>
      </c>
      <c r="AD273">
        <f>AND(IF(Metadata!D273="",FALSE,TRUE),exact(Metadata!D273,"human-associated habitat"))</f>
        <v>0</v>
      </c>
      <c r="AE273">
        <f>AND(IF(Metadata!E273="",FALSE,TRUE),OR(exact(Metadata!E273,"human-associated"),exact(Metadata!E273,"human-skin"),exact(Metadata!E273,"human-oral"),exact(Metadata!E273,"human-gut"),exact(Metadata!E273,"human-vaginal")))</f>
        <v>0</v>
      </c>
      <c r="AF273">
        <f>AND(IF(Metadata!F273="",FALSE,ISNUMBER(VALUE(Metadata!F273))),Metadata!F273&gt;0)</f>
        <v>0</v>
      </c>
      <c r="AG273">
        <f>AND(IF(Metadata!G273="",FALSE,TRUE),exact(Metadata!G273,"years"))</f>
        <v>0</v>
      </c>
      <c r="AH273">
        <f>OR(AND(IF(Metadata!H273="",FALSE,TRUE),OR(exact(Metadata!H273,"not applicable"),exact(Metadata!H273,"not collected"),exact(Metadata!H273,"not provided"),exact(Metadata!H273,"restricted access"))),AND(IF(Metadata!H273="",FALSE,ISNUMBER(VALUE(Metadata!H273))),Metadata!H273&gt;0))</f>
        <v>0</v>
      </c>
      <c r="AI273">
        <f>AND(IF(Metadata!I273="",FALSE,TRUE),exact(Metadata!I273,"human"))</f>
        <v>0</v>
      </c>
      <c r="AJ273">
        <f>AND(IF(Metadata!J273="",FALSE,ISNUMBER(VALUE(Metadata!J273))),Metadata!J273&gt;0)</f>
        <v>0</v>
      </c>
      <c r="AK273">
        <f>AND(IF(Metadata!K273="",FALSE,TRUE),exact(Metadata!K273,"cm"))</f>
        <v>0</v>
      </c>
      <c r="AL273">
        <f>AND(IF(Metadata!L273="",FALSE,TRUE),exact(Metadata!L273,"Homo sapiens"))</f>
        <v>0</v>
      </c>
      <c r="AM273">
        <f>AND(IF(Metadata!M273="",FALSE,TRUE),exact(Metadata!M273,"9606"))</f>
        <v>0</v>
      </c>
      <c r="AN273">
        <f>AND(IF(Metadata!N273="",FALSE,ISNUMBER(VALUE(Metadata!N273))),Metadata!N273&gt;0)</f>
        <v>0</v>
      </c>
      <c r="AO273">
        <f>AND(IF(Metadata!O273="",FALSE,TRUE),exact(Metadata!O273,"kg"))</f>
        <v>0</v>
      </c>
      <c r="AP273">
        <f>OR(AND(IF(Metadata!P273="",FALSE,TRUE),exact(Metadata!P273,"not provided")),IF(Metadata!P273="",FALSE,TRUE))</f>
        <v>0</v>
      </c>
      <c r="AQ273">
        <f>OR(AND(IF(Metadata!Q273="",FALSE,TRUE),exact(Metadata!Q273,"not provided")),IF(Metadata!Q273="",FALSE,TRUE))</f>
        <v>0</v>
      </c>
    </row>
    <row r="274" spans="1:43">
      <c r="A274" s="4">
        <f>IF(B274=" "," ",HYPERLINK(CONCATENATE("#metadata!",ADDRESS(INDEX($W$2:$W$1001,MATCH(ROWS($U$2:U274),$U$2:$U$1001,0),0),2)),INDEX($Z$2:$Z$1001,MATCH(ROWS($U$2:U274),$U$2:$U$1001,0),0)))</f>
        <v>0</v>
      </c>
      <c r="B274" s="5">
        <f>IF(OR(INDEX($V$2:$V$1001,MATCH(ROWS($U$2:U274),$U$2:$U$1001,0),1)&gt;=100000,INDEX($AB$1005:$AQ$1005,1,MATCH(COLUMNS($AB$1006:AB1006),$AB$1006:$AQ$1006,0))&gt;=100000), " ",IF(INDEX($AB$2:$AQ$1001,MATCH(ROWS($U$2:U274),$U$2:$U$1001,0),MATCH(COLUMNS($AB$1006:AB1006),$AB$1006:$AQ$1006,0)), HYPERLINK("#",""), HYPERLINK(CONCATENATE("#Metadata!", ADDRESS(INDEX($W$2:$W$1001,MATCH(ROWS($U$2:U274),$U$2:$U$1001,0),0), INDEX($AB$1004:$AQ$1004,1,MATCH(COLUMNS($AB$1006:AB1006),$AB$1006:$AQ$1006,0)))),"Fix")))</f>
        <v>0</v>
      </c>
      <c r="C274" s="5">
        <f>IF(OR(INDEX($V$2:$V$1001,MATCH(ROWS($U$2:U274),$U$2:$U$1001,0),1)&gt;=100000,INDEX($AB$1005:$AQ$1005,1,MATCH(COLUMNS($AB$1006:AC1006),$AB$1006:$AQ$1006,0))&gt;=100000), " ",IF(INDEX($AB$2:$AQ$1001,MATCH(ROWS($U$2:U274),$U$2:$U$1001,0),MATCH(COLUMNS($AB$1006:AC1006),$AB$1006:$AQ$1006,0)), HYPERLINK("#",""), HYPERLINK(CONCATENATE("#Metadata!", ADDRESS(INDEX($W$2:$W$1001,MATCH(ROWS($U$2:U274),$U$2:$U$1001,0),0), INDEX($AB$1004:$AQ$1004,1,MATCH(COLUMNS($AB$1006:AC1006),$AB$1006:$AQ$1006,0)))),"Fix")))</f>
        <v>0</v>
      </c>
      <c r="D274" s="5">
        <f>IF(OR(INDEX($V$2:$V$1001,MATCH(ROWS($U$2:U274),$U$2:$U$1001,0),1)&gt;=100000,INDEX($AB$1005:$AQ$1005,1,MATCH(COLUMNS($AB$1006:AD1006),$AB$1006:$AQ$1006,0))&gt;=100000), " ",IF(INDEX($AB$2:$AQ$1001,MATCH(ROWS($U$2:U274),$U$2:$U$1001,0),MATCH(COLUMNS($AB$1006:AD1006),$AB$1006:$AQ$1006,0)), HYPERLINK("#",""), HYPERLINK(CONCATENATE("#Metadata!", ADDRESS(INDEX($W$2:$W$1001,MATCH(ROWS($U$2:U274),$U$2:$U$1001,0),0), INDEX($AB$1004:$AQ$1004,1,MATCH(COLUMNS($AB$1006:AD1006),$AB$1006:$AQ$1006,0)))),"Fix")))</f>
        <v>0</v>
      </c>
      <c r="E274" s="5">
        <f>IF(OR(INDEX($V$2:$V$1001,MATCH(ROWS($U$2:U274),$U$2:$U$1001,0),1)&gt;=100000,INDEX($AB$1005:$AQ$1005,1,MATCH(COLUMNS($AB$1006:AE1006),$AB$1006:$AQ$1006,0))&gt;=100000), " ",IF(INDEX($AB$2:$AQ$1001,MATCH(ROWS($U$2:U274),$U$2:$U$1001,0),MATCH(COLUMNS($AB$1006:AE1006),$AB$1006:$AQ$1006,0)), HYPERLINK("#",""), HYPERLINK(CONCATENATE("#Metadata!", ADDRESS(INDEX($W$2:$W$1001,MATCH(ROWS($U$2:U274),$U$2:$U$1001,0),0), INDEX($AB$1004:$AQ$1004,1,MATCH(COLUMNS($AB$1006:AE1006),$AB$1006:$AQ$1006,0)))),"Fix")))</f>
        <v>0</v>
      </c>
      <c r="F274" s="5">
        <f>IF(OR(INDEX($V$2:$V$1001,MATCH(ROWS($U$2:U274),$U$2:$U$1001,0),1)&gt;=100000,INDEX($AB$1005:$AQ$1005,1,MATCH(COLUMNS($AB$1006:AF1006),$AB$1006:$AQ$1006,0))&gt;=100000), " ",IF(INDEX($AB$2:$AQ$1001,MATCH(ROWS($U$2:U274),$U$2:$U$1001,0),MATCH(COLUMNS($AB$1006:AF1006),$AB$1006:$AQ$1006,0)), HYPERLINK("#",""), HYPERLINK(CONCATENATE("#Metadata!", ADDRESS(INDEX($W$2:$W$1001,MATCH(ROWS($U$2:U274),$U$2:$U$1001,0),0), INDEX($AB$1004:$AQ$1004,1,MATCH(COLUMNS($AB$1006:AF1006),$AB$1006:$AQ$1006,0)))),"Fix")))</f>
        <v>0</v>
      </c>
      <c r="G274" s="5">
        <f>IF(OR(INDEX($V$2:$V$1001,MATCH(ROWS($U$2:U274),$U$2:$U$1001,0),1)&gt;=100000,INDEX($AB$1005:$AQ$1005,1,MATCH(COLUMNS($AB$1006:AG1006),$AB$1006:$AQ$1006,0))&gt;=100000), " ",IF(INDEX($AB$2:$AQ$1001,MATCH(ROWS($U$2:U274),$U$2:$U$1001,0),MATCH(COLUMNS($AB$1006:AG1006),$AB$1006:$AQ$1006,0)), HYPERLINK("#",""), HYPERLINK(CONCATENATE("#Metadata!", ADDRESS(INDEX($W$2:$W$1001,MATCH(ROWS($U$2:U274),$U$2:$U$1001,0),0), INDEX($AB$1004:$AQ$1004,1,MATCH(COLUMNS($AB$1006:AG1006),$AB$1006:$AQ$1006,0)))),"Fix")))</f>
        <v>0</v>
      </c>
      <c r="H274" s="5">
        <f>IF(OR(INDEX($V$2:$V$1001,MATCH(ROWS($U$2:U274),$U$2:$U$1001,0),1)&gt;=100000,INDEX($AB$1005:$AQ$1005,1,MATCH(COLUMNS($AB$1006:AH1006),$AB$1006:$AQ$1006,0))&gt;=100000), " ",IF(INDEX($AB$2:$AQ$1001,MATCH(ROWS($U$2:U274),$U$2:$U$1001,0),MATCH(COLUMNS($AB$1006:AH1006),$AB$1006:$AQ$1006,0)), HYPERLINK("#",""), HYPERLINK(CONCATENATE("#Metadata!", ADDRESS(INDEX($W$2:$W$1001,MATCH(ROWS($U$2:U274),$U$2:$U$1001,0),0), INDEX($AB$1004:$AQ$1004,1,MATCH(COLUMNS($AB$1006:AH1006),$AB$1006:$AQ$1006,0)))),"Fix")))</f>
        <v>0</v>
      </c>
      <c r="I274" s="5">
        <f>IF(OR(INDEX($V$2:$V$1001,MATCH(ROWS($U$2:U274),$U$2:$U$1001,0),1)&gt;=100000,INDEX($AB$1005:$AQ$1005,1,MATCH(COLUMNS($AB$1006:AI1006),$AB$1006:$AQ$1006,0))&gt;=100000), " ",IF(INDEX($AB$2:$AQ$1001,MATCH(ROWS($U$2:U274),$U$2:$U$1001,0),MATCH(COLUMNS($AB$1006:AI1006),$AB$1006:$AQ$1006,0)), HYPERLINK("#",""), HYPERLINK(CONCATENATE("#Metadata!", ADDRESS(INDEX($W$2:$W$1001,MATCH(ROWS($U$2:U274),$U$2:$U$1001,0),0), INDEX($AB$1004:$AQ$1004,1,MATCH(COLUMNS($AB$1006:AI1006),$AB$1006:$AQ$1006,0)))),"Fix")))</f>
        <v>0</v>
      </c>
      <c r="J274" s="5">
        <f>IF(OR(INDEX($V$2:$V$1001,MATCH(ROWS($U$2:U274),$U$2:$U$1001,0),1)&gt;=100000,INDEX($AB$1005:$AQ$1005,1,MATCH(COLUMNS($AB$1006:AJ1006),$AB$1006:$AQ$1006,0))&gt;=100000), " ",IF(INDEX($AB$2:$AQ$1001,MATCH(ROWS($U$2:U274),$U$2:$U$1001,0),MATCH(COLUMNS($AB$1006:AJ1006),$AB$1006:$AQ$1006,0)), HYPERLINK("#",""), HYPERLINK(CONCATENATE("#Metadata!", ADDRESS(INDEX($W$2:$W$1001,MATCH(ROWS($U$2:U274),$U$2:$U$1001,0),0), INDEX($AB$1004:$AQ$1004,1,MATCH(COLUMNS($AB$1006:AJ1006),$AB$1006:$AQ$1006,0)))),"Fix")))</f>
        <v>0</v>
      </c>
      <c r="K274" s="5">
        <f>IF(OR(INDEX($V$2:$V$1001,MATCH(ROWS($U$2:U274),$U$2:$U$1001,0),1)&gt;=100000,INDEX($AB$1005:$AQ$1005,1,MATCH(COLUMNS($AB$1006:AK1006),$AB$1006:$AQ$1006,0))&gt;=100000), " ",IF(INDEX($AB$2:$AQ$1001,MATCH(ROWS($U$2:U274),$U$2:$U$1001,0),MATCH(COLUMNS($AB$1006:AK1006),$AB$1006:$AQ$1006,0)), HYPERLINK("#",""), HYPERLINK(CONCATENATE("#Metadata!", ADDRESS(INDEX($W$2:$W$1001,MATCH(ROWS($U$2:U274),$U$2:$U$1001,0),0), INDEX($AB$1004:$AQ$1004,1,MATCH(COLUMNS($AB$1006:AK1006),$AB$1006:$AQ$1006,0)))),"Fix")))</f>
        <v>0</v>
      </c>
      <c r="L274" s="5">
        <f>IF(OR(INDEX($V$2:$V$1001,MATCH(ROWS($U$2:U274),$U$2:$U$1001,0),1)&gt;=100000,INDEX($AB$1005:$AQ$1005,1,MATCH(COLUMNS($AB$1006:AL1006),$AB$1006:$AQ$1006,0))&gt;=100000), " ",IF(INDEX($AB$2:$AQ$1001,MATCH(ROWS($U$2:U274),$U$2:$U$1001,0),MATCH(COLUMNS($AB$1006:AL1006),$AB$1006:$AQ$1006,0)), HYPERLINK("#",""), HYPERLINK(CONCATENATE("#Metadata!", ADDRESS(INDEX($W$2:$W$1001,MATCH(ROWS($U$2:U274),$U$2:$U$1001,0),0), INDEX($AB$1004:$AQ$1004,1,MATCH(COLUMNS($AB$1006:AL1006),$AB$1006:$AQ$1006,0)))),"Fix")))</f>
        <v>0</v>
      </c>
      <c r="M274" s="5">
        <f>IF(OR(INDEX($V$2:$V$1001,MATCH(ROWS($U$2:U274),$U$2:$U$1001,0),1)&gt;=100000,INDEX($AB$1005:$AQ$1005,1,MATCH(COLUMNS($AB$1006:AM1006),$AB$1006:$AQ$1006,0))&gt;=100000), " ",IF(INDEX($AB$2:$AQ$1001,MATCH(ROWS($U$2:U274),$U$2:$U$1001,0),MATCH(COLUMNS($AB$1006:AM1006),$AB$1006:$AQ$1006,0)), HYPERLINK("#",""), HYPERLINK(CONCATENATE("#Metadata!", ADDRESS(INDEX($W$2:$W$1001,MATCH(ROWS($U$2:U274),$U$2:$U$1001,0),0), INDEX($AB$1004:$AQ$1004,1,MATCH(COLUMNS($AB$1006:AM1006),$AB$1006:$AQ$1006,0)))),"Fix")))</f>
        <v>0</v>
      </c>
      <c r="N274" s="5">
        <f>IF(OR(INDEX($V$2:$V$1001,MATCH(ROWS($U$2:U274),$U$2:$U$1001,0),1)&gt;=100000,INDEX($AB$1005:$AQ$1005,1,MATCH(COLUMNS($AB$1006:AN1006),$AB$1006:$AQ$1006,0))&gt;=100000), " ",IF(INDEX($AB$2:$AQ$1001,MATCH(ROWS($U$2:U274),$U$2:$U$1001,0),MATCH(COLUMNS($AB$1006:AN1006),$AB$1006:$AQ$1006,0)), HYPERLINK("#",""), HYPERLINK(CONCATENATE("#Metadata!", ADDRESS(INDEX($W$2:$W$1001,MATCH(ROWS($U$2:U274),$U$2:$U$1001,0),0), INDEX($AB$1004:$AQ$1004,1,MATCH(COLUMNS($AB$1006:AN1006),$AB$1006:$AQ$1006,0)))),"Fix")))</f>
        <v>0</v>
      </c>
      <c r="O274" s="5">
        <f>IF(OR(INDEX($V$2:$V$1001,MATCH(ROWS($U$2:U274),$U$2:$U$1001,0),1)&gt;=100000,INDEX($AB$1005:$AQ$1005,1,MATCH(COLUMNS($AB$1006:AO1006),$AB$1006:$AQ$1006,0))&gt;=100000), " ",IF(INDEX($AB$2:$AQ$1001,MATCH(ROWS($U$2:U274),$U$2:$U$1001,0),MATCH(COLUMNS($AB$1006:AO1006),$AB$1006:$AQ$1006,0)), HYPERLINK("#",""), HYPERLINK(CONCATENATE("#Metadata!", ADDRESS(INDEX($W$2:$W$1001,MATCH(ROWS($U$2:U274),$U$2:$U$1001,0),0), INDEX($AB$1004:$AQ$1004,1,MATCH(COLUMNS($AB$1006:AO1006),$AB$1006:$AQ$1006,0)))),"Fix")))</f>
        <v>0</v>
      </c>
      <c r="P274" s="5">
        <f>IF(OR(INDEX($V$2:$V$1001,MATCH(ROWS($U$2:U274),$U$2:$U$1001,0),1)&gt;=100000,INDEX($AB$1005:$AQ$1005,1,MATCH(COLUMNS($AB$1006:AP1006),$AB$1006:$AQ$1006,0))&gt;=100000), " ",IF(INDEX($AB$2:$AQ$1001,MATCH(ROWS($U$2:U274),$U$2:$U$1001,0),MATCH(COLUMNS($AB$1006:AP1006),$AB$1006:$AQ$1006,0)), HYPERLINK("#",""), HYPERLINK(CONCATENATE("#Metadata!", ADDRESS(INDEX($W$2:$W$1001,MATCH(ROWS($U$2:U274),$U$2:$U$1001,0),0), INDEX($AB$1004:$AQ$1004,1,MATCH(COLUMNS($AB$1006:AP1006),$AB$1006:$AQ$1006,0)))),"Fix")))</f>
        <v>0</v>
      </c>
      <c r="Q274" s="5">
        <f>IF(OR(INDEX($V$2:$V$1001,MATCH(ROWS($U$2:U274),$U$2:$U$1001,0),1)&gt;=100000,INDEX($AB$1005:$AQ$1005,1,MATCH(COLUMNS($AB$1006:AQ1006),$AB$1006:$AQ$1006,0))&gt;=100000), " ",IF(INDEX($AB$2:$AQ$1001,MATCH(ROWS($U$2:U274),$U$2:$U$1001,0),MATCH(COLUMNS($AB$1006:AQ1006),$AB$1006:$AQ$1006,0)), HYPERLINK("#",""), HYPERLINK(CONCATENATE("#Metadata!", ADDRESS(INDEX($W$2:$W$1001,MATCH(ROWS($U$2:U274),$U$2:$U$1001,0),0), INDEX($AB$1004:$AQ$1004,1,MATCH(COLUMNS($AB$1006:AQ1006),$AB$1006:$AQ$1006,0)))),"Fix")))</f>
        <v>0</v>
      </c>
      <c r="U274">
        <v>0</v>
      </c>
      <c r="V274">
        <v>0</v>
      </c>
      <c r="W274">
        <v>0</v>
      </c>
      <c r="X274">
        <f>IF(Y274,TRUE,AND(AB274:AQ274))</f>
        <v>0</v>
      </c>
      <c r="Y274">
        <f>COUNTBLANK(Metadata!B274:Q274)=COLUMNS(Metadata!B274:Q274)</f>
        <v>0</v>
      </c>
      <c r="Z274">
        <v>0</v>
      </c>
      <c r="AB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AC274">
        <f>AND(IF(Metadata!C274="",FALSE,TRUE),exact(Metadata!C274,"urban biome"))</f>
        <v>0</v>
      </c>
      <c r="AD274">
        <f>AND(IF(Metadata!D274="",FALSE,TRUE),exact(Metadata!D274,"human-associated habitat"))</f>
        <v>0</v>
      </c>
      <c r="AE274">
        <f>AND(IF(Metadata!E274="",FALSE,TRUE),OR(exact(Metadata!E274,"human-associated"),exact(Metadata!E274,"human-skin"),exact(Metadata!E274,"human-oral"),exact(Metadata!E274,"human-gut"),exact(Metadata!E274,"human-vaginal")))</f>
        <v>0</v>
      </c>
      <c r="AF274">
        <f>AND(IF(Metadata!F274="",FALSE,ISNUMBER(VALUE(Metadata!F274))),Metadata!F274&gt;0)</f>
        <v>0</v>
      </c>
      <c r="AG274">
        <f>AND(IF(Metadata!G274="",FALSE,TRUE),exact(Metadata!G274,"years"))</f>
        <v>0</v>
      </c>
      <c r="AH274">
        <f>OR(AND(IF(Metadata!H274="",FALSE,TRUE),OR(exact(Metadata!H274,"not applicable"),exact(Metadata!H274,"not collected"),exact(Metadata!H274,"not provided"),exact(Metadata!H274,"restricted access"))),AND(IF(Metadata!H274="",FALSE,ISNUMBER(VALUE(Metadata!H274))),Metadata!H274&gt;0))</f>
        <v>0</v>
      </c>
      <c r="AI274">
        <f>AND(IF(Metadata!I274="",FALSE,TRUE),exact(Metadata!I274,"human"))</f>
        <v>0</v>
      </c>
      <c r="AJ274">
        <f>AND(IF(Metadata!J274="",FALSE,ISNUMBER(VALUE(Metadata!J274))),Metadata!J274&gt;0)</f>
        <v>0</v>
      </c>
      <c r="AK274">
        <f>AND(IF(Metadata!K274="",FALSE,TRUE),exact(Metadata!K274,"cm"))</f>
        <v>0</v>
      </c>
      <c r="AL274">
        <f>AND(IF(Metadata!L274="",FALSE,TRUE),exact(Metadata!L274,"Homo sapiens"))</f>
        <v>0</v>
      </c>
      <c r="AM274">
        <f>AND(IF(Metadata!M274="",FALSE,TRUE),exact(Metadata!M274,"9606"))</f>
        <v>0</v>
      </c>
      <c r="AN274">
        <f>AND(IF(Metadata!N274="",FALSE,ISNUMBER(VALUE(Metadata!N274))),Metadata!N274&gt;0)</f>
        <v>0</v>
      </c>
      <c r="AO274">
        <f>AND(IF(Metadata!O274="",FALSE,TRUE),exact(Metadata!O274,"kg"))</f>
        <v>0</v>
      </c>
      <c r="AP274">
        <f>OR(AND(IF(Metadata!P274="",FALSE,TRUE),exact(Metadata!P274,"not provided")),IF(Metadata!P274="",FALSE,TRUE))</f>
        <v>0</v>
      </c>
      <c r="AQ274">
        <f>OR(AND(IF(Metadata!Q274="",FALSE,TRUE),exact(Metadata!Q274,"not provided")),IF(Metadata!Q274="",FALSE,TRUE))</f>
        <v>0</v>
      </c>
    </row>
    <row r="275" spans="1:43">
      <c r="A275" s="4">
        <f>IF(B275=" "," ",HYPERLINK(CONCATENATE("#metadata!",ADDRESS(INDEX($W$2:$W$1001,MATCH(ROWS($U$2:U275),$U$2:$U$1001,0),0),2)),INDEX($Z$2:$Z$1001,MATCH(ROWS($U$2:U275),$U$2:$U$1001,0),0)))</f>
        <v>0</v>
      </c>
      <c r="B275" s="5">
        <f>IF(OR(INDEX($V$2:$V$1001,MATCH(ROWS($U$2:U275),$U$2:$U$1001,0),1)&gt;=100000,INDEX($AB$1005:$AQ$1005,1,MATCH(COLUMNS($AB$1006:AB1006),$AB$1006:$AQ$1006,0))&gt;=100000), " ",IF(INDEX($AB$2:$AQ$1001,MATCH(ROWS($U$2:U275),$U$2:$U$1001,0),MATCH(COLUMNS($AB$1006:AB1006),$AB$1006:$AQ$1006,0)), HYPERLINK("#",""), HYPERLINK(CONCATENATE("#Metadata!", ADDRESS(INDEX($W$2:$W$1001,MATCH(ROWS($U$2:U275),$U$2:$U$1001,0),0), INDEX($AB$1004:$AQ$1004,1,MATCH(COLUMNS($AB$1006:AB1006),$AB$1006:$AQ$1006,0)))),"Fix")))</f>
        <v>0</v>
      </c>
      <c r="C275" s="5">
        <f>IF(OR(INDEX($V$2:$V$1001,MATCH(ROWS($U$2:U275),$U$2:$U$1001,0),1)&gt;=100000,INDEX($AB$1005:$AQ$1005,1,MATCH(COLUMNS($AB$1006:AC1006),$AB$1006:$AQ$1006,0))&gt;=100000), " ",IF(INDEX($AB$2:$AQ$1001,MATCH(ROWS($U$2:U275),$U$2:$U$1001,0),MATCH(COLUMNS($AB$1006:AC1006),$AB$1006:$AQ$1006,0)), HYPERLINK("#",""), HYPERLINK(CONCATENATE("#Metadata!", ADDRESS(INDEX($W$2:$W$1001,MATCH(ROWS($U$2:U275),$U$2:$U$1001,0),0), INDEX($AB$1004:$AQ$1004,1,MATCH(COLUMNS($AB$1006:AC1006),$AB$1006:$AQ$1006,0)))),"Fix")))</f>
        <v>0</v>
      </c>
      <c r="D275" s="5">
        <f>IF(OR(INDEX($V$2:$V$1001,MATCH(ROWS($U$2:U275),$U$2:$U$1001,0),1)&gt;=100000,INDEX($AB$1005:$AQ$1005,1,MATCH(COLUMNS($AB$1006:AD1006),$AB$1006:$AQ$1006,0))&gt;=100000), " ",IF(INDEX($AB$2:$AQ$1001,MATCH(ROWS($U$2:U275),$U$2:$U$1001,0),MATCH(COLUMNS($AB$1006:AD1006),$AB$1006:$AQ$1006,0)), HYPERLINK("#",""), HYPERLINK(CONCATENATE("#Metadata!", ADDRESS(INDEX($W$2:$W$1001,MATCH(ROWS($U$2:U275),$U$2:$U$1001,0),0), INDEX($AB$1004:$AQ$1004,1,MATCH(COLUMNS($AB$1006:AD1006),$AB$1006:$AQ$1006,0)))),"Fix")))</f>
        <v>0</v>
      </c>
      <c r="E275" s="5">
        <f>IF(OR(INDEX($V$2:$V$1001,MATCH(ROWS($U$2:U275),$U$2:$U$1001,0),1)&gt;=100000,INDEX($AB$1005:$AQ$1005,1,MATCH(COLUMNS($AB$1006:AE1006),$AB$1006:$AQ$1006,0))&gt;=100000), " ",IF(INDEX($AB$2:$AQ$1001,MATCH(ROWS($U$2:U275),$U$2:$U$1001,0),MATCH(COLUMNS($AB$1006:AE1006),$AB$1006:$AQ$1006,0)), HYPERLINK("#",""), HYPERLINK(CONCATENATE("#Metadata!", ADDRESS(INDEX($W$2:$W$1001,MATCH(ROWS($U$2:U275),$U$2:$U$1001,0),0), INDEX($AB$1004:$AQ$1004,1,MATCH(COLUMNS($AB$1006:AE1006),$AB$1006:$AQ$1006,0)))),"Fix")))</f>
        <v>0</v>
      </c>
      <c r="F275" s="5">
        <f>IF(OR(INDEX($V$2:$V$1001,MATCH(ROWS($U$2:U275),$U$2:$U$1001,0),1)&gt;=100000,INDEX($AB$1005:$AQ$1005,1,MATCH(COLUMNS($AB$1006:AF1006),$AB$1006:$AQ$1006,0))&gt;=100000), " ",IF(INDEX($AB$2:$AQ$1001,MATCH(ROWS($U$2:U275),$U$2:$U$1001,0),MATCH(COLUMNS($AB$1006:AF1006),$AB$1006:$AQ$1006,0)), HYPERLINK("#",""), HYPERLINK(CONCATENATE("#Metadata!", ADDRESS(INDEX($W$2:$W$1001,MATCH(ROWS($U$2:U275),$U$2:$U$1001,0),0), INDEX($AB$1004:$AQ$1004,1,MATCH(COLUMNS($AB$1006:AF1006),$AB$1006:$AQ$1006,0)))),"Fix")))</f>
        <v>0</v>
      </c>
      <c r="G275" s="5">
        <f>IF(OR(INDEX($V$2:$V$1001,MATCH(ROWS($U$2:U275),$U$2:$U$1001,0),1)&gt;=100000,INDEX($AB$1005:$AQ$1005,1,MATCH(COLUMNS($AB$1006:AG1006),$AB$1006:$AQ$1006,0))&gt;=100000), " ",IF(INDEX($AB$2:$AQ$1001,MATCH(ROWS($U$2:U275),$U$2:$U$1001,0),MATCH(COLUMNS($AB$1006:AG1006),$AB$1006:$AQ$1006,0)), HYPERLINK("#",""), HYPERLINK(CONCATENATE("#Metadata!", ADDRESS(INDEX($W$2:$W$1001,MATCH(ROWS($U$2:U275),$U$2:$U$1001,0),0), INDEX($AB$1004:$AQ$1004,1,MATCH(COLUMNS($AB$1006:AG1006),$AB$1006:$AQ$1006,0)))),"Fix")))</f>
        <v>0</v>
      </c>
      <c r="H275" s="5">
        <f>IF(OR(INDEX($V$2:$V$1001,MATCH(ROWS($U$2:U275),$U$2:$U$1001,0),1)&gt;=100000,INDEX($AB$1005:$AQ$1005,1,MATCH(COLUMNS($AB$1006:AH1006),$AB$1006:$AQ$1006,0))&gt;=100000), " ",IF(INDEX($AB$2:$AQ$1001,MATCH(ROWS($U$2:U275),$U$2:$U$1001,0),MATCH(COLUMNS($AB$1006:AH1006),$AB$1006:$AQ$1006,0)), HYPERLINK("#",""), HYPERLINK(CONCATENATE("#Metadata!", ADDRESS(INDEX($W$2:$W$1001,MATCH(ROWS($U$2:U275),$U$2:$U$1001,0),0), INDEX($AB$1004:$AQ$1004,1,MATCH(COLUMNS($AB$1006:AH1006),$AB$1006:$AQ$1006,0)))),"Fix")))</f>
        <v>0</v>
      </c>
      <c r="I275" s="5">
        <f>IF(OR(INDEX($V$2:$V$1001,MATCH(ROWS($U$2:U275),$U$2:$U$1001,0),1)&gt;=100000,INDEX($AB$1005:$AQ$1005,1,MATCH(COLUMNS($AB$1006:AI1006),$AB$1006:$AQ$1006,0))&gt;=100000), " ",IF(INDEX($AB$2:$AQ$1001,MATCH(ROWS($U$2:U275),$U$2:$U$1001,0),MATCH(COLUMNS($AB$1006:AI1006),$AB$1006:$AQ$1006,0)), HYPERLINK("#",""), HYPERLINK(CONCATENATE("#Metadata!", ADDRESS(INDEX($W$2:$W$1001,MATCH(ROWS($U$2:U275),$U$2:$U$1001,0),0), INDEX($AB$1004:$AQ$1004,1,MATCH(COLUMNS($AB$1006:AI1006),$AB$1006:$AQ$1006,0)))),"Fix")))</f>
        <v>0</v>
      </c>
      <c r="J275" s="5">
        <f>IF(OR(INDEX($V$2:$V$1001,MATCH(ROWS($U$2:U275),$U$2:$U$1001,0),1)&gt;=100000,INDEX($AB$1005:$AQ$1005,1,MATCH(COLUMNS($AB$1006:AJ1006),$AB$1006:$AQ$1006,0))&gt;=100000), " ",IF(INDEX($AB$2:$AQ$1001,MATCH(ROWS($U$2:U275),$U$2:$U$1001,0),MATCH(COLUMNS($AB$1006:AJ1006),$AB$1006:$AQ$1006,0)), HYPERLINK("#",""), HYPERLINK(CONCATENATE("#Metadata!", ADDRESS(INDEX($W$2:$W$1001,MATCH(ROWS($U$2:U275),$U$2:$U$1001,0),0), INDEX($AB$1004:$AQ$1004,1,MATCH(COLUMNS($AB$1006:AJ1006),$AB$1006:$AQ$1006,0)))),"Fix")))</f>
        <v>0</v>
      </c>
      <c r="K275" s="5">
        <f>IF(OR(INDEX($V$2:$V$1001,MATCH(ROWS($U$2:U275),$U$2:$U$1001,0),1)&gt;=100000,INDEX($AB$1005:$AQ$1005,1,MATCH(COLUMNS($AB$1006:AK1006),$AB$1006:$AQ$1006,0))&gt;=100000), " ",IF(INDEX($AB$2:$AQ$1001,MATCH(ROWS($U$2:U275),$U$2:$U$1001,0),MATCH(COLUMNS($AB$1006:AK1006),$AB$1006:$AQ$1006,0)), HYPERLINK("#",""), HYPERLINK(CONCATENATE("#Metadata!", ADDRESS(INDEX($W$2:$W$1001,MATCH(ROWS($U$2:U275),$U$2:$U$1001,0),0), INDEX($AB$1004:$AQ$1004,1,MATCH(COLUMNS($AB$1006:AK1006),$AB$1006:$AQ$1006,0)))),"Fix")))</f>
        <v>0</v>
      </c>
      <c r="L275" s="5">
        <f>IF(OR(INDEX($V$2:$V$1001,MATCH(ROWS($U$2:U275),$U$2:$U$1001,0),1)&gt;=100000,INDEX($AB$1005:$AQ$1005,1,MATCH(COLUMNS($AB$1006:AL1006),$AB$1006:$AQ$1006,0))&gt;=100000), " ",IF(INDEX($AB$2:$AQ$1001,MATCH(ROWS($U$2:U275),$U$2:$U$1001,0),MATCH(COLUMNS($AB$1006:AL1006),$AB$1006:$AQ$1006,0)), HYPERLINK("#",""), HYPERLINK(CONCATENATE("#Metadata!", ADDRESS(INDEX($W$2:$W$1001,MATCH(ROWS($U$2:U275),$U$2:$U$1001,0),0), INDEX($AB$1004:$AQ$1004,1,MATCH(COLUMNS($AB$1006:AL1006),$AB$1006:$AQ$1006,0)))),"Fix")))</f>
        <v>0</v>
      </c>
      <c r="M275" s="5">
        <f>IF(OR(INDEX($V$2:$V$1001,MATCH(ROWS($U$2:U275),$U$2:$U$1001,0),1)&gt;=100000,INDEX($AB$1005:$AQ$1005,1,MATCH(COLUMNS($AB$1006:AM1006),$AB$1006:$AQ$1006,0))&gt;=100000), " ",IF(INDEX($AB$2:$AQ$1001,MATCH(ROWS($U$2:U275),$U$2:$U$1001,0),MATCH(COLUMNS($AB$1006:AM1006),$AB$1006:$AQ$1006,0)), HYPERLINK("#",""), HYPERLINK(CONCATENATE("#Metadata!", ADDRESS(INDEX($W$2:$W$1001,MATCH(ROWS($U$2:U275),$U$2:$U$1001,0),0), INDEX($AB$1004:$AQ$1004,1,MATCH(COLUMNS($AB$1006:AM1006),$AB$1006:$AQ$1006,0)))),"Fix")))</f>
        <v>0</v>
      </c>
      <c r="N275" s="5">
        <f>IF(OR(INDEX($V$2:$V$1001,MATCH(ROWS($U$2:U275),$U$2:$U$1001,0),1)&gt;=100000,INDEX($AB$1005:$AQ$1005,1,MATCH(COLUMNS($AB$1006:AN1006),$AB$1006:$AQ$1006,0))&gt;=100000), " ",IF(INDEX($AB$2:$AQ$1001,MATCH(ROWS($U$2:U275),$U$2:$U$1001,0),MATCH(COLUMNS($AB$1006:AN1006),$AB$1006:$AQ$1006,0)), HYPERLINK("#",""), HYPERLINK(CONCATENATE("#Metadata!", ADDRESS(INDEX($W$2:$W$1001,MATCH(ROWS($U$2:U275),$U$2:$U$1001,0),0), INDEX($AB$1004:$AQ$1004,1,MATCH(COLUMNS($AB$1006:AN1006),$AB$1006:$AQ$1006,0)))),"Fix")))</f>
        <v>0</v>
      </c>
      <c r="O275" s="5">
        <f>IF(OR(INDEX($V$2:$V$1001,MATCH(ROWS($U$2:U275),$U$2:$U$1001,0),1)&gt;=100000,INDEX($AB$1005:$AQ$1005,1,MATCH(COLUMNS($AB$1006:AO1006),$AB$1006:$AQ$1006,0))&gt;=100000), " ",IF(INDEX($AB$2:$AQ$1001,MATCH(ROWS($U$2:U275),$U$2:$U$1001,0),MATCH(COLUMNS($AB$1006:AO1006),$AB$1006:$AQ$1006,0)), HYPERLINK("#",""), HYPERLINK(CONCATENATE("#Metadata!", ADDRESS(INDEX($W$2:$W$1001,MATCH(ROWS($U$2:U275),$U$2:$U$1001,0),0), INDEX($AB$1004:$AQ$1004,1,MATCH(COLUMNS($AB$1006:AO1006),$AB$1006:$AQ$1006,0)))),"Fix")))</f>
        <v>0</v>
      </c>
      <c r="P275" s="5">
        <f>IF(OR(INDEX($V$2:$V$1001,MATCH(ROWS($U$2:U275),$U$2:$U$1001,0),1)&gt;=100000,INDEX($AB$1005:$AQ$1005,1,MATCH(COLUMNS($AB$1006:AP1006),$AB$1006:$AQ$1006,0))&gt;=100000), " ",IF(INDEX($AB$2:$AQ$1001,MATCH(ROWS($U$2:U275),$U$2:$U$1001,0),MATCH(COLUMNS($AB$1006:AP1006),$AB$1006:$AQ$1006,0)), HYPERLINK("#",""), HYPERLINK(CONCATENATE("#Metadata!", ADDRESS(INDEX($W$2:$W$1001,MATCH(ROWS($U$2:U275),$U$2:$U$1001,0),0), INDEX($AB$1004:$AQ$1004,1,MATCH(COLUMNS($AB$1006:AP1006),$AB$1006:$AQ$1006,0)))),"Fix")))</f>
        <v>0</v>
      </c>
      <c r="Q275" s="5">
        <f>IF(OR(INDEX($V$2:$V$1001,MATCH(ROWS($U$2:U275),$U$2:$U$1001,0),1)&gt;=100000,INDEX($AB$1005:$AQ$1005,1,MATCH(COLUMNS($AB$1006:AQ1006),$AB$1006:$AQ$1006,0))&gt;=100000), " ",IF(INDEX($AB$2:$AQ$1001,MATCH(ROWS($U$2:U275),$U$2:$U$1001,0),MATCH(COLUMNS($AB$1006:AQ1006),$AB$1006:$AQ$1006,0)), HYPERLINK("#",""), HYPERLINK(CONCATENATE("#Metadata!", ADDRESS(INDEX($W$2:$W$1001,MATCH(ROWS($U$2:U275),$U$2:$U$1001,0),0), INDEX($AB$1004:$AQ$1004,1,MATCH(COLUMNS($AB$1006:AQ1006),$AB$1006:$AQ$1006,0)))),"Fix")))</f>
        <v>0</v>
      </c>
      <c r="U275">
        <v>0</v>
      </c>
      <c r="V275">
        <v>0</v>
      </c>
      <c r="W275">
        <v>0</v>
      </c>
      <c r="X275">
        <f>IF(Y275,TRUE,AND(AB275:AQ275))</f>
        <v>0</v>
      </c>
      <c r="Y275">
        <f>COUNTBLANK(Metadata!B275:Q275)=COLUMNS(Metadata!B275:Q275)</f>
        <v>0</v>
      </c>
      <c r="Z275">
        <v>0</v>
      </c>
      <c r="AB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AC275">
        <f>AND(IF(Metadata!C275="",FALSE,TRUE),exact(Metadata!C275,"urban biome"))</f>
        <v>0</v>
      </c>
      <c r="AD275">
        <f>AND(IF(Metadata!D275="",FALSE,TRUE),exact(Metadata!D275,"human-associated habitat"))</f>
        <v>0</v>
      </c>
      <c r="AE275">
        <f>AND(IF(Metadata!E275="",FALSE,TRUE),OR(exact(Metadata!E275,"human-associated"),exact(Metadata!E275,"human-skin"),exact(Metadata!E275,"human-oral"),exact(Metadata!E275,"human-gut"),exact(Metadata!E275,"human-vaginal")))</f>
        <v>0</v>
      </c>
      <c r="AF275">
        <f>AND(IF(Metadata!F275="",FALSE,ISNUMBER(VALUE(Metadata!F275))),Metadata!F275&gt;0)</f>
        <v>0</v>
      </c>
      <c r="AG275">
        <f>AND(IF(Metadata!G275="",FALSE,TRUE),exact(Metadata!G275,"years"))</f>
        <v>0</v>
      </c>
      <c r="AH275">
        <f>OR(AND(IF(Metadata!H275="",FALSE,TRUE),OR(exact(Metadata!H275,"not applicable"),exact(Metadata!H275,"not collected"),exact(Metadata!H275,"not provided"),exact(Metadata!H275,"restricted access"))),AND(IF(Metadata!H275="",FALSE,ISNUMBER(VALUE(Metadata!H275))),Metadata!H275&gt;0))</f>
        <v>0</v>
      </c>
      <c r="AI275">
        <f>AND(IF(Metadata!I275="",FALSE,TRUE),exact(Metadata!I275,"human"))</f>
        <v>0</v>
      </c>
      <c r="AJ275">
        <f>AND(IF(Metadata!J275="",FALSE,ISNUMBER(VALUE(Metadata!J275))),Metadata!J275&gt;0)</f>
        <v>0</v>
      </c>
      <c r="AK275">
        <f>AND(IF(Metadata!K275="",FALSE,TRUE),exact(Metadata!K275,"cm"))</f>
        <v>0</v>
      </c>
      <c r="AL275">
        <f>AND(IF(Metadata!L275="",FALSE,TRUE),exact(Metadata!L275,"Homo sapiens"))</f>
        <v>0</v>
      </c>
      <c r="AM275">
        <f>AND(IF(Metadata!M275="",FALSE,TRUE),exact(Metadata!M275,"9606"))</f>
        <v>0</v>
      </c>
      <c r="AN275">
        <f>AND(IF(Metadata!N275="",FALSE,ISNUMBER(VALUE(Metadata!N275))),Metadata!N275&gt;0)</f>
        <v>0</v>
      </c>
      <c r="AO275">
        <f>AND(IF(Metadata!O275="",FALSE,TRUE),exact(Metadata!O275,"kg"))</f>
        <v>0</v>
      </c>
      <c r="AP275">
        <f>OR(AND(IF(Metadata!P275="",FALSE,TRUE),exact(Metadata!P275,"not provided")),IF(Metadata!P275="",FALSE,TRUE))</f>
        <v>0</v>
      </c>
      <c r="AQ275">
        <f>OR(AND(IF(Metadata!Q275="",FALSE,TRUE),exact(Metadata!Q275,"not provided")),IF(Metadata!Q275="",FALSE,TRUE))</f>
        <v>0</v>
      </c>
    </row>
    <row r="276" spans="1:43">
      <c r="A276" s="4">
        <f>IF(B276=" "," ",HYPERLINK(CONCATENATE("#metadata!",ADDRESS(INDEX($W$2:$W$1001,MATCH(ROWS($U$2:U276),$U$2:$U$1001,0),0),2)),INDEX($Z$2:$Z$1001,MATCH(ROWS($U$2:U276),$U$2:$U$1001,0),0)))</f>
        <v>0</v>
      </c>
      <c r="B276" s="5">
        <f>IF(OR(INDEX($V$2:$V$1001,MATCH(ROWS($U$2:U276),$U$2:$U$1001,0),1)&gt;=100000,INDEX($AB$1005:$AQ$1005,1,MATCH(COLUMNS($AB$1006:AB1006),$AB$1006:$AQ$1006,0))&gt;=100000), " ",IF(INDEX($AB$2:$AQ$1001,MATCH(ROWS($U$2:U276),$U$2:$U$1001,0),MATCH(COLUMNS($AB$1006:AB1006),$AB$1006:$AQ$1006,0)), HYPERLINK("#",""), HYPERLINK(CONCATENATE("#Metadata!", ADDRESS(INDEX($W$2:$W$1001,MATCH(ROWS($U$2:U276),$U$2:$U$1001,0),0), INDEX($AB$1004:$AQ$1004,1,MATCH(COLUMNS($AB$1006:AB1006),$AB$1006:$AQ$1006,0)))),"Fix")))</f>
        <v>0</v>
      </c>
      <c r="C276" s="5">
        <f>IF(OR(INDEX($V$2:$V$1001,MATCH(ROWS($U$2:U276),$U$2:$U$1001,0),1)&gt;=100000,INDEX($AB$1005:$AQ$1005,1,MATCH(COLUMNS($AB$1006:AC1006),$AB$1006:$AQ$1006,0))&gt;=100000), " ",IF(INDEX($AB$2:$AQ$1001,MATCH(ROWS($U$2:U276),$U$2:$U$1001,0),MATCH(COLUMNS($AB$1006:AC1006),$AB$1006:$AQ$1006,0)), HYPERLINK("#",""), HYPERLINK(CONCATENATE("#Metadata!", ADDRESS(INDEX($W$2:$W$1001,MATCH(ROWS($U$2:U276),$U$2:$U$1001,0),0), INDEX($AB$1004:$AQ$1004,1,MATCH(COLUMNS($AB$1006:AC1006),$AB$1006:$AQ$1006,0)))),"Fix")))</f>
        <v>0</v>
      </c>
      <c r="D276" s="5">
        <f>IF(OR(INDEX($V$2:$V$1001,MATCH(ROWS($U$2:U276),$U$2:$U$1001,0),1)&gt;=100000,INDEX($AB$1005:$AQ$1005,1,MATCH(COLUMNS($AB$1006:AD1006),$AB$1006:$AQ$1006,0))&gt;=100000), " ",IF(INDEX($AB$2:$AQ$1001,MATCH(ROWS($U$2:U276),$U$2:$U$1001,0),MATCH(COLUMNS($AB$1006:AD1006),$AB$1006:$AQ$1006,0)), HYPERLINK("#",""), HYPERLINK(CONCATENATE("#Metadata!", ADDRESS(INDEX($W$2:$W$1001,MATCH(ROWS($U$2:U276),$U$2:$U$1001,0),0), INDEX($AB$1004:$AQ$1004,1,MATCH(COLUMNS($AB$1006:AD1006),$AB$1006:$AQ$1006,0)))),"Fix")))</f>
        <v>0</v>
      </c>
      <c r="E276" s="5">
        <f>IF(OR(INDEX($V$2:$V$1001,MATCH(ROWS($U$2:U276),$U$2:$U$1001,0),1)&gt;=100000,INDEX($AB$1005:$AQ$1005,1,MATCH(COLUMNS($AB$1006:AE1006),$AB$1006:$AQ$1006,0))&gt;=100000), " ",IF(INDEX($AB$2:$AQ$1001,MATCH(ROWS($U$2:U276),$U$2:$U$1001,0),MATCH(COLUMNS($AB$1006:AE1006),$AB$1006:$AQ$1006,0)), HYPERLINK("#",""), HYPERLINK(CONCATENATE("#Metadata!", ADDRESS(INDEX($W$2:$W$1001,MATCH(ROWS($U$2:U276),$U$2:$U$1001,0),0), INDEX($AB$1004:$AQ$1004,1,MATCH(COLUMNS($AB$1006:AE1006),$AB$1006:$AQ$1006,0)))),"Fix")))</f>
        <v>0</v>
      </c>
      <c r="F276" s="5">
        <f>IF(OR(INDEX($V$2:$V$1001,MATCH(ROWS($U$2:U276),$U$2:$U$1001,0),1)&gt;=100000,INDEX($AB$1005:$AQ$1005,1,MATCH(COLUMNS($AB$1006:AF1006),$AB$1006:$AQ$1006,0))&gt;=100000), " ",IF(INDEX($AB$2:$AQ$1001,MATCH(ROWS($U$2:U276),$U$2:$U$1001,0),MATCH(COLUMNS($AB$1006:AF1006),$AB$1006:$AQ$1006,0)), HYPERLINK("#",""), HYPERLINK(CONCATENATE("#Metadata!", ADDRESS(INDEX($W$2:$W$1001,MATCH(ROWS($U$2:U276),$U$2:$U$1001,0),0), INDEX($AB$1004:$AQ$1004,1,MATCH(COLUMNS($AB$1006:AF1006),$AB$1006:$AQ$1006,0)))),"Fix")))</f>
        <v>0</v>
      </c>
      <c r="G276" s="5">
        <f>IF(OR(INDEX($V$2:$V$1001,MATCH(ROWS($U$2:U276),$U$2:$U$1001,0),1)&gt;=100000,INDEX($AB$1005:$AQ$1005,1,MATCH(COLUMNS($AB$1006:AG1006),$AB$1006:$AQ$1006,0))&gt;=100000), " ",IF(INDEX($AB$2:$AQ$1001,MATCH(ROWS($U$2:U276),$U$2:$U$1001,0),MATCH(COLUMNS($AB$1006:AG1006),$AB$1006:$AQ$1006,0)), HYPERLINK("#",""), HYPERLINK(CONCATENATE("#Metadata!", ADDRESS(INDEX($W$2:$W$1001,MATCH(ROWS($U$2:U276),$U$2:$U$1001,0),0), INDEX($AB$1004:$AQ$1004,1,MATCH(COLUMNS($AB$1006:AG1006),$AB$1006:$AQ$1006,0)))),"Fix")))</f>
        <v>0</v>
      </c>
      <c r="H276" s="5">
        <f>IF(OR(INDEX($V$2:$V$1001,MATCH(ROWS($U$2:U276),$U$2:$U$1001,0),1)&gt;=100000,INDEX($AB$1005:$AQ$1005,1,MATCH(COLUMNS($AB$1006:AH1006),$AB$1006:$AQ$1006,0))&gt;=100000), " ",IF(INDEX($AB$2:$AQ$1001,MATCH(ROWS($U$2:U276),$U$2:$U$1001,0),MATCH(COLUMNS($AB$1006:AH1006),$AB$1006:$AQ$1006,0)), HYPERLINK("#",""), HYPERLINK(CONCATENATE("#Metadata!", ADDRESS(INDEX($W$2:$W$1001,MATCH(ROWS($U$2:U276),$U$2:$U$1001,0),0), INDEX($AB$1004:$AQ$1004,1,MATCH(COLUMNS($AB$1006:AH1006),$AB$1006:$AQ$1006,0)))),"Fix")))</f>
        <v>0</v>
      </c>
      <c r="I276" s="5">
        <f>IF(OR(INDEX($V$2:$V$1001,MATCH(ROWS($U$2:U276),$U$2:$U$1001,0),1)&gt;=100000,INDEX($AB$1005:$AQ$1005,1,MATCH(COLUMNS($AB$1006:AI1006),$AB$1006:$AQ$1006,0))&gt;=100000), " ",IF(INDEX($AB$2:$AQ$1001,MATCH(ROWS($U$2:U276),$U$2:$U$1001,0),MATCH(COLUMNS($AB$1006:AI1006),$AB$1006:$AQ$1006,0)), HYPERLINK("#",""), HYPERLINK(CONCATENATE("#Metadata!", ADDRESS(INDEX($W$2:$W$1001,MATCH(ROWS($U$2:U276),$U$2:$U$1001,0),0), INDEX($AB$1004:$AQ$1004,1,MATCH(COLUMNS($AB$1006:AI1006),$AB$1006:$AQ$1006,0)))),"Fix")))</f>
        <v>0</v>
      </c>
      <c r="J276" s="5">
        <f>IF(OR(INDEX($V$2:$V$1001,MATCH(ROWS($U$2:U276),$U$2:$U$1001,0),1)&gt;=100000,INDEX($AB$1005:$AQ$1005,1,MATCH(COLUMNS($AB$1006:AJ1006),$AB$1006:$AQ$1006,0))&gt;=100000), " ",IF(INDEX($AB$2:$AQ$1001,MATCH(ROWS($U$2:U276),$U$2:$U$1001,0),MATCH(COLUMNS($AB$1006:AJ1006),$AB$1006:$AQ$1006,0)), HYPERLINK("#",""), HYPERLINK(CONCATENATE("#Metadata!", ADDRESS(INDEX($W$2:$W$1001,MATCH(ROWS($U$2:U276),$U$2:$U$1001,0),0), INDEX($AB$1004:$AQ$1004,1,MATCH(COLUMNS($AB$1006:AJ1006),$AB$1006:$AQ$1006,0)))),"Fix")))</f>
        <v>0</v>
      </c>
      <c r="K276" s="5">
        <f>IF(OR(INDEX($V$2:$V$1001,MATCH(ROWS($U$2:U276),$U$2:$U$1001,0),1)&gt;=100000,INDEX($AB$1005:$AQ$1005,1,MATCH(COLUMNS($AB$1006:AK1006),$AB$1006:$AQ$1006,0))&gt;=100000), " ",IF(INDEX($AB$2:$AQ$1001,MATCH(ROWS($U$2:U276),$U$2:$U$1001,0),MATCH(COLUMNS($AB$1006:AK1006),$AB$1006:$AQ$1006,0)), HYPERLINK("#",""), HYPERLINK(CONCATENATE("#Metadata!", ADDRESS(INDEX($W$2:$W$1001,MATCH(ROWS($U$2:U276),$U$2:$U$1001,0),0), INDEX($AB$1004:$AQ$1004,1,MATCH(COLUMNS($AB$1006:AK1006),$AB$1006:$AQ$1006,0)))),"Fix")))</f>
        <v>0</v>
      </c>
      <c r="L276" s="5">
        <f>IF(OR(INDEX($V$2:$V$1001,MATCH(ROWS($U$2:U276),$U$2:$U$1001,0),1)&gt;=100000,INDEX($AB$1005:$AQ$1005,1,MATCH(COLUMNS($AB$1006:AL1006),$AB$1006:$AQ$1006,0))&gt;=100000), " ",IF(INDEX($AB$2:$AQ$1001,MATCH(ROWS($U$2:U276),$U$2:$U$1001,0),MATCH(COLUMNS($AB$1006:AL1006),$AB$1006:$AQ$1006,0)), HYPERLINK("#",""), HYPERLINK(CONCATENATE("#Metadata!", ADDRESS(INDEX($W$2:$W$1001,MATCH(ROWS($U$2:U276),$U$2:$U$1001,0),0), INDEX($AB$1004:$AQ$1004,1,MATCH(COLUMNS($AB$1006:AL1006),$AB$1006:$AQ$1006,0)))),"Fix")))</f>
        <v>0</v>
      </c>
      <c r="M276" s="5">
        <f>IF(OR(INDEX($V$2:$V$1001,MATCH(ROWS($U$2:U276),$U$2:$U$1001,0),1)&gt;=100000,INDEX($AB$1005:$AQ$1005,1,MATCH(COLUMNS($AB$1006:AM1006),$AB$1006:$AQ$1006,0))&gt;=100000), " ",IF(INDEX($AB$2:$AQ$1001,MATCH(ROWS($U$2:U276),$U$2:$U$1001,0),MATCH(COLUMNS($AB$1006:AM1006),$AB$1006:$AQ$1006,0)), HYPERLINK("#",""), HYPERLINK(CONCATENATE("#Metadata!", ADDRESS(INDEX($W$2:$W$1001,MATCH(ROWS($U$2:U276),$U$2:$U$1001,0),0), INDEX($AB$1004:$AQ$1004,1,MATCH(COLUMNS($AB$1006:AM1006),$AB$1006:$AQ$1006,0)))),"Fix")))</f>
        <v>0</v>
      </c>
      <c r="N276" s="5">
        <f>IF(OR(INDEX($V$2:$V$1001,MATCH(ROWS($U$2:U276),$U$2:$U$1001,0),1)&gt;=100000,INDEX($AB$1005:$AQ$1005,1,MATCH(COLUMNS($AB$1006:AN1006),$AB$1006:$AQ$1006,0))&gt;=100000), " ",IF(INDEX($AB$2:$AQ$1001,MATCH(ROWS($U$2:U276),$U$2:$U$1001,0),MATCH(COLUMNS($AB$1006:AN1006),$AB$1006:$AQ$1006,0)), HYPERLINK("#",""), HYPERLINK(CONCATENATE("#Metadata!", ADDRESS(INDEX($W$2:$W$1001,MATCH(ROWS($U$2:U276),$U$2:$U$1001,0),0), INDEX($AB$1004:$AQ$1004,1,MATCH(COLUMNS($AB$1006:AN1006),$AB$1006:$AQ$1006,0)))),"Fix")))</f>
        <v>0</v>
      </c>
      <c r="O276" s="5">
        <f>IF(OR(INDEX($V$2:$V$1001,MATCH(ROWS($U$2:U276),$U$2:$U$1001,0),1)&gt;=100000,INDEX($AB$1005:$AQ$1005,1,MATCH(COLUMNS($AB$1006:AO1006),$AB$1006:$AQ$1006,0))&gt;=100000), " ",IF(INDEX($AB$2:$AQ$1001,MATCH(ROWS($U$2:U276),$U$2:$U$1001,0),MATCH(COLUMNS($AB$1006:AO1006),$AB$1006:$AQ$1006,0)), HYPERLINK("#",""), HYPERLINK(CONCATENATE("#Metadata!", ADDRESS(INDEX($W$2:$W$1001,MATCH(ROWS($U$2:U276),$U$2:$U$1001,0),0), INDEX($AB$1004:$AQ$1004,1,MATCH(COLUMNS($AB$1006:AO1006),$AB$1006:$AQ$1006,0)))),"Fix")))</f>
        <v>0</v>
      </c>
      <c r="P276" s="5">
        <f>IF(OR(INDEX($V$2:$V$1001,MATCH(ROWS($U$2:U276),$U$2:$U$1001,0),1)&gt;=100000,INDEX($AB$1005:$AQ$1005,1,MATCH(COLUMNS($AB$1006:AP1006),$AB$1006:$AQ$1006,0))&gt;=100000), " ",IF(INDEX($AB$2:$AQ$1001,MATCH(ROWS($U$2:U276),$U$2:$U$1001,0),MATCH(COLUMNS($AB$1006:AP1006),$AB$1006:$AQ$1006,0)), HYPERLINK("#",""), HYPERLINK(CONCATENATE("#Metadata!", ADDRESS(INDEX($W$2:$W$1001,MATCH(ROWS($U$2:U276),$U$2:$U$1001,0),0), INDEX($AB$1004:$AQ$1004,1,MATCH(COLUMNS($AB$1006:AP1006),$AB$1006:$AQ$1006,0)))),"Fix")))</f>
        <v>0</v>
      </c>
      <c r="Q276" s="5">
        <f>IF(OR(INDEX($V$2:$V$1001,MATCH(ROWS($U$2:U276),$U$2:$U$1001,0),1)&gt;=100000,INDEX($AB$1005:$AQ$1005,1,MATCH(COLUMNS($AB$1006:AQ1006),$AB$1006:$AQ$1006,0))&gt;=100000), " ",IF(INDEX($AB$2:$AQ$1001,MATCH(ROWS($U$2:U276),$U$2:$U$1001,0),MATCH(COLUMNS($AB$1006:AQ1006),$AB$1006:$AQ$1006,0)), HYPERLINK("#",""), HYPERLINK(CONCATENATE("#Metadata!", ADDRESS(INDEX($W$2:$W$1001,MATCH(ROWS($U$2:U276),$U$2:$U$1001,0),0), INDEX($AB$1004:$AQ$1004,1,MATCH(COLUMNS($AB$1006:AQ1006),$AB$1006:$AQ$1006,0)))),"Fix")))</f>
        <v>0</v>
      </c>
      <c r="U276">
        <v>0</v>
      </c>
      <c r="V276">
        <v>0</v>
      </c>
      <c r="W276">
        <v>0</v>
      </c>
      <c r="X276">
        <f>IF(Y276,TRUE,AND(AB276:AQ276))</f>
        <v>0</v>
      </c>
      <c r="Y276">
        <f>COUNTBLANK(Metadata!B276:Q276)=COLUMNS(Metadata!B276:Q276)</f>
        <v>0</v>
      </c>
      <c r="Z276">
        <v>0</v>
      </c>
      <c r="AB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AC276">
        <f>AND(IF(Metadata!C276="",FALSE,TRUE),exact(Metadata!C276,"urban biome"))</f>
        <v>0</v>
      </c>
      <c r="AD276">
        <f>AND(IF(Metadata!D276="",FALSE,TRUE),exact(Metadata!D276,"human-associated habitat"))</f>
        <v>0</v>
      </c>
      <c r="AE276">
        <f>AND(IF(Metadata!E276="",FALSE,TRUE),OR(exact(Metadata!E276,"human-associated"),exact(Metadata!E276,"human-skin"),exact(Metadata!E276,"human-oral"),exact(Metadata!E276,"human-gut"),exact(Metadata!E276,"human-vaginal")))</f>
        <v>0</v>
      </c>
      <c r="AF276">
        <f>AND(IF(Metadata!F276="",FALSE,ISNUMBER(VALUE(Metadata!F276))),Metadata!F276&gt;0)</f>
        <v>0</v>
      </c>
      <c r="AG276">
        <f>AND(IF(Metadata!G276="",FALSE,TRUE),exact(Metadata!G276,"years"))</f>
        <v>0</v>
      </c>
      <c r="AH276">
        <f>OR(AND(IF(Metadata!H276="",FALSE,TRUE),OR(exact(Metadata!H276,"not applicable"),exact(Metadata!H276,"not collected"),exact(Metadata!H276,"not provided"),exact(Metadata!H276,"restricted access"))),AND(IF(Metadata!H276="",FALSE,ISNUMBER(VALUE(Metadata!H276))),Metadata!H276&gt;0))</f>
        <v>0</v>
      </c>
      <c r="AI276">
        <f>AND(IF(Metadata!I276="",FALSE,TRUE),exact(Metadata!I276,"human"))</f>
        <v>0</v>
      </c>
      <c r="AJ276">
        <f>AND(IF(Metadata!J276="",FALSE,ISNUMBER(VALUE(Metadata!J276))),Metadata!J276&gt;0)</f>
        <v>0</v>
      </c>
      <c r="AK276">
        <f>AND(IF(Metadata!K276="",FALSE,TRUE),exact(Metadata!K276,"cm"))</f>
        <v>0</v>
      </c>
      <c r="AL276">
        <f>AND(IF(Metadata!L276="",FALSE,TRUE),exact(Metadata!L276,"Homo sapiens"))</f>
        <v>0</v>
      </c>
      <c r="AM276">
        <f>AND(IF(Metadata!M276="",FALSE,TRUE),exact(Metadata!M276,"9606"))</f>
        <v>0</v>
      </c>
      <c r="AN276">
        <f>AND(IF(Metadata!N276="",FALSE,ISNUMBER(VALUE(Metadata!N276))),Metadata!N276&gt;0)</f>
        <v>0</v>
      </c>
      <c r="AO276">
        <f>AND(IF(Metadata!O276="",FALSE,TRUE),exact(Metadata!O276,"kg"))</f>
        <v>0</v>
      </c>
      <c r="AP276">
        <f>OR(AND(IF(Metadata!P276="",FALSE,TRUE),exact(Metadata!P276,"not provided")),IF(Metadata!P276="",FALSE,TRUE))</f>
        <v>0</v>
      </c>
      <c r="AQ276">
        <f>OR(AND(IF(Metadata!Q276="",FALSE,TRUE),exact(Metadata!Q276,"not provided")),IF(Metadata!Q276="",FALSE,TRUE))</f>
        <v>0</v>
      </c>
    </row>
    <row r="277" spans="1:43">
      <c r="A277" s="4">
        <f>IF(B277=" "," ",HYPERLINK(CONCATENATE("#metadata!",ADDRESS(INDEX($W$2:$W$1001,MATCH(ROWS($U$2:U277),$U$2:$U$1001,0),0),2)),INDEX($Z$2:$Z$1001,MATCH(ROWS($U$2:U277),$U$2:$U$1001,0),0)))</f>
        <v>0</v>
      </c>
      <c r="B277" s="5">
        <f>IF(OR(INDEX($V$2:$V$1001,MATCH(ROWS($U$2:U277),$U$2:$U$1001,0),1)&gt;=100000,INDEX($AB$1005:$AQ$1005,1,MATCH(COLUMNS($AB$1006:AB1006),$AB$1006:$AQ$1006,0))&gt;=100000), " ",IF(INDEX($AB$2:$AQ$1001,MATCH(ROWS($U$2:U277),$U$2:$U$1001,0),MATCH(COLUMNS($AB$1006:AB1006),$AB$1006:$AQ$1006,0)), HYPERLINK("#",""), HYPERLINK(CONCATENATE("#Metadata!", ADDRESS(INDEX($W$2:$W$1001,MATCH(ROWS($U$2:U277),$U$2:$U$1001,0),0), INDEX($AB$1004:$AQ$1004,1,MATCH(COLUMNS($AB$1006:AB1006),$AB$1006:$AQ$1006,0)))),"Fix")))</f>
        <v>0</v>
      </c>
      <c r="C277" s="5">
        <f>IF(OR(INDEX($V$2:$V$1001,MATCH(ROWS($U$2:U277),$U$2:$U$1001,0),1)&gt;=100000,INDEX($AB$1005:$AQ$1005,1,MATCH(COLUMNS($AB$1006:AC1006),$AB$1006:$AQ$1006,0))&gt;=100000), " ",IF(INDEX($AB$2:$AQ$1001,MATCH(ROWS($U$2:U277),$U$2:$U$1001,0),MATCH(COLUMNS($AB$1006:AC1006),$AB$1006:$AQ$1006,0)), HYPERLINK("#",""), HYPERLINK(CONCATENATE("#Metadata!", ADDRESS(INDEX($W$2:$W$1001,MATCH(ROWS($U$2:U277),$U$2:$U$1001,0),0), INDEX($AB$1004:$AQ$1004,1,MATCH(COLUMNS($AB$1006:AC1006),$AB$1006:$AQ$1006,0)))),"Fix")))</f>
        <v>0</v>
      </c>
      <c r="D277" s="5">
        <f>IF(OR(INDEX($V$2:$V$1001,MATCH(ROWS($U$2:U277),$U$2:$U$1001,0),1)&gt;=100000,INDEX($AB$1005:$AQ$1005,1,MATCH(COLUMNS($AB$1006:AD1006),$AB$1006:$AQ$1006,0))&gt;=100000), " ",IF(INDEX($AB$2:$AQ$1001,MATCH(ROWS($U$2:U277),$U$2:$U$1001,0),MATCH(COLUMNS($AB$1006:AD1006),$AB$1006:$AQ$1006,0)), HYPERLINK("#",""), HYPERLINK(CONCATENATE("#Metadata!", ADDRESS(INDEX($W$2:$W$1001,MATCH(ROWS($U$2:U277),$U$2:$U$1001,0),0), INDEX($AB$1004:$AQ$1004,1,MATCH(COLUMNS($AB$1006:AD1006),$AB$1006:$AQ$1006,0)))),"Fix")))</f>
        <v>0</v>
      </c>
      <c r="E277" s="5">
        <f>IF(OR(INDEX($V$2:$V$1001,MATCH(ROWS($U$2:U277),$U$2:$U$1001,0),1)&gt;=100000,INDEX($AB$1005:$AQ$1005,1,MATCH(COLUMNS($AB$1006:AE1006),$AB$1006:$AQ$1006,0))&gt;=100000), " ",IF(INDEX($AB$2:$AQ$1001,MATCH(ROWS($U$2:U277),$U$2:$U$1001,0),MATCH(COLUMNS($AB$1006:AE1006),$AB$1006:$AQ$1006,0)), HYPERLINK("#",""), HYPERLINK(CONCATENATE("#Metadata!", ADDRESS(INDEX($W$2:$W$1001,MATCH(ROWS($U$2:U277),$U$2:$U$1001,0),0), INDEX($AB$1004:$AQ$1004,1,MATCH(COLUMNS($AB$1006:AE1006),$AB$1006:$AQ$1006,0)))),"Fix")))</f>
        <v>0</v>
      </c>
      <c r="F277" s="5">
        <f>IF(OR(INDEX($V$2:$V$1001,MATCH(ROWS($U$2:U277),$U$2:$U$1001,0),1)&gt;=100000,INDEX($AB$1005:$AQ$1005,1,MATCH(COLUMNS($AB$1006:AF1006),$AB$1006:$AQ$1006,0))&gt;=100000), " ",IF(INDEX($AB$2:$AQ$1001,MATCH(ROWS($U$2:U277),$U$2:$U$1001,0),MATCH(COLUMNS($AB$1006:AF1006),$AB$1006:$AQ$1006,0)), HYPERLINK("#",""), HYPERLINK(CONCATENATE("#Metadata!", ADDRESS(INDEX($W$2:$W$1001,MATCH(ROWS($U$2:U277),$U$2:$U$1001,0),0), INDEX($AB$1004:$AQ$1004,1,MATCH(COLUMNS($AB$1006:AF1006),$AB$1006:$AQ$1006,0)))),"Fix")))</f>
        <v>0</v>
      </c>
      <c r="G277" s="5">
        <f>IF(OR(INDEX($V$2:$V$1001,MATCH(ROWS($U$2:U277),$U$2:$U$1001,0),1)&gt;=100000,INDEX($AB$1005:$AQ$1005,1,MATCH(COLUMNS($AB$1006:AG1006),$AB$1006:$AQ$1006,0))&gt;=100000), " ",IF(INDEX($AB$2:$AQ$1001,MATCH(ROWS($U$2:U277),$U$2:$U$1001,0),MATCH(COLUMNS($AB$1006:AG1006),$AB$1006:$AQ$1006,0)), HYPERLINK("#",""), HYPERLINK(CONCATENATE("#Metadata!", ADDRESS(INDEX($W$2:$W$1001,MATCH(ROWS($U$2:U277),$U$2:$U$1001,0),0), INDEX($AB$1004:$AQ$1004,1,MATCH(COLUMNS($AB$1006:AG1006),$AB$1006:$AQ$1006,0)))),"Fix")))</f>
        <v>0</v>
      </c>
      <c r="H277" s="5">
        <f>IF(OR(INDEX($V$2:$V$1001,MATCH(ROWS($U$2:U277),$U$2:$U$1001,0),1)&gt;=100000,INDEX($AB$1005:$AQ$1005,1,MATCH(COLUMNS($AB$1006:AH1006),$AB$1006:$AQ$1006,0))&gt;=100000), " ",IF(INDEX($AB$2:$AQ$1001,MATCH(ROWS($U$2:U277),$U$2:$U$1001,0),MATCH(COLUMNS($AB$1006:AH1006),$AB$1006:$AQ$1006,0)), HYPERLINK("#",""), HYPERLINK(CONCATENATE("#Metadata!", ADDRESS(INDEX($W$2:$W$1001,MATCH(ROWS($U$2:U277),$U$2:$U$1001,0),0), INDEX($AB$1004:$AQ$1004,1,MATCH(COLUMNS($AB$1006:AH1006),$AB$1006:$AQ$1006,0)))),"Fix")))</f>
        <v>0</v>
      </c>
      <c r="I277" s="5">
        <f>IF(OR(INDEX($V$2:$V$1001,MATCH(ROWS($U$2:U277),$U$2:$U$1001,0),1)&gt;=100000,INDEX($AB$1005:$AQ$1005,1,MATCH(COLUMNS($AB$1006:AI1006),$AB$1006:$AQ$1006,0))&gt;=100000), " ",IF(INDEX($AB$2:$AQ$1001,MATCH(ROWS($U$2:U277),$U$2:$U$1001,0),MATCH(COLUMNS($AB$1006:AI1006),$AB$1006:$AQ$1006,0)), HYPERLINK("#",""), HYPERLINK(CONCATENATE("#Metadata!", ADDRESS(INDEX($W$2:$W$1001,MATCH(ROWS($U$2:U277),$U$2:$U$1001,0),0), INDEX($AB$1004:$AQ$1004,1,MATCH(COLUMNS($AB$1006:AI1006),$AB$1006:$AQ$1006,0)))),"Fix")))</f>
        <v>0</v>
      </c>
      <c r="J277" s="5">
        <f>IF(OR(INDEX($V$2:$V$1001,MATCH(ROWS($U$2:U277),$U$2:$U$1001,0),1)&gt;=100000,INDEX($AB$1005:$AQ$1005,1,MATCH(COLUMNS($AB$1006:AJ1006),$AB$1006:$AQ$1006,0))&gt;=100000), " ",IF(INDEX($AB$2:$AQ$1001,MATCH(ROWS($U$2:U277),$U$2:$U$1001,0),MATCH(COLUMNS($AB$1006:AJ1006),$AB$1006:$AQ$1006,0)), HYPERLINK("#",""), HYPERLINK(CONCATENATE("#Metadata!", ADDRESS(INDEX($W$2:$W$1001,MATCH(ROWS($U$2:U277),$U$2:$U$1001,0),0), INDEX($AB$1004:$AQ$1004,1,MATCH(COLUMNS($AB$1006:AJ1006),$AB$1006:$AQ$1006,0)))),"Fix")))</f>
        <v>0</v>
      </c>
      <c r="K277" s="5">
        <f>IF(OR(INDEX($V$2:$V$1001,MATCH(ROWS($U$2:U277),$U$2:$U$1001,0),1)&gt;=100000,INDEX($AB$1005:$AQ$1005,1,MATCH(COLUMNS($AB$1006:AK1006),$AB$1006:$AQ$1006,0))&gt;=100000), " ",IF(INDEX($AB$2:$AQ$1001,MATCH(ROWS($U$2:U277),$U$2:$U$1001,0),MATCH(COLUMNS($AB$1006:AK1006),$AB$1006:$AQ$1006,0)), HYPERLINK("#",""), HYPERLINK(CONCATENATE("#Metadata!", ADDRESS(INDEX($W$2:$W$1001,MATCH(ROWS($U$2:U277),$U$2:$U$1001,0),0), INDEX($AB$1004:$AQ$1004,1,MATCH(COLUMNS($AB$1006:AK1006),$AB$1006:$AQ$1006,0)))),"Fix")))</f>
        <v>0</v>
      </c>
      <c r="L277" s="5">
        <f>IF(OR(INDEX($V$2:$V$1001,MATCH(ROWS($U$2:U277),$U$2:$U$1001,0),1)&gt;=100000,INDEX($AB$1005:$AQ$1005,1,MATCH(COLUMNS($AB$1006:AL1006),$AB$1006:$AQ$1006,0))&gt;=100000), " ",IF(INDEX($AB$2:$AQ$1001,MATCH(ROWS($U$2:U277),$U$2:$U$1001,0),MATCH(COLUMNS($AB$1006:AL1006),$AB$1006:$AQ$1006,0)), HYPERLINK("#",""), HYPERLINK(CONCATENATE("#Metadata!", ADDRESS(INDEX($W$2:$W$1001,MATCH(ROWS($U$2:U277),$U$2:$U$1001,0),0), INDEX($AB$1004:$AQ$1004,1,MATCH(COLUMNS($AB$1006:AL1006),$AB$1006:$AQ$1006,0)))),"Fix")))</f>
        <v>0</v>
      </c>
      <c r="M277" s="5">
        <f>IF(OR(INDEX($V$2:$V$1001,MATCH(ROWS($U$2:U277),$U$2:$U$1001,0),1)&gt;=100000,INDEX($AB$1005:$AQ$1005,1,MATCH(COLUMNS($AB$1006:AM1006),$AB$1006:$AQ$1006,0))&gt;=100000), " ",IF(INDEX($AB$2:$AQ$1001,MATCH(ROWS($U$2:U277),$U$2:$U$1001,0),MATCH(COLUMNS($AB$1006:AM1006),$AB$1006:$AQ$1006,0)), HYPERLINK("#",""), HYPERLINK(CONCATENATE("#Metadata!", ADDRESS(INDEX($W$2:$W$1001,MATCH(ROWS($U$2:U277),$U$2:$U$1001,0),0), INDEX($AB$1004:$AQ$1004,1,MATCH(COLUMNS($AB$1006:AM1006),$AB$1006:$AQ$1006,0)))),"Fix")))</f>
        <v>0</v>
      </c>
      <c r="N277" s="5">
        <f>IF(OR(INDEX($V$2:$V$1001,MATCH(ROWS($U$2:U277),$U$2:$U$1001,0),1)&gt;=100000,INDEX($AB$1005:$AQ$1005,1,MATCH(COLUMNS($AB$1006:AN1006),$AB$1006:$AQ$1006,0))&gt;=100000), " ",IF(INDEX($AB$2:$AQ$1001,MATCH(ROWS($U$2:U277),$U$2:$U$1001,0),MATCH(COLUMNS($AB$1006:AN1006),$AB$1006:$AQ$1006,0)), HYPERLINK("#",""), HYPERLINK(CONCATENATE("#Metadata!", ADDRESS(INDEX($W$2:$W$1001,MATCH(ROWS($U$2:U277),$U$2:$U$1001,0),0), INDEX($AB$1004:$AQ$1004,1,MATCH(COLUMNS($AB$1006:AN1006),$AB$1006:$AQ$1006,0)))),"Fix")))</f>
        <v>0</v>
      </c>
      <c r="O277" s="5">
        <f>IF(OR(INDEX($V$2:$V$1001,MATCH(ROWS($U$2:U277),$U$2:$U$1001,0),1)&gt;=100000,INDEX($AB$1005:$AQ$1005,1,MATCH(COLUMNS($AB$1006:AO1006),$AB$1006:$AQ$1006,0))&gt;=100000), " ",IF(INDEX($AB$2:$AQ$1001,MATCH(ROWS($U$2:U277),$U$2:$U$1001,0),MATCH(COLUMNS($AB$1006:AO1006),$AB$1006:$AQ$1006,0)), HYPERLINK("#",""), HYPERLINK(CONCATENATE("#Metadata!", ADDRESS(INDEX($W$2:$W$1001,MATCH(ROWS($U$2:U277),$U$2:$U$1001,0),0), INDEX($AB$1004:$AQ$1004,1,MATCH(COLUMNS($AB$1006:AO1006),$AB$1006:$AQ$1006,0)))),"Fix")))</f>
        <v>0</v>
      </c>
      <c r="P277" s="5">
        <f>IF(OR(INDEX($V$2:$V$1001,MATCH(ROWS($U$2:U277),$U$2:$U$1001,0),1)&gt;=100000,INDEX($AB$1005:$AQ$1005,1,MATCH(COLUMNS($AB$1006:AP1006),$AB$1006:$AQ$1006,0))&gt;=100000), " ",IF(INDEX($AB$2:$AQ$1001,MATCH(ROWS($U$2:U277),$U$2:$U$1001,0),MATCH(COLUMNS($AB$1006:AP1006),$AB$1006:$AQ$1006,0)), HYPERLINK("#",""), HYPERLINK(CONCATENATE("#Metadata!", ADDRESS(INDEX($W$2:$W$1001,MATCH(ROWS($U$2:U277),$U$2:$U$1001,0),0), INDEX($AB$1004:$AQ$1004,1,MATCH(COLUMNS($AB$1006:AP1006),$AB$1006:$AQ$1006,0)))),"Fix")))</f>
        <v>0</v>
      </c>
      <c r="Q277" s="5">
        <f>IF(OR(INDEX($V$2:$V$1001,MATCH(ROWS($U$2:U277),$U$2:$U$1001,0),1)&gt;=100000,INDEX($AB$1005:$AQ$1005,1,MATCH(COLUMNS($AB$1006:AQ1006),$AB$1006:$AQ$1006,0))&gt;=100000), " ",IF(INDEX($AB$2:$AQ$1001,MATCH(ROWS($U$2:U277),$U$2:$U$1001,0),MATCH(COLUMNS($AB$1006:AQ1006),$AB$1006:$AQ$1006,0)), HYPERLINK("#",""), HYPERLINK(CONCATENATE("#Metadata!", ADDRESS(INDEX($W$2:$W$1001,MATCH(ROWS($U$2:U277),$U$2:$U$1001,0),0), INDEX($AB$1004:$AQ$1004,1,MATCH(COLUMNS($AB$1006:AQ1006),$AB$1006:$AQ$1006,0)))),"Fix")))</f>
        <v>0</v>
      </c>
      <c r="U277">
        <v>0</v>
      </c>
      <c r="V277">
        <v>0</v>
      </c>
      <c r="W277">
        <v>0</v>
      </c>
      <c r="X277">
        <f>IF(Y277,TRUE,AND(AB277:AQ277))</f>
        <v>0</v>
      </c>
      <c r="Y277">
        <f>COUNTBLANK(Metadata!B277:Q277)=COLUMNS(Metadata!B277:Q277)</f>
        <v>0</v>
      </c>
      <c r="Z277">
        <v>0</v>
      </c>
      <c r="AB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AC277">
        <f>AND(IF(Metadata!C277="",FALSE,TRUE),exact(Metadata!C277,"urban biome"))</f>
        <v>0</v>
      </c>
      <c r="AD277">
        <f>AND(IF(Metadata!D277="",FALSE,TRUE),exact(Metadata!D277,"human-associated habitat"))</f>
        <v>0</v>
      </c>
      <c r="AE277">
        <f>AND(IF(Metadata!E277="",FALSE,TRUE),OR(exact(Metadata!E277,"human-associated"),exact(Metadata!E277,"human-skin"),exact(Metadata!E277,"human-oral"),exact(Metadata!E277,"human-gut"),exact(Metadata!E277,"human-vaginal")))</f>
        <v>0</v>
      </c>
      <c r="AF277">
        <f>AND(IF(Metadata!F277="",FALSE,ISNUMBER(VALUE(Metadata!F277))),Metadata!F277&gt;0)</f>
        <v>0</v>
      </c>
      <c r="AG277">
        <f>AND(IF(Metadata!G277="",FALSE,TRUE),exact(Metadata!G277,"years"))</f>
        <v>0</v>
      </c>
      <c r="AH277">
        <f>OR(AND(IF(Metadata!H277="",FALSE,TRUE),OR(exact(Metadata!H277,"not applicable"),exact(Metadata!H277,"not collected"),exact(Metadata!H277,"not provided"),exact(Metadata!H277,"restricted access"))),AND(IF(Metadata!H277="",FALSE,ISNUMBER(VALUE(Metadata!H277))),Metadata!H277&gt;0))</f>
        <v>0</v>
      </c>
      <c r="AI277">
        <f>AND(IF(Metadata!I277="",FALSE,TRUE),exact(Metadata!I277,"human"))</f>
        <v>0</v>
      </c>
      <c r="AJ277">
        <f>AND(IF(Metadata!J277="",FALSE,ISNUMBER(VALUE(Metadata!J277))),Metadata!J277&gt;0)</f>
        <v>0</v>
      </c>
      <c r="AK277">
        <f>AND(IF(Metadata!K277="",FALSE,TRUE),exact(Metadata!K277,"cm"))</f>
        <v>0</v>
      </c>
      <c r="AL277">
        <f>AND(IF(Metadata!L277="",FALSE,TRUE),exact(Metadata!L277,"Homo sapiens"))</f>
        <v>0</v>
      </c>
      <c r="AM277">
        <f>AND(IF(Metadata!M277="",FALSE,TRUE),exact(Metadata!M277,"9606"))</f>
        <v>0</v>
      </c>
      <c r="AN277">
        <f>AND(IF(Metadata!N277="",FALSE,ISNUMBER(VALUE(Metadata!N277))),Metadata!N277&gt;0)</f>
        <v>0</v>
      </c>
      <c r="AO277">
        <f>AND(IF(Metadata!O277="",FALSE,TRUE),exact(Metadata!O277,"kg"))</f>
        <v>0</v>
      </c>
      <c r="AP277">
        <f>OR(AND(IF(Metadata!P277="",FALSE,TRUE),exact(Metadata!P277,"not provided")),IF(Metadata!P277="",FALSE,TRUE))</f>
        <v>0</v>
      </c>
      <c r="AQ277">
        <f>OR(AND(IF(Metadata!Q277="",FALSE,TRUE),exact(Metadata!Q277,"not provided")),IF(Metadata!Q277="",FALSE,TRUE))</f>
        <v>0</v>
      </c>
    </row>
    <row r="278" spans="1:43">
      <c r="A278" s="4">
        <f>IF(B278=" "," ",HYPERLINK(CONCATENATE("#metadata!",ADDRESS(INDEX($W$2:$W$1001,MATCH(ROWS($U$2:U278),$U$2:$U$1001,0),0),2)),INDEX($Z$2:$Z$1001,MATCH(ROWS($U$2:U278),$U$2:$U$1001,0),0)))</f>
        <v>0</v>
      </c>
      <c r="B278" s="5">
        <f>IF(OR(INDEX($V$2:$V$1001,MATCH(ROWS($U$2:U278),$U$2:$U$1001,0),1)&gt;=100000,INDEX($AB$1005:$AQ$1005,1,MATCH(COLUMNS($AB$1006:AB1006),$AB$1006:$AQ$1006,0))&gt;=100000), " ",IF(INDEX($AB$2:$AQ$1001,MATCH(ROWS($U$2:U278),$U$2:$U$1001,0),MATCH(COLUMNS($AB$1006:AB1006),$AB$1006:$AQ$1006,0)), HYPERLINK("#",""), HYPERLINK(CONCATENATE("#Metadata!", ADDRESS(INDEX($W$2:$W$1001,MATCH(ROWS($U$2:U278),$U$2:$U$1001,0),0), INDEX($AB$1004:$AQ$1004,1,MATCH(COLUMNS($AB$1006:AB1006),$AB$1006:$AQ$1006,0)))),"Fix")))</f>
        <v>0</v>
      </c>
      <c r="C278" s="5">
        <f>IF(OR(INDEX($V$2:$V$1001,MATCH(ROWS($U$2:U278),$U$2:$U$1001,0),1)&gt;=100000,INDEX($AB$1005:$AQ$1005,1,MATCH(COLUMNS($AB$1006:AC1006),$AB$1006:$AQ$1006,0))&gt;=100000), " ",IF(INDEX($AB$2:$AQ$1001,MATCH(ROWS($U$2:U278),$U$2:$U$1001,0),MATCH(COLUMNS($AB$1006:AC1006),$AB$1006:$AQ$1006,0)), HYPERLINK("#",""), HYPERLINK(CONCATENATE("#Metadata!", ADDRESS(INDEX($W$2:$W$1001,MATCH(ROWS($U$2:U278),$U$2:$U$1001,0),0), INDEX($AB$1004:$AQ$1004,1,MATCH(COLUMNS($AB$1006:AC1006),$AB$1006:$AQ$1006,0)))),"Fix")))</f>
        <v>0</v>
      </c>
      <c r="D278" s="5">
        <f>IF(OR(INDEX($V$2:$V$1001,MATCH(ROWS($U$2:U278),$U$2:$U$1001,0),1)&gt;=100000,INDEX($AB$1005:$AQ$1005,1,MATCH(COLUMNS($AB$1006:AD1006),$AB$1006:$AQ$1006,0))&gt;=100000), " ",IF(INDEX($AB$2:$AQ$1001,MATCH(ROWS($U$2:U278),$U$2:$U$1001,0),MATCH(COLUMNS($AB$1006:AD1006),$AB$1006:$AQ$1006,0)), HYPERLINK("#",""), HYPERLINK(CONCATENATE("#Metadata!", ADDRESS(INDEX($W$2:$W$1001,MATCH(ROWS($U$2:U278),$U$2:$U$1001,0),0), INDEX($AB$1004:$AQ$1004,1,MATCH(COLUMNS($AB$1006:AD1006),$AB$1006:$AQ$1006,0)))),"Fix")))</f>
        <v>0</v>
      </c>
      <c r="E278" s="5">
        <f>IF(OR(INDEX($V$2:$V$1001,MATCH(ROWS($U$2:U278),$U$2:$U$1001,0),1)&gt;=100000,INDEX($AB$1005:$AQ$1005,1,MATCH(COLUMNS($AB$1006:AE1006),$AB$1006:$AQ$1006,0))&gt;=100000), " ",IF(INDEX($AB$2:$AQ$1001,MATCH(ROWS($U$2:U278),$U$2:$U$1001,0),MATCH(COLUMNS($AB$1006:AE1006),$AB$1006:$AQ$1006,0)), HYPERLINK("#",""), HYPERLINK(CONCATENATE("#Metadata!", ADDRESS(INDEX($W$2:$W$1001,MATCH(ROWS($U$2:U278),$U$2:$U$1001,0),0), INDEX($AB$1004:$AQ$1004,1,MATCH(COLUMNS($AB$1006:AE1006),$AB$1006:$AQ$1006,0)))),"Fix")))</f>
        <v>0</v>
      </c>
      <c r="F278" s="5">
        <f>IF(OR(INDEX($V$2:$V$1001,MATCH(ROWS($U$2:U278),$U$2:$U$1001,0),1)&gt;=100000,INDEX($AB$1005:$AQ$1005,1,MATCH(COLUMNS($AB$1006:AF1006),$AB$1006:$AQ$1006,0))&gt;=100000), " ",IF(INDEX($AB$2:$AQ$1001,MATCH(ROWS($U$2:U278),$U$2:$U$1001,0),MATCH(COLUMNS($AB$1006:AF1006),$AB$1006:$AQ$1006,0)), HYPERLINK("#",""), HYPERLINK(CONCATENATE("#Metadata!", ADDRESS(INDEX($W$2:$W$1001,MATCH(ROWS($U$2:U278),$U$2:$U$1001,0),0), INDEX($AB$1004:$AQ$1004,1,MATCH(COLUMNS($AB$1006:AF1006),$AB$1006:$AQ$1006,0)))),"Fix")))</f>
        <v>0</v>
      </c>
      <c r="G278" s="5">
        <f>IF(OR(INDEX($V$2:$V$1001,MATCH(ROWS($U$2:U278),$U$2:$U$1001,0),1)&gt;=100000,INDEX($AB$1005:$AQ$1005,1,MATCH(COLUMNS($AB$1006:AG1006),$AB$1006:$AQ$1006,0))&gt;=100000), " ",IF(INDEX($AB$2:$AQ$1001,MATCH(ROWS($U$2:U278),$U$2:$U$1001,0),MATCH(COLUMNS($AB$1006:AG1006),$AB$1006:$AQ$1006,0)), HYPERLINK("#",""), HYPERLINK(CONCATENATE("#Metadata!", ADDRESS(INDEX($W$2:$W$1001,MATCH(ROWS($U$2:U278),$U$2:$U$1001,0),0), INDEX($AB$1004:$AQ$1004,1,MATCH(COLUMNS($AB$1006:AG1006),$AB$1006:$AQ$1006,0)))),"Fix")))</f>
        <v>0</v>
      </c>
      <c r="H278" s="5">
        <f>IF(OR(INDEX($V$2:$V$1001,MATCH(ROWS($U$2:U278),$U$2:$U$1001,0),1)&gt;=100000,INDEX($AB$1005:$AQ$1005,1,MATCH(COLUMNS($AB$1006:AH1006),$AB$1006:$AQ$1006,0))&gt;=100000), " ",IF(INDEX($AB$2:$AQ$1001,MATCH(ROWS($U$2:U278),$U$2:$U$1001,0),MATCH(COLUMNS($AB$1006:AH1006),$AB$1006:$AQ$1006,0)), HYPERLINK("#",""), HYPERLINK(CONCATENATE("#Metadata!", ADDRESS(INDEX($W$2:$W$1001,MATCH(ROWS($U$2:U278),$U$2:$U$1001,0),0), INDEX($AB$1004:$AQ$1004,1,MATCH(COLUMNS($AB$1006:AH1006),$AB$1006:$AQ$1006,0)))),"Fix")))</f>
        <v>0</v>
      </c>
      <c r="I278" s="5">
        <f>IF(OR(INDEX($V$2:$V$1001,MATCH(ROWS($U$2:U278),$U$2:$U$1001,0),1)&gt;=100000,INDEX($AB$1005:$AQ$1005,1,MATCH(COLUMNS($AB$1006:AI1006),$AB$1006:$AQ$1006,0))&gt;=100000), " ",IF(INDEX($AB$2:$AQ$1001,MATCH(ROWS($U$2:U278),$U$2:$U$1001,0),MATCH(COLUMNS($AB$1006:AI1006),$AB$1006:$AQ$1006,0)), HYPERLINK("#",""), HYPERLINK(CONCATENATE("#Metadata!", ADDRESS(INDEX($W$2:$W$1001,MATCH(ROWS($U$2:U278),$U$2:$U$1001,0),0), INDEX($AB$1004:$AQ$1004,1,MATCH(COLUMNS($AB$1006:AI1006),$AB$1006:$AQ$1006,0)))),"Fix")))</f>
        <v>0</v>
      </c>
      <c r="J278" s="5">
        <f>IF(OR(INDEX($V$2:$V$1001,MATCH(ROWS($U$2:U278),$U$2:$U$1001,0),1)&gt;=100000,INDEX($AB$1005:$AQ$1005,1,MATCH(COLUMNS($AB$1006:AJ1006),$AB$1006:$AQ$1006,0))&gt;=100000), " ",IF(INDEX($AB$2:$AQ$1001,MATCH(ROWS($U$2:U278),$U$2:$U$1001,0),MATCH(COLUMNS($AB$1006:AJ1006),$AB$1006:$AQ$1006,0)), HYPERLINK("#",""), HYPERLINK(CONCATENATE("#Metadata!", ADDRESS(INDEX($W$2:$W$1001,MATCH(ROWS($U$2:U278),$U$2:$U$1001,0),0), INDEX($AB$1004:$AQ$1004,1,MATCH(COLUMNS($AB$1006:AJ1006),$AB$1006:$AQ$1006,0)))),"Fix")))</f>
        <v>0</v>
      </c>
      <c r="K278" s="5">
        <f>IF(OR(INDEX($V$2:$V$1001,MATCH(ROWS($U$2:U278),$U$2:$U$1001,0),1)&gt;=100000,INDEX($AB$1005:$AQ$1005,1,MATCH(COLUMNS($AB$1006:AK1006),$AB$1006:$AQ$1006,0))&gt;=100000), " ",IF(INDEX($AB$2:$AQ$1001,MATCH(ROWS($U$2:U278),$U$2:$U$1001,0),MATCH(COLUMNS($AB$1006:AK1006),$AB$1006:$AQ$1006,0)), HYPERLINK("#",""), HYPERLINK(CONCATENATE("#Metadata!", ADDRESS(INDEX($W$2:$W$1001,MATCH(ROWS($U$2:U278),$U$2:$U$1001,0),0), INDEX($AB$1004:$AQ$1004,1,MATCH(COLUMNS($AB$1006:AK1006),$AB$1006:$AQ$1006,0)))),"Fix")))</f>
        <v>0</v>
      </c>
      <c r="L278" s="5">
        <f>IF(OR(INDEX($V$2:$V$1001,MATCH(ROWS($U$2:U278),$U$2:$U$1001,0),1)&gt;=100000,INDEX($AB$1005:$AQ$1005,1,MATCH(COLUMNS($AB$1006:AL1006),$AB$1006:$AQ$1006,0))&gt;=100000), " ",IF(INDEX($AB$2:$AQ$1001,MATCH(ROWS($U$2:U278),$U$2:$U$1001,0),MATCH(COLUMNS($AB$1006:AL1006),$AB$1006:$AQ$1006,0)), HYPERLINK("#",""), HYPERLINK(CONCATENATE("#Metadata!", ADDRESS(INDEX($W$2:$W$1001,MATCH(ROWS($U$2:U278),$U$2:$U$1001,0),0), INDEX($AB$1004:$AQ$1004,1,MATCH(COLUMNS($AB$1006:AL1006),$AB$1006:$AQ$1006,0)))),"Fix")))</f>
        <v>0</v>
      </c>
      <c r="M278" s="5">
        <f>IF(OR(INDEX($V$2:$V$1001,MATCH(ROWS($U$2:U278),$U$2:$U$1001,0),1)&gt;=100000,INDEX($AB$1005:$AQ$1005,1,MATCH(COLUMNS($AB$1006:AM1006),$AB$1006:$AQ$1006,0))&gt;=100000), " ",IF(INDEX($AB$2:$AQ$1001,MATCH(ROWS($U$2:U278),$U$2:$U$1001,0),MATCH(COLUMNS($AB$1006:AM1006),$AB$1006:$AQ$1006,0)), HYPERLINK("#",""), HYPERLINK(CONCATENATE("#Metadata!", ADDRESS(INDEX($W$2:$W$1001,MATCH(ROWS($U$2:U278),$U$2:$U$1001,0),0), INDEX($AB$1004:$AQ$1004,1,MATCH(COLUMNS($AB$1006:AM1006),$AB$1006:$AQ$1006,0)))),"Fix")))</f>
        <v>0</v>
      </c>
      <c r="N278" s="5">
        <f>IF(OR(INDEX($V$2:$V$1001,MATCH(ROWS($U$2:U278),$U$2:$U$1001,0),1)&gt;=100000,INDEX($AB$1005:$AQ$1005,1,MATCH(COLUMNS($AB$1006:AN1006),$AB$1006:$AQ$1006,0))&gt;=100000), " ",IF(INDEX($AB$2:$AQ$1001,MATCH(ROWS($U$2:U278),$U$2:$U$1001,0),MATCH(COLUMNS($AB$1006:AN1006),$AB$1006:$AQ$1006,0)), HYPERLINK("#",""), HYPERLINK(CONCATENATE("#Metadata!", ADDRESS(INDEX($W$2:$W$1001,MATCH(ROWS($U$2:U278),$U$2:$U$1001,0),0), INDEX($AB$1004:$AQ$1004,1,MATCH(COLUMNS($AB$1006:AN1006),$AB$1006:$AQ$1006,0)))),"Fix")))</f>
        <v>0</v>
      </c>
      <c r="O278" s="5">
        <f>IF(OR(INDEX($V$2:$V$1001,MATCH(ROWS($U$2:U278),$U$2:$U$1001,0),1)&gt;=100000,INDEX($AB$1005:$AQ$1005,1,MATCH(COLUMNS($AB$1006:AO1006),$AB$1006:$AQ$1006,0))&gt;=100000), " ",IF(INDEX($AB$2:$AQ$1001,MATCH(ROWS($U$2:U278),$U$2:$U$1001,0),MATCH(COLUMNS($AB$1006:AO1006),$AB$1006:$AQ$1006,0)), HYPERLINK("#",""), HYPERLINK(CONCATENATE("#Metadata!", ADDRESS(INDEX($W$2:$W$1001,MATCH(ROWS($U$2:U278),$U$2:$U$1001,0),0), INDEX($AB$1004:$AQ$1004,1,MATCH(COLUMNS($AB$1006:AO1006),$AB$1006:$AQ$1006,0)))),"Fix")))</f>
        <v>0</v>
      </c>
      <c r="P278" s="5">
        <f>IF(OR(INDEX($V$2:$V$1001,MATCH(ROWS($U$2:U278),$U$2:$U$1001,0),1)&gt;=100000,INDEX($AB$1005:$AQ$1005,1,MATCH(COLUMNS($AB$1006:AP1006),$AB$1006:$AQ$1006,0))&gt;=100000), " ",IF(INDEX($AB$2:$AQ$1001,MATCH(ROWS($U$2:U278),$U$2:$U$1001,0),MATCH(COLUMNS($AB$1006:AP1006),$AB$1006:$AQ$1006,0)), HYPERLINK("#",""), HYPERLINK(CONCATENATE("#Metadata!", ADDRESS(INDEX($W$2:$W$1001,MATCH(ROWS($U$2:U278),$U$2:$U$1001,0),0), INDEX($AB$1004:$AQ$1004,1,MATCH(COLUMNS($AB$1006:AP1006),$AB$1006:$AQ$1006,0)))),"Fix")))</f>
        <v>0</v>
      </c>
      <c r="Q278" s="5">
        <f>IF(OR(INDEX($V$2:$V$1001,MATCH(ROWS($U$2:U278),$U$2:$U$1001,0),1)&gt;=100000,INDEX($AB$1005:$AQ$1005,1,MATCH(COLUMNS($AB$1006:AQ1006),$AB$1006:$AQ$1006,0))&gt;=100000), " ",IF(INDEX($AB$2:$AQ$1001,MATCH(ROWS($U$2:U278),$U$2:$U$1001,0),MATCH(COLUMNS($AB$1006:AQ1006),$AB$1006:$AQ$1006,0)), HYPERLINK("#",""), HYPERLINK(CONCATENATE("#Metadata!", ADDRESS(INDEX($W$2:$W$1001,MATCH(ROWS($U$2:U278),$U$2:$U$1001,0),0), INDEX($AB$1004:$AQ$1004,1,MATCH(COLUMNS($AB$1006:AQ1006),$AB$1006:$AQ$1006,0)))),"Fix")))</f>
        <v>0</v>
      </c>
      <c r="U278">
        <v>0</v>
      </c>
      <c r="V278">
        <v>0</v>
      </c>
      <c r="W278">
        <v>0</v>
      </c>
      <c r="X278">
        <f>IF(Y278,TRUE,AND(AB278:AQ278))</f>
        <v>0</v>
      </c>
      <c r="Y278">
        <f>COUNTBLANK(Metadata!B278:Q278)=COLUMNS(Metadata!B278:Q278)</f>
        <v>0</v>
      </c>
      <c r="Z278">
        <v>0</v>
      </c>
      <c r="AB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AC278">
        <f>AND(IF(Metadata!C278="",FALSE,TRUE),exact(Metadata!C278,"urban biome"))</f>
        <v>0</v>
      </c>
      <c r="AD278">
        <f>AND(IF(Metadata!D278="",FALSE,TRUE),exact(Metadata!D278,"human-associated habitat"))</f>
        <v>0</v>
      </c>
      <c r="AE278">
        <f>AND(IF(Metadata!E278="",FALSE,TRUE),OR(exact(Metadata!E278,"human-associated"),exact(Metadata!E278,"human-skin"),exact(Metadata!E278,"human-oral"),exact(Metadata!E278,"human-gut"),exact(Metadata!E278,"human-vaginal")))</f>
        <v>0</v>
      </c>
      <c r="AF278">
        <f>AND(IF(Metadata!F278="",FALSE,ISNUMBER(VALUE(Metadata!F278))),Metadata!F278&gt;0)</f>
        <v>0</v>
      </c>
      <c r="AG278">
        <f>AND(IF(Metadata!G278="",FALSE,TRUE),exact(Metadata!G278,"years"))</f>
        <v>0</v>
      </c>
      <c r="AH278">
        <f>OR(AND(IF(Metadata!H278="",FALSE,TRUE),OR(exact(Metadata!H278,"not applicable"),exact(Metadata!H278,"not collected"),exact(Metadata!H278,"not provided"),exact(Metadata!H278,"restricted access"))),AND(IF(Metadata!H278="",FALSE,ISNUMBER(VALUE(Metadata!H278))),Metadata!H278&gt;0))</f>
        <v>0</v>
      </c>
      <c r="AI278">
        <f>AND(IF(Metadata!I278="",FALSE,TRUE),exact(Metadata!I278,"human"))</f>
        <v>0</v>
      </c>
      <c r="AJ278">
        <f>AND(IF(Metadata!J278="",FALSE,ISNUMBER(VALUE(Metadata!J278))),Metadata!J278&gt;0)</f>
        <v>0</v>
      </c>
      <c r="AK278">
        <f>AND(IF(Metadata!K278="",FALSE,TRUE),exact(Metadata!K278,"cm"))</f>
        <v>0</v>
      </c>
      <c r="AL278">
        <f>AND(IF(Metadata!L278="",FALSE,TRUE),exact(Metadata!L278,"Homo sapiens"))</f>
        <v>0</v>
      </c>
      <c r="AM278">
        <f>AND(IF(Metadata!M278="",FALSE,TRUE),exact(Metadata!M278,"9606"))</f>
        <v>0</v>
      </c>
      <c r="AN278">
        <f>AND(IF(Metadata!N278="",FALSE,ISNUMBER(VALUE(Metadata!N278))),Metadata!N278&gt;0)</f>
        <v>0</v>
      </c>
      <c r="AO278">
        <f>AND(IF(Metadata!O278="",FALSE,TRUE),exact(Metadata!O278,"kg"))</f>
        <v>0</v>
      </c>
      <c r="AP278">
        <f>OR(AND(IF(Metadata!P278="",FALSE,TRUE),exact(Metadata!P278,"not provided")),IF(Metadata!P278="",FALSE,TRUE))</f>
        <v>0</v>
      </c>
      <c r="AQ278">
        <f>OR(AND(IF(Metadata!Q278="",FALSE,TRUE),exact(Metadata!Q278,"not provided")),IF(Metadata!Q278="",FALSE,TRUE))</f>
        <v>0</v>
      </c>
    </row>
    <row r="279" spans="1:43">
      <c r="A279" s="4">
        <f>IF(B279=" "," ",HYPERLINK(CONCATENATE("#metadata!",ADDRESS(INDEX($W$2:$W$1001,MATCH(ROWS($U$2:U279),$U$2:$U$1001,0),0),2)),INDEX($Z$2:$Z$1001,MATCH(ROWS($U$2:U279),$U$2:$U$1001,0),0)))</f>
        <v>0</v>
      </c>
      <c r="B279" s="5">
        <f>IF(OR(INDEX($V$2:$V$1001,MATCH(ROWS($U$2:U279),$U$2:$U$1001,0),1)&gt;=100000,INDEX($AB$1005:$AQ$1005,1,MATCH(COLUMNS($AB$1006:AB1006),$AB$1006:$AQ$1006,0))&gt;=100000), " ",IF(INDEX($AB$2:$AQ$1001,MATCH(ROWS($U$2:U279),$U$2:$U$1001,0),MATCH(COLUMNS($AB$1006:AB1006),$AB$1006:$AQ$1006,0)), HYPERLINK("#",""), HYPERLINK(CONCATENATE("#Metadata!", ADDRESS(INDEX($W$2:$W$1001,MATCH(ROWS($U$2:U279),$U$2:$U$1001,0),0), INDEX($AB$1004:$AQ$1004,1,MATCH(COLUMNS($AB$1006:AB1006),$AB$1006:$AQ$1006,0)))),"Fix")))</f>
        <v>0</v>
      </c>
      <c r="C279" s="5">
        <f>IF(OR(INDEX($V$2:$V$1001,MATCH(ROWS($U$2:U279),$U$2:$U$1001,0),1)&gt;=100000,INDEX($AB$1005:$AQ$1005,1,MATCH(COLUMNS($AB$1006:AC1006),$AB$1006:$AQ$1006,0))&gt;=100000), " ",IF(INDEX($AB$2:$AQ$1001,MATCH(ROWS($U$2:U279),$U$2:$U$1001,0),MATCH(COLUMNS($AB$1006:AC1006),$AB$1006:$AQ$1006,0)), HYPERLINK("#",""), HYPERLINK(CONCATENATE("#Metadata!", ADDRESS(INDEX($W$2:$W$1001,MATCH(ROWS($U$2:U279),$U$2:$U$1001,0),0), INDEX($AB$1004:$AQ$1004,1,MATCH(COLUMNS($AB$1006:AC1006),$AB$1006:$AQ$1006,0)))),"Fix")))</f>
        <v>0</v>
      </c>
      <c r="D279" s="5">
        <f>IF(OR(INDEX($V$2:$V$1001,MATCH(ROWS($U$2:U279),$U$2:$U$1001,0),1)&gt;=100000,INDEX($AB$1005:$AQ$1005,1,MATCH(COLUMNS($AB$1006:AD1006),$AB$1006:$AQ$1006,0))&gt;=100000), " ",IF(INDEX($AB$2:$AQ$1001,MATCH(ROWS($U$2:U279),$U$2:$U$1001,0),MATCH(COLUMNS($AB$1006:AD1006),$AB$1006:$AQ$1006,0)), HYPERLINK("#",""), HYPERLINK(CONCATENATE("#Metadata!", ADDRESS(INDEX($W$2:$W$1001,MATCH(ROWS($U$2:U279),$U$2:$U$1001,0),0), INDEX($AB$1004:$AQ$1004,1,MATCH(COLUMNS($AB$1006:AD1006),$AB$1006:$AQ$1006,0)))),"Fix")))</f>
        <v>0</v>
      </c>
      <c r="E279" s="5">
        <f>IF(OR(INDEX($V$2:$V$1001,MATCH(ROWS($U$2:U279),$U$2:$U$1001,0),1)&gt;=100000,INDEX($AB$1005:$AQ$1005,1,MATCH(COLUMNS($AB$1006:AE1006),$AB$1006:$AQ$1006,0))&gt;=100000), " ",IF(INDEX($AB$2:$AQ$1001,MATCH(ROWS($U$2:U279),$U$2:$U$1001,0),MATCH(COLUMNS($AB$1006:AE1006),$AB$1006:$AQ$1006,0)), HYPERLINK("#",""), HYPERLINK(CONCATENATE("#Metadata!", ADDRESS(INDEX($W$2:$W$1001,MATCH(ROWS($U$2:U279),$U$2:$U$1001,0),0), INDEX($AB$1004:$AQ$1004,1,MATCH(COLUMNS($AB$1006:AE1006),$AB$1006:$AQ$1006,0)))),"Fix")))</f>
        <v>0</v>
      </c>
      <c r="F279" s="5">
        <f>IF(OR(INDEX($V$2:$V$1001,MATCH(ROWS($U$2:U279),$U$2:$U$1001,0),1)&gt;=100000,INDEX($AB$1005:$AQ$1005,1,MATCH(COLUMNS($AB$1006:AF1006),$AB$1006:$AQ$1006,0))&gt;=100000), " ",IF(INDEX($AB$2:$AQ$1001,MATCH(ROWS($U$2:U279),$U$2:$U$1001,0),MATCH(COLUMNS($AB$1006:AF1006),$AB$1006:$AQ$1006,0)), HYPERLINK("#",""), HYPERLINK(CONCATENATE("#Metadata!", ADDRESS(INDEX($W$2:$W$1001,MATCH(ROWS($U$2:U279),$U$2:$U$1001,0),0), INDEX($AB$1004:$AQ$1004,1,MATCH(COLUMNS($AB$1006:AF1006),$AB$1006:$AQ$1006,0)))),"Fix")))</f>
        <v>0</v>
      </c>
      <c r="G279" s="5">
        <f>IF(OR(INDEX($V$2:$V$1001,MATCH(ROWS($U$2:U279),$U$2:$U$1001,0),1)&gt;=100000,INDEX($AB$1005:$AQ$1005,1,MATCH(COLUMNS($AB$1006:AG1006),$AB$1006:$AQ$1006,0))&gt;=100000), " ",IF(INDEX($AB$2:$AQ$1001,MATCH(ROWS($U$2:U279),$U$2:$U$1001,0),MATCH(COLUMNS($AB$1006:AG1006),$AB$1006:$AQ$1006,0)), HYPERLINK("#",""), HYPERLINK(CONCATENATE("#Metadata!", ADDRESS(INDEX($W$2:$W$1001,MATCH(ROWS($U$2:U279),$U$2:$U$1001,0),0), INDEX($AB$1004:$AQ$1004,1,MATCH(COLUMNS($AB$1006:AG1006),$AB$1006:$AQ$1006,0)))),"Fix")))</f>
        <v>0</v>
      </c>
      <c r="H279" s="5">
        <f>IF(OR(INDEX($V$2:$V$1001,MATCH(ROWS($U$2:U279),$U$2:$U$1001,0),1)&gt;=100000,INDEX($AB$1005:$AQ$1005,1,MATCH(COLUMNS($AB$1006:AH1006),$AB$1006:$AQ$1006,0))&gt;=100000), " ",IF(INDEX($AB$2:$AQ$1001,MATCH(ROWS($U$2:U279),$U$2:$U$1001,0),MATCH(COLUMNS($AB$1006:AH1006),$AB$1006:$AQ$1006,0)), HYPERLINK("#",""), HYPERLINK(CONCATENATE("#Metadata!", ADDRESS(INDEX($W$2:$W$1001,MATCH(ROWS($U$2:U279),$U$2:$U$1001,0),0), INDEX($AB$1004:$AQ$1004,1,MATCH(COLUMNS($AB$1006:AH1006),$AB$1006:$AQ$1006,0)))),"Fix")))</f>
        <v>0</v>
      </c>
      <c r="I279" s="5">
        <f>IF(OR(INDEX($V$2:$V$1001,MATCH(ROWS($U$2:U279),$U$2:$U$1001,0),1)&gt;=100000,INDEX($AB$1005:$AQ$1005,1,MATCH(COLUMNS($AB$1006:AI1006),$AB$1006:$AQ$1006,0))&gt;=100000), " ",IF(INDEX($AB$2:$AQ$1001,MATCH(ROWS($U$2:U279),$U$2:$U$1001,0),MATCH(COLUMNS($AB$1006:AI1006),$AB$1006:$AQ$1006,0)), HYPERLINK("#",""), HYPERLINK(CONCATENATE("#Metadata!", ADDRESS(INDEX($W$2:$W$1001,MATCH(ROWS($U$2:U279),$U$2:$U$1001,0),0), INDEX($AB$1004:$AQ$1004,1,MATCH(COLUMNS($AB$1006:AI1006),$AB$1006:$AQ$1006,0)))),"Fix")))</f>
        <v>0</v>
      </c>
      <c r="J279" s="5">
        <f>IF(OR(INDEX($V$2:$V$1001,MATCH(ROWS($U$2:U279),$U$2:$U$1001,0),1)&gt;=100000,INDEX($AB$1005:$AQ$1005,1,MATCH(COLUMNS($AB$1006:AJ1006),$AB$1006:$AQ$1006,0))&gt;=100000), " ",IF(INDEX($AB$2:$AQ$1001,MATCH(ROWS($U$2:U279),$U$2:$U$1001,0),MATCH(COLUMNS($AB$1006:AJ1006),$AB$1006:$AQ$1006,0)), HYPERLINK("#",""), HYPERLINK(CONCATENATE("#Metadata!", ADDRESS(INDEX($W$2:$W$1001,MATCH(ROWS($U$2:U279),$U$2:$U$1001,0),0), INDEX($AB$1004:$AQ$1004,1,MATCH(COLUMNS($AB$1006:AJ1006),$AB$1006:$AQ$1006,0)))),"Fix")))</f>
        <v>0</v>
      </c>
      <c r="K279" s="5">
        <f>IF(OR(INDEX($V$2:$V$1001,MATCH(ROWS($U$2:U279),$U$2:$U$1001,0),1)&gt;=100000,INDEX($AB$1005:$AQ$1005,1,MATCH(COLUMNS($AB$1006:AK1006),$AB$1006:$AQ$1006,0))&gt;=100000), " ",IF(INDEX($AB$2:$AQ$1001,MATCH(ROWS($U$2:U279),$U$2:$U$1001,0),MATCH(COLUMNS($AB$1006:AK1006),$AB$1006:$AQ$1006,0)), HYPERLINK("#",""), HYPERLINK(CONCATENATE("#Metadata!", ADDRESS(INDEX($W$2:$W$1001,MATCH(ROWS($U$2:U279),$U$2:$U$1001,0),0), INDEX($AB$1004:$AQ$1004,1,MATCH(COLUMNS($AB$1006:AK1006),$AB$1006:$AQ$1006,0)))),"Fix")))</f>
        <v>0</v>
      </c>
      <c r="L279" s="5">
        <f>IF(OR(INDEX($V$2:$V$1001,MATCH(ROWS($U$2:U279),$U$2:$U$1001,0),1)&gt;=100000,INDEX($AB$1005:$AQ$1005,1,MATCH(COLUMNS($AB$1006:AL1006),$AB$1006:$AQ$1006,0))&gt;=100000), " ",IF(INDEX($AB$2:$AQ$1001,MATCH(ROWS($U$2:U279),$U$2:$U$1001,0),MATCH(COLUMNS($AB$1006:AL1006),$AB$1006:$AQ$1006,0)), HYPERLINK("#",""), HYPERLINK(CONCATENATE("#Metadata!", ADDRESS(INDEX($W$2:$W$1001,MATCH(ROWS($U$2:U279),$U$2:$U$1001,0),0), INDEX($AB$1004:$AQ$1004,1,MATCH(COLUMNS($AB$1006:AL1006),$AB$1006:$AQ$1006,0)))),"Fix")))</f>
        <v>0</v>
      </c>
      <c r="M279" s="5">
        <f>IF(OR(INDEX($V$2:$V$1001,MATCH(ROWS($U$2:U279),$U$2:$U$1001,0),1)&gt;=100000,INDEX($AB$1005:$AQ$1005,1,MATCH(COLUMNS($AB$1006:AM1006),$AB$1006:$AQ$1006,0))&gt;=100000), " ",IF(INDEX($AB$2:$AQ$1001,MATCH(ROWS($U$2:U279),$U$2:$U$1001,0),MATCH(COLUMNS($AB$1006:AM1006),$AB$1006:$AQ$1006,0)), HYPERLINK("#",""), HYPERLINK(CONCATENATE("#Metadata!", ADDRESS(INDEX($W$2:$W$1001,MATCH(ROWS($U$2:U279),$U$2:$U$1001,0),0), INDEX($AB$1004:$AQ$1004,1,MATCH(COLUMNS($AB$1006:AM1006),$AB$1006:$AQ$1006,0)))),"Fix")))</f>
        <v>0</v>
      </c>
      <c r="N279" s="5">
        <f>IF(OR(INDEX($V$2:$V$1001,MATCH(ROWS($U$2:U279),$U$2:$U$1001,0),1)&gt;=100000,INDEX($AB$1005:$AQ$1005,1,MATCH(COLUMNS($AB$1006:AN1006),$AB$1006:$AQ$1006,0))&gt;=100000), " ",IF(INDEX($AB$2:$AQ$1001,MATCH(ROWS($U$2:U279),$U$2:$U$1001,0),MATCH(COLUMNS($AB$1006:AN1006),$AB$1006:$AQ$1006,0)), HYPERLINK("#",""), HYPERLINK(CONCATENATE("#Metadata!", ADDRESS(INDEX($W$2:$W$1001,MATCH(ROWS($U$2:U279),$U$2:$U$1001,0),0), INDEX($AB$1004:$AQ$1004,1,MATCH(COLUMNS($AB$1006:AN1006),$AB$1006:$AQ$1006,0)))),"Fix")))</f>
        <v>0</v>
      </c>
      <c r="O279" s="5">
        <f>IF(OR(INDEX($V$2:$V$1001,MATCH(ROWS($U$2:U279),$U$2:$U$1001,0),1)&gt;=100000,INDEX($AB$1005:$AQ$1005,1,MATCH(COLUMNS($AB$1006:AO1006),$AB$1006:$AQ$1006,0))&gt;=100000), " ",IF(INDEX($AB$2:$AQ$1001,MATCH(ROWS($U$2:U279),$U$2:$U$1001,0),MATCH(COLUMNS($AB$1006:AO1006),$AB$1006:$AQ$1006,0)), HYPERLINK("#",""), HYPERLINK(CONCATENATE("#Metadata!", ADDRESS(INDEX($W$2:$W$1001,MATCH(ROWS($U$2:U279),$U$2:$U$1001,0),0), INDEX($AB$1004:$AQ$1004,1,MATCH(COLUMNS($AB$1006:AO1006),$AB$1006:$AQ$1006,0)))),"Fix")))</f>
        <v>0</v>
      </c>
      <c r="P279" s="5">
        <f>IF(OR(INDEX($V$2:$V$1001,MATCH(ROWS($U$2:U279),$U$2:$U$1001,0),1)&gt;=100000,INDEX($AB$1005:$AQ$1005,1,MATCH(COLUMNS($AB$1006:AP1006),$AB$1006:$AQ$1006,0))&gt;=100000), " ",IF(INDEX($AB$2:$AQ$1001,MATCH(ROWS($U$2:U279),$U$2:$U$1001,0),MATCH(COLUMNS($AB$1006:AP1006),$AB$1006:$AQ$1006,0)), HYPERLINK("#",""), HYPERLINK(CONCATENATE("#Metadata!", ADDRESS(INDEX($W$2:$W$1001,MATCH(ROWS($U$2:U279),$U$2:$U$1001,0),0), INDEX($AB$1004:$AQ$1004,1,MATCH(COLUMNS($AB$1006:AP1006),$AB$1006:$AQ$1006,0)))),"Fix")))</f>
        <v>0</v>
      </c>
      <c r="Q279" s="5">
        <f>IF(OR(INDEX($V$2:$V$1001,MATCH(ROWS($U$2:U279),$U$2:$U$1001,0),1)&gt;=100000,INDEX($AB$1005:$AQ$1005,1,MATCH(COLUMNS($AB$1006:AQ1006),$AB$1006:$AQ$1006,0))&gt;=100000), " ",IF(INDEX($AB$2:$AQ$1001,MATCH(ROWS($U$2:U279),$U$2:$U$1001,0),MATCH(COLUMNS($AB$1006:AQ1006),$AB$1006:$AQ$1006,0)), HYPERLINK("#",""), HYPERLINK(CONCATENATE("#Metadata!", ADDRESS(INDEX($W$2:$W$1001,MATCH(ROWS($U$2:U279),$U$2:$U$1001,0),0), INDEX($AB$1004:$AQ$1004,1,MATCH(COLUMNS($AB$1006:AQ1006),$AB$1006:$AQ$1006,0)))),"Fix")))</f>
        <v>0</v>
      </c>
      <c r="U279">
        <v>0</v>
      </c>
      <c r="V279">
        <v>0</v>
      </c>
      <c r="W279">
        <v>0</v>
      </c>
      <c r="X279">
        <f>IF(Y279,TRUE,AND(AB279:AQ279))</f>
        <v>0</v>
      </c>
      <c r="Y279">
        <f>COUNTBLANK(Metadata!B279:Q279)=COLUMNS(Metadata!B279:Q279)</f>
        <v>0</v>
      </c>
      <c r="Z279">
        <v>0</v>
      </c>
      <c r="AB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AC279">
        <f>AND(IF(Metadata!C279="",FALSE,TRUE),exact(Metadata!C279,"urban biome"))</f>
        <v>0</v>
      </c>
      <c r="AD279">
        <f>AND(IF(Metadata!D279="",FALSE,TRUE),exact(Metadata!D279,"human-associated habitat"))</f>
        <v>0</v>
      </c>
      <c r="AE279">
        <f>AND(IF(Metadata!E279="",FALSE,TRUE),OR(exact(Metadata!E279,"human-associated"),exact(Metadata!E279,"human-skin"),exact(Metadata!E279,"human-oral"),exact(Metadata!E279,"human-gut"),exact(Metadata!E279,"human-vaginal")))</f>
        <v>0</v>
      </c>
      <c r="AF279">
        <f>AND(IF(Metadata!F279="",FALSE,ISNUMBER(VALUE(Metadata!F279))),Metadata!F279&gt;0)</f>
        <v>0</v>
      </c>
      <c r="AG279">
        <f>AND(IF(Metadata!G279="",FALSE,TRUE),exact(Metadata!G279,"years"))</f>
        <v>0</v>
      </c>
      <c r="AH279">
        <f>OR(AND(IF(Metadata!H279="",FALSE,TRUE),OR(exact(Metadata!H279,"not applicable"),exact(Metadata!H279,"not collected"),exact(Metadata!H279,"not provided"),exact(Metadata!H279,"restricted access"))),AND(IF(Metadata!H279="",FALSE,ISNUMBER(VALUE(Metadata!H279))),Metadata!H279&gt;0))</f>
        <v>0</v>
      </c>
      <c r="AI279">
        <f>AND(IF(Metadata!I279="",FALSE,TRUE),exact(Metadata!I279,"human"))</f>
        <v>0</v>
      </c>
      <c r="AJ279">
        <f>AND(IF(Metadata!J279="",FALSE,ISNUMBER(VALUE(Metadata!J279))),Metadata!J279&gt;0)</f>
        <v>0</v>
      </c>
      <c r="AK279">
        <f>AND(IF(Metadata!K279="",FALSE,TRUE),exact(Metadata!K279,"cm"))</f>
        <v>0</v>
      </c>
      <c r="AL279">
        <f>AND(IF(Metadata!L279="",FALSE,TRUE),exact(Metadata!L279,"Homo sapiens"))</f>
        <v>0</v>
      </c>
      <c r="AM279">
        <f>AND(IF(Metadata!M279="",FALSE,TRUE),exact(Metadata!M279,"9606"))</f>
        <v>0</v>
      </c>
      <c r="AN279">
        <f>AND(IF(Metadata!N279="",FALSE,ISNUMBER(VALUE(Metadata!N279))),Metadata!N279&gt;0)</f>
        <v>0</v>
      </c>
      <c r="AO279">
        <f>AND(IF(Metadata!O279="",FALSE,TRUE),exact(Metadata!O279,"kg"))</f>
        <v>0</v>
      </c>
      <c r="AP279">
        <f>OR(AND(IF(Metadata!P279="",FALSE,TRUE),exact(Metadata!P279,"not provided")),IF(Metadata!P279="",FALSE,TRUE))</f>
        <v>0</v>
      </c>
      <c r="AQ279">
        <f>OR(AND(IF(Metadata!Q279="",FALSE,TRUE),exact(Metadata!Q279,"not provided")),IF(Metadata!Q279="",FALSE,TRUE))</f>
        <v>0</v>
      </c>
    </row>
    <row r="280" spans="1:43">
      <c r="A280" s="4">
        <f>IF(B280=" "," ",HYPERLINK(CONCATENATE("#metadata!",ADDRESS(INDEX($W$2:$W$1001,MATCH(ROWS($U$2:U280),$U$2:$U$1001,0),0),2)),INDEX($Z$2:$Z$1001,MATCH(ROWS($U$2:U280),$U$2:$U$1001,0),0)))</f>
        <v>0</v>
      </c>
      <c r="B280" s="5">
        <f>IF(OR(INDEX($V$2:$V$1001,MATCH(ROWS($U$2:U280),$U$2:$U$1001,0),1)&gt;=100000,INDEX($AB$1005:$AQ$1005,1,MATCH(COLUMNS($AB$1006:AB1006),$AB$1006:$AQ$1006,0))&gt;=100000), " ",IF(INDEX($AB$2:$AQ$1001,MATCH(ROWS($U$2:U280),$U$2:$U$1001,0),MATCH(COLUMNS($AB$1006:AB1006),$AB$1006:$AQ$1006,0)), HYPERLINK("#",""), HYPERLINK(CONCATENATE("#Metadata!", ADDRESS(INDEX($W$2:$W$1001,MATCH(ROWS($U$2:U280),$U$2:$U$1001,0),0), INDEX($AB$1004:$AQ$1004,1,MATCH(COLUMNS($AB$1006:AB1006),$AB$1006:$AQ$1006,0)))),"Fix")))</f>
        <v>0</v>
      </c>
      <c r="C280" s="5">
        <f>IF(OR(INDEX($V$2:$V$1001,MATCH(ROWS($U$2:U280),$U$2:$U$1001,0),1)&gt;=100000,INDEX($AB$1005:$AQ$1005,1,MATCH(COLUMNS($AB$1006:AC1006),$AB$1006:$AQ$1006,0))&gt;=100000), " ",IF(INDEX($AB$2:$AQ$1001,MATCH(ROWS($U$2:U280),$U$2:$U$1001,0),MATCH(COLUMNS($AB$1006:AC1006),$AB$1006:$AQ$1006,0)), HYPERLINK("#",""), HYPERLINK(CONCATENATE("#Metadata!", ADDRESS(INDEX($W$2:$W$1001,MATCH(ROWS($U$2:U280),$U$2:$U$1001,0),0), INDEX($AB$1004:$AQ$1004,1,MATCH(COLUMNS($AB$1006:AC1006),$AB$1006:$AQ$1006,0)))),"Fix")))</f>
        <v>0</v>
      </c>
      <c r="D280" s="5">
        <f>IF(OR(INDEX($V$2:$V$1001,MATCH(ROWS($U$2:U280),$U$2:$U$1001,0),1)&gt;=100000,INDEX($AB$1005:$AQ$1005,1,MATCH(COLUMNS($AB$1006:AD1006),$AB$1006:$AQ$1006,0))&gt;=100000), " ",IF(INDEX($AB$2:$AQ$1001,MATCH(ROWS($U$2:U280),$U$2:$U$1001,0),MATCH(COLUMNS($AB$1006:AD1006),$AB$1006:$AQ$1006,0)), HYPERLINK("#",""), HYPERLINK(CONCATENATE("#Metadata!", ADDRESS(INDEX($W$2:$W$1001,MATCH(ROWS($U$2:U280),$U$2:$U$1001,0),0), INDEX($AB$1004:$AQ$1004,1,MATCH(COLUMNS($AB$1006:AD1006),$AB$1006:$AQ$1006,0)))),"Fix")))</f>
        <v>0</v>
      </c>
      <c r="E280" s="5">
        <f>IF(OR(INDEX($V$2:$V$1001,MATCH(ROWS($U$2:U280),$U$2:$U$1001,0),1)&gt;=100000,INDEX($AB$1005:$AQ$1005,1,MATCH(COLUMNS($AB$1006:AE1006),$AB$1006:$AQ$1006,0))&gt;=100000), " ",IF(INDEX($AB$2:$AQ$1001,MATCH(ROWS($U$2:U280),$U$2:$U$1001,0),MATCH(COLUMNS($AB$1006:AE1006),$AB$1006:$AQ$1006,0)), HYPERLINK("#",""), HYPERLINK(CONCATENATE("#Metadata!", ADDRESS(INDEX($W$2:$W$1001,MATCH(ROWS($U$2:U280),$U$2:$U$1001,0),0), INDEX($AB$1004:$AQ$1004,1,MATCH(COLUMNS($AB$1006:AE1006),$AB$1006:$AQ$1006,0)))),"Fix")))</f>
        <v>0</v>
      </c>
      <c r="F280" s="5">
        <f>IF(OR(INDEX($V$2:$V$1001,MATCH(ROWS($U$2:U280),$U$2:$U$1001,0),1)&gt;=100000,INDEX($AB$1005:$AQ$1005,1,MATCH(COLUMNS($AB$1006:AF1006),$AB$1006:$AQ$1006,0))&gt;=100000), " ",IF(INDEX($AB$2:$AQ$1001,MATCH(ROWS($U$2:U280),$U$2:$U$1001,0),MATCH(COLUMNS($AB$1006:AF1006),$AB$1006:$AQ$1006,0)), HYPERLINK("#",""), HYPERLINK(CONCATENATE("#Metadata!", ADDRESS(INDEX($W$2:$W$1001,MATCH(ROWS($U$2:U280),$U$2:$U$1001,0),0), INDEX($AB$1004:$AQ$1004,1,MATCH(COLUMNS($AB$1006:AF1006),$AB$1006:$AQ$1006,0)))),"Fix")))</f>
        <v>0</v>
      </c>
      <c r="G280" s="5">
        <f>IF(OR(INDEX($V$2:$V$1001,MATCH(ROWS($U$2:U280),$U$2:$U$1001,0),1)&gt;=100000,INDEX($AB$1005:$AQ$1005,1,MATCH(COLUMNS($AB$1006:AG1006),$AB$1006:$AQ$1006,0))&gt;=100000), " ",IF(INDEX($AB$2:$AQ$1001,MATCH(ROWS($U$2:U280),$U$2:$U$1001,0),MATCH(COLUMNS($AB$1006:AG1006),$AB$1006:$AQ$1006,0)), HYPERLINK("#",""), HYPERLINK(CONCATENATE("#Metadata!", ADDRESS(INDEX($W$2:$W$1001,MATCH(ROWS($U$2:U280),$U$2:$U$1001,0),0), INDEX($AB$1004:$AQ$1004,1,MATCH(COLUMNS($AB$1006:AG1006),$AB$1006:$AQ$1006,0)))),"Fix")))</f>
        <v>0</v>
      </c>
      <c r="H280" s="5">
        <f>IF(OR(INDEX($V$2:$V$1001,MATCH(ROWS($U$2:U280),$U$2:$U$1001,0),1)&gt;=100000,INDEX($AB$1005:$AQ$1005,1,MATCH(COLUMNS($AB$1006:AH1006),$AB$1006:$AQ$1006,0))&gt;=100000), " ",IF(INDEX($AB$2:$AQ$1001,MATCH(ROWS($U$2:U280),$U$2:$U$1001,0),MATCH(COLUMNS($AB$1006:AH1006),$AB$1006:$AQ$1006,0)), HYPERLINK("#",""), HYPERLINK(CONCATENATE("#Metadata!", ADDRESS(INDEX($W$2:$W$1001,MATCH(ROWS($U$2:U280),$U$2:$U$1001,0),0), INDEX($AB$1004:$AQ$1004,1,MATCH(COLUMNS($AB$1006:AH1006),$AB$1006:$AQ$1006,0)))),"Fix")))</f>
        <v>0</v>
      </c>
      <c r="I280" s="5">
        <f>IF(OR(INDEX($V$2:$V$1001,MATCH(ROWS($U$2:U280),$U$2:$U$1001,0),1)&gt;=100000,INDEX($AB$1005:$AQ$1005,1,MATCH(COLUMNS($AB$1006:AI1006),$AB$1006:$AQ$1006,0))&gt;=100000), " ",IF(INDEX($AB$2:$AQ$1001,MATCH(ROWS($U$2:U280),$U$2:$U$1001,0),MATCH(COLUMNS($AB$1006:AI1006),$AB$1006:$AQ$1006,0)), HYPERLINK("#",""), HYPERLINK(CONCATENATE("#Metadata!", ADDRESS(INDEX($W$2:$W$1001,MATCH(ROWS($U$2:U280),$U$2:$U$1001,0),0), INDEX($AB$1004:$AQ$1004,1,MATCH(COLUMNS($AB$1006:AI1006),$AB$1006:$AQ$1006,0)))),"Fix")))</f>
        <v>0</v>
      </c>
      <c r="J280" s="5">
        <f>IF(OR(INDEX($V$2:$V$1001,MATCH(ROWS($U$2:U280),$U$2:$U$1001,0),1)&gt;=100000,INDEX($AB$1005:$AQ$1005,1,MATCH(COLUMNS($AB$1006:AJ1006),$AB$1006:$AQ$1006,0))&gt;=100000), " ",IF(INDEX($AB$2:$AQ$1001,MATCH(ROWS($U$2:U280),$U$2:$U$1001,0),MATCH(COLUMNS($AB$1006:AJ1006),$AB$1006:$AQ$1006,0)), HYPERLINK("#",""), HYPERLINK(CONCATENATE("#Metadata!", ADDRESS(INDEX($W$2:$W$1001,MATCH(ROWS($U$2:U280),$U$2:$U$1001,0),0), INDEX($AB$1004:$AQ$1004,1,MATCH(COLUMNS($AB$1006:AJ1006),$AB$1006:$AQ$1006,0)))),"Fix")))</f>
        <v>0</v>
      </c>
      <c r="K280" s="5">
        <f>IF(OR(INDEX($V$2:$V$1001,MATCH(ROWS($U$2:U280),$U$2:$U$1001,0),1)&gt;=100000,INDEX($AB$1005:$AQ$1005,1,MATCH(COLUMNS($AB$1006:AK1006),$AB$1006:$AQ$1006,0))&gt;=100000), " ",IF(INDEX($AB$2:$AQ$1001,MATCH(ROWS($U$2:U280),$U$2:$U$1001,0),MATCH(COLUMNS($AB$1006:AK1006),$AB$1006:$AQ$1006,0)), HYPERLINK("#",""), HYPERLINK(CONCATENATE("#Metadata!", ADDRESS(INDEX($W$2:$W$1001,MATCH(ROWS($U$2:U280),$U$2:$U$1001,0),0), INDEX($AB$1004:$AQ$1004,1,MATCH(COLUMNS($AB$1006:AK1006),$AB$1006:$AQ$1006,0)))),"Fix")))</f>
        <v>0</v>
      </c>
      <c r="L280" s="5">
        <f>IF(OR(INDEX($V$2:$V$1001,MATCH(ROWS($U$2:U280),$U$2:$U$1001,0),1)&gt;=100000,INDEX($AB$1005:$AQ$1005,1,MATCH(COLUMNS($AB$1006:AL1006),$AB$1006:$AQ$1006,0))&gt;=100000), " ",IF(INDEX($AB$2:$AQ$1001,MATCH(ROWS($U$2:U280),$U$2:$U$1001,0),MATCH(COLUMNS($AB$1006:AL1006),$AB$1006:$AQ$1006,0)), HYPERLINK("#",""), HYPERLINK(CONCATENATE("#Metadata!", ADDRESS(INDEX($W$2:$W$1001,MATCH(ROWS($U$2:U280),$U$2:$U$1001,0),0), INDEX($AB$1004:$AQ$1004,1,MATCH(COLUMNS($AB$1006:AL1006),$AB$1006:$AQ$1006,0)))),"Fix")))</f>
        <v>0</v>
      </c>
      <c r="M280" s="5">
        <f>IF(OR(INDEX($V$2:$V$1001,MATCH(ROWS($U$2:U280),$U$2:$U$1001,0),1)&gt;=100000,INDEX($AB$1005:$AQ$1005,1,MATCH(COLUMNS($AB$1006:AM1006),$AB$1006:$AQ$1006,0))&gt;=100000), " ",IF(INDEX($AB$2:$AQ$1001,MATCH(ROWS($U$2:U280),$U$2:$U$1001,0),MATCH(COLUMNS($AB$1006:AM1006),$AB$1006:$AQ$1006,0)), HYPERLINK("#",""), HYPERLINK(CONCATENATE("#Metadata!", ADDRESS(INDEX($W$2:$W$1001,MATCH(ROWS($U$2:U280),$U$2:$U$1001,0),0), INDEX($AB$1004:$AQ$1004,1,MATCH(COLUMNS($AB$1006:AM1006),$AB$1006:$AQ$1006,0)))),"Fix")))</f>
        <v>0</v>
      </c>
      <c r="N280" s="5">
        <f>IF(OR(INDEX($V$2:$V$1001,MATCH(ROWS($U$2:U280),$U$2:$U$1001,0),1)&gt;=100000,INDEX($AB$1005:$AQ$1005,1,MATCH(COLUMNS($AB$1006:AN1006),$AB$1006:$AQ$1006,0))&gt;=100000), " ",IF(INDEX($AB$2:$AQ$1001,MATCH(ROWS($U$2:U280),$U$2:$U$1001,0),MATCH(COLUMNS($AB$1006:AN1006),$AB$1006:$AQ$1006,0)), HYPERLINK("#",""), HYPERLINK(CONCATENATE("#Metadata!", ADDRESS(INDEX($W$2:$W$1001,MATCH(ROWS($U$2:U280),$U$2:$U$1001,0),0), INDEX($AB$1004:$AQ$1004,1,MATCH(COLUMNS($AB$1006:AN1006),$AB$1006:$AQ$1006,0)))),"Fix")))</f>
        <v>0</v>
      </c>
      <c r="O280" s="5">
        <f>IF(OR(INDEX($V$2:$V$1001,MATCH(ROWS($U$2:U280),$U$2:$U$1001,0),1)&gt;=100000,INDEX($AB$1005:$AQ$1005,1,MATCH(COLUMNS($AB$1006:AO1006),$AB$1006:$AQ$1006,0))&gt;=100000), " ",IF(INDEX($AB$2:$AQ$1001,MATCH(ROWS($U$2:U280),$U$2:$U$1001,0),MATCH(COLUMNS($AB$1006:AO1006),$AB$1006:$AQ$1006,0)), HYPERLINK("#",""), HYPERLINK(CONCATENATE("#Metadata!", ADDRESS(INDEX($W$2:$W$1001,MATCH(ROWS($U$2:U280),$U$2:$U$1001,0),0), INDEX($AB$1004:$AQ$1004,1,MATCH(COLUMNS($AB$1006:AO1006),$AB$1006:$AQ$1006,0)))),"Fix")))</f>
        <v>0</v>
      </c>
      <c r="P280" s="5">
        <f>IF(OR(INDEX($V$2:$V$1001,MATCH(ROWS($U$2:U280),$U$2:$U$1001,0),1)&gt;=100000,INDEX($AB$1005:$AQ$1005,1,MATCH(COLUMNS($AB$1006:AP1006),$AB$1006:$AQ$1006,0))&gt;=100000), " ",IF(INDEX($AB$2:$AQ$1001,MATCH(ROWS($U$2:U280),$U$2:$U$1001,0),MATCH(COLUMNS($AB$1006:AP1006),$AB$1006:$AQ$1006,0)), HYPERLINK("#",""), HYPERLINK(CONCATENATE("#Metadata!", ADDRESS(INDEX($W$2:$W$1001,MATCH(ROWS($U$2:U280),$U$2:$U$1001,0),0), INDEX($AB$1004:$AQ$1004,1,MATCH(COLUMNS($AB$1006:AP1006),$AB$1006:$AQ$1006,0)))),"Fix")))</f>
        <v>0</v>
      </c>
      <c r="Q280" s="5">
        <f>IF(OR(INDEX($V$2:$V$1001,MATCH(ROWS($U$2:U280),$U$2:$U$1001,0),1)&gt;=100000,INDEX($AB$1005:$AQ$1005,1,MATCH(COLUMNS($AB$1006:AQ1006),$AB$1006:$AQ$1006,0))&gt;=100000), " ",IF(INDEX($AB$2:$AQ$1001,MATCH(ROWS($U$2:U280),$U$2:$U$1001,0),MATCH(COLUMNS($AB$1006:AQ1006),$AB$1006:$AQ$1006,0)), HYPERLINK("#",""), HYPERLINK(CONCATENATE("#Metadata!", ADDRESS(INDEX($W$2:$W$1001,MATCH(ROWS($U$2:U280),$U$2:$U$1001,0),0), INDEX($AB$1004:$AQ$1004,1,MATCH(COLUMNS($AB$1006:AQ1006),$AB$1006:$AQ$1006,0)))),"Fix")))</f>
        <v>0</v>
      </c>
      <c r="U280">
        <v>0</v>
      </c>
      <c r="V280">
        <v>0</v>
      </c>
      <c r="W280">
        <v>0</v>
      </c>
      <c r="X280">
        <f>IF(Y280,TRUE,AND(AB280:AQ280))</f>
        <v>0</v>
      </c>
      <c r="Y280">
        <f>COUNTBLANK(Metadata!B280:Q280)=COLUMNS(Metadata!B280:Q280)</f>
        <v>0</v>
      </c>
      <c r="Z280">
        <v>0</v>
      </c>
      <c r="AB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AC280">
        <f>AND(IF(Metadata!C280="",FALSE,TRUE),exact(Metadata!C280,"urban biome"))</f>
        <v>0</v>
      </c>
      <c r="AD280">
        <f>AND(IF(Metadata!D280="",FALSE,TRUE),exact(Metadata!D280,"human-associated habitat"))</f>
        <v>0</v>
      </c>
      <c r="AE280">
        <f>AND(IF(Metadata!E280="",FALSE,TRUE),OR(exact(Metadata!E280,"human-associated"),exact(Metadata!E280,"human-skin"),exact(Metadata!E280,"human-oral"),exact(Metadata!E280,"human-gut"),exact(Metadata!E280,"human-vaginal")))</f>
        <v>0</v>
      </c>
      <c r="AF280">
        <f>AND(IF(Metadata!F280="",FALSE,ISNUMBER(VALUE(Metadata!F280))),Metadata!F280&gt;0)</f>
        <v>0</v>
      </c>
      <c r="AG280">
        <f>AND(IF(Metadata!G280="",FALSE,TRUE),exact(Metadata!G280,"years"))</f>
        <v>0</v>
      </c>
      <c r="AH280">
        <f>OR(AND(IF(Metadata!H280="",FALSE,TRUE),OR(exact(Metadata!H280,"not applicable"),exact(Metadata!H280,"not collected"),exact(Metadata!H280,"not provided"),exact(Metadata!H280,"restricted access"))),AND(IF(Metadata!H280="",FALSE,ISNUMBER(VALUE(Metadata!H280))),Metadata!H280&gt;0))</f>
        <v>0</v>
      </c>
      <c r="AI280">
        <f>AND(IF(Metadata!I280="",FALSE,TRUE),exact(Metadata!I280,"human"))</f>
        <v>0</v>
      </c>
      <c r="AJ280">
        <f>AND(IF(Metadata!J280="",FALSE,ISNUMBER(VALUE(Metadata!J280))),Metadata!J280&gt;0)</f>
        <v>0</v>
      </c>
      <c r="AK280">
        <f>AND(IF(Metadata!K280="",FALSE,TRUE),exact(Metadata!K280,"cm"))</f>
        <v>0</v>
      </c>
      <c r="AL280">
        <f>AND(IF(Metadata!L280="",FALSE,TRUE),exact(Metadata!L280,"Homo sapiens"))</f>
        <v>0</v>
      </c>
      <c r="AM280">
        <f>AND(IF(Metadata!M280="",FALSE,TRUE),exact(Metadata!M280,"9606"))</f>
        <v>0</v>
      </c>
      <c r="AN280">
        <f>AND(IF(Metadata!N280="",FALSE,ISNUMBER(VALUE(Metadata!N280))),Metadata!N280&gt;0)</f>
        <v>0</v>
      </c>
      <c r="AO280">
        <f>AND(IF(Metadata!O280="",FALSE,TRUE),exact(Metadata!O280,"kg"))</f>
        <v>0</v>
      </c>
      <c r="AP280">
        <f>OR(AND(IF(Metadata!P280="",FALSE,TRUE),exact(Metadata!P280,"not provided")),IF(Metadata!P280="",FALSE,TRUE))</f>
        <v>0</v>
      </c>
      <c r="AQ280">
        <f>OR(AND(IF(Metadata!Q280="",FALSE,TRUE),exact(Metadata!Q280,"not provided")),IF(Metadata!Q280="",FALSE,TRUE))</f>
        <v>0</v>
      </c>
    </row>
    <row r="281" spans="1:43">
      <c r="A281" s="4">
        <f>IF(B281=" "," ",HYPERLINK(CONCATENATE("#metadata!",ADDRESS(INDEX($W$2:$W$1001,MATCH(ROWS($U$2:U281),$U$2:$U$1001,0),0),2)),INDEX($Z$2:$Z$1001,MATCH(ROWS($U$2:U281),$U$2:$U$1001,0),0)))</f>
        <v>0</v>
      </c>
      <c r="B281" s="5">
        <f>IF(OR(INDEX($V$2:$V$1001,MATCH(ROWS($U$2:U281),$U$2:$U$1001,0),1)&gt;=100000,INDEX($AB$1005:$AQ$1005,1,MATCH(COLUMNS($AB$1006:AB1006),$AB$1006:$AQ$1006,0))&gt;=100000), " ",IF(INDEX($AB$2:$AQ$1001,MATCH(ROWS($U$2:U281),$U$2:$U$1001,0),MATCH(COLUMNS($AB$1006:AB1006),$AB$1006:$AQ$1006,0)), HYPERLINK("#",""), HYPERLINK(CONCATENATE("#Metadata!", ADDRESS(INDEX($W$2:$W$1001,MATCH(ROWS($U$2:U281),$U$2:$U$1001,0),0), INDEX($AB$1004:$AQ$1004,1,MATCH(COLUMNS($AB$1006:AB1006),$AB$1006:$AQ$1006,0)))),"Fix")))</f>
        <v>0</v>
      </c>
      <c r="C281" s="5">
        <f>IF(OR(INDEX($V$2:$V$1001,MATCH(ROWS($U$2:U281),$U$2:$U$1001,0),1)&gt;=100000,INDEX($AB$1005:$AQ$1005,1,MATCH(COLUMNS($AB$1006:AC1006),$AB$1006:$AQ$1006,0))&gt;=100000), " ",IF(INDEX($AB$2:$AQ$1001,MATCH(ROWS($U$2:U281),$U$2:$U$1001,0),MATCH(COLUMNS($AB$1006:AC1006),$AB$1006:$AQ$1006,0)), HYPERLINK("#",""), HYPERLINK(CONCATENATE("#Metadata!", ADDRESS(INDEX($W$2:$W$1001,MATCH(ROWS($U$2:U281),$U$2:$U$1001,0),0), INDEX($AB$1004:$AQ$1004,1,MATCH(COLUMNS($AB$1006:AC1006),$AB$1006:$AQ$1006,0)))),"Fix")))</f>
        <v>0</v>
      </c>
      <c r="D281" s="5">
        <f>IF(OR(INDEX($V$2:$V$1001,MATCH(ROWS($U$2:U281),$U$2:$U$1001,0),1)&gt;=100000,INDEX($AB$1005:$AQ$1005,1,MATCH(COLUMNS($AB$1006:AD1006),$AB$1006:$AQ$1006,0))&gt;=100000), " ",IF(INDEX($AB$2:$AQ$1001,MATCH(ROWS($U$2:U281),$U$2:$U$1001,0),MATCH(COLUMNS($AB$1006:AD1006),$AB$1006:$AQ$1006,0)), HYPERLINK("#",""), HYPERLINK(CONCATENATE("#Metadata!", ADDRESS(INDEX($W$2:$W$1001,MATCH(ROWS($U$2:U281),$U$2:$U$1001,0),0), INDEX($AB$1004:$AQ$1004,1,MATCH(COLUMNS($AB$1006:AD1006),$AB$1006:$AQ$1006,0)))),"Fix")))</f>
        <v>0</v>
      </c>
      <c r="E281" s="5">
        <f>IF(OR(INDEX($V$2:$V$1001,MATCH(ROWS($U$2:U281),$U$2:$U$1001,0),1)&gt;=100000,INDEX($AB$1005:$AQ$1005,1,MATCH(COLUMNS($AB$1006:AE1006),$AB$1006:$AQ$1006,0))&gt;=100000), " ",IF(INDEX($AB$2:$AQ$1001,MATCH(ROWS($U$2:U281),$U$2:$U$1001,0),MATCH(COLUMNS($AB$1006:AE1006),$AB$1006:$AQ$1006,0)), HYPERLINK("#",""), HYPERLINK(CONCATENATE("#Metadata!", ADDRESS(INDEX($W$2:$W$1001,MATCH(ROWS($U$2:U281),$U$2:$U$1001,0),0), INDEX($AB$1004:$AQ$1004,1,MATCH(COLUMNS($AB$1006:AE1006),$AB$1006:$AQ$1006,0)))),"Fix")))</f>
        <v>0</v>
      </c>
      <c r="F281" s="5">
        <f>IF(OR(INDEX($V$2:$V$1001,MATCH(ROWS($U$2:U281),$U$2:$U$1001,0),1)&gt;=100000,INDEX($AB$1005:$AQ$1005,1,MATCH(COLUMNS($AB$1006:AF1006),$AB$1006:$AQ$1006,0))&gt;=100000), " ",IF(INDEX($AB$2:$AQ$1001,MATCH(ROWS($U$2:U281),$U$2:$U$1001,0),MATCH(COLUMNS($AB$1006:AF1006),$AB$1006:$AQ$1006,0)), HYPERLINK("#",""), HYPERLINK(CONCATENATE("#Metadata!", ADDRESS(INDEX($W$2:$W$1001,MATCH(ROWS($U$2:U281),$U$2:$U$1001,0),0), INDEX($AB$1004:$AQ$1004,1,MATCH(COLUMNS($AB$1006:AF1006),$AB$1006:$AQ$1006,0)))),"Fix")))</f>
        <v>0</v>
      </c>
      <c r="G281" s="5">
        <f>IF(OR(INDEX($V$2:$V$1001,MATCH(ROWS($U$2:U281),$U$2:$U$1001,0),1)&gt;=100000,INDEX($AB$1005:$AQ$1005,1,MATCH(COLUMNS($AB$1006:AG1006),$AB$1006:$AQ$1006,0))&gt;=100000), " ",IF(INDEX($AB$2:$AQ$1001,MATCH(ROWS($U$2:U281),$U$2:$U$1001,0),MATCH(COLUMNS($AB$1006:AG1006),$AB$1006:$AQ$1006,0)), HYPERLINK("#",""), HYPERLINK(CONCATENATE("#Metadata!", ADDRESS(INDEX($W$2:$W$1001,MATCH(ROWS($U$2:U281),$U$2:$U$1001,0),0), INDEX($AB$1004:$AQ$1004,1,MATCH(COLUMNS($AB$1006:AG1006),$AB$1006:$AQ$1006,0)))),"Fix")))</f>
        <v>0</v>
      </c>
      <c r="H281" s="5">
        <f>IF(OR(INDEX($V$2:$V$1001,MATCH(ROWS($U$2:U281),$U$2:$U$1001,0),1)&gt;=100000,INDEX($AB$1005:$AQ$1005,1,MATCH(COLUMNS($AB$1006:AH1006),$AB$1006:$AQ$1006,0))&gt;=100000), " ",IF(INDEX($AB$2:$AQ$1001,MATCH(ROWS($U$2:U281),$U$2:$U$1001,0),MATCH(COLUMNS($AB$1006:AH1006),$AB$1006:$AQ$1006,0)), HYPERLINK("#",""), HYPERLINK(CONCATENATE("#Metadata!", ADDRESS(INDEX($W$2:$W$1001,MATCH(ROWS($U$2:U281),$U$2:$U$1001,0),0), INDEX($AB$1004:$AQ$1004,1,MATCH(COLUMNS($AB$1006:AH1006),$AB$1006:$AQ$1006,0)))),"Fix")))</f>
        <v>0</v>
      </c>
      <c r="I281" s="5">
        <f>IF(OR(INDEX($V$2:$V$1001,MATCH(ROWS($U$2:U281),$U$2:$U$1001,0),1)&gt;=100000,INDEX($AB$1005:$AQ$1005,1,MATCH(COLUMNS($AB$1006:AI1006),$AB$1006:$AQ$1006,0))&gt;=100000), " ",IF(INDEX($AB$2:$AQ$1001,MATCH(ROWS($U$2:U281),$U$2:$U$1001,0),MATCH(COLUMNS($AB$1006:AI1006),$AB$1006:$AQ$1006,0)), HYPERLINK("#",""), HYPERLINK(CONCATENATE("#Metadata!", ADDRESS(INDEX($W$2:$W$1001,MATCH(ROWS($U$2:U281),$U$2:$U$1001,0),0), INDEX($AB$1004:$AQ$1004,1,MATCH(COLUMNS($AB$1006:AI1006),$AB$1006:$AQ$1006,0)))),"Fix")))</f>
        <v>0</v>
      </c>
      <c r="J281" s="5">
        <f>IF(OR(INDEX($V$2:$V$1001,MATCH(ROWS($U$2:U281),$U$2:$U$1001,0),1)&gt;=100000,INDEX($AB$1005:$AQ$1005,1,MATCH(COLUMNS($AB$1006:AJ1006),$AB$1006:$AQ$1006,0))&gt;=100000), " ",IF(INDEX($AB$2:$AQ$1001,MATCH(ROWS($U$2:U281),$U$2:$U$1001,0),MATCH(COLUMNS($AB$1006:AJ1006),$AB$1006:$AQ$1006,0)), HYPERLINK("#",""), HYPERLINK(CONCATENATE("#Metadata!", ADDRESS(INDEX($W$2:$W$1001,MATCH(ROWS($U$2:U281),$U$2:$U$1001,0),0), INDEX($AB$1004:$AQ$1004,1,MATCH(COLUMNS($AB$1006:AJ1006),$AB$1006:$AQ$1006,0)))),"Fix")))</f>
        <v>0</v>
      </c>
      <c r="K281" s="5">
        <f>IF(OR(INDEX($V$2:$V$1001,MATCH(ROWS($U$2:U281),$U$2:$U$1001,0),1)&gt;=100000,INDEX($AB$1005:$AQ$1005,1,MATCH(COLUMNS($AB$1006:AK1006),$AB$1006:$AQ$1006,0))&gt;=100000), " ",IF(INDEX($AB$2:$AQ$1001,MATCH(ROWS($U$2:U281),$U$2:$U$1001,0),MATCH(COLUMNS($AB$1006:AK1006),$AB$1006:$AQ$1006,0)), HYPERLINK("#",""), HYPERLINK(CONCATENATE("#Metadata!", ADDRESS(INDEX($W$2:$W$1001,MATCH(ROWS($U$2:U281),$U$2:$U$1001,0),0), INDEX($AB$1004:$AQ$1004,1,MATCH(COLUMNS($AB$1006:AK1006),$AB$1006:$AQ$1006,0)))),"Fix")))</f>
        <v>0</v>
      </c>
      <c r="L281" s="5">
        <f>IF(OR(INDEX($V$2:$V$1001,MATCH(ROWS($U$2:U281),$U$2:$U$1001,0),1)&gt;=100000,INDEX($AB$1005:$AQ$1005,1,MATCH(COLUMNS($AB$1006:AL1006),$AB$1006:$AQ$1006,0))&gt;=100000), " ",IF(INDEX($AB$2:$AQ$1001,MATCH(ROWS($U$2:U281),$U$2:$U$1001,0),MATCH(COLUMNS($AB$1006:AL1006),$AB$1006:$AQ$1006,0)), HYPERLINK("#",""), HYPERLINK(CONCATENATE("#Metadata!", ADDRESS(INDEX($W$2:$W$1001,MATCH(ROWS($U$2:U281),$U$2:$U$1001,0),0), INDEX($AB$1004:$AQ$1004,1,MATCH(COLUMNS($AB$1006:AL1006),$AB$1006:$AQ$1006,0)))),"Fix")))</f>
        <v>0</v>
      </c>
      <c r="M281" s="5">
        <f>IF(OR(INDEX($V$2:$V$1001,MATCH(ROWS($U$2:U281),$U$2:$U$1001,0),1)&gt;=100000,INDEX($AB$1005:$AQ$1005,1,MATCH(COLUMNS($AB$1006:AM1006),$AB$1006:$AQ$1006,0))&gt;=100000), " ",IF(INDEX($AB$2:$AQ$1001,MATCH(ROWS($U$2:U281),$U$2:$U$1001,0),MATCH(COLUMNS($AB$1006:AM1006),$AB$1006:$AQ$1006,0)), HYPERLINK("#",""), HYPERLINK(CONCATENATE("#Metadata!", ADDRESS(INDEX($W$2:$W$1001,MATCH(ROWS($U$2:U281),$U$2:$U$1001,0),0), INDEX($AB$1004:$AQ$1004,1,MATCH(COLUMNS($AB$1006:AM1006),$AB$1006:$AQ$1006,0)))),"Fix")))</f>
        <v>0</v>
      </c>
      <c r="N281" s="5">
        <f>IF(OR(INDEX($V$2:$V$1001,MATCH(ROWS($U$2:U281),$U$2:$U$1001,0),1)&gt;=100000,INDEX($AB$1005:$AQ$1005,1,MATCH(COLUMNS($AB$1006:AN1006),$AB$1006:$AQ$1006,0))&gt;=100000), " ",IF(INDEX($AB$2:$AQ$1001,MATCH(ROWS($U$2:U281),$U$2:$U$1001,0),MATCH(COLUMNS($AB$1006:AN1006),$AB$1006:$AQ$1006,0)), HYPERLINK("#",""), HYPERLINK(CONCATENATE("#Metadata!", ADDRESS(INDEX($W$2:$W$1001,MATCH(ROWS($U$2:U281),$U$2:$U$1001,0),0), INDEX($AB$1004:$AQ$1004,1,MATCH(COLUMNS($AB$1006:AN1006),$AB$1006:$AQ$1006,0)))),"Fix")))</f>
        <v>0</v>
      </c>
      <c r="O281" s="5">
        <f>IF(OR(INDEX($V$2:$V$1001,MATCH(ROWS($U$2:U281),$U$2:$U$1001,0),1)&gt;=100000,INDEX($AB$1005:$AQ$1005,1,MATCH(COLUMNS($AB$1006:AO1006),$AB$1006:$AQ$1006,0))&gt;=100000), " ",IF(INDEX($AB$2:$AQ$1001,MATCH(ROWS($U$2:U281),$U$2:$U$1001,0),MATCH(COLUMNS($AB$1006:AO1006),$AB$1006:$AQ$1006,0)), HYPERLINK("#",""), HYPERLINK(CONCATENATE("#Metadata!", ADDRESS(INDEX($W$2:$W$1001,MATCH(ROWS($U$2:U281),$U$2:$U$1001,0),0), INDEX($AB$1004:$AQ$1004,1,MATCH(COLUMNS($AB$1006:AO1006),$AB$1006:$AQ$1006,0)))),"Fix")))</f>
        <v>0</v>
      </c>
      <c r="P281" s="5">
        <f>IF(OR(INDEX($V$2:$V$1001,MATCH(ROWS($U$2:U281),$U$2:$U$1001,0),1)&gt;=100000,INDEX($AB$1005:$AQ$1005,1,MATCH(COLUMNS($AB$1006:AP1006),$AB$1006:$AQ$1006,0))&gt;=100000), " ",IF(INDEX($AB$2:$AQ$1001,MATCH(ROWS($U$2:U281),$U$2:$U$1001,0),MATCH(COLUMNS($AB$1006:AP1006),$AB$1006:$AQ$1006,0)), HYPERLINK("#",""), HYPERLINK(CONCATENATE("#Metadata!", ADDRESS(INDEX($W$2:$W$1001,MATCH(ROWS($U$2:U281),$U$2:$U$1001,0),0), INDEX($AB$1004:$AQ$1004,1,MATCH(COLUMNS($AB$1006:AP1006),$AB$1006:$AQ$1006,0)))),"Fix")))</f>
        <v>0</v>
      </c>
      <c r="Q281" s="5">
        <f>IF(OR(INDEX($V$2:$V$1001,MATCH(ROWS($U$2:U281),$U$2:$U$1001,0),1)&gt;=100000,INDEX($AB$1005:$AQ$1005,1,MATCH(COLUMNS($AB$1006:AQ1006),$AB$1006:$AQ$1006,0))&gt;=100000), " ",IF(INDEX($AB$2:$AQ$1001,MATCH(ROWS($U$2:U281),$U$2:$U$1001,0),MATCH(COLUMNS($AB$1006:AQ1006),$AB$1006:$AQ$1006,0)), HYPERLINK("#",""), HYPERLINK(CONCATENATE("#Metadata!", ADDRESS(INDEX($W$2:$W$1001,MATCH(ROWS($U$2:U281),$U$2:$U$1001,0),0), INDEX($AB$1004:$AQ$1004,1,MATCH(COLUMNS($AB$1006:AQ1006),$AB$1006:$AQ$1006,0)))),"Fix")))</f>
        <v>0</v>
      </c>
      <c r="U281">
        <v>0</v>
      </c>
      <c r="V281">
        <v>0</v>
      </c>
      <c r="W281">
        <v>0</v>
      </c>
      <c r="X281">
        <f>IF(Y281,TRUE,AND(AB281:AQ281))</f>
        <v>0</v>
      </c>
      <c r="Y281">
        <f>COUNTBLANK(Metadata!B281:Q281)=COLUMNS(Metadata!B281:Q281)</f>
        <v>0</v>
      </c>
      <c r="Z281">
        <v>0</v>
      </c>
      <c r="AB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AC281">
        <f>AND(IF(Metadata!C281="",FALSE,TRUE),exact(Metadata!C281,"urban biome"))</f>
        <v>0</v>
      </c>
      <c r="AD281">
        <f>AND(IF(Metadata!D281="",FALSE,TRUE),exact(Metadata!D281,"human-associated habitat"))</f>
        <v>0</v>
      </c>
      <c r="AE281">
        <f>AND(IF(Metadata!E281="",FALSE,TRUE),OR(exact(Metadata!E281,"human-associated"),exact(Metadata!E281,"human-skin"),exact(Metadata!E281,"human-oral"),exact(Metadata!E281,"human-gut"),exact(Metadata!E281,"human-vaginal")))</f>
        <v>0</v>
      </c>
      <c r="AF281">
        <f>AND(IF(Metadata!F281="",FALSE,ISNUMBER(VALUE(Metadata!F281))),Metadata!F281&gt;0)</f>
        <v>0</v>
      </c>
      <c r="AG281">
        <f>AND(IF(Metadata!G281="",FALSE,TRUE),exact(Metadata!G281,"years"))</f>
        <v>0</v>
      </c>
      <c r="AH281">
        <f>OR(AND(IF(Metadata!H281="",FALSE,TRUE),OR(exact(Metadata!H281,"not applicable"),exact(Metadata!H281,"not collected"),exact(Metadata!H281,"not provided"),exact(Metadata!H281,"restricted access"))),AND(IF(Metadata!H281="",FALSE,ISNUMBER(VALUE(Metadata!H281))),Metadata!H281&gt;0))</f>
        <v>0</v>
      </c>
      <c r="AI281">
        <f>AND(IF(Metadata!I281="",FALSE,TRUE),exact(Metadata!I281,"human"))</f>
        <v>0</v>
      </c>
      <c r="AJ281">
        <f>AND(IF(Metadata!J281="",FALSE,ISNUMBER(VALUE(Metadata!J281))),Metadata!J281&gt;0)</f>
        <v>0</v>
      </c>
      <c r="AK281">
        <f>AND(IF(Metadata!K281="",FALSE,TRUE),exact(Metadata!K281,"cm"))</f>
        <v>0</v>
      </c>
      <c r="AL281">
        <f>AND(IF(Metadata!L281="",FALSE,TRUE),exact(Metadata!L281,"Homo sapiens"))</f>
        <v>0</v>
      </c>
      <c r="AM281">
        <f>AND(IF(Metadata!M281="",FALSE,TRUE),exact(Metadata!M281,"9606"))</f>
        <v>0</v>
      </c>
      <c r="AN281">
        <f>AND(IF(Metadata!N281="",FALSE,ISNUMBER(VALUE(Metadata!N281))),Metadata!N281&gt;0)</f>
        <v>0</v>
      </c>
      <c r="AO281">
        <f>AND(IF(Metadata!O281="",FALSE,TRUE),exact(Metadata!O281,"kg"))</f>
        <v>0</v>
      </c>
      <c r="AP281">
        <f>OR(AND(IF(Metadata!P281="",FALSE,TRUE),exact(Metadata!P281,"not provided")),IF(Metadata!P281="",FALSE,TRUE))</f>
        <v>0</v>
      </c>
      <c r="AQ281">
        <f>OR(AND(IF(Metadata!Q281="",FALSE,TRUE),exact(Metadata!Q281,"not provided")),IF(Metadata!Q281="",FALSE,TRUE))</f>
        <v>0</v>
      </c>
    </row>
    <row r="282" spans="1:43">
      <c r="A282" s="4">
        <f>IF(B282=" "," ",HYPERLINK(CONCATENATE("#metadata!",ADDRESS(INDEX($W$2:$W$1001,MATCH(ROWS($U$2:U282),$U$2:$U$1001,0),0),2)),INDEX($Z$2:$Z$1001,MATCH(ROWS($U$2:U282),$U$2:$U$1001,0),0)))</f>
        <v>0</v>
      </c>
      <c r="B282" s="5">
        <f>IF(OR(INDEX($V$2:$V$1001,MATCH(ROWS($U$2:U282),$U$2:$U$1001,0),1)&gt;=100000,INDEX($AB$1005:$AQ$1005,1,MATCH(COLUMNS($AB$1006:AB1006),$AB$1006:$AQ$1006,0))&gt;=100000), " ",IF(INDEX($AB$2:$AQ$1001,MATCH(ROWS($U$2:U282),$U$2:$U$1001,0),MATCH(COLUMNS($AB$1006:AB1006),$AB$1006:$AQ$1006,0)), HYPERLINK("#",""), HYPERLINK(CONCATENATE("#Metadata!", ADDRESS(INDEX($W$2:$W$1001,MATCH(ROWS($U$2:U282),$U$2:$U$1001,0),0), INDEX($AB$1004:$AQ$1004,1,MATCH(COLUMNS($AB$1006:AB1006),$AB$1006:$AQ$1006,0)))),"Fix")))</f>
        <v>0</v>
      </c>
      <c r="C282" s="5">
        <f>IF(OR(INDEX($V$2:$V$1001,MATCH(ROWS($U$2:U282),$U$2:$U$1001,0),1)&gt;=100000,INDEX($AB$1005:$AQ$1005,1,MATCH(COLUMNS($AB$1006:AC1006),$AB$1006:$AQ$1006,0))&gt;=100000), " ",IF(INDEX($AB$2:$AQ$1001,MATCH(ROWS($U$2:U282),$U$2:$U$1001,0),MATCH(COLUMNS($AB$1006:AC1006),$AB$1006:$AQ$1006,0)), HYPERLINK("#",""), HYPERLINK(CONCATENATE("#Metadata!", ADDRESS(INDEX($W$2:$W$1001,MATCH(ROWS($U$2:U282),$U$2:$U$1001,0),0), INDEX($AB$1004:$AQ$1004,1,MATCH(COLUMNS($AB$1006:AC1006),$AB$1006:$AQ$1006,0)))),"Fix")))</f>
        <v>0</v>
      </c>
      <c r="D282" s="5">
        <f>IF(OR(INDEX($V$2:$V$1001,MATCH(ROWS($U$2:U282),$U$2:$U$1001,0),1)&gt;=100000,INDEX($AB$1005:$AQ$1005,1,MATCH(COLUMNS($AB$1006:AD1006),$AB$1006:$AQ$1006,0))&gt;=100000), " ",IF(INDEX($AB$2:$AQ$1001,MATCH(ROWS($U$2:U282),$U$2:$U$1001,0),MATCH(COLUMNS($AB$1006:AD1006),$AB$1006:$AQ$1006,0)), HYPERLINK("#",""), HYPERLINK(CONCATENATE("#Metadata!", ADDRESS(INDEX($W$2:$W$1001,MATCH(ROWS($U$2:U282),$U$2:$U$1001,0),0), INDEX($AB$1004:$AQ$1004,1,MATCH(COLUMNS($AB$1006:AD1006),$AB$1006:$AQ$1006,0)))),"Fix")))</f>
        <v>0</v>
      </c>
      <c r="E282" s="5">
        <f>IF(OR(INDEX($V$2:$V$1001,MATCH(ROWS($U$2:U282),$U$2:$U$1001,0),1)&gt;=100000,INDEX($AB$1005:$AQ$1005,1,MATCH(COLUMNS($AB$1006:AE1006),$AB$1006:$AQ$1006,0))&gt;=100000), " ",IF(INDEX($AB$2:$AQ$1001,MATCH(ROWS($U$2:U282),$U$2:$U$1001,0),MATCH(COLUMNS($AB$1006:AE1006),$AB$1006:$AQ$1006,0)), HYPERLINK("#",""), HYPERLINK(CONCATENATE("#Metadata!", ADDRESS(INDEX($W$2:$W$1001,MATCH(ROWS($U$2:U282),$U$2:$U$1001,0),0), INDEX($AB$1004:$AQ$1004,1,MATCH(COLUMNS($AB$1006:AE1006),$AB$1006:$AQ$1006,0)))),"Fix")))</f>
        <v>0</v>
      </c>
      <c r="F282" s="5">
        <f>IF(OR(INDEX($V$2:$V$1001,MATCH(ROWS($U$2:U282),$U$2:$U$1001,0),1)&gt;=100000,INDEX($AB$1005:$AQ$1005,1,MATCH(COLUMNS($AB$1006:AF1006),$AB$1006:$AQ$1006,0))&gt;=100000), " ",IF(INDEX($AB$2:$AQ$1001,MATCH(ROWS($U$2:U282),$U$2:$U$1001,0),MATCH(COLUMNS($AB$1006:AF1006),$AB$1006:$AQ$1006,0)), HYPERLINK("#",""), HYPERLINK(CONCATENATE("#Metadata!", ADDRESS(INDEX($W$2:$W$1001,MATCH(ROWS($U$2:U282),$U$2:$U$1001,0),0), INDEX($AB$1004:$AQ$1004,1,MATCH(COLUMNS($AB$1006:AF1006),$AB$1006:$AQ$1006,0)))),"Fix")))</f>
        <v>0</v>
      </c>
      <c r="G282" s="5">
        <f>IF(OR(INDEX($V$2:$V$1001,MATCH(ROWS($U$2:U282),$U$2:$U$1001,0),1)&gt;=100000,INDEX($AB$1005:$AQ$1005,1,MATCH(COLUMNS($AB$1006:AG1006),$AB$1006:$AQ$1006,0))&gt;=100000), " ",IF(INDEX($AB$2:$AQ$1001,MATCH(ROWS($U$2:U282),$U$2:$U$1001,0),MATCH(COLUMNS($AB$1006:AG1006),$AB$1006:$AQ$1006,0)), HYPERLINK("#",""), HYPERLINK(CONCATENATE("#Metadata!", ADDRESS(INDEX($W$2:$W$1001,MATCH(ROWS($U$2:U282),$U$2:$U$1001,0),0), INDEX($AB$1004:$AQ$1004,1,MATCH(COLUMNS($AB$1006:AG1006),$AB$1006:$AQ$1006,0)))),"Fix")))</f>
        <v>0</v>
      </c>
      <c r="H282" s="5">
        <f>IF(OR(INDEX($V$2:$V$1001,MATCH(ROWS($U$2:U282),$U$2:$U$1001,0),1)&gt;=100000,INDEX($AB$1005:$AQ$1005,1,MATCH(COLUMNS($AB$1006:AH1006),$AB$1006:$AQ$1006,0))&gt;=100000), " ",IF(INDEX($AB$2:$AQ$1001,MATCH(ROWS($U$2:U282),$U$2:$U$1001,0),MATCH(COLUMNS($AB$1006:AH1006),$AB$1006:$AQ$1006,0)), HYPERLINK("#",""), HYPERLINK(CONCATENATE("#Metadata!", ADDRESS(INDEX($W$2:$W$1001,MATCH(ROWS($U$2:U282),$U$2:$U$1001,0),0), INDEX($AB$1004:$AQ$1004,1,MATCH(COLUMNS($AB$1006:AH1006),$AB$1006:$AQ$1006,0)))),"Fix")))</f>
        <v>0</v>
      </c>
      <c r="I282" s="5">
        <f>IF(OR(INDEX($V$2:$V$1001,MATCH(ROWS($U$2:U282),$U$2:$U$1001,0),1)&gt;=100000,INDEX($AB$1005:$AQ$1005,1,MATCH(COLUMNS($AB$1006:AI1006),$AB$1006:$AQ$1006,0))&gt;=100000), " ",IF(INDEX($AB$2:$AQ$1001,MATCH(ROWS($U$2:U282),$U$2:$U$1001,0),MATCH(COLUMNS($AB$1006:AI1006),$AB$1006:$AQ$1006,0)), HYPERLINK("#",""), HYPERLINK(CONCATENATE("#Metadata!", ADDRESS(INDEX($W$2:$W$1001,MATCH(ROWS($U$2:U282),$U$2:$U$1001,0),0), INDEX($AB$1004:$AQ$1004,1,MATCH(COLUMNS($AB$1006:AI1006),$AB$1006:$AQ$1006,0)))),"Fix")))</f>
        <v>0</v>
      </c>
      <c r="J282" s="5">
        <f>IF(OR(INDEX($V$2:$V$1001,MATCH(ROWS($U$2:U282),$U$2:$U$1001,0),1)&gt;=100000,INDEX($AB$1005:$AQ$1005,1,MATCH(COLUMNS($AB$1006:AJ1006),$AB$1006:$AQ$1006,0))&gt;=100000), " ",IF(INDEX($AB$2:$AQ$1001,MATCH(ROWS($U$2:U282),$U$2:$U$1001,0),MATCH(COLUMNS($AB$1006:AJ1006),$AB$1006:$AQ$1006,0)), HYPERLINK("#",""), HYPERLINK(CONCATENATE("#Metadata!", ADDRESS(INDEX($W$2:$W$1001,MATCH(ROWS($U$2:U282),$U$2:$U$1001,0),0), INDEX($AB$1004:$AQ$1004,1,MATCH(COLUMNS($AB$1006:AJ1006),$AB$1006:$AQ$1006,0)))),"Fix")))</f>
        <v>0</v>
      </c>
      <c r="K282" s="5">
        <f>IF(OR(INDEX($V$2:$V$1001,MATCH(ROWS($U$2:U282),$U$2:$U$1001,0),1)&gt;=100000,INDEX($AB$1005:$AQ$1005,1,MATCH(COLUMNS($AB$1006:AK1006),$AB$1006:$AQ$1006,0))&gt;=100000), " ",IF(INDEX($AB$2:$AQ$1001,MATCH(ROWS($U$2:U282),$U$2:$U$1001,0),MATCH(COLUMNS($AB$1006:AK1006),$AB$1006:$AQ$1006,0)), HYPERLINK("#",""), HYPERLINK(CONCATENATE("#Metadata!", ADDRESS(INDEX($W$2:$W$1001,MATCH(ROWS($U$2:U282),$U$2:$U$1001,0),0), INDEX($AB$1004:$AQ$1004,1,MATCH(COLUMNS($AB$1006:AK1006),$AB$1006:$AQ$1006,0)))),"Fix")))</f>
        <v>0</v>
      </c>
      <c r="L282" s="5">
        <f>IF(OR(INDEX($V$2:$V$1001,MATCH(ROWS($U$2:U282),$U$2:$U$1001,0),1)&gt;=100000,INDEX($AB$1005:$AQ$1005,1,MATCH(COLUMNS($AB$1006:AL1006),$AB$1006:$AQ$1006,0))&gt;=100000), " ",IF(INDEX($AB$2:$AQ$1001,MATCH(ROWS($U$2:U282),$U$2:$U$1001,0),MATCH(COLUMNS($AB$1006:AL1006),$AB$1006:$AQ$1006,0)), HYPERLINK("#",""), HYPERLINK(CONCATENATE("#Metadata!", ADDRESS(INDEX($W$2:$W$1001,MATCH(ROWS($U$2:U282),$U$2:$U$1001,0),0), INDEX($AB$1004:$AQ$1004,1,MATCH(COLUMNS($AB$1006:AL1006),$AB$1006:$AQ$1006,0)))),"Fix")))</f>
        <v>0</v>
      </c>
      <c r="M282" s="5">
        <f>IF(OR(INDEX($V$2:$V$1001,MATCH(ROWS($U$2:U282),$U$2:$U$1001,0),1)&gt;=100000,INDEX($AB$1005:$AQ$1005,1,MATCH(COLUMNS($AB$1006:AM1006),$AB$1006:$AQ$1006,0))&gt;=100000), " ",IF(INDEX($AB$2:$AQ$1001,MATCH(ROWS($U$2:U282),$U$2:$U$1001,0),MATCH(COLUMNS($AB$1006:AM1006),$AB$1006:$AQ$1006,0)), HYPERLINK("#",""), HYPERLINK(CONCATENATE("#Metadata!", ADDRESS(INDEX($W$2:$W$1001,MATCH(ROWS($U$2:U282),$U$2:$U$1001,0),0), INDEX($AB$1004:$AQ$1004,1,MATCH(COLUMNS($AB$1006:AM1006),$AB$1006:$AQ$1006,0)))),"Fix")))</f>
        <v>0</v>
      </c>
      <c r="N282" s="5">
        <f>IF(OR(INDEX($V$2:$V$1001,MATCH(ROWS($U$2:U282),$U$2:$U$1001,0),1)&gt;=100000,INDEX($AB$1005:$AQ$1005,1,MATCH(COLUMNS($AB$1006:AN1006),$AB$1006:$AQ$1006,0))&gt;=100000), " ",IF(INDEX($AB$2:$AQ$1001,MATCH(ROWS($U$2:U282),$U$2:$U$1001,0),MATCH(COLUMNS($AB$1006:AN1006),$AB$1006:$AQ$1006,0)), HYPERLINK("#",""), HYPERLINK(CONCATENATE("#Metadata!", ADDRESS(INDEX($W$2:$W$1001,MATCH(ROWS($U$2:U282),$U$2:$U$1001,0),0), INDEX($AB$1004:$AQ$1004,1,MATCH(COLUMNS($AB$1006:AN1006),$AB$1006:$AQ$1006,0)))),"Fix")))</f>
        <v>0</v>
      </c>
      <c r="O282" s="5">
        <f>IF(OR(INDEX($V$2:$V$1001,MATCH(ROWS($U$2:U282),$U$2:$U$1001,0),1)&gt;=100000,INDEX($AB$1005:$AQ$1005,1,MATCH(COLUMNS($AB$1006:AO1006),$AB$1006:$AQ$1006,0))&gt;=100000), " ",IF(INDEX($AB$2:$AQ$1001,MATCH(ROWS($U$2:U282),$U$2:$U$1001,0),MATCH(COLUMNS($AB$1006:AO1006),$AB$1006:$AQ$1006,0)), HYPERLINK("#",""), HYPERLINK(CONCATENATE("#Metadata!", ADDRESS(INDEX($W$2:$W$1001,MATCH(ROWS($U$2:U282),$U$2:$U$1001,0),0), INDEX($AB$1004:$AQ$1004,1,MATCH(COLUMNS($AB$1006:AO1006),$AB$1006:$AQ$1006,0)))),"Fix")))</f>
        <v>0</v>
      </c>
      <c r="P282" s="5">
        <f>IF(OR(INDEX($V$2:$V$1001,MATCH(ROWS($U$2:U282),$U$2:$U$1001,0),1)&gt;=100000,INDEX($AB$1005:$AQ$1005,1,MATCH(COLUMNS($AB$1006:AP1006),$AB$1006:$AQ$1006,0))&gt;=100000), " ",IF(INDEX($AB$2:$AQ$1001,MATCH(ROWS($U$2:U282),$U$2:$U$1001,0),MATCH(COLUMNS($AB$1006:AP1006),$AB$1006:$AQ$1006,0)), HYPERLINK("#",""), HYPERLINK(CONCATENATE("#Metadata!", ADDRESS(INDEX($W$2:$W$1001,MATCH(ROWS($U$2:U282),$U$2:$U$1001,0),0), INDEX($AB$1004:$AQ$1004,1,MATCH(COLUMNS($AB$1006:AP1006),$AB$1006:$AQ$1006,0)))),"Fix")))</f>
        <v>0</v>
      </c>
      <c r="Q282" s="5">
        <f>IF(OR(INDEX($V$2:$V$1001,MATCH(ROWS($U$2:U282),$U$2:$U$1001,0),1)&gt;=100000,INDEX($AB$1005:$AQ$1005,1,MATCH(COLUMNS($AB$1006:AQ1006),$AB$1006:$AQ$1006,0))&gt;=100000), " ",IF(INDEX($AB$2:$AQ$1001,MATCH(ROWS($U$2:U282),$U$2:$U$1001,0),MATCH(COLUMNS($AB$1006:AQ1006),$AB$1006:$AQ$1006,0)), HYPERLINK("#",""), HYPERLINK(CONCATENATE("#Metadata!", ADDRESS(INDEX($W$2:$W$1001,MATCH(ROWS($U$2:U282),$U$2:$U$1001,0),0), INDEX($AB$1004:$AQ$1004,1,MATCH(COLUMNS($AB$1006:AQ1006),$AB$1006:$AQ$1006,0)))),"Fix")))</f>
        <v>0</v>
      </c>
      <c r="U282">
        <v>0</v>
      </c>
      <c r="V282">
        <v>0</v>
      </c>
      <c r="W282">
        <v>0</v>
      </c>
      <c r="X282">
        <f>IF(Y282,TRUE,AND(AB282:AQ282))</f>
        <v>0</v>
      </c>
      <c r="Y282">
        <f>COUNTBLANK(Metadata!B282:Q282)=COLUMNS(Metadata!B282:Q282)</f>
        <v>0</v>
      </c>
      <c r="Z282">
        <v>0</v>
      </c>
      <c r="AB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AC282">
        <f>AND(IF(Metadata!C282="",FALSE,TRUE),exact(Metadata!C282,"urban biome"))</f>
        <v>0</v>
      </c>
      <c r="AD282">
        <f>AND(IF(Metadata!D282="",FALSE,TRUE),exact(Metadata!D282,"human-associated habitat"))</f>
        <v>0</v>
      </c>
      <c r="AE282">
        <f>AND(IF(Metadata!E282="",FALSE,TRUE),OR(exact(Metadata!E282,"human-associated"),exact(Metadata!E282,"human-skin"),exact(Metadata!E282,"human-oral"),exact(Metadata!E282,"human-gut"),exact(Metadata!E282,"human-vaginal")))</f>
        <v>0</v>
      </c>
      <c r="AF282">
        <f>AND(IF(Metadata!F282="",FALSE,ISNUMBER(VALUE(Metadata!F282))),Metadata!F282&gt;0)</f>
        <v>0</v>
      </c>
      <c r="AG282">
        <f>AND(IF(Metadata!G282="",FALSE,TRUE),exact(Metadata!G282,"years"))</f>
        <v>0</v>
      </c>
      <c r="AH282">
        <f>OR(AND(IF(Metadata!H282="",FALSE,TRUE),OR(exact(Metadata!H282,"not applicable"),exact(Metadata!H282,"not collected"),exact(Metadata!H282,"not provided"),exact(Metadata!H282,"restricted access"))),AND(IF(Metadata!H282="",FALSE,ISNUMBER(VALUE(Metadata!H282))),Metadata!H282&gt;0))</f>
        <v>0</v>
      </c>
      <c r="AI282">
        <f>AND(IF(Metadata!I282="",FALSE,TRUE),exact(Metadata!I282,"human"))</f>
        <v>0</v>
      </c>
      <c r="AJ282">
        <f>AND(IF(Metadata!J282="",FALSE,ISNUMBER(VALUE(Metadata!J282))),Metadata!J282&gt;0)</f>
        <v>0</v>
      </c>
      <c r="AK282">
        <f>AND(IF(Metadata!K282="",FALSE,TRUE),exact(Metadata!K282,"cm"))</f>
        <v>0</v>
      </c>
      <c r="AL282">
        <f>AND(IF(Metadata!L282="",FALSE,TRUE),exact(Metadata!L282,"Homo sapiens"))</f>
        <v>0</v>
      </c>
      <c r="AM282">
        <f>AND(IF(Metadata!M282="",FALSE,TRUE),exact(Metadata!M282,"9606"))</f>
        <v>0</v>
      </c>
      <c r="AN282">
        <f>AND(IF(Metadata!N282="",FALSE,ISNUMBER(VALUE(Metadata!N282))),Metadata!N282&gt;0)</f>
        <v>0</v>
      </c>
      <c r="AO282">
        <f>AND(IF(Metadata!O282="",FALSE,TRUE),exact(Metadata!O282,"kg"))</f>
        <v>0</v>
      </c>
      <c r="AP282">
        <f>OR(AND(IF(Metadata!P282="",FALSE,TRUE),exact(Metadata!P282,"not provided")),IF(Metadata!P282="",FALSE,TRUE))</f>
        <v>0</v>
      </c>
      <c r="AQ282">
        <f>OR(AND(IF(Metadata!Q282="",FALSE,TRUE),exact(Metadata!Q282,"not provided")),IF(Metadata!Q282="",FALSE,TRUE))</f>
        <v>0</v>
      </c>
    </row>
    <row r="283" spans="1:43">
      <c r="A283" s="4">
        <f>IF(B283=" "," ",HYPERLINK(CONCATENATE("#metadata!",ADDRESS(INDEX($W$2:$W$1001,MATCH(ROWS($U$2:U283),$U$2:$U$1001,0),0),2)),INDEX($Z$2:$Z$1001,MATCH(ROWS($U$2:U283),$U$2:$U$1001,0),0)))</f>
        <v>0</v>
      </c>
      <c r="B283" s="5">
        <f>IF(OR(INDEX($V$2:$V$1001,MATCH(ROWS($U$2:U283),$U$2:$U$1001,0),1)&gt;=100000,INDEX($AB$1005:$AQ$1005,1,MATCH(COLUMNS($AB$1006:AB1006),$AB$1006:$AQ$1006,0))&gt;=100000), " ",IF(INDEX($AB$2:$AQ$1001,MATCH(ROWS($U$2:U283),$U$2:$U$1001,0),MATCH(COLUMNS($AB$1006:AB1006),$AB$1006:$AQ$1006,0)), HYPERLINK("#",""), HYPERLINK(CONCATENATE("#Metadata!", ADDRESS(INDEX($W$2:$W$1001,MATCH(ROWS($U$2:U283),$U$2:$U$1001,0),0), INDEX($AB$1004:$AQ$1004,1,MATCH(COLUMNS($AB$1006:AB1006),$AB$1006:$AQ$1006,0)))),"Fix")))</f>
        <v>0</v>
      </c>
      <c r="C283" s="5">
        <f>IF(OR(INDEX($V$2:$V$1001,MATCH(ROWS($U$2:U283),$U$2:$U$1001,0),1)&gt;=100000,INDEX($AB$1005:$AQ$1005,1,MATCH(COLUMNS($AB$1006:AC1006),$AB$1006:$AQ$1006,0))&gt;=100000), " ",IF(INDEX($AB$2:$AQ$1001,MATCH(ROWS($U$2:U283),$U$2:$U$1001,0),MATCH(COLUMNS($AB$1006:AC1006),$AB$1006:$AQ$1006,0)), HYPERLINK("#",""), HYPERLINK(CONCATENATE("#Metadata!", ADDRESS(INDEX($W$2:$W$1001,MATCH(ROWS($U$2:U283),$U$2:$U$1001,0),0), INDEX($AB$1004:$AQ$1004,1,MATCH(COLUMNS($AB$1006:AC1006),$AB$1006:$AQ$1006,0)))),"Fix")))</f>
        <v>0</v>
      </c>
      <c r="D283" s="5">
        <f>IF(OR(INDEX($V$2:$V$1001,MATCH(ROWS($U$2:U283),$U$2:$U$1001,0),1)&gt;=100000,INDEX($AB$1005:$AQ$1005,1,MATCH(COLUMNS($AB$1006:AD1006),$AB$1006:$AQ$1006,0))&gt;=100000), " ",IF(INDEX($AB$2:$AQ$1001,MATCH(ROWS($U$2:U283),$U$2:$U$1001,0),MATCH(COLUMNS($AB$1006:AD1006),$AB$1006:$AQ$1006,0)), HYPERLINK("#",""), HYPERLINK(CONCATENATE("#Metadata!", ADDRESS(INDEX($W$2:$W$1001,MATCH(ROWS($U$2:U283),$U$2:$U$1001,0),0), INDEX($AB$1004:$AQ$1004,1,MATCH(COLUMNS($AB$1006:AD1006),$AB$1006:$AQ$1006,0)))),"Fix")))</f>
        <v>0</v>
      </c>
      <c r="E283" s="5">
        <f>IF(OR(INDEX($V$2:$V$1001,MATCH(ROWS($U$2:U283),$U$2:$U$1001,0),1)&gt;=100000,INDEX($AB$1005:$AQ$1005,1,MATCH(COLUMNS($AB$1006:AE1006),$AB$1006:$AQ$1006,0))&gt;=100000), " ",IF(INDEX($AB$2:$AQ$1001,MATCH(ROWS($U$2:U283),$U$2:$U$1001,0),MATCH(COLUMNS($AB$1006:AE1006),$AB$1006:$AQ$1006,0)), HYPERLINK("#",""), HYPERLINK(CONCATENATE("#Metadata!", ADDRESS(INDEX($W$2:$W$1001,MATCH(ROWS($U$2:U283),$U$2:$U$1001,0),0), INDEX($AB$1004:$AQ$1004,1,MATCH(COLUMNS($AB$1006:AE1006),$AB$1006:$AQ$1006,0)))),"Fix")))</f>
        <v>0</v>
      </c>
      <c r="F283" s="5">
        <f>IF(OR(INDEX($V$2:$V$1001,MATCH(ROWS($U$2:U283),$U$2:$U$1001,0),1)&gt;=100000,INDEX($AB$1005:$AQ$1005,1,MATCH(COLUMNS($AB$1006:AF1006),$AB$1006:$AQ$1006,0))&gt;=100000), " ",IF(INDEX($AB$2:$AQ$1001,MATCH(ROWS($U$2:U283),$U$2:$U$1001,0),MATCH(COLUMNS($AB$1006:AF1006),$AB$1006:$AQ$1006,0)), HYPERLINK("#",""), HYPERLINK(CONCATENATE("#Metadata!", ADDRESS(INDEX($W$2:$W$1001,MATCH(ROWS($U$2:U283),$U$2:$U$1001,0),0), INDEX($AB$1004:$AQ$1004,1,MATCH(COLUMNS($AB$1006:AF1006),$AB$1006:$AQ$1006,0)))),"Fix")))</f>
        <v>0</v>
      </c>
      <c r="G283" s="5">
        <f>IF(OR(INDEX($V$2:$V$1001,MATCH(ROWS($U$2:U283),$U$2:$U$1001,0),1)&gt;=100000,INDEX($AB$1005:$AQ$1005,1,MATCH(COLUMNS($AB$1006:AG1006),$AB$1006:$AQ$1006,0))&gt;=100000), " ",IF(INDEX($AB$2:$AQ$1001,MATCH(ROWS($U$2:U283),$U$2:$U$1001,0),MATCH(COLUMNS($AB$1006:AG1006),$AB$1006:$AQ$1006,0)), HYPERLINK("#",""), HYPERLINK(CONCATENATE("#Metadata!", ADDRESS(INDEX($W$2:$W$1001,MATCH(ROWS($U$2:U283),$U$2:$U$1001,0),0), INDEX($AB$1004:$AQ$1004,1,MATCH(COLUMNS($AB$1006:AG1006),$AB$1006:$AQ$1006,0)))),"Fix")))</f>
        <v>0</v>
      </c>
      <c r="H283" s="5">
        <f>IF(OR(INDEX($V$2:$V$1001,MATCH(ROWS($U$2:U283),$U$2:$U$1001,0),1)&gt;=100000,INDEX($AB$1005:$AQ$1005,1,MATCH(COLUMNS($AB$1006:AH1006),$AB$1006:$AQ$1006,0))&gt;=100000), " ",IF(INDEX($AB$2:$AQ$1001,MATCH(ROWS($U$2:U283),$U$2:$U$1001,0),MATCH(COLUMNS($AB$1006:AH1006),$AB$1006:$AQ$1006,0)), HYPERLINK("#",""), HYPERLINK(CONCATENATE("#Metadata!", ADDRESS(INDEX($W$2:$W$1001,MATCH(ROWS($U$2:U283),$U$2:$U$1001,0),0), INDEX($AB$1004:$AQ$1004,1,MATCH(COLUMNS($AB$1006:AH1006),$AB$1006:$AQ$1006,0)))),"Fix")))</f>
        <v>0</v>
      </c>
      <c r="I283" s="5">
        <f>IF(OR(INDEX($V$2:$V$1001,MATCH(ROWS($U$2:U283),$U$2:$U$1001,0),1)&gt;=100000,INDEX($AB$1005:$AQ$1005,1,MATCH(COLUMNS($AB$1006:AI1006),$AB$1006:$AQ$1006,0))&gt;=100000), " ",IF(INDEX($AB$2:$AQ$1001,MATCH(ROWS($U$2:U283),$U$2:$U$1001,0),MATCH(COLUMNS($AB$1006:AI1006),$AB$1006:$AQ$1006,0)), HYPERLINK("#",""), HYPERLINK(CONCATENATE("#Metadata!", ADDRESS(INDEX($W$2:$W$1001,MATCH(ROWS($U$2:U283),$U$2:$U$1001,0),0), INDEX($AB$1004:$AQ$1004,1,MATCH(COLUMNS($AB$1006:AI1006),$AB$1006:$AQ$1006,0)))),"Fix")))</f>
        <v>0</v>
      </c>
      <c r="J283" s="5">
        <f>IF(OR(INDEX($V$2:$V$1001,MATCH(ROWS($U$2:U283),$U$2:$U$1001,0),1)&gt;=100000,INDEX($AB$1005:$AQ$1005,1,MATCH(COLUMNS($AB$1006:AJ1006),$AB$1006:$AQ$1006,0))&gt;=100000), " ",IF(INDEX($AB$2:$AQ$1001,MATCH(ROWS($U$2:U283),$U$2:$U$1001,0),MATCH(COLUMNS($AB$1006:AJ1006),$AB$1006:$AQ$1006,0)), HYPERLINK("#",""), HYPERLINK(CONCATENATE("#Metadata!", ADDRESS(INDEX($W$2:$W$1001,MATCH(ROWS($U$2:U283),$U$2:$U$1001,0),0), INDEX($AB$1004:$AQ$1004,1,MATCH(COLUMNS($AB$1006:AJ1006),$AB$1006:$AQ$1006,0)))),"Fix")))</f>
        <v>0</v>
      </c>
      <c r="K283" s="5">
        <f>IF(OR(INDEX($V$2:$V$1001,MATCH(ROWS($U$2:U283),$U$2:$U$1001,0),1)&gt;=100000,INDEX($AB$1005:$AQ$1005,1,MATCH(COLUMNS($AB$1006:AK1006),$AB$1006:$AQ$1006,0))&gt;=100000), " ",IF(INDEX($AB$2:$AQ$1001,MATCH(ROWS($U$2:U283),$U$2:$U$1001,0),MATCH(COLUMNS($AB$1006:AK1006),$AB$1006:$AQ$1006,0)), HYPERLINK("#",""), HYPERLINK(CONCATENATE("#Metadata!", ADDRESS(INDEX($W$2:$W$1001,MATCH(ROWS($U$2:U283),$U$2:$U$1001,0),0), INDEX($AB$1004:$AQ$1004,1,MATCH(COLUMNS($AB$1006:AK1006),$AB$1006:$AQ$1006,0)))),"Fix")))</f>
        <v>0</v>
      </c>
      <c r="L283" s="5">
        <f>IF(OR(INDEX($V$2:$V$1001,MATCH(ROWS($U$2:U283),$U$2:$U$1001,0),1)&gt;=100000,INDEX($AB$1005:$AQ$1005,1,MATCH(COLUMNS($AB$1006:AL1006),$AB$1006:$AQ$1006,0))&gt;=100000), " ",IF(INDEX($AB$2:$AQ$1001,MATCH(ROWS($U$2:U283),$U$2:$U$1001,0),MATCH(COLUMNS($AB$1006:AL1006),$AB$1006:$AQ$1006,0)), HYPERLINK("#",""), HYPERLINK(CONCATENATE("#Metadata!", ADDRESS(INDEX($W$2:$W$1001,MATCH(ROWS($U$2:U283),$U$2:$U$1001,0),0), INDEX($AB$1004:$AQ$1004,1,MATCH(COLUMNS($AB$1006:AL1006),$AB$1006:$AQ$1006,0)))),"Fix")))</f>
        <v>0</v>
      </c>
      <c r="M283" s="5">
        <f>IF(OR(INDEX($V$2:$V$1001,MATCH(ROWS($U$2:U283),$U$2:$U$1001,0),1)&gt;=100000,INDEX($AB$1005:$AQ$1005,1,MATCH(COLUMNS($AB$1006:AM1006),$AB$1006:$AQ$1006,0))&gt;=100000), " ",IF(INDEX($AB$2:$AQ$1001,MATCH(ROWS($U$2:U283),$U$2:$U$1001,0),MATCH(COLUMNS($AB$1006:AM1006),$AB$1006:$AQ$1006,0)), HYPERLINK("#",""), HYPERLINK(CONCATENATE("#Metadata!", ADDRESS(INDEX($W$2:$W$1001,MATCH(ROWS($U$2:U283),$U$2:$U$1001,0),0), INDEX($AB$1004:$AQ$1004,1,MATCH(COLUMNS($AB$1006:AM1006),$AB$1006:$AQ$1006,0)))),"Fix")))</f>
        <v>0</v>
      </c>
      <c r="N283" s="5">
        <f>IF(OR(INDEX($V$2:$V$1001,MATCH(ROWS($U$2:U283),$U$2:$U$1001,0),1)&gt;=100000,INDEX($AB$1005:$AQ$1005,1,MATCH(COLUMNS($AB$1006:AN1006),$AB$1006:$AQ$1006,0))&gt;=100000), " ",IF(INDEX($AB$2:$AQ$1001,MATCH(ROWS($U$2:U283),$U$2:$U$1001,0),MATCH(COLUMNS($AB$1006:AN1006),$AB$1006:$AQ$1006,0)), HYPERLINK("#",""), HYPERLINK(CONCATENATE("#Metadata!", ADDRESS(INDEX($W$2:$W$1001,MATCH(ROWS($U$2:U283),$U$2:$U$1001,0),0), INDEX($AB$1004:$AQ$1004,1,MATCH(COLUMNS($AB$1006:AN1006),$AB$1006:$AQ$1006,0)))),"Fix")))</f>
        <v>0</v>
      </c>
      <c r="O283" s="5">
        <f>IF(OR(INDEX($V$2:$V$1001,MATCH(ROWS($U$2:U283),$U$2:$U$1001,0),1)&gt;=100000,INDEX($AB$1005:$AQ$1005,1,MATCH(COLUMNS($AB$1006:AO1006),$AB$1006:$AQ$1006,0))&gt;=100000), " ",IF(INDEX($AB$2:$AQ$1001,MATCH(ROWS($U$2:U283),$U$2:$U$1001,0),MATCH(COLUMNS($AB$1006:AO1006),$AB$1006:$AQ$1006,0)), HYPERLINK("#",""), HYPERLINK(CONCATENATE("#Metadata!", ADDRESS(INDEX($W$2:$W$1001,MATCH(ROWS($U$2:U283),$U$2:$U$1001,0),0), INDEX($AB$1004:$AQ$1004,1,MATCH(COLUMNS($AB$1006:AO1006),$AB$1006:$AQ$1006,0)))),"Fix")))</f>
        <v>0</v>
      </c>
      <c r="P283" s="5">
        <f>IF(OR(INDEX($V$2:$V$1001,MATCH(ROWS($U$2:U283),$U$2:$U$1001,0),1)&gt;=100000,INDEX($AB$1005:$AQ$1005,1,MATCH(COLUMNS($AB$1006:AP1006),$AB$1006:$AQ$1006,0))&gt;=100000), " ",IF(INDEX($AB$2:$AQ$1001,MATCH(ROWS($U$2:U283),$U$2:$U$1001,0),MATCH(COLUMNS($AB$1006:AP1006),$AB$1006:$AQ$1006,0)), HYPERLINK("#",""), HYPERLINK(CONCATENATE("#Metadata!", ADDRESS(INDEX($W$2:$W$1001,MATCH(ROWS($U$2:U283),$U$2:$U$1001,0),0), INDEX($AB$1004:$AQ$1004,1,MATCH(COLUMNS($AB$1006:AP1006),$AB$1006:$AQ$1006,0)))),"Fix")))</f>
        <v>0</v>
      </c>
      <c r="Q283" s="5">
        <f>IF(OR(INDEX($V$2:$V$1001,MATCH(ROWS($U$2:U283),$U$2:$U$1001,0),1)&gt;=100000,INDEX($AB$1005:$AQ$1005,1,MATCH(COLUMNS($AB$1006:AQ1006),$AB$1006:$AQ$1006,0))&gt;=100000), " ",IF(INDEX($AB$2:$AQ$1001,MATCH(ROWS($U$2:U283),$U$2:$U$1001,0),MATCH(COLUMNS($AB$1006:AQ1006),$AB$1006:$AQ$1006,0)), HYPERLINK("#",""), HYPERLINK(CONCATENATE("#Metadata!", ADDRESS(INDEX($W$2:$W$1001,MATCH(ROWS($U$2:U283),$U$2:$U$1001,0),0), INDEX($AB$1004:$AQ$1004,1,MATCH(COLUMNS($AB$1006:AQ1006),$AB$1006:$AQ$1006,0)))),"Fix")))</f>
        <v>0</v>
      </c>
      <c r="U283">
        <v>0</v>
      </c>
      <c r="V283">
        <v>0</v>
      </c>
      <c r="W283">
        <v>0</v>
      </c>
      <c r="X283">
        <f>IF(Y283,TRUE,AND(AB283:AQ283))</f>
        <v>0</v>
      </c>
      <c r="Y283">
        <f>COUNTBLANK(Metadata!B283:Q283)=COLUMNS(Metadata!B283:Q283)</f>
        <v>0</v>
      </c>
      <c r="Z283">
        <v>0</v>
      </c>
      <c r="AB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AC283">
        <f>AND(IF(Metadata!C283="",FALSE,TRUE),exact(Metadata!C283,"urban biome"))</f>
        <v>0</v>
      </c>
      <c r="AD283">
        <f>AND(IF(Metadata!D283="",FALSE,TRUE),exact(Metadata!D283,"human-associated habitat"))</f>
        <v>0</v>
      </c>
      <c r="AE283">
        <f>AND(IF(Metadata!E283="",FALSE,TRUE),OR(exact(Metadata!E283,"human-associated"),exact(Metadata!E283,"human-skin"),exact(Metadata!E283,"human-oral"),exact(Metadata!E283,"human-gut"),exact(Metadata!E283,"human-vaginal")))</f>
        <v>0</v>
      </c>
      <c r="AF283">
        <f>AND(IF(Metadata!F283="",FALSE,ISNUMBER(VALUE(Metadata!F283))),Metadata!F283&gt;0)</f>
        <v>0</v>
      </c>
      <c r="AG283">
        <f>AND(IF(Metadata!G283="",FALSE,TRUE),exact(Metadata!G283,"years"))</f>
        <v>0</v>
      </c>
      <c r="AH283">
        <f>OR(AND(IF(Metadata!H283="",FALSE,TRUE),OR(exact(Metadata!H283,"not applicable"),exact(Metadata!H283,"not collected"),exact(Metadata!H283,"not provided"),exact(Metadata!H283,"restricted access"))),AND(IF(Metadata!H283="",FALSE,ISNUMBER(VALUE(Metadata!H283))),Metadata!H283&gt;0))</f>
        <v>0</v>
      </c>
      <c r="AI283">
        <f>AND(IF(Metadata!I283="",FALSE,TRUE),exact(Metadata!I283,"human"))</f>
        <v>0</v>
      </c>
      <c r="AJ283">
        <f>AND(IF(Metadata!J283="",FALSE,ISNUMBER(VALUE(Metadata!J283))),Metadata!J283&gt;0)</f>
        <v>0</v>
      </c>
      <c r="AK283">
        <f>AND(IF(Metadata!K283="",FALSE,TRUE),exact(Metadata!K283,"cm"))</f>
        <v>0</v>
      </c>
      <c r="AL283">
        <f>AND(IF(Metadata!L283="",FALSE,TRUE),exact(Metadata!L283,"Homo sapiens"))</f>
        <v>0</v>
      </c>
      <c r="AM283">
        <f>AND(IF(Metadata!M283="",FALSE,TRUE),exact(Metadata!M283,"9606"))</f>
        <v>0</v>
      </c>
      <c r="AN283">
        <f>AND(IF(Metadata!N283="",FALSE,ISNUMBER(VALUE(Metadata!N283))),Metadata!N283&gt;0)</f>
        <v>0</v>
      </c>
      <c r="AO283">
        <f>AND(IF(Metadata!O283="",FALSE,TRUE),exact(Metadata!O283,"kg"))</f>
        <v>0</v>
      </c>
      <c r="AP283">
        <f>OR(AND(IF(Metadata!P283="",FALSE,TRUE),exact(Metadata!P283,"not provided")),IF(Metadata!P283="",FALSE,TRUE))</f>
        <v>0</v>
      </c>
      <c r="AQ283">
        <f>OR(AND(IF(Metadata!Q283="",FALSE,TRUE),exact(Metadata!Q283,"not provided")),IF(Metadata!Q283="",FALSE,TRUE))</f>
        <v>0</v>
      </c>
    </row>
    <row r="284" spans="1:43">
      <c r="A284" s="4">
        <f>IF(B284=" "," ",HYPERLINK(CONCATENATE("#metadata!",ADDRESS(INDEX($W$2:$W$1001,MATCH(ROWS($U$2:U284),$U$2:$U$1001,0),0),2)),INDEX($Z$2:$Z$1001,MATCH(ROWS($U$2:U284),$U$2:$U$1001,0),0)))</f>
        <v>0</v>
      </c>
      <c r="B284" s="5">
        <f>IF(OR(INDEX($V$2:$V$1001,MATCH(ROWS($U$2:U284),$U$2:$U$1001,0),1)&gt;=100000,INDEX($AB$1005:$AQ$1005,1,MATCH(COLUMNS($AB$1006:AB1006),$AB$1006:$AQ$1006,0))&gt;=100000), " ",IF(INDEX($AB$2:$AQ$1001,MATCH(ROWS($U$2:U284),$U$2:$U$1001,0),MATCH(COLUMNS($AB$1006:AB1006),$AB$1006:$AQ$1006,0)), HYPERLINK("#",""), HYPERLINK(CONCATENATE("#Metadata!", ADDRESS(INDEX($W$2:$W$1001,MATCH(ROWS($U$2:U284),$U$2:$U$1001,0),0), INDEX($AB$1004:$AQ$1004,1,MATCH(COLUMNS($AB$1006:AB1006),$AB$1006:$AQ$1006,0)))),"Fix")))</f>
        <v>0</v>
      </c>
      <c r="C284" s="5">
        <f>IF(OR(INDEX($V$2:$V$1001,MATCH(ROWS($U$2:U284),$U$2:$U$1001,0),1)&gt;=100000,INDEX($AB$1005:$AQ$1005,1,MATCH(COLUMNS($AB$1006:AC1006),$AB$1006:$AQ$1006,0))&gt;=100000), " ",IF(INDEX($AB$2:$AQ$1001,MATCH(ROWS($U$2:U284),$U$2:$U$1001,0),MATCH(COLUMNS($AB$1006:AC1006),$AB$1006:$AQ$1006,0)), HYPERLINK("#",""), HYPERLINK(CONCATENATE("#Metadata!", ADDRESS(INDEX($W$2:$W$1001,MATCH(ROWS($U$2:U284),$U$2:$U$1001,0),0), INDEX($AB$1004:$AQ$1004,1,MATCH(COLUMNS($AB$1006:AC1006),$AB$1006:$AQ$1006,0)))),"Fix")))</f>
        <v>0</v>
      </c>
      <c r="D284" s="5">
        <f>IF(OR(INDEX($V$2:$V$1001,MATCH(ROWS($U$2:U284),$U$2:$U$1001,0),1)&gt;=100000,INDEX($AB$1005:$AQ$1005,1,MATCH(COLUMNS($AB$1006:AD1006),$AB$1006:$AQ$1006,0))&gt;=100000), " ",IF(INDEX($AB$2:$AQ$1001,MATCH(ROWS($U$2:U284),$U$2:$U$1001,0),MATCH(COLUMNS($AB$1006:AD1006),$AB$1006:$AQ$1006,0)), HYPERLINK("#",""), HYPERLINK(CONCATENATE("#Metadata!", ADDRESS(INDEX($W$2:$W$1001,MATCH(ROWS($U$2:U284),$U$2:$U$1001,0),0), INDEX($AB$1004:$AQ$1004,1,MATCH(COLUMNS($AB$1006:AD1006),$AB$1006:$AQ$1006,0)))),"Fix")))</f>
        <v>0</v>
      </c>
      <c r="E284" s="5">
        <f>IF(OR(INDEX($V$2:$V$1001,MATCH(ROWS($U$2:U284),$U$2:$U$1001,0),1)&gt;=100000,INDEX($AB$1005:$AQ$1005,1,MATCH(COLUMNS($AB$1006:AE1006),$AB$1006:$AQ$1006,0))&gt;=100000), " ",IF(INDEX($AB$2:$AQ$1001,MATCH(ROWS($U$2:U284),$U$2:$U$1001,0),MATCH(COLUMNS($AB$1006:AE1006),$AB$1006:$AQ$1006,0)), HYPERLINK("#",""), HYPERLINK(CONCATENATE("#Metadata!", ADDRESS(INDEX($W$2:$W$1001,MATCH(ROWS($U$2:U284),$U$2:$U$1001,0),0), INDEX($AB$1004:$AQ$1004,1,MATCH(COLUMNS($AB$1006:AE1006),$AB$1006:$AQ$1006,0)))),"Fix")))</f>
        <v>0</v>
      </c>
      <c r="F284" s="5">
        <f>IF(OR(INDEX($V$2:$V$1001,MATCH(ROWS($U$2:U284),$U$2:$U$1001,0),1)&gt;=100000,INDEX($AB$1005:$AQ$1005,1,MATCH(COLUMNS($AB$1006:AF1006),$AB$1006:$AQ$1006,0))&gt;=100000), " ",IF(INDEX($AB$2:$AQ$1001,MATCH(ROWS($U$2:U284),$U$2:$U$1001,0),MATCH(COLUMNS($AB$1006:AF1006),$AB$1006:$AQ$1006,0)), HYPERLINK("#",""), HYPERLINK(CONCATENATE("#Metadata!", ADDRESS(INDEX($W$2:$W$1001,MATCH(ROWS($U$2:U284),$U$2:$U$1001,0),0), INDEX($AB$1004:$AQ$1004,1,MATCH(COLUMNS($AB$1006:AF1006),$AB$1006:$AQ$1006,0)))),"Fix")))</f>
        <v>0</v>
      </c>
      <c r="G284" s="5">
        <f>IF(OR(INDEX($V$2:$V$1001,MATCH(ROWS($U$2:U284),$U$2:$U$1001,0),1)&gt;=100000,INDEX($AB$1005:$AQ$1005,1,MATCH(COLUMNS($AB$1006:AG1006),$AB$1006:$AQ$1006,0))&gt;=100000), " ",IF(INDEX($AB$2:$AQ$1001,MATCH(ROWS($U$2:U284),$U$2:$U$1001,0),MATCH(COLUMNS($AB$1006:AG1006),$AB$1006:$AQ$1006,0)), HYPERLINK("#",""), HYPERLINK(CONCATENATE("#Metadata!", ADDRESS(INDEX($W$2:$W$1001,MATCH(ROWS($U$2:U284),$U$2:$U$1001,0),0), INDEX($AB$1004:$AQ$1004,1,MATCH(COLUMNS($AB$1006:AG1006),$AB$1006:$AQ$1006,0)))),"Fix")))</f>
        <v>0</v>
      </c>
      <c r="H284" s="5">
        <f>IF(OR(INDEX($V$2:$V$1001,MATCH(ROWS($U$2:U284),$U$2:$U$1001,0),1)&gt;=100000,INDEX($AB$1005:$AQ$1005,1,MATCH(COLUMNS($AB$1006:AH1006),$AB$1006:$AQ$1006,0))&gt;=100000), " ",IF(INDEX($AB$2:$AQ$1001,MATCH(ROWS($U$2:U284),$U$2:$U$1001,0),MATCH(COLUMNS($AB$1006:AH1006),$AB$1006:$AQ$1006,0)), HYPERLINK("#",""), HYPERLINK(CONCATENATE("#Metadata!", ADDRESS(INDEX($W$2:$W$1001,MATCH(ROWS($U$2:U284),$U$2:$U$1001,0),0), INDEX($AB$1004:$AQ$1004,1,MATCH(COLUMNS($AB$1006:AH1006),$AB$1006:$AQ$1006,0)))),"Fix")))</f>
        <v>0</v>
      </c>
      <c r="I284" s="5">
        <f>IF(OR(INDEX($V$2:$V$1001,MATCH(ROWS($U$2:U284),$U$2:$U$1001,0),1)&gt;=100000,INDEX($AB$1005:$AQ$1005,1,MATCH(COLUMNS($AB$1006:AI1006),$AB$1006:$AQ$1006,0))&gt;=100000), " ",IF(INDEX($AB$2:$AQ$1001,MATCH(ROWS($U$2:U284),$U$2:$U$1001,0),MATCH(COLUMNS($AB$1006:AI1006),$AB$1006:$AQ$1006,0)), HYPERLINK("#",""), HYPERLINK(CONCATENATE("#Metadata!", ADDRESS(INDEX($W$2:$W$1001,MATCH(ROWS($U$2:U284),$U$2:$U$1001,0),0), INDEX($AB$1004:$AQ$1004,1,MATCH(COLUMNS($AB$1006:AI1006),$AB$1006:$AQ$1006,0)))),"Fix")))</f>
        <v>0</v>
      </c>
      <c r="J284" s="5">
        <f>IF(OR(INDEX($V$2:$V$1001,MATCH(ROWS($U$2:U284),$U$2:$U$1001,0),1)&gt;=100000,INDEX($AB$1005:$AQ$1005,1,MATCH(COLUMNS($AB$1006:AJ1006),$AB$1006:$AQ$1006,0))&gt;=100000), " ",IF(INDEX($AB$2:$AQ$1001,MATCH(ROWS($U$2:U284),$U$2:$U$1001,0),MATCH(COLUMNS($AB$1006:AJ1006),$AB$1006:$AQ$1006,0)), HYPERLINK("#",""), HYPERLINK(CONCATENATE("#Metadata!", ADDRESS(INDEX($W$2:$W$1001,MATCH(ROWS($U$2:U284),$U$2:$U$1001,0),0), INDEX($AB$1004:$AQ$1004,1,MATCH(COLUMNS($AB$1006:AJ1006),$AB$1006:$AQ$1006,0)))),"Fix")))</f>
        <v>0</v>
      </c>
      <c r="K284" s="5">
        <f>IF(OR(INDEX($V$2:$V$1001,MATCH(ROWS($U$2:U284),$U$2:$U$1001,0),1)&gt;=100000,INDEX($AB$1005:$AQ$1005,1,MATCH(COLUMNS($AB$1006:AK1006),$AB$1006:$AQ$1006,0))&gt;=100000), " ",IF(INDEX($AB$2:$AQ$1001,MATCH(ROWS($U$2:U284),$U$2:$U$1001,0),MATCH(COLUMNS($AB$1006:AK1006),$AB$1006:$AQ$1006,0)), HYPERLINK("#",""), HYPERLINK(CONCATENATE("#Metadata!", ADDRESS(INDEX($W$2:$W$1001,MATCH(ROWS($U$2:U284),$U$2:$U$1001,0),0), INDEX($AB$1004:$AQ$1004,1,MATCH(COLUMNS($AB$1006:AK1006),$AB$1006:$AQ$1006,0)))),"Fix")))</f>
        <v>0</v>
      </c>
      <c r="L284" s="5">
        <f>IF(OR(INDEX($V$2:$V$1001,MATCH(ROWS($U$2:U284),$U$2:$U$1001,0),1)&gt;=100000,INDEX($AB$1005:$AQ$1005,1,MATCH(COLUMNS($AB$1006:AL1006),$AB$1006:$AQ$1006,0))&gt;=100000), " ",IF(INDEX($AB$2:$AQ$1001,MATCH(ROWS($U$2:U284),$U$2:$U$1001,0),MATCH(COLUMNS($AB$1006:AL1006),$AB$1006:$AQ$1006,0)), HYPERLINK("#",""), HYPERLINK(CONCATENATE("#Metadata!", ADDRESS(INDEX($W$2:$W$1001,MATCH(ROWS($U$2:U284),$U$2:$U$1001,0),0), INDEX($AB$1004:$AQ$1004,1,MATCH(COLUMNS($AB$1006:AL1006),$AB$1006:$AQ$1006,0)))),"Fix")))</f>
        <v>0</v>
      </c>
      <c r="M284" s="5">
        <f>IF(OR(INDEX($V$2:$V$1001,MATCH(ROWS($U$2:U284),$U$2:$U$1001,0),1)&gt;=100000,INDEX($AB$1005:$AQ$1005,1,MATCH(COLUMNS($AB$1006:AM1006),$AB$1006:$AQ$1006,0))&gt;=100000), " ",IF(INDEX($AB$2:$AQ$1001,MATCH(ROWS($U$2:U284),$U$2:$U$1001,0),MATCH(COLUMNS($AB$1006:AM1006),$AB$1006:$AQ$1006,0)), HYPERLINK("#",""), HYPERLINK(CONCATENATE("#Metadata!", ADDRESS(INDEX($W$2:$W$1001,MATCH(ROWS($U$2:U284),$U$2:$U$1001,0),0), INDEX($AB$1004:$AQ$1004,1,MATCH(COLUMNS($AB$1006:AM1006),$AB$1006:$AQ$1006,0)))),"Fix")))</f>
        <v>0</v>
      </c>
      <c r="N284" s="5">
        <f>IF(OR(INDEX($V$2:$V$1001,MATCH(ROWS($U$2:U284),$U$2:$U$1001,0),1)&gt;=100000,INDEX($AB$1005:$AQ$1005,1,MATCH(COLUMNS($AB$1006:AN1006),$AB$1006:$AQ$1006,0))&gt;=100000), " ",IF(INDEX($AB$2:$AQ$1001,MATCH(ROWS($U$2:U284),$U$2:$U$1001,0),MATCH(COLUMNS($AB$1006:AN1006),$AB$1006:$AQ$1006,0)), HYPERLINK("#",""), HYPERLINK(CONCATENATE("#Metadata!", ADDRESS(INDEX($W$2:$W$1001,MATCH(ROWS($U$2:U284),$U$2:$U$1001,0),0), INDEX($AB$1004:$AQ$1004,1,MATCH(COLUMNS($AB$1006:AN1006),$AB$1006:$AQ$1006,0)))),"Fix")))</f>
        <v>0</v>
      </c>
      <c r="O284" s="5">
        <f>IF(OR(INDEX($V$2:$V$1001,MATCH(ROWS($U$2:U284),$U$2:$U$1001,0),1)&gt;=100000,INDEX($AB$1005:$AQ$1005,1,MATCH(COLUMNS($AB$1006:AO1006),$AB$1006:$AQ$1006,0))&gt;=100000), " ",IF(INDEX($AB$2:$AQ$1001,MATCH(ROWS($U$2:U284),$U$2:$U$1001,0),MATCH(COLUMNS($AB$1006:AO1006),$AB$1006:$AQ$1006,0)), HYPERLINK("#",""), HYPERLINK(CONCATENATE("#Metadata!", ADDRESS(INDEX($W$2:$W$1001,MATCH(ROWS($U$2:U284),$U$2:$U$1001,0),0), INDEX($AB$1004:$AQ$1004,1,MATCH(COLUMNS($AB$1006:AO1006),$AB$1006:$AQ$1006,0)))),"Fix")))</f>
        <v>0</v>
      </c>
      <c r="P284" s="5">
        <f>IF(OR(INDEX($V$2:$V$1001,MATCH(ROWS($U$2:U284),$U$2:$U$1001,0),1)&gt;=100000,INDEX($AB$1005:$AQ$1005,1,MATCH(COLUMNS($AB$1006:AP1006),$AB$1006:$AQ$1006,0))&gt;=100000), " ",IF(INDEX($AB$2:$AQ$1001,MATCH(ROWS($U$2:U284),$U$2:$U$1001,0),MATCH(COLUMNS($AB$1006:AP1006),$AB$1006:$AQ$1006,0)), HYPERLINK("#",""), HYPERLINK(CONCATENATE("#Metadata!", ADDRESS(INDEX($W$2:$W$1001,MATCH(ROWS($U$2:U284),$U$2:$U$1001,0),0), INDEX($AB$1004:$AQ$1004,1,MATCH(COLUMNS($AB$1006:AP1006),$AB$1006:$AQ$1006,0)))),"Fix")))</f>
        <v>0</v>
      </c>
      <c r="Q284" s="5">
        <f>IF(OR(INDEX($V$2:$V$1001,MATCH(ROWS($U$2:U284),$U$2:$U$1001,0),1)&gt;=100000,INDEX($AB$1005:$AQ$1005,1,MATCH(COLUMNS($AB$1006:AQ1006),$AB$1006:$AQ$1006,0))&gt;=100000), " ",IF(INDEX($AB$2:$AQ$1001,MATCH(ROWS($U$2:U284),$U$2:$U$1001,0),MATCH(COLUMNS($AB$1006:AQ1006),$AB$1006:$AQ$1006,0)), HYPERLINK("#",""), HYPERLINK(CONCATENATE("#Metadata!", ADDRESS(INDEX($W$2:$W$1001,MATCH(ROWS($U$2:U284),$U$2:$U$1001,0),0), INDEX($AB$1004:$AQ$1004,1,MATCH(COLUMNS($AB$1006:AQ1006),$AB$1006:$AQ$1006,0)))),"Fix")))</f>
        <v>0</v>
      </c>
      <c r="U284">
        <v>0</v>
      </c>
      <c r="V284">
        <v>0</v>
      </c>
      <c r="W284">
        <v>0</v>
      </c>
      <c r="X284">
        <f>IF(Y284,TRUE,AND(AB284:AQ284))</f>
        <v>0</v>
      </c>
      <c r="Y284">
        <f>COUNTBLANK(Metadata!B284:Q284)=COLUMNS(Metadata!B284:Q284)</f>
        <v>0</v>
      </c>
      <c r="Z284">
        <v>0</v>
      </c>
      <c r="AB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AC284">
        <f>AND(IF(Metadata!C284="",FALSE,TRUE),exact(Metadata!C284,"urban biome"))</f>
        <v>0</v>
      </c>
      <c r="AD284">
        <f>AND(IF(Metadata!D284="",FALSE,TRUE),exact(Metadata!D284,"human-associated habitat"))</f>
        <v>0</v>
      </c>
      <c r="AE284">
        <f>AND(IF(Metadata!E284="",FALSE,TRUE),OR(exact(Metadata!E284,"human-associated"),exact(Metadata!E284,"human-skin"),exact(Metadata!E284,"human-oral"),exact(Metadata!E284,"human-gut"),exact(Metadata!E284,"human-vaginal")))</f>
        <v>0</v>
      </c>
      <c r="AF284">
        <f>AND(IF(Metadata!F284="",FALSE,ISNUMBER(VALUE(Metadata!F284))),Metadata!F284&gt;0)</f>
        <v>0</v>
      </c>
      <c r="AG284">
        <f>AND(IF(Metadata!G284="",FALSE,TRUE),exact(Metadata!G284,"years"))</f>
        <v>0</v>
      </c>
      <c r="AH284">
        <f>OR(AND(IF(Metadata!H284="",FALSE,TRUE),OR(exact(Metadata!H284,"not applicable"),exact(Metadata!H284,"not collected"),exact(Metadata!H284,"not provided"),exact(Metadata!H284,"restricted access"))),AND(IF(Metadata!H284="",FALSE,ISNUMBER(VALUE(Metadata!H284))),Metadata!H284&gt;0))</f>
        <v>0</v>
      </c>
      <c r="AI284">
        <f>AND(IF(Metadata!I284="",FALSE,TRUE),exact(Metadata!I284,"human"))</f>
        <v>0</v>
      </c>
      <c r="AJ284">
        <f>AND(IF(Metadata!J284="",FALSE,ISNUMBER(VALUE(Metadata!J284))),Metadata!J284&gt;0)</f>
        <v>0</v>
      </c>
      <c r="AK284">
        <f>AND(IF(Metadata!K284="",FALSE,TRUE),exact(Metadata!K284,"cm"))</f>
        <v>0</v>
      </c>
      <c r="AL284">
        <f>AND(IF(Metadata!L284="",FALSE,TRUE),exact(Metadata!L284,"Homo sapiens"))</f>
        <v>0</v>
      </c>
      <c r="AM284">
        <f>AND(IF(Metadata!M284="",FALSE,TRUE),exact(Metadata!M284,"9606"))</f>
        <v>0</v>
      </c>
      <c r="AN284">
        <f>AND(IF(Metadata!N284="",FALSE,ISNUMBER(VALUE(Metadata!N284))),Metadata!N284&gt;0)</f>
        <v>0</v>
      </c>
      <c r="AO284">
        <f>AND(IF(Metadata!O284="",FALSE,TRUE),exact(Metadata!O284,"kg"))</f>
        <v>0</v>
      </c>
      <c r="AP284">
        <f>OR(AND(IF(Metadata!P284="",FALSE,TRUE),exact(Metadata!P284,"not provided")),IF(Metadata!P284="",FALSE,TRUE))</f>
        <v>0</v>
      </c>
      <c r="AQ284">
        <f>OR(AND(IF(Metadata!Q284="",FALSE,TRUE),exact(Metadata!Q284,"not provided")),IF(Metadata!Q284="",FALSE,TRUE))</f>
        <v>0</v>
      </c>
    </row>
    <row r="285" spans="1:43">
      <c r="A285" s="4">
        <f>IF(B285=" "," ",HYPERLINK(CONCATENATE("#metadata!",ADDRESS(INDEX($W$2:$W$1001,MATCH(ROWS($U$2:U285),$U$2:$U$1001,0),0),2)),INDEX($Z$2:$Z$1001,MATCH(ROWS($U$2:U285),$U$2:$U$1001,0),0)))</f>
        <v>0</v>
      </c>
      <c r="B285" s="5">
        <f>IF(OR(INDEX($V$2:$V$1001,MATCH(ROWS($U$2:U285),$U$2:$U$1001,0),1)&gt;=100000,INDEX($AB$1005:$AQ$1005,1,MATCH(COLUMNS($AB$1006:AB1006),$AB$1006:$AQ$1006,0))&gt;=100000), " ",IF(INDEX($AB$2:$AQ$1001,MATCH(ROWS($U$2:U285),$U$2:$U$1001,0),MATCH(COLUMNS($AB$1006:AB1006),$AB$1006:$AQ$1006,0)), HYPERLINK("#",""), HYPERLINK(CONCATENATE("#Metadata!", ADDRESS(INDEX($W$2:$W$1001,MATCH(ROWS($U$2:U285),$U$2:$U$1001,0),0), INDEX($AB$1004:$AQ$1004,1,MATCH(COLUMNS($AB$1006:AB1006),$AB$1006:$AQ$1006,0)))),"Fix")))</f>
        <v>0</v>
      </c>
      <c r="C285" s="5">
        <f>IF(OR(INDEX($V$2:$V$1001,MATCH(ROWS($U$2:U285),$U$2:$U$1001,0),1)&gt;=100000,INDEX($AB$1005:$AQ$1005,1,MATCH(COLUMNS($AB$1006:AC1006),$AB$1006:$AQ$1006,0))&gt;=100000), " ",IF(INDEX($AB$2:$AQ$1001,MATCH(ROWS($U$2:U285),$U$2:$U$1001,0),MATCH(COLUMNS($AB$1006:AC1006),$AB$1006:$AQ$1006,0)), HYPERLINK("#",""), HYPERLINK(CONCATENATE("#Metadata!", ADDRESS(INDEX($W$2:$W$1001,MATCH(ROWS($U$2:U285),$U$2:$U$1001,0),0), INDEX($AB$1004:$AQ$1004,1,MATCH(COLUMNS($AB$1006:AC1006),$AB$1006:$AQ$1006,0)))),"Fix")))</f>
        <v>0</v>
      </c>
      <c r="D285" s="5">
        <f>IF(OR(INDEX($V$2:$V$1001,MATCH(ROWS($U$2:U285),$U$2:$U$1001,0),1)&gt;=100000,INDEX($AB$1005:$AQ$1005,1,MATCH(COLUMNS($AB$1006:AD1006),$AB$1006:$AQ$1006,0))&gt;=100000), " ",IF(INDEX($AB$2:$AQ$1001,MATCH(ROWS($U$2:U285),$U$2:$U$1001,0),MATCH(COLUMNS($AB$1006:AD1006),$AB$1006:$AQ$1006,0)), HYPERLINK("#",""), HYPERLINK(CONCATENATE("#Metadata!", ADDRESS(INDEX($W$2:$W$1001,MATCH(ROWS($U$2:U285),$U$2:$U$1001,0),0), INDEX($AB$1004:$AQ$1004,1,MATCH(COLUMNS($AB$1006:AD1006),$AB$1006:$AQ$1006,0)))),"Fix")))</f>
        <v>0</v>
      </c>
      <c r="E285" s="5">
        <f>IF(OR(INDEX($V$2:$V$1001,MATCH(ROWS($U$2:U285),$U$2:$U$1001,0),1)&gt;=100000,INDEX($AB$1005:$AQ$1005,1,MATCH(COLUMNS($AB$1006:AE1006),$AB$1006:$AQ$1006,0))&gt;=100000), " ",IF(INDEX($AB$2:$AQ$1001,MATCH(ROWS($U$2:U285),$U$2:$U$1001,0),MATCH(COLUMNS($AB$1006:AE1006),$AB$1006:$AQ$1006,0)), HYPERLINK("#",""), HYPERLINK(CONCATENATE("#Metadata!", ADDRESS(INDEX($W$2:$W$1001,MATCH(ROWS($U$2:U285),$U$2:$U$1001,0),0), INDEX($AB$1004:$AQ$1004,1,MATCH(COLUMNS($AB$1006:AE1006),$AB$1006:$AQ$1006,0)))),"Fix")))</f>
        <v>0</v>
      </c>
      <c r="F285" s="5">
        <f>IF(OR(INDEX($V$2:$V$1001,MATCH(ROWS($U$2:U285),$U$2:$U$1001,0),1)&gt;=100000,INDEX($AB$1005:$AQ$1005,1,MATCH(COLUMNS($AB$1006:AF1006),$AB$1006:$AQ$1006,0))&gt;=100000), " ",IF(INDEX($AB$2:$AQ$1001,MATCH(ROWS($U$2:U285),$U$2:$U$1001,0),MATCH(COLUMNS($AB$1006:AF1006),$AB$1006:$AQ$1006,0)), HYPERLINK("#",""), HYPERLINK(CONCATENATE("#Metadata!", ADDRESS(INDEX($W$2:$W$1001,MATCH(ROWS($U$2:U285),$U$2:$U$1001,0),0), INDEX($AB$1004:$AQ$1004,1,MATCH(COLUMNS($AB$1006:AF1006),$AB$1006:$AQ$1006,0)))),"Fix")))</f>
        <v>0</v>
      </c>
      <c r="G285" s="5">
        <f>IF(OR(INDEX($V$2:$V$1001,MATCH(ROWS($U$2:U285),$U$2:$U$1001,0),1)&gt;=100000,INDEX($AB$1005:$AQ$1005,1,MATCH(COLUMNS($AB$1006:AG1006),$AB$1006:$AQ$1006,0))&gt;=100000), " ",IF(INDEX($AB$2:$AQ$1001,MATCH(ROWS($U$2:U285),$U$2:$U$1001,0),MATCH(COLUMNS($AB$1006:AG1006),$AB$1006:$AQ$1006,0)), HYPERLINK("#",""), HYPERLINK(CONCATENATE("#Metadata!", ADDRESS(INDEX($W$2:$W$1001,MATCH(ROWS($U$2:U285),$U$2:$U$1001,0),0), INDEX($AB$1004:$AQ$1004,1,MATCH(COLUMNS($AB$1006:AG1006),$AB$1006:$AQ$1006,0)))),"Fix")))</f>
        <v>0</v>
      </c>
      <c r="H285" s="5">
        <f>IF(OR(INDEX($V$2:$V$1001,MATCH(ROWS($U$2:U285),$U$2:$U$1001,0),1)&gt;=100000,INDEX($AB$1005:$AQ$1005,1,MATCH(COLUMNS($AB$1006:AH1006),$AB$1006:$AQ$1006,0))&gt;=100000), " ",IF(INDEX($AB$2:$AQ$1001,MATCH(ROWS($U$2:U285),$U$2:$U$1001,0),MATCH(COLUMNS($AB$1006:AH1006),$AB$1006:$AQ$1006,0)), HYPERLINK("#",""), HYPERLINK(CONCATENATE("#Metadata!", ADDRESS(INDEX($W$2:$W$1001,MATCH(ROWS($U$2:U285),$U$2:$U$1001,0),0), INDEX($AB$1004:$AQ$1004,1,MATCH(COLUMNS($AB$1006:AH1006),$AB$1006:$AQ$1006,0)))),"Fix")))</f>
        <v>0</v>
      </c>
      <c r="I285" s="5">
        <f>IF(OR(INDEX($V$2:$V$1001,MATCH(ROWS($U$2:U285),$U$2:$U$1001,0),1)&gt;=100000,INDEX($AB$1005:$AQ$1005,1,MATCH(COLUMNS($AB$1006:AI1006),$AB$1006:$AQ$1006,0))&gt;=100000), " ",IF(INDEX($AB$2:$AQ$1001,MATCH(ROWS($U$2:U285),$U$2:$U$1001,0),MATCH(COLUMNS($AB$1006:AI1006),$AB$1006:$AQ$1006,0)), HYPERLINK("#",""), HYPERLINK(CONCATENATE("#Metadata!", ADDRESS(INDEX($W$2:$W$1001,MATCH(ROWS($U$2:U285),$U$2:$U$1001,0),0), INDEX($AB$1004:$AQ$1004,1,MATCH(COLUMNS($AB$1006:AI1006),$AB$1006:$AQ$1006,0)))),"Fix")))</f>
        <v>0</v>
      </c>
      <c r="J285" s="5">
        <f>IF(OR(INDEX($V$2:$V$1001,MATCH(ROWS($U$2:U285),$U$2:$U$1001,0),1)&gt;=100000,INDEX($AB$1005:$AQ$1005,1,MATCH(COLUMNS($AB$1006:AJ1006),$AB$1006:$AQ$1006,0))&gt;=100000), " ",IF(INDEX($AB$2:$AQ$1001,MATCH(ROWS($U$2:U285),$U$2:$U$1001,0),MATCH(COLUMNS($AB$1006:AJ1006),$AB$1006:$AQ$1006,0)), HYPERLINK("#",""), HYPERLINK(CONCATENATE("#Metadata!", ADDRESS(INDEX($W$2:$W$1001,MATCH(ROWS($U$2:U285),$U$2:$U$1001,0),0), INDEX($AB$1004:$AQ$1004,1,MATCH(COLUMNS($AB$1006:AJ1006),$AB$1006:$AQ$1006,0)))),"Fix")))</f>
        <v>0</v>
      </c>
      <c r="K285" s="5">
        <f>IF(OR(INDEX($V$2:$V$1001,MATCH(ROWS($U$2:U285),$U$2:$U$1001,0),1)&gt;=100000,INDEX($AB$1005:$AQ$1005,1,MATCH(COLUMNS($AB$1006:AK1006),$AB$1006:$AQ$1006,0))&gt;=100000), " ",IF(INDEX($AB$2:$AQ$1001,MATCH(ROWS($U$2:U285),$U$2:$U$1001,0),MATCH(COLUMNS($AB$1006:AK1006),$AB$1006:$AQ$1006,0)), HYPERLINK("#",""), HYPERLINK(CONCATENATE("#Metadata!", ADDRESS(INDEX($W$2:$W$1001,MATCH(ROWS($U$2:U285),$U$2:$U$1001,0),0), INDEX($AB$1004:$AQ$1004,1,MATCH(COLUMNS($AB$1006:AK1006),$AB$1006:$AQ$1006,0)))),"Fix")))</f>
        <v>0</v>
      </c>
      <c r="L285" s="5">
        <f>IF(OR(INDEX($V$2:$V$1001,MATCH(ROWS($U$2:U285),$U$2:$U$1001,0),1)&gt;=100000,INDEX($AB$1005:$AQ$1005,1,MATCH(COLUMNS($AB$1006:AL1006),$AB$1006:$AQ$1006,0))&gt;=100000), " ",IF(INDEX($AB$2:$AQ$1001,MATCH(ROWS($U$2:U285),$U$2:$U$1001,0),MATCH(COLUMNS($AB$1006:AL1006),$AB$1006:$AQ$1006,0)), HYPERLINK("#",""), HYPERLINK(CONCATENATE("#Metadata!", ADDRESS(INDEX($W$2:$W$1001,MATCH(ROWS($U$2:U285),$U$2:$U$1001,0),0), INDEX($AB$1004:$AQ$1004,1,MATCH(COLUMNS($AB$1006:AL1006),$AB$1006:$AQ$1006,0)))),"Fix")))</f>
        <v>0</v>
      </c>
      <c r="M285" s="5">
        <f>IF(OR(INDEX($V$2:$V$1001,MATCH(ROWS($U$2:U285),$U$2:$U$1001,0),1)&gt;=100000,INDEX($AB$1005:$AQ$1005,1,MATCH(COLUMNS($AB$1006:AM1006),$AB$1006:$AQ$1006,0))&gt;=100000), " ",IF(INDEX($AB$2:$AQ$1001,MATCH(ROWS($U$2:U285),$U$2:$U$1001,0),MATCH(COLUMNS($AB$1006:AM1006),$AB$1006:$AQ$1006,0)), HYPERLINK("#",""), HYPERLINK(CONCATENATE("#Metadata!", ADDRESS(INDEX($W$2:$W$1001,MATCH(ROWS($U$2:U285),$U$2:$U$1001,0),0), INDEX($AB$1004:$AQ$1004,1,MATCH(COLUMNS($AB$1006:AM1006),$AB$1006:$AQ$1006,0)))),"Fix")))</f>
        <v>0</v>
      </c>
      <c r="N285" s="5">
        <f>IF(OR(INDEX($V$2:$V$1001,MATCH(ROWS($U$2:U285),$U$2:$U$1001,0),1)&gt;=100000,INDEX($AB$1005:$AQ$1005,1,MATCH(COLUMNS($AB$1006:AN1006),$AB$1006:$AQ$1006,0))&gt;=100000), " ",IF(INDEX($AB$2:$AQ$1001,MATCH(ROWS($U$2:U285),$U$2:$U$1001,0),MATCH(COLUMNS($AB$1006:AN1006),$AB$1006:$AQ$1006,0)), HYPERLINK("#",""), HYPERLINK(CONCATENATE("#Metadata!", ADDRESS(INDEX($W$2:$W$1001,MATCH(ROWS($U$2:U285),$U$2:$U$1001,0),0), INDEX($AB$1004:$AQ$1004,1,MATCH(COLUMNS($AB$1006:AN1006),$AB$1006:$AQ$1006,0)))),"Fix")))</f>
        <v>0</v>
      </c>
      <c r="O285" s="5">
        <f>IF(OR(INDEX($V$2:$V$1001,MATCH(ROWS($U$2:U285),$U$2:$U$1001,0),1)&gt;=100000,INDEX($AB$1005:$AQ$1005,1,MATCH(COLUMNS($AB$1006:AO1006),$AB$1006:$AQ$1006,0))&gt;=100000), " ",IF(INDEX($AB$2:$AQ$1001,MATCH(ROWS($U$2:U285),$U$2:$U$1001,0),MATCH(COLUMNS($AB$1006:AO1006),$AB$1006:$AQ$1006,0)), HYPERLINK("#",""), HYPERLINK(CONCATENATE("#Metadata!", ADDRESS(INDEX($W$2:$W$1001,MATCH(ROWS($U$2:U285),$U$2:$U$1001,0),0), INDEX($AB$1004:$AQ$1004,1,MATCH(COLUMNS($AB$1006:AO1006),$AB$1006:$AQ$1006,0)))),"Fix")))</f>
        <v>0</v>
      </c>
      <c r="P285" s="5">
        <f>IF(OR(INDEX($V$2:$V$1001,MATCH(ROWS($U$2:U285),$U$2:$U$1001,0),1)&gt;=100000,INDEX($AB$1005:$AQ$1005,1,MATCH(COLUMNS($AB$1006:AP1006),$AB$1006:$AQ$1006,0))&gt;=100000), " ",IF(INDEX($AB$2:$AQ$1001,MATCH(ROWS($U$2:U285),$U$2:$U$1001,0),MATCH(COLUMNS($AB$1006:AP1006),$AB$1006:$AQ$1006,0)), HYPERLINK("#",""), HYPERLINK(CONCATENATE("#Metadata!", ADDRESS(INDEX($W$2:$W$1001,MATCH(ROWS($U$2:U285),$U$2:$U$1001,0),0), INDEX($AB$1004:$AQ$1004,1,MATCH(COLUMNS($AB$1006:AP1006),$AB$1006:$AQ$1006,0)))),"Fix")))</f>
        <v>0</v>
      </c>
      <c r="Q285" s="5">
        <f>IF(OR(INDEX($V$2:$V$1001,MATCH(ROWS($U$2:U285),$U$2:$U$1001,0),1)&gt;=100000,INDEX($AB$1005:$AQ$1005,1,MATCH(COLUMNS($AB$1006:AQ1006),$AB$1006:$AQ$1006,0))&gt;=100000), " ",IF(INDEX($AB$2:$AQ$1001,MATCH(ROWS($U$2:U285),$U$2:$U$1001,0),MATCH(COLUMNS($AB$1006:AQ1006),$AB$1006:$AQ$1006,0)), HYPERLINK("#",""), HYPERLINK(CONCATENATE("#Metadata!", ADDRESS(INDEX($W$2:$W$1001,MATCH(ROWS($U$2:U285),$U$2:$U$1001,0),0), INDEX($AB$1004:$AQ$1004,1,MATCH(COLUMNS($AB$1006:AQ1006),$AB$1006:$AQ$1006,0)))),"Fix")))</f>
        <v>0</v>
      </c>
      <c r="U285">
        <v>0</v>
      </c>
      <c r="V285">
        <v>0</v>
      </c>
      <c r="W285">
        <v>0</v>
      </c>
      <c r="X285">
        <f>IF(Y285,TRUE,AND(AB285:AQ285))</f>
        <v>0</v>
      </c>
      <c r="Y285">
        <f>COUNTBLANK(Metadata!B285:Q285)=COLUMNS(Metadata!B285:Q285)</f>
        <v>0</v>
      </c>
      <c r="Z285">
        <v>0</v>
      </c>
      <c r="AB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AC285">
        <f>AND(IF(Metadata!C285="",FALSE,TRUE),exact(Metadata!C285,"urban biome"))</f>
        <v>0</v>
      </c>
      <c r="AD285">
        <f>AND(IF(Metadata!D285="",FALSE,TRUE),exact(Metadata!D285,"human-associated habitat"))</f>
        <v>0</v>
      </c>
      <c r="AE285">
        <f>AND(IF(Metadata!E285="",FALSE,TRUE),OR(exact(Metadata!E285,"human-associated"),exact(Metadata!E285,"human-skin"),exact(Metadata!E285,"human-oral"),exact(Metadata!E285,"human-gut"),exact(Metadata!E285,"human-vaginal")))</f>
        <v>0</v>
      </c>
      <c r="AF285">
        <f>AND(IF(Metadata!F285="",FALSE,ISNUMBER(VALUE(Metadata!F285))),Metadata!F285&gt;0)</f>
        <v>0</v>
      </c>
      <c r="AG285">
        <f>AND(IF(Metadata!G285="",FALSE,TRUE),exact(Metadata!G285,"years"))</f>
        <v>0</v>
      </c>
      <c r="AH285">
        <f>OR(AND(IF(Metadata!H285="",FALSE,TRUE),OR(exact(Metadata!H285,"not applicable"),exact(Metadata!H285,"not collected"),exact(Metadata!H285,"not provided"),exact(Metadata!H285,"restricted access"))),AND(IF(Metadata!H285="",FALSE,ISNUMBER(VALUE(Metadata!H285))),Metadata!H285&gt;0))</f>
        <v>0</v>
      </c>
      <c r="AI285">
        <f>AND(IF(Metadata!I285="",FALSE,TRUE),exact(Metadata!I285,"human"))</f>
        <v>0</v>
      </c>
      <c r="AJ285">
        <f>AND(IF(Metadata!J285="",FALSE,ISNUMBER(VALUE(Metadata!J285))),Metadata!J285&gt;0)</f>
        <v>0</v>
      </c>
      <c r="AK285">
        <f>AND(IF(Metadata!K285="",FALSE,TRUE),exact(Metadata!K285,"cm"))</f>
        <v>0</v>
      </c>
      <c r="AL285">
        <f>AND(IF(Metadata!L285="",FALSE,TRUE),exact(Metadata!L285,"Homo sapiens"))</f>
        <v>0</v>
      </c>
      <c r="AM285">
        <f>AND(IF(Metadata!M285="",FALSE,TRUE),exact(Metadata!M285,"9606"))</f>
        <v>0</v>
      </c>
      <c r="AN285">
        <f>AND(IF(Metadata!N285="",FALSE,ISNUMBER(VALUE(Metadata!N285))),Metadata!N285&gt;0)</f>
        <v>0</v>
      </c>
      <c r="AO285">
        <f>AND(IF(Metadata!O285="",FALSE,TRUE),exact(Metadata!O285,"kg"))</f>
        <v>0</v>
      </c>
      <c r="AP285">
        <f>OR(AND(IF(Metadata!P285="",FALSE,TRUE),exact(Metadata!P285,"not provided")),IF(Metadata!P285="",FALSE,TRUE))</f>
        <v>0</v>
      </c>
      <c r="AQ285">
        <f>OR(AND(IF(Metadata!Q285="",FALSE,TRUE),exact(Metadata!Q285,"not provided")),IF(Metadata!Q285="",FALSE,TRUE))</f>
        <v>0</v>
      </c>
    </row>
    <row r="286" spans="1:43">
      <c r="A286" s="4">
        <f>IF(B286=" "," ",HYPERLINK(CONCATENATE("#metadata!",ADDRESS(INDEX($W$2:$W$1001,MATCH(ROWS($U$2:U286),$U$2:$U$1001,0),0),2)),INDEX($Z$2:$Z$1001,MATCH(ROWS($U$2:U286),$U$2:$U$1001,0),0)))</f>
        <v>0</v>
      </c>
      <c r="B286" s="5">
        <f>IF(OR(INDEX($V$2:$V$1001,MATCH(ROWS($U$2:U286),$U$2:$U$1001,0),1)&gt;=100000,INDEX($AB$1005:$AQ$1005,1,MATCH(COLUMNS($AB$1006:AB1006),$AB$1006:$AQ$1006,0))&gt;=100000), " ",IF(INDEX($AB$2:$AQ$1001,MATCH(ROWS($U$2:U286),$U$2:$U$1001,0),MATCH(COLUMNS($AB$1006:AB1006),$AB$1006:$AQ$1006,0)), HYPERLINK("#",""), HYPERLINK(CONCATENATE("#Metadata!", ADDRESS(INDEX($W$2:$W$1001,MATCH(ROWS($U$2:U286),$U$2:$U$1001,0),0), INDEX($AB$1004:$AQ$1004,1,MATCH(COLUMNS($AB$1006:AB1006),$AB$1006:$AQ$1006,0)))),"Fix")))</f>
        <v>0</v>
      </c>
      <c r="C286" s="5">
        <f>IF(OR(INDEX($V$2:$V$1001,MATCH(ROWS($U$2:U286),$U$2:$U$1001,0),1)&gt;=100000,INDEX($AB$1005:$AQ$1005,1,MATCH(COLUMNS($AB$1006:AC1006),$AB$1006:$AQ$1006,0))&gt;=100000), " ",IF(INDEX($AB$2:$AQ$1001,MATCH(ROWS($U$2:U286),$U$2:$U$1001,0),MATCH(COLUMNS($AB$1006:AC1006),$AB$1006:$AQ$1006,0)), HYPERLINK("#",""), HYPERLINK(CONCATENATE("#Metadata!", ADDRESS(INDEX($W$2:$W$1001,MATCH(ROWS($U$2:U286),$U$2:$U$1001,0),0), INDEX($AB$1004:$AQ$1004,1,MATCH(COLUMNS($AB$1006:AC1006),$AB$1006:$AQ$1006,0)))),"Fix")))</f>
        <v>0</v>
      </c>
      <c r="D286" s="5">
        <f>IF(OR(INDEX($V$2:$V$1001,MATCH(ROWS($U$2:U286),$U$2:$U$1001,0),1)&gt;=100000,INDEX($AB$1005:$AQ$1005,1,MATCH(COLUMNS($AB$1006:AD1006),$AB$1006:$AQ$1006,0))&gt;=100000), " ",IF(INDEX($AB$2:$AQ$1001,MATCH(ROWS($U$2:U286),$U$2:$U$1001,0),MATCH(COLUMNS($AB$1006:AD1006),$AB$1006:$AQ$1006,0)), HYPERLINK("#",""), HYPERLINK(CONCATENATE("#Metadata!", ADDRESS(INDEX($W$2:$W$1001,MATCH(ROWS($U$2:U286),$U$2:$U$1001,0),0), INDEX($AB$1004:$AQ$1004,1,MATCH(COLUMNS($AB$1006:AD1006),$AB$1006:$AQ$1006,0)))),"Fix")))</f>
        <v>0</v>
      </c>
      <c r="E286" s="5">
        <f>IF(OR(INDEX($V$2:$V$1001,MATCH(ROWS($U$2:U286),$U$2:$U$1001,0),1)&gt;=100000,INDEX($AB$1005:$AQ$1005,1,MATCH(COLUMNS($AB$1006:AE1006),$AB$1006:$AQ$1006,0))&gt;=100000), " ",IF(INDEX($AB$2:$AQ$1001,MATCH(ROWS($U$2:U286),$U$2:$U$1001,0),MATCH(COLUMNS($AB$1006:AE1006),$AB$1006:$AQ$1006,0)), HYPERLINK("#",""), HYPERLINK(CONCATENATE("#Metadata!", ADDRESS(INDEX($W$2:$W$1001,MATCH(ROWS($U$2:U286),$U$2:$U$1001,0),0), INDEX($AB$1004:$AQ$1004,1,MATCH(COLUMNS($AB$1006:AE1006),$AB$1006:$AQ$1006,0)))),"Fix")))</f>
        <v>0</v>
      </c>
      <c r="F286" s="5">
        <f>IF(OR(INDEX($V$2:$V$1001,MATCH(ROWS($U$2:U286),$U$2:$U$1001,0),1)&gt;=100000,INDEX($AB$1005:$AQ$1005,1,MATCH(COLUMNS($AB$1006:AF1006),$AB$1006:$AQ$1006,0))&gt;=100000), " ",IF(INDEX($AB$2:$AQ$1001,MATCH(ROWS($U$2:U286),$U$2:$U$1001,0),MATCH(COLUMNS($AB$1006:AF1006),$AB$1006:$AQ$1006,0)), HYPERLINK("#",""), HYPERLINK(CONCATENATE("#Metadata!", ADDRESS(INDEX($W$2:$W$1001,MATCH(ROWS($U$2:U286),$U$2:$U$1001,0),0), INDEX($AB$1004:$AQ$1004,1,MATCH(COLUMNS($AB$1006:AF1006),$AB$1006:$AQ$1006,0)))),"Fix")))</f>
        <v>0</v>
      </c>
      <c r="G286" s="5">
        <f>IF(OR(INDEX($V$2:$V$1001,MATCH(ROWS($U$2:U286),$U$2:$U$1001,0),1)&gt;=100000,INDEX($AB$1005:$AQ$1005,1,MATCH(COLUMNS($AB$1006:AG1006),$AB$1006:$AQ$1006,0))&gt;=100000), " ",IF(INDEX($AB$2:$AQ$1001,MATCH(ROWS($U$2:U286),$U$2:$U$1001,0),MATCH(COLUMNS($AB$1006:AG1006),$AB$1006:$AQ$1006,0)), HYPERLINK("#",""), HYPERLINK(CONCATENATE("#Metadata!", ADDRESS(INDEX($W$2:$W$1001,MATCH(ROWS($U$2:U286),$U$2:$U$1001,0),0), INDEX($AB$1004:$AQ$1004,1,MATCH(COLUMNS($AB$1006:AG1006),$AB$1006:$AQ$1006,0)))),"Fix")))</f>
        <v>0</v>
      </c>
      <c r="H286" s="5">
        <f>IF(OR(INDEX($V$2:$V$1001,MATCH(ROWS($U$2:U286),$U$2:$U$1001,0),1)&gt;=100000,INDEX($AB$1005:$AQ$1005,1,MATCH(COLUMNS($AB$1006:AH1006),$AB$1006:$AQ$1006,0))&gt;=100000), " ",IF(INDEX($AB$2:$AQ$1001,MATCH(ROWS($U$2:U286),$U$2:$U$1001,0),MATCH(COLUMNS($AB$1006:AH1006),$AB$1006:$AQ$1006,0)), HYPERLINK("#",""), HYPERLINK(CONCATENATE("#Metadata!", ADDRESS(INDEX($W$2:$W$1001,MATCH(ROWS($U$2:U286),$U$2:$U$1001,0),0), INDEX($AB$1004:$AQ$1004,1,MATCH(COLUMNS($AB$1006:AH1006),$AB$1006:$AQ$1006,0)))),"Fix")))</f>
        <v>0</v>
      </c>
      <c r="I286" s="5">
        <f>IF(OR(INDEX($V$2:$V$1001,MATCH(ROWS($U$2:U286),$U$2:$U$1001,0),1)&gt;=100000,INDEX($AB$1005:$AQ$1005,1,MATCH(COLUMNS($AB$1006:AI1006),$AB$1006:$AQ$1006,0))&gt;=100000), " ",IF(INDEX($AB$2:$AQ$1001,MATCH(ROWS($U$2:U286),$U$2:$U$1001,0),MATCH(COLUMNS($AB$1006:AI1006),$AB$1006:$AQ$1006,0)), HYPERLINK("#",""), HYPERLINK(CONCATENATE("#Metadata!", ADDRESS(INDEX($W$2:$W$1001,MATCH(ROWS($U$2:U286),$U$2:$U$1001,0),0), INDEX($AB$1004:$AQ$1004,1,MATCH(COLUMNS($AB$1006:AI1006),$AB$1006:$AQ$1006,0)))),"Fix")))</f>
        <v>0</v>
      </c>
      <c r="J286" s="5">
        <f>IF(OR(INDEX($V$2:$V$1001,MATCH(ROWS($U$2:U286),$U$2:$U$1001,0),1)&gt;=100000,INDEX($AB$1005:$AQ$1005,1,MATCH(COLUMNS($AB$1006:AJ1006),$AB$1006:$AQ$1006,0))&gt;=100000), " ",IF(INDEX($AB$2:$AQ$1001,MATCH(ROWS($U$2:U286),$U$2:$U$1001,0),MATCH(COLUMNS($AB$1006:AJ1006),$AB$1006:$AQ$1006,0)), HYPERLINK("#",""), HYPERLINK(CONCATENATE("#Metadata!", ADDRESS(INDEX($W$2:$W$1001,MATCH(ROWS($U$2:U286),$U$2:$U$1001,0),0), INDEX($AB$1004:$AQ$1004,1,MATCH(COLUMNS($AB$1006:AJ1006),$AB$1006:$AQ$1006,0)))),"Fix")))</f>
        <v>0</v>
      </c>
      <c r="K286" s="5">
        <f>IF(OR(INDEX($V$2:$V$1001,MATCH(ROWS($U$2:U286),$U$2:$U$1001,0),1)&gt;=100000,INDEX($AB$1005:$AQ$1005,1,MATCH(COLUMNS($AB$1006:AK1006),$AB$1006:$AQ$1006,0))&gt;=100000), " ",IF(INDEX($AB$2:$AQ$1001,MATCH(ROWS($U$2:U286),$U$2:$U$1001,0),MATCH(COLUMNS($AB$1006:AK1006),$AB$1006:$AQ$1006,0)), HYPERLINK("#",""), HYPERLINK(CONCATENATE("#Metadata!", ADDRESS(INDEX($W$2:$W$1001,MATCH(ROWS($U$2:U286),$U$2:$U$1001,0),0), INDEX($AB$1004:$AQ$1004,1,MATCH(COLUMNS($AB$1006:AK1006),$AB$1006:$AQ$1006,0)))),"Fix")))</f>
        <v>0</v>
      </c>
      <c r="L286" s="5">
        <f>IF(OR(INDEX($V$2:$V$1001,MATCH(ROWS($U$2:U286),$U$2:$U$1001,0),1)&gt;=100000,INDEX($AB$1005:$AQ$1005,1,MATCH(COLUMNS($AB$1006:AL1006),$AB$1006:$AQ$1006,0))&gt;=100000), " ",IF(INDEX($AB$2:$AQ$1001,MATCH(ROWS($U$2:U286),$U$2:$U$1001,0),MATCH(COLUMNS($AB$1006:AL1006),$AB$1006:$AQ$1006,0)), HYPERLINK("#",""), HYPERLINK(CONCATENATE("#Metadata!", ADDRESS(INDEX($W$2:$W$1001,MATCH(ROWS($U$2:U286),$U$2:$U$1001,0),0), INDEX($AB$1004:$AQ$1004,1,MATCH(COLUMNS($AB$1006:AL1006),$AB$1006:$AQ$1006,0)))),"Fix")))</f>
        <v>0</v>
      </c>
      <c r="M286" s="5">
        <f>IF(OR(INDEX($V$2:$V$1001,MATCH(ROWS($U$2:U286),$U$2:$U$1001,0),1)&gt;=100000,INDEX($AB$1005:$AQ$1005,1,MATCH(COLUMNS($AB$1006:AM1006),$AB$1006:$AQ$1006,0))&gt;=100000), " ",IF(INDEX($AB$2:$AQ$1001,MATCH(ROWS($U$2:U286),$U$2:$U$1001,0),MATCH(COLUMNS($AB$1006:AM1006),$AB$1006:$AQ$1006,0)), HYPERLINK("#",""), HYPERLINK(CONCATENATE("#Metadata!", ADDRESS(INDEX($W$2:$W$1001,MATCH(ROWS($U$2:U286),$U$2:$U$1001,0),0), INDEX($AB$1004:$AQ$1004,1,MATCH(COLUMNS($AB$1006:AM1006),$AB$1006:$AQ$1006,0)))),"Fix")))</f>
        <v>0</v>
      </c>
      <c r="N286" s="5">
        <f>IF(OR(INDEX($V$2:$V$1001,MATCH(ROWS($U$2:U286),$U$2:$U$1001,0),1)&gt;=100000,INDEX($AB$1005:$AQ$1005,1,MATCH(COLUMNS($AB$1006:AN1006),$AB$1006:$AQ$1006,0))&gt;=100000), " ",IF(INDEX($AB$2:$AQ$1001,MATCH(ROWS($U$2:U286),$U$2:$U$1001,0),MATCH(COLUMNS($AB$1006:AN1006),$AB$1006:$AQ$1006,0)), HYPERLINK("#",""), HYPERLINK(CONCATENATE("#Metadata!", ADDRESS(INDEX($W$2:$W$1001,MATCH(ROWS($U$2:U286),$U$2:$U$1001,0),0), INDEX($AB$1004:$AQ$1004,1,MATCH(COLUMNS($AB$1006:AN1006),$AB$1006:$AQ$1006,0)))),"Fix")))</f>
        <v>0</v>
      </c>
      <c r="O286" s="5">
        <f>IF(OR(INDEX($V$2:$V$1001,MATCH(ROWS($U$2:U286),$U$2:$U$1001,0),1)&gt;=100000,INDEX($AB$1005:$AQ$1005,1,MATCH(COLUMNS($AB$1006:AO1006),$AB$1006:$AQ$1006,0))&gt;=100000), " ",IF(INDEX($AB$2:$AQ$1001,MATCH(ROWS($U$2:U286),$U$2:$U$1001,0),MATCH(COLUMNS($AB$1006:AO1006),$AB$1006:$AQ$1006,0)), HYPERLINK("#",""), HYPERLINK(CONCATENATE("#Metadata!", ADDRESS(INDEX($W$2:$W$1001,MATCH(ROWS($U$2:U286),$U$2:$U$1001,0),0), INDEX($AB$1004:$AQ$1004,1,MATCH(COLUMNS($AB$1006:AO1006),$AB$1006:$AQ$1006,0)))),"Fix")))</f>
        <v>0</v>
      </c>
      <c r="P286" s="5">
        <f>IF(OR(INDEX($V$2:$V$1001,MATCH(ROWS($U$2:U286),$U$2:$U$1001,0),1)&gt;=100000,INDEX($AB$1005:$AQ$1005,1,MATCH(COLUMNS($AB$1006:AP1006),$AB$1006:$AQ$1006,0))&gt;=100000), " ",IF(INDEX($AB$2:$AQ$1001,MATCH(ROWS($U$2:U286),$U$2:$U$1001,0),MATCH(COLUMNS($AB$1006:AP1006),$AB$1006:$AQ$1006,0)), HYPERLINK("#",""), HYPERLINK(CONCATENATE("#Metadata!", ADDRESS(INDEX($W$2:$W$1001,MATCH(ROWS($U$2:U286),$U$2:$U$1001,0),0), INDEX($AB$1004:$AQ$1004,1,MATCH(COLUMNS($AB$1006:AP1006),$AB$1006:$AQ$1006,0)))),"Fix")))</f>
        <v>0</v>
      </c>
      <c r="Q286" s="5">
        <f>IF(OR(INDEX($V$2:$V$1001,MATCH(ROWS($U$2:U286),$U$2:$U$1001,0),1)&gt;=100000,INDEX($AB$1005:$AQ$1005,1,MATCH(COLUMNS($AB$1006:AQ1006),$AB$1006:$AQ$1006,0))&gt;=100000), " ",IF(INDEX($AB$2:$AQ$1001,MATCH(ROWS($U$2:U286),$U$2:$U$1001,0),MATCH(COLUMNS($AB$1006:AQ1006),$AB$1006:$AQ$1006,0)), HYPERLINK("#",""), HYPERLINK(CONCATENATE("#Metadata!", ADDRESS(INDEX($W$2:$W$1001,MATCH(ROWS($U$2:U286),$U$2:$U$1001,0),0), INDEX($AB$1004:$AQ$1004,1,MATCH(COLUMNS($AB$1006:AQ1006),$AB$1006:$AQ$1006,0)))),"Fix")))</f>
        <v>0</v>
      </c>
      <c r="U286">
        <v>0</v>
      </c>
      <c r="V286">
        <v>0</v>
      </c>
      <c r="W286">
        <v>0</v>
      </c>
      <c r="X286">
        <f>IF(Y286,TRUE,AND(AB286:AQ286))</f>
        <v>0</v>
      </c>
      <c r="Y286">
        <f>COUNTBLANK(Metadata!B286:Q286)=COLUMNS(Metadata!B286:Q286)</f>
        <v>0</v>
      </c>
      <c r="Z286">
        <v>0</v>
      </c>
      <c r="AB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AC286">
        <f>AND(IF(Metadata!C286="",FALSE,TRUE),exact(Metadata!C286,"urban biome"))</f>
        <v>0</v>
      </c>
      <c r="AD286">
        <f>AND(IF(Metadata!D286="",FALSE,TRUE),exact(Metadata!D286,"human-associated habitat"))</f>
        <v>0</v>
      </c>
      <c r="AE286">
        <f>AND(IF(Metadata!E286="",FALSE,TRUE),OR(exact(Metadata!E286,"human-associated"),exact(Metadata!E286,"human-skin"),exact(Metadata!E286,"human-oral"),exact(Metadata!E286,"human-gut"),exact(Metadata!E286,"human-vaginal")))</f>
        <v>0</v>
      </c>
      <c r="AF286">
        <f>AND(IF(Metadata!F286="",FALSE,ISNUMBER(VALUE(Metadata!F286))),Metadata!F286&gt;0)</f>
        <v>0</v>
      </c>
      <c r="AG286">
        <f>AND(IF(Metadata!G286="",FALSE,TRUE),exact(Metadata!G286,"years"))</f>
        <v>0</v>
      </c>
      <c r="AH286">
        <f>OR(AND(IF(Metadata!H286="",FALSE,TRUE),OR(exact(Metadata!H286,"not applicable"),exact(Metadata!H286,"not collected"),exact(Metadata!H286,"not provided"),exact(Metadata!H286,"restricted access"))),AND(IF(Metadata!H286="",FALSE,ISNUMBER(VALUE(Metadata!H286))),Metadata!H286&gt;0))</f>
        <v>0</v>
      </c>
      <c r="AI286">
        <f>AND(IF(Metadata!I286="",FALSE,TRUE),exact(Metadata!I286,"human"))</f>
        <v>0</v>
      </c>
      <c r="AJ286">
        <f>AND(IF(Metadata!J286="",FALSE,ISNUMBER(VALUE(Metadata!J286))),Metadata!J286&gt;0)</f>
        <v>0</v>
      </c>
      <c r="AK286">
        <f>AND(IF(Metadata!K286="",FALSE,TRUE),exact(Metadata!K286,"cm"))</f>
        <v>0</v>
      </c>
      <c r="AL286">
        <f>AND(IF(Metadata!L286="",FALSE,TRUE),exact(Metadata!L286,"Homo sapiens"))</f>
        <v>0</v>
      </c>
      <c r="AM286">
        <f>AND(IF(Metadata!M286="",FALSE,TRUE),exact(Metadata!M286,"9606"))</f>
        <v>0</v>
      </c>
      <c r="AN286">
        <f>AND(IF(Metadata!N286="",FALSE,ISNUMBER(VALUE(Metadata!N286))),Metadata!N286&gt;0)</f>
        <v>0</v>
      </c>
      <c r="AO286">
        <f>AND(IF(Metadata!O286="",FALSE,TRUE),exact(Metadata!O286,"kg"))</f>
        <v>0</v>
      </c>
      <c r="AP286">
        <f>OR(AND(IF(Metadata!P286="",FALSE,TRUE),exact(Metadata!P286,"not provided")),IF(Metadata!P286="",FALSE,TRUE))</f>
        <v>0</v>
      </c>
      <c r="AQ286">
        <f>OR(AND(IF(Metadata!Q286="",FALSE,TRUE),exact(Metadata!Q286,"not provided")),IF(Metadata!Q286="",FALSE,TRUE))</f>
        <v>0</v>
      </c>
    </row>
    <row r="287" spans="1:43">
      <c r="A287" s="4">
        <f>IF(B287=" "," ",HYPERLINK(CONCATENATE("#metadata!",ADDRESS(INDEX($W$2:$W$1001,MATCH(ROWS($U$2:U287),$U$2:$U$1001,0),0),2)),INDEX($Z$2:$Z$1001,MATCH(ROWS($U$2:U287),$U$2:$U$1001,0),0)))</f>
        <v>0</v>
      </c>
      <c r="B287" s="5">
        <f>IF(OR(INDEX($V$2:$V$1001,MATCH(ROWS($U$2:U287),$U$2:$U$1001,0),1)&gt;=100000,INDEX($AB$1005:$AQ$1005,1,MATCH(COLUMNS($AB$1006:AB1006),$AB$1006:$AQ$1006,0))&gt;=100000), " ",IF(INDEX($AB$2:$AQ$1001,MATCH(ROWS($U$2:U287),$U$2:$U$1001,0),MATCH(COLUMNS($AB$1006:AB1006),$AB$1006:$AQ$1006,0)), HYPERLINK("#",""), HYPERLINK(CONCATENATE("#Metadata!", ADDRESS(INDEX($W$2:$W$1001,MATCH(ROWS($U$2:U287),$U$2:$U$1001,0),0), INDEX($AB$1004:$AQ$1004,1,MATCH(COLUMNS($AB$1006:AB1006),$AB$1006:$AQ$1006,0)))),"Fix")))</f>
        <v>0</v>
      </c>
      <c r="C287" s="5">
        <f>IF(OR(INDEX($V$2:$V$1001,MATCH(ROWS($U$2:U287),$U$2:$U$1001,0),1)&gt;=100000,INDEX($AB$1005:$AQ$1005,1,MATCH(COLUMNS($AB$1006:AC1006),$AB$1006:$AQ$1006,0))&gt;=100000), " ",IF(INDEX($AB$2:$AQ$1001,MATCH(ROWS($U$2:U287),$U$2:$U$1001,0),MATCH(COLUMNS($AB$1006:AC1006),$AB$1006:$AQ$1006,0)), HYPERLINK("#",""), HYPERLINK(CONCATENATE("#Metadata!", ADDRESS(INDEX($W$2:$W$1001,MATCH(ROWS($U$2:U287),$U$2:$U$1001,0),0), INDEX($AB$1004:$AQ$1004,1,MATCH(COLUMNS($AB$1006:AC1006),$AB$1006:$AQ$1006,0)))),"Fix")))</f>
        <v>0</v>
      </c>
      <c r="D287" s="5">
        <f>IF(OR(INDEX($V$2:$V$1001,MATCH(ROWS($U$2:U287),$U$2:$U$1001,0),1)&gt;=100000,INDEX($AB$1005:$AQ$1005,1,MATCH(COLUMNS($AB$1006:AD1006),$AB$1006:$AQ$1006,0))&gt;=100000), " ",IF(INDEX($AB$2:$AQ$1001,MATCH(ROWS($U$2:U287),$U$2:$U$1001,0),MATCH(COLUMNS($AB$1006:AD1006),$AB$1006:$AQ$1006,0)), HYPERLINK("#",""), HYPERLINK(CONCATENATE("#Metadata!", ADDRESS(INDEX($W$2:$W$1001,MATCH(ROWS($U$2:U287),$U$2:$U$1001,0),0), INDEX($AB$1004:$AQ$1004,1,MATCH(COLUMNS($AB$1006:AD1006),$AB$1006:$AQ$1006,0)))),"Fix")))</f>
        <v>0</v>
      </c>
      <c r="E287" s="5">
        <f>IF(OR(INDEX($V$2:$V$1001,MATCH(ROWS($U$2:U287),$U$2:$U$1001,0),1)&gt;=100000,INDEX($AB$1005:$AQ$1005,1,MATCH(COLUMNS($AB$1006:AE1006),$AB$1006:$AQ$1006,0))&gt;=100000), " ",IF(INDEX($AB$2:$AQ$1001,MATCH(ROWS($U$2:U287),$U$2:$U$1001,0),MATCH(COLUMNS($AB$1006:AE1006),$AB$1006:$AQ$1006,0)), HYPERLINK("#",""), HYPERLINK(CONCATENATE("#Metadata!", ADDRESS(INDEX($W$2:$W$1001,MATCH(ROWS($U$2:U287),$U$2:$U$1001,0),0), INDEX($AB$1004:$AQ$1004,1,MATCH(COLUMNS($AB$1006:AE1006),$AB$1006:$AQ$1006,0)))),"Fix")))</f>
        <v>0</v>
      </c>
      <c r="F287" s="5">
        <f>IF(OR(INDEX($V$2:$V$1001,MATCH(ROWS($U$2:U287),$U$2:$U$1001,0),1)&gt;=100000,INDEX($AB$1005:$AQ$1005,1,MATCH(COLUMNS($AB$1006:AF1006),$AB$1006:$AQ$1006,0))&gt;=100000), " ",IF(INDEX($AB$2:$AQ$1001,MATCH(ROWS($U$2:U287),$U$2:$U$1001,0),MATCH(COLUMNS($AB$1006:AF1006),$AB$1006:$AQ$1006,0)), HYPERLINK("#",""), HYPERLINK(CONCATENATE("#Metadata!", ADDRESS(INDEX($W$2:$W$1001,MATCH(ROWS($U$2:U287),$U$2:$U$1001,0),0), INDEX($AB$1004:$AQ$1004,1,MATCH(COLUMNS($AB$1006:AF1006),$AB$1006:$AQ$1006,0)))),"Fix")))</f>
        <v>0</v>
      </c>
      <c r="G287" s="5">
        <f>IF(OR(INDEX($V$2:$V$1001,MATCH(ROWS($U$2:U287),$U$2:$U$1001,0),1)&gt;=100000,INDEX($AB$1005:$AQ$1005,1,MATCH(COLUMNS($AB$1006:AG1006),$AB$1006:$AQ$1006,0))&gt;=100000), " ",IF(INDEX($AB$2:$AQ$1001,MATCH(ROWS($U$2:U287),$U$2:$U$1001,0),MATCH(COLUMNS($AB$1006:AG1006),$AB$1006:$AQ$1006,0)), HYPERLINK("#",""), HYPERLINK(CONCATENATE("#Metadata!", ADDRESS(INDEX($W$2:$W$1001,MATCH(ROWS($U$2:U287),$U$2:$U$1001,0),0), INDEX($AB$1004:$AQ$1004,1,MATCH(COLUMNS($AB$1006:AG1006),$AB$1006:$AQ$1006,0)))),"Fix")))</f>
        <v>0</v>
      </c>
      <c r="H287" s="5">
        <f>IF(OR(INDEX($V$2:$V$1001,MATCH(ROWS($U$2:U287),$U$2:$U$1001,0),1)&gt;=100000,INDEX($AB$1005:$AQ$1005,1,MATCH(COLUMNS($AB$1006:AH1006),$AB$1006:$AQ$1006,0))&gt;=100000), " ",IF(INDEX($AB$2:$AQ$1001,MATCH(ROWS($U$2:U287),$U$2:$U$1001,0),MATCH(COLUMNS($AB$1006:AH1006),$AB$1006:$AQ$1006,0)), HYPERLINK("#",""), HYPERLINK(CONCATENATE("#Metadata!", ADDRESS(INDEX($W$2:$W$1001,MATCH(ROWS($U$2:U287),$U$2:$U$1001,0),0), INDEX($AB$1004:$AQ$1004,1,MATCH(COLUMNS($AB$1006:AH1006),$AB$1006:$AQ$1006,0)))),"Fix")))</f>
        <v>0</v>
      </c>
      <c r="I287" s="5">
        <f>IF(OR(INDEX($V$2:$V$1001,MATCH(ROWS($U$2:U287),$U$2:$U$1001,0),1)&gt;=100000,INDEX($AB$1005:$AQ$1005,1,MATCH(COLUMNS($AB$1006:AI1006),$AB$1006:$AQ$1006,0))&gt;=100000), " ",IF(INDEX($AB$2:$AQ$1001,MATCH(ROWS($U$2:U287),$U$2:$U$1001,0),MATCH(COLUMNS($AB$1006:AI1006),$AB$1006:$AQ$1006,0)), HYPERLINK("#",""), HYPERLINK(CONCATENATE("#Metadata!", ADDRESS(INDEX($W$2:$W$1001,MATCH(ROWS($U$2:U287),$U$2:$U$1001,0),0), INDEX($AB$1004:$AQ$1004,1,MATCH(COLUMNS($AB$1006:AI1006),$AB$1006:$AQ$1006,0)))),"Fix")))</f>
        <v>0</v>
      </c>
      <c r="J287" s="5">
        <f>IF(OR(INDEX($V$2:$V$1001,MATCH(ROWS($U$2:U287),$U$2:$U$1001,0),1)&gt;=100000,INDEX($AB$1005:$AQ$1005,1,MATCH(COLUMNS($AB$1006:AJ1006),$AB$1006:$AQ$1006,0))&gt;=100000), " ",IF(INDEX($AB$2:$AQ$1001,MATCH(ROWS($U$2:U287),$U$2:$U$1001,0),MATCH(COLUMNS($AB$1006:AJ1006),$AB$1006:$AQ$1006,0)), HYPERLINK("#",""), HYPERLINK(CONCATENATE("#Metadata!", ADDRESS(INDEX($W$2:$W$1001,MATCH(ROWS($U$2:U287),$U$2:$U$1001,0),0), INDEX($AB$1004:$AQ$1004,1,MATCH(COLUMNS($AB$1006:AJ1006),$AB$1006:$AQ$1006,0)))),"Fix")))</f>
        <v>0</v>
      </c>
      <c r="K287" s="5">
        <f>IF(OR(INDEX($V$2:$V$1001,MATCH(ROWS($U$2:U287),$U$2:$U$1001,0),1)&gt;=100000,INDEX($AB$1005:$AQ$1005,1,MATCH(COLUMNS($AB$1006:AK1006),$AB$1006:$AQ$1006,0))&gt;=100000), " ",IF(INDEX($AB$2:$AQ$1001,MATCH(ROWS($U$2:U287),$U$2:$U$1001,0),MATCH(COLUMNS($AB$1006:AK1006),$AB$1006:$AQ$1006,0)), HYPERLINK("#",""), HYPERLINK(CONCATENATE("#Metadata!", ADDRESS(INDEX($W$2:$W$1001,MATCH(ROWS($U$2:U287),$U$2:$U$1001,0),0), INDEX($AB$1004:$AQ$1004,1,MATCH(COLUMNS($AB$1006:AK1006),$AB$1006:$AQ$1006,0)))),"Fix")))</f>
        <v>0</v>
      </c>
      <c r="L287" s="5">
        <f>IF(OR(INDEX($V$2:$V$1001,MATCH(ROWS($U$2:U287),$U$2:$U$1001,0),1)&gt;=100000,INDEX($AB$1005:$AQ$1005,1,MATCH(COLUMNS($AB$1006:AL1006),$AB$1006:$AQ$1006,0))&gt;=100000), " ",IF(INDEX($AB$2:$AQ$1001,MATCH(ROWS($U$2:U287),$U$2:$U$1001,0),MATCH(COLUMNS($AB$1006:AL1006),$AB$1006:$AQ$1006,0)), HYPERLINK("#",""), HYPERLINK(CONCATENATE("#Metadata!", ADDRESS(INDEX($W$2:$W$1001,MATCH(ROWS($U$2:U287),$U$2:$U$1001,0),0), INDEX($AB$1004:$AQ$1004,1,MATCH(COLUMNS($AB$1006:AL1006),$AB$1006:$AQ$1006,0)))),"Fix")))</f>
        <v>0</v>
      </c>
      <c r="M287" s="5">
        <f>IF(OR(INDEX($V$2:$V$1001,MATCH(ROWS($U$2:U287),$U$2:$U$1001,0),1)&gt;=100000,INDEX($AB$1005:$AQ$1005,1,MATCH(COLUMNS($AB$1006:AM1006),$AB$1006:$AQ$1006,0))&gt;=100000), " ",IF(INDEX($AB$2:$AQ$1001,MATCH(ROWS($U$2:U287),$U$2:$U$1001,0),MATCH(COLUMNS($AB$1006:AM1006),$AB$1006:$AQ$1006,0)), HYPERLINK("#",""), HYPERLINK(CONCATENATE("#Metadata!", ADDRESS(INDEX($W$2:$W$1001,MATCH(ROWS($U$2:U287),$U$2:$U$1001,0),0), INDEX($AB$1004:$AQ$1004,1,MATCH(COLUMNS($AB$1006:AM1006),$AB$1006:$AQ$1006,0)))),"Fix")))</f>
        <v>0</v>
      </c>
      <c r="N287" s="5">
        <f>IF(OR(INDEX($V$2:$V$1001,MATCH(ROWS($U$2:U287),$U$2:$U$1001,0),1)&gt;=100000,INDEX($AB$1005:$AQ$1005,1,MATCH(COLUMNS($AB$1006:AN1006),$AB$1006:$AQ$1006,0))&gt;=100000), " ",IF(INDEX($AB$2:$AQ$1001,MATCH(ROWS($U$2:U287),$U$2:$U$1001,0),MATCH(COLUMNS($AB$1006:AN1006),$AB$1006:$AQ$1006,0)), HYPERLINK("#",""), HYPERLINK(CONCATENATE("#Metadata!", ADDRESS(INDEX($W$2:$W$1001,MATCH(ROWS($U$2:U287),$U$2:$U$1001,0),0), INDEX($AB$1004:$AQ$1004,1,MATCH(COLUMNS($AB$1006:AN1006),$AB$1006:$AQ$1006,0)))),"Fix")))</f>
        <v>0</v>
      </c>
      <c r="O287" s="5">
        <f>IF(OR(INDEX($V$2:$V$1001,MATCH(ROWS($U$2:U287),$U$2:$U$1001,0),1)&gt;=100000,INDEX($AB$1005:$AQ$1005,1,MATCH(COLUMNS($AB$1006:AO1006),$AB$1006:$AQ$1006,0))&gt;=100000), " ",IF(INDEX($AB$2:$AQ$1001,MATCH(ROWS($U$2:U287),$U$2:$U$1001,0),MATCH(COLUMNS($AB$1006:AO1006),$AB$1006:$AQ$1006,0)), HYPERLINK("#",""), HYPERLINK(CONCATENATE("#Metadata!", ADDRESS(INDEX($W$2:$W$1001,MATCH(ROWS($U$2:U287),$U$2:$U$1001,0),0), INDEX($AB$1004:$AQ$1004,1,MATCH(COLUMNS($AB$1006:AO1006),$AB$1006:$AQ$1006,0)))),"Fix")))</f>
        <v>0</v>
      </c>
      <c r="P287" s="5">
        <f>IF(OR(INDEX($V$2:$V$1001,MATCH(ROWS($U$2:U287),$U$2:$U$1001,0),1)&gt;=100000,INDEX($AB$1005:$AQ$1005,1,MATCH(COLUMNS($AB$1006:AP1006),$AB$1006:$AQ$1006,0))&gt;=100000), " ",IF(INDEX($AB$2:$AQ$1001,MATCH(ROWS($U$2:U287),$U$2:$U$1001,0),MATCH(COLUMNS($AB$1006:AP1006),$AB$1006:$AQ$1006,0)), HYPERLINK("#",""), HYPERLINK(CONCATENATE("#Metadata!", ADDRESS(INDEX($W$2:$W$1001,MATCH(ROWS($U$2:U287),$U$2:$U$1001,0),0), INDEX($AB$1004:$AQ$1004,1,MATCH(COLUMNS($AB$1006:AP1006),$AB$1006:$AQ$1006,0)))),"Fix")))</f>
        <v>0</v>
      </c>
      <c r="Q287" s="5">
        <f>IF(OR(INDEX($V$2:$V$1001,MATCH(ROWS($U$2:U287),$U$2:$U$1001,0),1)&gt;=100000,INDEX($AB$1005:$AQ$1005,1,MATCH(COLUMNS($AB$1006:AQ1006),$AB$1006:$AQ$1006,0))&gt;=100000), " ",IF(INDEX($AB$2:$AQ$1001,MATCH(ROWS($U$2:U287),$U$2:$U$1001,0),MATCH(COLUMNS($AB$1006:AQ1006),$AB$1006:$AQ$1006,0)), HYPERLINK("#",""), HYPERLINK(CONCATENATE("#Metadata!", ADDRESS(INDEX($W$2:$W$1001,MATCH(ROWS($U$2:U287),$U$2:$U$1001,0),0), INDEX($AB$1004:$AQ$1004,1,MATCH(COLUMNS($AB$1006:AQ1006),$AB$1006:$AQ$1006,0)))),"Fix")))</f>
        <v>0</v>
      </c>
      <c r="U287">
        <v>0</v>
      </c>
      <c r="V287">
        <v>0</v>
      </c>
      <c r="W287">
        <v>0</v>
      </c>
      <c r="X287">
        <f>IF(Y287,TRUE,AND(AB287:AQ287))</f>
        <v>0</v>
      </c>
      <c r="Y287">
        <f>COUNTBLANK(Metadata!B287:Q287)=COLUMNS(Metadata!B287:Q287)</f>
        <v>0</v>
      </c>
      <c r="Z287">
        <v>0</v>
      </c>
      <c r="AB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AC287">
        <f>AND(IF(Metadata!C287="",FALSE,TRUE),exact(Metadata!C287,"urban biome"))</f>
        <v>0</v>
      </c>
      <c r="AD287">
        <f>AND(IF(Metadata!D287="",FALSE,TRUE),exact(Metadata!D287,"human-associated habitat"))</f>
        <v>0</v>
      </c>
      <c r="AE287">
        <f>AND(IF(Metadata!E287="",FALSE,TRUE),OR(exact(Metadata!E287,"human-associated"),exact(Metadata!E287,"human-skin"),exact(Metadata!E287,"human-oral"),exact(Metadata!E287,"human-gut"),exact(Metadata!E287,"human-vaginal")))</f>
        <v>0</v>
      </c>
      <c r="AF287">
        <f>AND(IF(Metadata!F287="",FALSE,ISNUMBER(VALUE(Metadata!F287))),Metadata!F287&gt;0)</f>
        <v>0</v>
      </c>
      <c r="AG287">
        <f>AND(IF(Metadata!G287="",FALSE,TRUE),exact(Metadata!G287,"years"))</f>
        <v>0</v>
      </c>
      <c r="AH287">
        <f>OR(AND(IF(Metadata!H287="",FALSE,TRUE),OR(exact(Metadata!H287,"not applicable"),exact(Metadata!H287,"not collected"),exact(Metadata!H287,"not provided"),exact(Metadata!H287,"restricted access"))),AND(IF(Metadata!H287="",FALSE,ISNUMBER(VALUE(Metadata!H287))),Metadata!H287&gt;0))</f>
        <v>0</v>
      </c>
      <c r="AI287">
        <f>AND(IF(Metadata!I287="",FALSE,TRUE),exact(Metadata!I287,"human"))</f>
        <v>0</v>
      </c>
      <c r="AJ287">
        <f>AND(IF(Metadata!J287="",FALSE,ISNUMBER(VALUE(Metadata!J287))),Metadata!J287&gt;0)</f>
        <v>0</v>
      </c>
      <c r="AK287">
        <f>AND(IF(Metadata!K287="",FALSE,TRUE),exact(Metadata!K287,"cm"))</f>
        <v>0</v>
      </c>
      <c r="AL287">
        <f>AND(IF(Metadata!L287="",FALSE,TRUE),exact(Metadata!L287,"Homo sapiens"))</f>
        <v>0</v>
      </c>
      <c r="AM287">
        <f>AND(IF(Metadata!M287="",FALSE,TRUE),exact(Metadata!M287,"9606"))</f>
        <v>0</v>
      </c>
      <c r="AN287">
        <f>AND(IF(Metadata!N287="",FALSE,ISNUMBER(VALUE(Metadata!N287))),Metadata!N287&gt;0)</f>
        <v>0</v>
      </c>
      <c r="AO287">
        <f>AND(IF(Metadata!O287="",FALSE,TRUE),exact(Metadata!O287,"kg"))</f>
        <v>0</v>
      </c>
      <c r="AP287">
        <f>OR(AND(IF(Metadata!P287="",FALSE,TRUE),exact(Metadata!P287,"not provided")),IF(Metadata!P287="",FALSE,TRUE))</f>
        <v>0</v>
      </c>
      <c r="AQ287">
        <f>OR(AND(IF(Metadata!Q287="",FALSE,TRUE),exact(Metadata!Q287,"not provided")),IF(Metadata!Q287="",FALSE,TRUE))</f>
        <v>0</v>
      </c>
    </row>
    <row r="288" spans="1:43">
      <c r="A288" s="4">
        <f>IF(B288=" "," ",HYPERLINK(CONCATENATE("#metadata!",ADDRESS(INDEX($W$2:$W$1001,MATCH(ROWS($U$2:U288),$U$2:$U$1001,0),0),2)),INDEX($Z$2:$Z$1001,MATCH(ROWS($U$2:U288),$U$2:$U$1001,0),0)))</f>
        <v>0</v>
      </c>
      <c r="B288" s="5">
        <f>IF(OR(INDEX($V$2:$V$1001,MATCH(ROWS($U$2:U288),$U$2:$U$1001,0),1)&gt;=100000,INDEX($AB$1005:$AQ$1005,1,MATCH(COLUMNS($AB$1006:AB1006),$AB$1006:$AQ$1006,0))&gt;=100000), " ",IF(INDEX($AB$2:$AQ$1001,MATCH(ROWS($U$2:U288),$U$2:$U$1001,0),MATCH(COLUMNS($AB$1006:AB1006),$AB$1006:$AQ$1006,0)), HYPERLINK("#",""), HYPERLINK(CONCATENATE("#Metadata!", ADDRESS(INDEX($W$2:$W$1001,MATCH(ROWS($U$2:U288),$U$2:$U$1001,0),0), INDEX($AB$1004:$AQ$1004,1,MATCH(COLUMNS($AB$1006:AB1006),$AB$1006:$AQ$1006,0)))),"Fix")))</f>
        <v>0</v>
      </c>
      <c r="C288" s="5">
        <f>IF(OR(INDEX($V$2:$V$1001,MATCH(ROWS($U$2:U288),$U$2:$U$1001,0),1)&gt;=100000,INDEX($AB$1005:$AQ$1005,1,MATCH(COLUMNS($AB$1006:AC1006),$AB$1006:$AQ$1006,0))&gt;=100000), " ",IF(INDEX($AB$2:$AQ$1001,MATCH(ROWS($U$2:U288),$U$2:$U$1001,0),MATCH(COLUMNS($AB$1006:AC1006),$AB$1006:$AQ$1006,0)), HYPERLINK("#",""), HYPERLINK(CONCATENATE("#Metadata!", ADDRESS(INDEX($W$2:$W$1001,MATCH(ROWS($U$2:U288),$U$2:$U$1001,0),0), INDEX($AB$1004:$AQ$1004,1,MATCH(COLUMNS($AB$1006:AC1006),$AB$1006:$AQ$1006,0)))),"Fix")))</f>
        <v>0</v>
      </c>
      <c r="D288" s="5">
        <f>IF(OR(INDEX($V$2:$V$1001,MATCH(ROWS($U$2:U288),$U$2:$U$1001,0),1)&gt;=100000,INDEX($AB$1005:$AQ$1005,1,MATCH(COLUMNS($AB$1006:AD1006),$AB$1006:$AQ$1006,0))&gt;=100000), " ",IF(INDEX($AB$2:$AQ$1001,MATCH(ROWS($U$2:U288),$U$2:$U$1001,0),MATCH(COLUMNS($AB$1006:AD1006),$AB$1006:$AQ$1006,0)), HYPERLINK("#",""), HYPERLINK(CONCATENATE("#Metadata!", ADDRESS(INDEX($W$2:$W$1001,MATCH(ROWS($U$2:U288),$U$2:$U$1001,0),0), INDEX($AB$1004:$AQ$1004,1,MATCH(COLUMNS($AB$1006:AD1006),$AB$1006:$AQ$1006,0)))),"Fix")))</f>
        <v>0</v>
      </c>
      <c r="E288" s="5">
        <f>IF(OR(INDEX($V$2:$V$1001,MATCH(ROWS($U$2:U288),$U$2:$U$1001,0),1)&gt;=100000,INDEX($AB$1005:$AQ$1005,1,MATCH(COLUMNS($AB$1006:AE1006),$AB$1006:$AQ$1006,0))&gt;=100000), " ",IF(INDEX($AB$2:$AQ$1001,MATCH(ROWS($U$2:U288),$U$2:$U$1001,0),MATCH(COLUMNS($AB$1006:AE1006),$AB$1006:$AQ$1006,0)), HYPERLINK("#",""), HYPERLINK(CONCATENATE("#Metadata!", ADDRESS(INDEX($W$2:$W$1001,MATCH(ROWS($U$2:U288),$U$2:$U$1001,0),0), INDEX($AB$1004:$AQ$1004,1,MATCH(COLUMNS($AB$1006:AE1006),$AB$1006:$AQ$1006,0)))),"Fix")))</f>
        <v>0</v>
      </c>
      <c r="F288" s="5">
        <f>IF(OR(INDEX($V$2:$V$1001,MATCH(ROWS($U$2:U288),$U$2:$U$1001,0),1)&gt;=100000,INDEX($AB$1005:$AQ$1005,1,MATCH(COLUMNS($AB$1006:AF1006),$AB$1006:$AQ$1006,0))&gt;=100000), " ",IF(INDEX($AB$2:$AQ$1001,MATCH(ROWS($U$2:U288),$U$2:$U$1001,0),MATCH(COLUMNS($AB$1006:AF1006),$AB$1006:$AQ$1006,0)), HYPERLINK("#",""), HYPERLINK(CONCATENATE("#Metadata!", ADDRESS(INDEX($W$2:$W$1001,MATCH(ROWS($U$2:U288),$U$2:$U$1001,0),0), INDEX($AB$1004:$AQ$1004,1,MATCH(COLUMNS($AB$1006:AF1006),$AB$1006:$AQ$1006,0)))),"Fix")))</f>
        <v>0</v>
      </c>
      <c r="G288" s="5">
        <f>IF(OR(INDEX($V$2:$V$1001,MATCH(ROWS($U$2:U288),$U$2:$U$1001,0),1)&gt;=100000,INDEX($AB$1005:$AQ$1005,1,MATCH(COLUMNS($AB$1006:AG1006),$AB$1006:$AQ$1006,0))&gt;=100000), " ",IF(INDEX($AB$2:$AQ$1001,MATCH(ROWS($U$2:U288),$U$2:$U$1001,0),MATCH(COLUMNS($AB$1006:AG1006),$AB$1006:$AQ$1006,0)), HYPERLINK("#",""), HYPERLINK(CONCATENATE("#Metadata!", ADDRESS(INDEX($W$2:$W$1001,MATCH(ROWS($U$2:U288),$U$2:$U$1001,0),0), INDEX($AB$1004:$AQ$1004,1,MATCH(COLUMNS($AB$1006:AG1006),$AB$1006:$AQ$1006,0)))),"Fix")))</f>
        <v>0</v>
      </c>
      <c r="H288" s="5">
        <f>IF(OR(INDEX($V$2:$V$1001,MATCH(ROWS($U$2:U288),$U$2:$U$1001,0),1)&gt;=100000,INDEX($AB$1005:$AQ$1005,1,MATCH(COLUMNS($AB$1006:AH1006),$AB$1006:$AQ$1006,0))&gt;=100000), " ",IF(INDEX($AB$2:$AQ$1001,MATCH(ROWS($U$2:U288),$U$2:$U$1001,0),MATCH(COLUMNS($AB$1006:AH1006),$AB$1006:$AQ$1006,0)), HYPERLINK("#",""), HYPERLINK(CONCATENATE("#Metadata!", ADDRESS(INDEX($W$2:$W$1001,MATCH(ROWS($U$2:U288),$U$2:$U$1001,0),0), INDEX($AB$1004:$AQ$1004,1,MATCH(COLUMNS($AB$1006:AH1006),$AB$1006:$AQ$1006,0)))),"Fix")))</f>
        <v>0</v>
      </c>
      <c r="I288" s="5">
        <f>IF(OR(INDEX($V$2:$V$1001,MATCH(ROWS($U$2:U288),$U$2:$U$1001,0),1)&gt;=100000,INDEX($AB$1005:$AQ$1005,1,MATCH(COLUMNS($AB$1006:AI1006),$AB$1006:$AQ$1006,0))&gt;=100000), " ",IF(INDEX($AB$2:$AQ$1001,MATCH(ROWS($U$2:U288),$U$2:$U$1001,0),MATCH(COLUMNS($AB$1006:AI1006),$AB$1006:$AQ$1006,0)), HYPERLINK("#",""), HYPERLINK(CONCATENATE("#Metadata!", ADDRESS(INDEX($W$2:$W$1001,MATCH(ROWS($U$2:U288),$U$2:$U$1001,0),0), INDEX($AB$1004:$AQ$1004,1,MATCH(COLUMNS($AB$1006:AI1006),$AB$1006:$AQ$1006,0)))),"Fix")))</f>
        <v>0</v>
      </c>
      <c r="J288" s="5">
        <f>IF(OR(INDEX($V$2:$V$1001,MATCH(ROWS($U$2:U288),$U$2:$U$1001,0),1)&gt;=100000,INDEX($AB$1005:$AQ$1005,1,MATCH(COLUMNS($AB$1006:AJ1006),$AB$1006:$AQ$1006,0))&gt;=100000), " ",IF(INDEX($AB$2:$AQ$1001,MATCH(ROWS($U$2:U288),$U$2:$U$1001,0),MATCH(COLUMNS($AB$1006:AJ1006),$AB$1006:$AQ$1006,0)), HYPERLINK("#",""), HYPERLINK(CONCATENATE("#Metadata!", ADDRESS(INDEX($W$2:$W$1001,MATCH(ROWS($U$2:U288),$U$2:$U$1001,0),0), INDEX($AB$1004:$AQ$1004,1,MATCH(COLUMNS($AB$1006:AJ1006),$AB$1006:$AQ$1006,0)))),"Fix")))</f>
        <v>0</v>
      </c>
      <c r="K288" s="5">
        <f>IF(OR(INDEX($V$2:$V$1001,MATCH(ROWS($U$2:U288),$U$2:$U$1001,0),1)&gt;=100000,INDEX($AB$1005:$AQ$1005,1,MATCH(COLUMNS($AB$1006:AK1006),$AB$1006:$AQ$1006,0))&gt;=100000), " ",IF(INDEX($AB$2:$AQ$1001,MATCH(ROWS($U$2:U288),$U$2:$U$1001,0),MATCH(COLUMNS($AB$1006:AK1006),$AB$1006:$AQ$1006,0)), HYPERLINK("#",""), HYPERLINK(CONCATENATE("#Metadata!", ADDRESS(INDEX($W$2:$W$1001,MATCH(ROWS($U$2:U288),$U$2:$U$1001,0),0), INDEX($AB$1004:$AQ$1004,1,MATCH(COLUMNS($AB$1006:AK1006),$AB$1006:$AQ$1006,0)))),"Fix")))</f>
        <v>0</v>
      </c>
      <c r="L288" s="5">
        <f>IF(OR(INDEX($V$2:$V$1001,MATCH(ROWS($U$2:U288),$U$2:$U$1001,0),1)&gt;=100000,INDEX($AB$1005:$AQ$1005,1,MATCH(COLUMNS($AB$1006:AL1006),$AB$1006:$AQ$1006,0))&gt;=100000), " ",IF(INDEX($AB$2:$AQ$1001,MATCH(ROWS($U$2:U288),$U$2:$U$1001,0),MATCH(COLUMNS($AB$1006:AL1006),$AB$1006:$AQ$1006,0)), HYPERLINK("#",""), HYPERLINK(CONCATENATE("#Metadata!", ADDRESS(INDEX($W$2:$W$1001,MATCH(ROWS($U$2:U288),$U$2:$U$1001,0),0), INDEX($AB$1004:$AQ$1004,1,MATCH(COLUMNS($AB$1006:AL1006),$AB$1006:$AQ$1006,0)))),"Fix")))</f>
        <v>0</v>
      </c>
      <c r="M288" s="5">
        <f>IF(OR(INDEX($V$2:$V$1001,MATCH(ROWS($U$2:U288),$U$2:$U$1001,0),1)&gt;=100000,INDEX($AB$1005:$AQ$1005,1,MATCH(COLUMNS($AB$1006:AM1006),$AB$1006:$AQ$1006,0))&gt;=100000), " ",IF(INDEX($AB$2:$AQ$1001,MATCH(ROWS($U$2:U288),$U$2:$U$1001,0),MATCH(COLUMNS($AB$1006:AM1006),$AB$1006:$AQ$1006,0)), HYPERLINK("#",""), HYPERLINK(CONCATENATE("#Metadata!", ADDRESS(INDEX($W$2:$W$1001,MATCH(ROWS($U$2:U288),$U$2:$U$1001,0),0), INDEX($AB$1004:$AQ$1004,1,MATCH(COLUMNS($AB$1006:AM1006),$AB$1006:$AQ$1006,0)))),"Fix")))</f>
        <v>0</v>
      </c>
      <c r="N288" s="5">
        <f>IF(OR(INDEX($V$2:$V$1001,MATCH(ROWS($U$2:U288),$U$2:$U$1001,0),1)&gt;=100000,INDEX($AB$1005:$AQ$1005,1,MATCH(COLUMNS($AB$1006:AN1006),$AB$1006:$AQ$1006,0))&gt;=100000), " ",IF(INDEX($AB$2:$AQ$1001,MATCH(ROWS($U$2:U288),$U$2:$U$1001,0),MATCH(COLUMNS($AB$1006:AN1006),$AB$1006:$AQ$1006,0)), HYPERLINK("#",""), HYPERLINK(CONCATENATE("#Metadata!", ADDRESS(INDEX($W$2:$W$1001,MATCH(ROWS($U$2:U288),$U$2:$U$1001,0),0), INDEX($AB$1004:$AQ$1004,1,MATCH(COLUMNS($AB$1006:AN1006),$AB$1006:$AQ$1006,0)))),"Fix")))</f>
        <v>0</v>
      </c>
      <c r="O288" s="5">
        <f>IF(OR(INDEX($V$2:$V$1001,MATCH(ROWS($U$2:U288),$U$2:$U$1001,0),1)&gt;=100000,INDEX($AB$1005:$AQ$1005,1,MATCH(COLUMNS($AB$1006:AO1006),$AB$1006:$AQ$1006,0))&gt;=100000), " ",IF(INDEX($AB$2:$AQ$1001,MATCH(ROWS($U$2:U288),$U$2:$U$1001,0),MATCH(COLUMNS($AB$1006:AO1006),$AB$1006:$AQ$1006,0)), HYPERLINK("#",""), HYPERLINK(CONCATENATE("#Metadata!", ADDRESS(INDEX($W$2:$W$1001,MATCH(ROWS($U$2:U288),$U$2:$U$1001,0),0), INDEX($AB$1004:$AQ$1004,1,MATCH(COLUMNS($AB$1006:AO1006),$AB$1006:$AQ$1006,0)))),"Fix")))</f>
        <v>0</v>
      </c>
      <c r="P288" s="5">
        <f>IF(OR(INDEX($V$2:$V$1001,MATCH(ROWS($U$2:U288),$U$2:$U$1001,0),1)&gt;=100000,INDEX($AB$1005:$AQ$1005,1,MATCH(COLUMNS($AB$1006:AP1006),$AB$1006:$AQ$1006,0))&gt;=100000), " ",IF(INDEX($AB$2:$AQ$1001,MATCH(ROWS($U$2:U288),$U$2:$U$1001,0),MATCH(COLUMNS($AB$1006:AP1006),$AB$1006:$AQ$1006,0)), HYPERLINK("#",""), HYPERLINK(CONCATENATE("#Metadata!", ADDRESS(INDEX($W$2:$W$1001,MATCH(ROWS($U$2:U288),$U$2:$U$1001,0),0), INDEX($AB$1004:$AQ$1004,1,MATCH(COLUMNS($AB$1006:AP1006),$AB$1006:$AQ$1006,0)))),"Fix")))</f>
        <v>0</v>
      </c>
      <c r="Q288" s="5">
        <f>IF(OR(INDEX($V$2:$V$1001,MATCH(ROWS($U$2:U288),$U$2:$U$1001,0),1)&gt;=100000,INDEX($AB$1005:$AQ$1005,1,MATCH(COLUMNS($AB$1006:AQ1006),$AB$1006:$AQ$1006,0))&gt;=100000), " ",IF(INDEX($AB$2:$AQ$1001,MATCH(ROWS($U$2:U288),$U$2:$U$1001,0),MATCH(COLUMNS($AB$1006:AQ1006),$AB$1006:$AQ$1006,0)), HYPERLINK("#",""), HYPERLINK(CONCATENATE("#Metadata!", ADDRESS(INDEX($W$2:$W$1001,MATCH(ROWS($U$2:U288),$U$2:$U$1001,0),0), INDEX($AB$1004:$AQ$1004,1,MATCH(COLUMNS($AB$1006:AQ1006),$AB$1006:$AQ$1006,0)))),"Fix")))</f>
        <v>0</v>
      </c>
      <c r="U288">
        <v>0</v>
      </c>
      <c r="V288">
        <v>0</v>
      </c>
      <c r="W288">
        <v>0</v>
      </c>
      <c r="X288">
        <f>IF(Y288,TRUE,AND(AB288:AQ288))</f>
        <v>0</v>
      </c>
      <c r="Y288">
        <f>COUNTBLANK(Metadata!B288:Q288)=COLUMNS(Metadata!B288:Q288)</f>
        <v>0</v>
      </c>
      <c r="Z288">
        <v>0</v>
      </c>
      <c r="AB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AC288">
        <f>AND(IF(Metadata!C288="",FALSE,TRUE),exact(Metadata!C288,"urban biome"))</f>
        <v>0</v>
      </c>
      <c r="AD288">
        <f>AND(IF(Metadata!D288="",FALSE,TRUE),exact(Metadata!D288,"human-associated habitat"))</f>
        <v>0</v>
      </c>
      <c r="AE288">
        <f>AND(IF(Metadata!E288="",FALSE,TRUE),OR(exact(Metadata!E288,"human-associated"),exact(Metadata!E288,"human-skin"),exact(Metadata!E288,"human-oral"),exact(Metadata!E288,"human-gut"),exact(Metadata!E288,"human-vaginal")))</f>
        <v>0</v>
      </c>
      <c r="AF288">
        <f>AND(IF(Metadata!F288="",FALSE,ISNUMBER(VALUE(Metadata!F288))),Metadata!F288&gt;0)</f>
        <v>0</v>
      </c>
      <c r="AG288">
        <f>AND(IF(Metadata!G288="",FALSE,TRUE),exact(Metadata!G288,"years"))</f>
        <v>0</v>
      </c>
      <c r="AH288">
        <f>OR(AND(IF(Metadata!H288="",FALSE,TRUE),OR(exact(Metadata!H288,"not applicable"),exact(Metadata!H288,"not collected"),exact(Metadata!H288,"not provided"),exact(Metadata!H288,"restricted access"))),AND(IF(Metadata!H288="",FALSE,ISNUMBER(VALUE(Metadata!H288))),Metadata!H288&gt;0))</f>
        <v>0</v>
      </c>
      <c r="AI288">
        <f>AND(IF(Metadata!I288="",FALSE,TRUE),exact(Metadata!I288,"human"))</f>
        <v>0</v>
      </c>
      <c r="AJ288">
        <f>AND(IF(Metadata!J288="",FALSE,ISNUMBER(VALUE(Metadata!J288))),Metadata!J288&gt;0)</f>
        <v>0</v>
      </c>
      <c r="AK288">
        <f>AND(IF(Metadata!K288="",FALSE,TRUE),exact(Metadata!K288,"cm"))</f>
        <v>0</v>
      </c>
      <c r="AL288">
        <f>AND(IF(Metadata!L288="",FALSE,TRUE),exact(Metadata!L288,"Homo sapiens"))</f>
        <v>0</v>
      </c>
      <c r="AM288">
        <f>AND(IF(Metadata!M288="",FALSE,TRUE),exact(Metadata!M288,"9606"))</f>
        <v>0</v>
      </c>
      <c r="AN288">
        <f>AND(IF(Metadata!N288="",FALSE,ISNUMBER(VALUE(Metadata!N288))),Metadata!N288&gt;0)</f>
        <v>0</v>
      </c>
      <c r="AO288">
        <f>AND(IF(Metadata!O288="",FALSE,TRUE),exact(Metadata!O288,"kg"))</f>
        <v>0</v>
      </c>
      <c r="AP288">
        <f>OR(AND(IF(Metadata!P288="",FALSE,TRUE),exact(Metadata!P288,"not provided")),IF(Metadata!P288="",FALSE,TRUE))</f>
        <v>0</v>
      </c>
      <c r="AQ288">
        <f>OR(AND(IF(Metadata!Q288="",FALSE,TRUE),exact(Metadata!Q288,"not provided")),IF(Metadata!Q288="",FALSE,TRUE))</f>
        <v>0</v>
      </c>
    </row>
    <row r="289" spans="1:43">
      <c r="A289" s="4">
        <f>IF(B289=" "," ",HYPERLINK(CONCATENATE("#metadata!",ADDRESS(INDEX($W$2:$W$1001,MATCH(ROWS($U$2:U289),$U$2:$U$1001,0),0),2)),INDEX($Z$2:$Z$1001,MATCH(ROWS($U$2:U289),$U$2:$U$1001,0),0)))</f>
        <v>0</v>
      </c>
      <c r="B289" s="5">
        <f>IF(OR(INDEX($V$2:$V$1001,MATCH(ROWS($U$2:U289),$U$2:$U$1001,0),1)&gt;=100000,INDEX($AB$1005:$AQ$1005,1,MATCH(COLUMNS($AB$1006:AB1006),$AB$1006:$AQ$1006,0))&gt;=100000), " ",IF(INDEX($AB$2:$AQ$1001,MATCH(ROWS($U$2:U289),$U$2:$U$1001,0),MATCH(COLUMNS($AB$1006:AB1006),$AB$1006:$AQ$1006,0)), HYPERLINK("#",""), HYPERLINK(CONCATENATE("#Metadata!", ADDRESS(INDEX($W$2:$W$1001,MATCH(ROWS($U$2:U289),$U$2:$U$1001,0),0), INDEX($AB$1004:$AQ$1004,1,MATCH(COLUMNS($AB$1006:AB1006),$AB$1006:$AQ$1006,0)))),"Fix")))</f>
        <v>0</v>
      </c>
      <c r="C289" s="5">
        <f>IF(OR(INDEX($V$2:$V$1001,MATCH(ROWS($U$2:U289),$U$2:$U$1001,0),1)&gt;=100000,INDEX($AB$1005:$AQ$1005,1,MATCH(COLUMNS($AB$1006:AC1006),$AB$1006:$AQ$1006,0))&gt;=100000), " ",IF(INDEX($AB$2:$AQ$1001,MATCH(ROWS($U$2:U289),$U$2:$U$1001,0),MATCH(COLUMNS($AB$1006:AC1006),$AB$1006:$AQ$1006,0)), HYPERLINK("#",""), HYPERLINK(CONCATENATE("#Metadata!", ADDRESS(INDEX($W$2:$W$1001,MATCH(ROWS($U$2:U289),$U$2:$U$1001,0),0), INDEX($AB$1004:$AQ$1004,1,MATCH(COLUMNS($AB$1006:AC1006),$AB$1006:$AQ$1006,0)))),"Fix")))</f>
        <v>0</v>
      </c>
      <c r="D289" s="5">
        <f>IF(OR(INDEX($V$2:$V$1001,MATCH(ROWS($U$2:U289),$U$2:$U$1001,0),1)&gt;=100000,INDEX($AB$1005:$AQ$1005,1,MATCH(COLUMNS($AB$1006:AD1006),$AB$1006:$AQ$1006,0))&gt;=100000), " ",IF(INDEX($AB$2:$AQ$1001,MATCH(ROWS($U$2:U289),$U$2:$U$1001,0),MATCH(COLUMNS($AB$1006:AD1006),$AB$1006:$AQ$1006,0)), HYPERLINK("#",""), HYPERLINK(CONCATENATE("#Metadata!", ADDRESS(INDEX($W$2:$W$1001,MATCH(ROWS($U$2:U289),$U$2:$U$1001,0),0), INDEX($AB$1004:$AQ$1004,1,MATCH(COLUMNS($AB$1006:AD1006),$AB$1006:$AQ$1006,0)))),"Fix")))</f>
        <v>0</v>
      </c>
      <c r="E289" s="5">
        <f>IF(OR(INDEX($V$2:$V$1001,MATCH(ROWS($U$2:U289),$U$2:$U$1001,0),1)&gt;=100000,INDEX($AB$1005:$AQ$1005,1,MATCH(COLUMNS($AB$1006:AE1006),$AB$1006:$AQ$1006,0))&gt;=100000), " ",IF(INDEX($AB$2:$AQ$1001,MATCH(ROWS($U$2:U289),$U$2:$U$1001,0),MATCH(COLUMNS($AB$1006:AE1006),$AB$1006:$AQ$1006,0)), HYPERLINK("#",""), HYPERLINK(CONCATENATE("#Metadata!", ADDRESS(INDEX($W$2:$W$1001,MATCH(ROWS($U$2:U289),$U$2:$U$1001,0),0), INDEX($AB$1004:$AQ$1004,1,MATCH(COLUMNS($AB$1006:AE1006),$AB$1006:$AQ$1006,0)))),"Fix")))</f>
        <v>0</v>
      </c>
      <c r="F289" s="5">
        <f>IF(OR(INDEX($V$2:$V$1001,MATCH(ROWS($U$2:U289),$U$2:$U$1001,0),1)&gt;=100000,INDEX($AB$1005:$AQ$1005,1,MATCH(COLUMNS($AB$1006:AF1006),$AB$1006:$AQ$1006,0))&gt;=100000), " ",IF(INDEX($AB$2:$AQ$1001,MATCH(ROWS($U$2:U289),$U$2:$U$1001,0),MATCH(COLUMNS($AB$1006:AF1006),$AB$1006:$AQ$1006,0)), HYPERLINK("#",""), HYPERLINK(CONCATENATE("#Metadata!", ADDRESS(INDEX($W$2:$W$1001,MATCH(ROWS($U$2:U289),$U$2:$U$1001,0),0), INDEX($AB$1004:$AQ$1004,1,MATCH(COLUMNS($AB$1006:AF1006),$AB$1006:$AQ$1006,0)))),"Fix")))</f>
        <v>0</v>
      </c>
      <c r="G289" s="5">
        <f>IF(OR(INDEX($V$2:$V$1001,MATCH(ROWS($U$2:U289),$U$2:$U$1001,0),1)&gt;=100000,INDEX($AB$1005:$AQ$1005,1,MATCH(COLUMNS($AB$1006:AG1006),$AB$1006:$AQ$1006,0))&gt;=100000), " ",IF(INDEX($AB$2:$AQ$1001,MATCH(ROWS($U$2:U289),$U$2:$U$1001,0),MATCH(COLUMNS($AB$1006:AG1006),$AB$1006:$AQ$1006,0)), HYPERLINK("#",""), HYPERLINK(CONCATENATE("#Metadata!", ADDRESS(INDEX($W$2:$W$1001,MATCH(ROWS($U$2:U289),$U$2:$U$1001,0),0), INDEX($AB$1004:$AQ$1004,1,MATCH(COLUMNS($AB$1006:AG1006),$AB$1006:$AQ$1006,0)))),"Fix")))</f>
        <v>0</v>
      </c>
      <c r="H289" s="5">
        <f>IF(OR(INDEX($V$2:$V$1001,MATCH(ROWS($U$2:U289),$U$2:$U$1001,0),1)&gt;=100000,INDEX($AB$1005:$AQ$1005,1,MATCH(COLUMNS($AB$1006:AH1006),$AB$1006:$AQ$1006,0))&gt;=100000), " ",IF(INDEX($AB$2:$AQ$1001,MATCH(ROWS($U$2:U289),$U$2:$U$1001,0),MATCH(COLUMNS($AB$1006:AH1006),$AB$1006:$AQ$1006,0)), HYPERLINK("#",""), HYPERLINK(CONCATENATE("#Metadata!", ADDRESS(INDEX($W$2:$W$1001,MATCH(ROWS($U$2:U289),$U$2:$U$1001,0),0), INDEX($AB$1004:$AQ$1004,1,MATCH(COLUMNS($AB$1006:AH1006),$AB$1006:$AQ$1006,0)))),"Fix")))</f>
        <v>0</v>
      </c>
      <c r="I289" s="5">
        <f>IF(OR(INDEX($V$2:$V$1001,MATCH(ROWS($U$2:U289),$U$2:$U$1001,0),1)&gt;=100000,INDEX($AB$1005:$AQ$1005,1,MATCH(COLUMNS($AB$1006:AI1006),$AB$1006:$AQ$1006,0))&gt;=100000), " ",IF(INDEX($AB$2:$AQ$1001,MATCH(ROWS($U$2:U289),$U$2:$U$1001,0),MATCH(COLUMNS($AB$1006:AI1006),$AB$1006:$AQ$1006,0)), HYPERLINK("#",""), HYPERLINK(CONCATENATE("#Metadata!", ADDRESS(INDEX($W$2:$W$1001,MATCH(ROWS($U$2:U289),$U$2:$U$1001,0),0), INDEX($AB$1004:$AQ$1004,1,MATCH(COLUMNS($AB$1006:AI1006),$AB$1006:$AQ$1006,0)))),"Fix")))</f>
        <v>0</v>
      </c>
      <c r="J289" s="5">
        <f>IF(OR(INDEX($V$2:$V$1001,MATCH(ROWS($U$2:U289),$U$2:$U$1001,0),1)&gt;=100000,INDEX($AB$1005:$AQ$1005,1,MATCH(COLUMNS($AB$1006:AJ1006),$AB$1006:$AQ$1006,0))&gt;=100000), " ",IF(INDEX($AB$2:$AQ$1001,MATCH(ROWS($U$2:U289),$U$2:$U$1001,0),MATCH(COLUMNS($AB$1006:AJ1006),$AB$1006:$AQ$1006,0)), HYPERLINK("#",""), HYPERLINK(CONCATENATE("#Metadata!", ADDRESS(INDEX($W$2:$W$1001,MATCH(ROWS($U$2:U289),$U$2:$U$1001,0),0), INDEX($AB$1004:$AQ$1004,1,MATCH(COLUMNS($AB$1006:AJ1006),$AB$1006:$AQ$1006,0)))),"Fix")))</f>
        <v>0</v>
      </c>
      <c r="K289" s="5">
        <f>IF(OR(INDEX($V$2:$V$1001,MATCH(ROWS($U$2:U289),$U$2:$U$1001,0),1)&gt;=100000,INDEX($AB$1005:$AQ$1005,1,MATCH(COLUMNS($AB$1006:AK1006),$AB$1006:$AQ$1006,0))&gt;=100000), " ",IF(INDEX($AB$2:$AQ$1001,MATCH(ROWS($U$2:U289),$U$2:$U$1001,0),MATCH(COLUMNS($AB$1006:AK1006),$AB$1006:$AQ$1006,0)), HYPERLINK("#",""), HYPERLINK(CONCATENATE("#Metadata!", ADDRESS(INDEX($W$2:$W$1001,MATCH(ROWS($U$2:U289),$U$2:$U$1001,0),0), INDEX($AB$1004:$AQ$1004,1,MATCH(COLUMNS($AB$1006:AK1006),$AB$1006:$AQ$1006,0)))),"Fix")))</f>
        <v>0</v>
      </c>
      <c r="L289" s="5">
        <f>IF(OR(INDEX($V$2:$V$1001,MATCH(ROWS($U$2:U289),$U$2:$U$1001,0),1)&gt;=100000,INDEX($AB$1005:$AQ$1005,1,MATCH(COLUMNS($AB$1006:AL1006),$AB$1006:$AQ$1006,0))&gt;=100000), " ",IF(INDEX($AB$2:$AQ$1001,MATCH(ROWS($U$2:U289),$U$2:$U$1001,0),MATCH(COLUMNS($AB$1006:AL1006),$AB$1006:$AQ$1006,0)), HYPERLINK("#",""), HYPERLINK(CONCATENATE("#Metadata!", ADDRESS(INDEX($W$2:$W$1001,MATCH(ROWS($U$2:U289),$U$2:$U$1001,0),0), INDEX($AB$1004:$AQ$1004,1,MATCH(COLUMNS($AB$1006:AL1006),$AB$1006:$AQ$1006,0)))),"Fix")))</f>
        <v>0</v>
      </c>
      <c r="M289" s="5">
        <f>IF(OR(INDEX($V$2:$V$1001,MATCH(ROWS($U$2:U289),$U$2:$U$1001,0),1)&gt;=100000,INDEX($AB$1005:$AQ$1005,1,MATCH(COLUMNS($AB$1006:AM1006),$AB$1006:$AQ$1006,0))&gt;=100000), " ",IF(INDEX($AB$2:$AQ$1001,MATCH(ROWS($U$2:U289),$U$2:$U$1001,0),MATCH(COLUMNS($AB$1006:AM1006),$AB$1006:$AQ$1006,0)), HYPERLINK("#",""), HYPERLINK(CONCATENATE("#Metadata!", ADDRESS(INDEX($W$2:$W$1001,MATCH(ROWS($U$2:U289),$U$2:$U$1001,0),0), INDEX($AB$1004:$AQ$1004,1,MATCH(COLUMNS($AB$1006:AM1006),$AB$1006:$AQ$1006,0)))),"Fix")))</f>
        <v>0</v>
      </c>
      <c r="N289" s="5">
        <f>IF(OR(INDEX($V$2:$V$1001,MATCH(ROWS($U$2:U289),$U$2:$U$1001,0),1)&gt;=100000,INDEX($AB$1005:$AQ$1005,1,MATCH(COLUMNS($AB$1006:AN1006),$AB$1006:$AQ$1006,0))&gt;=100000), " ",IF(INDEX($AB$2:$AQ$1001,MATCH(ROWS($U$2:U289),$U$2:$U$1001,0),MATCH(COLUMNS($AB$1006:AN1006),$AB$1006:$AQ$1006,0)), HYPERLINK("#",""), HYPERLINK(CONCATENATE("#Metadata!", ADDRESS(INDEX($W$2:$W$1001,MATCH(ROWS($U$2:U289),$U$2:$U$1001,0),0), INDEX($AB$1004:$AQ$1004,1,MATCH(COLUMNS($AB$1006:AN1006),$AB$1006:$AQ$1006,0)))),"Fix")))</f>
        <v>0</v>
      </c>
      <c r="O289" s="5">
        <f>IF(OR(INDEX($V$2:$V$1001,MATCH(ROWS($U$2:U289),$U$2:$U$1001,0),1)&gt;=100000,INDEX($AB$1005:$AQ$1005,1,MATCH(COLUMNS($AB$1006:AO1006),$AB$1006:$AQ$1006,0))&gt;=100000), " ",IF(INDEX($AB$2:$AQ$1001,MATCH(ROWS($U$2:U289),$U$2:$U$1001,0),MATCH(COLUMNS($AB$1006:AO1006),$AB$1006:$AQ$1006,0)), HYPERLINK("#",""), HYPERLINK(CONCATENATE("#Metadata!", ADDRESS(INDEX($W$2:$W$1001,MATCH(ROWS($U$2:U289),$U$2:$U$1001,0),0), INDEX($AB$1004:$AQ$1004,1,MATCH(COLUMNS($AB$1006:AO1006),$AB$1006:$AQ$1006,0)))),"Fix")))</f>
        <v>0</v>
      </c>
      <c r="P289" s="5">
        <f>IF(OR(INDEX($V$2:$V$1001,MATCH(ROWS($U$2:U289),$U$2:$U$1001,0),1)&gt;=100000,INDEX($AB$1005:$AQ$1005,1,MATCH(COLUMNS($AB$1006:AP1006),$AB$1006:$AQ$1006,0))&gt;=100000), " ",IF(INDEX($AB$2:$AQ$1001,MATCH(ROWS($U$2:U289),$U$2:$U$1001,0),MATCH(COLUMNS($AB$1006:AP1006),$AB$1006:$AQ$1006,0)), HYPERLINK("#",""), HYPERLINK(CONCATENATE("#Metadata!", ADDRESS(INDEX($W$2:$W$1001,MATCH(ROWS($U$2:U289),$U$2:$U$1001,0),0), INDEX($AB$1004:$AQ$1004,1,MATCH(COLUMNS($AB$1006:AP1006),$AB$1006:$AQ$1006,0)))),"Fix")))</f>
        <v>0</v>
      </c>
      <c r="Q289" s="5">
        <f>IF(OR(INDEX($V$2:$V$1001,MATCH(ROWS($U$2:U289),$U$2:$U$1001,0),1)&gt;=100000,INDEX($AB$1005:$AQ$1005,1,MATCH(COLUMNS($AB$1006:AQ1006),$AB$1006:$AQ$1006,0))&gt;=100000), " ",IF(INDEX($AB$2:$AQ$1001,MATCH(ROWS($U$2:U289),$U$2:$U$1001,0),MATCH(COLUMNS($AB$1006:AQ1006),$AB$1006:$AQ$1006,0)), HYPERLINK("#",""), HYPERLINK(CONCATENATE("#Metadata!", ADDRESS(INDEX($W$2:$W$1001,MATCH(ROWS($U$2:U289),$U$2:$U$1001,0),0), INDEX($AB$1004:$AQ$1004,1,MATCH(COLUMNS($AB$1006:AQ1006),$AB$1006:$AQ$1006,0)))),"Fix")))</f>
        <v>0</v>
      </c>
      <c r="U289">
        <v>0</v>
      </c>
      <c r="V289">
        <v>0</v>
      </c>
      <c r="W289">
        <v>0</v>
      </c>
      <c r="X289">
        <f>IF(Y289,TRUE,AND(AB289:AQ289))</f>
        <v>0</v>
      </c>
      <c r="Y289">
        <f>COUNTBLANK(Metadata!B289:Q289)=COLUMNS(Metadata!B289:Q289)</f>
        <v>0</v>
      </c>
      <c r="Z289">
        <v>0</v>
      </c>
      <c r="AB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AC289">
        <f>AND(IF(Metadata!C289="",FALSE,TRUE),exact(Metadata!C289,"urban biome"))</f>
        <v>0</v>
      </c>
      <c r="AD289">
        <f>AND(IF(Metadata!D289="",FALSE,TRUE),exact(Metadata!D289,"human-associated habitat"))</f>
        <v>0</v>
      </c>
      <c r="AE289">
        <f>AND(IF(Metadata!E289="",FALSE,TRUE),OR(exact(Metadata!E289,"human-associated"),exact(Metadata!E289,"human-skin"),exact(Metadata!E289,"human-oral"),exact(Metadata!E289,"human-gut"),exact(Metadata!E289,"human-vaginal")))</f>
        <v>0</v>
      </c>
      <c r="AF289">
        <f>AND(IF(Metadata!F289="",FALSE,ISNUMBER(VALUE(Metadata!F289))),Metadata!F289&gt;0)</f>
        <v>0</v>
      </c>
      <c r="AG289">
        <f>AND(IF(Metadata!G289="",FALSE,TRUE),exact(Metadata!G289,"years"))</f>
        <v>0</v>
      </c>
      <c r="AH289">
        <f>OR(AND(IF(Metadata!H289="",FALSE,TRUE),OR(exact(Metadata!H289,"not applicable"),exact(Metadata!H289,"not collected"),exact(Metadata!H289,"not provided"),exact(Metadata!H289,"restricted access"))),AND(IF(Metadata!H289="",FALSE,ISNUMBER(VALUE(Metadata!H289))),Metadata!H289&gt;0))</f>
        <v>0</v>
      </c>
      <c r="AI289">
        <f>AND(IF(Metadata!I289="",FALSE,TRUE),exact(Metadata!I289,"human"))</f>
        <v>0</v>
      </c>
      <c r="AJ289">
        <f>AND(IF(Metadata!J289="",FALSE,ISNUMBER(VALUE(Metadata!J289))),Metadata!J289&gt;0)</f>
        <v>0</v>
      </c>
      <c r="AK289">
        <f>AND(IF(Metadata!K289="",FALSE,TRUE),exact(Metadata!K289,"cm"))</f>
        <v>0</v>
      </c>
      <c r="AL289">
        <f>AND(IF(Metadata!L289="",FALSE,TRUE),exact(Metadata!L289,"Homo sapiens"))</f>
        <v>0</v>
      </c>
      <c r="AM289">
        <f>AND(IF(Metadata!M289="",FALSE,TRUE),exact(Metadata!M289,"9606"))</f>
        <v>0</v>
      </c>
      <c r="AN289">
        <f>AND(IF(Metadata!N289="",FALSE,ISNUMBER(VALUE(Metadata!N289))),Metadata!N289&gt;0)</f>
        <v>0</v>
      </c>
      <c r="AO289">
        <f>AND(IF(Metadata!O289="",FALSE,TRUE),exact(Metadata!O289,"kg"))</f>
        <v>0</v>
      </c>
      <c r="AP289">
        <f>OR(AND(IF(Metadata!P289="",FALSE,TRUE),exact(Metadata!P289,"not provided")),IF(Metadata!P289="",FALSE,TRUE))</f>
        <v>0</v>
      </c>
      <c r="AQ289">
        <f>OR(AND(IF(Metadata!Q289="",FALSE,TRUE),exact(Metadata!Q289,"not provided")),IF(Metadata!Q289="",FALSE,TRUE))</f>
        <v>0</v>
      </c>
    </row>
    <row r="290" spans="1:43">
      <c r="A290" s="4">
        <f>IF(B290=" "," ",HYPERLINK(CONCATENATE("#metadata!",ADDRESS(INDEX($W$2:$W$1001,MATCH(ROWS($U$2:U290),$U$2:$U$1001,0),0),2)),INDEX($Z$2:$Z$1001,MATCH(ROWS($U$2:U290),$U$2:$U$1001,0),0)))</f>
        <v>0</v>
      </c>
      <c r="B290" s="5">
        <f>IF(OR(INDEX($V$2:$V$1001,MATCH(ROWS($U$2:U290),$U$2:$U$1001,0),1)&gt;=100000,INDEX($AB$1005:$AQ$1005,1,MATCH(COLUMNS($AB$1006:AB1006),$AB$1006:$AQ$1006,0))&gt;=100000), " ",IF(INDEX($AB$2:$AQ$1001,MATCH(ROWS($U$2:U290),$U$2:$U$1001,0),MATCH(COLUMNS($AB$1006:AB1006),$AB$1006:$AQ$1006,0)), HYPERLINK("#",""), HYPERLINK(CONCATENATE("#Metadata!", ADDRESS(INDEX($W$2:$W$1001,MATCH(ROWS($U$2:U290),$U$2:$U$1001,0),0), INDEX($AB$1004:$AQ$1004,1,MATCH(COLUMNS($AB$1006:AB1006),$AB$1006:$AQ$1006,0)))),"Fix")))</f>
        <v>0</v>
      </c>
      <c r="C290" s="5">
        <f>IF(OR(INDEX($V$2:$V$1001,MATCH(ROWS($U$2:U290),$U$2:$U$1001,0),1)&gt;=100000,INDEX($AB$1005:$AQ$1005,1,MATCH(COLUMNS($AB$1006:AC1006),$AB$1006:$AQ$1006,0))&gt;=100000), " ",IF(INDEX($AB$2:$AQ$1001,MATCH(ROWS($U$2:U290),$U$2:$U$1001,0),MATCH(COLUMNS($AB$1006:AC1006),$AB$1006:$AQ$1006,0)), HYPERLINK("#",""), HYPERLINK(CONCATENATE("#Metadata!", ADDRESS(INDEX($W$2:$W$1001,MATCH(ROWS($U$2:U290),$U$2:$U$1001,0),0), INDEX($AB$1004:$AQ$1004,1,MATCH(COLUMNS($AB$1006:AC1006),$AB$1006:$AQ$1006,0)))),"Fix")))</f>
        <v>0</v>
      </c>
      <c r="D290" s="5">
        <f>IF(OR(INDEX($V$2:$V$1001,MATCH(ROWS($U$2:U290),$U$2:$U$1001,0),1)&gt;=100000,INDEX($AB$1005:$AQ$1005,1,MATCH(COLUMNS($AB$1006:AD1006),$AB$1006:$AQ$1006,0))&gt;=100000), " ",IF(INDEX($AB$2:$AQ$1001,MATCH(ROWS($U$2:U290),$U$2:$U$1001,0),MATCH(COLUMNS($AB$1006:AD1006),$AB$1006:$AQ$1006,0)), HYPERLINK("#",""), HYPERLINK(CONCATENATE("#Metadata!", ADDRESS(INDEX($W$2:$W$1001,MATCH(ROWS($U$2:U290),$U$2:$U$1001,0),0), INDEX($AB$1004:$AQ$1004,1,MATCH(COLUMNS($AB$1006:AD1006),$AB$1006:$AQ$1006,0)))),"Fix")))</f>
        <v>0</v>
      </c>
      <c r="E290" s="5">
        <f>IF(OR(INDEX($V$2:$V$1001,MATCH(ROWS($U$2:U290),$U$2:$U$1001,0),1)&gt;=100000,INDEX($AB$1005:$AQ$1005,1,MATCH(COLUMNS($AB$1006:AE1006),$AB$1006:$AQ$1006,0))&gt;=100000), " ",IF(INDEX($AB$2:$AQ$1001,MATCH(ROWS($U$2:U290),$U$2:$U$1001,0),MATCH(COLUMNS($AB$1006:AE1006),$AB$1006:$AQ$1006,0)), HYPERLINK("#",""), HYPERLINK(CONCATENATE("#Metadata!", ADDRESS(INDEX($W$2:$W$1001,MATCH(ROWS($U$2:U290),$U$2:$U$1001,0),0), INDEX($AB$1004:$AQ$1004,1,MATCH(COLUMNS($AB$1006:AE1006),$AB$1006:$AQ$1006,0)))),"Fix")))</f>
        <v>0</v>
      </c>
      <c r="F290" s="5">
        <f>IF(OR(INDEX($V$2:$V$1001,MATCH(ROWS($U$2:U290),$U$2:$U$1001,0),1)&gt;=100000,INDEX($AB$1005:$AQ$1005,1,MATCH(COLUMNS($AB$1006:AF1006),$AB$1006:$AQ$1006,0))&gt;=100000), " ",IF(INDEX($AB$2:$AQ$1001,MATCH(ROWS($U$2:U290),$U$2:$U$1001,0),MATCH(COLUMNS($AB$1006:AF1006),$AB$1006:$AQ$1006,0)), HYPERLINK("#",""), HYPERLINK(CONCATENATE("#Metadata!", ADDRESS(INDEX($W$2:$W$1001,MATCH(ROWS($U$2:U290),$U$2:$U$1001,0),0), INDEX($AB$1004:$AQ$1004,1,MATCH(COLUMNS($AB$1006:AF1006),$AB$1006:$AQ$1006,0)))),"Fix")))</f>
        <v>0</v>
      </c>
      <c r="G290" s="5">
        <f>IF(OR(INDEX($V$2:$V$1001,MATCH(ROWS($U$2:U290),$U$2:$U$1001,0),1)&gt;=100000,INDEX($AB$1005:$AQ$1005,1,MATCH(COLUMNS($AB$1006:AG1006),$AB$1006:$AQ$1006,0))&gt;=100000), " ",IF(INDEX($AB$2:$AQ$1001,MATCH(ROWS($U$2:U290),$U$2:$U$1001,0),MATCH(COLUMNS($AB$1006:AG1006),$AB$1006:$AQ$1006,0)), HYPERLINK("#",""), HYPERLINK(CONCATENATE("#Metadata!", ADDRESS(INDEX($W$2:$W$1001,MATCH(ROWS($U$2:U290),$U$2:$U$1001,0),0), INDEX($AB$1004:$AQ$1004,1,MATCH(COLUMNS($AB$1006:AG1006),$AB$1006:$AQ$1006,0)))),"Fix")))</f>
        <v>0</v>
      </c>
      <c r="H290" s="5">
        <f>IF(OR(INDEX($V$2:$V$1001,MATCH(ROWS($U$2:U290),$U$2:$U$1001,0),1)&gt;=100000,INDEX($AB$1005:$AQ$1005,1,MATCH(COLUMNS($AB$1006:AH1006),$AB$1006:$AQ$1006,0))&gt;=100000), " ",IF(INDEX($AB$2:$AQ$1001,MATCH(ROWS($U$2:U290),$U$2:$U$1001,0),MATCH(COLUMNS($AB$1006:AH1006),$AB$1006:$AQ$1006,0)), HYPERLINK("#",""), HYPERLINK(CONCATENATE("#Metadata!", ADDRESS(INDEX($W$2:$W$1001,MATCH(ROWS($U$2:U290),$U$2:$U$1001,0),0), INDEX($AB$1004:$AQ$1004,1,MATCH(COLUMNS($AB$1006:AH1006),$AB$1006:$AQ$1006,0)))),"Fix")))</f>
        <v>0</v>
      </c>
      <c r="I290" s="5">
        <f>IF(OR(INDEX($V$2:$V$1001,MATCH(ROWS($U$2:U290),$U$2:$U$1001,0),1)&gt;=100000,INDEX($AB$1005:$AQ$1005,1,MATCH(COLUMNS($AB$1006:AI1006),$AB$1006:$AQ$1006,0))&gt;=100000), " ",IF(INDEX($AB$2:$AQ$1001,MATCH(ROWS($U$2:U290),$U$2:$U$1001,0),MATCH(COLUMNS($AB$1006:AI1006),$AB$1006:$AQ$1006,0)), HYPERLINK("#",""), HYPERLINK(CONCATENATE("#Metadata!", ADDRESS(INDEX($W$2:$W$1001,MATCH(ROWS($U$2:U290),$U$2:$U$1001,0),0), INDEX($AB$1004:$AQ$1004,1,MATCH(COLUMNS($AB$1006:AI1006),$AB$1006:$AQ$1006,0)))),"Fix")))</f>
        <v>0</v>
      </c>
      <c r="J290" s="5">
        <f>IF(OR(INDEX($V$2:$V$1001,MATCH(ROWS($U$2:U290),$U$2:$U$1001,0),1)&gt;=100000,INDEX($AB$1005:$AQ$1005,1,MATCH(COLUMNS($AB$1006:AJ1006),$AB$1006:$AQ$1006,0))&gt;=100000), " ",IF(INDEX($AB$2:$AQ$1001,MATCH(ROWS($U$2:U290),$U$2:$U$1001,0),MATCH(COLUMNS($AB$1006:AJ1006),$AB$1006:$AQ$1006,0)), HYPERLINK("#",""), HYPERLINK(CONCATENATE("#Metadata!", ADDRESS(INDEX($W$2:$W$1001,MATCH(ROWS($U$2:U290),$U$2:$U$1001,0),0), INDEX($AB$1004:$AQ$1004,1,MATCH(COLUMNS($AB$1006:AJ1006),$AB$1006:$AQ$1006,0)))),"Fix")))</f>
        <v>0</v>
      </c>
      <c r="K290" s="5">
        <f>IF(OR(INDEX($V$2:$V$1001,MATCH(ROWS($U$2:U290),$U$2:$U$1001,0),1)&gt;=100000,INDEX($AB$1005:$AQ$1005,1,MATCH(COLUMNS($AB$1006:AK1006),$AB$1006:$AQ$1006,0))&gt;=100000), " ",IF(INDEX($AB$2:$AQ$1001,MATCH(ROWS($U$2:U290),$U$2:$U$1001,0),MATCH(COLUMNS($AB$1006:AK1006),$AB$1006:$AQ$1006,0)), HYPERLINK("#",""), HYPERLINK(CONCATENATE("#Metadata!", ADDRESS(INDEX($W$2:$W$1001,MATCH(ROWS($U$2:U290),$U$2:$U$1001,0),0), INDEX($AB$1004:$AQ$1004,1,MATCH(COLUMNS($AB$1006:AK1006),$AB$1006:$AQ$1006,0)))),"Fix")))</f>
        <v>0</v>
      </c>
      <c r="L290" s="5">
        <f>IF(OR(INDEX($V$2:$V$1001,MATCH(ROWS($U$2:U290),$U$2:$U$1001,0),1)&gt;=100000,INDEX($AB$1005:$AQ$1005,1,MATCH(COLUMNS($AB$1006:AL1006),$AB$1006:$AQ$1006,0))&gt;=100000), " ",IF(INDEX($AB$2:$AQ$1001,MATCH(ROWS($U$2:U290),$U$2:$U$1001,0),MATCH(COLUMNS($AB$1006:AL1006),$AB$1006:$AQ$1006,0)), HYPERLINK("#",""), HYPERLINK(CONCATENATE("#Metadata!", ADDRESS(INDEX($W$2:$W$1001,MATCH(ROWS($U$2:U290),$U$2:$U$1001,0),0), INDEX($AB$1004:$AQ$1004,1,MATCH(COLUMNS($AB$1006:AL1006),$AB$1006:$AQ$1006,0)))),"Fix")))</f>
        <v>0</v>
      </c>
      <c r="M290" s="5">
        <f>IF(OR(INDEX($V$2:$V$1001,MATCH(ROWS($U$2:U290),$U$2:$U$1001,0),1)&gt;=100000,INDEX($AB$1005:$AQ$1005,1,MATCH(COLUMNS($AB$1006:AM1006),$AB$1006:$AQ$1006,0))&gt;=100000), " ",IF(INDEX($AB$2:$AQ$1001,MATCH(ROWS($U$2:U290),$U$2:$U$1001,0),MATCH(COLUMNS($AB$1006:AM1006),$AB$1006:$AQ$1006,0)), HYPERLINK("#",""), HYPERLINK(CONCATENATE("#Metadata!", ADDRESS(INDEX($W$2:$W$1001,MATCH(ROWS($U$2:U290),$U$2:$U$1001,0),0), INDEX($AB$1004:$AQ$1004,1,MATCH(COLUMNS($AB$1006:AM1006),$AB$1006:$AQ$1006,0)))),"Fix")))</f>
        <v>0</v>
      </c>
      <c r="N290" s="5">
        <f>IF(OR(INDEX($V$2:$V$1001,MATCH(ROWS($U$2:U290),$U$2:$U$1001,0),1)&gt;=100000,INDEX($AB$1005:$AQ$1005,1,MATCH(COLUMNS($AB$1006:AN1006),$AB$1006:$AQ$1006,0))&gt;=100000), " ",IF(INDEX($AB$2:$AQ$1001,MATCH(ROWS($U$2:U290),$U$2:$U$1001,0),MATCH(COLUMNS($AB$1006:AN1006),$AB$1006:$AQ$1006,0)), HYPERLINK("#",""), HYPERLINK(CONCATENATE("#Metadata!", ADDRESS(INDEX($W$2:$W$1001,MATCH(ROWS($U$2:U290),$U$2:$U$1001,0),0), INDEX($AB$1004:$AQ$1004,1,MATCH(COLUMNS($AB$1006:AN1006),$AB$1006:$AQ$1006,0)))),"Fix")))</f>
        <v>0</v>
      </c>
      <c r="O290" s="5">
        <f>IF(OR(INDEX($V$2:$V$1001,MATCH(ROWS($U$2:U290),$U$2:$U$1001,0),1)&gt;=100000,INDEX($AB$1005:$AQ$1005,1,MATCH(COLUMNS($AB$1006:AO1006),$AB$1006:$AQ$1006,0))&gt;=100000), " ",IF(INDEX($AB$2:$AQ$1001,MATCH(ROWS($U$2:U290),$U$2:$U$1001,0),MATCH(COLUMNS($AB$1006:AO1006),$AB$1006:$AQ$1006,0)), HYPERLINK("#",""), HYPERLINK(CONCATENATE("#Metadata!", ADDRESS(INDEX($W$2:$W$1001,MATCH(ROWS($U$2:U290),$U$2:$U$1001,0),0), INDEX($AB$1004:$AQ$1004,1,MATCH(COLUMNS($AB$1006:AO1006),$AB$1006:$AQ$1006,0)))),"Fix")))</f>
        <v>0</v>
      </c>
      <c r="P290" s="5">
        <f>IF(OR(INDEX($V$2:$V$1001,MATCH(ROWS($U$2:U290),$U$2:$U$1001,0),1)&gt;=100000,INDEX($AB$1005:$AQ$1005,1,MATCH(COLUMNS($AB$1006:AP1006),$AB$1006:$AQ$1006,0))&gt;=100000), " ",IF(INDEX($AB$2:$AQ$1001,MATCH(ROWS($U$2:U290),$U$2:$U$1001,0),MATCH(COLUMNS($AB$1006:AP1006),$AB$1006:$AQ$1006,0)), HYPERLINK("#",""), HYPERLINK(CONCATENATE("#Metadata!", ADDRESS(INDEX($W$2:$W$1001,MATCH(ROWS($U$2:U290),$U$2:$U$1001,0),0), INDEX($AB$1004:$AQ$1004,1,MATCH(COLUMNS($AB$1006:AP1006),$AB$1006:$AQ$1006,0)))),"Fix")))</f>
        <v>0</v>
      </c>
      <c r="Q290" s="5">
        <f>IF(OR(INDEX($V$2:$V$1001,MATCH(ROWS($U$2:U290),$U$2:$U$1001,0),1)&gt;=100000,INDEX($AB$1005:$AQ$1005,1,MATCH(COLUMNS($AB$1006:AQ1006),$AB$1006:$AQ$1006,0))&gt;=100000), " ",IF(INDEX($AB$2:$AQ$1001,MATCH(ROWS($U$2:U290),$U$2:$U$1001,0),MATCH(COLUMNS($AB$1006:AQ1006),$AB$1006:$AQ$1006,0)), HYPERLINK("#",""), HYPERLINK(CONCATENATE("#Metadata!", ADDRESS(INDEX($W$2:$W$1001,MATCH(ROWS($U$2:U290),$U$2:$U$1001,0),0), INDEX($AB$1004:$AQ$1004,1,MATCH(COLUMNS($AB$1006:AQ1006),$AB$1006:$AQ$1006,0)))),"Fix")))</f>
        <v>0</v>
      </c>
      <c r="U290">
        <v>0</v>
      </c>
      <c r="V290">
        <v>0</v>
      </c>
      <c r="W290">
        <v>0</v>
      </c>
      <c r="X290">
        <f>IF(Y290,TRUE,AND(AB290:AQ290))</f>
        <v>0</v>
      </c>
      <c r="Y290">
        <f>COUNTBLANK(Metadata!B290:Q290)=COLUMNS(Metadata!B290:Q290)</f>
        <v>0</v>
      </c>
      <c r="Z290">
        <v>0</v>
      </c>
      <c r="AB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AC290">
        <f>AND(IF(Metadata!C290="",FALSE,TRUE),exact(Metadata!C290,"urban biome"))</f>
        <v>0</v>
      </c>
      <c r="AD290">
        <f>AND(IF(Metadata!D290="",FALSE,TRUE),exact(Metadata!D290,"human-associated habitat"))</f>
        <v>0</v>
      </c>
      <c r="AE290">
        <f>AND(IF(Metadata!E290="",FALSE,TRUE),OR(exact(Metadata!E290,"human-associated"),exact(Metadata!E290,"human-skin"),exact(Metadata!E290,"human-oral"),exact(Metadata!E290,"human-gut"),exact(Metadata!E290,"human-vaginal")))</f>
        <v>0</v>
      </c>
      <c r="AF290">
        <f>AND(IF(Metadata!F290="",FALSE,ISNUMBER(VALUE(Metadata!F290))),Metadata!F290&gt;0)</f>
        <v>0</v>
      </c>
      <c r="AG290">
        <f>AND(IF(Metadata!G290="",FALSE,TRUE),exact(Metadata!G290,"years"))</f>
        <v>0</v>
      </c>
      <c r="AH290">
        <f>OR(AND(IF(Metadata!H290="",FALSE,TRUE),OR(exact(Metadata!H290,"not applicable"),exact(Metadata!H290,"not collected"),exact(Metadata!H290,"not provided"),exact(Metadata!H290,"restricted access"))),AND(IF(Metadata!H290="",FALSE,ISNUMBER(VALUE(Metadata!H290))),Metadata!H290&gt;0))</f>
        <v>0</v>
      </c>
      <c r="AI290">
        <f>AND(IF(Metadata!I290="",FALSE,TRUE),exact(Metadata!I290,"human"))</f>
        <v>0</v>
      </c>
      <c r="AJ290">
        <f>AND(IF(Metadata!J290="",FALSE,ISNUMBER(VALUE(Metadata!J290))),Metadata!J290&gt;0)</f>
        <v>0</v>
      </c>
      <c r="AK290">
        <f>AND(IF(Metadata!K290="",FALSE,TRUE),exact(Metadata!K290,"cm"))</f>
        <v>0</v>
      </c>
      <c r="AL290">
        <f>AND(IF(Metadata!L290="",FALSE,TRUE),exact(Metadata!L290,"Homo sapiens"))</f>
        <v>0</v>
      </c>
      <c r="AM290">
        <f>AND(IF(Metadata!M290="",FALSE,TRUE),exact(Metadata!M290,"9606"))</f>
        <v>0</v>
      </c>
      <c r="AN290">
        <f>AND(IF(Metadata!N290="",FALSE,ISNUMBER(VALUE(Metadata!N290))),Metadata!N290&gt;0)</f>
        <v>0</v>
      </c>
      <c r="AO290">
        <f>AND(IF(Metadata!O290="",FALSE,TRUE),exact(Metadata!O290,"kg"))</f>
        <v>0</v>
      </c>
      <c r="AP290">
        <f>OR(AND(IF(Metadata!P290="",FALSE,TRUE),exact(Metadata!P290,"not provided")),IF(Metadata!P290="",FALSE,TRUE))</f>
        <v>0</v>
      </c>
      <c r="AQ290">
        <f>OR(AND(IF(Metadata!Q290="",FALSE,TRUE),exact(Metadata!Q290,"not provided")),IF(Metadata!Q290="",FALSE,TRUE))</f>
        <v>0</v>
      </c>
    </row>
    <row r="291" spans="1:43">
      <c r="A291" s="4">
        <f>IF(B291=" "," ",HYPERLINK(CONCATENATE("#metadata!",ADDRESS(INDEX($W$2:$W$1001,MATCH(ROWS($U$2:U291),$U$2:$U$1001,0),0),2)),INDEX($Z$2:$Z$1001,MATCH(ROWS($U$2:U291),$U$2:$U$1001,0),0)))</f>
        <v>0</v>
      </c>
      <c r="B291" s="5">
        <f>IF(OR(INDEX($V$2:$V$1001,MATCH(ROWS($U$2:U291),$U$2:$U$1001,0),1)&gt;=100000,INDEX($AB$1005:$AQ$1005,1,MATCH(COLUMNS($AB$1006:AB1006),$AB$1006:$AQ$1006,0))&gt;=100000), " ",IF(INDEX($AB$2:$AQ$1001,MATCH(ROWS($U$2:U291),$U$2:$U$1001,0),MATCH(COLUMNS($AB$1006:AB1006),$AB$1006:$AQ$1006,0)), HYPERLINK("#",""), HYPERLINK(CONCATENATE("#Metadata!", ADDRESS(INDEX($W$2:$W$1001,MATCH(ROWS($U$2:U291),$U$2:$U$1001,0),0), INDEX($AB$1004:$AQ$1004,1,MATCH(COLUMNS($AB$1006:AB1006),$AB$1006:$AQ$1006,0)))),"Fix")))</f>
        <v>0</v>
      </c>
      <c r="C291" s="5">
        <f>IF(OR(INDEX($V$2:$V$1001,MATCH(ROWS($U$2:U291),$U$2:$U$1001,0),1)&gt;=100000,INDEX($AB$1005:$AQ$1005,1,MATCH(COLUMNS($AB$1006:AC1006),$AB$1006:$AQ$1006,0))&gt;=100000), " ",IF(INDEX($AB$2:$AQ$1001,MATCH(ROWS($U$2:U291),$U$2:$U$1001,0),MATCH(COLUMNS($AB$1006:AC1006),$AB$1006:$AQ$1006,0)), HYPERLINK("#",""), HYPERLINK(CONCATENATE("#Metadata!", ADDRESS(INDEX($W$2:$W$1001,MATCH(ROWS($U$2:U291),$U$2:$U$1001,0),0), INDEX($AB$1004:$AQ$1004,1,MATCH(COLUMNS($AB$1006:AC1006),$AB$1006:$AQ$1006,0)))),"Fix")))</f>
        <v>0</v>
      </c>
      <c r="D291" s="5">
        <f>IF(OR(INDEX($V$2:$V$1001,MATCH(ROWS($U$2:U291),$U$2:$U$1001,0),1)&gt;=100000,INDEX($AB$1005:$AQ$1005,1,MATCH(COLUMNS($AB$1006:AD1006),$AB$1006:$AQ$1006,0))&gt;=100000), " ",IF(INDEX($AB$2:$AQ$1001,MATCH(ROWS($U$2:U291),$U$2:$U$1001,0),MATCH(COLUMNS($AB$1006:AD1006),$AB$1006:$AQ$1006,0)), HYPERLINK("#",""), HYPERLINK(CONCATENATE("#Metadata!", ADDRESS(INDEX($W$2:$W$1001,MATCH(ROWS($U$2:U291),$U$2:$U$1001,0),0), INDEX($AB$1004:$AQ$1004,1,MATCH(COLUMNS($AB$1006:AD1006),$AB$1006:$AQ$1006,0)))),"Fix")))</f>
        <v>0</v>
      </c>
      <c r="E291" s="5">
        <f>IF(OR(INDEX($V$2:$V$1001,MATCH(ROWS($U$2:U291),$U$2:$U$1001,0),1)&gt;=100000,INDEX($AB$1005:$AQ$1005,1,MATCH(COLUMNS($AB$1006:AE1006),$AB$1006:$AQ$1006,0))&gt;=100000), " ",IF(INDEX($AB$2:$AQ$1001,MATCH(ROWS($U$2:U291),$U$2:$U$1001,0),MATCH(COLUMNS($AB$1006:AE1006),$AB$1006:$AQ$1006,0)), HYPERLINK("#",""), HYPERLINK(CONCATENATE("#Metadata!", ADDRESS(INDEX($W$2:$W$1001,MATCH(ROWS($U$2:U291),$U$2:$U$1001,0),0), INDEX($AB$1004:$AQ$1004,1,MATCH(COLUMNS($AB$1006:AE1006),$AB$1006:$AQ$1006,0)))),"Fix")))</f>
        <v>0</v>
      </c>
      <c r="F291" s="5">
        <f>IF(OR(INDEX($V$2:$V$1001,MATCH(ROWS($U$2:U291),$U$2:$U$1001,0),1)&gt;=100000,INDEX($AB$1005:$AQ$1005,1,MATCH(COLUMNS($AB$1006:AF1006),$AB$1006:$AQ$1006,0))&gt;=100000), " ",IF(INDEX($AB$2:$AQ$1001,MATCH(ROWS($U$2:U291),$U$2:$U$1001,0),MATCH(COLUMNS($AB$1006:AF1006),$AB$1006:$AQ$1006,0)), HYPERLINK("#",""), HYPERLINK(CONCATENATE("#Metadata!", ADDRESS(INDEX($W$2:$W$1001,MATCH(ROWS($U$2:U291),$U$2:$U$1001,0),0), INDEX($AB$1004:$AQ$1004,1,MATCH(COLUMNS($AB$1006:AF1006),$AB$1006:$AQ$1006,0)))),"Fix")))</f>
        <v>0</v>
      </c>
      <c r="G291" s="5">
        <f>IF(OR(INDEX($V$2:$V$1001,MATCH(ROWS($U$2:U291),$U$2:$U$1001,0),1)&gt;=100000,INDEX($AB$1005:$AQ$1005,1,MATCH(COLUMNS($AB$1006:AG1006),$AB$1006:$AQ$1006,0))&gt;=100000), " ",IF(INDEX($AB$2:$AQ$1001,MATCH(ROWS($U$2:U291),$U$2:$U$1001,0),MATCH(COLUMNS($AB$1006:AG1006),$AB$1006:$AQ$1006,0)), HYPERLINK("#",""), HYPERLINK(CONCATENATE("#Metadata!", ADDRESS(INDEX($W$2:$W$1001,MATCH(ROWS($U$2:U291),$U$2:$U$1001,0),0), INDEX($AB$1004:$AQ$1004,1,MATCH(COLUMNS($AB$1006:AG1006),$AB$1006:$AQ$1006,0)))),"Fix")))</f>
        <v>0</v>
      </c>
      <c r="H291" s="5">
        <f>IF(OR(INDEX($V$2:$V$1001,MATCH(ROWS($U$2:U291),$U$2:$U$1001,0),1)&gt;=100000,INDEX($AB$1005:$AQ$1005,1,MATCH(COLUMNS($AB$1006:AH1006),$AB$1006:$AQ$1006,0))&gt;=100000), " ",IF(INDEX($AB$2:$AQ$1001,MATCH(ROWS($U$2:U291),$U$2:$U$1001,0),MATCH(COLUMNS($AB$1006:AH1006),$AB$1006:$AQ$1006,0)), HYPERLINK("#",""), HYPERLINK(CONCATENATE("#Metadata!", ADDRESS(INDEX($W$2:$W$1001,MATCH(ROWS($U$2:U291),$U$2:$U$1001,0),0), INDEX($AB$1004:$AQ$1004,1,MATCH(COLUMNS($AB$1006:AH1006),$AB$1006:$AQ$1006,0)))),"Fix")))</f>
        <v>0</v>
      </c>
      <c r="I291" s="5">
        <f>IF(OR(INDEX($V$2:$V$1001,MATCH(ROWS($U$2:U291),$U$2:$U$1001,0),1)&gt;=100000,INDEX($AB$1005:$AQ$1005,1,MATCH(COLUMNS($AB$1006:AI1006),$AB$1006:$AQ$1006,0))&gt;=100000), " ",IF(INDEX($AB$2:$AQ$1001,MATCH(ROWS($U$2:U291),$U$2:$U$1001,0),MATCH(COLUMNS($AB$1006:AI1006),$AB$1006:$AQ$1006,0)), HYPERLINK("#",""), HYPERLINK(CONCATENATE("#Metadata!", ADDRESS(INDEX($W$2:$W$1001,MATCH(ROWS($U$2:U291),$U$2:$U$1001,0),0), INDEX($AB$1004:$AQ$1004,1,MATCH(COLUMNS($AB$1006:AI1006),$AB$1006:$AQ$1006,0)))),"Fix")))</f>
        <v>0</v>
      </c>
      <c r="J291" s="5">
        <f>IF(OR(INDEX($V$2:$V$1001,MATCH(ROWS($U$2:U291),$U$2:$U$1001,0),1)&gt;=100000,INDEX($AB$1005:$AQ$1005,1,MATCH(COLUMNS($AB$1006:AJ1006),$AB$1006:$AQ$1006,0))&gt;=100000), " ",IF(INDEX($AB$2:$AQ$1001,MATCH(ROWS($U$2:U291),$U$2:$U$1001,0),MATCH(COLUMNS($AB$1006:AJ1006),$AB$1006:$AQ$1006,0)), HYPERLINK("#",""), HYPERLINK(CONCATENATE("#Metadata!", ADDRESS(INDEX($W$2:$W$1001,MATCH(ROWS($U$2:U291),$U$2:$U$1001,0),0), INDEX($AB$1004:$AQ$1004,1,MATCH(COLUMNS($AB$1006:AJ1006),$AB$1006:$AQ$1006,0)))),"Fix")))</f>
        <v>0</v>
      </c>
      <c r="K291" s="5">
        <f>IF(OR(INDEX($V$2:$V$1001,MATCH(ROWS($U$2:U291),$U$2:$U$1001,0),1)&gt;=100000,INDEX($AB$1005:$AQ$1005,1,MATCH(COLUMNS($AB$1006:AK1006),$AB$1006:$AQ$1006,0))&gt;=100000), " ",IF(INDEX($AB$2:$AQ$1001,MATCH(ROWS($U$2:U291),$U$2:$U$1001,0),MATCH(COLUMNS($AB$1006:AK1006),$AB$1006:$AQ$1006,0)), HYPERLINK("#",""), HYPERLINK(CONCATENATE("#Metadata!", ADDRESS(INDEX($W$2:$W$1001,MATCH(ROWS($U$2:U291),$U$2:$U$1001,0),0), INDEX($AB$1004:$AQ$1004,1,MATCH(COLUMNS($AB$1006:AK1006),$AB$1006:$AQ$1006,0)))),"Fix")))</f>
        <v>0</v>
      </c>
      <c r="L291" s="5">
        <f>IF(OR(INDEX($V$2:$V$1001,MATCH(ROWS($U$2:U291),$U$2:$U$1001,0),1)&gt;=100000,INDEX($AB$1005:$AQ$1005,1,MATCH(COLUMNS($AB$1006:AL1006),$AB$1006:$AQ$1006,0))&gt;=100000), " ",IF(INDEX($AB$2:$AQ$1001,MATCH(ROWS($U$2:U291),$U$2:$U$1001,0),MATCH(COLUMNS($AB$1006:AL1006),$AB$1006:$AQ$1006,0)), HYPERLINK("#",""), HYPERLINK(CONCATENATE("#Metadata!", ADDRESS(INDEX($W$2:$W$1001,MATCH(ROWS($U$2:U291),$U$2:$U$1001,0),0), INDEX($AB$1004:$AQ$1004,1,MATCH(COLUMNS($AB$1006:AL1006),$AB$1006:$AQ$1006,0)))),"Fix")))</f>
        <v>0</v>
      </c>
      <c r="M291" s="5">
        <f>IF(OR(INDEX($V$2:$V$1001,MATCH(ROWS($U$2:U291),$U$2:$U$1001,0),1)&gt;=100000,INDEX($AB$1005:$AQ$1005,1,MATCH(COLUMNS($AB$1006:AM1006),$AB$1006:$AQ$1006,0))&gt;=100000), " ",IF(INDEX($AB$2:$AQ$1001,MATCH(ROWS($U$2:U291),$U$2:$U$1001,0),MATCH(COLUMNS($AB$1006:AM1006),$AB$1006:$AQ$1006,0)), HYPERLINK("#",""), HYPERLINK(CONCATENATE("#Metadata!", ADDRESS(INDEX($W$2:$W$1001,MATCH(ROWS($U$2:U291),$U$2:$U$1001,0),0), INDEX($AB$1004:$AQ$1004,1,MATCH(COLUMNS($AB$1006:AM1006),$AB$1006:$AQ$1006,0)))),"Fix")))</f>
        <v>0</v>
      </c>
      <c r="N291" s="5">
        <f>IF(OR(INDEX($V$2:$V$1001,MATCH(ROWS($U$2:U291),$U$2:$U$1001,0),1)&gt;=100000,INDEX($AB$1005:$AQ$1005,1,MATCH(COLUMNS($AB$1006:AN1006),$AB$1006:$AQ$1006,0))&gt;=100000), " ",IF(INDEX($AB$2:$AQ$1001,MATCH(ROWS($U$2:U291),$U$2:$U$1001,0),MATCH(COLUMNS($AB$1006:AN1006),$AB$1006:$AQ$1006,0)), HYPERLINK("#",""), HYPERLINK(CONCATENATE("#Metadata!", ADDRESS(INDEX($W$2:$W$1001,MATCH(ROWS($U$2:U291),$U$2:$U$1001,0),0), INDEX($AB$1004:$AQ$1004,1,MATCH(COLUMNS($AB$1006:AN1006),$AB$1006:$AQ$1006,0)))),"Fix")))</f>
        <v>0</v>
      </c>
      <c r="O291" s="5">
        <f>IF(OR(INDEX($V$2:$V$1001,MATCH(ROWS($U$2:U291),$U$2:$U$1001,0),1)&gt;=100000,INDEX($AB$1005:$AQ$1005,1,MATCH(COLUMNS($AB$1006:AO1006),$AB$1006:$AQ$1006,0))&gt;=100000), " ",IF(INDEX($AB$2:$AQ$1001,MATCH(ROWS($U$2:U291),$U$2:$U$1001,0),MATCH(COLUMNS($AB$1006:AO1006),$AB$1006:$AQ$1006,0)), HYPERLINK("#",""), HYPERLINK(CONCATENATE("#Metadata!", ADDRESS(INDEX($W$2:$W$1001,MATCH(ROWS($U$2:U291),$U$2:$U$1001,0),0), INDEX($AB$1004:$AQ$1004,1,MATCH(COLUMNS($AB$1006:AO1006),$AB$1006:$AQ$1006,0)))),"Fix")))</f>
        <v>0</v>
      </c>
      <c r="P291" s="5">
        <f>IF(OR(INDEX($V$2:$V$1001,MATCH(ROWS($U$2:U291),$U$2:$U$1001,0),1)&gt;=100000,INDEX($AB$1005:$AQ$1005,1,MATCH(COLUMNS($AB$1006:AP1006),$AB$1006:$AQ$1006,0))&gt;=100000), " ",IF(INDEX($AB$2:$AQ$1001,MATCH(ROWS($U$2:U291),$U$2:$U$1001,0),MATCH(COLUMNS($AB$1006:AP1006),$AB$1006:$AQ$1006,0)), HYPERLINK("#",""), HYPERLINK(CONCATENATE("#Metadata!", ADDRESS(INDEX($W$2:$W$1001,MATCH(ROWS($U$2:U291),$U$2:$U$1001,0),0), INDEX($AB$1004:$AQ$1004,1,MATCH(COLUMNS($AB$1006:AP1006),$AB$1006:$AQ$1006,0)))),"Fix")))</f>
        <v>0</v>
      </c>
      <c r="Q291" s="5">
        <f>IF(OR(INDEX($V$2:$V$1001,MATCH(ROWS($U$2:U291),$U$2:$U$1001,0),1)&gt;=100000,INDEX($AB$1005:$AQ$1005,1,MATCH(COLUMNS($AB$1006:AQ1006),$AB$1006:$AQ$1006,0))&gt;=100000), " ",IF(INDEX($AB$2:$AQ$1001,MATCH(ROWS($U$2:U291),$U$2:$U$1001,0),MATCH(COLUMNS($AB$1006:AQ1006),$AB$1006:$AQ$1006,0)), HYPERLINK("#",""), HYPERLINK(CONCATENATE("#Metadata!", ADDRESS(INDEX($W$2:$W$1001,MATCH(ROWS($U$2:U291),$U$2:$U$1001,0),0), INDEX($AB$1004:$AQ$1004,1,MATCH(COLUMNS($AB$1006:AQ1006),$AB$1006:$AQ$1006,0)))),"Fix")))</f>
        <v>0</v>
      </c>
      <c r="U291">
        <v>0</v>
      </c>
      <c r="V291">
        <v>0</v>
      </c>
      <c r="W291">
        <v>0</v>
      </c>
      <c r="X291">
        <f>IF(Y291,TRUE,AND(AB291:AQ291))</f>
        <v>0</v>
      </c>
      <c r="Y291">
        <f>COUNTBLANK(Metadata!B291:Q291)=COLUMNS(Metadata!B291:Q291)</f>
        <v>0</v>
      </c>
      <c r="Z291">
        <v>0</v>
      </c>
      <c r="AB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AC291">
        <f>AND(IF(Metadata!C291="",FALSE,TRUE),exact(Metadata!C291,"urban biome"))</f>
        <v>0</v>
      </c>
      <c r="AD291">
        <f>AND(IF(Metadata!D291="",FALSE,TRUE),exact(Metadata!D291,"human-associated habitat"))</f>
        <v>0</v>
      </c>
      <c r="AE291">
        <f>AND(IF(Metadata!E291="",FALSE,TRUE),OR(exact(Metadata!E291,"human-associated"),exact(Metadata!E291,"human-skin"),exact(Metadata!E291,"human-oral"),exact(Metadata!E291,"human-gut"),exact(Metadata!E291,"human-vaginal")))</f>
        <v>0</v>
      </c>
      <c r="AF291">
        <f>AND(IF(Metadata!F291="",FALSE,ISNUMBER(VALUE(Metadata!F291))),Metadata!F291&gt;0)</f>
        <v>0</v>
      </c>
      <c r="AG291">
        <f>AND(IF(Metadata!G291="",FALSE,TRUE),exact(Metadata!G291,"years"))</f>
        <v>0</v>
      </c>
      <c r="AH291">
        <f>OR(AND(IF(Metadata!H291="",FALSE,TRUE),OR(exact(Metadata!H291,"not applicable"),exact(Metadata!H291,"not collected"),exact(Metadata!H291,"not provided"),exact(Metadata!H291,"restricted access"))),AND(IF(Metadata!H291="",FALSE,ISNUMBER(VALUE(Metadata!H291))),Metadata!H291&gt;0))</f>
        <v>0</v>
      </c>
      <c r="AI291">
        <f>AND(IF(Metadata!I291="",FALSE,TRUE),exact(Metadata!I291,"human"))</f>
        <v>0</v>
      </c>
      <c r="AJ291">
        <f>AND(IF(Metadata!J291="",FALSE,ISNUMBER(VALUE(Metadata!J291))),Metadata!J291&gt;0)</f>
        <v>0</v>
      </c>
      <c r="AK291">
        <f>AND(IF(Metadata!K291="",FALSE,TRUE),exact(Metadata!K291,"cm"))</f>
        <v>0</v>
      </c>
      <c r="AL291">
        <f>AND(IF(Metadata!L291="",FALSE,TRUE),exact(Metadata!L291,"Homo sapiens"))</f>
        <v>0</v>
      </c>
      <c r="AM291">
        <f>AND(IF(Metadata!M291="",FALSE,TRUE),exact(Metadata!M291,"9606"))</f>
        <v>0</v>
      </c>
      <c r="AN291">
        <f>AND(IF(Metadata!N291="",FALSE,ISNUMBER(VALUE(Metadata!N291))),Metadata!N291&gt;0)</f>
        <v>0</v>
      </c>
      <c r="AO291">
        <f>AND(IF(Metadata!O291="",FALSE,TRUE),exact(Metadata!O291,"kg"))</f>
        <v>0</v>
      </c>
      <c r="AP291">
        <f>OR(AND(IF(Metadata!P291="",FALSE,TRUE),exact(Metadata!P291,"not provided")),IF(Metadata!P291="",FALSE,TRUE))</f>
        <v>0</v>
      </c>
      <c r="AQ291">
        <f>OR(AND(IF(Metadata!Q291="",FALSE,TRUE),exact(Metadata!Q291,"not provided")),IF(Metadata!Q291="",FALSE,TRUE))</f>
        <v>0</v>
      </c>
    </row>
    <row r="292" spans="1:43">
      <c r="A292" s="4">
        <f>IF(B292=" "," ",HYPERLINK(CONCATENATE("#metadata!",ADDRESS(INDEX($W$2:$W$1001,MATCH(ROWS($U$2:U292),$U$2:$U$1001,0),0),2)),INDEX($Z$2:$Z$1001,MATCH(ROWS($U$2:U292),$U$2:$U$1001,0),0)))</f>
        <v>0</v>
      </c>
      <c r="B292" s="5">
        <f>IF(OR(INDEX($V$2:$V$1001,MATCH(ROWS($U$2:U292),$U$2:$U$1001,0),1)&gt;=100000,INDEX($AB$1005:$AQ$1005,1,MATCH(COLUMNS($AB$1006:AB1006),$AB$1006:$AQ$1006,0))&gt;=100000), " ",IF(INDEX($AB$2:$AQ$1001,MATCH(ROWS($U$2:U292),$U$2:$U$1001,0),MATCH(COLUMNS($AB$1006:AB1006),$AB$1006:$AQ$1006,0)), HYPERLINK("#",""), HYPERLINK(CONCATENATE("#Metadata!", ADDRESS(INDEX($W$2:$W$1001,MATCH(ROWS($U$2:U292),$U$2:$U$1001,0),0), INDEX($AB$1004:$AQ$1004,1,MATCH(COLUMNS($AB$1006:AB1006),$AB$1006:$AQ$1006,0)))),"Fix")))</f>
        <v>0</v>
      </c>
      <c r="C292" s="5">
        <f>IF(OR(INDEX($V$2:$V$1001,MATCH(ROWS($U$2:U292),$U$2:$U$1001,0),1)&gt;=100000,INDEX($AB$1005:$AQ$1005,1,MATCH(COLUMNS($AB$1006:AC1006),$AB$1006:$AQ$1006,0))&gt;=100000), " ",IF(INDEX($AB$2:$AQ$1001,MATCH(ROWS($U$2:U292),$U$2:$U$1001,0),MATCH(COLUMNS($AB$1006:AC1006),$AB$1006:$AQ$1006,0)), HYPERLINK("#",""), HYPERLINK(CONCATENATE("#Metadata!", ADDRESS(INDEX($W$2:$W$1001,MATCH(ROWS($U$2:U292),$U$2:$U$1001,0),0), INDEX($AB$1004:$AQ$1004,1,MATCH(COLUMNS($AB$1006:AC1006),$AB$1006:$AQ$1006,0)))),"Fix")))</f>
        <v>0</v>
      </c>
      <c r="D292" s="5">
        <f>IF(OR(INDEX($V$2:$V$1001,MATCH(ROWS($U$2:U292),$U$2:$U$1001,0),1)&gt;=100000,INDEX($AB$1005:$AQ$1005,1,MATCH(COLUMNS($AB$1006:AD1006),$AB$1006:$AQ$1006,0))&gt;=100000), " ",IF(INDEX($AB$2:$AQ$1001,MATCH(ROWS($U$2:U292),$U$2:$U$1001,0),MATCH(COLUMNS($AB$1006:AD1006),$AB$1006:$AQ$1006,0)), HYPERLINK("#",""), HYPERLINK(CONCATENATE("#Metadata!", ADDRESS(INDEX($W$2:$W$1001,MATCH(ROWS($U$2:U292),$U$2:$U$1001,0),0), INDEX($AB$1004:$AQ$1004,1,MATCH(COLUMNS($AB$1006:AD1006),$AB$1006:$AQ$1006,0)))),"Fix")))</f>
        <v>0</v>
      </c>
      <c r="E292" s="5">
        <f>IF(OR(INDEX($V$2:$V$1001,MATCH(ROWS($U$2:U292),$U$2:$U$1001,0),1)&gt;=100000,INDEX($AB$1005:$AQ$1005,1,MATCH(COLUMNS($AB$1006:AE1006),$AB$1006:$AQ$1006,0))&gt;=100000), " ",IF(INDEX($AB$2:$AQ$1001,MATCH(ROWS($U$2:U292),$U$2:$U$1001,0),MATCH(COLUMNS($AB$1006:AE1006),$AB$1006:$AQ$1006,0)), HYPERLINK("#",""), HYPERLINK(CONCATENATE("#Metadata!", ADDRESS(INDEX($W$2:$W$1001,MATCH(ROWS($U$2:U292),$U$2:$U$1001,0),0), INDEX($AB$1004:$AQ$1004,1,MATCH(COLUMNS($AB$1006:AE1006),$AB$1006:$AQ$1006,0)))),"Fix")))</f>
        <v>0</v>
      </c>
      <c r="F292" s="5">
        <f>IF(OR(INDEX($V$2:$V$1001,MATCH(ROWS($U$2:U292),$U$2:$U$1001,0),1)&gt;=100000,INDEX($AB$1005:$AQ$1005,1,MATCH(COLUMNS($AB$1006:AF1006),$AB$1006:$AQ$1006,0))&gt;=100000), " ",IF(INDEX($AB$2:$AQ$1001,MATCH(ROWS($U$2:U292),$U$2:$U$1001,0),MATCH(COLUMNS($AB$1006:AF1006),$AB$1006:$AQ$1006,0)), HYPERLINK("#",""), HYPERLINK(CONCATENATE("#Metadata!", ADDRESS(INDEX($W$2:$W$1001,MATCH(ROWS($U$2:U292),$U$2:$U$1001,0),0), INDEX($AB$1004:$AQ$1004,1,MATCH(COLUMNS($AB$1006:AF1006),$AB$1006:$AQ$1006,0)))),"Fix")))</f>
        <v>0</v>
      </c>
      <c r="G292" s="5">
        <f>IF(OR(INDEX($V$2:$V$1001,MATCH(ROWS($U$2:U292),$U$2:$U$1001,0),1)&gt;=100000,INDEX($AB$1005:$AQ$1005,1,MATCH(COLUMNS($AB$1006:AG1006),$AB$1006:$AQ$1006,0))&gt;=100000), " ",IF(INDEX($AB$2:$AQ$1001,MATCH(ROWS($U$2:U292),$U$2:$U$1001,0),MATCH(COLUMNS($AB$1006:AG1006),$AB$1006:$AQ$1006,0)), HYPERLINK("#",""), HYPERLINK(CONCATENATE("#Metadata!", ADDRESS(INDEX($W$2:$W$1001,MATCH(ROWS($U$2:U292),$U$2:$U$1001,0),0), INDEX($AB$1004:$AQ$1004,1,MATCH(COLUMNS($AB$1006:AG1006),$AB$1006:$AQ$1006,0)))),"Fix")))</f>
        <v>0</v>
      </c>
      <c r="H292" s="5">
        <f>IF(OR(INDEX($V$2:$V$1001,MATCH(ROWS($U$2:U292),$U$2:$U$1001,0),1)&gt;=100000,INDEX($AB$1005:$AQ$1005,1,MATCH(COLUMNS($AB$1006:AH1006),$AB$1006:$AQ$1006,0))&gt;=100000), " ",IF(INDEX($AB$2:$AQ$1001,MATCH(ROWS($U$2:U292),$U$2:$U$1001,0),MATCH(COLUMNS($AB$1006:AH1006),$AB$1006:$AQ$1006,0)), HYPERLINK("#",""), HYPERLINK(CONCATENATE("#Metadata!", ADDRESS(INDEX($W$2:$W$1001,MATCH(ROWS($U$2:U292),$U$2:$U$1001,0),0), INDEX($AB$1004:$AQ$1004,1,MATCH(COLUMNS($AB$1006:AH1006),$AB$1006:$AQ$1006,0)))),"Fix")))</f>
        <v>0</v>
      </c>
      <c r="I292" s="5">
        <f>IF(OR(INDEX($V$2:$V$1001,MATCH(ROWS($U$2:U292),$U$2:$U$1001,0),1)&gt;=100000,INDEX($AB$1005:$AQ$1005,1,MATCH(COLUMNS($AB$1006:AI1006),$AB$1006:$AQ$1006,0))&gt;=100000), " ",IF(INDEX($AB$2:$AQ$1001,MATCH(ROWS($U$2:U292),$U$2:$U$1001,0),MATCH(COLUMNS($AB$1006:AI1006),$AB$1006:$AQ$1006,0)), HYPERLINK("#",""), HYPERLINK(CONCATENATE("#Metadata!", ADDRESS(INDEX($W$2:$W$1001,MATCH(ROWS($U$2:U292),$U$2:$U$1001,0),0), INDEX($AB$1004:$AQ$1004,1,MATCH(COLUMNS($AB$1006:AI1006),$AB$1006:$AQ$1006,0)))),"Fix")))</f>
        <v>0</v>
      </c>
      <c r="J292" s="5">
        <f>IF(OR(INDEX($V$2:$V$1001,MATCH(ROWS($U$2:U292),$U$2:$U$1001,0),1)&gt;=100000,INDEX($AB$1005:$AQ$1005,1,MATCH(COLUMNS($AB$1006:AJ1006),$AB$1006:$AQ$1006,0))&gt;=100000), " ",IF(INDEX($AB$2:$AQ$1001,MATCH(ROWS($U$2:U292),$U$2:$U$1001,0),MATCH(COLUMNS($AB$1006:AJ1006),$AB$1006:$AQ$1006,0)), HYPERLINK("#",""), HYPERLINK(CONCATENATE("#Metadata!", ADDRESS(INDEX($W$2:$W$1001,MATCH(ROWS($U$2:U292),$U$2:$U$1001,0),0), INDEX($AB$1004:$AQ$1004,1,MATCH(COLUMNS($AB$1006:AJ1006),$AB$1006:$AQ$1006,0)))),"Fix")))</f>
        <v>0</v>
      </c>
      <c r="K292" s="5">
        <f>IF(OR(INDEX($V$2:$V$1001,MATCH(ROWS($U$2:U292),$U$2:$U$1001,0),1)&gt;=100000,INDEX($AB$1005:$AQ$1005,1,MATCH(COLUMNS($AB$1006:AK1006),$AB$1006:$AQ$1006,0))&gt;=100000), " ",IF(INDEX($AB$2:$AQ$1001,MATCH(ROWS($U$2:U292),$U$2:$U$1001,0),MATCH(COLUMNS($AB$1006:AK1006),$AB$1006:$AQ$1006,0)), HYPERLINK("#",""), HYPERLINK(CONCATENATE("#Metadata!", ADDRESS(INDEX($W$2:$W$1001,MATCH(ROWS($U$2:U292),$U$2:$U$1001,0),0), INDEX($AB$1004:$AQ$1004,1,MATCH(COLUMNS($AB$1006:AK1006),$AB$1006:$AQ$1006,0)))),"Fix")))</f>
        <v>0</v>
      </c>
      <c r="L292" s="5">
        <f>IF(OR(INDEX($V$2:$V$1001,MATCH(ROWS($U$2:U292),$U$2:$U$1001,0),1)&gt;=100000,INDEX($AB$1005:$AQ$1005,1,MATCH(COLUMNS($AB$1006:AL1006),$AB$1006:$AQ$1006,0))&gt;=100000), " ",IF(INDEX($AB$2:$AQ$1001,MATCH(ROWS($U$2:U292),$U$2:$U$1001,0),MATCH(COLUMNS($AB$1006:AL1006),$AB$1006:$AQ$1006,0)), HYPERLINK("#",""), HYPERLINK(CONCATENATE("#Metadata!", ADDRESS(INDEX($W$2:$W$1001,MATCH(ROWS($U$2:U292),$U$2:$U$1001,0),0), INDEX($AB$1004:$AQ$1004,1,MATCH(COLUMNS($AB$1006:AL1006),$AB$1006:$AQ$1006,0)))),"Fix")))</f>
        <v>0</v>
      </c>
      <c r="M292" s="5">
        <f>IF(OR(INDEX($V$2:$V$1001,MATCH(ROWS($U$2:U292),$U$2:$U$1001,0),1)&gt;=100000,INDEX($AB$1005:$AQ$1005,1,MATCH(COLUMNS($AB$1006:AM1006),$AB$1006:$AQ$1006,0))&gt;=100000), " ",IF(INDEX($AB$2:$AQ$1001,MATCH(ROWS($U$2:U292),$U$2:$U$1001,0),MATCH(COLUMNS($AB$1006:AM1006),$AB$1006:$AQ$1006,0)), HYPERLINK("#",""), HYPERLINK(CONCATENATE("#Metadata!", ADDRESS(INDEX($W$2:$W$1001,MATCH(ROWS($U$2:U292),$U$2:$U$1001,0),0), INDEX($AB$1004:$AQ$1004,1,MATCH(COLUMNS($AB$1006:AM1006),$AB$1006:$AQ$1006,0)))),"Fix")))</f>
        <v>0</v>
      </c>
      <c r="N292" s="5">
        <f>IF(OR(INDEX($V$2:$V$1001,MATCH(ROWS($U$2:U292),$U$2:$U$1001,0),1)&gt;=100000,INDEX($AB$1005:$AQ$1005,1,MATCH(COLUMNS($AB$1006:AN1006),$AB$1006:$AQ$1006,0))&gt;=100000), " ",IF(INDEX($AB$2:$AQ$1001,MATCH(ROWS($U$2:U292),$U$2:$U$1001,0),MATCH(COLUMNS($AB$1006:AN1006),$AB$1006:$AQ$1006,0)), HYPERLINK("#",""), HYPERLINK(CONCATENATE("#Metadata!", ADDRESS(INDEX($W$2:$W$1001,MATCH(ROWS($U$2:U292),$U$2:$U$1001,0),0), INDEX($AB$1004:$AQ$1004,1,MATCH(COLUMNS($AB$1006:AN1006),$AB$1006:$AQ$1006,0)))),"Fix")))</f>
        <v>0</v>
      </c>
      <c r="O292" s="5">
        <f>IF(OR(INDEX($V$2:$V$1001,MATCH(ROWS($U$2:U292),$U$2:$U$1001,0),1)&gt;=100000,INDEX($AB$1005:$AQ$1005,1,MATCH(COLUMNS($AB$1006:AO1006),$AB$1006:$AQ$1006,0))&gt;=100000), " ",IF(INDEX($AB$2:$AQ$1001,MATCH(ROWS($U$2:U292),$U$2:$U$1001,0),MATCH(COLUMNS($AB$1006:AO1006),$AB$1006:$AQ$1006,0)), HYPERLINK("#",""), HYPERLINK(CONCATENATE("#Metadata!", ADDRESS(INDEX($W$2:$W$1001,MATCH(ROWS($U$2:U292),$U$2:$U$1001,0),0), INDEX($AB$1004:$AQ$1004,1,MATCH(COLUMNS($AB$1006:AO1006),$AB$1006:$AQ$1006,0)))),"Fix")))</f>
        <v>0</v>
      </c>
      <c r="P292" s="5">
        <f>IF(OR(INDEX($V$2:$V$1001,MATCH(ROWS($U$2:U292),$U$2:$U$1001,0),1)&gt;=100000,INDEX($AB$1005:$AQ$1005,1,MATCH(COLUMNS($AB$1006:AP1006),$AB$1006:$AQ$1006,0))&gt;=100000), " ",IF(INDEX($AB$2:$AQ$1001,MATCH(ROWS($U$2:U292),$U$2:$U$1001,0),MATCH(COLUMNS($AB$1006:AP1006),$AB$1006:$AQ$1006,0)), HYPERLINK("#",""), HYPERLINK(CONCATENATE("#Metadata!", ADDRESS(INDEX($W$2:$W$1001,MATCH(ROWS($U$2:U292),$U$2:$U$1001,0),0), INDEX($AB$1004:$AQ$1004,1,MATCH(COLUMNS($AB$1006:AP1006),$AB$1006:$AQ$1006,0)))),"Fix")))</f>
        <v>0</v>
      </c>
      <c r="Q292" s="5">
        <f>IF(OR(INDEX($V$2:$V$1001,MATCH(ROWS($U$2:U292),$U$2:$U$1001,0),1)&gt;=100000,INDEX($AB$1005:$AQ$1005,1,MATCH(COLUMNS($AB$1006:AQ1006),$AB$1006:$AQ$1006,0))&gt;=100000), " ",IF(INDEX($AB$2:$AQ$1001,MATCH(ROWS($U$2:U292),$U$2:$U$1001,0),MATCH(COLUMNS($AB$1006:AQ1006),$AB$1006:$AQ$1006,0)), HYPERLINK("#",""), HYPERLINK(CONCATENATE("#Metadata!", ADDRESS(INDEX($W$2:$W$1001,MATCH(ROWS($U$2:U292),$U$2:$U$1001,0),0), INDEX($AB$1004:$AQ$1004,1,MATCH(COLUMNS($AB$1006:AQ1006),$AB$1006:$AQ$1006,0)))),"Fix")))</f>
        <v>0</v>
      </c>
      <c r="U292">
        <v>0</v>
      </c>
      <c r="V292">
        <v>0</v>
      </c>
      <c r="W292">
        <v>0</v>
      </c>
      <c r="X292">
        <f>IF(Y292,TRUE,AND(AB292:AQ292))</f>
        <v>0</v>
      </c>
      <c r="Y292">
        <f>COUNTBLANK(Metadata!B292:Q292)=COLUMNS(Metadata!B292:Q292)</f>
        <v>0</v>
      </c>
      <c r="Z292">
        <v>0</v>
      </c>
      <c r="AB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AC292">
        <f>AND(IF(Metadata!C292="",FALSE,TRUE),exact(Metadata!C292,"urban biome"))</f>
        <v>0</v>
      </c>
      <c r="AD292">
        <f>AND(IF(Metadata!D292="",FALSE,TRUE),exact(Metadata!D292,"human-associated habitat"))</f>
        <v>0</v>
      </c>
      <c r="AE292">
        <f>AND(IF(Metadata!E292="",FALSE,TRUE),OR(exact(Metadata!E292,"human-associated"),exact(Metadata!E292,"human-skin"),exact(Metadata!E292,"human-oral"),exact(Metadata!E292,"human-gut"),exact(Metadata!E292,"human-vaginal")))</f>
        <v>0</v>
      </c>
      <c r="AF292">
        <f>AND(IF(Metadata!F292="",FALSE,ISNUMBER(VALUE(Metadata!F292))),Metadata!F292&gt;0)</f>
        <v>0</v>
      </c>
      <c r="AG292">
        <f>AND(IF(Metadata!G292="",FALSE,TRUE),exact(Metadata!G292,"years"))</f>
        <v>0</v>
      </c>
      <c r="AH292">
        <f>OR(AND(IF(Metadata!H292="",FALSE,TRUE),OR(exact(Metadata!H292,"not applicable"),exact(Metadata!H292,"not collected"),exact(Metadata!H292,"not provided"),exact(Metadata!H292,"restricted access"))),AND(IF(Metadata!H292="",FALSE,ISNUMBER(VALUE(Metadata!H292))),Metadata!H292&gt;0))</f>
        <v>0</v>
      </c>
      <c r="AI292">
        <f>AND(IF(Metadata!I292="",FALSE,TRUE),exact(Metadata!I292,"human"))</f>
        <v>0</v>
      </c>
      <c r="AJ292">
        <f>AND(IF(Metadata!J292="",FALSE,ISNUMBER(VALUE(Metadata!J292))),Metadata!J292&gt;0)</f>
        <v>0</v>
      </c>
      <c r="AK292">
        <f>AND(IF(Metadata!K292="",FALSE,TRUE),exact(Metadata!K292,"cm"))</f>
        <v>0</v>
      </c>
      <c r="AL292">
        <f>AND(IF(Metadata!L292="",FALSE,TRUE),exact(Metadata!L292,"Homo sapiens"))</f>
        <v>0</v>
      </c>
      <c r="AM292">
        <f>AND(IF(Metadata!M292="",FALSE,TRUE),exact(Metadata!M292,"9606"))</f>
        <v>0</v>
      </c>
      <c r="AN292">
        <f>AND(IF(Metadata!N292="",FALSE,ISNUMBER(VALUE(Metadata!N292))),Metadata!N292&gt;0)</f>
        <v>0</v>
      </c>
      <c r="AO292">
        <f>AND(IF(Metadata!O292="",FALSE,TRUE),exact(Metadata!O292,"kg"))</f>
        <v>0</v>
      </c>
      <c r="AP292">
        <f>OR(AND(IF(Metadata!P292="",FALSE,TRUE),exact(Metadata!P292,"not provided")),IF(Metadata!P292="",FALSE,TRUE))</f>
        <v>0</v>
      </c>
      <c r="AQ292">
        <f>OR(AND(IF(Metadata!Q292="",FALSE,TRUE),exact(Metadata!Q292,"not provided")),IF(Metadata!Q292="",FALSE,TRUE))</f>
        <v>0</v>
      </c>
    </row>
    <row r="293" spans="1:43">
      <c r="A293" s="4">
        <f>IF(B293=" "," ",HYPERLINK(CONCATENATE("#metadata!",ADDRESS(INDEX($W$2:$W$1001,MATCH(ROWS($U$2:U293),$U$2:$U$1001,0),0),2)),INDEX($Z$2:$Z$1001,MATCH(ROWS($U$2:U293),$U$2:$U$1001,0),0)))</f>
        <v>0</v>
      </c>
      <c r="B293" s="5">
        <f>IF(OR(INDEX($V$2:$V$1001,MATCH(ROWS($U$2:U293),$U$2:$U$1001,0),1)&gt;=100000,INDEX($AB$1005:$AQ$1005,1,MATCH(COLUMNS($AB$1006:AB1006),$AB$1006:$AQ$1006,0))&gt;=100000), " ",IF(INDEX($AB$2:$AQ$1001,MATCH(ROWS($U$2:U293),$U$2:$U$1001,0),MATCH(COLUMNS($AB$1006:AB1006),$AB$1006:$AQ$1006,0)), HYPERLINK("#",""), HYPERLINK(CONCATENATE("#Metadata!", ADDRESS(INDEX($W$2:$W$1001,MATCH(ROWS($U$2:U293),$U$2:$U$1001,0),0), INDEX($AB$1004:$AQ$1004,1,MATCH(COLUMNS($AB$1006:AB1006),$AB$1006:$AQ$1006,0)))),"Fix")))</f>
        <v>0</v>
      </c>
      <c r="C293" s="5">
        <f>IF(OR(INDEX($V$2:$V$1001,MATCH(ROWS($U$2:U293),$U$2:$U$1001,0),1)&gt;=100000,INDEX($AB$1005:$AQ$1005,1,MATCH(COLUMNS($AB$1006:AC1006),$AB$1006:$AQ$1006,0))&gt;=100000), " ",IF(INDEX($AB$2:$AQ$1001,MATCH(ROWS($U$2:U293),$U$2:$U$1001,0),MATCH(COLUMNS($AB$1006:AC1006),$AB$1006:$AQ$1006,0)), HYPERLINK("#",""), HYPERLINK(CONCATENATE("#Metadata!", ADDRESS(INDEX($W$2:$W$1001,MATCH(ROWS($U$2:U293),$U$2:$U$1001,0),0), INDEX($AB$1004:$AQ$1004,1,MATCH(COLUMNS($AB$1006:AC1006),$AB$1006:$AQ$1006,0)))),"Fix")))</f>
        <v>0</v>
      </c>
      <c r="D293" s="5">
        <f>IF(OR(INDEX($V$2:$V$1001,MATCH(ROWS($U$2:U293),$U$2:$U$1001,0),1)&gt;=100000,INDEX($AB$1005:$AQ$1005,1,MATCH(COLUMNS($AB$1006:AD1006),$AB$1006:$AQ$1006,0))&gt;=100000), " ",IF(INDEX($AB$2:$AQ$1001,MATCH(ROWS($U$2:U293),$U$2:$U$1001,0),MATCH(COLUMNS($AB$1006:AD1006),$AB$1006:$AQ$1006,0)), HYPERLINK("#",""), HYPERLINK(CONCATENATE("#Metadata!", ADDRESS(INDEX($W$2:$W$1001,MATCH(ROWS($U$2:U293),$U$2:$U$1001,0),0), INDEX($AB$1004:$AQ$1004,1,MATCH(COLUMNS($AB$1006:AD1006),$AB$1006:$AQ$1006,0)))),"Fix")))</f>
        <v>0</v>
      </c>
      <c r="E293" s="5">
        <f>IF(OR(INDEX($V$2:$V$1001,MATCH(ROWS($U$2:U293),$U$2:$U$1001,0),1)&gt;=100000,INDEX($AB$1005:$AQ$1005,1,MATCH(COLUMNS($AB$1006:AE1006),$AB$1006:$AQ$1006,0))&gt;=100000), " ",IF(INDEX($AB$2:$AQ$1001,MATCH(ROWS($U$2:U293),$U$2:$U$1001,0),MATCH(COLUMNS($AB$1006:AE1006),$AB$1006:$AQ$1006,0)), HYPERLINK("#",""), HYPERLINK(CONCATENATE("#Metadata!", ADDRESS(INDEX($W$2:$W$1001,MATCH(ROWS($U$2:U293),$U$2:$U$1001,0),0), INDEX($AB$1004:$AQ$1004,1,MATCH(COLUMNS($AB$1006:AE1006),$AB$1006:$AQ$1006,0)))),"Fix")))</f>
        <v>0</v>
      </c>
      <c r="F293" s="5">
        <f>IF(OR(INDEX($V$2:$V$1001,MATCH(ROWS($U$2:U293),$U$2:$U$1001,0),1)&gt;=100000,INDEX($AB$1005:$AQ$1005,1,MATCH(COLUMNS($AB$1006:AF1006),$AB$1006:$AQ$1006,0))&gt;=100000), " ",IF(INDEX($AB$2:$AQ$1001,MATCH(ROWS($U$2:U293),$U$2:$U$1001,0),MATCH(COLUMNS($AB$1006:AF1006),$AB$1006:$AQ$1006,0)), HYPERLINK("#",""), HYPERLINK(CONCATENATE("#Metadata!", ADDRESS(INDEX($W$2:$W$1001,MATCH(ROWS($U$2:U293),$U$2:$U$1001,0),0), INDEX($AB$1004:$AQ$1004,1,MATCH(COLUMNS($AB$1006:AF1006),$AB$1006:$AQ$1006,0)))),"Fix")))</f>
        <v>0</v>
      </c>
      <c r="G293" s="5">
        <f>IF(OR(INDEX($V$2:$V$1001,MATCH(ROWS($U$2:U293),$U$2:$U$1001,0),1)&gt;=100000,INDEX($AB$1005:$AQ$1005,1,MATCH(COLUMNS($AB$1006:AG1006),$AB$1006:$AQ$1006,0))&gt;=100000), " ",IF(INDEX($AB$2:$AQ$1001,MATCH(ROWS($U$2:U293),$U$2:$U$1001,0),MATCH(COLUMNS($AB$1006:AG1006),$AB$1006:$AQ$1006,0)), HYPERLINK("#",""), HYPERLINK(CONCATENATE("#Metadata!", ADDRESS(INDEX($W$2:$W$1001,MATCH(ROWS($U$2:U293),$U$2:$U$1001,0),0), INDEX($AB$1004:$AQ$1004,1,MATCH(COLUMNS($AB$1006:AG1006),$AB$1006:$AQ$1006,0)))),"Fix")))</f>
        <v>0</v>
      </c>
      <c r="H293" s="5">
        <f>IF(OR(INDEX($V$2:$V$1001,MATCH(ROWS($U$2:U293),$U$2:$U$1001,0),1)&gt;=100000,INDEX($AB$1005:$AQ$1005,1,MATCH(COLUMNS($AB$1006:AH1006),$AB$1006:$AQ$1006,0))&gt;=100000), " ",IF(INDEX($AB$2:$AQ$1001,MATCH(ROWS($U$2:U293),$U$2:$U$1001,0),MATCH(COLUMNS($AB$1006:AH1006),$AB$1006:$AQ$1006,0)), HYPERLINK("#",""), HYPERLINK(CONCATENATE("#Metadata!", ADDRESS(INDEX($W$2:$W$1001,MATCH(ROWS($U$2:U293),$U$2:$U$1001,0),0), INDEX($AB$1004:$AQ$1004,1,MATCH(COLUMNS($AB$1006:AH1006),$AB$1006:$AQ$1006,0)))),"Fix")))</f>
        <v>0</v>
      </c>
      <c r="I293" s="5">
        <f>IF(OR(INDEX($V$2:$V$1001,MATCH(ROWS($U$2:U293),$U$2:$U$1001,0),1)&gt;=100000,INDEX($AB$1005:$AQ$1005,1,MATCH(COLUMNS($AB$1006:AI1006),$AB$1006:$AQ$1006,0))&gt;=100000), " ",IF(INDEX($AB$2:$AQ$1001,MATCH(ROWS($U$2:U293),$U$2:$U$1001,0),MATCH(COLUMNS($AB$1006:AI1006),$AB$1006:$AQ$1006,0)), HYPERLINK("#",""), HYPERLINK(CONCATENATE("#Metadata!", ADDRESS(INDEX($W$2:$W$1001,MATCH(ROWS($U$2:U293),$U$2:$U$1001,0),0), INDEX($AB$1004:$AQ$1004,1,MATCH(COLUMNS($AB$1006:AI1006),$AB$1006:$AQ$1006,0)))),"Fix")))</f>
        <v>0</v>
      </c>
      <c r="J293" s="5">
        <f>IF(OR(INDEX($V$2:$V$1001,MATCH(ROWS($U$2:U293),$U$2:$U$1001,0),1)&gt;=100000,INDEX($AB$1005:$AQ$1005,1,MATCH(COLUMNS($AB$1006:AJ1006),$AB$1006:$AQ$1006,0))&gt;=100000), " ",IF(INDEX($AB$2:$AQ$1001,MATCH(ROWS($U$2:U293),$U$2:$U$1001,0),MATCH(COLUMNS($AB$1006:AJ1006),$AB$1006:$AQ$1006,0)), HYPERLINK("#",""), HYPERLINK(CONCATENATE("#Metadata!", ADDRESS(INDEX($W$2:$W$1001,MATCH(ROWS($U$2:U293),$U$2:$U$1001,0),0), INDEX($AB$1004:$AQ$1004,1,MATCH(COLUMNS($AB$1006:AJ1006),$AB$1006:$AQ$1006,0)))),"Fix")))</f>
        <v>0</v>
      </c>
      <c r="K293" s="5">
        <f>IF(OR(INDEX($V$2:$V$1001,MATCH(ROWS($U$2:U293),$U$2:$U$1001,0),1)&gt;=100000,INDEX($AB$1005:$AQ$1005,1,MATCH(COLUMNS($AB$1006:AK1006),$AB$1006:$AQ$1006,0))&gt;=100000), " ",IF(INDEX($AB$2:$AQ$1001,MATCH(ROWS($U$2:U293),$U$2:$U$1001,0),MATCH(COLUMNS($AB$1006:AK1006),$AB$1006:$AQ$1006,0)), HYPERLINK("#",""), HYPERLINK(CONCATENATE("#Metadata!", ADDRESS(INDEX($W$2:$W$1001,MATCH(ROWS($U$2:U293),$U$2:$U$1001,0),0), INDEX($AB$1004:$AQ$1004,1,MATCH(COLUMNS($AB$1006:AK1006),$AB$1006:$AQ$1006,0)))),"Fix")))</f>
        <v>0</v>
      </c>
      <c r="L293" s="5">
        <f>IF(OR(INDEX($V$2:$V$1001,MATCH(ROWS($U$2:U293),$U$2:$U$1001,0),1)&gt;=100000,INDEX($AB$1005:$AQ$1005,1,MATCH(COLUMNS($AB$1006:AL1006),$AB$1006:$AQ$1006,0))&gt;=100000), " ",IF(INDEX($AB$2:$AQ$1001,MATCH(ROWS($U$2:U293),$U$2:$U$1001,0),MATCH(COLUMNS($AB$1006:AL1006),$AB$1006:$AQ$1006,0)), HYPERLINK("#",""), HYPERLINK(CONCATENATE("#Metadata!", ADDRESS(INDEX($W$2:$W$1001,MATCH(ROWS($U$2:U293),$U$2:$U$1001,0),0), INDEX($AB$1004:$AQ$1004,1,MATCH(COLUMNS($AB$1006:AL1006),$AB$1006:$AQ$1006,0)))),"Fix")))</f>
        <v>0</v>
      </c>
      <c r="M293" s="5">
        <f>IF(OR(INDEX($V$2:$V$1001,MATCH(ROWS($U$2:U293),$U$2:$U$1001,0),1)&gt;=100000,INDEX($AB$1005:$AQ$1005,1,MATCH(COLUMNS($AB$1006:AM1006),$AB$1006:$AQ$1006,0))&gt;=100000), " ",IF(INDEX($AB$2:$AQ$1001,MATCH(ROWS($U$2:U293),$U$2:$U$1001,0),MATCH(COLUMNS($AB$1006:AM1006),$AB$1006:$AQ$1006,0)), HYPERLINK("#",""), HYPERLINK(CONCATENATE("#Metadata!", ADDRESS(INDEX($W$2:$W$1001,MATCH(ROWS($U$2:U293),$U$2:$U$1001,0),0), INDEX($AB$1004:$AQ$1004,1,MATCH(COLUMNS($AB$1006:AM1006),$AB$1006:$AQ$1006,0)))),"Fix")))</f>
        <v>0</v>
      </c>
      <c r="N293" s="5">
        <f>IF(OR(INDEX($V$2:$V$1001,MATCH(ROWS($U$2:U293),$U$2:$U$1001,0),1)&gt;=100000,INDEX($AB$1005:$AQ$1005,1,MATCH(COLUMNS($AB$1006:AN1006),$AB$1006:$AQ$1006,0))&gt;=100000), " ",IF(INDEX($AB$2:$AQ$1001,MATCH(ROWS($U$2:U293),$U$2:$U$1001,0),MATCH(COLUMNS($AB$1006:AN1006),$AB$1006:$AQ$1006,0)), HYPERLINK("#",""), HYPERLINK(CONCATENATE("#Metadata!", ADDRESS(INDEX($W$2:$W$1001,MATCH(ROWS($U$2:U293),$U$2:$U$1001,0),0), INDEX($AB$1004:$AQ$1004,1,MATCH(COLUMNS($AB$1006:AN1006),$AB$1006:$AQ$1006,0)))),"Fix")))</f>
        <v>0</v>
      </c>
      <c r="O293" s="5">
        <f>IF(OR(INDEX($V$2:$V$1001,MATCH(ROWS($U$2:U293),$U$2:$U$1001,0),1)&gt;=100000,INDEX($AB$1005:$AQ$1005,1,MATCH(COLUMNS($AB$1006:AO1006),$AB$1006:$AQ$1006,0))&gt;=100000), " ",IF(INDEX($AB$2:$AQ$1001,MATCH(ROWS($U$2:U293),$U$2:$U$1001,0),MATCH(COLUMNS($AB$1006:AO1006),$AB$1006:$AQ$1006,0)), HYPERLINK("#",""), HYPERLINK(CONCATENATE("#Metadata!", ADDRESS(INDEX($W$2:$W$1001,MATCH(ROWS($U$2:U293),$U$2:$U$1001,0),0), INDEX($AB$1004:$AQ$1004,1,MATCH(COLUMNS($AB$1006:AO1006),$AB$1006:$AQ$1006,0)))),"Fix")))</f>
        <v>0</v>
      </c>
      <c r="P293" s="5">
        <f>IF(OR(INDEX($V$2:$V$1001,MATCH(ROWS($U$2:U293),$U$2:$U$1001,0),1)&gt;=100000,INDEX($AB$1005:$AQ$1005,1,MATCH(COLUMNS($AB$1006:AP1006),$AB$1006:$AQ$1006,0))&gt;=100000), " ",IF(INDEX($AB$2:$AQ$1001,MATCH(ROWS($U$2:U293),$U$2:$U$1001,0),MATCH(COLUMNS($AB$1006:AP1006),$AB$1006:$AQ$1006,0)), HYPERLINK("#",""), HYPERLINK(CONCATENATE("#Metadata!", ADDRESS(INDEX($W$2:$W$1001,MATCH(ROWS($U$2:U293),$U$2:$U$1001,0),0), INDEX($AB$1004:$AQ$1004,1,MATCH(COLUMNS($AB$1006:AP1006),$AB$1006:$AQ$1006,0)))),"Fix")))</f>
        <v>0</v>
      </c>
      <c r="Q293" s="5">
        <f>IF(OR(INDEX($V$2:$V$1001,MATCH(ROWS($U$2:U293),$U$2:$U$1001,0),1)&gt;=100000,INDEX($AB$1005:$AQ$1005,1,MATCH(COLUMNS($AB$1006:AQ1006),$AB$1006:$AQ$1006,0))&gt;=100000), " ",IF(INDEX($AB$2:$AQ$1001,MATCH(ROWS($U$2:U293),$U$2:$U$1001,0),MATCH(COLUMNS($AB$1006:AQ1006),$AB$1006:$AQ$1006,0)), HYPERLINK("#",""), HYPERLINK(CONCATENATE("#Metadata!", ADDRESS(INDEX($W$2:$W$1001,MATCH(ROWS($U$2:U293),$U$2:$U$1001,0),0), INDEX($AB$1004:$AQ$1004,1,MATCH(COLUMNS($AB$1006:AQ1006),$AB$1006:$AQ$1006,0)))),"Fix")))</f>
        <v>0</v>
      </c>
      <c r="U293">
        <v>0</v>
      </c>
      <c r="V293">
        <v>0</v>
      </c>
      <c r="W293">
        <v>0</v>
      </c>
      <c r="X293">
        <f>IF(Y293,TRUE,AND(AB293:AQ293))</f>
        <v>0</v>
      </c>
      <c r="Y293">
        <f>COUNTBLANK(Metadata!B293:Q293)=COLUMNS(Metadata!B293:Q293)</f>
        <v>0</v>
      </c>
      <c r="Z293">
        <v>0</v>
      </c>
      <c r="AB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AC293">
        <f>AND(IF(Metadata!C293="",FALSE,TRUE),exact(Metadata!C293,"urban biome"))</f>
        <v>0</v>
      </c>
      <c r="AD293">
        <f>AND(IF(Metadata!D293="",FALSE,TRUE),exact(Metadata!D293,"human-associated habitat"))</f>
        <v>0</v>
      </c>
      <c r="AE293">
        <f>AND(IF(Metadata!E293="",FALSE,TRUE),OR(exact(Metadata!E293,"human-associated"),exact(Metadata!E293,"human-skin"),exact(Metadata!E293,"human-oral"),exact(Metadata!E293,"human-gut"),exact(Metadata!E293,"human-vaginal")))</f>
        <v>0</v>
      </c>
      <c r="AF293">
        <f>AND(IF(Metadata!F293="",FALSE,ISNUMBER(VALUE(Metadata!F293))),Metadata!F293&gt;0)</f>
        <v>0</v>
      </c>
      <c r="AG293">
        <f>AND(IF(Metadata!G293="",FALSE,TRUE),exact(Metadata!G293,"years"))</f>
        <v>0</v>
      </c>
      <c r="AH293">
        <f>OR(AND(IF(Metadata!H293="",FALSE,TRUE),OR(exact(Metadata!H293,"not applicable"),exact(Metadata!H293,"not collected"),exact(Metadata!H293,"not provided"),exact(Metadata!H293,"restricted access"))),AND(IF(Metadata!H293="",FALSE,ISNUMBER(VALUE(Metadata!H293))),Metadata!H293&gt;0))</f>
        <v>0</v>
      </c>
      <c r="AI293">
        <f>AND(IF(Metadata!I293="",FALSE,TRUE),exact(Metadata!I293,"human"))</f>
        <v>0</v>
      </c>
      <c r="AJ293">
        <f>AND(IF(Metadata!J293="",FALSE,ISNUMBER(VALUE(Metadata!J293))),Metadata!J293&gt;0)</f>
        <v>0</v>
      </c>
      <c r="AK293">
        <f>AND(IF(Metadata!K293="",FALSE,TRUE),exact(Metadata!K293,"cm"))</f>
        <v>0</v>
      </c>
      <c r="AL293">
        <f>AND(IF(Metadata!L293="",FALSE,TRUE),exact(Metadata!L293,"Homo sapiens"))</f>
        <v>0</v>
      </c>
      <c r="AM293">
        <f>AND(IF(Metadata!M293="",FALSE,TRUE),exact(Metadata!M293,"9606"))</f>
        <v>0</v>
      </c>
      <c r="AN293">
        <f>AND(IF(Metadata!N293="",FALSE,ISNUMBER(VALUE(Metadata!N293))),Metadata!N293&gt;0)</f>
        <v>0</v>
      </c>
      <c r="AO293">
        <f>AND(IF(Metadata!O293="",FALSE,TRUE),exact(Metadata!O293,"kg"))</f>
        <v>0</v>
      </c>
      <c r="AP293">
        <f>OR(AND(IF(Metadata!P293="",FALSE,TRUE),exact(Metadata!P293,"not provided")),IF(Metadata!P293="",FALSE,TRUE))</f>
        <v>0</v>
      </c>
      <c r="AQ293">
        <f>OR(AND(IF(Metadata!Q293="",FALSE,TRUE),exact(Metadata!Q293,"not provided")),IF(Metadata!Q293="",FALSE,TRUE))</f>
        <v>0</v>
      </c>
    </row>
    <row r="294" spans="1:43">
      <c r="A294" s="4">
        <f>IF(B294=" "," ",HYPERLINK(CONCATENATE("#metadata!",ADDRESS(INDEX($W$2:$W$1001,MATCH(ROWS($U$2:U294),$U$2:$U$1001,0),0),2)),INDEX($Z$2:$Z$1001,MATCH(ROWS($U$2:U294),$U$2:$U$1001,0),0)))</f>
        <v>0</v>
      </c>
      <c r="B294" s="5">
        <f>IF(OR(INDEX($V$2:$V$1001,MATCH(ROWS($U$2:U294),$U$2:$U$1001,0),1)&gt;=100000,INDEX($AB$1005:$AQ$1005,1,MATCH(COLUMNS($AB$1006:AB1006),$AB$1006:$AQ$1006,0))&gt;=100000), " ",IF(INDEX($AB$2:$AQ$1001,MATCH(ROWS($U$2:U294),$U$2:$U$1001,0),MATCH(COLUMNS($AB$1006:AB1006),$AB$1006:$AQ$1006,0)), HYPERLINK("#",""), HYPERLINK(CONCATENATE("#Metadata!", ADDRESS(INDEX($W$2:$W$1001,MATCH(ROWS($U$2:U294),$U$2:$U$1001,0),0), INDEX($AB$1004:$AQ$1004,1,MATCH(COLUMNS($AB$1006:AB1006),$AB$1006:$AQ$1006,0)))),"Fix")))</f>
        <v>0</v>
      </c>
      <c r="C294" s="5">
        <f>IF(OR(INDEX($V$2:$V$1001,MATCH(ROWS($U$2:U294),$U$2:$U$1001,0),1)&gt;=100000,INDEX($AB$1005:$AQ$1005,1,MATCH(COLUMNS($AB$1006:AC1006),$AB$1006:$AQ$1006,0))&gt;=100000), " ",IF(INDEX($AB$2:$AQ$1001,MATCH(ROWS($U$2:U294),$U$2:$U$1001,0),MATCH(COLUMNS($AB$1006:AC1006),$AB$1006:$AQ$1006,0)), HYPERLINK("#",""), HYPERLINK(CONCATENATE("#Metadata!", ADDRESS(INDEX($W$2:$W$1001,MATCH(ROWS($U$2:U294),$U$2:$U$1001,0),0), INDEX($AB$1004:$AQ$1004,1,MATCH(COLUMNS($AB$1006:AC1006),$AB$1006:$AQ$1006,0)))),"Fix")))</f>
        <v>0</v>
      </c>
      <c r="D294" s="5">
        <f>IF(OR(INDEX($V$2:$V$1001,MATCH(ROWS($U$2:U294),$U$2:$U$1001,0),1)&gt;=100000,INDEX($AB$1005:$AQ$1005,1,MATCH(COLUMNS($AB$1006:AD1006),$AB$1006:$AQ$1006,0))&gt;=100000), " ",IF(INDEX($AB$2:$AQ$1001,MATCH(ROWS($U$2:U294),$U$2:$U$1001,0),MATCH(COLUMNS($AB$1006:AD1006),$AB$1006:$AQ$1006,0)), HYPERLINK("#",""), HYPERLINK(CONCATENATE("#Metadata!", ADDRESS(INDEX($W$2:$W$1001,MATCH(ROWS($U$2:U294),$U$2:$U$1001,0),0), INDEX($AB$1004:$AQ$1004,1,MATCH(COLUMNS($AB$1006:AD1006),$AB$1006:$AQ$1006,0)))),"Fix")))</f>
        <v>0</v>
      </c>
      <c r="E294" s="5">
        <f>IF(OR(INDEX($V$2:$V$1001,MATCH(ROWS($U$2:U294),$U$2:$U$1001,0),1)&gt;=100000,INDEX($AB$1005:$AQ$1005,1,MATCH(COLUMNS($AB$1006:AE1006),$AB$1006:$AQ$1006,0))&gt;=100000), " ",IF(INDEX($AB$2:$AQ$1001,MATCH(ROWS($U$2:U294),$U$2:$U$1001,0),MATCH(COLUMNS($AB$1006:AE1006),$AB$1006:$AQ$1006,0)), HYPERLINK("#",""), HYPERLINK(CONCATENATE("#Metadata!", ADDRESS(INDEX($W$2:$W$1001,MATCH(ROWS($U$2:U294),$U$2:$U$1001,0),0), INDEX($AB$1004:$AQ$1004,1,MATCH(COLUMNS($AB$1006:AE1006),$AB$1006:$AQ$1006,0)))),"Fix")))</f>
        <v>0</v>
      </c>
      <c r="F294" s="5">
        <f>IF(OR(INDEX($V$2:$V$1001,MATCH(ROWS($U$2:U294),$U$2:$U$1001,0),1)&gt;=100000,INDEX($AB$1005:$AQ$1005,1,MATCH(COLUMNS($AB$1006:AF1006),$AB$1006:$AQ$1006,0))&gt;=100000), " ",IF(INDEX($AB$2:$AQ$1001,MATCH(ROWS($U$2:U294),$U$2:$U$1001,0),MATCH(COLUMNS($AB$1006:AF1006),$AB$1006:$AQ$1006,0)), HYPERLINK("#",""), HYPERLINK(CONCATENATE("#Metadata!", ADDRESS(INDEX($W$2:$W$1001,MATCH(ROWS($U$2:U294),$U$2:$U$1001,0),0), INDEX($AB$1004:$AQ$1004,1,MATCH(COLUMNS($AB$1006:AF1006),$AB$1006:$AQ$1006,0)))),"Fix")))</f>
        <v>0</v>
      </c>
      <c r="G294" s="5">
        <f>IF(OR(INDEX($V$2:$V$1001,MATCH(ROWS($U$2:U294),$U$2:$U$1001,0),1)&gt;=100000,INDEX($AB$1005:$AQ$1005,1,MATCH(COLUMNS($AB$1006:AG1006),$AB$1006:$AQ$1006,0))&gt;=100000), " ",IF(INDEX($AB$2:$AQ$1001,MATCH(ROWS($U$2:U294),$U$2:$U$1001,0),MATCH(COLUMNS($AB$1006:AG1006),$AB$1006:$AQ$1006,0)), HYPERLINK("#",""), HYPERLINK(CONCATENATE("#Metadata!", ADDRESS(INDEX($W$2:$W$1001,MATCH(ROWS($U$2:U294),$U$2:$U$1001,0),0), INDEX($AB$1004:$AQ$1004,1,MATCH(COLUMNS($AB$1006:AG1006),$AB$1006:$AQ$1006,0)))),"Fix")))</f>
        <v>0</v>
      </c>
      <c r="H294" s="5">
        <f>IF(OR(INDEX($V$2:$V$1001,MATCH(ROWS($U$2:U294),$U$2:$U$1001,0),1)&gt;=100000,INDEX($AB$1005:$AQ$1005,1,MATCH(COLUMNS($AB$1006:AH1006),$AB$1006:$AQ$1006,0))&gt;=100000), " ",IF(INDEX($AB$2:$AQ$1001,MATCH(ROWS($U$2:U294),$U$2:$U$1001,0),MATCH(COLUMNS($AB$1006:AH1006),$AB$1006:$AQ$1006,0)), HYPERLINK("#",""), HYPERLINK(CONCATENATE("#Metadata!", ADDRESS(INDEX($W$2:$W$1001,MATCH(ROWS($U$2:U294),$U$2:$U$1001,0),0), INDEX($AB$1004:$AQ$1004,1,MATCH(COLUMNS($AB$1006:AH1006),$AB$1006:$AQ$1006,0)))),"Fix")))</f>
        <v>0</v>
      </c>
      <c r="I294" s="5">
        <f>IF(OR(INDEX($V$2:$V$1001,MATCH(ROWS($U$2:U294),$U$2:$U$1001,0),1)&gt;=100000,INDEX($AB$1005:$AQ$1005,1,MATCH(COLUMNS($AB$1006:AI1006),$AB$1006:$AQ$1006,0))&gt;=100000), " ",IF(INDEX($AB$2:$AQ$1001,MATCH(ROWS($U$2:U294),$U$2:$U$1001,0),MATCH(COLUMNS($AB$1006:AI1006),$AB$1006:$AQ$1006,0)), HYPERLINK("#",""), HYPERLINK(CONCATENATE("#Metadata!", ADDRESS(INDEX($W$2:$W$1001,MATCH(ROWS($U$2:U294),$U$2:$U$1001,0),0), INDEX($AB$1004:$AQ$1004,1,MATCH(COLUMNS($AB$1006:AI1006),$AB$1006:$AQ$1006,0)))),"Fix")))</f>
        <v>0</v>
      </c>
      <c r="J294" s="5">
        <f>IF(OR(INDEX($V$2:$V$1001,MATCH(ROWS($U$2:U294),$U$2:$U$1001,0),1)&gt;=100000,INDEX($AB$1005:$AQ$1005,1,MATCH(COLUMNS($AB$1006:AJ1006),$AB$1006:$AQ$1006,0))&gt;=100000), " ",IF(INDEX($AB$2:$AQ$1001,MATCH(ROWS($U$2:U294),$U$2:$U$1001,0),MATCH(COLUMNS($AB$1006:AJ1006),$AB$1006:$AQ$1006,0)), HYPERLINK("#",""), HYPERLINK(CONCATENATE("#Metadata!", ADDRESS(INDEX($W$2:$W$1001,MATCH(ROWS($U$2:U294),$U$2:$U$1001,0),0), INDEX($AB$1004:$AQ$1004,1,MATCH(COLUMNS($AB$1006:AJ1006),$AB$1006:$AQ$1006,0)))),"Fix")))</f>
        <v>0</v>
      </c>
      <c r="K294" s="5">
        <f>IF(OR(INDEX($V$2:$V$1001,MATCH(ROWS($U$2:U294),$U$2:$U$1001,0),1)&gt;=100000,INDEX($AB$1005:$AQ$1005,1,MATCH(COLUMNS($AB$1006:AK1006),$AB$1006:$AQ$1006,0))&gt;=100000), " ",IF(INDEX($AB$2:$AQ$1001,MATCH(ROWS($U$2:U294),$U$2:$U$1001,0),MATCH(COLUMNS($AB$1006:AK1006),$AB$1006:$AQ$1006,0)), HYPERLINK("#",""), HYPERLINK(CONCATENATE("#Metadata!", ADDRESS(INDEX($W$2:$W$1001,MATCH(ROWS($U$2:U294),$U$2:$U$1001,0),0), INDEX($AB$1004:$AQ$1004,1,MATCH(COLUMNS($AB$1006:AK1006),$AB$1006:$AQ$1006,0)))),"Fix")))</f>
        <v>0</v>
      </c>
      <c r="L294" s="5">
        <f>IF(OR(INDEX($V$2:$V$1001,MATCH(ROWS($U$2:U294),$U$2:$U$1001,0),1)&gt;=100000,INDEX($AB$1005:$AQ$1005,1,MATCH(COLUMNS($AB$1006:AL1006),$AB$1006:$AQ$1006,0))&gt;=100000), " ",IF(INDEX($AB$2:$AQ$1001,MATCH(ROWS($U$2:U294),$U$2:$U$1001,0),MATCH(COLUMNS($AB$1006:AL1006),$AB$1006:$AQ$1006,0)), HYPERLINK("#",""), HYPERLINK(CONCATENATE("#Metadata!", ADDRESS(INDEX($W$2:$W$1001,MATCH(ROWS($U$2:U294),$U$2:$U$1001,0),0), INDEX($AB$1004:$AQ$1004,1,MATCH(COLUMNS($AB$1006:AL1006),$AB$1006:$AQ$1006,0)))),"Fix")))</f>
        <v>0</v>
      </c>
      <c r="M294" s="5">
        <f>IF(OR(INDEX($V$2:$V$1001,MATCH(ROWS($U$2:U294),$U$2:$U$1001,0),1)&gt;=100000,INDEX($AB$1005:$AQ$1005,1,MATCH(COLUMNS($AB$1006:AM1006),$AB$1006:$AQ$1006,0))&gt;=100000), " ",IF(INDEX($AB$2:$AQ$1001,MATCH(ROWS($U$2:U294),$U$2:$U$1001,0),MATCH(COLUMNS($AB$1006:AM1006),$AB$1006:$AQ$1006,0)), HYPERLINK("#",""), HYPERLINK(CONCATENATE("#Metadata!", ADDRESS(INDEX($W$2:$W$1001,MATCH(ROWS($U$2:U294),$U$2:$U$1001,0),0), INDEX($AB$1004:$AQ$1004,1,MATCH(COLUMNS($AB$1006:AM1006),$AB$1006:$AQ$1006,0)))),"Fix")))</f>
        <v>0</v>
      </c>
      <c r="N294" s="5">
        <f>IF(OR(INDEX($V$2:$V$1001,MATCH(ROWS($U$2:U294),$U$2:$U$1001,0),1)&gt;=100000,INDEX($AB$1005:$AQ$1005,1,MATCH(COLUMNS($AB$1006:AN1006),$AB$1006:$AQ$1006,0))&gt;=100000), " ",IF(INDEX($AB$2:$AQ$1001,MATCH(ROWS($U$2:U294),$U$2:$U$1001,0),MATCH(COLUMNS($AB$1006:AN1006),$AB$1006:$AQ$1006,0)), HYPERLINK("#",""), HYPERLINK(CONCATENATE("#Metadata!", ADDRESS(INDEX($W$2:$W$1001,MATCH(ROWS($U$2:U294),$U$2:$U$1001,0),0), INDEX($AB$1004:$AQ$1004,1,MATCH(COLUMNS($AB$1006:AN1006),$AB$1006:$AQ$1006,0)))),"Fix")))</f>
        <v>0</v>
      </c>
      <c r="O294" s="5">
        <f>IF(OR(INDEX($V$2:$V$1001,MATCH(ROWS($U$2:U294),$U$2:$U$1001,0),1)&gt;=100000,INDEX($AB$1005:$AQ$1005,1,MATCH(COLUMNS($AB$1006:AO1006),$AB$1006:$AQ$1006,0))&gt;=100000), " ",IF(INDEX($AB$2:$AQ$1001,MATCH(ROWS($U$2:U294),$U$2:$U$1001,0),MATCH(COLUMNS($AB$1006:AO1006),$AB$1006:$AQ$1006,0)), HYPERLINK("#",""), HYPERLINK(CONCATENATE("#Metadata!", ADDRESS(INDEX($W$2:$W$1001,MATCH(ROWS($U$2:U294),$U$2:$U$1001,0),0), INDEX($AB$1004:$AQ$1004,1,MATCH(COLUMNS($AB$1006:AO1006),$AB$1006:$AQ$1006,0)))),"Fix")))</f>
        <v>0</v>
      </c>
      <c r="P294" s="5">
        <f>IF(OR(INDEX($V$2:$V$1001,MATCH(ROWS($U$2:U294),$U$2:$U$1001,0),1)&gt;=100000,INDEX($AB$1005:$AQ$1005,1,MATCH(COLUMNS($AB$1006:AP1006),$AB$1006:$AQ$1006,0))&gt;=100000), " ",IF(INDEX($AB$2:$AQ$1001,MATCH(ROWS($U$2:U294),$U$2:$U$1001,0),MATCH(COLUMNS($AB$1006:AP1006),$AB$1006:$AQ$1006,0)), HYPERLINK("#",""), HYPERLINK(CONCATENATE("#Metadata!", ADDRESS(INDEX($W$2:$W$1001,MATCH(ROWS($U$2:U294),$U$2:$U$1001,0),0), INDEX($AB$1004:$AQ$1004,1,MATCH(COLUMNS($AB$1006:AP1006),$AB$1006:$AQ$1006,0)))),"Fix")))</f>
        <v>0</v>
      </c>
      <c r="Q294" s="5">
        <f>IF(OR(INDEX($V$2:$V$1001,MATCH(ROWS($U$2:U294),$U$2:$U$1001,0),1)&gt;=100000,INDEX($AB$1005:$AQ$1005,1,MATCH(COLUMNS($AB$1006:AQ1006),$AB$1006:$AQ$1006,0))&gt;=100000), " ",IF(INDEX($AB$2:$AQ$1001,MATCH(ROWS($U$2:U294),$U$2:$U$1001,0),MATCH(COLUMNS($AB$1006:AQ1006),$AB$1006:$AQ$1006,0)), HYPERLINK("#",""), HYPERLINK(CONCATENATE("#Metadata!", ADDRESS(INDEX($W$2:$W$1001,MATCH(ROWS($U$2:U294),$U$2:$U$1001,0),0), INDEX($AB$1004:$AQ$1004,1,MATCH(COLUMNS($AB$1006:AQ1006),$AB$1006:$AQ$1006,0)))),"Fix")))</f>
        <v>0</v>
      </c>
      <c r="U294">
        <v>0</v>
      </c>
      <c r="V294">
        <v>0</v>
      </c>
      <c r="W294">
        <v>0</v>
      </c>
      <c r="X294">
        <f>IF(Y294,TRUE,AND(AB294:AQ294))</f>
        <v>0</v>
      </c>
      <c r="Y294">
        <f>COUNTBLANK(Metadata!B294:Q294)=COLUMNS(Metadata!B294:Q294)</f>
        <v>0</v>
      </c>
      <c r="Z294">
        <v>0</v>
      </c>
      <c r="AB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AC294">
        <f>AND(IF(Metadata!C294="",FALSE,TRUE),exact(Metadata!C294,"urban biome"))</f>
        <v>0</v>
      </c>
      <c r="AD294">
        <f>AND(IF(Metadata!D294="",FALSE,TRUE),exact(Metadata!D294,"human-associated habitat"))</f>
        <v>0</v>
      </c>
      <c r="AE294">
        <f>AND(IF(Metadata!E294="",FALSE,TRUE),OR(exact(Metadata!E294,"human-associated"),exact(Metadata!E294,"human-skin"),exact(Metadata!E294,"human-oral"),exact(Metadata!E294,"human-gut"),exact(Metadata!E294,"human-vaginal")))</f>
        <v>0</v>
      </c>
      <c r="AF294">
        <f>AND(IF(Metadata!F294="",FALSE,ISNUMBER(VALUE(Metadata!F294))),Metadata!F294&gt;0)</f>
        <v>0</v>
      </c>
      <c r="AG294">
        <f>AND(IF(Metadata!G294="",FALSE,TRUE),exact(Metadata!G294,"years"))</f>
        <v>0</v>
      </c>
      <c r="AH294">
        <f>OR(AND(IF(Metadata!H294="",FALSE,TRUE),OR(exact(Metadata!H294,"not applicable"),exact(Metadata!H294,"not collected"),exact(Metadata!H294,"not provided"),exact(Metadata!H294,"restricted access"))),AND(IF(Metadata!H294="",FALSE,ISNUMBER(VALUE(Metadata!H294))),Metadata!H294&gt;0))</f>
        <v>0</v>
      </c>
      <c r="AI294">
        <f>AND(IF(Metadata!I294="",FALSE,TRUE),exact(Metadata!I294,"human"))</f>
        <v>0</v>
      </c>
      <c r="AJ294">
        <f>AND(IF(Metadata!J294="",FALSE,ISNUMBER(VALUE(Metadata!J294))),Metadata!J294&gt;0)</f>
        <v>0</v>
      </c>
      <c r="AK294">
        <f>AND(IF(Metadata!K294="",FALSE,TRUE),exact(Metadata!K294,"cm"))</f>
        <v>0</v>
      </c>
      <c r="AL294">
        <f>AND(IF(Metadata!L294="",FALSE,TRUE),exact(Metadata!L294,"Homo sapiens"))</f>
        <v>0</v>
      </c>
      <c r="AM294">
        <f>AND(IF(Metadata!M294="",FALSE,TRUE),exact(Metadata!M294,"9606"))</f>
        <v>0</v>
      </c>
      <c r="AN294">
        <f>AND(IF(Metadata!N294="",FALSE,ISNUMBER(VALUE(Metadata!N294))),Metadata!N294&gt;0)</f>
        <v>0</v>
      </c>
      <c r="AO294">
        <f>AND(IF(Metadata!O294="",FALSE,TRUE),exact(Metadata!O294,"kg"))</f>
        <v>0</v>
      </c>
      <c r="AP294">
        <f>OR(AND(IF(Metadata!P294="",FALSE,TRUE),exact(Metadata!P294,"not provided")),IF(Metadata!P294="",FALSE,TRUE))</f>
        <v>0</v>
      </c>
      <c r="AQ294">
        <f>OR(AND(IF(Metadata!Q294="",FALSE,TRUE),exact(Metadata!Q294,"not provided")),IF(Metadata!Q294="",FALSE,TRUE))</f>
        <v>0</v>
      </c>
    </row>
    <row r="295" spans="1:43">
      <c r="A295" s="4">
        <f>IF(B295=" "," ",HYPERLINK(CONCATENATE("#metadata!",ADDRESS(INDEX($W$2:$W$1001,MATCH(ROWS($U$2:U295),$U$2:$U$1001,0),0),2)),INDEX($Z$2:$Z$1001,MATCH(ROWS($U$2:U295),$U$2:$U$1001,0),0)))</f>
        <v>0</v>
      </c>
      <c r="B295" s="5">
        <f>IF(OR(INDEX($V$2:$V$1001,MATCH(ROWS($U$2:U295),$U$2:$U$1001,0),1)&gt;=100000,INDEX($AB$1005:$AQ$1005,1,MATCH(COLUMNS($AB$1006:AB1006),$AB$1006:$AQ$1006,0))&gt;=100000), " ",IF(INDEX($AB$2:$AQ$1001,MATCH(ROWS($U$2:U295),$U$2:$U$1001,0),MATCH(COLUMNS($AB$1006:AB1006),$AB$1006:$AQ$1006,0)), HYPERLINK("#",""), HYPERLINK(CONCATENATE("#Metadata!", ADDRESS(INDEX($W$2:$W$1001,MATCH(ROWS($U$2:U295),$U$2:$U$1001,0),0), INDEX($AB$1004:$AQ$1004,1,MATCH(COLUMNS($AB$1006:AB1006),$AB$1006:$AQ$1006,0)))),"Fix")))</f>
        <v>0</v>
      </c>
      <c r="C295" s="5">
        <f>IF(OR(INDEX($V$2:$V$1001,MATCH(ROWS($U$2:U295),$U$2:$U$1001,0),1)&gt;=100000,INDEX($AB$1005:$AQ$1005,1,MATCH(COLUMNS($AB$1006:AC1006),$AB$1006:$AQ$1006,0))&gt;=100000), " ",IF(INDEX($AB$2:$AQ$1001,MATCH(ROWS($U$2:U295),$U$2:$U$1001,0),MATCH(COLUMNS($AB$1006:AC1006),$AB$1006:$AQ$1006,0)), HYPERLINK("#",""), HYPERLINK(CONCATENATE("#Metadata!", ADDRESS(INDEX($W$2:$W$1001,MATCH(ROWS($U$2:U295),$U$2:$U$1001,0),0), INDEX($AB$1004:$AQ$1004,1,MATCH(COLUMNS($AB$1006:AC1006),$AB$1006:$AQ$1006,0)))),"Fix")))</f>
        <v>0</v>
      </c>
      <c r="D295" s="5">
        <f>IF(OR(INDEX($V$2:$V$1001,MATCH(ROWS($U$2:U295),$U$2:$U$1001,0),1)&gt;=100000,INDEX($AB$1005:$AQ$1005,1,MATCH(COLUMNS($AB$1006:AD1006),$AB$1006:$AQ$1006,0))&gt;=100000), " ",IF(INDEX($AB$2:$AQ$1001,MATCH(ROWS($U$2:U295),$U$2:$U$1001,0),MATCH(COLUMNS($AB$1006:AD1006),$AB$1006:$AQ$1006,0)), HYPERLINK("#",""), HYPERLINK(CONCATENATE("#Metadata!", ADDRESS(INDEX($W$2:$W$1001,MATCH(ROWS($U$2:U295),$U$2:$U$1001,0),0), INDEX($AB$1004:$AQ$1004,1,MATCH(COLUMNS($AB$1006:AD1006),$AB$1006:$AQ$1006,0)))),"Fix")))</f>
        <v>0</v>
      </c>
      <c r="E295" s="5">
        <f>IF(OR(INDEX($V$2:$V$1001,MATCH(ROWS($U$2:U295),$U$2:$U$1001,0),1)&gt;=100000,INDEX($AB$1005:$AQ$1005,1,MATCH(COLUMNS($AB$1006:AE1006),$AB$1006:$AQ$1006,0))&gt;=100000), " ",IF(INDEX($AB$2:$AQ$1001,MATCH(ROWS($U$2:U295),$U$2:$U$1001,0),MATCH(COLUMNS($AB$1006:AE1006),$AB$1006:$AQ$1006,0)), HYPERLINK("#",""), HYPERLINK(CONCATENATE("#Metadata!", ADDRESS(INDEX($W$2:$W$1001,MATCH(ROWS($U$2:U295),$U$2:$U$1001,0),0), INDEX($AB$1004:$AQ$1004,1,MATCH(COLUMNS($AB$1006:AE1006),$AB$1006:$AQ$1006,0)))),"Fix")))</f>
        <v>0</v>
      </c>
      <c r="F295" s="5">
        <f>IF(OR(INDEX($V$2:$V$1001,MATCH(ROWS($U$2:U295),$U$2:$U$1001,0),1)&gt;=100000,INDEX($AB$1005:$AQ$1005,1,MATCH(COLUMNS($AB$1006:AF1006),$AB$1006:$AQ$1006,0))&gt;=100000), " ",IF(INDEX($AB$2:$AQ$1001,MATCH(ROWS($U$2:U295),$U$2:$U$1001,0),MATCH(COLUMNS($AB$1006:AF1006),$AB$1006:$AQ$1006,0)), HYPERLINK("#",""), HYPERLINK(CONCATENATE("#Metadata!", ADDRESS(INDEX($W$2:$W$1001,MATCH(ROWS($U$2:U295),$U$2:$U$1001,0),0), INDEX($AB$1004:$AQ$1004,1,MATCH(COLUMNS($AB$1006:AF1006),$AB$1006:$AQ$1006,0)))),"Fix")))</f>
        <v>0</v>
      </c>
      <c r="G295" s="5">
        <f>IF(OR(INDEX($V$2:$V$1001,MATCH(ROWS($U$2:U295),$U$2:$U$1001,0),1)&gt;=100000,INDEX($AB$1005:$AQ$1005,1,MATCH(COLUMNS($AB$1006:AG1006),$AB$1006:$AQ$1006,0))&gt;=100000), " ",IF(INDEX($AB$2:$AQ$1001,MATCH(ROWS($U$2:U295),$U$2:$U$1001,0),MATCH(COLUMNS($AB$1006:AG1006),$AB$1006:$AQ$1006,0)), HYPERLINK("#",""), HYPERLINK(CONCATENATE("#Metadata!", ADDRESS(INDEX($W$2:$W$1001,MATCH(ROWS($U$2:U295),$U$2:$U$1001,0),0), INDEX($AB$1004:$AQ$1004,1,MATCH(COLUMNS($AB$1006:AG1006),$AB$1006:$AQ$1006,0)))),"Fix")))</f>
        <v>0</v>
      </c>
      <c r="H295" s="5">
        <f>IF(OR(INDEX($V$2:$V$1001,MATCH(ROWS($U$2:U295),$U$2:$U$1001,0),1)&gt;=100000,INDEX($AB$1005:$AQ$1005,1,MATCH(COLUMNS($AB$1006:AH1006),$AB$1006:$AQ$1006,0))&gt;=100000), " ",IF(INDEX($AB$2:$AQ$1001,MATCH(ROWS($U$2:U295),$U$2:$U$1001,0),MATCH(COLUMNS($AB$1006:AH1006),$AB$1006:$AQ$1006,0)), HYPERLINK("#",""), HYPERLINK(CONCATENATE("#Metadata!", ADDRESS(INDEX($W$2:$W$1001,MATCH(ROWS($U$2:U295),$U$2:$U$1001,0),0), INDEX($AB$1004:$AQ$1004,1,MATCH(COLUMNS($AB$1006:AH1006),$AB$1006:$AQ$1006,0)))),"Fix")))</f>
        <v>0</v>
      </c>
      <c r="I295" s="5">
        <f>IF(OR(INDEX($V$2:$V$1001,MATCH(ROWS($U$2:U295),$U$2:$U$1001,0),1)&gt;=100000,INDEX($AB$1005:$AQ$1005,1,MATCH(COLUMNS($AB$1006:AI1006),$AB$1006:$AQ$1006,0))&gt;=100000), " ",IF(INDEX($AB$2:$AQ$1001,MATCH(ROWS($U$2:U295),$U$2:$U$1001,0),MATCH(COLUMNS($AB$1006:AI1006),$AB$1006:$AQ$1006,0)), HYPERLINK("#",""), HYPERLINK(CONCATENATE("#Metadata!", ADDRESS(INDEX($W$2:$W$1001,MATCH(ROWS($U$2:U295),$U$2:$U$1001,0),0), INDEX($AB$1004:$AQ$1004,1,MATCH(COLUMNS($AB$1006:AI1006),$AB$1006:$AQ$1006,0)))),"Fix")))</f>
        <v>0</v>
      </c>
      <c r="J295" s="5">
        <f>IF(OR(INDEX($V$2:$V$1001,MATCH(ROWS($U$2:U295),$U$2:$U$1001,0),1)&gt;=100000,INDEX($AB$1005:$AQ$1005,1,MATCH(COLUMNS($AB$1006:AJ1006),$AB$1006:$AQ$1006,0))&gt;=100000), " ",IF(INDEX($AB$2:$AQ$1001,MATCH(ROWS($U$2:U295),$U$2:$U$1001,0),MATCH(COLUMNS($AB$1006:AJ1006),$AB$1006:$AQ$1006,0)), HYPERLINK("#",""), HYPERLINK(CONCATENATE("#Metadata!", ADDRESS(INDEX($W$2:$W$1001,MATCH(ROWS($U$2:U295),$U$2:$U$1001,0),0), INDEX($AB$1004:$AQ$1004,1,MATCH(COLUMNS($AB$1006:AJ1006),$AB$1006:$AQ$1006,0)))),"Fix")))</f>
        <v>0</v>
      </c>
      <c r="K295" s="5">
        <f>IF(OR(INDEX($V$2:$V$1001,MATCH(ROWS($U$2:U295),$U$2:$U$1001,0),1)&gt;=100000,INDEX($AB$1005:$AQ$1005,1,MATCH(COLUMNS($AB$1006:AK1006),$AB$1006:$AQ$1006,0))&gt;=100000), " ",IF(INDEX($AB$2:$AQ$1001,MATCH(ROWS($U$2:U295),$U$2:$U$1001,0),MATCH(COLUMNS($AB$1006:AK1006),$AB$1006:$AQ$1006,0)), HYPERLINK("#",""), HYPERLINK(CONCATENATE("#Metadata!", ADDRESS(INDEX($W$2:$W$1001,MATCH(ROWS($U$2:U295),$U$2:$U$1001,0),0), INDEX($AB$1004:$AQ$1004,1,MATCH(COLUMNS($AB$1006:AK1006),$AB$1006:$AQ$1006,0)))),"Fix")))</f>
        <v>0</v>
      </c>
      <c r="L295" s="5">
        <f>IF(OR(INDEX($V$2:$V$1001,MATCH(ROWS($U$2:U295),$U$2:$U$1001,0),1)&gt;=100000,INDEX($AB$1005:$AQ$1005,1,MATCH(COLUMNS($AB$1006:AL1006),$AB$1006:$AQ$1006,0))&gt;=100000), " ",IF(INDEX($AB$2:$AQ$1001,MATCH(ROWS($U$2:U295),$U$2:$U$1001,0),MATCH(COLUMNS($AB$1006:AL1006),$AB$1006:$AQ$1006,0)), HYPERLINK("#",""), HYPERLINK(CONCATENATE("#Metadata!", ADDRESS(INDEX($W$2:$W$1001,MATCH(ROWS($U$2:U295),$U$2:$U$1001,0),0), INDEX($AB$1004:$AQ$1004,1,MATCH(COLUMNS($AB$1006:AL1006),$AB$1006:$AQ$1006,0)))),"Fix")))</f>
        <v>0</v>
      </c>
      <c r="M295" s="5">
        <f>IF(OR(INDEX($V$2:$V$1001,MATCH(ROWS($U$2:U295),$U$2:$U$1001,0),1)&gt;=100000,INDEX($AB$1005:$AQ$1005,1,MATCH(COLUMNS($AB$1006:AM1006),$AB$1006:$AQ$1006,0))&gt;=100000), " ",IF(INDEX($AB$2:$AQ$1001,MATCH(ROWS($U$2:U295),$U$2:$U$1001,0),MATCH(COLUMNS($AB$1006:AM1006),$AB$1006:$AQ$1006,0)), HYPERLINK("#",""), HYPERLINK(CONCATENATE("#Metadata!", ADDRESS(INDEX($W$2:$W$1001,MATCH(ROWS($U$2:U295),$U$2:$U$1001,0),0), INDEX($AB$1004:$AQ$1004,1,MATCH(COLUMNS($AB$1006:AM1006),$AB$1006:$AQ$1006,0)))),"Fix")))</f>
        <v>0</v>
      </c>
      <c r="N295" s="5">
        <f>IF(OR(INDEX($V$2:$V$1001,MATCH(ROWS($U$2:U295),$U$2:$U$1001,0),1)&gt;=100000,INDEX($AB$1005:$AQ$1005,1,MATCH(COLUMNS($AB$1006:AN1006),$AB$1006:$AQ$1006,0))&gt;=100000), " ",IF(INDEX($AB$2:$AQ$1001,MATCH(ROWS($U$2:U295),$U$2:$U$1001,0),MATCH(COLUMNS($AB$1006:AN1006),$AB$1006:$AQ$1006,0)), HYPERLINK("#",""), HYPERLINK(CONCATENATE("#Metadata!", ADDRESS(INDEX($W$2:$W$1001,MATCH(ROWS($U$2:U295),$U$2:$U$1001,0),0), INDEX($AB$1004:$AQ$1004,1,MATCH(COLUMNS($AB$1006:AN1006),$AB$1006:$AQ$1006,0)))),"Fix")))</f>
        <v>0</v>
      </c>
      <c r="O295" s="5">
        <f>IF(OR(INDEX($V$2:$V$1001,MATCH(ROWS($U$2:U295),$U$2:$U$1001,0),1)&gt;=100000,INDEX($AB$1005:$AQ$1005,1,MATCH(COLUMNS($AB$1006:AO1006),$AB$1006:$AQ$1006,0))&gt;=100000), " ",IF(INDEX($AB$2:$AQ$1001,MATCH(ROWS($U$2:U295),$U$2:$U$1001,0),MATCH(COLUMNS($AB$1006:AO1006),$AB$1006:$AQ$1006,0)), HYPERLINK("#",""), HYPERLINK(CONCATENATE("#Metadata!", ADDRESS(INDEX($W$2:$W$1001,MATCH(ROWS($U$2:U295),$U$2:$U$1001,0),0), INDEX($AB$1004:$AQ$1004,1,MATCH(COLUMNS($AB$1006:AO1006),$AB$1006:$AQ$1006,0)))),"Fix")))</f>
        <v>0</v>
      </c>
      <c r="P295" s="5">
        <f>IF(OR(INDEX($V$2:$V$1001,MATCH(ROWS($U$2:U295),$U$2:$U$1001,0),1)&gt;=100000,INDEX($AB$1005:$AQ$1005,1,MATCH(COLUMNS($AB$1006:AP1006),$AB$1006:$AQ$1006,0))&gt;=100000), " ",IF(INDEX($AB$2:$AQ$1001,MATCH(ROWS($U$2:U295),$U$2:$U$1001,0),MATCH(COLUMNS($AB$1006:AP1006),$AB$1006:$AQ$1006,0)), HYPERLINK("#",""), HYPERLINK(CONCATENATE("#Metadata!", ADDRESS(INDEX($W$2:$W$1001,MATCH(ROWS($U$2:U295),$U$2:$U$1001,0),0), INDEX($AB$1004:$AQ$1004,1,MATCH(COLUMNS($AB$1006:AP1006),$AB$1006:$AQ$1006,0)))),"Fix")))</f>
        <v>0</v>
      </c>
      <c r="Q295" s="5">
        <f>IF(OR(INDEX($V$2:$V$1001,MATCH(ROWS($U$2:U295),$U$2:$U$1001,0),1)&gt;=100000,INDEX($AB$1005:$AQ$1005,1,MATCH(COLUMNS($AB$1006:AQ1006),$AB$1006:$AQ$1006,0))&gt;=100000), " ",IF(INDEX($AB$2:$AQ$1001,MATCH(ROWS($U$2:U295),$U$2:$U$1001,0),MATCH(COLUMNS($AB$1006:AQ1006),$AB$1006:$AQ$1006,0)), HYPERLINK("#",""), HYPERLINK(CONCATENATE("#Metadata!", ADDRESS(INDEX($W$2:$W$1001,MATCH(ROWS($U$2:U295),$U$2:$U$1001,0),0), INDEX($AB$1004:$AQ$1004,1,MATCH(COLUMNS($AB$1006:AQ1006),$AB$1006:$AQ$1006,0)))),"Fix")))</f>
        <v>0</v>
      </c>
      <c r="U295">
        <v>0</v>
      </c>
      <c r="V295">
        <v>0</v>
      </c>
      <c r="W295">
        <v>0</v>
      </c>
      <c r="X295">
        <f>IF(Y295,TRUE,AND(AB295:AQ295))</f>
        <v>0</v>
      </c>
      <c r="Y295">
        <f>COUNTBLANK(Metadata!B295:Q295)=COLUMNS(Metadata!B295:Q295)</f>
        <v>0</v>
      </c>
      <c r="Z295">
        <v>0</v>
      </c>
      <c r="AB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AC295">
        <f>AND(IF(Metadata!C295="",FALSE,TRUE),exact(Metadata!C295,"urban biome"))</f>
        <v>0</v>
      </c>
      <c r="AD295">
        <f>AND(IF(Metadata!D295="",FALSE,TRUE),exact(Metadata!D295,"human-associated habitat"))</f>
        <v>0</v>
      </c>
      <c r="AE295">
        <f>AND(IF(Metadata!E295="",FALSE,TRUE),OR(exact(Metadata!E295,"human-associated"),exact(Metadata!E295,"human-skin"),exact(Metadata!E295,"human-oral"),exact(Metadata!E295,"human-gut"),exact(Metadata!E295,"human-vaginal")))</f>
        <v>0</v>
      </c>
      <c r="AF295">
        <f>AND(IF(Metadata!F295="",FALSE,ISNUMBER(VALUE(Metadata!F295))),Metadata!F295&gt;0)</f>
        <v>0</v>
      </c>
      <c r="AG295">
        <f>AND(IF(Metadata!G295="",FALSE,TRUE),exact(Metadata!G295,"years"))</f>
        <v>0</v>
      </c>
      <c r="AH295">
        <f>OR(AND(IF(Metadata!H295="",FALSE,TRUE),OR(exact(Metadata!H295,"not applicable"),exact(Metadata!H295,"not collected"),exact(Metadata!H295,"not provided"),exact(Metadata!H295,"restricted access"))),AND(IF(Metadata!H295="",FALSE,ISNUMBER(VALUE(Metadata!H295))),Metadata!H295&gt;0))</f>
        <v>0</v>
      </c>
      <c r="AI295">
        <f>AND(IF(Metadata!I295="",FALSE,TRUE),exact(Metadata!I295,"human"))</f>
        <v>0</v>
      </c>
      <c r="AJ295">
        <f>AND(IF(Metadata!J295="",FALSE,ISNUMBER(VALUE(Metadata!J295))),Metadata!J295&gt;0)</f>
        <v>0</v>
      </c>
      <c r="AK295">
        <f>AND(IF(Metadata!K295="",FALSE,TRUE),exact(Metadata!K295,"cm"))</f>
        <v>0</v>
      </c>
      <c r="AL295">
        <f>AND(IF(Metadata!L295="",FALSE,TRUE),exact(Metadata!L295,"Homo sapiens"))</f>
        <v>0</v>
      </c>
      <c r="AM295">
        <f>AND(IF(Metadata!M295="",FALSE,TRUE),exact(Metadata!M295,"9606"))</f>
        <v>0</v>
      </c>
      <c r="AN295">
        <f>AND(IF(Metadata!N295="",FALSE,ISNUMBER(VALUE(Metadata!N295))),Metadata!N295&gt;0)</f>
        <v>0</v>
      </c>
      <c r="AO295">
        <f>AND(IF(Metadata!O295="",FALSE,TRUE),exact(Metadata!O295,"kg"))</f>
        <v>0</v>
      </c>
      <c r="AP295">
        <f>OR(AND(IF(Metadata!P295="",FALSE,TRUE),exact(Metadata!P295,"not provided")),IF(Metadata!P295="",FALSE,TRUE))</f>
        <v>0</v>
      </c>
      <c r="AQ295">
        <f>OR(AND(IF(Metadata!Q295="",FALSE,TRUE),exact(Metadata!Q295,"not provided")),IF(Metadata!Q295="",FALSE,TRUE))</f>
        <v>0</v>
      </c>
    </row>
    <row r="296" spans="1:43">
      <c r="A296" s="4">
        <f>IF(B296=" "," ",HYPERLINK(CONCATENATE("#metadata!",ADDRESS(INDEX($W$2:$W$1001,MATCH(ROWS($U$2:U296),$U$2:$U$1001,0),0),2)),INDEX($Z$2:$Z$1001,MATCH(ROWS($U$2:U296),$U$2:$U$1001,0),0)))</f>
        <v>0</v>
      </c>
      <c r="B296" s="5">
        <f>IF(OR(INDEX($V$2:$V$1001,MATCH(ROWS($U$2:U296),$U$2:$U$1001,0),1)&gt;=100000,INDEX($AB$1005:$AQ$1005,1,MATCH(COLUMNS($AB$1006:AB1006),$AB$1006:$AQ$1006,0))&gt;=100000), " ",IF(INDEX($AB$2:$AQ$1001,MATCH(ROWS($U$2:U296),$U$2:$U$1001,0),MATCH(COLUMNS($AB$1006:AB1006),$AB$1006:$AQ$1006,0)), HYPERLINK("#",""), HYPERLINK(CONCATENATE("#Metadata!", ADDRESS(INDEX($W$2:$W$1001,MATCH(ROWS($U$2:U296),$U$2:$U$1001,0),0), INDEX($AB$1004:$AQ$1004,1,MATCH(COLUMNS($AB$1006:AB1006),$AB$1006:$AQ$1006,0)))),"Fix")))</f>
        <v>0</v>
      </c>
      <c r="C296" s="5">
        <f>IF(OR(INDEX($V$2:$V$1001,MATCH(ROWS($U$2:U296),$U$2:$U$1001,0),1)&gt;=100000,INDEX($AB$1005:$AQ$1005,1,MATCH(COLUMNS($AB$1006:AC1006),$AB$1006:$AQ$1006,0))&gt;=100000), " ",IF(INDEX($AB$2:$AQ$1001,MATCH(ROWS($U$2:U296),$U$2:$U$1001,0),MATCH(COLUMNS($AB$1006:AC1006),$AB$1006:$AQ$1006,0)), HYPERLINK("#",""), HYPERLINK(CONCATENATE("#Metadata!", ADDRESS(INDEX($W$2:$W$1001,MATCH(ROWS($U$2:U296),$U$2:$U$1001,0),0), INDEX($AB$1004:$AQ$1004,1,MATCH(COLUMNS($AB$1006:AC1006),$AB$1006:$AQ$1006,0)))),"Fix")))</f>
        <v>0</v>
      </c>
      <c r="D296" s="5">
        <f>IF(OR(INDEX($V$2:$V$1001,MATCH(ROWS($U$2:U296),$U$2:$U$1001,0),1)&gt;=100000,INDEX($AB$1005:$AQ$1005,1,MATCH(COLUMNS($AB$1006:AD1006),$AB$1006:$AQ$1006,0))&gt;=100000), " ",IF(INDEX($AB$2:$AQ$1001,MATCH(ROWS($U$2:U296),$U$2:$U$1001,0),MATCH(COLUMNS($AB$1006:AD1006),$AB$1006:$AQ$1006,0)), HYPERLINK("#",""), HYPERLINK(CONCATENATE("#Metadata!", ADDRESS(INDEX($W$2:$W$1001,MATCH(ROWS($U$2:U296),$U$2:$U$1001,0),0), INDEX($AB$1004:$AQ$1004,1,MATCH(COLUMNS($AB$1006:AD1006),$AB$1006:$AQ$1006,0)))),"Fix")))</f>
        <v>0</v>
      </c>
      <c r="E296" s="5">
        <f>IF(OR(INDEX($V$2:$V$1001,MATCH(ROWS($U$2:U296),$U$2:$U$1001,0),1)&gt;=100000,INDEX($AB$1005:$AQ$1005,1,MATCH(COLUMNS($AB$1006:AE1006),$AB$1006:$AQ$1006,0))&gt;=100000), " ",IF(INDEX($AB$2:$AQ$1001,MATCH(ROWS($U$2:U296),$U$2:$U$1001,0),MATCH(COLUMNS($AB$1006:AE1006),$AB$1006:$AQ$1006,0)), HYPERLINK("#",""), HYPERLINK(CONCATENATE("#Metadata!", ADDRESS(INDEX($W$2:$W$1001,MATCH(ROWS($U$2:U296),$U$2:$U$1001,0),0), INDEX($AB$1004:$AQ$1004,1,MATCH(COLUMNS($AB$1006:AE1006),$AB$1006:$AQ$1006,0)))),"Fix")))</f>
        <v>0</v>
      </c>
      <c r="F296" s="5">
        <f>IF(OR(INDEX($V$2:$V$1001,MATCH(ROWS($U$2:U296),$U$2:$U$1001,0),1)&gt;=100000,INDEX($AB$1005:$AQ$1005,1,MATCH(COLUMNS($AB$1006:AF1006),$AB$1006:$AQ$1006,0))&gt;=100000), " ",IF(INDEX($AB$2:$AQ$1001,MATCH(ROWS($U$2:U296),$U$2:$U$1001,0),MATCH(COLUMNS($AB$1006:AF1006),$AB$1006:$AQ$1006,0)), HYPERLINK("#",""), HYPERLINK(CONCATENATE("#Metadata!", ADDRESS(INDEX($W$2:$W$1001,MATCH(ROWS($U$2:U296),$U$2:$U$1001,0),0), INDEX($AB$1004:$AQ$1004,1,MATCH(COLUMNS($AB$1006:AF1006),$AB$1006:$AQ$1006,0)))),"Fix")))</f>
        <v>0</v>
      </c>
      <c r="G296" s="5">
        <f>IF(OR(INDEX($V$2:$V$1001,MATCH(ROWS($U$2:U296),$U$2:$U$1001,0),1)&gt;=100000,INDEX($AB$1005:$AQ$1005,1,MATCH(COLUMNS($AB$1006:AG1006),$AB$1006:$AQ$1006,0))&gt;=100000), " ",IF(INDEX($AB$2:$AQ$1001,MATCH(ROWS($U$2:U296),$U$2:$U$1001,0),MATCH(COLUMNS($AB$1006:AG1006),$AB$1006:$AQ$1006,0)), HYPERLINK("#",""), HYPERLINK(CONCATENATE("#Metadata!", ADDRESS(INDEX($W$2:$W$1001,MATCH(ROWS($U$2:U296),$U$2:$U$1001,0),0), INDEX($AB$1004:$AQ$1004,1,MATCH(COLUMNS($AB$1006:AG1006),$AB$1006:$AQ$1006,0)))),"Fix")))</f>
        <v>0</v>
      </c>
      <c r="H296" s="5">
        <f>IF(OR(INDEX($V$2:$V$1001,MATCH(ROWS($U$2:U296),$U$2:$U$1001,0),1)&gt;=100000,INDEX($AB$1005:$AQ$1005,1,MATCH(COLUMNS($AB$1006:AH1006),$AB$1006:$AQ$1006,0))&gt;=100000), " ",IF(INDEX($AB$2:$AQ$1001,MATCH(ROWS($U$2:U296),$U$2:$U$1001,0),MATCH(COLUMNS($AB$1006:AH1006),$AB$1006:$AQ$1006,0)), HYPERLINK("#",""), HYPERLINK(CONCATENATE("#Metadata!", ADDRESS(INDEX($W$2:$W$1001,MATCH(ROWS($U$2:U296),$U$2:$U$1001,0),0), INDEX($AB$1004:$AQ$1004,1,MATCH(COLUMNS($AB$1006:AH1006),$AB$1006:$AQ$1006,0)))),"Fix")))</f>
        <v>0</v>
      </c>
      <c r="I296" s="5">
        <f>IF(OR(INDEX($V$2:$V$1001,MATCH(ROWS($U$2:U296),$U$2:$U$1001,0),1)&gt;=100000,INDEX($AB$1005:$AQ$1005,1,MATCH(COLUMNS($AB$1006:AI1006),$AB$1006:$AQ$1006,0))&gt;=100000), " ",IF(INDEX($AB$2:$AQ$1001,MATCH(ROWS($U$2:U296),$U$2:$U$1001,0),MATCH(COLUMNS($AB$1006:AI1006),$AB$1006:$AQ$1006,0)), HYPERLINK("#",""), HYPERLINK(CONCATENATE("#Metadata!", ADDRESS(INDEX($W$2:$W$1001,MATCH(ROWS($U$2:U296),$U$2:$U$1001,0),0), INDEX($AB$1004:$AQ$1004,1,MATCH(COLUMNS($AB$1006:AI1006),$AB$1006:$AQ$1006,0)))),"Fix")))</f>
        <v>0</v>
      </c>
      <c r="J296" s="5">
        <f>IF(OR(INDEX($V$2:$V$1001,MATCH(ROWS($U$2:U296),$U$2:$U$1001,0),1)&gt;=100000,INDEX($AB$1005:$AQ$1005,1,MATCH(COLUMNS($AB$1006:AJ1006),$AB$1006:$AQ$1006,0))&gt;=100000), " ",IF(INDEX($AB$2:$AQ$1001,MATCH(ROWS($U$2:U296),$U$2:$U$1001,0),MATCH(COLUMNS($AB$1006:AJ1006),$AB$1006:$AQ$1006,0)), HYPERLINK("#",""), HYPERLINK(CONCATENATE("#Metadata!", ADDRESS(INDEX($W$2:$W$1001,MATCH(ROWS($U$2:U296),$U$2:$U$1001,0),0), INDEX($AB$1004:$AQ$1004,1,MATCH(COLUMNS($AB$1006:AJ1006),$AB$1006:$AQ$1006,0)))),"Fix")))</f>
        <v>0</v>
      </c>
      <c r="K296" s="5">
        <f>IF(OR(INDEX($V$2:$V$1001,MATCH(ROWS($U$2:U296),$U$2:$U$1001,0),1)&gt;=100000,INDEX($AB$1005:$AQ$1005,1,MATCH(COLUMNS($AB$1006:AK1006),$AB$1006:$AQ$1006,0))&gt;=100000), " ",IF(INDEX($AB$2:$AQ$1001,MATCH(ROWS($U$2:U296),$U$2:$U$1001,0),MATCH(COLUMNS($AB$1006:AK1006),$AB$1006:$AQ$1006,0)), HYPERLINK("#",""), HYPERLINK(CONCATENATE("#Metadata!", ADDRESS(INDEX($W$2:$W$1001,MATCH(ROWS($U$2:U296),$U$2:$U$1001,0),0), INDEX($AB$1004:$AQ$1004,1,MATCH(COLUMNS($AB$1006:AK1006),$AB$1006:$AQ$1006,0)))),"Fix")))</f>
        <v>0</v>
      </c>
      <c r="L296" s="5">
        <f>IF(OR(INDEX($V$2:$V$1001,MATCH(ROWS($U$2:U296),$U$2:$U$1001,0),1)&gt;=100000,INDEX($AB$1005:$AQ$1005,1,MATCH(COLUMNS($AB$1006:AL1006),$AB$1006:$AQ$1006,0))&gt;=100000), " ",IF(INDEX($AB$2:$AQ$1001,MATCH(ROWS($U$2:U296),$U$2:$U$1001,0),MATCH(COLUMNS($AB$1006:AL1006),$AB$1006:$AQ$1006,0)), HYPERLINK("#",""), HYPERLINK(CONCATENATE("#Metadata!", ADDRESS(INDEX($W$2:$W$1001,MATCH(ROWS($U$2:U296),$U$2:$U$1001,0),0), INDEX($AB$1004:$AQ$1004,1,MATCH(COLUMNS($AB$1006:AL1006),$AB$1006:$AQ$1006,0)))),"Fix")))</f>
        <v>0</v>
      </c>
      <c r="M296" s="5">
        <f>IF(OR(INDEX($V$2:$V$1001,MATCH(ROWS($U$2:U296),$U$2:$U$1001,0),1)&gt;=100000,INDEX($AB$1005:$AQ$1005,1,MATCH(COLUMNS($AB$1006:AM1006),$AB$1006:$AQ$1006,0))&gt;=100000), " ",IF(INDEX($AB$2:$AQ$1001,MATCH(ROWS($U$2:U296),$U$2:$U$1001,0),MATCH(COLUMNS($AB$1006:AM1006),$AB$1006:$AQ$1006,0)), HYPERLINK("#",""), HYPERLINK(CONCATENATE("#Metadata!", ADDRESS(INDEX($W$2:$W$1001,MATCH(ROWS($U$2:U296),$U$2:$U$1001,0),0), INDEX($AB$1004:$AQ$1004,1,MATCH(COLUMNS($AB$1006:AM1006),$AB$1006:$AQ$1006,0)))),"Fix")))</f>
        <v>0</v>
      </c>
      <c r="N296" s="5">
        <f>IF(OR(INDEX($V$2:$V$1001,MATCH(ROWS($U$2:U296),$U$2:$U$1001,0),1)&gt;=100000,INDEX($AB$1005:$AQ$1005,1,MATCH(COLUMNS($AB$1006:AN1006),$AB$1006:$AQ$1006,0))&gt;=100000), " ",IF(INDEX($AB$2:$AQ$1001,MATCH(ROWS($U$2:U296),$U$2:$U$1001,0),MATCH(COLUMNS($AB$1006:AN1006),$AB$1006:$AQ$1006,0)), HYPERLINK("#",""), HYPERLINK(CONCATENATE("#Metadata!", ADDRESS(INDEX($W$2:$W$1001,MATCH(ROWS($U$2:U296),$U$2:$U$1001,0),0), INDEX($AB$1004:$AQ$1004,1,MATCH(COLUMNS($AB$1006:AN1006),$AB$1006:$AQ$1006,0)))),"Fix")))</f>
        <v>0</v>
      </c>
      <c r="O296" s="5">
        <f>IF(OR(INDEX($V$2:$V$1001,MATCH(ROWS($U$2:U296),$U$2:$U$1001,0),1)&gt;=100000,INDEX($AB$1005:$AQ$1005,1,MATCH(COLUMNS($AB$1006:AO1006),$AB$1006:$AQ$1006,0))&gt;=100000), " ",IF(INDEX($AB$2:$AQ$1001,MATCH(ROWS($U$2:U296),$U$2:$U$1001,0),MATCH(COLUMNS($AB$1006:AO1006),$AB$1006:$AQ$1006,0)), HYPERLINK("#",""), HYPERLINK(CONCATENATE("#Metadata!", ADDRESS(INDEX($W$2:$W$1001,MATCH(ROWS($U$2:U296),$U$2:$U$1001,0),0), INDEX($AB$1004:$AQ$1004,1,MATCH(COLUMNS($AB$1006:AO1006),$AB$1006:$AQ$1006,0)))),"Fix")))</f>
        <v>0</v>
      </c>
      <c r="P296" s="5">
        <f>IF(OR(INDEX($V$2:$V$1001,MATCH(ROWS($U$2:U296),$U$2:$U$1001,0),1)&gt;=100000,INDEX($AB$1005:$AQ$1005,1,MATCH(COLUMNS($AB$1006:AP1006),$AB$1006:$AQ$1006,0))&gt;=100000), " ",IF(INDEX($AB$2:$AQ$1001,MATCH(ROWS($U$2:U296),$U$2:$U$1001,0),MATCH(COLUMNS($AB$1006:AP1006),$AB$1006:$AQ$1006,0)), HYPERLINK("#",""), HYPERLINK(CONCATENATE("#Metadata!", ADDRESS(INDEX($W$2:$W$1001,MATCH(ROWS($U$2:U296),$U$2:$U$1001,0),0), INDEX($AB$1004:$AQ$1004,1,MATCH(COLUMNS($AB$1006:AP1006),$AB$1006:$AQ$1006,0)))),"Fix")))</f>
        <v>0</v>
      </c>
      <c r="Q296" s="5">
        <f>IF(OR(INDEX($V$2:$V$1001,MATCH(ROWS($U$2:U296),$U$2:$U$1001,0),1)&gt;=100000,INDEX($AB$1005:$AQ$1005,1,MATCH(COLUMNS($AB$1006:AQ1006),$AB$1006:$AQ$1006,0))&gt;=100000), " ",IF(INDEX($AB$2:$AQ$1001,MATCH(ROWS($U$2:U296),$U$2:$U$1001,0),MATCH(COLUMNS($AB$1006:AQ1006),$AB$1006:$AQ$1006,0)), HYPERLINK("#",""), HYPERLINK(CONCATENATE("#Metadata!", ADDRESS(INDEX($W$2:$W$1001,MATCH(ROWS($U$2:U296),$U$2:$U$1001,0),0), INDEX($AB$1004:$AQ$1004,1,MATCH(COLUMNS($AB$1006:AQ1006),$AB$1006:$AQ$1006,0)))),"Fix")))</f>
        <v>0</v>
      </c>
      <c r="U296">
        <v>0</v>
      </c>
      <c r="V296">
        <v>0</v>
      </c>
      <c r="W296">
        <v>0</v>
      </c>
      <c r="X296">
        <f>IF(Y296,TRUE,AND(AB296:AQ296))</f>
        <v>0</v>
      </c>
      <c r="Y296">
        <f>COUNTBLANK(Metadata!B296:Q296)=COLUMNS(Metadata!B296:Q296)</f>
        <v>0</v>
      </c>
      <c r="Z296">
        <v>0</v>
      </c>
      <c r="AB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AC296">
        <f>AND(IF(Metadata!C296="",FALSE,TRUE),exact(Metadata!C296,"urban biome"))</f>
        <v>0</v>
      </c>
      <c r="AD296">
        <f>AND(IF(Metadata!D296="",FALSE,TRUE),exact(Metadata!D296,"human-associated habitat"))</f>
        <v>0</v>
      </c>
      <c r="AE296">
        <f>AND(IF(Metadata!E296="",FALSE,TRUE),OR(exact(Metadata!E296,"human-associated"),exact(Metadata!E296,"human-skin"),exact(Metadata!E296,"human-oral"),exact(Metadata!E296,"human-gut"),exact(Metadata!E296,"human-vaginal")))</f>
        <v>0</v>
      </c>
      <c r="AF296">
        <f>AND(IF(Metadata!F296="",FALSE,ISNUMBER(VALUE(Metadata!F296))),Metadata!F296&gt;0)</f>
        <v>0</v>
      </c>
      <c r="AG296">
        <f>AND(IF(Metadata!G296="",FALSE,TRUE),exact(Metadata!G296,"years"))</f>
        <v>0</v>
      </c>
      <c r="AH296">
        <f>OR(AND(IF(Metadata!H296="",FALSE,TRUE),OR(exact(Metadata!H296,"not applicable"),exact(Metadata!H296,"not collected"),exact(Metadata!H296,"not provided"),exact(Metadata!H296,"restricted access"))),AND(IF(Metadata!H296="",FALSE,ISNUMBER(VALUE(Metadata!H296))),Metadata!H296&gt;0))</f>
        <v>0</v>
      </c>
      <c r="AI296">
        <f>AND(IF(Metadata!I296="",FALSE,TRUE),exact(Metadata!I296,"human"))</f>
        <v>0</v>
      </c>
      <c r="AJ296">
        <f>AND(IF(Metadata!J296="",FALSE,ISNUMBER(VALUE(Metadata!J296))),Metadata!J296&gt;0)</f>
        <v>0</v>
      </c>
      <c r="AK296">
        <f>AND(IF(Metadata!K296="",FALSE,TRUE),exact(Metadata!K296,"cm"))</f>
        <v>0</v>
      </c>
      <c r="AL296">
        <f>AND(IF(Metadata!L296="",FALSE,TRUE),exact(Metadata!L296,"Homo sapiens"))</f>
        <v>0</v>
      </c>
      <c r="AM296">
        <f>AND(IF(Metadata!M296="",FALSE,TRUE),exact(Metadata!M296,"9606"))</f>
        <v>0</v>
      </c>
      <c r="AN296">
        <f>AND(IF(Metadata!N296="",FALSE,ISNUMBER(VALUE(Metadata!N296))),Metadata!N296&gt;0)</f>
        <v>0</v>
      </c>
      <c r="AO296">
        <f>AND(IF(Metadata!O296="",FALSE,TRUE),exact(Metadata!O296,"kg"))</f>
        <v>0</v>
      </c>
      <c r="AP296">
        <f>OR(AND(IF(Metadata!P296="",FALSE,TRUE),exact(Metadata!P296,"not provided")),IF(Metadata!P296="",FALSE,TRUE))</f>
        <v>0</v>
      </c>
      <c r="AQ296">
        <f>OR(AND(IF(Metadata!Q296="",FALSE,TRUE),exact(Metadata!Q296,"not provided")),IF(Metadata!Q296="",FALSE,TRUE))</f>
        <v>0</v>
      </c>
    </row>
    <row r="297" spans="1:43">
      <c r="A297" s="4">
        <f>IF(B297=" "," ",HYPERLINK(CONCATENATE("#metadata!",ADDRESS(INDEX($W$2:$W$1001,MATCH(ROWS($U$2:U297),$U$2:$U$1001,0),0),2)),INDEX($Z$2:$Z$1001,MATCH(ROWS($U$2:U297),$U$2:$U$1001,0),0)))</f>
        <v>0</v>
      </c>
      <c r="B297" s="5">
        <f>IF(OR(INDEX($V$2:$V$1001,MATCH(ROWS($U$2:U297),$U$2:$U$1001,0),1)&gt;=100000,INDEX($AB$1005:$AQ$1005,1,MATCH(COLUMNS($AB$1006:AB1006),$AB$1006:$AQ$1006,0))&gt;=100000), " ",IF(INDEX($AB$2:$AQ$1001,MATCH(ROWS($U$2:U297),$U$2:$U$1001,0),MATCH(COLUMNS($AB$1006:AB1006),$AB$1006:$AQ$1006,0)), HYPERLINK("#",""), HYPERLINK(CONCATENATE("#Metadata!", ADDRESS(INDEX($W$2:$W$1001,MATCH(ROWS($U$2:U297),$U$2:$U$1001,0),0), INDEX($AB$1004:$AQ$1004,1,MATCH(COLUMNS($AB$1006:AB1006),$AB$1006:$AQ$1006,0)))),"Fix")))</f>
        <v>0</v>
      </c>
      <c r="C297" s="5">
        <f>IF(OR(INDEX($V$2:$V$1001,MATCH(ROWS($U$2:U297),$U$2:$U$1001,0),1)&gt;=100000,INDEX($AB$1005:$AQ$1005,1,MATCH(COLUMNS($AB$1006:AC1006),$AB$1006:$AQ$1006,0))&gt;=100000), " ",IF(INDEX($AB$2:$AQ$1001,MATCH(ROWS($U$2:U297),$U$2:$U$1001,0),MATCH(COLUMNS($AB$1006:AC1006),$AB$1006:$AQ$1006,0)), HYPERLINK("#",""), HYPERLINK(CONCATENATE("#Metadata!", ADDRESS(INDEX($W$2:$W$1001,MATCH(ROWS($U$2:U297),$U$2:$U$1001,0),0), INDEX($AB$1004:$AQ$1004,1,MATCH(COLUMNS($AB$1006:AC1006),$AB$1006:$AQ$1006,0)))),"Fix")))</f>
        <v>0</v>
      </c>
      <c r="D297" s="5">
        <f>IF(OR(INDEX($V$2:$V$1001,MATCH(ROWS($U$2:U297),$U$2:$U$1001,0),1)&gt;=100000,INDEX($AB$1005:$AQ$1005,1,MATCH(COLUMNS($AB$1006:AD1006),$AB$1006:$AQ$1006,0))&gt;=100000), " ",IF(INDEX($AB$2:$AQ$1001,MATCH(ROWS($U$2:U297),$U$2:$U$1001,0),MATCH(COLUMNS($AB$1006:AD1006),$AB$1006:$AQ$1006,0)), HYPERLINK("#",""), HYPERLINK(CONCATENATE("#Metadata!", ADDRESS(INDEX($W$2:$W$1001,MATCH(ROWS($U$2:U297),$U$2:$U$1001,0),0), INDEX($AB$1004:$AQ$1004,1,MATCH(COLUMNS($AB$1006:AD1006),$AB$1006:$AQ$1006,0)))),"Fix")))</f>
        <v>0</v>
      </c>
      <c r="E297" s="5">
        <f>IF(OR(INDEX($V$2:$V$1001,MATCH(ROWS($U$2:U297),$U$2:$U$1001,0),1)&gt;=100000,INDEX($AB$1005:$AQ$1005,1,MATCH(COLUMNS($AB$1006:AE1006),$AB$1006:$AQ$1006,0))&gt;=100000), " ",IF(INDEX($AB$2:$AQ$1001,MATCH(ROWS($U$2:U297),$U$2:$U$1001,0),MATCH(COLUMNS($AB$1006:AE1006),$AB$1006:$AQ$1006,0)), HYPERLINK("#",""), HYPERLINK(CONCATENATE("#Metadata!", ADDRESS(INDEX($W$2:$W$1001,MATCH(ROWS($U$2:U297),$U$2:$U$1001,0),0), INDEX($AB$1004:$AQ$1004,1,MATCH(COLUMNS($AB$1006:AE1006),$AB$1006:$AQ$1006,0)))),"Fix")))</f>
        <v>0</v>
      </c>
      <c r="F297" s="5">
        <f>IF(OR(INDEX($V$2:$V$1001,MATCH(ROWS($U$2:U297),$U$2:$U$1001,0),1)&gt;=100000,INDEX($AB$1005:$AQ$1005,1,MATCH(COLUMNS($AB$1006:AF1006),$AB$1006:$AQ$1006,0))&gt;=100000), " ",IF(INDEX($AB$2:$AQ$1001,MATCH(ROWS($U$2:U297),$U$2:$U$1001,0),MATCH(COLUMNS($AB$1006:AF1006),$AB$1006:$AQ$1006,0)), HYPERLINK("#",""), HYPERLINK(CONCATENATE("#Metadata!", ADDRESS(INDEX($W$2:$W$1001,MATCH(ROWS($U$2:U297),$U$2:$U$1001,0),0), INDEX($AB$1004:$AQ$1004,1,MATCH(COLUMNS($AB$1006:AF1006),$AB$1006:$AQ$1006,0)))),"Fix")))</f>
        <v>0</v>
      </c>
      <c r="G297" s="5">
        <f>IF(OR(INDEX($V$2:$V$1001,MATCH(ROWS($U$2:U297),$U$2:$U$1001,0),1)&gt;=100000,INDEX($AB$1005:$AQ$1005,1,MATCH(COLUMNS($AB$1006:AG1006),$AB$1006:$AQ$1006,0))&gt;=100000), " ",IF(INDEX($AB$2:$AQ$1001,MATCH(ROWS($U$2:U297),$U$2:$U$1001,0),MATCH(COLUMNS($AB$1006:AG1006),$AB$1006:$AQ$1006,0)), HYPERLINK("#",""), HYPERLINK(CONCATENATE("#Metadata!", ADDRESS(INDEX($W$2:$W$1001,MATCH(ROWS($U$2:U297),$U$2:$U$1001,0),0), INDEX($AB$1004:$AQ$1004,1,MATCH(COLUMNS($AB$1006:AG1006),$AB$1006:$AQ$1006,0)))),"Fix")))</f>
        <v>0</v>
      </c>
      <c r="H297" s="5">
        <f>IF(OR(INDEX($V$2:$V$1001,MATCH(ROWS($U$2:U297),$U$2:$U$1001,0),1)&gt;=100000,INDEX($AB$1005:$AQ$1005,1,MATCH(COLUMNS($AB$1006:AH1006),$AB$1006:$AQ$1006,0))&gt;=100000), " ",IF(INDEX($AB$2:$AQ$1001,MATCH(ROWS($U$2:U297),$U$2:$U$1001,0),MATCH(COLUMNS($AB$1006:AH1006),$AB$1006:$AQ$1006,0)), HYPERLINK("#",""), HYPERLINK(CONCATENATE("#Metadata!", ADDRESS(INDEX($W$2:$W$1001,MATCH(ROWS($U$2:U297),$U$2:$U$1001,0),0), INDEX($AB$1004:$AQ$1004,1,MATCH(COLUMNS($AB$1006:AH1006),$AB$1006:$AQ$1006,0)))),"Fix")))</f>
        <v>0</v>
      </c>
      <c r="I297" s="5">
        <f>IF(OR(INDEX($V$2:$V$1001,MATCH(ROWS($U$2:U297),$U$2:$U$1001,0),1)&gt;=100000,INDEX($AB$1005:$AQ$1005,1,MATCH(COLUMNS($AB$1006:AI1006),$AB$1006:$AQ$1006,0))&gt;=100000), " ",IF(INDEX($AB$2:$AQ$1001,MATCH(ROWS($U$2:U297),$U$2:$U$1001,0),MATCH(COLUMNS($AB$1006:AI1006),$AB$1006:$AQ$1006,0)), HYPERLINK("#",""), HYPERLINK(CONCATENATE("#Metadata!", ADDRESS(INDEX($W$2:$W$1001,MATCH(ROWS($U$2:U297),$U$2:$U$1001,0),0), INDEX($AB$1004:$AQ$1004,1,MATCH(COLUMNS($AB$1006:AI1006),$AB$1006:$AQ$1006,0)))),"Fix")))</f>
        <v>0</v>
      </c>
      <c r="J297" s="5">
        <f>IF(OR(INDEX($V$2:$V$1001,MATCH(ROWS($U$2:U297),$U$2:$U$1001,0),1)&gt;=100000,INDEX($AB$1005:$AQ$1005,1,MATCH(COLUMNS($AB$1006:AJ1006),$AB$1006:$AQ$1006,0))&gt;=100000), " ",IF(INDEX($AB$2:$AQ$1001,MATCH(ROWS($U$2:U297),$U$2:$U$1001,0),MATCH(COLUMNS($AB$1006:AJ1006),$AB$1006:$AQ$1006,0)), HYPERLINK("#",""), HYPERLINK(CONCATENATE("#Metadata!", ADDRESS(INDEX($W$2:$W$1001,MATCH(ROWS($U$2:U297),$U$2:$U$1001,0),0), INDEX($AB$1004:$AQ$1004,1,MATCH(COLUMNS($AB$1006:AJ1006),$AB$1006:$AQ$1006,0)))),"Fix")))</f>
        <v>0</v>
      </c>
      <c r="K297" s="5">
        <f>IF(OR(INDEX($V$2:$V$1001,MATCH(ROWS($U$2:U297),$U$2:$U$1001,0),1)&gt;=100000,INDEX($AB$1005:$AQ$1005,1,MATCH(COLUMNS($AB$1006:AK1006),$AB$1006:$AQ$1006,0))&gt;=100000), " ",IF(INDEX($AB$2:$AQ$1001,MATCH(ROWS($U$2:U297),$U$2:$U$1001,0),MATCH(COLUMNS($AB$1006:AK1006),$AB$1006:$AQ$1006,0)), HYPERLINK("#",""), HYPERLINK(CONCATENATE("#Metadata!", ADDRESS(INDEX($W$2:$W$1001,MATCH(ROWS($U$2:U297),$U$2:$U$1001,0),0), INDEX($AB$1004:$AQ$1004,1,MATCH(COLUMNS($AB$1006:AK1006),$AB$1006:$AQ$1006,0)))),"Fix")))</f>
        <v>0</v>
      </c>
      <c r="L297" s="5">
        <f>IF(OR(INDEX($V$2:$V$1001,MATCH(ROWS($U$2:U297),$U$2:$U$1001,0),1)&gt;=100000,INDEX($AB$1005:$AQ$1005,1,MATCH(COLUMNS($AB$1006:AL1006),$AB$1006:$AQ$1006,0))&gt;=100000), " ",IF(INDEX($AB$2:$AQ$1001,MATCH(ROWS($U$2:U297),$U$2:$U$1001,0),MATCH(COLUMNS($AB$1006:AL1006),$AB$1006:$AQ$1006,0)), HYPERLINK("#",""), HYPERLINK(CONCATENATE("#Metadata!", ADDRESS(INDEX($W$2:$W$1001,MATCH(ROWS($U$2:U297),$U$2:$U$1001,0),0), INDEX($AB$1004:$AQ$1004,1,MATCH(COLUMNS($AB$1006:AL1006),$AB$1006:$AQ$1006,0)))),"Fix")))</f>
        <v>0</v>
      </c>
      <c r="M297" s="5">
        <f>IF(OR(INDEX($V$2:$V$1001,MATCH(ROWS($U$2:U297),$U$2:$U$1001,0),1)&gt;=100000,INDEX($AB$1005:$AQ$1005,1,MATCH(COLUMNS($AB$1006:AM1006),$AB$1006:$AQ$1006,0))&gt;=100000), " ",IF(INDEX($AB$2:$AQ$1001,MATCH(ROWS($U$2:U297),$U$2:$U$1001,0),MATCH(COLUMNS($AB$1006:AM1006),$AB$1006:$AQ$1006,0)), HYPERLINK("#",""), HYPERLINK(CONCATENATE("#Metadata!", ADDRESS(INDEX($W$2:$W$1001,MATCH(ROWS($U$2:U297),$U$2:$U$1001,0),0), INDEX($AB$1004:$AQ$1004,1,MATCH(COLUMNS($AB$1006:AM1006),$AB$1006:$AQ$1006,0)))),"Fix")))</f>
        <v>0</v>
      </c>
      <c r="N297" s="5">
        <f>IF(OR(INDEX($V$2:$V$1001,MATCH(ROWS($U$2:U297),$U$2:$U$1001,0),1)&gt;=100000,INDEX($AB$1005:$AQ$1005,1,MATCH(COLUMNS($AB$1006:AN1006),$AB$1006:$AQ$1006,0))&gt;=100000), " ",IF(INDEX($AB$2:$AQ$1001,MATCH(ROWS($U$2:U297),$U$2:$U$1001,0),MATCH(COLUMNS($AB$1006:AN1006),$AB$1006:$AQ$1006,0)), HYPERLINK("#",""), HYPERLINK(CONCATENATE("#Metadata!", ADDRESS(INDEX($W$2:$W$1001,MATCH(ROWS($U$2:U297),$U$2:$U$1001,0),0), INDEX($AB$1004:$AQ$1004,1,MATCH(COLUMNS($AB$1006:AN1006),$AB$1006:$AQ$1006,0)))),"Fix")))</f>
        <v>0</v>
      </c>
      <c r="O297" s="5">
        <f>IF(OR(INDEX($V$2:$V$1001,MATCH(ROWS($U$2:U297),$U$2:$U$1001,0),1)&gt;=100000,INDEX($AB$1005:$AQ$1005,1,MATCH(COLUMNS($AB$1006:AO1006),$AB$1006:$AQ$1006,0))&gt;=100000), " ",IF(INDEX($AB$2:$AQ$1001,MATCH(ROWS($U$2:U297),$U$2:$U$1001,0),MATCH(COLUMNS($AB$1006:AO1006),$AB$1006:$AQ$1006,0)), HYPERLINK("#",""), HYPERLINK(CONCATENATE("#Metadata!", ADDRESS(INDEX($W$2:$W$1001,MATCH(ROWS($U$2:U297),$U$2:$U$1001,0),0), INDEX($AB$1004:$AQ$1004,1,MATCH(COLUMNS($AB$1006:AO1006),$AB$1006:$AQ$1006,0)))),"Fix")))</f>
        <v>0</v>
      </c>
      <c r="P297" s="5">
        <f>IF(OR(INDEX($V$2:$V$1001,MATCH(ROWS($U$2:U297),$U$2:$U$1001,0),1)&gt;=100000,INDEX($AB$1005:$AQ$1005,1,MATCH(COLUMNS($AB$1006:AP1006),$AB$1006:$AQ$1006,0))&gt;=100000), " ",IF(INDEX($AB$2:$AQ$1001,MATCH(ROWS($U$2:U297),$U$2:$U$1001,0),MATCH(COLUMNS($AB$1006:AP1006),$AB$1006:$AQ$1006,0)), HYPERLINK("#",""), HYPERLINK(CONCATENATE("#Metadata!", ADDRESS(INDEX($W$2:$W$1001,MATCH(ROWS($U$2:U297),$U$2:$U$1001,0),0), INDEX($AB$1004:$AQ$1004,1,MATCH(COLUMNS($AB$1006:AP1006),$AB$1006:$AQ$1006,0)))),"Fix")))</f>
        <v>0</v>
      </c>
      <c r="Q297" s="5">
        <f>IF(OR(INDEX($V$2:$V$1001,MATCH(ROWS($U$2:U297),$U$2:$U$1001,0),1)&gt;=100000,INDEX($AB$1005:$AQ$1005,1,MATCH(COLUMNS($AB$1006:AQ1006),$AB$1006:$AQ$1006,0))&gt;=100000), " ",IF(INDEX($AB$2:$AQ$1001,MATCH(ROWS($U$2:U297),$U$2:$U$1001,0),MATCH(COLUMNS($AB$1006:AQ1006),$AB$1006:$AQ$1006,0)), HYPERLINK("#",""), HYPERLINK(CONCATENATE("#Metadata!", ADDRESS(INDEX($W$2:$W$1001,MATCH(ROWS($U$2:U297),$U$2:$U$1001,0),0), INDEX($AB$1004:$AQ$1004,1,MATCH(COLUMNS($AB$1006:AQ1006),$AB$1006:$AQ$1006,0)))),"Fix")))</f>
        <v>0</v>
      </c>
      <c r="U297">
        <v>0</v>
      </c>
      <c r="V297">
        <v>0</v>
      </c>
      <c r="W297">
        <v>0</v>
      </c>
      <c r="X297">
        <f>IF(Y297,TRUE,AND(AB297:AQ297))</f>
        <v>0</v>
      </c>
      <c r="Y297">
        <f>COUNTBLANK(Metadata!B297:Q297)=COLUMNS(Metadata!B297:Q297)</f>
        <v>0</v>
      </c>
      <c r="Z297">
        <v>0</v>
      </c>
      <c r="AB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AC297">
        <f>AND(IF(Metadata!C297="",FALSE,TRUE),exact(Metadata!C297,"urban biome"))</f>
        <v>0</v>
      </c>
      <c r="AD297">
        <f>AND(IF(Metadata!D297="",FALSE,TRUE),exact(Metadata!D297,"human-associated habitat"))</f>
        <v>0</v>
      </c>
      <c r="AE297">
        <f>AND(IF(Metadata!E297="",FALSE,TRUE),OR(exact(Metadata!E297,"human-associated"),exact(Metadata!E297,"human-skin"),exact(Metadata!E297,"human-oral"),exact(Metadata!E297,"human-gut"),exact(Metadata!E297,"human-vaginal")))</f>
        <v>0</v>
      </c>
      <c r="AF297">
        <f>AND(IF(Metadata!F297="",FALSE,ISNUMBER(VALUE(Metadata!F297))),Metadata!F297&gt;0)</f>
        <v>0</v>
      </c>
      <c r="AG297">
        <f>AND(IF(Metadata!G297="",FALSE,TRUE),exact(Metadata!G297,"years"))</f>
        <v>0</v>
      </c>
      <c r="AH297">
        <f>OR(AND(IF(Metadata!H297="",FALSE,TRUE),OR(exact(Metadata!H297,"not applicable"),exact(Metadata!H297,"not collected"),exact(Metadata!H297,"not provided"),exact(Metadata!H297,"restricted access"))),AND(IF(Metadata!H297="",FALSE,ISNUMBER(VALUE(Metadata!H297))),Metadata!H297&gt;0))</f>
        <v>0</v>
      </c>
      <c r="AI297">
        <f>AND(IF(Metadata!I297="",FALSE,TRUE),exact(Metadata!I297,"human"))</f>
        <v>0</v>
      </c>
      <c r="AJ297">
        <f>AND(IF(Metadata!J297="",FALSE,ISNUMBER(VALUE(Metadata!J297))),Metadata!J297&gt;0)</f>
        <v>0</v>
      </c>
      <c r="AK297">
        <f>AND(IF(Metadata!K297="",FALSE,TRUE),exact(Metadata!K297,"cm"))</f>
        <v>0</v>
      </c>
      <c r="AL297">
        <f>AND(IF(Metadata!L297="",FALSE,TRUE),exact(Metadata!L297,"Homo sapiens"))</f>
        <v>0</v>
      </c>
      <c r="AM297">
        <f>AND(IF(Metadata!M297="",FALSE,TRUE),exact(Metadata!M297,"9606"))</f>
        <v>0</v>
      </c>
      <c r="AN297">
        <f>AND(IF(Metadata!N297="",FALSE,ISNUMBER(VALUE(Metadata!N297))),Metadata!N297&gt;0)</f>
        <v>0</v>
      </c>
      <c r="AO297">
        <f>AND(IF(Metadata!O297="",FALSE,TRUE),exact(Metadata!O297,"kg"))</f>
        <v>0</v>
      </c>
      <c r="AP297">
        <f>OR(AND(IF(Metadata!P297="",FALSE,TRUE),exact(Metadata!P297,"not provided")),IF(Metadata!P297="",FALSE,TRUE))</f>
        <v>0</v>
      </c>
      <c r="AQ297">
        <f>OR(AND(IF(Metadata!Q297="",FALSE,TRUE),exact(Metadata!Q297,"not provided")),IF(Metadata!Q297="",FALSE,TRUE))</f>
        <v>0</v>
      </c>
    </row>
    <row r="298" spans="1:43">
      <c r="A298" s="4">
        <f>IF(B298=" "," ",HYPERLINK(CONCATENATE("#metadata!",ADDRESS(INDEX($W$2:$W$1001,MATCH(ROWS($U$2:U298),$U$2:$U$1001,0),0),2)),INDEX($Z$2:$Z$1001,MATCH(ROWS($U$2:U298),$U$2:$U$1001,0),0)))</f>
        <v>0</v>
      </c>
      <c r="B298" s="5">
        <f>IF(OR(INDEX($V$2:$V$1001,MATCH(ROWS($U$2:U298),$U$2:$U$1001,0),1)&gt;=100000,INDEX($AB$1005:$AQ$1005,1,MATCH(COLUMNS($AB$1006:AB1006),$AB$1006:$AQ$1006,0))&gt;=100000), " ",IF(INDEX($AB$2:$AQ$1001,MATCH(ROWS($U$2:U298),$U$2:$U$1001,0),MATCH(COLUMNS($AB$1006:AB1006),$AB$1006:$AQ$1006,0)), HYPERLINK("#",""), HYPERLINK(CONCATENATE("#Metadata!", ADDRESS(INDEX($W$2:$W$1001,MATCH(ROWS($U$2:U298),$U$2:$U$1001,0),0), INDEX($AB$1004:$AQ$1004,1,MATCH(COLUMNS($AB$1006:AB1006),$AB$1006:$AQ$1006,0)))),"Fix")))</f>
        <v>0</v>
      </c>
      <c r="C298" s="5">
        <f>IF(OR(INDEX($V$2:$V$1001,MATCH(ROWS($U$2:U298),$U$2:$U$1001,0),1)&gt;=100000,INDEX($AB$1005:$AQ$1005,1,MATCH(COLUMNS($AB$1006:AC1006),$AB$1006:$AQ$1006,0))&gt;=100000), " ",IF(INDEX($AB$2:$AQ$1001,MATCH(ROWS($U$2:U298),$U$2:$U$1001,0),MATCH(COLUMNS($AB$1006:AC1006),$AB$1006:$AQ$1006,0)), HYPERLINK("#",""), HYPERLINK(CONCATENATE("#Metadata!", ADDRESS(INDEX($W$2:$W$1001,MATCH(ROWS($U$2:U298),$U$2:$U$1001,0),0), INDEX($AB$1004:$AQ$1004,1,MATCH(COLUMNS($AB$1006:AC1006),$AB$1006:$AQ$1006,0)))),"Fix")))</f>
        <v>0</v>
      </c>
      <c r="D298" s="5">
        <f>IF(OR(INDEX($V$2:$V$1001,MATCH(ROWS($U$2:U298),$U$2:$U$1001,0),1)&gt;=100000,INDEX($AB$1005:$AQ$1005,1,MATCH(COLUMNS($AB$1006:AD1006),$AB$1006:$AQ$1006,0))&gt;=100000), " ",IF(INDEX($AB$2:$AQ$1001,MATCH(ROWS($U$2:U298),$U$2:$U$1001,0),MATCH(COLUMNS($AB$1006:AD1006),$AB$1006:$AQ$1006,0)), HYPERLINK("#",""), HYPERLINK(CONCATENATE("#Metadata!", ADDRESS(INDEX($W$2:$W$1001,MATCH(ROWS($U$2:U298),$U$2:$U$1001,0),0), INDEX($AB$1004:$AQ$1004,1,MATCH(COLUMNS($AB$1006:AD1006),$AB$1006:$AQ$1006,0)))),"Fix")))</f>
        <v>0</v>
      </c>
      <c r="E298" s="5">
        <f>IF(OR(INDEX($V$2:$V$1001,MATCH(ROWS($U$2:U298),$U$2:$U$1001,0),1)&gt;=100000,INDEX($AB$1005:$AQ$1005,1,MATCH(COLUMNS($AB$1006:AE1006),$AB$1006:$AQ$1006,0))&gt;=100000), " ",IF(INDEX($AB$2:$AQ$1001,MATCH(ROWS($U$2:U298),$U$2:$U$1001,0),MATCH(COLUMNS($AB$1006:AE1006),$AB$1006:$AQ$1006,0)), HYPERLINK("#",""), HYPERLINK(CONCATENATE("#Metadata!", ADDRESS(INDEX($W$2:$W$1001,MATCH(ROWS($U$2:U298),$U$2:$U$1001,0),0), INDEX($AB$1004:$AQ$1004,1,MATCH(COLUMNS($AB$1006:AE1006),$AB$1006:$AQ$1006,0)))),"Fix")))</f>
        <v>0</v>
      </c>
      <c r="F298" s="5">
        <f>IF(OR(INDEX($V$2:$V$1001,MATCH(ROWS($U$2:U298),$U$2:$U$1001,0),1)&gt;=100000,INDEX($AB$1005:$AQ$1005,1,MATCH(COLUMNS($AB$1006:AF1006),$AB$1006:$AQ$1006,0))&gt;=100000), " ",IF(INDEX($AB$2:$AQ$1001,MATCH(ROWS($U$2:U298),$U$2:$U$1001,0),MATCH(COLUMNS($AB$1006:AF1006),$AB$1006:$AQ$1006,0)), HYPERLINK("#",""), HYPERLINK(CONCATENATE("#Metadata!", ADDRESS(INDEX($W$2:$W$1001,MATCH(ROWS($U$2:U298),$U$2:$U$1001,0),0), INDEX($AB$1004:$AQ$1004,1,MATCH(COLUMNS($AB$1006:AF1006),$AB$1006:$AQ$1006,0)))),"Fix")))</f>
        <v>0</v>
      </c>
      <c r="G298" s="5">
        <f>IF(OR(INDEX($V$2:$V$1001,MATCH(ROWS($U$2:U298),$U$2:$U$1001,0),1)&gt;=100000,INDEX($AB$1005:$AQ$1005,1,MATCH(COLUMNS($AB$1006:AG1006),$AB$1006:$AQ$1006,0))&gt;=100000), " ",IF(INDEX($AB$2:$AQ$1001,MATCH(ROWS($U$2:U298),$U$2:$U$1001,0),MATCH(COLUMNS($AB$1006:AG1006),$AB$1006:$AQ$1006,0)), HYPERLINK("#",""), HYPERLINK(CONCATENATE("#Metadata!", ADDRESS(INDEX($W$2:$W$1001,MATCH(ROWS($U$2:U298),$U$2:$U$1001,0),0), INDEX($AB$1004:$AQ$1004,1,MATCH(COLUMNS($AB$1006:AG1006),$AB$1006:$AQ$1006,0)))),"Fix")))</f>
        <v>0</v>
      </c>
      <c r="H298" s="5">
        <f>IF(OR(INDEX($V$2:$V$1001,MATCH(ROWS($U$2:U298),$U$2:$U$1001,0),1)&gt;=100000,INDEX($AB$1005:$AQ$1005,1,MATCH(COLUMNS($AB$1006:AH1006),$AB$1006:$AQ$1006,0))&gt;=100000), " ",IF(INDEX($AB$2:$AQ$1001,MATCH(ROWS($U$2:U298),$U$2:$U$1001,0),MATCH(COLUMNS($AB$1006:AH1006),$AB$1006:$AQ$1006,0)), HYPERLINK("#",""), HYPERLINK(CONCATENATE("#Metadata!", ADDRESS(INDEX($W$2:$W$1001,MATCH(ROWS($U$2:U298),$U$2:$U$1001,0),0), INDEX($AB$1004:$AQ$1004,1,MATCH(COLUMNS($AB$1006:AH1006),$AB$1006:$AQ$1006,0)))),"Fix")))</f>
        <v>0</v>
      </c>
      <c r="I298" s="5">
        <f>IF(OR(INDEX($V$2:$V$1001,MATCH(ROWS($U$2:U298),$U$2:$U$1001,0),1)&gt;=100000,INDEX($AB$1005:$AQ$1005,1,MATCH(COLUMNS($AB$1006:AI1006),$AB$1006:$AQ$1006,0))&gt;=100000), " ",IF(INDEX($AB$2:$AQ$1001,MATCH(ROWS($U$2:U298),$U$2:$U$1001,0),MATCH(COLUMNS($AB$1006:AI1006),$AB$1006:$AQ$1006,0)), HYPERLINK("#",""), HYPERLINK(CONCATENATE("#Metadata!", ADDRESS(INDEX($W$2:$W$1001,MATCH(ROWS($U$2:U298),$U$2:$U$1001,0),0), INDEX($AB$1004:$AQ$1004,1,MATCH(COLUMNS($AB$1006:AI1006),$AB$1006:$AQ$1006,0)))),"Fix")))</f>
        <v>0</v>
      </c>
      <c r="J298" s="5">
        <f>IF(OR(INDEX($V$2:$V$1001,MATCH(ROWS($U$2:U298),$U$2:$U$1001,0),1)&gt;=100000,INDEX($AB$1005:$AQ$1005,1,MATCH(COLUMNS($AB$1006:AJ1006),$AB$1006:$AQ$1006,0))&gt;=100000), " ",IF(INDEX($AB$2:$AQ$1001,MATCH(ROWS($U$2:U298),$U$2:$U$1001,0),MATCH(COLUMNS($AB$1006:AJ1006),$AB$1006:$AQ$1006,0)), HYPERLINK("#",""), HYPERLINK(CONCATENATE("#Metadata!", ADDRESS(INDEX($W$2:$W$1001,MATCH(ROWS($U$2:U298),$U$2:$U$1001,0),0), INDEX($AB$1004:$AQ$1004,1,MATCH(COLUMNS($AB$1006:AJ1006),$AB$1006:$AQ$1006,0)))),"Fix")))</f>
        <v>0</v>
      </c>
      <c r="K298" s="5">
        <f>IF(OR(INDEX($V$2:$V$1001,MATCH(ROWS($U$2:U298),$U$2:$U$1001,0),1)&gt;=100000,INDEX($AB$1005:$AQ$1005,1,MATCH(COLUMNS($AB$1006:AK1006),$AB$1006:$AQ$1006,0))&gt;=100000), " ",IF(INDEX($AB$2:$AQ$1001,MATCH(ROWS($U$2:U298),$U$2:$U$1001,0),MATCH(COLUMNS($AB$1006:AK1006),$AB$1006:$AQ$1006,0)), HYPERLINK("#",""), HYPERLINK(CONCATENATE("#Metadata!", ADDRESS(INDEX($W$2:$W$1001,MATCH(ROWS($U$2:U298),$U$2:$U$1001,0),0), INDEX($AB$1004:$AQ$1004,1,MATCH(COLUMNS($AB$1006:AK1006),$AB$1006:$AQ$1006,0)))),"Fix")))</f>
        <v>0</v>
      </c>
      <c r="L298" s="5">
        <f>IF(OR(INDEX($V$2:$V$1001,MATCH(ROWS($U$2:U298),$U$2:$U$1001,0),1)&gt;=100000,INDEX($AB$1005:$AQ$1005,1,MATCH(COLUMNS($AB$1006:AL1006),$AB$1006:$AQ$1006,0))&gt;=100000), " ",IF(INDEX($AB$2:$AQ$1001,MATCH(ROWS($U$2:U298),$U$2:$U$1001,0),MATCH(COLUMNS($AB$1006:AL1006),$AB$1006:$AQ$1006,0)), HYPERLINK("#",""), HYPERLINK(CONCATENATE("#Metadata!", ADDRESS(INDEX($W$2:$W$1001,MATCH(ROWS($U$2:U298),$U$2:$U$1001,0),0), INDEX($AB$1004:$AQ$1004,1,MATCH(COLUMNS($AB$1006:AL1006),$AB$1006:$AQ$1006,0)))),"Fix")))</f>
        <v>0</v>
      </c>
      <c r="M298" s="5">
        <f>IF(OR(INDEX($V$2:$V$1001,MATCH(ROWS($U$2:U298),$U$2:$U$1001,0),1)&gt;=100000,INDEX($AB$1005:$AQ$1005,1,MATCH(COLUMNS($AB$1006:AM1006),$AB$1006:$AQ$1006,0))&gt;=100000), " ",IF(INDEX($AB$2:$AQ$1001,MATCH(ROWS($U$2:U298),$U$2:$U$1001,0),MATCH(COLUMNS($AB$1006:AM1006),$AB$1006:$AQ$1006,0)), HYPERLINK("#",""), HYPERLINK(CONCATENATE("#Metadata!", ADDRESS(INDEX($W$2:$W$1001,MATCH(ROWS($U$2:U298),$U$2:$U$1001,0),0), INDEX($AB$1004:$AQ$1004,1,MATCH(COLUMNS($AB$1006:AM1006),$AB$1006:$AQ$1006,0)))),"Fix")))</f>
        <v>0</v>
      </c>
      <c r="N298" s="5">
        <f>IF(OR(INDEX($V$2:$V$1001,MATCH(ROWS($U$2:U298),$U$2:$U$1001,0),1)&gt;=100000,INDEX($AB$1005:$AQ$1005,1,MATCH(COLUMNS($AB$1006:AN1006),$AB$1006:$AQ$1006,0))&gt;=100000), " ",IF(INDEX($AB$2:$AQ$1001,MATCH(ROWS($U$2:U298),$U$2:$U$1001,0),MATCH(COLUMNS($AB$1006:AN1006),$AB$1006:$AQ$1006,0)), HYPERLINK("#",""), HYPERLINK(CONCATENATE("#Metadata!", ADDRESS(INDEX($W$2:$W$1001,MATCH(ROWS($U$2:U298),$U$2:$U$1001,0),0), INDEX($AB$1004:$AQ$1004,1,MATCH(COLUMNS($AB$1006:AN1006),$AB$1006:$AQ$1006,0)))),"Fix")))</f>
        <v>0</v>
      </c>
      <c r="O298" s="5">
        <f>IF(OR(INDEX($V$2:$V$1001,MATCH(ROWS($U$2:U298),$U$2:$U$1001,0),1)&gt;=100000,INDEX($AB$1005:$AQ$1005,1,MATCH(COLUMNS($AB$1006:AO1006),$AB$1006:$AQ$1006,0))&gt;=100000), " ",IF(INDEX($AB$2:$AQ$1001,MATCH(ROWS($U$2:U298),$U$2:$U$1001,0),MATCH(COLUMNS($AB$1006:AO1006),$AB$1006:$AQ$1006,0)), HYPERLINK("#",""), HYPERLINK(CONCATENATE("#Metadata!", ADDRESS(INDEX($W$2:$W$1001,MATCH(ROWS($U$2:U298),$U$2:$U$1001,0),0), INDEX($AB$1004:$AQ$1004,1,MATCH(COLUMNS($AB$1006:AO1006),$AB$1006:$AQ$1006,0)))),"Fix")))</f>
        <v>0</v>
      </c>
      <c r="P298" s="5">
        <f>IF(OR(INDEX($V$2:$V$1001,MATCH(ROWS($U$2:U298),$U$2:$U$1001,0),1)&gt;=100000,INDEX($AB$1005:$AQ$1005,1,MATCH(COLUMNS($AB$1006:AP1006),$AB$1006:$AQ$1006,0))&gt;=100000), " ",IF(INDEX($AB$2:$AQ$1001,MATCH(ROWS($U$2:U298),$U$2:$U$1001,0),MATCH(COLUMNS($AB$1006:AP1006),$AB$1006:$AQ$1006,0)), HYPERLINK("#",""), HYPERLINK(CONCATENATE("#Metadata!", ADDRESS(INDEX($W$2:$W$1001,MATCH(ROWS($U$2:U298),$U$2:$U$1001,0),0), INDEX($AB$1004:$AQ$1004,1,MATCH(COLUMNS($AB$1006:AP1006),$AB$1006:$AQ$1006,0)))),"Fix")))</f>
        <v>0</v>
      </c>
      <c r="Q298" s="5">
        <f>IF(OR(INDEX($V$2:$V$1001,MATCH(ROWS($U$2:U298),$U$2:$U$1001,0),1)&gt;=100000,INDEX($AB$1005:$AQ$1005,1,MATCH(COLUMNS($AB$1006:AQ1006),$AB$1006:$AQ$1006,0))&gt;=100000), " ",IF(INDEX($AB$2:$AQ$1001,MATCH(ROWS($U$2:U298),$U$2:$U$1001,0),MATCH(COLUMNS($AB$1006:AQ1006),$AB$1006:$AQ$1006,0)), HYPERLINK("#",""), HYPERLINK(CONCATENATE("#Metadata!", ADDRESS(INDEX($W$2:$W$1001,MATCH(ROWS($U$2:U298),$U$2:$U$1001,0),0), INDEX($AB$1004:$AQ$1004,1,MATCH(COLUMNS($AB$1006:AQ1006),$AB$1006:$AQ$1006,0)))),"Fix")))</f>
        <v>0</v>
      </c>
      <c r="U298">
        <v>0</v>
      </c>
      <c r="V298">
        <v>0</v>
      </c>
      <c r="W298">
        <v>0</v>
      </c>
      <c r="X298">
        <f>IF(Y298,TRUE,AND(AB298:AQ298))</f>
        <v>0</v>
      </c>
      <c r="Y298">
        <f>COUNTBLANK(Metadata!B298:Q298)=COLUMNS(Metadata!B298:Q298)</f>
        <v>0</v>
      </c>
      <c r="Z298">
        <v>0</v>
      </c>
      <c r="AB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AC298">
        <f>AND(IF(Metadata!C298="",FALSE,TRUE),exact(Metadata!C298,"urban biome"))</f>
        <v>0</v>
      </c>
      <c r="AD298">
        <f>AND(IF(Metadata!D298="",FALSE,TRUE),exact(Metadata!D298,"human-associated habitat"))</f>
        <v>0</v>
      </c>
      <c r="AE298">
        <f>AND(IF(Metadata!E298="",FALSE,TRUE),OR(exact(Metadata!E298,"human-associated"),exact(Metadata!E298,"human-skin"),exact(Metadata!E298,"human-oral"),exact(Metadata!E298,"human-gut"),exact(Metadata!E298,"human-vaginal")))</f>
        <v>0</v>
      </c>
      <c r="AF298">
        <f>AND(IF(Metadata!F298="",FALSE,ISNUMBER(VALUE(Metadata!F298))),Metadata!F298&gt;0)</f>
        <v>0</v>
      </c>
      <c r="AG298">
        <f>AND(IF(Metadata!G298="",FALSE,TRUE),exact(Metadata!G298,"years"))</f>
        <v>0</v>
      </c>
      <c r="AH298">
        <f>OR(AND(IF(Metadata!H298="",FALSE,TRUE),OR(exact(Metadata!H298,"not applicable"),exact(Metadata!H298,"not collected"),exact(Metadata!H298,"not provided"),exact(Metadata!H298,"restricted access"))),AND(IF(Metadata!H298="",FALSE,ISNUMBER(VALUE(Metadata!H298))),Metadata!H298&gt;0))</f>
        <v>0</v>
      </c>
      <c r="AI298">
        <f>AND(IF(Metadata!I298="",FALSE,TRUE),exact(Metadata!I298,"human"))</f>
        <v>0</v>
      </c>
      <c r="AJ298">
        <f>AND(IF(Metadata!J298="",FALSE,ISNUMBER(VALUE(Metadata!J298))),Metadata!J298&gt;0)</f>
        <v>0</v>
      </c>
      <c r="AK298">
        <f>AND(IF(Metadata!K298="",FALSE,TRUE),exact(Metadata!K298,"cm"))</f>
        <v>0</v>
      </c>
      <c r="AL298">
        <f>AND(IF(Metadata!L298="",FALSE,TRUE),exact(Metadata!L298,"Homo sapiens"))</f>
        <v>0</v>
      </c>
      <c r="AM298">
        <f>AND(IF(Metadata!M298="",FALSE,TRUE),exact(Metadata!M298,"9606"))</f>
        <v>0</v>
      </c>
      <c r="AN298">
        <f>AND(IF(Metadata!N298="",FALSE,ISNUMBER(VALUE(Metadata!N298))),Metadata!N298&gt;0)</f>
        <v>0</v>
      </c>
      <c r="AO298">
        <f>AND(IF(Metadata!O298="",FALSE,TRUE),exact(Metadata!O298,"kg"))</f>
        <v>0</v>
      </c>
      <c r="AP298">
        <f>OR(AND(IF(Metadata!P298="",FALSE,TRUE),exact(Metadata!P298,"not provided")),IF(Metadata!P298="",FALSE,TRUE))</f>
        <v>0</v>
      </c>
      <c r="AQ298">
        <f>OR(AND(IF(Metadata!Q298="",FALSE,TRUE),exact(Metadata!Q298,"not provided")),IF(Metadata!Q298="",FALSE,TRUE))</f>
        <v>0</v>
      </c>
    </row>
    <row r="299" spans="1:43">
      <c r="A299" s="4">
        <f>IF(B299=" "," ",HYPERLINK(CONCATENATE("#metadata!",ADDRESS(INDEX($W$2:$W$1001,MATCH(ROWS($U$2:U299),$U$2:$U$1001,0),0),2)),INDEX($Z$2:$Z$1001,MATCH(ROWS($U$2:U299),$U$2:$U$1001,0),0)))</f>
        <v>0</v>
      </c>
      <c r="B299" s="5">
        <f>IF(OR(INDEX($V$2:$V$1001,MATCH(ROWS($U$2:U299),$U$2:$U$1001,0),1)&gt;=100000,INDEX($AB$1005:$AQ$1005,1,MATCH(COLUMNS($AB$1006:AB1006),$AB$1006:$AQ$1006,0))&gt;=100000), " ",IF(INDEX($AB$2:$AQ$1001,MATCH(ROWS($U$2:U299),$U$2:$U$1001,0),MATCH(COLUMNS($AB$1006:AB1006),$AB$1006:$AQ$1006,0)), HYPERLINK("#",""), HYPERLINK(CONCATENATE("#Metadata!", ADDRESS(INDEX($W$2:$W$1001,MATCH(ROWS($U$2:U299),$U$2:$U$1001,0),0), INDEX($AB$1004:$AQ$1004,1,MATCH(COLUMNS($AB$1006:AB1006),$AB$1006:$AQ$1006,0)))),"Fix")))</f>
        <v>0</v>
      </c>
      <c r="C299" s="5">
        <f>IF(OR(INDEX($V$2:$V$1001,MATCH(ROWS($U$2:U299),$U$2:$U$1001,0),1)&gt;=100000,INDEX($AB$1005:$AQ$1005,1,MATCH(COLUMNS($AB$1006:AC1006),$AB$1006:$AQ$1006,0))&gt;=100000), " ",IF(INDEX($AB$2:$AQ$1001,MATCH(ROWS($U$2:U299),$U$2:$U$1001,0),MATCH(COLUMNS($AB$1006:AC1006),$AB$1006:$AQ$1006,0)), HYPERLINK("#",""), HYPERLINK(CONCATENATE("#Metadata!", ADDRESS(INDEX($W$2:$W$1001,MATCH(ROWS($U$2:U299),$U$2:$U$1001,0),0), INDEX($AB$1004:$AQ$1004,1,MATCH(COLUMNS($AB$1006:AC1006),$AB$1006:$AQ$1006,0)))),"Fix")))</f>
        <v>0</v>
      </c>
      <c r="D299" s="5">
        <f>IF(OR(INDEX($V$2:$V$1001,MATCH(ROWS($U$2:U299),$U$2:$U$1001,0),1)&gt;=100000,INDEX($AB$1005:$AQ$1005,1,MATCH(COLUMNS($AB$1006:AD1006),$AB$1006:$AQ$1006,0))&gt;=100000), " ",IF(INDEX($AB$2:$AQ$1001,MATCH(ROWS($U$2:U299),$U$2:$U$1001,0),MATCH(COLUMNS($AB$1006:AD1006),$AB$1006:$AQ$1006,0)), HYPERLINK("#",""), HYPERLINK(CONCATENATE("#Metadata!", ADDRESS(INDEX($W$2:$W$1001,MATCH(ROWS($U$2:U299),$U$2:$U$1001,0),0), INDEX($AB$1004:$AQ$1004,1,MATCH(COLUMNS($AB$1006:AD1006),$AB$1006:$AQ$1006,0)))),"Fix")))</f>
        <v>0</v>
      </c>
      <c r="E299" s="5">
        <f>IF(OR(INDEX($V$2:$V$1001,MATCH(ROWS($U$2:U299),$U$2:$U$1001,0),1)&gt;=100000,INDEX($AB$1005:$AQ$1005,1,MATCH(COLUMNS($AB$1006:AE1006),$AB$1006:$AQ$1006,0))&gt;=100000), " ",IF(INDEX($AB$2:$AQ$1001,MATCH(ROWS($U$2:U299),$U$2:$U$1001,0),MATCH(COLUMNS($AB$1006:AE1006),$AB$1006:$AQ$1006,0)), HYPERLINK("#",""), HYPERLINK(CONCATENATE("#Metadata!", ADDRESS(INDEX($W$2:$W$1001,MATCH(ROWS($U$2:U299),$U$2:$U$1001,0),0), INDEX($AB$1004:$AQ$1004,1,MATCH(COLUMNS($AB$1006:AE1006),$AB$1006:$AQ$1006,0)))),"Fix")))</f>
        <v>0</v>
      </c>
      <c r="F299" s="5">
        <f>IF(OR(INDEX($V$2:$V$1001,MATCH(ROWS($U$2:U299),$U$2:$U$1001,0),1)&gt;=100000,INDEX($AB$1005:$AQ$1005,1,MATCH(COLUMNS($AB$1006:AF1006),$AB$1006:$AQ$1006,0))&gt;=100000), " ",IF(INDEX($AB$2:$AQ$1001,MATCH(ROWS($U$2:U299),$U$2:$U$1001,0),MATCH(COLUMNS($AB$1006:AF1006),$AB$1006:$AQ$1006,0)), HYPERLINK("#",""), HYPERLINK(CONCATENATE("#Metadata!", ADDRESS(INDEX($W$2:$W$1001,MATCH(ROWS($U$2:U299),$U$2:$U$1001,0),0), INDEX($AB$1004:$AQ$1004,1,MATCH(COLUMNS($AB$1006:AF1006),$AB$1006:$AQ$1006,0)))),"Fix")))</f>
        <v>0</v>
      </c>
      <c r="G299" s="5">
        <f>IF(OR(INDEX($V$2:$V$1001,MATCH(ROWS($U$2:U299),$U$2:$U$1001,0),1)&gt;=100000,INDEX($AB$1005:$AQ$1005,1,MATCH(COLUMNS($AB$1006:AG1006),$AB$1006:$AQ$1006,0))&gt;=100000), " ",IF(INDEX($AB$2:$AQ$1001,MATCH(ROWS($U$2:U299),$U$2:$U$1001,0),MATCH(COLUMNS($AB$1006:AG1006),$AB$1006:$AQ$1006,0)), HYPERLINK("#",""), HYPERLINK(CONCATENATE("#Metadata!", ADDRESS(INDEX($W$2:$W$1001,MATCH(ROWS($U$2:U299),$U$2:$U$1001,0),0), INDEX($AB$1004:$AQ$1004,1,MATCH(COLUMNS($AB$1006:AG1006),$AB$1006:$AQ$1006,0)))),"Fix")))</f>
        <v>0</v>
      </c>
      <c r="H299" s="5">
        <f>IF(OR(INDEX($V$2:$V$1001,MATCH(ROWS($U$2:U299),$U$2:$U$1001,0),1)&gt;=100000,INDEX($AB$1005:$AQ$1005,1,MATCH(COLUMNS($AB$1006:AH1006),$AB$1006:$AQ$1006,0))&gt;=100000), " ",IF(INDEX($AB$2:$AQ$1001,MATCH(ROWS($U$2:U299),$U$2:$U$1001,0),MATCH(COLUMNS($AB$1006:AH1006),$AB$1006:$AQ$1006,0)), HYPERLINK("#",""), HYPERLINK(CONCATENATE("#Metadata!", ADDRESS(INDEX($W$2:$W$1001,MATCH(ROWS($U$2:U299),$U$2:$U$1001,0),0), INDEX($AB$1004:$AQ$1004,1,MATCH(COLUMNS($AB$1006:AH1006),$AB$1006:$AQ$1006,0)))),"Fix")))</f>
        <v>0</v>
      </c>
      <c r="I299" s="5">
        <f>IF(OR(INDEX($V$2:$V$1001,MATCH(ROWS($U$2:U299),$U$2:$U$1001,0),1)&gt;=100000,INDEX($AB$1005:$AQ$1005,1,MATCH(COLUMNS($AB$1006:AI1006),$AB$1006:$AQ$1006,0))&gt;=100000), " ",IF(INDEX($AB$2:$AQ$1001,MATCH(ROWS($U$2:U299),$U$2:$U$1001,0),MATCH(COLUMNS($AB$1006:AI1006),$AB$1006:$AQ$1006,0)), HYPERLINK("#",""), HYPERLINK(CONCATENATE("#Metadata!", ADDRESS(INDEX($W$2:$W$1001,MATCH(ROWS($U$2:U299),$U$2:$U$1001,0),0), INDEX($AB$1004:$AQ$1004,1,MATCH(COLUMNS($AB$1006:AI1006),$AB$1006:$AQ$1006,0)))),"Fix")))</f>
        <v>0</v>
      </c>
      <c r="J299" s="5">
        <f>IF(OR(INDEX($V$2:$V$1001,MATCH(ROWS($U$2:U299),$U$2:$U$1001,0),1)&gt;=100000,INDEX($AB$1005:$AQ$1005,1,MATCH(COLUMNS($AB$1006:AJ1006),$AB$1006:$AQ$1006,0))&gt;=100000), " ",IF(INDEX($AB$2:$AQ$1001,MATCH(ROWS($U$2:U299),$U$2:$U$1001,0),MATCH(COLUMNS($AB$1006:AJ1006),$AB$1006:$AQ$1006,0)), HYPERLINK("#",""), HYPERLINK(CONCATENATE("#Metadata!", ADDRESS(INDEX($W$2:$W$1001,MATCH(ROWS($U$2:U299),$U$2:$U$1001,0),0), INDEX($AB$1004:$AQ$1004,1,MATCH(COLUMNS($AB$1006:AJ1006),$AB$1006:$AQ$1006,0)))),"Fix")))</f>
        <v>0</v>
      </c>
      <c r="K299" s="5">
        <f>IF(OR(INDEX($V$2:$V$1001,MATCH(ROWS($U$2:U299),$U$2:$U$1001,0),1)&gt;=100000,INDEX($AB$1005:$AQ$1005,1,MATCH(COLUMNS($AB$1006:AK1006),$AB$1006:$AQ$1006,0))&gt;=100000), " ",IF(INDEX($AB$2:$AQ$1001,MATCH(ROWS($U$2:U299),$U$2:$U$1001,0),MATCH(COLUMNS($AB$1006:AK1006),$AB$1006:$AQ$1006,0)), HYPERLINK("#",""), HYPERLINK(CONCATENATE("#Metadata!", ADDRESS(INDEX($W$2:$W$1001,MATCH(ROWS($U$2:U299),$U$2:$U$1001,0),0), INDEX($AB$1004:$AQ$1004,1,MATCH(COLUMNS($AB$1006:AK1006),$AB$1006:$AQ$1006,0)))),"Fix")))</f>
        <v>0</v>
      </c>
      <c r="L299" s="5">
        <f>IF(OR(INDEX($V$2:$V$1001,MATCH(ROWS($U$2:U299),$U$2:$U$1001,0),1)&gt;=100000,INDEX($AB$1005:$AQ$1005,1,MATCH(COLUMNS($AB$1006:AL1006),$AB$1006:$AQ$1006,0))&gt;=100000), " ",IF(INDEX($AB$2:$AQ$1001,MATCH(ROWS($U$2:U299),$U$2:$U$1001,0),MATCH(COLUMNS($AB$1006:AL1006),$AB$1006:$AQ$1006,0)), HYPERLINK("#",""), HYPERLINK(CONCATENATE("#Metadata!", ADDRESS(INDEX($W$2:$W$1001,MATCH(ROWS($U$2:U299),$U$2:$U$1001,0),0), INDEX($AB$1004:$AQ$1004,1,MATCH(COLUMNS($AB$1006:AL1006),$AB$1006:$AQ$1006,0)))),"Fix")))</f>
        <v>0</v>
      </c>
      <c r="M299" s="5">
        <f>IF(OR(INDEX($V$2:$V$1001,MATCH(ROWS($U$2:U299),$U$2:$U$1001,0),1)&gt;=100000,INDEX($AB$1005:$AQ$1005,1,MATCH(COLUMNS($AB$1006:AM1006),$AB$1006:$AQ$1006,0))&gt;=100000), " ",IF(INDEX($AB$2:$AQ$1001,MATCH(ROWS($U$2:U299),$U$2:$U$1001,0),MATCH(COLUMNS($AB$1006:AM1006),$AB$1006:$AQ$1006,0)), HYPERLINK("#",""), HYPERLINK(CONCATENATE("#Metadata!", ADDRESS(INDEX($W$2:$W$1001,MATCH(ROWS($U$2:U299),$U$2:$U$1001,0),0), INDEX($AB$1004:$AQ$1004,1,MATCH(COLUMNS($AB$1006:AM1006),$AB$1006:$AQ$1006,0)))),"Fix")))</f>
        <v>0</v>
      </c>
      <c r="N299" s="5">
        <f>IF(OR(INDEX($V$2:$V$1001,MATCH(ROWS($U$2:U299),$U$2:$U$1001,0),1)&gt;=100000,INDEX($AB$1005:$AQ$1005,1,MATCH(COLUMNS($AB$1006:AN1006),$AB$1006:$AQ$1006,0))&gt;=100000), " ",IF(INDEX($AB$2:$AQ$1001,MATCH(ROWS($U$2:U299),$U$2:$U$1001,0),MATCH(COLUMNS($AB$1006:AN1006),$AB$1006:$AQ$1006,0)), HYPERLINK("#",""), HYPERLINK(CONCATENATE("#Metadata!", ADDRESS(INDEX($W$2:$W$1001,MATCH(ROWS($U$2:U299),$U$2:$U$1001,0),0), INDEX($AB$1004:$AQ$1004,1,MATCH(COLUMNS($AB$1006:AN1006),$AB$1006:$AQ$1006,0)))),"Fix")))</f>
        <v>0</v>
      </c>
      <c r="O299" s="5">
        <f>IF(OR(INDEX($V$2:$V$1001,MATCH(ROWS($U$2:U299),$U$2:$U$1001,0),1)&gt;=100000,INDEX($AB$1005:$AQ$1005,1,MATCH(COLUMNS($AB$1006:AO1006),$AB$1006:$AQ$1006,0))&gt;=100000), " ",IF(INDEX($AB$2:$AQ$1001,MATCH(ROWS($U$2:U299),$U$2:$U$1001,0),MATCH(COLUMNS($AB$1006:AO1006),$AB$1006:$AQ$1006,0)), HYPERLINK("#",""), HYPERLINK(CONCATENATE("#Metadata!", ADDRESS(INDEX($W$2:$W$1001,MATCH(ROWS($U$2:U299),$U$2:$U$1001,0),0), INDEX($AB$1004:$AQ$1004,1,MATCH(COLUMNS($AB$1006:AO1006),$AB$1006:$AQ$1006,0)))),"Fix")))</f>
        <v>0</v>
      </c>
      <c r="P299" s="5">
        <f>IF(OR(INDEX($V$2:$V$1001,MATCH(ROWS($U$2:U299),$U$2:$U$1001,0),1)&gt;=100000,INDEX($AB$1005:$AQ$1005,1,MATCH(COLUMNS($AB$1006:AP1006),$AB$1006:$AQ$1006,0))&gt;=100000), " ",IF(INDEX($AB$2:$AQ$1001,MATCH(ROWS($U$2:U299),$U$2:$U$1001,0),MATCH(COLUMNS($AB$1006:AP1006),$AB$1006:$AQ$1006,0)), HYPERLINK("#",""), HYPERLINK(CONCATENATE("#Metadata!", ADDRESS(INDEX($W$2:$W$1001,MATCH(ROWS($U$2:U299),$U$2:$U$1001,0),0), INDEX($AB$1004:$AQ$1004,1,MATCH(COLUMNS($AB$1006:AP1006),$AB$1006:$AQ$1006,0)))),"Fix")))</f>
        <v>0</v>
      </c>
      <c r="Q299" s="5">
        <f>IF(OR(INDEX($V$2:$V$1001,MATCH(ROWS($U$2:U299),$U$2:$U$1001,0),1)&gt;=100000,INDEX($AB$1005:$AQ$1005,1,MATCH(COLUMNS($AB$1006:AQ1006),$AB$1006:$AQ$1006,0))&gt;=100000), " ",IF(INDEX($AB$2:$AQ$1001,MATCH(ROWS($U$2:U299),$U$2:$U$1001,0),MATCH(COLUMNS($AB$1006:AQ1006),$AB$1006:$AQ$1006,0)), HYPERLINK("#",""), HYPERLINK(CONCATENATE("#Metadata!", ADDRESS(INDEX($W$2:$W$1001,MATCH(ROWS($U$2:U299),$U$2:$U$1001,0),0), INDEX($AB$1004:$AQ$1004,1,MATCH(COLUMNS($AB$1006:AQ1006),$AB$1006:$AQ$1006,0)))),"Fix")))</f>
        <v>0</v>
      </c>
      <c r="U299">
        <v>0</v>
      </c>
      <c r="V299">
        <v>0</v>
      </c>
      <c r="W299">
        <v>0</v>
      </c>
      <c r="X299">
        <f>IF(Y299,TRUE,AND(AB299:AQ299))</f>
        <v>0</v>
      </c>
      <c r="Y299">
        <f>COUNTBLANK(Metadata!B299:Q299)=COLUMNS(Metadata!B299:Q299)</f>
        <v>0</v>
      </c>
      <c r="Z299">
        <v>0</v>
      </c>
      <c r="AB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AC299">
        <f>AND(IF(Metadata!C299="",FALSE,TRUE),exact(Metadata!C299,"urban biome"))</f>
        <v>0</v>
      </c>
      <c r="AD299">
        <f>AND(IF(Metadata!D299="",FALSE,TRUE),exact(Metadata!D299,"human-associated habitat"))</f>
        <v>0</v>
      </c>
      <c r="AE299">
        <f>AND(IF(Metadata!E299="",FALSE,TRUE),OR(exact(Metadata!E299,"human-associated"),exact(Metadata!E299,"human-skin"),exact(Metadata!E299,"human-oral"),exact(Metadata!E299,"human-gut"),exact(Metadata!E299,"human-vaginal")))</f>
        <v>0</v>
      </c>
      <c r="AF299">
        <f>AND(IF(Metadata!F299="",FALSE,ISNUMBER(VALUE(Metadata!F299))),Metadata!F299&gt;0)</f>
        <v>0</v>
      </c>
      <c r="AG299">
        <f>AND(IF(Metadata!G299="",FALSE,TRUE),exact(Metadata!G299,"years"))</f>
        <v>0</v>
      </c>
      <c r="AH299">
        <f>OR(AND(IF(Metadata!H299="",FALSE,TRUE),OR(exact(Metadata!H299,"not applicable"),exact(Metadata!H299,"not collected"),exact(Metadata!H299,"not provided"),exact(Metadata!H299,"restricted access"))),AND(IF(Metadata!H299="",FALSE,ISNUMBER(VALUE(Metadata!H299))),Metadata!H299&gt;0))</f>
        <v>0</v>
      </c>
      <c r="AI299">
        <f>AND(IF(Metadata!I299="",FALSE,TRUE),exact(Metadata!I299,"human"))</f>
        <v>0</v>
      </c>
      <c r="AJ299">
        <f>AND(IF(Metadata!J299="",FALSE,ISNUMBER(VALUE(Metadata!J299))),Metadata!J299&gt;0)</f>
        <v>0</v>
      </c>
      <c r="AK299">
        <f>AND(IF(Metadata!K299="",FALSE,TRUE),exact(Metadata!K299,"cm"))</f>
        <v>0</v>
      </c>
      <c r="AL299">
        <f>AND(IF(Metadata!L299="",FALSE,TRUE),exact(Metadata!L299,"Homo sapiens"))</f>
        <v>0</v>
      </c>
      <c r="AM299">
        <f>AND(IF(Metadata!M299="",FALSE,TRUE),exact(Metadata!M299,"9606"))</f>
        <v>0</v>
      </c>
      <c r="AN299">
        <f>AND(IF(Metadata!N299="",FALSE,ISNUMBER(VALUE(Metadata!N299))),Metadata!N299&gt;0)</f>
        <v>0</v>
      </c>
      <c r="AO299">
        <f>AND(IF(Metadata!O299="",FALSE,TRUE),exact(Metadata!O299,"kg"))</f>
        <v>0</v>
      </c>
      <c r="AP299">
        <f>OR(AND(IF(Metadata!P299="",FALSE,TRUE),exact(Metadata!P299,"not provided")),IF(Metadata!P299="",FALSE,TRUE))</f>
        <v>0</v>
      </c>
      <c r="AQ299">
        <f>OR(AND(IF(Metadata!Q299="",FALSE,TRUE),exact(Metadata!Q299,"not provided")),IF(Metadata!Q299="",FALSE,TRUE))</f>
        <v>0</v>
      </c>
    </row>
    <row r="300" spans="1:43">
      <c r="A300" s="4">
        <f>IF(B300=" "," ",HYPERLINK(CONCATENATE("#metadata!",ADDRESS(INDEX($W$2:$W$1001,MATCH(ROWS($U$2:U300),$U$2:$U$1001,0),0),2)),INDEX($Z$2:$Z$1001,MATCH(ROWS($U$2:U300),$U$2:$U$1001,0),0)))</f>
        <v>0</v>
      </c>
      <c r="B300" s="5">
        <f>IF(OR(INDEX($V$2:$V$1001,MATCH(ROWS($U$2:U300),$U$2:$U$1001,0),1)&gt;=100000,INDEX($AB$1005:$AQ$1005,1,MATCH(COLUMNS($AB$1006:AB1006),$AB$1006:$AQ$1006,0))&gt;=100000), " ",IF(INDEX($AB$2:$AQ$1001,MATCH(ROWS($U$2:U300),$U$2:$U$1001,0),MATCH(COLUMNS($AB$1006:AB1006),$AB$1006:$AQ$1006,0)), HYPERLINK("#",""), HYPERLINK(CONCATENATE("#Metadata!", ADDRESS(INDEX($W$2:$W$1001,MATCH(ROWS($U$2:U300),$U$2:$U$1001,0),0), INDEX($AB$1004:$AQ$1004,1,MATCH(COLUMNS($AB$1006:AB1006),$AB$1006:$AQ$1006,0)))),"Fix")))</f>
        <v>0</v>
      </c>
      <c r="C300" s="5">
        <f>IF(OR(INDEX($V$2:$V$1001,MATCH(ROWS($U$2:U300),$U$2:$U$1001,0),1)&gt;=100000,INDEX($AB$1005:$AQ$1005,1,MATCH(COLUMNS($AB$1006:AC1006),$AB$1006:$AQ$1006,0))&gt;=100000), " ",IF(INDEX($AB$2:$AQ$1001,MATCH(ROWS($U$2:U300),$U$2:$U$1001,0),MATCH(COLUMNS($AB$1006:AC1006),$AB$1006:$AQ$1006,0)), HYPERLINK("#",""), HYPERLINK(CONCATENATE("#Metadata!", ADDRESS(INDEX($W$2:$W$1001,MATCH(ROWS($U$2:U300),$U$2:$U$1001,0),0), INDEX($AB$1004:$AQ$1004,1,MATCH(COLUMNS($AB$1006:AC1006),$AB$1006:$AQ$1006,0)))),"Fix")))</f>
        <v>0</v>
      </c>
      <c r="D300" s="5">
        <f>IF(OR(INDEX($V$2:$V$1001,MATCH(ROWS($U$2:U300),$U$2:$U$1001,0),1)&gt;=100000,INDEX($AB$1005:$AQ$1005,1,MATCH(COLUMNS($AB$1006:AD1006),$AB$1006:$AQ$1006,0))&gt;=100000), " ",IF(INDEX($AB$2:$AQ$1001,MATCH(ROWS($U$2:U300),$U$2:$U$1001,0),MATCH(COLUMNS($AB$1006:AD1006),$AB$1006:$AQ$1006,0)), HYPERLINK("#",""), HYPERLINK(CONCATENATE("#Metadata!", ADDRESS(INDEX($W$2:$W$1001,MATCH(ROWS($U$2:U300),$U$2:$U$1001,0),0), INDEX($AB$1004:$AQ$1004,1,MATCH(COLUMNS($AB$1006:AD1006),$AB$1006:$AQ$1006,0)))),"Fix")))</f>
        <v>0</v>
      </c>
      <c r="E300" s="5">
        <f>IF(OR(INDEX($V$2:$V$1001,MATCH(ROWS($U$2:U300),$U$2:$U$1001,0),1)&gt;=100000,INDEX($AB$1005:$AQ$1005,1,MATCH(COLUMNS($AB$1006:AE1006),$AB$1006:$AQ$1006,0))&gt;=100000), " ",IF(INDEX($AB$2:$AQ$1001,MATCH(ROWS($U$2:U300),$U$2:$U$1001,0),MATCH(COLUMNS($AB$1006:AE1006),$AB$1006:$AQ$1006,0)), HYPERLINK("#",""), HYPERLINK(CONCATENATE("#Metadata!", ADDRESS(INDEX($W$2:$W$1001,MATCH(ROWS($U$2:U300),$U$2:$U$1001,0),0), INDEX($AB$1004:$AQ$1004,1,MATCH(COLUMNS($AB$1006:AE1006),$AB$1006:$AQ$1006,0)))),"Fix")))</f>
        <v>0</v>
      </c>
      <c r="F300" s="5">
        <f>IF(OR(INDEX($V$2:$V$1001,MATCH(ROWS($U$2:U300),$U$2:$U$1001,0),1)&gt;=100000,INDEX($AB$1005:$AQ$1005,1,MATCH(COLUMNS($AB$1006:AF1006),$AB$1006:$AQ$1006,0))&gt;=100000), " ",IF(INDEX($AB$2:$AQ$1001,MATCH(ROWS($U$2:U300),$U$2:$U$1001,0),MATCH(COLUMNS($AB$1006:AF1006),$AB$1006:$AQ$1006,0)), HYPERLINK("#",""), HYPERLINK(CONCATENATE("#Metadata!", ADDRESS(INDEX($W$2:$W$1001,MATCH(ROWS($U$2:U300),$U$2:$U$1001,0),0), INDEX($AB$1004:$AQ$1004,1,MATCH(COLUMNS($AB$1006:AF1006),$AB$1006:$AQ$1006,0)))),"Fix")))</f>
        <v>0</v>
      </c>
      <c r="G300" s="5">
        <f>IF(OR(INDEX($V$2:$V$1001,MATCH(ROWS($U$2:U300),$U$2:$U$1001,0),1)&gt;=100000,INDEX($AB$1005:$AQ$1005,1,MATCH(COLUMNS($AB$1006:AG1006),$AB$1006:$AQ$1006,0))&gt;=100000), " ",IF(INDEX($AB$2:$AQ$1001,MATCH(ROWS($U$2:U300),$U$2:$U$1001,0),MATCH(COLUMNS($AB$1006:AG1006),$AB$1006:$AQ$1006,0)), HYPERLINK("#",""), HYPERLINK(CONCATENATE("#Metadata!", ADDRESS(INDEX($W$2:$W$1001,MATCH(ROWS($U$2:U300),$U$2:$U$1001,0),0), INDEX($AB$1004:$AQ$1004,1,MATCH(COLUMNS($AB$1006:AG1006),$AB$1006:$AQ$1006,0)))),"Fix")))</f>
        <v>0</v>
      </c>
      <c r="H300" s="5">
        <f>IF(OR(INDEX($V$2:$V$1001,MATCH(ROWS($U$2:U300),$U$2:$U$1001,0),1)&gt;=100000,INDEX($AB$1005:$AQ$1005,1,MATCH(COLUMNS($AB$1006:AH1006),$AB$1006:$AQ$1006,0))&gt;=100000), " ",IF(INDEX($AB$2:$AQ$1001,MATCH(ROWS($U$2:U300),$U$2:$U$1001,0),MATCH(COLUMNS($AB$1006:AH1006),$AB$1006:$AQ$1006,0)), HYPERLINK("#",""), HYPERLINK(CONCATENATE("#Metadata!", ADDRESS(INDEX($W$2:$W$1001,MATCH(ROWS($U$2:U300),$U$2:$U$1001,0),0), INDEX($AB$1004:$AQ$1004,1,MATCH(COLUMNS($AB$1006:AH1006),$AB$1006:$AQ$1006,0)))),"Fix")))</f>
        <v>0</v>
      </c>
      <c r="I300" s="5">
        <f>IF(OR(INDEX($V$2:$V$1001,MATCH(ROWS($U$2:U300),$U$2:$U$1001,0),1)&gt;=100000,INDEX($AB$1005:$AQ$1005,1,MATCH(COLUMNS($AB$1006:AI1006),$AB$1006:$AQ$1006,0))&gt;=100000), " ",IF(INDEX($AB$2:$AQ$1001,MATCH(ROWS($U$2:U300),$U$2:$U$1001,0),MATCH(COLUMNS($AB$1006:AI1006),$AB$1006:$AQ$1006,0)), HYPERLINK("#",""), HYPERLINK(CONCATENATE("#Metadata!", ADDRESS(INDEX($W$2:$W$1001,MATCH(ROWS($U$2:U300),$U$2:$U$1001,0),0), INDEX($AB$1004:$AQ$1004,1,MATCH(COLUMNS($AB$1006:AI1006),$AB$1006:$AQ$1006,0)))),"Fix")))</f>
        <v>0</v>
      </c>
      <c r="J300" s="5">
        <f>IF(OR(INDEX($V$2:$V$1001,MATCH(ROWS($U$2:U300),$U$2:$U$1001,0),1)&gt;=100000,INDEX($AB$1005:$AQ$1005,1,MATCH(COLUMNS($AB$1006:AJ1006),$AB$1006:$AQ$1006,0))&gt;=100000), " ",IF(INDEX($AB$2:$AQ$1001,MATCH(ROWS($U$2:U300),$U$2:$U$1001,0),MATCH(COLUMNS($AB$1006:AJ1006),$AB$1006:$AQ$1006,0)), HYPERLINK("#",""), HYPERLINK(CONCATENATE("#Metadata!", ADDRESS(INDEX($W$2:$W$1001,MATCH(ROWS($U$2:U300),$U$2:$U$1001,0),0), INDEX($AB$1004:$AQ$1004,1,MATCH(COLUMNS($AB$1006:AJ1006),$AB$1006:$AQ$1006,0)))),"Fix")))</f>
        <v>0</v>
      </c>
      <c r="K300" s="5">
        <f>IF(OR(INDEX($V$2:$V$1001,MATCH(ROWS($U$2:U300),$U$2:$U$1001,0),1)&gt;=100000,INDEX($AB$1005:$AQ$1005,1,MATCH(COLUMNS($AB$1006:AK1006),$AB$1006:$AQ$1006,0))&gt;=100000), " ",IF(INDEX($AB$2:$AQ$1001,MATCH(ROWS($U$2:U300),$U$2:$U$1001,0),MATCH(COLUMNS($AB$1006:AK1006),$AB$1006:$AQ$1006,0)), HYPERLINK("#",""), HYPERLINK(CONCATENATE("#Metadata!", ADDRESS(INDEX($W$2:$W$1001,MATCH(ROWS($U$2:U300),$U$2:$U$1001,0),0), INDEX($AB$1004:$AQ$1004,1,MATCH(COLUMNS($AB$1006:AK1006),$AB$1006:$AQ$1006,0)))),"Fix")))</f>
        <v>0</v>
      </c>
      <c r="L300" s="5">
        <f>IF(OR(INDEX($V$2:$V$1001,MATCH(ROWS($U$2:U300),$U$2:$U$1001,0),1)&gt;=100000,INDEX($AB$1005:$AQ$1005,1,MATCH(COLUMNS($AB$1006:AL1006),$AB$1006:$AQ$1006,0))&gt;=100000), " ",IF(INDEX($AB$2:$AQ$1001,MATCH(ROWS($U$2:U300),$U$2:$U$1001,0),MATCH(COLUMNS($AB$1006:AL1006),$AB$1006:$AQ$1006,0)), HYPERLINK("#",""), HYPERLINK(CONCATENATE("#Metadata!", ADDRESS(INDEX($W$2:$W$1001,MATCH(ROWS($U$2:U300),$U$2:$U$1001,0),0), INDEX($AB$1004:$AQ$1004,1,MATCH(COLUMNS($AB$1006:AL1006),$AB$1006:$AQ$1006,0)))),"Fix")))</f>
        <v>0</v>
      </c>
      <c r="M300" s="5">
        <f>IF(OR(INDEX($V$2:$V$1001,MATCH(ROWS($U$2:U300),$U$2:$U$1001,0),1)&gt;=100000,INDEX($AB$1005:$AQ$1005,1,MATCH(COLUMNS($AB$1006:AM1006),$AB$1006:$AQ$1006,0))&gt;=100000), " ",IF(INDEX($AB$2:$AQ$1001,MATCH(ROWS($U$2:U300),$U$2:$U$1001,0),MATCH(COLUMNS($AB$1006:AM1006),$AB$1006:$AQ$1006,0)), HYPERLINK("#",""), HYPERLINK(CONCATENATE("#Metadata!", ADDRESS(INDEX($W$2:$W$1001,MATCH(ROWS($U$2:U300),$U$2:$U$1001,0),0), INDEX($AB$1004:$AQ$1004,1,MATCH(COLUMNS($AB$1006:AM1006),$AB$1006:$AQ$1006,0)))),"Fix")))</f>
        <v>0</v>
      </c>
      <c r="N300" s="5">
        <f>IF(OR(INDEX($V$2:$V$1001,MATCH(ROWS($U$2:U300),$U$2:$U$1001,0),1)&gt;=100000,INDEX($AB$1005:$AQ$1005,1,MATCH(COLUMNS($AB$1006:AN1006),$AB$1006:$AQ$1006,0))&gt;=100000), " ",IF(INDEX($AB$2:$AQ$1001,MATCH(ROWS($U$2:U300),$U$2:$U$1001,0),MATCH(COLUMNS($AB$1006:AN1006),$AB$1006:$AQ$1006,0)), HYPERLINK("#",""), HYPERLINK(CONCATENATE("#Metadata!", ADDRESS(INDEX($W$2:$W$1001,MATCH(ROWS($U$2:U300),$U$2:$U$1001,0),0), INDEX($AB$1004:$AQ$1004,1,MATCH(COLUMNS($AB$1006:AN1006),$AB$1006:$AQ$1006,0)))),"Fix")))</f>
        <v>0</v>
      </c>
      <c r="O300" s="5">
        <f>IF(OR(INDEX($V$2:$V$1001,MATCH(ROWS($U$2:U300),$U$2:$U$1001,0),1)&gt;=100000,INDEX($AB$1005:$AQ$1005,1,MATCH(COLUMNS($AB$1006:AO1006),$AB$1006:$AQ$1006,0))&gt;=100000), " ",IF(INDEX($AB$2:$AQ$1001,MATCH(ROWS($U$2:U300),$U$2:$U$1001,0),MATCH(COLUMNS($AB$1006:AO1006),$AB$1006:$AQ$1006,0)), HYPERLINK("#",""), HYPERLINK(CONCATENATE("#Metadata!", ADDRESS(INDEX($W$2:$W$1001,MATCH(ROWS($U$2:U300),$U$2:$U$1001,0),0), INDEX($AB$1004:$AQ$1004,1,MATCH(COLUMNS($AB$1006:AO1006),$AB$1006:$AQ$1006,0)))),"Fix")))</f>
        <v>0</v>
      </c>
      <c r="P300" s="5">
        <f>IF(OR(INDEX($V$2:$V$1001,MATCH(ROWS($U$2:U300),$U$2:$U$1001,0),1)&gt;=100000,INDEX($AB$1005:$AQ$1005,1,MATCH(COLUMNS($AB$1006:AP1006),$AB$1006:$AQ$1006,0))&gt;=100000), " ",IF(INDEX($AB$2:$AQ$1001,MATCH(ROWS($U$2:U300),$U$2:$U$1001,0),MATCH(COLUMNS($AB$1006:AP1006),$AB$1006:$AQ$1006,0)), HYPERLINK("#",""), HYPERLINK(CONCATENATE("#Metadata!", ADDRESS(INDEX($W$2:$W$1001,MATCH(ROWS($U$2:U300),$U$2:$U$1001,0),0), INDEX($AB$1004:$AQ$1004,1,MATCH(COLUMNS($AB$1006:AP1006),$AB$1006:$AQ$1006,0)))),"Fix")))</f>
        <v>0</v>
      </c>
      <c r="Q300" s="5">
        <f>IF(OR(INDEX($V$2:$V$1001,MATCH(ROWS($U$2:U300),$U$2:$U$1001,0),1)&gt;=100000,INDEX($AB$1005:$AQ$1005,1,MATCH(COLUMNS($AB$1006:AQ1006),$AB$1006:$AQ$1006,0))&gt;=100000), " ",IF(INDEX($AB$2:$AQ$1001,MATCH(ROWS($U$2:U300),$U$2:$U$1001,0),MATCH(COLUMNS($AB$1006:AQ1006),$AB$1006:$AQ$1006,0)), HYPERLINK("#",""), HYPERLINK(CONCATENATE("#Metadata!", ADDRESS(INDEX($W$2:$W$1001,MATCH(ROWS($U$2:U300),$U$2:$U$1001,0),0), INDEX($AB$1004:$AQ$1004,1,MATCH(COLUMNS($AB$1006:AQ1006),$AB$1006:$AQ$1006,0)))),"Fix")))</f>
        <v>0</v>
      </c>
      <c r="U300">
        <v>0</v>
      </c>
      <c r="V300">
        <v>0</v>
      </c>
      <c r="W300">
        <v>0</v>
      </c>
      <c r="X300">
        <f>IF(Y300,TRUE,AND(AB300:AQ300))</f>
        <v>0</v>
      </c>
      <c r="Y300">
        <f>COUNTBLANK(Metadata!B300:Q300)=COLUMNS(Metadata!B300:Q300)</f>
        <v>0</v>
      </c>
      <c r="Z300">
        <v>0</v>
      </c>
      <c r="AB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AC300">
        <f>AND(IF(Metadata!C300="",FALSE,TRUE),exact(Metadata!C300,"urban biome"))</f>
        <v>0</v>
      </c>
      <c r="AD300">
        <f>AND(IF(Metadata!D300="",FALSE,TRUE),exact(Metadata!D300,"human-associated habitat"))</f>
        <v>0</v>
      </c>
      <c r="AE300">
        <f>AND(IF(Metadata!E300="",FALSE,TRUE),OR(exact(Metadata!E300,"human-associated"),exact(Metadata!E300,"human-skin"),exact(Metadata!E300,"human-oral"),exact(Metadata!E300,"human-gut"),exact(Metadata!E300,"human-vaginal")))</f>
        <v>0</v>
      </c>
      <c r="AF300">
        <f>AND(IF(Metadata!F300="",FALSE,ISNUMBER(VALUE(Metadata!F300))),Metadata!F300&gt;0)</f>
        <v>0</v>
      </c>
      <c r="AG300">
        <f>AND(IF(Metadata!G300="",FALSE,TRUE),exact(Metadata!G300,"years"))</f>
        <v>0</v>
      </c>
      <c r="AH300">
        <f>OR(AND(IF(Metadata!H300="",FALSE,TRUE),OR(exact(Metadata!H300,"not applicable"),exact(Metadata!H300,"not collected"),exact(Metadata!H300,"not provided"),exact(Metadata!H300,"restricted access"))),AND(IF(Metadata!H300="",FALSE,ISNUMBER(VALUE(Metadata!H300))),Metadata!H300&gt;0))</f>
        <v>0</v>
      </c>
      <c r="AI300">
        <f>AND(IF(Metadata!I300="",FALSE,TRUE),exact(Metadata!I300,"human"))</f>
        <v>0</v>
      </c>
      <c r="AJ300">
        <f>AND(IF(Metadata!J300="",FALSE,ISNUMBER(VALUE(Metadata!J300))),Metadata!J300&gt;0)</f>
        <v>0</v>
      </c>
      <c r="AK300">
        <f>AND(IF(Metadata!K300="",FALSE,TRUE),exact(Metadata!K300,"cm"))</f>
        <v>0</v>
      </c>
      <c r="AL300">
        <f>AND(IF(Metadata!L300="",FALSE,TRUE),exact(Metadata!L300,"Homo sapiens"))</f>
        <v>0</v>
      </c>
      <c r="AM300">
        <f>AND(IF(Metadata!M300="",FALSE,TRUE),exact(Metadata!M300,"9606"))</f>
        <v>0</v>
      </c>
      <c r="AN300">
        <f>AND(IF(Metadata!N300="",FALSE,ISNUMBER(VALUE(Metadata!N300))),Metadata!N300&gt;0)</f>
        <v>0</v>
      </c>
      <c r="AO300">
        <f>AND(IF(Metadata!O300="",FALSE,TRUE),exact(Metadata!O300,"kg"))</f>
        <v>0</v>
      </c>
      <c r="AP300">
        <f>OR(AND(IF(Metadata!P300="",FALSE,TRUE),exact(Metadata!P300,"not provided")),IF(Metadata!P300="",FALSE,TRUE))</f>
        <v>0</v>
      </c>
      <c r="AQ300">
        <f>OR(AND(IF(Metadata!Q300="",FALSE,TRUE),exact(Metadata!Q300,"not provided")),IF(Metadata!Q300="",FALSE,TRUE))</f>
        <v>0</v>
      </c>
    </row>
    <row r="301" spans="1:43">
      <c r="A301" s="4">
        <f>IF(B301=" "," ",HYPERLINK(CONCATENATE("#metadata!",ADDRESS(INDEX($W$2:$W$1001,MATCH(ROWS($U$2:U301),$U$2:$U$1001,0),0),2)),INDEX($Z$2:$Z$1001,MATCH(ROWS($U$2:U301),$U$2:$U$1001,0),0)))</f>
        <v>0</v>
      </c>
      <c r="B301" s="5">
        <f>IF(OR(INDEX($V$2:$V$1001,MATCH(ROWS($U$2:U301),$U$2:$U$1001,0),1)&gt;=100000,INDEX($AB$1005:$AQ$1005,1,MATCH(COLUMNS($AB$1006:AB1006),$AB$1006:$AQ$1006,0))&gt;=100000), " ",IF(INDEX($AB$2:$AQ$1001,MATCH(ROWS($U$2:U301),$U$2:$U$1001,0),MATCH(COLUMNS($AB$1006:AB1006),$AB$1006:$AQ$1006,0)), HYPERLINK("#",""), HYPERLINK(CONCATENATE("#Metadata!", ADDRESS(INDEX($W$2:$W$1001,MATCH(ROWS($U$2:U301),$U$2:$U$1001,0),0), INDEX($AB$1004:$AQ$1004,1,MATCH(COLUMNS($AB$1006:AB1006),$AB$1006:$AQ$1006,0)))),"Fix")))</f>
        <v>0</v>
      </c>
      <c r="C301" s="5">
        <f>IF(OR(INDEX($V$2:$V$1001,MATCH(ROWS($U$2:U301),$U$2:$U$1001,0),1)&gt;=100000,INDEX($AB$1005:$AQ$1005,1,MATCH(COLUMNS($AB$1006:AC1006),$AB$1006:$AQ$1006,0))&gt;=100000), " ",IF(INDEX($AB$2:$AQ$1001,MATCH(ROWS($U$2:U301),$U$2:$U$1001,0),MATCH(COLUMNS($AB$1006:AC1006),$AB$1006:$AQ$1006,0)), HYPERLINK("#",""), HYPERLINK(CONCATENATE("#Metadata!", ADDRESS(INDEX($W$2:$W$1001,MATCH(ROWS($U$2:U301),$U$2:$U$1001,0),0), INDEX($AB$1004:$AQ$1004,1,MATCH(COLUMNS($AB$1006:AC1006),$AB$1006:$AQ$1006,0)))),"Fix")))</f>
        <v>0</v>
      </c>
      <c r="D301" s="5">
        <f>IF(OR(INDEX($V$2:$V$1001,MATCH(ROWS($U$2:U301),$U$2:$U$1001,0),1)&gt;=100000,INDEX($AB$1005:$AQ$1005,1,MATCH(COLUMNS($AB$1006:AD1006),$AB$1006:$AQ$1006,0))&gt;=100000), " ",IF(INDEX($AB$2:$AQ$1001,MATCH(ROWS($U$2:U301),$U$2:$U$1001,0),MATCH(COLUMNS($AB$1006:AD1006),$AB$1006:$AQ$1006,0)), HYPERLINK("#",""), HYPERLINK(CONCATENATE("#Metadata!", ADDRESS(INDEX($W$2:$W$1001,MATCH(ROWS($U$2:U301),$U$2:$U$1001,0),0), INDEX($AB$1004:$AQ$1004,1,MATCH(COLUMNS($AB$1006:AD1006),$AB$1006:$AQ$1006,0)))),"Fix")))</f>
        <v>0</v>
      </c>
      <c r="E301" s="5">
        <f>IF(OR(INDEX($V$2:$V$1001,MATCH(ROWS($U$2:U301),$U$2:$U$1001,0),1)&gt;=100000,INDEX($AB$1005:$AQ$1005,1,MATCH(COLUMNS($AB$1006:AE1006),$AB$1006:$AQ$1006,0))&gt;=100000), " ",IF(INDEX($AB$2:$AQ$1001,MATCH(ROWS($U$2:U301),$U$2:$U$1001,0),MATCH(COLUMNS($AB$1006:AE1006),$AB$1006:$AQ$1006,0)), HYPERLINK("#",""), HYPERLINK(CONCATENATE("#Metadata!", ADDRESS(INDEX($W$2:$W$1001,MATCH(ROWS($U$2:U301),$U$2:$U$1001,0),0), INDEX($AB$1004:$AQ$1004,1,MATCH(COLUMNS($AB$1006:AE1006),$AB$1006:$AQ$1006,0)))),"Fix")))</f>
        <v>0</v>
      </c>
      <c r="F301" s="5">
        <f>IF(OR(INDEX($V$2:$V$1001,MATCH(ROWS($U$2:U301),$U$2:$U$1001,0),1)&gt;=100000,INDEX($AB$1005:$AQ$1005,1,MATCH(COLUMNS($AB$1006:AF1006),$AB$1006:$AQ$1006,0))&gt;=100000), " ",IF(INDEX($AB$2:$AQ$1001,MATCH(ROWS($U$2:U301),$U$2:$U$1001,0),MATCH(COLUMNS($AB$1006:AF1006),$AB$1006:$AQ$1006,0)), HYPERLINK("#",""), HYPERLINK(CONCATENATE("#Metadata!", ADDRESS(INDEX($W$2:$W$1001,MATCH(ROWS($U$2:U301),$U$2:$U$1001,0),0), INDEX($AB$1004:$AQ$1004,1,MATCH(COLUMNS($AB$1006:AF1006),$AB$1006:$AQ$1006,0)))),"Fix")))</f>
        <v>0</v>
      </c>
      <c r="G301" s="5">
        <f>IF(OR(INDEX($V$2:$V$1001,MATCH(ROWS($U$2:U301),$U$2:$U$1001,0),1)&gt;=100000,INDEX($AB$1005:$AQ$1005,1,MATCH(COLUMNS($AB$1006:AG1006),$AB$1006:$AQ$1006,0))&gt;=100000), " ",IF(INDEX($AB$2:$AQ$1001,MATCH(ROWS($U$2:U301),$U$2:$U$1001,0),MATCH(COLUMNS($AB$1006:AG1006),$AB$1006:$AQ$1006,0)), HYPERLINK("#",""), HYPERLINK(CONCATENATE("#Metadata!", ADDRESS(INDEX($W$2:$W$1001,MATCH(ROWS($U$2:U301),$U$2:$U$1001,0),0), INDEX($AB$1004:$AQ$1004,1,MATCH(COLUMNS($AB$1006:AG1006),$AB$1006:$AQ$1006,0)))),"Fix")))</f>
        <v>0</v>
      </c>
      <c r="H301" s="5">
        <f>IF(OR(INDEX($V$2:$V$1001,MATCH(ROWS($U$2:U301),$U$2:$U$1001,0),1)&gt;=100000,INDEX($AB$1005:$AQ$1005,1,MATCH(COLUMNS($AB$1006:AH1006),$AB$1006:$AQ$1006,0))&gt;=100000), " ",IF(INDEX($AB$2:$AQ$1001,MATCH(ROWS($U$2:U301),$U$2:$U$1001,0),MATCH(COLUMNS($AB$1006:AH1006),$AB$1006:$AQ$1006,0)), HYPERLINK("#",""), HYPERLINK(CONCATENATE("#Metadata!", ADDRESS(INDEX($W$2:$W$1001,MATCH(ROWS($U$2:U301),$U$2:$U$1001,0),0), INDEX($AB$1004:$AQ$1004,1,MATCH(COLUMNS($AB$1006:AH1006),$AB$1006:$AQ$1006,0)))),"Fix")))</f>
        <v>0</v>
      </c>
      <c r="I301" s="5">
        <f>IF(OR(INDEX($V$2:$V$1001,MATCH(ROWS($U$2:U301),$U$2:$U$1001,0),1)&gt;=100000,INDEX($AB$1005:$AQ$1005,1,MATCH(COLUMNS($AB$1006:AI1006),$AB$1006:$AQ$1006,0))&gt;=100000), " ",IF(INDEX($AB$2:$AQ$1001,MATCH(ROWS($U$2:U301),$U$2:$U$1001,0),MATCH(COLUMNS($AB$1006:AI1006),$AB$1006:$AQ$1006,0)), HYPERLINK("#",""), HYPERLINK(CONCATENATE("#Metadata!", ADDRESS(INDEX($W$2:$W$1001,MATCH(ROWS($U$2:U301),$U$2:$U$1001,0),0), INDEX($AB$1004:$AQ$1004,1,MATCH(COLUMNS($AB$1006:AI1006),$AB$1006:$AQ$1006,0)))),"Fix")))</f>
        <v>0</v>
      </c>
      <c r="J301" s="5">
        <f>IF(OR(INDEX($V$2:$V$1001,MATCH(ROWS($U$2:U301),$U$2:$U$1001,0),1)&gt;=100000,INDEX($AB$1005:$AQ$1005,1,MATCH(COLUMNS($AB$1006:AJ1006),$AB$1006:$AQ$1006,0))&gt;=100000), " ",IF(INDEX($AB$2:$AQ$1001,MATCH(ROWS($U$2:U301),$U$2:$U$1001,0),MATCH(COLUMNS($AB$1006:AJ1006),$AB$1006:$AQ$1006,0)), HYPERLINK("#",""), HYPERLINK(CONCATENATE("#Metadata!", ADDRESS(INDEX($W$2:$W$1001,MATCH(ROWS($U$2:U301),$U$2:$U$1001,0),0), INDEX($AB$1004:$AQ$1004,1,MATCH(COLUMNS($AB$1006:AJ1006),$AB$1006:$AQ$1006,0)))),"Fix")))</f>
        <v>0</v>
      </c>
      <c r="K301" s="5">
        <f>IF(OR(INDEX($V$2:$V$1001,MATCH(ROWS($U$2:U301),$U$2:$U$1001,0),1)&gt;=100000,INDEX($AB$1005:$AQ$1005,1,MATCH(COLUMNS($AB$1006:AK1006),$AB$1006:$AQ$1006,0))&gt;=100000), " ",IF(INDEX($AB$2:$AQ$1001,MATCH(ROWS($U$2:U301),$U$2:$U$1001,0),MATCH(COLUMNS($AB$1006:AK1006),$AB$1006:$AQ$1006,0)), HYPERLINK("#",""), HYPERLINK(CONCATENATE("#Metadata!", ADDRESS(INDEX($W$2:$W$1001,MATCH(ROWS($U$2:U301),$U$2:$U$1001,0),0), INDEX($AB$1004:$AQ$1004,1,MATCH(COLUMNS($AB$1006:AK1006),$AB$1006:$AQ$1006,0)))),"Fix")))</f>
        <v>0</v>
      </c>
      <c r="L301" s="5">
        <f>IF(OR(INDEX($V$2:$V$1001,MATCH(ROWS($U$2:U301),$U$2:$U$1001,0),1)&gt;=100000,INDEX($AB$1005:$AQ$1005,1,MATCH(COLUMNS($AB$1006:AL1006),$AB$1006:$AQ$1006,0))&gt;=100000), " ",IF(INDEX($AB$2:$AQ$1001,MATCH(ROWS($U$2:U301),$U$2:$U$1001,0),MATCH(COLUMNS($AB$1006:AL1006),$AB$1006:$AQ$1006,0)), HYPERLINK("#",""), HYPERLINK(CONCATENATE("#Metadata!", ADDRESS(INDEX($W$2:$W$1001,MATCH(ROWS($U$2:U301),$U$2:$U$1001,0),0), INDEX($AB$1004:$AQ$1004,1,MATCH(COLUMNS($AB$1006:AL1006),$AB$1006:$AQ$1006,0)))),"Fix")))</f>
        <v>0</v>
      </c>
      <c r="M301" s="5">
        <f>IF(OR(INDEX($V$2:$V$1001,MATCH(ROWS($U$2:U301),$U$2:$U$1001,0),1)&gt;=100000,INDEX($AB$1005:$AQ$1005,1,MATCH(COLUMNS($AB$1006:AM1006),$AB$1006:$AQ$1006,0))&gt;=100000), " ",IF(INDEX($AB$2:$AQ$1001,MATCH(ROWS($U$2:U301),$U$2:$U$1001,0),MATCH(COLUMNS($AB$1006:AM1006),$AB$1006:$AQ$1006,0)), HYPERLINK("#",""), HYPERLINK(CONCATENATE("#Metadata!", ADDRESS(INDEX($W$2:$W$1001,MATCH(ROWS($U$2:U301),$U$2:$U$1001,0),0), INDEX($AB$1004:$AQ$1004,1,MATCH(COLUMNS($AB$1006:AM1006),$AB$1006:$AQ$1006,0)))),"Fix")))</f>
        <v>0</v>
      </c>
      <c r="N301" s="5">
        <f>IF(OR(INDEX($V$2:$V$1001,MATCH(ROWS($U$2:U301),$U$2:$U$1001,0),1)&gt;=100000,INDEX($AB$1005:$AQ$1005,1,MATCH(COLUMNS($AB$1006:AN1006),$AB$1006:$AQ$1006,0))&gt;=100000), " ",IF(INDEX($AB$2:$AQ$1001,MATCH(ROWS($U$2:U301),$U$2:$U$1001,0),MATCH(COLUMNS($AB$1006:AN1006),$AB$1006:$AQ$1006,0)), HYPERLINK("#",""), HYPERLINK(CONCATENATE("#Metadata!", ADDRESS(INDEX($W$2:$W$1001,MATCH(ROWS($U$2:U301),$U$2:$U$1001,0),0), INDEX($AB$1004:$AQ$1004,1,MATCH(COLUMNS($AB$1006:AN1006),$AB$1006:$AQ$1006,0)))),"Fix")))</f>
        <v>0</v>
      </c>
      <c r="O301" s="5">
        <f>IF(OR(INDEX($V$2:$V$1001,MATCH(ROWS($U$2:U301),$U$2:$U$1001,0),1)&gt;=100000,INDEX($AB$1005:$AQ$1005,1,MATCH(COLUMNS($AB$1006:AO1006),$AB$1006:$AQ$1006,0))&gt;=100000), " ",IF(INDEX($AB$2:$AQ$1001,MATCH(ROWS($U$2:U301),$U$2:$U$1001,0),MATCH(COLUMNS($AB$1006:AO1006),$AB$1006:$AQ$1006,0)), HYPERLINK("#",""), HYPERLINK(CONCATENATE("#Metadata!", ADDRESS(INDEX($W$2:$W$1001,MATCH(ROWS($U$2:U301),$U$2:$U$1001,0),0), INDEX($AB$1004:$AQ$1004,1,MATCH(COLUMNS($AB$1006:AO1006),$AB$1006:$AQ$1006,0)))),"Fix")))</f>
        <v>0</v>
      </c>
      <c r="P301" s="5">
        <f>IF(OR(INDEX($V$2:$V$1001,MATCH(ROWS($U$2:U301),$U$2:$U$1001,0),1)&gt;=100000,INDEX($AB$1005:$AQ$1005,1,MATCH(COLUMNS($AB$1006:AP1006),$AB$1006:$AQ$1006,0))&gt;=100000), " ",IF(INDEX($AB$2:$AQ$1001,MATCH(ROWS($U$2:U301),$U$2:$U$1001,0),MATCH(COLUMNS($AB$1006:AP1006),$AB$1006:$AQ$1006,0)), HYPERLINK("#",""), HYPERLINK(CONCATENATE("#Metadata!", ADDRESS(INDEX($W$2:$W$1001,MATCH(ROWS($U$2:U301),$U$2:$U$1001,0),0), INDEX($AB$1004:$AQ$1004,1,MATCH(COLUMNS($AB$1006:AP1006),$AB$1006:$AQ$1006,0)))),"Fix")))</f>
        <v>0</v>
      </c>
      <c r="Q301" s="5">
        <f>IF(OR(INDEX($V$2:$V$1001,MATCH(ROWS($U$2:U301),$U$2:$U$1001,0),1)&gt;=100000,INDEX($AB$1005:$AQ$1005,1,MATCH(COLUMNS($AB$1006:AQ1006),$AB$1006:$AQ$1006,0))&gt;=100000), " ",IF(INDEX($AB$2:$AQ$1001,MATCH(ROWS($U$2:U301),$U$2:$U$1001,0),MATCH(COLUMNS($AB$1006:AQ1006),$AB$1006:$AQ$1006,0)), HYPERLINK("#",""), HYPERLINK(CONCATENATE("#Metadata!", ADDRESS(INDEX($W$2:$W$1001,MATCH(ROWS($U$2:U301),$U$2:$U$1001,0),0), INDEX($AB$1004:$AQ$1004,1,MATCH(COLUMNS($AB$1006:AQ1006),$AB$1006:$AQ$1006,0)))),"Fix")))</f>
        <v>0</v>
      </c>
      <c r="U301">
        <v>0</v>
      </c>
      <c r="V301">
        <v>0</v>
      </c>
      <c r="W301">
        <v>0</v>
      </c>
      <c r="X301">
        <f>IF(Y301,TRUE,AND(AB301:AQ301))</f>
        <v>0</v>
      </c>
      <c r="Y301">
        <f>COUNTBLANK(Metadata!B301:Q301)=COLUMNS(Metadata!B301:Q301)</f>
        <v>0</v>
      </c>
      <c r="Z301">
        <v>0</v>
      </c>
      <c r="AB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AC301">
        <f>AND(IF(Metadata!C301="",FALSE,TRUE),exact(Metadata!C301,"urban biome"))</f>
        <v>0</v>
      </c>
      <c r="AD301">
        <f>AND(IF(Metadata!D301="",FALSE,TRUE),exact(Metadata!D301,"human-associated habitat"))</f>
        <v>0</v>
      </c>
      <c r="AE301">
        <f>AND(IF(Metadata!E301="",FALSE,TRUE),OR(exact(Metadata!E301,"human-associated"),exact(Metadata!E301,"human-skin"),exact(Metadata!E301,"human-oral"),exact(Metadata!E301,"human-gut"),exact(Metadata!E301,"human-vaginal")))</f>
        <v>0</v>
      </c>
      <c r="AF301">
        <f>AND(IF(Metadata!F301="",FALSE,ISNUMBER(VALUE(Metadata!F301))),Metadata!F301&gt;0)</f>
        <v>0</v>
      </c>
      <c r="AG301">
        <f>AND(IF(Metadata!G301="",FALSE,TRUE),exact(Metadata!G301,"years"))</f>
        <v>0</v>
      </c>
      <c r="AH301">
        <f>OR(AND(IF(Metadata!H301="",FALSE,TRUE),OR(exact(Metadata!H301,"not applicable"),exact(Metadata!H301,"not collected"),exact(Metadata!H301,"not provided"),exact(Metadata!H301,"restricted access"))),AND(IF(Metadata!H301="",FALSE,ISNUMBER(VALUE(Metadata!H301))),Metadata!H301&gt;0))</f>
        <v>0</v>
      </c>
      <c r="AI301">
        <f>AND(IF(Metadata!I301="",FALSE,TRUE),exact(Metadata!I301,"human"))</f>
        <v>0</v>
      </c>
      <c r="AJ301">
        <f>AND(IF(Metadata!J301="",FALSE,ISNUMBER(VALUE(Metadata!J301))),Metadata!J301&gt;0)</f>
        <v>0</v>
      </c>
      <c r="AK301">
        <f>AND(IF(Metadata!K301="",FALSE,TRUE),exact(Metadata!K301,"cm"))</f>
        <v>0</v>
      </c>
      <c r="AL301">
        <f>AND(IF(Metadata!L301="",FALSE,TRUE),exact(Metadata!L301,"Homo sapiens"))</f>
        <v>0</v>
      </c>
      <c r="AM301">
        <f>AND(IF(Metadata!M301="",FALSE,TRUE),exact(Metadata!M301,"9606"))</f>
        <v>0</v>
      </c>
      <c r="AN301">
        <f>AND(IF(Metadata!N301="",FALSE,ISNUMBER(VALUE(Metadata!N301))),Metadata!N301&gt;0)</f>
        <v>0</v>
      </c>
      <c r="AO301">
        <f>AND(IF(Metadata!O301="",FALSE,TRUE),exact(Metadata!O301,"kg"))</f>
        <v>0</v>
      </c>
      <c r="AP301">
        <f>OR(AND(IF(Metadata!P301="",FALSE,TRUE),exact(Metadata!P301,"not provided")),IF(Metadata!P301="",FALSE,TRUE))</f>
        <v>0</v>
      </c>
      <c r="AQ301">
        <f>OR(AND(IF(Metadata!Q301="",FALSE,TRUE),exact(Metadata!Q301,"not provided")),IF(Metadata!Q301="",FALSE,TRUE))</f>
        <v>0</v>
      </c>
    </row>
    <row r="302" spans="1:43">
      <c r="A302" s="4">
        <f>IF(B302=" "," ",HYPERLINK(CONCATENATE("#metadata!",ADDRESS(INDEX($W$2:$W$1001,MATCH(ROWS($U$2:U302),$U$2:$U$1001,0),0),2)),INDEX($Z$2:$Z$1001,MATCH(ROWS($U$2:U302),$U$2:$U$1001,0),0)))</f>
        <v>0</v>
      </c>
      <c r="B302" s="5">
        <f>IF(OR(INDEX($V$2:$V$1001,MATCH(ROWS($U$2:U302),$U$2:$U$1001,0),1)&gt;=100000,INDEX($AB$1005:$AQ$1005,1,MATCH(COLUMNS($AB$1006:AB1006),$AB$1006:$AQ$1006,0))&gt;=100000), " ",IF(INDEX($AB$2:$AQ$1001,MATCH(ROWS($U$2:U302),$U$2:$U$1001,0),MATCH(COLUMNS($AB$1006:AB1006),$AB$1006:$AQ$1006,0)), HYPERLINK("#",""), HYPERLINK(CONCATENATE("#Metadata!", ADDRESS(INDEX($W$2:$W$1001,MATCH(ROWS($U$2:U302),$U$2:$U$1001,0),0), INDEX($AB$1004:$AQ$1004,1,MATCH(COLUMNS($AB$1006:AB1006),$AB$1006:$AQ$1006,0)))),"Fix")))</f>
        <v>0</v>
      </c>
      <c r="C302" s="5">
        <f>IF(OR(INDEX($V$2:$V$1001,MATCH(ROWS($U$2:U302),$U$2:$U$1001,0),1)&gt;=100000,INDEX($AB$1005:$AQ$1005,1,MATCH(COLUMNS($AB$1006:AC1006),$AB$1006:$AQ$1006,0))&gt;=100000), " ",IF(INDEX($AB$2:$AQ$1001,MATCH(ROWS($U$2:U302),$U$2:$U$1001,0),MATCH(COLUMNS($AB$1006:AC1006),$AB$1006:$AQ$1006,0)), HYPERLINK("#",""), HYPERLINK(CONCATENATE("#Metadata!", ADDRESS(INDEX($W$2:$W$1001,MATCH(ROWS($U$2:U302),$U$2:$U$1001,0),0), INDEX($AB$1004:$AQ$1004,1,MATCH(COLUMNS($AB$1006:AC1006),$AB$1006:$AQ$1006,0)))),"Fix")))</f>
        <v>0</v>
      </c>
      <c r="D302" s="5">
        <f>IF(OR(INDEX($V$2:$V$1001,MATCH(ROWS($U$2:U302),$U$2:$U$1001,0),1)&gt;=100000,INDEX($AB$1005:$AQ$1005,1,MATCH(COLUMNS($AB$1006:AD1006),$AB$1006:$AQ$1006,0))&gt;=100000), " ",IF(INDEX($AB$2:$AQ$1001,MATCH(ROWS($U$2:U302),$U$2:$U$1001,0),MATCH(COLUMNS($AB$1006:AD1006),$AB$1006:$AQ$1006,0)), HYPERLINK("#",""), HYPERLINK(CONCATENATE("#Metadata!", ADDRESS(INDEX($W$2:$W$1001,MATCH(ROWS($U$2:U302),$U$2:$U$1001,0),0), INDEX($AB$1004:$AQ$1004,1,MATCH(COLUMNS($AB$1006:AD1006),$AB$1006:$AQ$1006,0)))),"Fix")))</f>
        <v>0</v>
      </c>
      <c r="E302" s="5">
        <f>IF(OR(INDEX($V$2:$V$1001,MATCH(ROWS($U$2:U302),$U$2:$U$1001,0),1)&gt;=100000,INDEX($AB$1005:$AQ$1005,1,MATCH(COLUMNS($AB$1006:AE1006),$AB$1006:$AQ$1006,0))&gt;=100000), " ",IF(INDEX($AB$2:$AQ$1001,MATCH(ROWS($U$2:U302),$U$2:$U$1001,0),MATCH(COLUMNS($AB$1006:AE1006),$AB$1006:$AQ$1006,0)), HYPERLINK("#",""), HYPERLINK(CONCATENATE("#Metadata!", ADDRESS(INDEX($W$2:$W$1001,MATCH(ROWS($U$2:U302),$U$2:$U$1001,0),0), INDEX($AB$1004:$AQ$1004,1,MATCH(COLUMNS($AB$1006:AE1006),$AB$1006:$AQ$1006,0)))),"Fix")))</f>
        <v>0</v>
      </c>
      <c r="F302" s="5">
        <f>IF(OR(INDEX($V$2:$V$1001,MATCH(ROWS($U$2:U302),$U$2:$U$1001,0),1)&gt;=100000,INDEX($AB$1005:$AQ$1005,1,MATCH(COLUMNS($AB$1006:AF1006),$AB$1006:$AQ$1006,0))&gt;=100000), " ",IF(INDEX($AB$2:$AQ$1001,MATCH(ROWS($U$2:U302),$U$2:$U$1001,0),MATCH(COLUMNS($AB$1006:AF1006),$AB$1006:$AQ$1006,0)), HYPERLINK("#",""), HYPERLINK(CONCATENATE("#Metadata!", ADDRESS(INDEX($W$2:$W$1001,MATCH(ROWS($U$2:U302),$U$2:$U$1001,0),0), INDEX($AB$1004:$AQ$1004,1,MATCH(COLUMNS($AB$1006:AF1006),$AB$1006:$AQ$1006,0)))),"Fix")))</f>
        <v>0</v>
      </c>
      <c r="G302" s="5">
        <f>IF(OR(INDEX($V$2:$V$1001,MATCH(ROWS($U$2:U302),$U$2:$U$1001,0),1)&gt;=100000,INDEX($AB$1005:$AQ$1005,1,MATCH(COLUMNS($AB$1006:AG1006),$AB$1006:$AQ$1006,0))&gt;=100000), " ",IF(INDEX($AB$2:$AQ$1001,MATCH(ROWS($U$2:U302),$U$2:$U$1001,0),MATCH(COLUMNS($AB$1006:AG1006),$AB$1006:$AQ$1006,0)), HYPERLINK("#",""), HYPERLINK(CONCATENATE("#Metadata!", ADDRESS(INDEX($W$2:$W$1001,MATCH(ROWS($U$2:U302),$U$2:$U$1001,0),0), INDEX($AB$1004:$AQ$1004,1,MATCH(COLUMNS($AB$1006:AG1006),$AB$1006:$AQ$1006,0)))),"Fix")))</f>
        <v>0</v>
      </c>
      <c r="H302" s="5">
        <f>IF(OR(INDEX($V$2:$V$1001,MATCH(ROWS($U$2:U302),$U$2:$U$1001,0),1)&gt;=100000,INDEX($AB$1005:$AQ$1005,1,MATCH(COLUMNS($AB$1006:AH1006),$AB$1006:$AQ$1006,0))&gt;=100000), " ",IF(INDEX($AB$2:$AQ$1001,MATCH(ROWS($U$2:U302),$U$2:$U$1001,0),MATCH(COLUMNS($AB$1006:AH1006),$AB$1006:$AQ$1006,0)), HYPERLINK("#",""), HYPERLINK(CONCATENATE("#Metadata!", ADDRESS(INDEX($W$2:$W$1001,MATCH(ROWS($U$2:U302),$U$2:$U$1001,0),0), INDEX($AB$1004:$AQ$1004,1,MATCH(COLUMNS($AB$1006:AH1006),$AB$1006:$AQ$1006,0)))),"Fix")))</f>
        <v>0</v>
      </c>
      <c r="I302" s="5">
        <f>IF(OR(INDEX($V$2:$V$1001,MATCH(ROWS($U$2:U302),$U$2:$U$1001,0),1)&gt;=100000,INDEX($AB$1005:$AQ$1005,1,MATCH(COLUMNS($AB$1006:AI1006),$AB$1006:$AQ$1006,0))&gt;=100000), " ",IF(INDEX($AB$2:$AQ$1001,MATCH(ROWS($U$2:U302),$U$2:$U$1001,0),MATCH(COLUMNS($AB$1006:AI1006),$AB$1006:$AQ$1006,0)), HYPERLINK("#",""), HYPERLINK(CONCATENATE("#Metadata!", ADDRESS(INDEX($W$2:$W$1001,MATCH(ROWS($U$2:U302),$U$2:$U$1001,0),0), INDEX($AB$1004:$AQ$1004,1,MATCH(COLUMNS($AB$1006:AI1006),$AB$1006:$AQ$1006,0)))),"Fix")))</f>
        <v>0</v>
      </c>
      <c r="J302" s="5">
        <f>IF(OR(INDEX($V$2:$V$1001,MATCH(ROWS($U$2:U302),$U$2:$U$1001,0),1)&gt;=100000,INDEX($AB$1005:$AQ$1005,1,MATCH(COLUMNS($AB$1006:AJ1006),$AB$1006:$AQ$1006,0))&gt;=100000), " ",IF(INDEX($AB$2:$AQ$1001,MATCH(ROWS($U$2:U302),$U$2:$U$1001,0),MATCH(COLUMNS($AB$1006:AJ1006),$AB$1006:$AQ$1006,0)), HYPERLINK("#",""), HYPERLINK(CONCATENATE("#Metadata!", ADDRESS(INDEX($W$2:$W$1001,MATCH(ROWS($U$2:U302),$U$2:$U$1001,0),0), INDEX($AB$1004:$AQ$1004,1,MATCH(COLUMNS($AB$1006:AJ1006),$AB$1006:$AQ$1006,0)))),"Fix")))</f>
        <v>0</v>
      </c>
      <c r="K302" s="5">
        <f>IF(OR(INDEX($V$2:$V$1001,MATCH(ROWS($U$2:U302),$U$2:$U$1001,0),1)&gt;=100000,INDEX($AB$1005:$AQ$1005,1,MATCH(COLUMNS($AB$1006:AK1006),$AB$1006:$AQ$1006,0))&gt;=100000), " ",IF(INDEX($AB$2:$AQ$1001,MATCH(ROWS($U$2:U302),$U$2:$U$1001,0),MATCH(COLUMNS($AB$1006:AK1006),$AB$1006:$AQ$1006,0)), HYPERLINK("#",""), HYPERLINK(CONCATENATE("#Metadata!", ADDRESS(INDEX($W$2:$W$1001,MATCH(ROWS($U$2:U302),$U$2:$U$1001,0),0), INDEX($AB$1004:$AQ$1004,1,MATCH(COLUMNS($AB$1006:AK1006),$AB$1006:$AQ$1006,0)))),"Fix")))</f>
        <v>0</v>
      </c>
      <c r="L302" s="5">
        <f>IF(OR(INDEX($V$2:$V$1001,MATCH(ROWS($U$2:U302),$U$2:$U$1001,0),1)&gt;=100000,INDEX($AB$1005:$AQ$1005,1,MATCH(COLUMNS($AB$1006:AL1006),$AB$1006:$AQ$1006,0))&gt;=100000), " ",IF(INDEX($AB$2:$AQ$1001,MATCH(ROWS($U$2:U302),$U$2:$U$1001,0),MATCH(COLUMNS($AB$1006:AL1006),$AB$1006:$AQ$1006,0)), HYPERLINK("#",""), HYPERLINK(CONCATENATE("#Metadata!", ADDRESS(INDEX($W$2:$W$1001,MATCH(ROWS($U$2:U302),$U$2:$U$1001,0),0), INDEX($AB$1004:$AQ$1004,1,MATCH(COLUMNS($AB$1006:AL1006),$AB$1006:$AQ$1006,0)))),"Fix")))</f>
        <v>0</v>
      </c>
      <c r="M302" s="5">
        <f>IF(OR(INDEX($V$2:$V$1001,MATCH(ROWS($U$2:U302),$U$2:$U$1001,0),1)&gt;=100000,INDEX($AB$1005:$AQ$1005,1,MATCH(COLUMNS($AB$1006:AM1006),$AB$1006:$AQ$1006,0))&gt;=100000), " ",IF(INDEX($AB$2:$AQ$1001,MATCH(ROWS($U$2:U302),$U$2:$U$1001,0),MATCH(COLUMNS($AB$1006:AM1006),$AB$1006:$AQ$1006,0)), HYPERLINK("#",""), HYPERLINK(CONCATENATE("#Metadata!", ADDRESS(INDEX($W$2:$W$1001,MATCH(ROWS($U$2:U302),$U$2:$U$1001,0),0), INDEX($AB$1004:$AQ$1004,1,MATCH(COLUMNS($AB$1006:AM1006),$AB$1006:$AQ$1006,0)))),"Fix")))</f>
        <v>0</v>
      </c>
      <c r="N302" s="5">
        <f>IF(OR(INDEX($V$2:$V$1001,MATCH(ROWS($U$2:U302),$U$2:$U$1001,0),1)&gt;=100000,INDEX($AB$1005:$AQ$1005,1,MATCH(COLUMNS($AB$1006:AN1006),$AB$1006:$AQ$1006,0))&gt;=100000), " ",IF(INDEX($AB$2:$AQ$1001,MATCH(ROWS($U$2:U302),$U$2:$U$1001,0),MATCH(COLUMNS($AB$1006:AN1006),$AB$1006:$AQ$1006,0)), HYPERLINK("#",""), HYPERLINK(CONCATENATE("#Metadata!", ADDRESS(INDEX($W$2:$W$1001,MATCH(ROWS($U$2:U302),$U$2:$U$1001,0),0), INDEX($AB$1004:$AQ$1004,1,MATCH(COLUMNS($AB$1006:AN1006),$AB$1006:$AQ$1006,0)))),"Fix")))</f>
        <v>0</v>
      </c>
      <c r="O302" s="5">
        <f>IF(OR(INDEX($V$2:$V$1001,MATCH(ROWS($U$2:U302),$U$2:$U$1001,0),1)&gt;=100000,INDEX($AB$1005:$AQ$1005,1,MATCH(COLUMNS($AB$1006:AO1006),$AB$1006:$AQ$1006,0))&gt;=100000), " ",IF(INDEX($AB$2:$AQ$1001,MATCH(ROWS($U$2:U302),$U$2:$U$1001,0),MATCH(COLUMNS($AB$1006:AO1006),$AB$1006:$AQ$1006,0)), HYPERLINK("#",""), HYPERLINK(CONCATENATE("#Metadata!", ADDRESS(INDEX($W$2:$W$1001,MATCH(ROWS($U$2:U302),$U$2:$U$1001,0),0), INDEX($AB$1004:$AQ$1004,1,MATCH(COLUMNS($AB$1006:AO1006),$AB$1006:$AQ$1006,0)))),"Fix")))</f>
        <v>0</v>
      </c>
      <c r="P302" s="5">
        <f>IF(OR(INDEX($V$2:$V$1001,MATCH(ROWS($U$2:U302),$U$2:$U$1001,0),1)&gt;=100000,INDEX($AB$1005:$AQ$1005,1,MATCH(COLUMNS($AB$1006:AP1006),$AB$1006:$AQ$1006,0))&gt;=100000), " ",IF(INDEX($AB$2:$AQ$1001,MATCH(ROWS($U$2:U302),$U$2:$U$1001,0),MATCH(COLUMNS($AB$1006:AP1006),$AB$1006:$AQ$1006,0)), HYPERLINK("#",""), HYPERLINK(CONCATENATE("#Metadata!", ADDRESS(INDEX($W$2:$W$1001,MATCH(ROWS($U$2:U302),$U$2:$U$1001,0),0), INDEX($AB$1004:$AQ$1004,1,MATCH(COLUMNS($AB$1006:AP1006),$AB$1006:$AQ$1006,0)))),"Fix")))</f>
        <v>0</v>
      </c>
      <c r="Q302" s="5">
        <f>IF(OR(INDEX($V$2:$V$1001,MATCH(ROWS($U$2:U302),$U$2:$U$1001,0),1)&gt;=100000,INDEX($AB$1005:$AQ$1005,1,MATCH(COLUMNS($AB$1006:AQ1006),$AB$1006:$AQ$1006,0))&gt;=100000), " ",IF(INDEX($AB$2:$AQ$1001,MATCH(ROWS($U$2:U302),$U$2:$U$1001,0),MATCH(COLUMNS($AB$1006:AQ1006),$AB$1006:$AQ$1006,0)), HYPERLINK("#",""), HYPERLINK(CONCATENATE("#Metadata!", ADDRESS(INDEX($W$2:$W$1001,MATCH(ROWS($U$2:U302),$U$2:$U$1001,0),0), INDEX($AB$1004:$AQ$1004,1,MATCH(COLUMNS($AB$1006:AQ1006),$AB$1006:$AQ$1006,0)))),"Fix")))</f>
        <v>0</v>
      </c>
      <c r="U302">
        <v>0</v>
      </c>
      <c r="V302">
        <v>0</v>
      </c>
      <c r="W302">
        <v>0</v>
      </c>
      <c r="X302">
        <f>IF(Y302,TRUE,AND(AB302:AQ302))</f>
        <v>0</v>
      </c>
      <c r="Y302">
        <f>COUNTBLANK(Metadata!B302:Q302)=COLUMNS(Metadata!B302:Q302)</f>
        <v>0</v>
      </c>
      <c r="Z302">
        <v>0</v>
      </c>
      <c r="AB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AC302">
        <f>AND(IF(Metadata!C302="",FALSE,TRUE),exact(Metadata!C302,"urban biome"))</f>
        <v>0</v>
      </c>
      <c r="AD302">
        <f>AND(IF(Metadata!D302="",FALSE,TRUE),exact(Metadata!D302,"human-associated habitat"))</f>
        <v>0</v>
      </c>
      <c r="AE302">
        <f>AND(IF(Metadata!E302="",FALSE,TRUE),OR(exact(Metadata!E302,"human-associated"),exact(Metadata!E302,"human-skin"),exact(Metadata!E302,"human-oral"),exact(Metadata!E302,"human-gut"),exact(Metadata!E302,"human-vaginal")))</f>
        <v>0</v>
      </c>
      <c r="AF302">
        <f>AND(IF(Metadata!F302="",FALSE,ISNUMBER(VALUE(Metadata!F302))),Metadata!F302&gt;0)</f>
        <v>0</v>
      </c>
      <c r="AG302">
        <f>AND(IF(Metadata!G302="",FALSE,TRUE),exact(Metadata!G302,"years"))</f>
        <v>0</v>
      </c>
      <c r="AH302">
        <f>OR(AND(IF(Metadata!H302="",FALSE,TRUE),OR(exact(Metadata!H302,"not applicable"),exact(Metadata!H302,"not collected"),exact(Metadata!H302,"not provided"),exact(Metadata!H302,"restricted access"))),AND(IF(Metadata!H302="",FALSE,ISNUMBER(VALUE(Metadata!H302))),Metadata!H302&gt;0))</f>
        <v>0</v>
      </c>
      <c r="AI302">
        <f>AND(IF(Metadata!I302="",FALSE,TRUE),exact(Metadata!I302,"human"))</f>
        <v>0</v>
      </c>
      <c r="AJ302">
        <f>AND(IF(Metadata!J302="",FALSE,ISNUMBER(VALUE(Metadata!J302))),Metadata!J302&gt;0)</f>
        <v>0</v>
      </c>
      <c r="AK302">
        <f>AND(IF(Metadata!K302="",FALSE,TRUE),exact(Metadata!K302,"cm"))</f>
        <v>0</v>
      </c>
      <c r="AL302">
        <f>AND(IF(Metadata!L302="",FALSE,TRUE),exact(Metadata!L302,"Homo sapiens"))</f>
        <v>0</v>
      </c>
      <c r="AM302">
        <f>AND(IF(Metadata!M302="",FALSE,TRUE),exact(Metadata!M302,"9606"))</f>
        <v>0</v>
      </c>
      <c r="AN302">
        <f>AND(IF(Metadata!N302="",FALSE,ISNUMBER(VALUE(Metadata!N302))),Metadata!N302&gt;0)</f>
        <v>0</v>
      </c>
      <c r="AO302">
        <f>AND(IF(Metadata!O302="",FALSE,TRUE),exact(Metadata!O302,"kg"))</f>
        <v>0</v>
      </c>
      <c r="AP302">
        <f>OR(AND(IF(Metadata!P302="",FALSE,TRUE),exact(Metadata!P302,"not provided")),IF(Metadata!P302="",FALSE,TRUE))</f>
        <v>0</v>
      </c>
      <c r="AQ302">
        <f>OR(AND(IF(Metadata!Q302="",FALSE,TRUE),exact(Metadata!Q302,"not provided")),IF(Metadata!Q302="",FALSE,TRUE))</f>
        <v>0</v>
      </c>
    </row>
    <row r="303" spans="1:43">
      <c r="A303" s="4">
        <f>IF(B303=" "," ",HYPERLINK(CONCATENATE("#metadata!",ADDRESS(INDEX($W$2:$W$1001,MATCH(ROWS($U$2:U303),$U$2:$U$1001,0),0),2)),INDEX($Z$2:$Z$1001,MATCH(ROWS($U$2:U303),$U$2:$U$1001,0),0)))</f>
        <v>0</v>
      </c>
      <c r="B303" s="5">
        <f>IF(OR(INDEX($V$2:$V$1001,MATCH(ROWS($U$2:U303),$U$2:$U$1001,0),1)&gt;=100000,INDEX($AB$1005:$AQ$1005,1,MATCH(COLUMNS($AB$1006:AB1006),$AB$1006:$AQ$1006,0))&gt;=100000), " ",IF(INDEX($AB$2:$AQ$1001,MATCH(ROWS($U$2:U303),$U$2:$U$1001,0),MATCH(COLUMNS($AB$1006:AB1006),$AB$1006:$AQ$1006,0)), HYPERLINK("#",""), HYPERLINK(CONCATENATE("#Metadata!", ADDRESS(INDEX($W$2:$W$1001,MATCH(ROWS($U$2:U303),$U$2:$U$1001,0),0), INDEX($AB$1004:$AQ$1004,1,MATCH(COLUMNS($AB$1006:AB1006),$AB$1006:$AQ$1006,0)))),"Fix")))</f>
        <v>0</v>
      </c>
      <c r="C303" s="5">
        <f>IF(OR(INDEX($V$2:$V$1001,MATCH(ROWS($U$2:U303),$U$2:$U$1001,0),1)&gt;=100000,INDEX($AB$1005:$AQ$1005,1,MATCH(COLUMNS($AB$1006:AC1006),$AB$1006:$AQ$1006,0))&gt;=100000), " ",IF(INDEX($AB$2:$AQ$1001,MATCH(ROWS($U$2:U303),$U$2:$U$1001,0),MATCH(COLUMNS($AB$1006:AC1006),$AB$1006:$AQ$1006,0)), HYPERLINK("#",""), HYPERLINK(CONCATENATE("#Metadata!", ADDRESS(INDEX($W$2:$W$1001,MATCH(ROWS($U$2:U303),$U$2:$U$1001,0),0), INDEX($AB$1004:$AQ$1004,1,MATCH(COLUMNS($AB$1006:AC1006),$AB$1006:$AQ$1006,0)))),"Fix")))</f>
        <v>0</v>
      </c>
      <c r="D303" s="5">
        <f>IF(OR(INDEX($V$2:$V$1001,MATCH(ROWS($U$2:U303),$U$2:$U$1001,0),1)&gt;=100000,INDEX($AB$1005:$AQ$1005,1,MATCH(COLUMNS($AB$1006:AD1006),$AB$1006:$AQ$1006,0))&gt;=100000), " ",IF(INDEX($AB$2:$AQ$1001,MATCH(ROWS($U$2:U303),$U$2:$U$1001,0),MATCH(COLUMNS($AB$1006:AD1006),$AB$1006:$AQ$1006,0)), HYPERLINK("#",""), HYPERLINK(CONCATENATE("#Metadata!", ADDRESS(INDEX($W$2:$W$1001,MATCH(ROWS($U$2:U303),$U$2:$U$1001,0),0), INDEX($AB$1004:$AQ$1004,1,MATCH(COLUMNS($AB$1006:AD1006),$AB$1006:$AQ$1006,0)))),"Fix")))</f>
        <v>0</v>
      </c>
      <c r="E303" s="5">
        <f>IF(OR(INDEX($V$2:$V$1001,MATCH(ROWS($U$2:U303),$U$2:$U$1001,0),1)&gt;=100000,INDEX($AB$1005:$AQ$1005,1,MATCH(COLUMNS($AB$1006:AE1006),$AB$1006:$AQ$1006,0))&gt;=100000), " ",IF(INDEX($AB$2:$AQ$1001,MATCH(ROWS($U$2:U303),$U$2:$U$1001,0),MATCH(COLUMNS($AB$1006:AE1006),$AB$1006:$AQ$1006,0)), HYPERLINK("#",""), HYPERLINK(CONCATENATE("#Metadata!", ADDRESS(INDEX($W$2:$W$1001,MATCH(ROWS($U$2:U303),$U$2:$U$1001,0),0), INDEX($AB$1004:$AQ$1004,1,MATCH(COLUMNS($AB$1006:AE1006),$AB$1006:$AQ$1006,0)))),"Fix")))</f>
        <v>0</v>
      </c>
      <c r="F303" s="5">
        <f>IF(OR(INDEX($V$2:$V$1001,MATCH(ROWS($U$2:U303),$U$2:$U$1001,0),1)&gt;=100000,INDEX($AB$1005:$AQ$1005,1,MATCH(COLUMNS($AB$1006:AF1006),$AB$1006:$AQ$1006,0))&gt;=100000), " ",IF(INDEX($AB$2:$AQ$1001,MATCH(ROWS($U$2:U303),$U$2:$U$1001,0),MATCH(COLUMNS($AB$1006:AF1006),$AB$1006:$AQ$1006,0)), HYPERLINK("#",""), HYPERLINK(CONCATENATE("#Metadata!", ADDRESS(INDEX($W$2:$W$1001,MATCH(ROWS($U$2:U303),$U$2:$U$1001,0),0), INDEX($AB$1004:$AQ$1004,1,MATCH(COLUMNS($AB$1006:AF1006),$AB$1006:$AQ$1006,0)))),"Fix")))</f>
        <v>0</v>
      </c>
      <c r="G303" s="5">
        <f>IF(OR(INDEX($V$2:$V$1001,MATCH(ROWS($U$2:U303),$U$2:$U$1001,0),1)&gt;=100000,INDEX($AB$1005:$AQ$1005,1,MATCH(COLUMNS($AB$1006:AG1006),$AB$1006:$AQ$1006,0))&gt;=100000), " ",IF(INDEX($AB$2:$AQ$1001,MATCH(ROWS($U$2:U303),$U$2:$U$1001,0),MATCH(COLUMNS($AB$1006:AG1006),$AB$1006:$AQ$1006,0)), HYPERLINK("#",""), HYPERLINK(CONCATENATE("#Metadata!", ADDRESS(INDEX($W$2:$W$1001,MATCH(ROWS($U$2:U303),$U$2:$U$1001,0),0), INDEX($AB$1004:$AQ$1004,1,MATCH(COLUMNS($AB$1006:AG1006),$AB$1006:$AQ$1006,0)))),"Fix")))</f>
        <v>0</v>
      </c>
      <c r="H303" s="5">
        <f>IF(OR(INDEX($V$2:$V$1001,MATCH(ROWS($U$2:U303),$U$2:$U$1001,0),1)&gt;=100000,INDEX($AB$1005:$AQ$1005,1,MATCH(COLUMNS($AB$1006:AH1006),$AB$1006:$AQ$1006,0))&gt;=100000), " ",IF(INDEX($AB$2:$AQ$1001,MATCH(ROWS($U$2:U303),$U$2:$U$1001,0),MATCH(COLUMNS($AB$1006:AH1006),$AB$1006:$AQ$1006,0)), HYPERLINK("#",""), HYPERLINK(CONCATENATE("#Metadata!", ADDRESS(INDEX($W$2:$W$1001,MATCH(ROWS($U$2:U303),$U$2:$U$1001,0),0), INDEX($AB$1004:$AQ$1004,1,MATCH(COLUMNS($AB$1006:AH1006),$AB$1006:$AQ$1006,0)))),"Fix")))</f>
        <v>0</v>
      </c>
      <c r="I303" s="5">
        <f>IF(OR(INDEX($V$2:$V$1001,MATCH(ROWS($U$2:U303),$U$2:$U$1001,0),1)&gt;=100000,INDEX($AB$1005:$AQ$1005,1,MATCH(COLUMNS($AB$1006:AI1006),$AB$1006:$AQ$1006,0))&gt;=100000), " ",IF(INDEX($AB$2:$AQ$1001,MATCH(ROWS($U$2:U303),$U$2:$U$1001,0),MATCH(COLUMNS($AB$1006:AI1006),$AB$1006:$AQ$1006,0)), HYPERLINK("#",""), HYPERLINK(CONCATENATE("#Metadata!", ADDRESS(INDEX($W$2:$W$1001,MATCH(ROWS($U$2:U303),$U$2:$U$1001,0),0), INDEX($AB$1004:$AQ$1004,1,MATCH(COLUMNS($AB$1006:AI1006),$AB$1006:$AQ$1006,0)))),"Fix")))</f>
        <v>0</v>
      </c>
      <c r="J303" s="5">
        <f>IF(OR(INDEX($V$2:$V$1001,MATCH(ROWS($U$2:U303),$U$2:$U$1001,0),1)&gt;=100000,INDEX($AB$1005:$AQ$1005,1,MATCH(COLUMNS($AB$1006:AJ1006),$AB$1006:$AQ$1006,0))&gt;=100000), " ",IF(INDEX($AB$2:$AQ$1001,MATCH(ROWS($U$2:U303),$U$2:$U$1001,0),MATCH(COLUMNS($AB$1006:AJ1006),$AB$1006:$AQ$1006,0)), HYPERLINK("#",""), HYPERLINK(CONCATENATE("#Metadata!", ADDRESS(INDEX($W$2:$W$1001,MATCH(ROWS($U$2:U303),$U$2:$U$1001,0),0), INDEX($AB$1004:$AQ$1004,1,MATCH(COLUMNS($AB$1006:AJ1006),$AB$1006:$AQ$1006,0)))),"Fix")))</f>
        <v>0</v>
      </c>
      <c r="K303" s="5">
        <f>IF(OR(INDEX($V$2:$V$1001,MATCH(ROWS($U$2:U303),$U$2:$U$1001,0),1)&gt;=100000,INDEX($AB$1005:$AQ$1005,1,MATCH(COLUMNS($AB$1006:AK1006),$AB$1006:$AQ$1006,0))&gt;=100000), " ",IF(INDEX($AB$2:$AQ$1001,MATCH(ROWS($U$2:U303),$U$2:$U$1001,0),MATCH(COLUMNS($AB$1006:AK1006),$AB$1006:$AQ$1006,0)), HYPERLINK("#",""), HYPERLINK(CONCATENATE("#Metadata!", ADDRESS(INDEX($W$2:$W$1001,MATCH(ROWS($U$2:U303),$U$2:$U$1001,0),0), INDEX($AB$1004:$AQ$1004,1,MATCH(COLUMNS($AB$1006:AK1006),$AB$1006:$AQ$1006,0)))),"Fix")))</f>
        <v>0</v>
      </c>
      <c r="L303" s="5">
        <f>IF(OR(INDEX($V$2:$V$1001,MATCH(ROWS($U$2:U303),$U$2:$U$1001,0),1)&gt;=100000,INDEX($AB$1005:$AQ$1005,1,MATCH(COLUMNS($AB$1006:AL1006),$AB$1006:$AQ$1006,0))&gt;=100000), " ",IF(INDEX($AB$2:$AQ$1001,MATCH(ROWS($U$2:U303),$U$2:$U$1001,0),MATCH(COLUMNS($AB$1006:AL1006),$AB$1006:$AQ$1006,0)), HYPERLINK("#",""), HYPERLINK(CONCATENATE("#Metadata!", ADDRESS(INDEX($W$2:$W$1001,MATCH(ROWS($U$2:U303),$U$2:$U$1001,0),0), INDEX($AB$1004:$AQ$1004,1,MATCH(COLUMNS($AB$1006:AL1006),$AB$1006:$AQ$1006,0)))),"Fix")))</f>
        <v>0</v>
      </c>
      <c r="M303" s="5">
        <f>IF(OR(INDEX($V$2:$V$1001,MATCH(ROWS($U$2:U303),$U$2:$U$1001,0),1)&gt;=100000,INDEX($AB$1005:$AQ$1005,1,MATCH(COLUMNS($AB$1006:AM1006),$AB$1006:$AQ$1006,0))&gt;=100000), " ",IF(INDEX($AB$2:$AQ$1001,MATCH(ROWS($U$2:U303),$U$2:$U$1001,0),MATCH(COLUMNS($AB$1006:AM1006),$AB$1006:$AQ$1006,0)), HYPERLINK("#",""), HYPERLINK(CONCATENATE("#Metadata!", ADDRESS(INDEX($W$2:$W$1001,MATCH(ROWS($U$2:U303),$U$2:$U$1001,0),0), INDEX($AB$1004:$AQ$1004,1,MATCH(COLUMNS($AB$1006:AM1006),$AB$1006:$AQ$1006,0)))),"Fix")))</f>
        <v>0</v>
      </c>
      <c r="N303" s="5">
        <f>IF(OR(INDEX($V$2:$V$1001,MATCH(ROWS($U$2:U303),$U$2:$U$1001,0),1)&gt;=100000,INDEX($AB$1005:$AQ$1005,1,MATCH(COLUMNS($AB$1006:AN1006),$AB$1006:$AQ$1006,0))&gt;=100000), " ",IF(INDEX($AB$2:$AQ$1001,MATCH(ROWS($U$2:U303),$U$2:$U$1001,0),MATCH(COLUMNS($AB$1006:AN1006),$AB$1006:$AQ$1006,0)), HYPERLINK("#",""), HYPERLINK(CONCATENATE("#Metadata!", ADDRESS(INDEX($W$2:$W$1001,MATCH(ROWS($U$2:U303),$U$2:$U$1001,0),0), INDEX($AB$1004:$AQ$1004,1,MATCH(COLUMNS($AB$1006:AN1006),$AB$1006:$AQ$1006,0)))),"Fix")))</f>
        <v>0</v>
      </c>
      <c r="O303" s="5">
        <f>IF(OR(INDEX($V$2:$V$1001,MATCH(ROWS($U$2:U303),$U$2:$U$1001,0),1)&gt;=100000,INDEX($AB$1005:$AQ$1005,1,MATCH(COLUMNS($AB$1006:AO1006),$AB$1006:$AQ$1006,0))&gt;=100000), " ",IF(INDEX($AB$2:$AQ$1001,MATCH(ROWS($U$2:U303),$U$2:$U$1001,0),MATCH(COLUMNS($AB$1006:AO1006),$AB$1006:$AQ$1006,0)), HYPERLINK("#",""), HYPERLINK(CONCATENATE("#Metadata!", ADDRESS(INDEX($W$2:$W$1001,MATCH(ROWS($U$2:U303),$U$2:$U$1001,0),0), INDEX($AB$1004:$AQ$1004,1,MATCH(COLUMNS($AB$1006:AO1006),$AB$1006:$AQ$1006,0)))),"Fix")))</f>
        <v>0</v>
      </c>
      <c r="P303" s="5">
        <f>IF(OR(INDEX($V$2:$V$1001,MATCH(ROWS($U$2:U303),$U$2:$U$1001,0),1)&gt;=100000,INDEX($AB$1005:$AQ$1005,1,MATCH(COLUMNS($AB$1006:AP1006),$AB$1006:$AQ$1006,0))&gt;=100000), " ",IF(INDEX($AB$2:$AQ$1001,MATCH(ROWS($U$2:U303),$U$2:$U$1001,0),MATCH(COLUMNS($AB$1006:AP1006),$AB$1006:$AQ$1006,0)), HYPERLINK("#",""), HYPERLINK(CONCATENATE("#Metadata!", ADDRESS(INDEX($W$2:$W$1001,MATCH(ROWS($U$2:U303),$U$2:$U$1001,0),0), INDEX($AB$1004:$AQ$1004,1,MATCH(COLUMNS($AB$1006:AP1006),$AB$1006:$AQ$1006,0)))),"Fix")))</f>
        <v>0</v>
      </c>
      <c r="Q303" s="5">
        <f>IF(OR(INDEX($V$2:$V$1001,MATCH(ROWS($U$2:U303),$U$2:$U$1001,0),1)&gt;=100000,INDEX($AB$1005:$AQ$1005,1,MATCH(COLUMNS($AB$1006:AQ1006),$AB$1006:$AQ$1006,0))&gt;=100000), " ",IF(INDEX($AB$2:$AQ$1001,MATCH(ROWS($U$2:U303),$U$2:$U$1001,0),MATCH(COLUMNS($AB$1006:AQ1006),$AB$1006:$AQ$1006,0)), HYPERLINK("#",""), HYPERLINK(CONCATENATE("#Metadata!", ADDRESS(INDEX($W$2:$W$1001,MATCH(ROWS($U$2:U303),$U$2:$U$1001,0),0), INDEX($AB$1004:$AQ$1004,1,MATCH(COLUMNS($AB$1006:AQ1006),$AB$1006:$AQ$1006,0)))),"Fix")))</f>
        <v>0</v>
      </c>
      <c r="U303">
        <v>0</v>
      </c>
      <c r="V303">
        <v>0</v>
      </c>
      <c r="W303">
        <v>0</v>
      </c>
      <c r="X303">
        <f>IF(Y303,TRUE,AND(AB303:AQ303))</f>
        <v>0</v>
      </c>
      <c r="Y303">
        <f>COUNTBLANK(Metadata!B303:Q303)=COLUMNS(Metadata!B303:Q303)</f>
        <v>0</v>
      </c>
      <c r="Z303">
        <v>0</v>
      </c>
      <c r="AB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AC303">
        <f>AND(IF(Metadata!C303="",FALSE,TRUE),exact(Metadata!C303,"urban biome"))</f>
        <v>0</v>
      </c>
      <c r="AD303">
        <f>AND(IF(Metadata!D303="",FALSE,TRUE),exact(Metadata!D303,"human-associated habitat"))</f>
        <v>0</v>
      </c>
      <c r="AE303">
        <f>AND(IF(Metadata!E303="",FALSE,TRUE),OR(exact(Metadata!E303,"human-associated"),exact(Metadata!E303,"human-skin"),exact(Metadata!E303,"human-oral"),exact(Metadata!E303,"human-gut"),exact(Metadata!E303,"human-vaginal")))</f>
        <v>0</v>
      </c>
      <c r="AF303">
        <f>AND(IF(Metadata!F303="",FALSE,ISNUMBER(VALUE(Metadata!F303))),Metadata!F303&gt;0)</f>
        <v>0</v>
      </c>
      <c r="AG303">
        <f>AND(IF(Metadata!G303="",FALSE,TRUE),exact(Metadata!G303,"years"))</f>
        <v>0</v>
      </c>
      <c r="AH303">
        <f>OR(AND(IF(Metadata!H303="",FALSE,TRUE),OR(exact(Metadata!H303,"not applicable"),exact(Metadata!H303,"not collected"),exact(Metadata!H303,"not provided"),exact(Metadata!H303,"restricted access"))),AND(IF(Metadata!H303="",FALSE,ISNUMBER(VALUE(Metadata!H303))),Metadata!H303&gt;0))</f>
        <v>0</v>
      </c>
      <c r="AI303">
        <f>AND(IF(Metadata!I303="",FALSE,TRUE),exact(Metadata!I303,"human"))</f>
        <v>0</v>
      </c>
      <c r="AJ303">
        <f>AND(IF(Metadata!J303="",FALSE,ISNUMBER(VALUE(Metadata!J303))),Metadata!J303&gt;0)</f>
        <v>0</v>
      </c>
      <c r="AK303">
        <f>AND(IF(Metadata!K303="",FALSE,TRUE),exact(Metadata!K303,"cm"))</f>
        <v>0</v>
      </c>
      <c r="AL303">
        <f>AND(IF(Metadata!L303="",FALSE,TRUE),exact(Metadata!L303,"Homo sapiens"))</f>
        <v>0</v>
      </c>
      <c r="AM303">
        <f>AND(IF(Metadata!M303="",FALSE,TRUE),exact(Metadata!M303,"9606"))</f>
        <v>0</v>
      </c>
      <c r="AN303">
        <f>AND(IF(Metadata!N303="",FALSE,ISNUMBER(VALUE(Metadata!N303))),Metadata!N303&gt;0)</f>
        <v>0</v>
      </c>
      <c r="AO303">
        <f>AND(IF(Metadata!O303="",FALSE,TRUE),exact(Metadata!O303,"kg"))</f>
        <v>0</v>
      </c>
      <c r="AP303">
        <f>OR(AND(IF(Metadata!P303="",FALSE,TRUE),exact(Metadata!P303,"not provided")),IF(Metadata!P303="",FALSE,TRUE))</f>
        <v>0</v>
      </c>
      <c r="AQ303">
        <f>OR(AND(IF(Metadata!Q303="",FALSE,TRUE),exact(Metadata!Q303,"not provided")),IF(Metadata!Q303="",FALSE,TRUE))</f>
        <v>0</v>
      </c>
    </row>
    <row r="304" spans="1:43">
      <c r="A304" s="4">
        <f>IF(B304=" "," ",HYPERLINK(CONCATENATE("#metadata!",ADDRESS(INDEX($W$2:$W$1001,MATCH(ROWS($U$2:U304),$U$2:$U$1001,0),0),2)),INDEX($Z$2:$Z$1001,MATCH(ROWS($U$2:U304),$U$2:$U$1001,0),0)))</f>
        <v>0</v>
      </c>
      <c r="B304" s="5">
        <f>IF(OR(INDEX($V$2:$V$1001,MATCH(ROWS($U$2:U304),$U$2:$U$1001,0),1)&gt;=100000,INDEX($AB$1005:$AQ$1005,1,MATCH(COLUMNS($AB$1006:AB1006),$AB$1006:$AQ$1006,0))&gt;=100000), " ",IF(INDEX($AB$2:$AQ$1001,MATCH(ROWS($U$2:U304),$U$2:$U$1001,0),MATCH(COLUMNS($AB$1006:AB1006),$AB$1006:$AQ$1006,0)), HYPERLINK("#",""), HYPERLINK(CONCATENATE("#Metadata!", ADDRESS(INDEX($W$2:$W$1001,MATCH(ROWS($U$2:U304),$U$2:$U$1001,0),0), INDEX($AB$1004:$AQ$1004,1,MATCH(COLUMNS($AB$1006:AB1006),$AB$1006:$AQ$1006,0)))),"Fix")))</f>
        <v>0</v>
      </c>
      <c r="C304" s="5">
        <f>IF(OR(INDEX($V$2:$V$1001,MATCH(ROWS($U$2:U304),$U$2:$U$1001,0),1)&gt;=100000,INDEX($AB$1005:$AQ$1005,1,MATCH(COLUMNS($AB$1006:AC1006),$AB$1006:$AQ$1006,0))&gt;=100000), " ",IF(INDEX($AB$2:$AQ$1001,MATCH(ROWS($U$2:U304),$U$2:$U$1001,0),MATCH(COLUMNS($AB$1006:AC1006),$AB$1006:$AQ$1006,0)), HYPERLINK("#",""), HYPERLINK(CONCATENATE("#Metadata!", ADDRESS(INDEX($W$2:$W$1001,MATCH(ROWS($U$2:U304),$U$2:$U$1001,0),0), INDEX($AB$1004:$AQ$1004,1,MATCH(COLUMNS($AB$1006:AC1006),$AB$1006:$AQ$1006,0)))),"Fix")))</f>
        <v>0</v>
      </c>
      <c r="D304" s="5">
        <f>IF(OR(INDEX($V$2:$V$1001,MATCH(ROWS($U$2:U304),$U$2:$U$1001,0),1)&gt;=100000,INDEX($AB$1005:$AQ$1005,1,MATCH(COLUMNS($AB$1006:AD1006),$AB$1006:$AQ$1006,0))&gt;=100000), " ",IF(INDEX($AB$2:$AQ$1001,MATCH(ROWS($U$2:U304),$U$2:$U$1001,0),MATCH(COLUMNS($AB$1006:AD1006),$AB$1006:$AQ$1006,0)), HYPERLINK("#",""), HYPERLINK(CONCATENATE("#Metadata!", ADDRESS(INDEX($W$2:$W$1001,MATCH(ROWS($U$2:U304),$U$2:$U$1001,0),0), INDEX($AB$1004:$AQ$1004,1,MATCH(COLUMNS($AB$1006:AD1006),$AB$1006:$AQ$1006,0)))),"Fix")))</f>
        <v>0</v>
      </c>
      <c r="E304" s="5">
        <f>IF(OR(INDEX($V$2:$V$1001,MATCH(ROWS($U$2:U304),$U$2:$U$1001,0),1)&gt;=100000,INDEX($AB$1005:$AQ$1005,1,MATCH(COLUMNS($AB$1006:AE1006),$AB$1006:$AQ$1006,0))&gt;=100000), " ",IF(INDEX($AB$2:$AQ$1001,MATCH(ROWS($U$2:U304),$U$2:$U$1001,0),MATCH(COLUMNS($AB$1006:AE1006),$AB$1006:$AQ$1006,0)), HYPERLINK("#",""), HYPERLINK(CONCATENATE("#Metadata!", ADDRESS(INDEX($W$2:$W$1001,MATCH(ROWS($U$2:U304),$U$2:$U$1001,0),0), INDEX($AB$1004:$AQ$1004,1,MATCH(COLUMNS($AB$1006:AE1006),$AB$1006:$AQ$1006,0)))),"Fix")))</f>
        <v>0</v>
      </c>
      <c r="F304" s="5">
        <f>IF(OR(INDEX($V$2:$V$1001,MATCH(ROWS($U$2:U304),$U$2:$U$1001,0),1)&gt;=100000,INDEX($AB$1005:$AQ$1005,1,MATCH(COLUMNS($AB$1006:AF1006),$AB$1006:$AQ$1006,0))&gt;=100000), " ",IF(INDEX($AB$2:$AQ$1001,MATCH(ROWS($U$2:U304),$U$2:$U$1001,0),MATCH(COLUMNS($AB$1006:AF1006),$AB$1006:$AQ$1006,0)), HYPERLINK("#",""), HYPERLINK(CONCATENATE("#Metadata!", ADDRESS(INDEX($W$2:$W$1001,MATCH(ROWS($U$2:U304),$U$2:$U$1001,0),0), INDEX($AB$1004:$AQ$1004,1,MATCH(COLUMNS($AB$1006:AF1006),$AB$1006:$AQ$1006,0)))),"Fix")))</f>
        <v>0</v>
      </c>
      <c r="G304" s="5">
        <f>IF(OR(INDEX($V$2:$V$1001,MATCH(ROWS($U$2:U304),$U$2:$U$1001,0),1)&gt;=100000,INDEX($AB$1005:$AQ$1005,1,MATCH(COLUMNS($AB$1006:AG1006),$AB$1006:$AQ$1006,0))&gt;=100000), " ",IF(INDEX($AB$2:$AQ$1001,MATCH(ROWS($U$2:U304),$U$2:$U$1001,0),MATCH(COLUMNS($AB$1006:AG1006),$AB$1006:$AQ$1006,0)), HYPERLINK("#",""), HYPERLINK(CONCATENATE("#Metadata!", ADDRESS(INDEX($W$2:$W$1001,MATCH(ROWS($U$2:U304),$U$2:$U$1001,0),0), INDEX($AB$1004:$AQ$1004,1,MATCH(COLUMNS($AB$1006:AG1006),$AB$1006:$AQ$1006,0)))),"Fix")))</f>
        <v>0</v>
      </c>
      <c r="H304" s="5">
        <f>IF(OR(INDEX($V$2:$V$1001,MATCH(ROWS($U$2:U304),$U$2:$U$1001,0),1)&gt;=100000,INDEX($AB$1005:$AQ$1005,1,MATCH(COLUMNS($AB$1006:AH1006),$AB$1006:$AQ$1006,0))&gt;=100000), " ",IF(INDEX($AB$2:$AQ$1001,MATCH(ROWS($U$2:U304),$U$2:$U$1001,0),MATCH(COLUMNS($AB$1006:AH1006),$AB$1006:$AQ$1006,0)), HYPERLINK("#",""), HYPERLINK(CONCATENATE("#Metadata!", ADDRESS(INDEX($W$2:$W$1001,MATCH(ROWS($U$2:U304),$U$2:$U$1001,0),0), INDEX($AB$1004:$AQ$1004,1,MATCH(COLUMNS($AB$1006:AH1006),$AB$1006:$AQ$1006,0)))),"Fix")))</f>
        <v>0</v>
      </c>
      <c r="I304" s="5">
        <f>IF(OR(INDEX($V$2:$V$1001,MATCH(ROWS($U$2:U304),$U$2:$U$1001,0),1)&gt;=100000,INDEX($AB$1005:$AQ$1005,1,MATCH(COLUMNS($AB$1006:AI1006),$AB$1006:$AQ$1006,0))&gt;=100000), " ",IF(INDEX($AB$2:$AQ$1001,MATCH(ROWS($U$2:U304),$U$2:$U$1001,0),MATCH(COLUMNS($AB$1006:AI1006),$AB$1006:$AQ$1006,0)), HYPERLINK("#",""), HYPERLINK(CONCATENATE("#Metadata!", ADDRESS(INDEX($W$2:$W$1001,MATCH(ROWS($U$2:U304),$U$2:$U$1001,0),0), INDEX($AB$1004:$AQ$1004,1,MATCH(COLUMNS($AB$1006:AI1006),$AB$1006:$AQ$1006,0)))),"Fix")))</f>
        <v>0</v>
      </c>
      <c r="J304" s="5">
        <f>IF(OR(INDEX($V$2:$V$1001,MATCH(ROWS($U$2:U304),$U$2:$U$1001,0),1)&gt;=100000,INDEX($AB$1005:$AQ$1005,1,MATCH(COLUMNS($AB$1006:AJ1006),$AB$1006:$AQ$1006,0))&gt;=100000), " ",IF(INDEX($AB$2:$AQ$1001,MATCH(ROWS($U$2:U304),$U$2:$U$1001,0),MATCH(COLUMNS($AB$1006:AJ1006),$AB$1006:$AQ$1006,0)), HYPERLINK("#",""), HYPERLINK(CONCATENATE("#Metadata!", ADDRESS(INDEX($W$2:$W$1001,MATCH(ROWS($U$2:U304),$U$2:$U$1001,0),0), INDEX($AB$1004:$AQ$1004,1,MATCH(COLUMNS($AB$1006:AJ1006),$AB$1006:$AQ$1006,0)))),"Fix")))</f>
        <v>0</v>
      </c>
      <c r="K304" s="5">
        <f>IF(OR(INDEX($V$2:$V$1001,MATCH(ROWS($U$2:U304),$U$2:$U$1001,0),1)&gt;=100000,INDEX($AB$1005:$AQ$1005,1,MATCH(COLUMNS($AB$1006:AK1006),$AB$1006:$AQ$1006,0))&gt;=100000), " ",IF(INDEX($AB$2:$AQ$1001,MATCH(ROWS($U$2:U304),$U$2:$U$1001,0),MATCH(COLUMNS($AB$1006:AK1006),$AB$1006:$AQ$1006,0)), HYPERLINK("#",""), HYPERLINK(CONCATENATE("#Metadata!", ADDRESS(INDEX($W$2:$W$1001,MATCH(ROWS($U$2:U304),$U$2:$U$1001,0),0), INDEX($AB$1004:$AQ$1004,1,MATCH(COLUMNS($AB$1006:AK1006),$AB$1006:$AQ$1006,0)))),"Fix")))</f>
        <v>0</v>
      </c>
      <c r="L304" s="5">
        <f>IF(OR(INDEX($V$2:$V$1001,MATCH(ROWS($U$2:U304),$U$2:$U$1001,0),1)&gt;=100000,INDEX($AB$1005:$AQ$1005,1,MATCH(COLUMNS($AB$1006:AL1006),$AB$1006:$AQ$1006,0))&gt;=100000), " ",IF(INDEX($AB$2:$AQ$1001,MATCH(ROWS($U$2:U304),$U$2:$U$1001,0),MATCH(COLUMNS($AB$1006:AL1006),$AB$1006:$AQ$1006,0)), HYPERLINK("#",""), HYPERLINK(CONCATENATE("#Metadata!", ADDRESS(INDEX($W$2:$W$1001,MATCH(ROWS($U$2:U304),$U$2:$U$1001,0),0), INDEX($AB$1004:$AQ$1004,1,MATCH(COLUMNS($AB$1006:AL1006),$AB$1006:$AQ$1006,0)))),"Fix")))</f>
        <v>0</v>
      </c>
      <c r="M304" s="5">
        <f>IF(OR(INDEX($V$2:$V$1001,MATCH(ROWS($U$2:U304),$U$2:$U$1001,0),1)&gt;=100000,INDEX($AB$1005:$AQ$1005,1,MATCH(COLUMNS($AB$1006:AM1006),$AB$1006:$AQ$1006,0))&gt;=100000), " ",IF(INDEX($AB$2:$AQ$1001,MATCH(ROWS($U$2:U304),$U$2:$U$1001,0),MATCH(COLUMNS($AB$1006:AM1006),$AB$1006:$AQ$1006,0)), HYPERLINK("#",""), HYPERLINK(CONCATENATE("#Metadata!", ADDRESS(INDEX($W$2:$W$1001,MATCH(ROWS($U$2:U304),$U$2:$U$1001,0),0), INDEX($AB$1004:$AQ$1004,1,MATCH(COLUMNS($AB$1006:AM1006),$AB$1006:$AQ$1006,0)))),"Fix")))</f>
        <v>0</v>
      </c>
      <c r="N304" s="5">
        <f>IF(OR(INDEX($V$2:$V$1001,MATCH(ROWS($U$2:U304),$U$2:$U$1001,0),1)&gt;=100000,INDEX($AB$1005:$AQ$1005,1,MATCH(COLUMNS($AB$1006:AN1006),$AB$1006:$AQ$1006,0))&gt;=100000), " ",IF(INDEX($AB$2:$AQ$1001,MATCH(ROWS($U$2:U304),$U$2:$U$1001,0),MATCH(COLUMNS($AB$1006:AN1006),$AB$1006:$AQ$1006,0)), HYPERLINK("#",""), HYPERLINK(CONCATENATE("#Metadata!", ADDRESS(INDEX($W$2:$W$1001,MATCH(ROWS($U$2:U304),$U$2:$U$1001,0),0), INDEX($AB$1004:$AQ$1004,1,MATCH(COLUMNS($AB$1006:AN1006),$AB$1006:$AQ$1006,0)))),"Fix")))</f>
        <v>0</v>
      </c>
      <c r="O304" s="5">
        <f>IF(OR(INDEX($V$2:$V$1001,MATCH(ROWS($U$2:U304),$U$2:$U$1001,0),1)&gt;=100000,INDEX($AB$1005:$AQ$1005,1,MATCH(COLUMNS($AB$1006:AO1006),$AB$1006:$AQ$1006,0))&gt;=100000), " ",IF(INDEX($AB$2:$AQ$1001,MATCH(ROWS($U$2:U304),$U$2:$U$1001,0),MATCH(COLUMNS($AB$1006:AO1006),$AB$1006:$AQ$1006,0)), HYPERLINK("#",""), HYPERLINK(CONCATENATE("#Metadata!", ADDRESS(INDEX($W$2:$W$1001,MATCH(ROWS($U$2:U304),$U$2:$U$1001,0),0), INDEX($AB$1004:$AQ$1004,1,MATCH(COLUMNS($AB$1006:AO1006),$AB$1006:$AQ$1006,0)))),"Fix")))</f>
        <v>0</v>
      </c>
      <c r="P304" s="5">
        <f>IF(OR(INDEX($V$2:$V$1001,MATCH(ROWS($U$2:U304),$U$2:$U$1001,0),1)&gt;=100000,INDEX($AB$1005:$AQ$1005,1,MATCH(COLUMNS($AB$1006:AP1006),$AB$1006:$AQ$1006,0))&gt;=100000), " ",IF(INDEX($AB$2:$AQ$1001,MATCH(ROWS($U$2:U304),$U$2:$U$1001,0),MATCH(COLUMNS($AB$1006:AP1006),$AB$1006:$AQ$1006,0)), HYPERLINK("#",""), HYPERLINK(CONCATENATE("#Metadata!", ADDRESS(INDEX($W$2:$W$1001,MATCH(ROWS($U$2:U304),$U$2:$U$1001,0),0), INDEX($AB$1004:$AQ$1004,1,MATCH(COLUMNS($AB$1006:AP1006),$AB$1006:$AQ$1006,0)))),"Fix")))</f>
        <v>0</v>
      </c>
      <c r="Q304" s="5">
        <f>IF(OR(INDEX($V$2:$V$1001,MATCH(ROWS($U$2:U304),$U$2:$U$1001,0),1)&gt;=100000,INDEX($AB$1005:$AQ$1005,1,MATCH(COLUMNS($AB$1006:AQ1006),$AB$1006:$AQ$1006,0))&gt;=100000), " ",IF(INDEX($AB$2:$AQ$1001,MATCH(ROWS($U$2:U304),$U$2:$U$1001,0),MATCH(COLUMNS($AB$1006:AQ1006),$AB$1006:$AQ$1006,0)), HYPERLINK("#",""), HYPERLINK(CONCATENATE("#Metadata!", ADDRESS(INDEX($W$2:$W$1001,MATCH(ROWS($U$2:U304),$U$2:$U$1001,0),0), INDEX($AB$1004:$AQ$1004,1,MATCH(COLUMNS($AB$1006:AQ1006),$AB$1006:$AQ$1006,0)))),"Fix")))</f>
        <v>0</v>
      </c>
      <c r="U304">
        <v>0</v>
      </c>
      <c r="V304">
        <v>0</v>
      </c>
      <c r="W304">
        <v>0</v>
      </c>
      <c r="X304">
        <f>IF(Y304,TRUE,AND(AB304:AQ304))</f>
        <v>0</v>
      </c>
      <c r="Y304">
        <f>COUNTBLANK(Metadata!B304:Q304)=COLUMNS(Metadata!B304:Q304)</f>
        <v>0</v>
      </c>
      <c r="Z304">
        <v>0</v>
      </c>
      <c r="AB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AC304">
        <f>AND(IF(Metadata!C304="",FALSE,TRUE),exact(Metadata!C304,"urban biome"))</f>
        <v>0</v>
      </c>
      <c r="AD304">
        <f>AND(IF(Metadata!D304="",FALSE,TRUE),exact(Metadata!D304,"human-associated habitat"))</f>
        <v>0</v>
      </c>
      <c r="AE304">
        <f>AND(IF(Metadata!E304="",FALSE,TRUE),OR(exact(Metadata!E304,"human-associated"),exact(Metadata!E304,"human-skin"),exact(Metadata!E304,"human-oral"),exact(Metadata!E304,"human-gut"),exact(Metadata!E304,"human-vaginal")))</f>
        <v>0</v>
      </c>
      <c r="AF304">
        <f>AND(IF(Metadata!F304="",FALSE,ISNUMBER(VALUE(Metadata!F304))),Metadata!F304&gt;0)</f>
        <v>0</v>
      </c>
      <c r="AG304">
        <f>AND(IF(Metadata!G304="",FALSE,TRUE),exact(Metadata!G304,"years"))</f>
        <v>0</v>
      </c>
      <c r="AH304">
        <f>OR(AND(IF(Metadata!H304="",FALSE,TRUE),OR(exact(Metadata!H304,"not applicable"),exact(Metadata!H304,"not collected"),exact(Metadata!H304,"not provided"),exact(Metadata!H304,"restricted access"))),AND(IF(Metadata!H304="",FALSE,ISNUMBER(VALUE(Metadata!H304))),Metadata!H304&gt;0))</f>
        <v>0</v>
      </c>
      <c r="AI304">
        <f>AND(IF(Metadata!I304="",FALSE,TRUE),exact(Metadata!I304,"human"))</f>
        <v>0</v>
      </c>
      <c r="AJ304">
        <f>AND(IF(Metadata!J304="",FALSE,ISNUMBER(VALUE(Metadata!J304))),Metadata!J304&gt;0)</f>
        <v>0</v>
      </c>
      <c r="AK304">
        <f>AND(IF(Metadata!K304="",FALSE,TRUE),exact(Metadata!K304,"cm"))</f>
        <v>0</v>
      </c>
      <c r="AL304">
        <f>AND(IF(Metadata!L304="",FALSE,TRUE),exact(Metadata!L304,"Homo sapiens"))</f>
        <v>0</v>
      </c>
      <c r="AM304">
        <f>AND(IF(Metadata!M304="",FALSE,TRUE),exact(Metadata!M304,"9606"))</f>
        <v>0</v>
      </c>
      <c r="AN304">
        <f>AND(IF(Metadata!N304="",FALSE,ISNUMBER(VALUE(Metadata!N304))),Metadata!N304&gt;0)</f>
        <v>0</v>
      </c>
      <c r="AO304">
        <f>AND(IF(Metadata!O304="",FALSE,TRUE),exact(Metadata!O304,"kg"))</f>
        <v>0</v>
      </c>
      <c r="AP304">
        <f>OR(AND(IF(Metadata!P304="",FALSE,TRUE),exact(Metadata!P304,"not provided")),IF(Metadata!P304="",FALSE,TRUE))</f>
        <v>0</v>
      </c>
      <c r="AQ304">
        <f>OR(AND(IF(Metadata!Q304="",FALSE,TRUE),exact(Metadata!Q304,"not provided")),IF(Metadata!Q304="",FALSE,TRUE))</f>
        <v>0</v>
      </c>
    </row>
    <row r="305" spans="1:43">
      <c r="A305" s="4">
        <f>IF(B305=" "," ",HYPERLINK(CONCATENATE("#metadata!",ADDRESS(INDEX($W$2:$W$1001,MATCH(ROWS($U$2:U305),$U$2:$U$1001,0),0),2)),INDEX($Z$2:$Z$1001,MATCH(ROWS($U$2:U305),$U$2:$U$1001,0),0)))</f>
        <v>0</v>
      </c>
      <c r="B305" s="5">
        <f>IF(OR(INDEX($V$2:$V$1001,MATCH(ROWS($U$2:U305),$U$2:$U$1001,0),1)&gt;=100000,INDEX($AB$1005:$AQ$1005,1,MATCH(COLUMNS($AB$1006:AB1006),$AB$1006:$AQ$1006,0))&gt;=100000), " ",IF(INDEX($AB$2:$AQ$1001,MATCH(ROWS($U$2:U305),$U$2:$U$1001,0),MATCH(COLUMNS($AB$1006:AB1006),$AB$1006:$AQ$1006,0)), HYPERLINK("#",""), HYPERLINK(CONCATENATE("#Metadata!", ADDRESS(INDEX($W$2:$W$1001,MATCH(ROWS($U$2:U305),$U$2:$U$1001,0),0), INDEX($AB$1004:$AQ$1004,1,MATCH(COLUMNS($AB$1006:AB1006),$AB$1006:$AQ$1006,0)))),"Fix")))</f>
        <v>0</v>
      </c>
      <c r="C305" s="5">
        <f>IF(OR(INDEX($V$2:$V$1001,MATCH(ROWS($U$2:U305),$U$2:$U$1001,0),1)&gt;=100000,INDEX($AB$1005:$AQ$1005,1,MATCH(COLUMNS($AB$1006:AC1006),$AB$1006:$AQ$1006,0))&gt;=100000), " ",IF(INDEX($AB$2:$AQ$1001,MATCH(ROWS($U$2:U305),$U$2:$U$1001,0),MATCH(COLUMNS($AB$1006:AC1006),$AB$1006:$AQ$1006,0)), HYPERLINK("#",""), HYPERLINK(CONCATENATE("#Metadata!", ADDRESS(INDEX($W$2:$W$1001,MATCH(ROWS($U$2:U305),$U$2:$U$1001,0),0), INDEX($AB$1004:$AQ$1004,1,MATCH(COLUMNS($AB$1006:AC1006),$AB$1006:$AQ$1006,0)))),"Fix")))</f>
        <v>0</v>
      </c>
      <c r="D305" s="5">
        <f>IF(OR(INDEX($V$2:$V$1001,MATCH(ROWS($U$2:U305),$U$2:$U$1001,0),1)&gt;=100000,INDEX($AB$1005:$AQ$1005,1,MATCH(COLUMNS($AB$1006:AD1006),$AB$1006:$AQ$1006,0))&gt;=100000), " ",IF(INDEX($AB$2:$AQ$1001,MATCH(ROWS($U$2:U305),$U$2:$U$1001,0),MATCH(COLUMNS($AB$1006:AD1006),$AB$1006:$AQ$1006,0)), HYPERLINK("#",""), HYPERLINK(CONCATENATE("#Metadata!", ADDRESS(INDEX($W$2:$W$1001,MATCH(ROWS($U$2:U305),$U$2:$U$1001,0),0), INDEX($AB$1004:$AQ$1004,1,MATCH(COLUMNS($AB$1006:AD1006),$AB$1006:$AQ$1006,0)))),"Fix")))</f>
        <v>0</v>
      </c>
      <c r="E305" s="5">
        <f>IF(OR(INDEX($V$2:$V$1001,MATCH(ROWS($U$2:U305),$U$2:$U$1001,0),1)&gt;=100000,INDEX($AB$1005:$AQ$1005,1,MATCH(COLUMNS($AB$1006:AE1006),$AB$1006:$AQ$1006,0))&gt;=100000), " ",IF(INDEX($AB$2:$AQ$1001,MATCH(ROWS($U$2:U305),$U$2:$U$1001,0),MATCH(COLUMNS($AB$1006:AE1006),$AB$1006:$AQ$1006,0)), HYPERLINK("#",""), HYPERLINK(CONCATENATE("#Metadata!", ADDRESS(INDEX($W$2:$W$1001,MATCH(ROWS($U$2:U305),$U$2:$U$1001,0),0), INDEX($AB$1004:$AQ$1004,1,MATCH(COLUMNS($AB$1006:AE1006),$AB$1006:$AQ$1006,0)))),"Fix")))</f>
        <v>0</v>
      </c>
      <c r="F305" s="5">
        <f>IF(OR(INDEX($V$2:$V$1001,MATCH(ROWS($U$2:U305),$U$2:$U$1001,0),1)&gt;=100000,INDEX($AB$1005:$AQ$1005,1,MATCH(COLUMNS($AB$1006:AF1006),$AB$1006:$AQ$1006,0))&gt;=100000), " ",IF(INDEX($AB$2:$AQ$1001,MATCH(ROWS($U$2:U305),$U$2:$U$1001,0),MATCH(COLUMNS($AB$1006:AF1006),$AB$1006:$AQ$1006,0)), HYPERLINK("#",""), HYPERLINK(CONCATENATE("#Metadata!", ADDRESS(INDEX($W$2:$W$1001,MATCH(ROWS($U$2:U305),$U$2:$U$1001,0),0), INDEX($AB$1004:$AQ$1004,1,MATCH(COLUMNS($AB$1006:AF1006),$AB$1006:$AQ$1006,0)))),"Fix")))</f>
        <v>0</v>
      </c>
      <c r="G305" s="5">
        <f>IF(OR(INDEX($V$2:$V$1001,MATCH(ROWS($U$2:U305),$U$2:$U$1001,0),1)&gt;=100000,INDEX($AB$1005:$AQ$1005,1,MATCH(COLUMNS($AB$1006:AG1006),$AB$1006:$AQ$1006,0))&gt;=100000), " ",IF(INDEX($AB$2:$AQ$1001,MATCH(ROWS($U$2:U305),$U$2:$U$1001,0),MATCH(COLUMNS($AB$1006:AG1006),$AB$1006:$AQ$1006,0)), HYPERLINK("#",""), HYPERLINK(CONCATENATE("#Metadata!", ADDRESS(INDEX($W$2:$W$1001,MATCH(ROWS($U$2:U305),$U$2:$U$1001,0),0), INDEX($AB$1004:$AQ$1004,1,MATCH(COLUMNS($AB$1006:AG1006),$AB$1006:$AQ$1006,0)))),"Fix")))</f>
        <v>0</v>
      </c>
      <c r="H305" s="5">
        <f>IF(OR(INDEX($V$2:$V$1001,MATCH(ROWS($U$2:U305),$U$2:$U$1001,0),1)&gt;=100000,INDEX($AB$1005:$AQ$1005,1,MATCH(COLUMNS($AB$1006:AH1006),$AB$1006:$AQ$1006,0))&gt;=100000), " ",IF(INDEX($AB$2:$AQ$1001,MATCH(ROWS($U$2:U305),$U$2:$U$1001,0),MATCH(COLUMNS($AB$1006:AH1006),$AB$1006:$AQ$1006,0)), HYPERLINK("#",""), HYPERLINK(CONCATENATE("#Metadata!", ADDRESS(INDEX($W$2:$W$1001,MATCH(ROWS($U$2:U305),$U$2:$U$1001,0),0), INDEX($AB$1004:$AQ$1004,1,MATCH(COLUMNS($AB$1006:AH1006),$AB$1006:$AQ$1006,0)))),"Fix")))</f>
        <v>0</v>
      </c>
      <c r="I305" s="5">
        <f>IF(OR(INDEX($V$2:$V$1001,MATCH(ROWS($U$2:U305),$U$2:$U$1001,0),1)&gt;=100000,INDEX($AB$1005:$AQ$1005,1,MATCH(COLUMNS($AB$1006:AI1006),$AB$1006:$AQ$1006,0))&gt;=100000), " ",IF(INDEX($AB$2:$AQ$1001,MATCH(ROWS($U$2:U305),$U$2:$U$1001,0),MATCH(COLUMNS($AB$1006:AI1006),$AB$1006:$AQ$1006,0)), HYPERLINK("#",""), HYPERLINK(CONCATENATE("#Metadata!", ADDRESS(INDEX($W$2:$W$1001,MATCH(ROWS($U$2:U305),$U$2:$U$1001,0),0), INDEX($AB$1004:$AQ$1004,1,MATCH(COLUMNS($AB$1006:AI1006),$AB$1006:$AQ$1006,0)))),"Fix")))</f>
        <v>0</v>
      </c>
      <c r="J305" s="5">
        <f>IF(OR(INDEX($V$2:$V$1001,MATCH(ROWS($U$2:U305),$U$2:$U$1001,0),1)&gt;=100000,INDEX($AB$1005:$AQ$1005,1,MATCH(COLUMNS($AB$1006:AJ1006),$AB$1006:$AQ$1006,0))&gt;=100000), " ",IF(INDEX($AB$2:$AQ$1001,MATCH(ROWS($U$2:U305),$U$2:$U$1001,0),MATCH(COLUMNS($AB$1006:AJ1006),$AB$1006:$AQ$1006,0)), HYPERLINK("#",""), HYPERLINK(CONCATENATE("#Metadata!", ADDRESS(INDEX($W$2:$W$1001,MATCH(ROWS($U$2:U305),$U$2:$U$1001,0),0), INDEX($AB$1004:$AQ$1004,1,MATCH(COLUMNS($AB$1006:AJ1006),$AB$1006:$AQ$1006,0)))),"Fix")))</f>
        <v>0</v>
      </c>
      <c r="K305" s="5">
        <f>IF(OR(INDEX($V$2:$V$1001,MATCH(ROWS($U$2:U305),$U$2:$U$1001,0),1)&gt;=100000,INDEX($AB$1005:$AQ$1005,1,MATCH(COLUMNS($AB$1006:AK1006),$AB$1006:$AQ$1006,0))&gt;=100000), " ",IF(INDEX($AB$2:$AQ$1001,MATCH(ROWS($U$2:U305),$U$2:$U$1001,0),MATCH(COLUMNS($AB$1006:AK1006),$AB$1006:$AQ$1006,0)), HYPERLINK("#",""), HYPERLINK(CONCATENATE("#Metadata!", ADDRESS(INDEX($W$2:$W$1001,MATCH(ROWS($U$2:U305),$U$2:$U$1001,0),0), INDEX($AB$1004:$AQ$1004,1,MATCH(COLUMNS($AB$1006:AK1006),$AB$1006:$AQ$1006,0)))),"Fix")))</f>
        <v>0</v>
      </c>
      <c r="L305" s="5">
        <f>IF(OR(INDEX($V$2:$V$1001,MATCH(ROWS($U$2:U305),$U$2:$U$1001,0),1)&gt;=100000,INDEX($AB$1005:$AQ$1005,1,MATCH(COLUMNS($AB$1006:AL1006),$AB$1006:$AQ$1006,0))&gt;=100000), " ",IF(INDEX($AB$2:$AQ$1001,MATCH(ROWS($U$2:U305),$U$2:$U$1001,0),MATCH(COLUMNS($AB$1006:AL1006),$AB$1006:$AQ$1006,0)), HYPERLINK("#",""), HYPERLINK(CONCATENATE("#Metadata!", ADDRESS(INDEX($W$2:$W$1001,MATCH(ROWS($U$2:U305),$U$2:$U$1001,0),0), INDEX($AB$1004:$AQ$1004,1,MATCH(COLUMNS($AB$1006:AL1006),$AB$1006:$AQ$1006,0)))),"Fix")))</f>
        <v>0</v>
      </c>
      <c r="M305" s="5">
        <f>IF(OR(INDEX($V$2:$V$1001,MATCH(ROWS($U$2:U305),$U$2:$U$1001,0),1)&gt;=100000,INDEX($AB$1005:$AQ$1005,1,MATCH(COLUMNS($AB$1006:AM1006),$AB$1006:$AQ$1006,0))&gt;=100000), " ",IF(INDEX($AB$2:$AQ$1001,MATCH(ROWS($U$2:U305),$U$2:$U$1001,0),MATCH(COLUMNS($AB$1006:AM1006),$AB$1006:$AQ$1006,0)), HYPERLINK("#",""), HYPERLINK(CONCATENATE("#Metadata!", ADDRESS(INDEX($W$2:$W$1001,MATCH(ROWS($U$2:U305),$U$2:$U$1001,0),0), INDEX($AB$1004:$AQ$1004,1,MATCH(COLUMNS($AB$1006:AM1006),$AB$1006:$AQ$1006,0)))),"Fix")))</f>
        <v>0</v>
      </c>
      <c r="N305" s="5">
        <f>IF(OR(INDEX($V$2:$V$1001,MATCH(ROWS($U$2:U305),$U$2:$U$1001,0),1)&gt;=100000,INDEX($AB$1005:$AQ$1005,1,MATCH(COLUMNS($AB$1006:AN1006),$AB$1006:$AQ$1006,0))&gt;=100000), " ",IF(INDEX($AB$2:$AQ$1001,MATCH(ROWS($U$2:U305),$U$2:$U$1001,0),MATCH(COLUMNS($AB$1006:AN1006),$AB$1006:$AQ$1006,0)), HYPERLINK("#",""), HYPERLINK(CONCATENATE("#Metadata!", ADDRESS(INDEX($W$2:$W$1001,MATCH(ROWS($U$2:U305),$U$2:$U$1001,0),0), INDEX($AB$1004:$AQ$1004,1,MATCH(COLUMNS($AB$1006:AN1006),$AB$1006:$AQ$1006,0)))),"Fix")))</f>
        <v>0</v>
      </c>
      <c r="O305" s="5">
        <f>IF(OR(INDEX($V$2:$V$1001,MATCH(ROWS($U$2:U305),$U$2:$U$1001,0),1)&gt;=100000,INDEX($AB$1005:$AQ$1005,1,MATCH(COLUMNS($AB$1006:AO1006),$AB$1006:$AQ$1006,0))&gt;=100000), " ",IF(INDEX($AB$2:$AQ$1001,MATCH(ROWS($U$2:U305),$U$2:$U$1001,0),MATCH(COLUMNS($AB$1006:AO1006),$AB$1006:$AQ$1006,0)), HYPERLINK("#",""), HYPERLINK(CONCATENATE("#Metadata!", ADDRESS(INDEX($W$2:$W$1001,MATCH(ROWS($U$2:U305),$U$2:$U$1001,0),0), INDEX($AB$1004:$AQ$1004,1,MATCH(COLUMNS($AB$1006:AO1006),$AB$1006:$AQ$1006,0)))),"Fix")))</f>
        <v>0</v>
      </c>
      <c r="P305" s="5">
        <f>IF(OR(INDEX($V$2:$V$1001,MATCH(ROWS($U$2:U305),$U$2:$U$1001,0),1)&gt;=100000,INDEX($AB$1005:$AQ$1005,1,MATCH(COLUMNS($AB$1006:AP1006),$AB$1006:$AQ$1006,0))&gt;=100000), " ",IF(INDEX($AB$2:$AQ$1001,MATCH(ROWS($U$2:U305),$U$2:$U$1001,0),MATCH(COLUMNS($AB$1006:AP1006),$AB$1006:$AQ$1006,0)), HYPERLINK("#",""), HYPERLINK(CONCATENATE("#Metadata!", ADDRESS(INDEX($W$2:$W$1001,MATCH(ROWS($U$2:U305),$U$2:$U$1001,0),0), INDEX($AB$1004:$AQ$1004,1,MATCH(COLUMNS($AB$1006:AP1006),$AB$1006:$AQ$1006,0)))),"Fix")))</f>
        <v>0</v>
      </c>
      <c r="Q305" s="5">
        <f>IF(OR(INDEX($V$2:$V$1001,MATCH(ROWS($U$2:U305),$U$2:$U$1001,0),1)&gt;=100000,INDEX($AB$1005:$AQ$1005,1,MATCH(COLUMNS($AB$1006:AQ1006),$AB$1006:$AQ$1006,0))&gt;=100000), " ",IF(INDEX($AB$2:$AQ$1001,MATCH(ROWS($U$2:U305),$U$2:$U$1001,0),MATCH(COLUMNS($AB$1006:AQ1006),$AB$1006:$AQ$1006,0)), HYPERLINK("#",""), HYPERLINK(CONCATENATE("#Metadata!", ADDRESS(INDEX($W$2:$W$1001,MATCH(ROWS($U$2:U305),$U$2:$U$1001,0),0), INDEX($AB$1004:$AQ$1004,1,MATCH(COLUMNS($AB$1006:AQ1006),$AB$1006:$AQ$1006,0)))),"Fix")))</f>
        <v>0</v>
      </c>
      <c r="U305">
        <v>0</v>
      </c>
      <c r="V305">
        <v>0</v>
      </c>
      <c r="W305">
        <v>0</v>
      </c>
      <c r="X305">
        <f>IF(Y305,TRUE,AND(AB305:AQ305))</f>
        <v>0</v>
      </c>
      <c r="Y305">
        <f>COUNTBLANK(Metadata!B305:Q305)=COLUMNS(Metadata!B305:Q305)</f>
        <v>0</v>
      </c>
      <c r="Z305">
        <v>0</v>
      </c>
      <c r="AB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AC305">
        <f>AND(IF(Metadata!C305="",FALSE,TRUE),exact(Metadata!C305,"urban biome"))</f>
        <v>0</v>
      </c>
      <c r="AD305">
        <f>AND(IF(Metadata!D305="",FALSE,TRUE),exact(Metadata!D305,"human-associated habitat"))</f>
        <v>0</v>
      </c>
      <c r="AE305">
        <f>AND(IF(Metadata!E305="",FALSE,TRUE),OR(exact(Metadata!E305,"human-associated"),exact(Metadata!E305,"human-skin"),exact(Metadata!E305,"human-oral"),exact(Metadata!E305,"human-gut"),exact(Metadata!E305,"human-vaginal")))</f>
        <v>0</v>
      </c>
      <c r="AF305">
        <f>AND(IF(Metadata!F305="",FALSE,ISNUMBER(VALUE(Metadata!F305))),Metadata!F305&gt;0)</f>
        <v>0</v>
      </c>
      <c r="AG305">
        <f>AND(IF(Metadata!G305="",FALSE,TRUE),exact(Metadata!G305,"years"))</f>
        <v>0</v>
      </c>
      <c r="AH305">
        <f>OR(AND(IF(Metadata!H305="",FALSE,TRUE),OR(exact(Metadata!H305,"not applicable"),exact(Metadata!H305,"not collected"),exact(Metadata!H305,"not provided"),exact(Metadata!H305,"restricted access"))),AND(IF(Metadata!H305="",FALSE,ISNUMBER(VALUE(Metadata!H305))),Metadata!H305&gt;0))</f>
        <v>0</v>
      </c>
      <c r="AI305">
        <f>AND(IF(Metadata!I305="",FALSE,TRUE),exact(Metadata!I305,"human"))</f>
        <v>0</v>
      </c>
      <c r="AJ305">
        <f>AND(IF(Metadata!J305="",FALSE,ISNUMBER(VALUE(Metadata!J305))),Metadata!J305&gt;0)</f>
        <v>0</v>
      </c>
      <c r="AK305">
        <f>AND(IF(Metadata!K305="",FALSE,TRUE),exact(Metadata!K305,"cm"))</f>
        <v>0</v>
      </c>
      <c r="AL305">
        <f>AND(IF(Metadata!L305="",FALSE,TRUE),exact(Metadata!L305,"Homo sapiens"))</f>
        <v>0</v>
      </c>
      <c r="AM305">
        <f>AND(IF(Metadata!M305="",FALSE,TRUE),exact(Metadata!M305,"9606"))</f>
        <v>0</v>
      </c>
      <c r="AN305">
        <f>AND(IF(Metadata!N305="",FALSE,ISNUMBER(VALUE(Metadata!N305))),Metadata!N305&gt;0)</f>
        <v>0</v>
      </c>
      <c r="AO305">
        <f>AND(IF(Metadata!O305="",FALSE,TRUE),exact(Metadata!O305,"kg"))</f>
        <v>0</v>
      </c>
      <c r="AP305">
        <f>OR(AND(IF(Metadata!P305="",FALSE,TRUE),exact(Metadata!P305,"not provided")),IF(Metadata!P305="",FALSE,TRUE))</f>
        <v>0</v>
      </c>
      <c r="AQ305">
        <f>OR(AND(IF(Metadata!Q305="",FALSE,TRUE),exact(Metadata!Q305,"not provided")),IF(Metadata!Q305="",FALSE,TRUE))</f>
        <v>0</v>
      </c>
    </row>
    <row r="306" spans="1:43">
      <c r="A306" s="4">
        <f>IF(B306=" "," ",HYPERLINK(CONCATENATE("#metadata!",ADDRESS(INDEX($W$2:$W$1001,MATCH(ROWS($U$2:U306),$U$2:$U$1001,0),0),2)),INDEX($Z$2:$Z$1001,MATCH(ROWS($U$2:U306),$U$2:$U$1001,0),0)))</f>
        <v>0</v>
      </c>
      <c r="B306" s="5">
        <f>IF(OR(INDEX($V$2:$V$1001,MATCH(ROWS($U$2:U306),$U$2:$U$1001,0),1)&gt;=100000,INDEX($AB$1005:$AQ$1005,1,MATCH(COLUMNS($AB$1006:AB1006),$AB$1006:$AQ$1006,0))&gt;=100000), " ",IF(INDEX($AB$2:$AQ$1001,MATCH(ROWS($U$2:U306),$U$2:$U$1001,0),MATCH(COLUMNS($AB$1006:AB1006),$AB$1006:$AQ$1006,0)), HYPERLINK("#",""), HYPERLINK(CONCATENATE("#Metadata!", ADDRESS(INDEX($W$2:$W$1001,MATCH(ROWS($U$2:U306),$U$2:$U$1001,0),0), INDEX($AB$1004:$AQ$1004,1,MATCH(COLUMNS($AB$1006:AB1006),$AB$1006:$AQ$1006,0)))),"Fix")))</f>
        <v>0</v>
      </c>
      <c r="C306" s="5">
        <f>IF(OR(INDEX($V$2:$V$1001,MATCH(ROWS($U$2:U306),$U$2:$U$1001,0),1)&gt;=100000,INDEX($AB$1005:$AQ$1005,1,MATCH(COLUMNS($AB$1006:AC1006),$AB$1006:$AQ$1006,0))&gt;=100000), " ",IF(INDEX($AB$2:$AQ$1001,MATCH(ROWS($U$2:U306),$U$2:$U$1001,0),MATCH(COLUMNS($AB$1006:AC1006),$AB$1006:$AQ$1006,0)), HYPERLINK("#",""), HYPERLINK(CONCATENATE("#Metadata!", ADDRESS(INDEX($W$2:$W$1001,MATCH(ROWS($U$2:U306),$U$2:$U$1001,0),0), INDEX($AB$1004:$AQ$1004,1,MATCH(COLUMNS($AB$1006:AC1006),$AB$1006:$AQ$1006,0)))),"Fix")))</f>
        <v>0</v>
      </c>
      <c r="D306" s="5">
        <f>IF(OR(INDEX($V$2:$V$1001,MATCH(ROWS($U$2:U306),$U$2:$U$1001,0),1)&gt;=100000,INDEX($AB$1005:$AQ$1005,1,MATCH(COLUMNS($AB$1006:AD1006),$AB$1006:$AQ$1006,0))&gt;=100000), " ",IF(INDEX($AB$2:$AQ$1001,MATCH(ROWS($U$2:U306),$U$2:$U$1001,0),MATCH(COLUMNS($AB$1006:AD1006),$AB$1006:$AQ$1006,0)), HYPERLINK("#",""), HYPERLINK(CONCATENATE("#Metadata!", ADDRESS(INDEX($W$2:$W$1001,MATCH(ROWS($U$2:U306),$U$2:$U$1001,0),0), INDEX($AB$1004:$AQ$1004,1,MATCH(COLUMNS($AB$1006:AD1006),$AB$1006:$AQ$1006,0)))),"Fix")))</f>
        <v>0</v>
      </c>
      <c r="E306" s="5">
        <f>IF(OR(INDEX($V$2:$V$1001,MATCH(ROWS($U$2:U306),$U$2:$U$1001,0),1)&gt;=100000,INDEX($AB$1005:$AQ$1005,1,MATCH(COLUMNS($AB$1006:AE1006),$AB$1006:$AQ$1006,0))&gt;=100000), " ",IF(INDEX($AB$2:$AQ$1001,MATCH(ROWS($U$2:U306),$U$2:$U$1001,0),MATCH(COLUMNS($AB$1006:AE1006),$AB$1006:$AQ$1006,0)), HYPERLINK("#",""), HYPERLINK(CONCATENATE("#Metadata!", ADDRESS(INDEX($W$2:$W$1001,MATCH(ROWS($U$2:U306),$U$2:$U$1001,0),0), INDEX($AB$1004:$AQ$1004,1,MATCH(COLUMNS($AB$1006:AE1006),$AB$1006:$AQ$1006,0)))),"Fix")))</f>
        <v>0</v>
      </c>
      <c r="F306" s="5">
        <f>IF(OR(INDEX($V$2:$V$1001,MATCH(ROWS($U$2:U306),$U$2:$U$1001,0),1)&gt;=100000,INDEX($AB$1005:$AQ$1005,1,MATCH(COLUMNS($AB$1006:AF1006),$AB$1006:$AQ$1006,0))&gt;=100000), " ",IF(INDEX($AB$2:$AQ$1001,MATCH(ROWS($U$2:U306),$U$2:$U$1001,0),MATCH(COLUMNS($AB$1006:AF1006),$AB$1006:$AQ$1006,0)), HYPERLINK("#",""), HYPERLINK(CONCATENATE("#Metadata!", ADDRESS(INDEX($W$2:$W$1001,MATCH(ROWS($U$2:U306),$U$2:$U$1001,0),0), INDEX($AB$1004:$AQ$1004,1,MATCH(COLUMNS($AB$1006:AF1006),$AB$1006:$AQ$1006,0)))),"Fix")))</f>
        <v>0</v>
      </c>
      <c r="G306" s="5">
        <f>IF(OR(INDEX($V$2:$V$1001,MATCH(ROWS($U$2:U306),$U$2:$U$1001,0),1)&gt;=100000,INDEX($AB$1005:$AQ$1005,1,MATCH(COLUMNS($AB$1006:AG1006),$AB$1006:$AQ$1006,0))&gt;=100000), " ",IF(INDEX($AB$2:$AQ$1001,MATCH(ROWS($U$2:U306),$U$2:$U$1001,0),MATCH(COLUMNS($AB$1006:AG1006),$AB$1006:$AQ$1006,0)), HYPERLINK("#",""), HYPERLINK(CONCATENATE("#Metadata!", ADDRESS(INDEX($W$2:$W$1001,MATCH(ROWS($U$2:U306),$U$2:$U$1001,0),0), INDEX($AB$1004:$AQ$1004,1,MATCH(COLUMNS($AB$1006:AG1006),$AB$1006:$AQ$1006,0)))),"Fix")))</f>
        <v>0</v>
      </c>
      <c r="H306" s="5">
        <f>IF(OR(INDEX($V$2:$V$1001,MATCH(ROWS($U$2:U306),$U$2:$U$1001,0),1)&gt;=100000,INDEX($AB$1005:$AQ$1005,1,MATCH(COLUMNS($AB$1006:AH1006),$AB$1006:$AQ$1006,0))&gt;=100000), " ",IF(INDEX($AB$2:$AQ$1001,MATCH(ROWS($U$2:U306),$U$2:$U$1001,0),MATCH(COLUMNS($AB$1006:AH1006),$AB$1006:$AQ$1006,0)), HYPERLINK("#",""), HYPERLINK(CONCATENATE("#Metadata!", ADDRESS(INDEX($W$2:$W$1001,MATCH(ROWS($U$2:U306),$U$2:$U$1001,0),0), INDEX($AB$1004:$AQ$1004,1,MATCH(COLUMNS($AB$1006:AH1006),$AB$1006:$AQ$1006,0)))),"Fix")))</f>
        <v>0</v>
      </c>
      <c r="I306" s="5">
        <f>IF(OR(INDEX($V$2:$V$1001,MATCH(ROWS($U$2:U306),$U$2:$U$1001,0),1)&gt;=100000,INDEX($AB$1005:$AQ$1005,1,MATCH(COLUMNS($AB$1006:AI1006),$AB$1006:$AQ$1006,0))&gt;=100000), " ",IF(INDEX($AB$2:$AQ$1001,MATCH(ROWS($U$2:U306),$U$2:$U$1001,0),MATCH(COLUMNS($AB$1006:AI1006),$AB$1006:$AQ$1006,0)), HYPERLINK("#",""), HYPERLINK(CONCATENATE("#Metadata!", ADDRESS(INDEX($W$2:$W$1001,MATCH(ROWS($U$2:U306),$U$2:$U$1001,0),0), INDEX($AB$1004:$AQ$1004,1,MATCH(COLUMNS($AB$1006:AI1006),$AB$1006:$AQ$1006,0)))),"Fix")))</f>
        <v>0</v>
      </c>
      <c r="J306" s="5">
        <f>IF(OR(INDEX($V$2:$V$1001,MATCH(ROWS($U$2:U306),$U$2:$U$1001,0),1)&gt;=100000,INDEX($AB$1005:$AQ$1005,1,MATCH(COLUMNS($AB$1006:AJ1006),$AB$1006:$AQ$1006,0))&gt;=100000), " ",IF(INDEX($AB$2:$AQ$1001,MATCH(ROWS($U$2:U306),$U$2:$U$1001,0),MATCH(COLUMNS($AB$1006:AJ1006),$AB$1006:$AQ$1006,0)), HYPERLINK("#",""), HYPERLINK(CONCATENATE("#Metadata!", ADDRESS(INDEX($W$2:$W$1001,MATCH(ROWS($U$2:U306),$U$2:$U$1001,0),0), INDEX($AB$1004:$AQ$1004,1,MATCH(COLUMNS($AB$1006:AJ1006),$AB$1006:$AQ$1006,0)))),"Fix")))</f>
        <v>0</v>
      </c>
      <c r="K306" s="5">
        <f>IF(OR(INDEX($V$2:$V$1001,MATCH(ROWS($U$2:U306),$U$2:$U$1001,0),1)&gt;=100000,INDEX($AB$1005:$AQ$1005,1,MATCH(COLUMNS($AB$1006:AK1006),$AB$1006:$AQ$1006,0))&gt;=100000), " ",IF(INDEX($AB$2:$AQ$1001,MATCH(ROWS($U$2:U306),$U$2:$U$1001,0),MATCH(COLUMNS($AB$1006:AK1006),$AB$1006:$AQ$1006,0)), HYPERLINK("#",""), HYPERLINK(CONCATENATE("#Metadata!", ADDRESS(INDEX($W$2:$W$1001,MATCH(ROWS($U$2:U306),$U$2:$U$1001,0),0), INDEX($AB$1004:$AQ$1004,1,MATCH(COLUMNS($AB$1006:AK1006),$AB$1006:$AQ$1006,0)))),"Fix")))</f>
        <v>0</v>
      </c>
      <c r="L306" s="5">
        <f>IF(OR(INDEX($V$2:$V$1001,MATCH(ROWS($U$2:U306),$U$2:$U$1001,0),1)&gt;=100000,INDEX($AB$1005:$AQ$1005,1,MATCH(COLUMNS($AB$1006:AL1006),$AB$1006:$AQ$1006,0))&gt;=100000), " ",IF(INDEX($AB$2:$AQ$1001,MATCH(ROWS($U$2:U306),$U$2:$U$1001,0),MATCH(COLUMNS($AB$1006:AL1006),$AB$1006:$AQ$1006,0)), HYPERLINK("#",""), HYPERLINK(CONCATENATE("#Metadata!", ADDRESS(INDEX($W$2:$W$1001,MATCH(ROWS($U$2:U306),$U$2:$U$1001,0),0), INDEX($AB$1004:$AQ$1004,1,MATCH(COLUMNS($AB$1006:AL1006),$AB$1006:$AQ$1006,0)))),"Fix")))</f>
        <v>0</v>
      </c>
      <c r="M306" s="5">
        <f>IF(OR(INDEX($V$2:$V$1001,MATCH(ROWS($U$2:U306),$U$2:$U$1001,0),1)&gt;=100000,INDEX($AB$1005:$AQ$1005,1,MATCH(COLUMNS($AB$1006:AM1006),$AB$1006:$AQ$1006,0))&gt;=100000), " ",IF(INDEX($AB$2:$AQ$1001,MATCH(ROWS($U$2:U306),$U$2:$U$1001,0),MATCH(COLUMNS($AB$1006:AM1006),$AB$1006:$AQ$1006,0)), HYPERLINK("#",""), HYPERLINK(CONCATENATE("#Metadata!", ADDRESS(INDEX($W$2:$W$1001,MATCH(ROWS($U$2:U306),$U$2:$U$1001,0),0), INDEX($AB$1004:$AQ$1004,1,MATCH(COLUMNS($AB$1006:AM1006),$AB$1006:$AQ$1006,0)))),"Fix")))</f>
        <v>0</v>
      </c>
      <c r="N306" s="5">
        <f>IF(OR(INDEX($V$2:$V$1001,MATCH(ROWS($U$2:U306),$U$2:$U$1001,0),1)&gt;=100000,INDEX($AB$1005:$AQ$1005,1,MATCH(COLUMNS($AB$1006:AN1006),$AB$1006:$AQ$1006,0))&gt;=100000), " ",IF(INDEX($AB$2:$AQ$1001,MATCH(ROWS($U$2:U306),$U$2:$U$1001,0),MATCH(COLUMNS($AB$1006:AN1006),$AB$1006:$AQ$1006,0)), HYPERLINK("#",""), HYPERLINK(CONCATENATE("#Metadata!", ADDRESS(INDEX($W$2:$W$1001,MATCH(ROWS($U$2:U306),$U$2:$U$1001,0),0), INDEX($AB$1004:$AQ$1004,1,MATCH(COLUMNS($AB$1006:AN1006),$AB$1006:$AQ$1006,0)))),"Fix")))</f>
        <v>0</v>
      </c>
      <c r="O306" s="5">
        <f>IF(OR(INDEX($V$2:$V$1001,MATCH(ROWS($U$2:U306),$U$2:$U$1001,0),1)&gt;=100000,INDEX($AB$1005:$AQ$1005,1,MATCH(COLUMNS($AB$1006:AO1006),$AB$1006:$AQ$1006,0))&gt;=100000), " ",IF(INDEX($AB$2:$AQ$1001,MATCH(ROWS($U$2:U306),$U$2:$U$1001,0),MATCH(COLUMNS($AB$1006:AO1006),$AB$1006:$AQ$1006,0)), HYPERLINK("#",""), HYPERLINK(CONCATENATE("#Metadata!", ADDRESS(INDEX($W$2:$W$1001,MATCH(ROWS($U$2:U306),$U$2:$U$1001,0),0), INDEX($AB$1004:$AQ$1004,1,MATCH(COLUMNS($AB$1006:AO1006),$AB$1006:$AQ$1006,0)))),"Fix")))</f>
        <v>0</v>
      </c>
      <c r="P306" s="5">
        <f>IF(OR(INDEX($V$2:$V$1001,MATCH(ROWS($U$2:U306),$U$2:$U$1001,0),1)&gt;=100000,INDEX($AB$1005:$AQ$1005,1,MATCH(COLUMNS($AB$1006:AP1006),$AB$1006:$AQ$1006,0))&gt;=100000), " ",IF(INDEX($AB$2:$AQ$1001,MATCH(ROWS($U$2:U306),$U$2:$U$1001,0),MATCH(COLUMNS($AB$1006:AP1006),$AB$1006:$AQ$1006,0)), HYPERLINK("#",""), HYPERLINK(CONCATENATE("#Metadata!", ADDRESS(INDEX($W$2:$W$1001,MATCH(ROWS($U$2:U306),$U$2:$U$1001,0),0), INDEX($AB$1004:$AQ$1004,1,MATCH(COLUMNS($AB$1006:AP1006),$AB$1006:$AQ$1006,0)))),"Fix")))</f>
        <v>0</v>
      </c>
      <c r="Q306" s="5">
        <f>IF(OR(INDEX($V$2:$V$1001,MATCH(ROWS($U$2:U306),$U$2:$U$1001,0),1)&gt;=100000,INDEX($AB$1005:$AQ$1005,1,MATCH(COLUMNS($AB$1006:AQ1006),$AB$1006:$AQ$1006,0))&gt;=100000), " ",IF(INDEX($AB$2:$AQ$1001,MATCH(ROWS($U$2:U306),$U$2:$U$1001,0),MATCH(COLUMNS($AB$1006:AQ1006),$AB$1006:$AQ$1006,0)), HYPERLINK("#",""), HYPERLINK(CONCATENATE("#Metadata!", ADDRESS(INDEX($W$2:$W$1001,MATCH(ROWS($U$2:U306),$U$2:$U$1001,0),0), INDEX($AB$1004:$AQ$1004,1,MATCH(COLUMNS($AB$1006:AQ1006),$AB$1006:$AQ$1006,0)))),"Fix")))</f>
        <v>0</v>
      </c>
      <c r="U306">
        <v>0</v>
      </c>
      <c r="V306">
        <v>0</v>
      </c>
      <c r="W306">
        <v>0</v>
      </c>
      <c r="X306">
        <f>IF(Y306,TRUE,AND(AB306:AQ306))</f>
        <v>0</v>
      </c>
      <c r="Y306">
        <f>COUNTBLANK(Metadata!B306:Q306)=COLUMNS(Metadata!B306:Q306)</f>
        <v>0</v>
      </c>
      <c r="Z306">
        <v>0</v>
      </c>
      <c r="AB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AC306">
        <f>AND(IF(Metadata!C306="",FALSE,TRUE),exact(Metadata!C306,"urban biome"))</f>
        <v>0</v>
      </c>
      <c r="AD306">
        <f>AND(IF(Metadata!D306="",FALSE,TRUE),exact(Metadata!D306,"human-associated habitat"))</f>
        <v>0</v>
      </c>
      <c r="AE306">
        <f>AND(IF(Metadata!E306="",FALSE,TRUE),OR(exact(Metadata!E306,"human-associated"),exact(Metadata!E306,"human-skin"),exact(Metadata!E306,"human-oral"),exact(Metadata!E306,"human-gut"),exact(Metadata!E306,"human-vaginal")))</f>
        <v>0</v>
      </c>
      <c r="AF306">
        <f>AND(IF(Metadata!F306="",FALSE,ISNUMBER(VALUE(Metadata!F306))),Metadata!F306&gt;0)</f>
        <v>0</v>
      </c>
      <c r="AG306">
        <f>AND(IF(Metadata!G306="",FALSE,TRUE),exact(Metadata!G306,"years"))</f>
        <v>0</v>
      </c>
      <c r="AH306">
        <f>OR(AND(IF(Metadata!H306="",FALSE,TRUE),OR(exact(Metadata!H306,"not applicable"),exact(Metadata!H306,"not collected"),exact(Metadata!H306,"not provided"),exact(Metadata!H306,"restricted access"))),AND(IF(Metadata!H306="",FALSE,ISNUMBER(VALUE(Metadata!H306))),Metadata!H306&gt;0))</f>
        <v>0</v>
      </c>
      <c r="AI306">
        <f>AND(IF(Metadata!I306="",FALSE,TRUE),exact(Metadata!I306,"human"))</f>
        <v>0</v>
      </c>
      <c r="AJ306">
        <f>AND(IF(Metadata!J306="",FALSE,ISNUMBER(VALUE(Metadata!J306))),Metadata!J306&gt;0)</f>
        <v>0</v>
      </c>
      <c r="AK306">
        <f>AND(IF(Metadata!K306="",FALSE,TRUE),exact(Metadata!K306,"cm"))</f>
        <v>0</v>
      </c>
      <c r="AL306">
        <f>AND(IF(Metadata!L306="",FALSE,TRUE),exact(Metadata!L306,"Homo sapiens"))</f>
        <v>0</v>
      </c>
      <c r="AM306">
        <f>AND(IF(Metadata!M306="",FALSE,TRUE),exact(Metadata!M306,"9606"))</f>
        <v>0</v>
      </c>
      <c r="AN306">
        <f>AND(IF(Metadata!N306="",FALSE,ISNUMBER(VALUE(Metadata!N306))),Metadata!N306&gt;0)</f>
        <v>0</v>
      </c>
      <c r="AO306">
        <f>AND(IF(Metadata!O306="",FALSE,TRUE),exact(Metadata!O306,"kg"))</f>
        <v>0</v>
      </c>
      <c r="AP306">
        <f>OR(AND(IF(Metadata!P306="",FALSE,TRUE),exact(Metadata!P306,"not provided")),IF(Metadata!P306="",FALSE,TRUE))</f>
        <v>0</v>
      </c>
      <c r="AQ306">
        <f>OR(AND(IF(Metadata!Q306="",FALSE,TRUE),exact(Metadata!Q306,"not provided")),IF(Metadata!Q306="",FALSE,TRUE))</f>
        <v>0</v>
      </c>
    </row>
    <row r="307" spans="1:43">
      <c r="A307" s="4">
        <f>IF(B307=" "," ",HYPERLINK(CONCATENATE("#metadata!",ADDRESS(INDEX($W$2:$W$1001,MATCH(ROWS($U$2:U307),$U$2:$U$1001,0),0),2)),INDEX($Z$2:$Z$1001,MATCH(ROWS($U$2:U307),$U$2:$U$1001,0),0)))</f>
        <v>0</v>
      </c>
      <c r="B307" s="5">
        <f>IF(OR(INDEX($V$2:$V$1001,MATCH(ROWS($U$2:U307),$U$2:$U$1001,0),1)&gt;=100000,INDEX($AB$1005:$AQ$1005,1,MATCH(COLUMNS($AB$1006:AB1006),$AB$1006:$AQ$1006,0))&gt;=100000), " ",IF(INDEX($AB$2:$AQ$1001,MATCH(ROWS($U$2:U307),$U$2:$U$1001,0),MATCH(COLUMNS($AB$1006:AB1006),$AB$1006:$AQ$1006,0)), HYPERLINK("#",""), HYPERLINK(CONCATENATE("#Metadata!", ADDRESS(INDEX($W$2:$W$1001,MATCH(ROWS($U$2:U307),$U$2:$U$1001,0),0), INDEX($AB$1004:$AQ$1004,1,MATCH(COLUMNS($AB$1006:AB1006),$AB$1006:$AQ$1006,0)))),"Fix")))</f>
        <v>0</v>
      </c>
      <c r="C307" s="5">
        <f>IF(OR(INDEX($V$2:$V$1001,MATCH(ROWS($U$2:U307),$U$2:$U$1001,0),1)&gt;=100000,INDEX($AB$1005:$AQ$1005,1,MATCH(COLUMNS($AB$1006:AC1006),$AB$1006:$AQ$1006,0))&gt;=100000), " ",IF(INDEX($AB$2:$AQ$1001,MATCH(ROWS($U$2:U307),$U$2:$U$1001,0),MATCH(COLUMNS($AB$1006:AC1006),$AB$1006:$AQ$1006,0)), HYPERLINK("#",""), HYPERLINK(CONCATENATE("#Metadata!", ADDRESS(INDEX($W$2:$W$1001,MATCH(ROWS($U$2:U307),$U$2:$U$1001,0),0), INDEX($AB$1004:$AQ$1004,1,MATCH(COLUMNS($AB$1006:AC1006),$AB$1006:$AQ$1006,0)))),"Fix")))</f>
        <v>0</v>
      </c>
      <c r="D307" s="5">
        <f>IF(OR(INDEX($V$2:$V$1001,MATCH(ROWS($U$2:U307),$U$2:$U$1001,0),1)&gt;=100000,INDEX($AB$1005:$AQ$1005,1,MATCH(COLUMNS($AB$1006:AD1006),$AB$1006:$AQ$1006,0))&gt;=100000), " ",IF(INDEX($AB$2:$AQ$1001,MATCH(ROWS($U$2:U307),$U$2:$U$1001,0),MATCH(COLUMNS($AB$1006:AD1006),$AB$1006:$AQ$1006,0)), HYPERLINK("#",""), HYPERLINK(CONCATENATE("#Metadata!", ADDRESS(INDEX($W$2:$W$1001,MATCH(ROWS($U$2:U307),$U$2:$U$1001,0),0), INDEX($AB$1004:$AQ$1004,1,MATCH(COLUMNS($AB$1006:AD1006),$AB$1006:$AQ$1006,0)))),"Fix")))</f>
        <v>0</v>
      </c>
      <c r="E307" s="5">
        <f>IF(OR(INDEX($V$2:$V$1001,MATCH(ROWS($U$2:U307),$U$2:$U$1001,0),1)&gt;=100000,INDEX($AB$1005:$AQ$1005,1,MATCH(COLUMNS($AB$1006:AE1006),$AB$1006:$AQ$1006,0))&gt;=100000), " ",IF(INDEX($AB$2:$AQ$1001,MATCH(ROWS($U$2:U307),$U$2:$U$1001,0),MATCH(COLUMNS($AB$1006:AE1006),$AB$1006:$AQ$1006,0)), HYPERLINK("#",""), HYPERLINK(CONCATENATE("#Metadata!", ADDRESS(INDEX($W$2:$W$1001,MATCH(ROWS($U$2:U307),$U$2:$U$1001,0),0), INDEX($AB$1004:$AQ$1004,1,MATCH(COLUMNS($AB$1006:AE1006),$AB$1006:$AQ$1006,0)))),"Fix")))</f>
        <v>0</v>
      </c>
      <c r="F307" s="5">
        <f>IF(OR(INDEX($V$2:$V$1001,MATCH(ROWS($U$2:U307),$U$2:$U$1001,0),1)&gt;=100000,INDEX($AB$1005:$AQ$1005,1,MATCH(COLUMNS($AB$1006:AF1006),$AB$1006:$AQ$1006,0))&gt;=100000), " ",IF(INDEX($AB$2:$AQ$1001,MATCH(ROWS($U$2:U307),$U$2:$U$1001,0),MATCH(COLUMNS($AB$1006:AF1006),$AB$1006:$AQ$1006,0)), HYPERLINK("#",""), HYPERLINK(CONCATENATE("#Metadata!", ADDRESS(INDEX($W$2:$W$1001,MATCH(ROWS($U$2:U307),$U$2:$U$1001,0),0), INDEX($AB$1004:$AQ$1004,1,MATCH(COLUMNS($AB$1006:AF1006),$AB$1006:$AQ$1006,0)))),"Fix")))</f>
        <v>0</v>
      </c>
      <c r="G307" s="5">
        <f>IF(OR(INDEX($V$2:$V$1001,MATCH(ROWS($U$2:U307),$U$2:$U$1001,0),1)&gt;=100000,INDEX($AB$1005:$AQ$1005,1,MATCH(COLUMNS($AB$1006:AG1006),$AB$1006:$AQ$1006,0))&gt;=100000), " ",IF(INDEX($AB$2:$AQ$1001,MATCH(ROWS($U$2:U307),$U$2:$U$1001,0),MATCH(COLUMNS($AB$1006:AG1006),$AB$1006:$AQ$1006,0)), HYPERLINK("#",""), HYPERLINK(CONCATENATE("#Metadata!", ADDRESS(INDEX($W$2:$W$1001,MATCH(ROWS($U$2:U307),$U$2:$U$1001,0),0), INDEX($AB$1004:$AQ$1004,1,MATCH(COLUMNS($AB$1006:AG1006),$AB$1006:$AQ$1006,0)))),"Fix")))</f>
        <v>0</v>
      </c>
      <c r="H307" s="5">
        <f>IF(OR(INDEX($V$2:$V$1001,MATCH(ROWS($U$2:U307),$U$2:$U$1001,0),1)&gt;=100000,INDEX($AB$1005:$AQ$1005,1,MATCH(COLUMNS($AB$1006:AH1006),$AB$1006:$AQ$1006,0))&gt;=100000), " ",IF(INDEX($AB$2:$AQ$1001,MATCH(ROWS($U$2:U307),$U$2:$U$1001,0),MATCH(COLUMNS($AB$1006:AH1006),$AB$1006:$AQ$1006,0)), HYPERLINK("#",""), HYPERLINK(CONCATENATE("#Metadata!", ADDRESS(INDEX($W$2:$W$1001,MATCH(ROWS($U$2:U307),$U$2:$U$1001,0),0), INDEX($AB$1004:$AQ$1004,1,MATCH(COLUMNS($AB$1006:AH1006),$AB$1006:$AQ$1006,0)))),"Fix")))</f>
        <v>0</v>
      </c>
      <c r="I307" s="5">
        <f>IF(OR(INDEX($V$2:$V$1001,MATCH(ROWS($U$2:U307),$U$2:$U$1001,0),1)&gt;=100000,INDEX($AB$1005:$AQ$1005,1,MATCH(COLUMNS($AB$1006:AI1006),$AB$1006:$AQ$1006,0))&gt;=100000), " ",IF(INDEX($AB$2:$AQ$1001,MATCH(ROWS($U$2:U307),$U$2:$U$1001,0),MATCH(COLUMNS($AB$1006:AI1006),$AB$1006:$AQ$1006,0)), HYPERLINK("#",""), HYPERLINK(CONCATENATE("#Metadata!", ADDRESS(INDEX($W$2:$W$1001,MATCH(ROWS($U$2:U307),$U$2:$U$1001,0),0), INDEX($AB$1004:$AQ$1004,1,MATCH(COLUMNS($AB$1006:AI1006),$AB$1006:$AQ$1006,0)))),"Fix")))</f>
        <v>0</v>
      </c>
      <c r="J307" s="5">
        <f>IF(OR(INDEX($V$2:$V$1001,MATCH(ROWS($U$2:U307),$U$2:$U$1001,0),1)&gt;=100000,INDEX($AB$1005:$AQ$1005,1,MATCH(COLUMNS($AB$1006:AJ1006),$AB$1006:$AQ$1006,0))&gt;=100000), " ",IF(INDEX($AB$2:$AQ$1001,MATCH(ROWS($U$2:U307),$U$2:$U$1001,0),MATCH(COLUMNS($AB$1006:AJ1006),$AB$1006:$AQ$1006,0)), HYPERLINK("#",""), HYPERLINK(CONCATENATE("#Metadata!", ADDRESS(INDEX($W$2:$W$1001,MATCH(ROWS($U$2:U307),$U$2:$U$1001,0),0), INDEX($AB$1004:$AQ$1004,1,MATCH(COLUMNS($AB$1006:AJ1006),$AB$1006:$AQ$1006,0)))),"Fix")))</f>
        <v>0</v>
      </c>
      <c r="K307" s="5">
        <f>IF(OR(INDEX($V$2:$V$1001,MATCH(ROWS($U$2:U307),$U$2:$U$1001,0),1)&gt;=100000,INDEX($AB$1005:$AQ$1005,1,MATCH(COLUMNS($AB$1006:AK1006),$AB$1006:$AQ$1006,0))&gt;=100000), " ",IF(INDEX($AB$2:$AQ$1001,MATCH(ROWS($U$2:U307),$U$2:$U$1001,0),MATCH(COLUMNS($AB$1006:AK1006),$AB$1006:$AQ$1006,0)), HYPERLINK("#",""), HYPERLINK(CONCATENATE("#Metadata!", ADDRESS(INDEX($W$2:$W$1001,MATCH(ROWS($U$2:U307),$U$2:$U$1001,0),0), INDEX($AB$1004:$AQ$1004,1,MATCH(COLUMNS($AB$1006:AK1006),$AB$1006:$AQ$1006,0)))),"Fix")))</f>
        <v>0</v>
      </c>
      <c r="L307" s="5">
        <f>IF(OR(INDEX($V$2:$V$1001,MATCH(ROWS($U$2:U307),$U$2:$U$1001,0),1)&gt;=100000,INDEX($AB$1005:$AQ$1005,1,MATCH(COLUMNS($AB$1006:AL1006),$AB$1006:$AQ$1006,0))&gt;=100000), " ",IF(INDEX($AB$2:$AQ$1001,MATCH(ROWS($U$2:U307),$U$2:$U$1001,0),MATCH(COLUMNS($AB$1006:AL1006),$AB$1006:$AQ$1006,0)), HYPERLINK("#",""), HYPERLINK(CONCATENATE("#Metadata!", ADDRESS(INDEX($W$2:$W$1001,MATCH(ROWS($U$2:U307),$U$2:$U$1001,0),0), INDEX($AB$1004:$AQ$1004,1,MATCH(COLUMNS($AB$1006:AL1006),$AB$1006:$AQ$1006,0)))),"Fix")))</f>
        <v>0</v>
      </c>
      <c r="M307" s="5">
        <f>IF(OR(INDEX($V$2:$V$1001,MATCH(ROWS($U$2:U307),$U$2:$U$1001,0),1)&gt;=100000,INDEX($AB$1005:$AQ$1005,1,MATCH(COLUMNS($AB$1006:AM1006),$AB$1006:$AQ$1006,0))&gt;=100000), " ",IF(INDEX($AB$2:$AQ$1001,MATCH(ROWS($U$2:U307),$U$2:$U$1001,0),MATCH(COLUMNS($AB$1006:AM1006),$AB$1006:$AQ$1006,0)), HYPERLINK("#",""), HYPERLINK(CONCATENATE("#Metadata!", ADDRESS(INDEX($W$2:$W$1001,MATCH(ROWS($U$2:U307),$U$2:$U$1001,0),0), INDEX($AB$1004:$AQ$1004,1,MATCH(COLUMNS($AB$1006:AM1006),$AB$1006:$AQ$1006,0)))),"Fix")))</f>
        <v>0</v>
      </c>
      <c r="N307" s="5">
        <f>IF(OR(INDEX($V$2:$V$1001,MATCH(ROWS($U$2:U307),$U$2:$U$1001,0),1)&gt;=100000,INDEX($AB$1005:$AQ$1005,1,MATCH(COLUMNS($AB$1006:AN1006),$AB$1006:$AQ$1006,0))&gt;=100000), " ",IF(INDEX($AB$2:$AQ$1001,MATCH(ROWS($U$2:U307),$U$2:$U$1001,0),MATCH(COLUMNS($AB$1006:AN1006),$AB$1006:$AQ$1006,0)), HYPERLINK("#",""), HYPERLINK(CONCATENATE("#Metadata!", ADDRESS(INDEX($W$2:$W$1001,MATCH(ROWS($U$2:U307),$U$2:$U$1001,0),0), INDEX($AB$1004:$AQ$1004,1,MATCH(COLUMNS($AB$1006:AN1006),$AB$1006:$AQ$1006,0)))),"Fix")))</f>
        <v>0</v>
      </c>
      <c r="O307" s="5">
        <f>IF(OR(INDEX($V$2:$V$1001,MATCH(ROWS($U$2:U307),$U$2:$U$1001,0),1)&gt;=100000,INDEX($AB$1005:$AQ$1005,1,MATCH(COLUMNS($AB$1006:AO1006),$AB$1006:$AQ$1006,0))&gt;=100000), " ",IF(INDEX($AB$2:$AQ$1001,MATCH(ROWS($U$2:U307),$U$2:$U$1001,0),MATCH(COLUMNS($AB$1006:AO1006),$AB$1006:$AQ$1006,0)), HYPERLINK("#",""), HYPERLINK(CONCATENATE("#Metadata!", ADDRESS(INDEX($W$2:$W$1001,MATCH(ROWS($U$2:U307),$U$2:$U$1001,0),0), INDEX($AB$1004:$AQ$1004,1,MATCH(COLUMNS($AB$1006:AO1006),$AB$1006:$AQ$1006,0)))),"Fix")))</f>
        <v>0</v>
      </c>
      <c r="P307" s="5">
        <f>IF(OR(INDEX($V$2:$V$1001,MATCH(ROWS($U$2:U307),$U$2:$U$1001,0),1)&gt;=100000,INDEX($AB$1005:$AQ$1005,1,MATCH(COLUMNS($AB$1006:AP1006),$AB$1006:$AQ$1006,0))&gt;=100000), " ",IF(INDEX($AB$2:$AQ$1001,MATCH(ROWS($U$2:U307),$U$2:$U$1001,0),MATCH(COLUMNS($AB$1006:AP1006),$AB$1006:$AQ$1006,0)), HYPERLINK("#",""), HYPERLINK(CONCATENATE("#Metadata!", ADDRESS(INDEX($W$2:$W$1001,MATCH(ROWS($U$2:U307),$U$2:$U$1001,0),0), INDEX($AB$1004:$AQ$1004,1,MATCH(COLUMNS($AB$1006:AP1006),$AB$1006:$AQ$1006,0)))),"Fix")))</f>
        <v>0</v>
      </c>
      <c r="Q307" s="5">
        <f>IF(OR(INDEX($V$2:$V$1001,MATCH(ROWS($U$2:U307),$U$2:$U$1001,0),1)&gt;=100000,INDEX($AB$1005:$AQ$1005,1,MATCH(COLUMNS($AB$1006:AQ1006),$AB$1006:$AQ$1006,0))&gt;=100000), " ",IF(INDEX($AB$2:$AQ$1001,MATCH(ROWS($U$2:U307),$U$2:$U$1001,0),MATCH(COLUMNS($AB$1006:AQ1006),$AB$1006:$AQ$1006,0)), HYPERLINK("#",""), HYPERLINK(CONCATENATE("#Metadata!", ADDRESS(INDEX($W$2:$W$1001,MATCH(ROWS($U$2:U307),$U$2:$U$1001,0),0), INDEX($AB$1004:$AQ$1004,1,MATCH(COLUMNS($AB$1006:AQ1006),$AB$1006:$AQ$1006,0)))),"Fix")))</f>
        <v>0</v>
      </c>
      <c r="U307">
        <v>0</v>
      </c>
      <c r="V307">
        <v>0</v>
      </c>
      <c r="W307">
        <v>0</v>
      </c>
      <c r="X307">
        <f>IF(Y307,TRUE,AND(AB307:AQ307))</f>
        <v>0</v>
      </c>
      <c r="Y307">
        <f>COUNTBLANK(Metadata!B307:Q307)=COLUMNS(Metadata!B307:Q307)</f>
        <v>0</v>
      </c>
      <c r="Z307">
        <v>0</v>
      </c>
      <c r="AB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AC307">
        <f>AND(IF(Metadata!C307="",FALSE,TRUE),exact(Metadata!C307,"urban biome"))</f>
        <v>0</v>
      </c>
      <c r="AD307">
        <f>AND(IF(Metadata!D307="",FALSE,TRUE),exact(Metadata!D307,"human-associated habitat"))</f>
        <v>0</v>
      </c>
      <c r="AE307">
        <f>AND(IF(Metadata!E307="",FALSE,TRUE),OR(exact(Metadata!E307,"human-associated"),exact(Metadata!E307,"human-skin"),exact(Metadata!E307,"human-oral"),exact(Metadata!E307,"human-gut"),exact(Metadata!E307,"human-vaginal")))</f>
        <v>0</v>
      </c>
      <c r="AF307">
        <f>AND(IF(Metadata!F307="",FALSE,ISNUMBER(VALUE(Metadata!F307))),Metadata!F307&gt;0)</f>
        <v>0</v>
      </c>
      <c r="AG307">
        <f>AND(IF(Metadata!G307="",FALSE,TRUE),exact(Metadata!G307,"years"))</f>
        <v>0</v>
      </c>
      <c r="AH307">
        <f>OR(AND(IF(Metadata!H307="",FALSE,TRUE),OR(exact(Metadata!H307,"not applicable"),exact(Metadata!H307,"not collected"),exact(Metadata!H307,"not provided"),exact(Metadata!H307,"restricted access"))),AND(IF(Metadata!H307="",FALSE,ISNUMBER(VALUE(Metadata!H307))),Metadata!H307&gt;0))</f>
        <v>0</v>
      </c>
      <c r="AI307">
        <f>AND(IF(Metadata!I307="",FALSE,TRUE),exact(Metadata!I307,"human"))</f>
        <v>0</v>
      </c>
      <c r="AJ307">
        <f>AND(IF(Metadata!J307="",FALSE,ISNUMBER(VALUE(Metadata!J307))),Metadata!J307&gt;0)</f>
        <v>0</v>
      </c>
      <c r="AK307">
        <f>AND(IF(Metadata!K307="",FALSE,TRUE),exact(Metadata!K307,"cm"))</f>
        <v>0</v>
      </c>
      <c r="AL307">
        <f>AND(IF(Metadata!L307="",FALSE,TRUE),exact(Metadata!L307,"Homo sapiens"))</f>
        <v>0</v>
      </c>
      <c r="AM307">
        <f>AND(IF(Metadata!M307="",FALSE,TRUE),exact(Metadata!M307,"9606"))</f>
        <v>0</v>
      </c>
      <c r="AN307">
        <f>AND(IF(Metadata!N307="",FALSE,ISNUMBER(VALUE(Metadata!N307))),Metadata!N307&gt;0)</f>
        <v>0</v>
      </c>
      <c r="AO307">
        <f>AND(IF(Metadata!O307="",FALSE,TRUE),exact(Metadata!O307,"kg"))</f>
        <v>0</v>
      </c>
      <c r="AP307">
        <f>OR(AND(IF(Metadata!P307="",FALSE,TRUE),exact(Metadata!P307,"not provided")),IF(Metadata!P307="",FALSE,TRUE))</f>
        <v>0</v>
      </c>
      <c r="AQ307">
        <f>OR(AND(IF(Metadata!Q307="",FALSE,TRUE),exact(Metadata!Q307,"not provided")),IF(Metadata!Q307="",FALSE,TRUE))</f>
        <v>0</v>
      </c>
    </row>
    <row r="308" spans="1:43">
      <c r="A308" s="4">
        <f>IF(B308=" "," ",HYPERLINK(CONCATENATE("#metadata!",ADDRESS(INDEX($W$2:$W$1001,MATCH(ROWS($U$2:U308),$U$2:$U$1001,0),0),2)),INDEX($Z$2:$Z$1001,MATCH(ROWS($U$2:U308),$U$2:$U$1001,0),0)))</f>
        <v>0</v>
      </c>
      <c r="B308" s="5">
        <f>IF(OR(INDEX($V$2:$V$1001,MATCH(ROWS($U$2:U308),$U$2:$U$1001,0),1)&gt;=100000,INDEX($AB$1005:$AQ$1005,1,MATCH(COLUMNS($AB$1006:AB1006),$AB$1006:$AQ$1006,0))&gt;=100000), " ",IF(INDEX($AB$2:$AQ$1001,MATCH(ROWS($U$2:U308),$U$2:$U$1001,0),MATCH(COLUMNS($AB$1006:AB1006),$AB$1006:$AQ$1006,0)), HYPERLINK("#",""), HYPERLINK(CONCATENATE("#Metadata!", ADDRESS(INDEX($W$2:$W$1001,MATCH(ROWS($U$2:U308),$U$2:$U$1001,0),0), INDEX($AB$1004:$AQ$1004,1,MATCH(COLUMNS($AB$1006:AB1006),$AB$1006:$AQ$1006,0)))),"Fix")))</f>
        <v>0</v>
      </c>
      <c r="C308" s="5">
        <f>IF(OR(INDEX($V$2:$V$1001,MATCH(ROWS($U$2:U308),$U$2:$U$1001,0),1)&gt;=100000,INDEX($AB$1005:$AQ$1005,1,MATCH(COLUMNS($AB$1006:AC1006),$AB$1006:$AQ$1006,0))&gt;=100000), " ",IF(INDEX($AB$2:$AQ$1001,MATCH(ROWS($U$2:U308),$U$2:$U$1001,0),MATCH(COLUMNS($AB$1006:AC1006),$AB$1006:$AQ$1006,0)), HYPERLINK("#",""), HYPERLINK(CONCATENATE("#Metadata!", ADDRESS(INDEX($W$2:$W$1001,MATCH(ROWS($U$2:U308),$U$2:$U$1001,0),0), INDEX($AB$1004:$AQ$1004,1,MATCH(COLUMNS($AB$1006:AC1006),$AB$1006:$AQ$1006,0)))),"Fix")))</f>
        <v>0</v>
      </c>
      <c r="D308" s="5">
        <f>IF(OR(INDEX($V$2:$V$1001,MATCH(ROWS($U$2:U308),$U$2:$U$1001,0),1)&gt;=100000,INDEX($AB$1005:$AQ$1005,1,MATCH(COLUMNS($AB$1006:AD1006),$AB$1006:$AQ$1006,0))&gt;=100000), " ",IF(INDEX($AB$2:$AQ$1001,MATCH(ROWS($U$2:U308),$U$2:$U$1001,0),MATCH(COLUMNS($AB$1006:AD1006),$AB$1006:$AQ$1006,0)), HYPERLINK("#",""), HYPERLINK(CONCATENATE("#Metadata!", ADDRESS(INDEX($W$2:$W$1001,MATCH(ROWS($U$2:U308),$U$2:$U$1001,0),0), INDEX($AB$1004:$AQ$1004,1,MATCH(COLUMNS($AB$1006:AD1006),$AB$1006:$AQ$1006,0)))),"Fix")))</f>
        <v>0</v>
      </c>
      <c r="E308" s="5">
        <f>IF(OR(INDEX($V$2:$V$1001,MATCH(ROWS($U$2:U308),$U$2:$U$1001,0),1)&gt;=100000,INDEX($AB$1005:$AQ$1005,1,MATCH(COLUMNS($AB$1006:AE1006),$AB$1006:$AQ$1006,0))&gt;=100000), " ",IF(INDEX($AB$2:$AQ$1001,MATCH(ROWS($U$2:U308),$U$2:$U$1001,0),MATCH(COLUMNS($AB$1006:AE1006),$AB$1006:$AQ$1006,0)), HYPERLINK("#",""), HYPERLINK(CONCATENATE("#Metadata!", ADDRESS(INDEX($W$2:$W$1001,MATCH(ROWS($U$2:U308),$U$2:$U$1001,0),0), INDEX($AB$1004:$AQ$1004,1,MATCH(COLUMNS($AB$1006:AE1006),$AB$1006:$AQ$1006,0)))),"Fix")))</f>
        <v>0</v>
      </c>
      <c r="F308" s="5">
        <f>IF(OR(INDEX($V$2:$V$1001,MATCH(ROWS($U$2:U308),$U$2:$U$1001,0),1)&gt;=100000,INDEX($AB$1005:$AQ$1005,1,MATCH(COLUMNS($AB$1006:AF1006),$AB$1006:$AQ$1006,0))&gt;=100000), " ",IF(INDEX($AB$2:$AQ$1001,MATCH(ROWS($U$2:U308),$U$2:$U$1001,0),MATCH(COLUMNS($AB$1006:AF1006),$AB$1006:$AQ$1006,0)), HYPERLINK("#",""), HYPERLINK(CONCATENATE("#Metadata!", ADDRESS(INDEX($W$2:$W$1001,MATCH(ROWS($U$2:U308),$U$2:$U$1001,0),0), INDEX($AB$1004:$AQ$1004,1,MATCH(COLUMNS($AB$1006:AF1006),$AB$1006:$AQ$1006,0)))),"Fix")))</f>
        <v>0</v>
      </c>
      <c r="G308" s="5">
        <f>IF(OR(INDEX($V$2:$V$1001,MATCH(ROWS($U$2:U308),$U$2:$U$1001,0),1)&gt;=100000,INDEX($AB$1005:$AQ$1005,1,MATCH(COLUMNS($AB$1006:AG1006),$AB$1006:$AQ$1006,0))&gt;=100000), " ",IF(INDEX($AB$2:$AQ$1001,MATCH(ROWS($U$2:U308),$U$2:$U$1001,0),MATCH(COLUMNS($AB$1006:AG1006),$AB$1006:$AQ$1006,0)), HYPERLINK("#",""), HYPERLINK(CONCATENATE("#Metadata!", ADDRESS(INDEX($W$2:$W$1001,MATCH(ROWS($U$2:U308),$U$2:$U$1001,0),0), INDEX($AB$1004:$AQ$1004,1,MATCH(COLUMNS($AB$1006:AG1006),$AB$1006:$AQ$1006,0)))),"Fix")))</f>
        <v>0</v>
      </c>
      <c r="H308" s="5">
        <f>IF(OR(INDEX($V$2:$V$1001,MATCH(ROWS($U$2:U308),$U$2:$U$1001,0),1)&gt;=100000,INDEX($AB$1005:$AQ$1005,1,MATCH(COLUMNS($AB$1006:AH1006),$AB$1006:$AQ$1006,0))&gt;=100000), " ",IF(INDEX($AB$2:$AQ$1001,MATCH(ROWS($U$2:U308),$U$2:$U$1001,0),MATCH(COLUMNS($AB$1006:AH1006),$AB$1006:$AQ$1006,0)), HYPERLINK("#",""), HYPERLINK(CONCATENATE("#Metadata!", ADDRESS(INDEX($W$2:$W$1001,MATCH(ROWS($U$2:U308),$U$2:$U$1001,0),0), INDEX($AB$1004:$AQ$1004,1,MATCH(COLUMNS($AB$1006:AH1006),$AB$1006:$AQ$1006,0)))),"Fix")))</f>
        <v>0</v>
      </c>
      <c r="I308" s="5">
        <f>IF(OR(INDEX($V$2:$V$1001,MATCH(ROWS($U$2:U308),$U$2:$U$1001,0),1)&gt;=100000,INDEX($AB$1005:$AQ$1005,1,MATCH(COLUMNS($AB$1006:AI1006),$AB$1006:$AQ$1006,0))&gt;=100000), " ",IF(INDEX($AB$2:$AQ$1001,MATCH(ROWS($U$2:U308),$U$2:$U$1001,0),MATCH(COLUMNS($AB$1006:AI1006),$AB$1006:$AQ$1006,0)), HYPERLINK("#",""), HYPERLINK(CONCATENATE("#Metadata!", ADDRESS(INDEX($W$2:$W$1001,MATCH(ROWS($U$2:U308),$U$2:$U$1001,0),0), INDEX($AB$1004:$AQ$1004,1,MATCH(COLUMNS($AB$1006:AI1006),$AB$1006:$AQ$1006,0)))),"Fix")))</f>
        <v>0</v>
      </c>
      <c r="J308" s="5">
        <f>IF(OR(INDEX($V$2:$V$1001,MATCH(ROWS($U$2:U308),$U$2:$U$1001,0),1)&gt;=100000,INDEX($AB$1005:$AQ$1005,1,MATCH(COLUMNS($AB$1006:AJ1006),$AB$1006:$AQ$1006,0))&gt;=100000), " ",IF(INDEX($AB$2:$AQ$1001,MATCH(ROWS($U$2:U308),$U$2:$U$1001,0),MATCH(COLUMNS($AB$1006:AJ1006),$AB$1006:$AQ$1006,0)), HYPERLINK("#",""), HYPERLINK(CONCATENATE("#Metadata!", ADDRESS(INDEX($W$2:$W$1001,MATCH(ROWS($U$2:U308),$U$2:$U$1001,0),0), INDEX($AB$1004:$AQ$1004,1,MATCH(COLUMNS($AB$1006:AJ1006),$AB$1006:$AQ$1006,0)))),"Fix")))</f>
        <v>0</v>
      </c>
      <c r="K308" s="5">
        <f>IF(OR(INDEX($V$2:$V$1001,MATCH(ROWS($U$2:U308),$U$2:$U$1001,0),1)&gt;=100000,INDEX($AB$1005:$AQ$1005,1,MATCH(COLUMNS($AB$1006:AK1006),$AB$1006:$AQ$1006,0))&gt;=100000), " ",IF(INDEX($AB$2:$AQ$1001,MATCH(ROWS($U$2:U308),$U$2:$U$1001,0),MATCH(COLUMNS($AB$1006:AK1006),$AB$1006:$AQ$1006,0)), HYPERLINK("#",""), HYPERLINK(CONCATENATE("#Metadata!", ADDRESS(INDEX($W$2:$W$1001,MATCH(ROWS($U$2:U308),$U$2:$U$1001,0),0), INDEX($AB$1004:$AQ$1004,1,MATCH(COLUMNS($AB$1006:AK1006),$AB$1006:$AQ$1006,0)))),"Fix")))</f>
        <v>0</v>
      </c>
      <c r="L308" s="5">
        <f>IF(OR(INDEX($V$2:$V$1001,MATCH(ROWS($U$2:U308),$U$2:$U$1001,0),1)&gt;=100000,INDEX($AB$1005:$AQ$1005,1,MATCH(COLUMNS($AB$1006:AL1006),$AB$1006:$AQ$1006,0))&gt;=100000), " ",IF(INDEX($AB$2:$AQ$1001,MATCH(ROWS($U$2:U308),$U$2:$U$1001,0),MATCH(COLUMNS($AB$1006:AL1006),$AB$1006:$AQ$1006,0)), HYPERLINK("#",""), HYPERLINK(CONCATENATE("#Metadata!", ADDRESS(INDEX($W$2:$W$1001,MATCH(ROWS($U$2:U308),$U$2:$U$1001,0),0), INDEX($AB$1004:$AQ$1004,1,MATCH(COLUMNS($AB$1006:AL1006),$AB$1006:$AQ$1006,0)))),"Fix")))</f>
        <v>0</v>
      </c>
      <c r="M308" s="5">
        <f>IF(OR(INDEX($V$2:$V$1001,MATCH(ROWS($U$2:U308),$U$2:$U$1001,0),1)&gt;=100000,INDEX($AB$1005:$AQ$1005,1,MATCH(COLUMNS($AB$1006:AM1006),$AB$1006:$AQ$1006,0))&gt;=100000), " ",IF(INDEX($AB$2:$AQ$1001,MATCH(ROWS($U$2:U308),$U$2:$U$1001,0),MATCH(COLUMNS($AB$1006:AM1006),$AB$1006:$AQ$1006,0)), HYPERLINK("#",""), HYPERLINK(CONCATENATE("#Metadata!", ADDRESS(INDEX($W$2:$W$1001,MATCH(ROWS($U$2:U308),$U$2:$U$1001,0),0), INDEX($AB$1004:$AQ$1004,1,MATCH(COLUMNS($AB$1006:AM1006),$AB$1006:$AQ$1006,0)))),"Fix")))</f>
        <v>0</v>
      </c>
      <c r="N308" s="5">
        <f>IF(OR(INDEX($V$2:$V$1001,MATCH(ROWS($U$2:U308),$U$2:$U$1001,0),1)&gt;=100000,INDEX($AB$1005:$AQ$1005,1,MATCH(COLUMNS($AB$1006:AN1006),$AB$1006:$AQ$1006,0))&gt;=100000), " ",IF(INDEX($AB$2:$AQ$1001,MATCH(ROWS($U$2:U308),$U$2:$U$1001,0),MATCH(COLUMNS($AB$1006:AN1006),$AB$1006:$AQ$1006,0)), HYPERLINK("#",""), HYPERLINK(CONCATENATE("#Metadata!", ADDRESS(INDEX($W$2:$W$1001,MATCH(ROWS($U$2:U308),$U$2:$U$1001,0),0), INDEX($AB$1004:$AQ$1004,1,MATCH(COLUMNS($AB$1006:AN1006),$AB$1006:$AQ$1006,0)))),"Fix")))</f>
        <v>0</v>
      </c>
      <c r="O308" s="5">
        <f>IF(OR(INDEX($V$2:$V$1001,MATCH(ROWS($U$2:U308),$U$2:$U$1001,0),1)&gt;=100000,INDEX($AB$1005:$AQ$1005,1,MATCH(COLUMNS($AB$1006:AO1006),$AB$1006:$AQ$1006,0))&gt;=100000), " ",IF(INDEX($AB$2:$AQ$1001,MATCH(ROWS($U$2:U308),$U$2:$U$1001,0),MATCH(COLUMNS($AB$1006:AO1006),$AB$1006:$AQ$1006,0)), HYPERLINK("#",""), HYPERLINK(CONCATENATE("#Metadata!", ADDRESS(INDEX($W$2:$W$1001,MATCH(ROWS($U$2:U308),$U$2:$U$1001,0),0), INDEX($AB$1004:$AQ$1004,1,MATCH(COLUMNS($AB$1006:AO1006),$AB$1006:$AQ$1006,0)))),"Fix")))</f>
        <v>0</v>
      </c>
      <c r="P308" s="5">
        <f>IF(OR(INDEX($V$2:$V$1001,MATCH(ROWS($U$2:U308),$U$2:$U$1001,0),1)&gt;=100000,INDEX($AB$1005:$AQ$1005,1,MATCH(COLUMNS($AB$1006:AP1006),$AB$1006:$AQ$1006,0))&gt;=100000), " ",IF(INDEX($AB$2:$AQ$1001,MATCH(ROWS($U$2:U308),$U$2:$U$1001,0),MATCH(COLUMNS($AB$1006:AP1006),$AB$1006:$AQ$1006,0)), HYPERLINK("#",""), HYPERLINK(CONCATENATE("#Metadata!", ADDRESS(INDEX($W$2:$W$1001,MATCH(ROWS($U$2:U308),$U$2:$U$1001,0),0), INDEX($AB$1004:$AQ$1004,1,MATCH(COLUMNS($AB$1006:AP1006),$AB$1006:$AQ$1006,0)))),"Fix")))</f>
        <v>0</v>
      </c>
      <c r="Q308" s="5">
        <f>IF(OR(INDEX($V$2:$V$1001,MATCH(ROWS($U$2:U308),$U$2:$U$1001,0),1)&gt;=100000,INDEX($AB$1005:$AQ$1005,1,MATCH(COLUMNS($AB$1006:AQ1006),$AB$1006:$AQ$1006,0))&gt;=100000), " ",IF(INDEX($AB$2:$AQ$1001,MATCH(ROWS($U$2:U308),$U$2:$U$1001,0),MATCH(COLUMNS($AB$1006:AQ1006),$AB$1006:$AQ$1006,0)), HYPERLINK("#",""), HYPERLINK(CONCATENATE("#Metadata!", ADDRESS(INDEX($W$2:$W$1001,MATCH(ROWS($U$2:U308),$U$2:$U$1001,0),0), INDEX($AB$1004:$AQ$1004,1,MATCH(COLUMNS($AB$1006:AQ1006),$AB$1006:$AQ$1006,0)))),"Fix")))</f>
        <v>0</v>
      </c>
      <c r="U308">
        <v>0</v>
      </c>
      <c r="V308">
        <v>0</v>
      </c>
      <c r="W308">
        <v>0</v>
      </c>
      <c r="X308">
        <f>IF(Y308,TRUE,AND(AB308:AQ308))</f>
        <v>0</v>
      </c>
      <c r="Y308">
        <f>COUNTBLANK(Metadata!B308:Q308)=COLUMNS(Metadata!B308:Q308)</f>
        <v>0</v>
      </c>
      <c r="Z308">
        <v>0</v>
      </c>
      <c r="AB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AC308">
        <f>AND(IF(Metadata!C308="",FALSE,TRUE),exact(Metadata!C308,"urban biome"))</f>
        <v>0</v>
      </c>
      <c r="AD308">
        <f>AND(IF(Metadata!D308="",FALSE,TRUE),exact(Metadata!D308,"human-associated habitat"))</f>
        <v>0</v>
      </c>
      <c r="AE308">
        <f>AND(IF(Metadata!E308="",FALSE,TRUE),OR(exact(Metadata!E308,"human-associated"),exact(Metadata!E308,"human-skin"),exact(Metadata!E308,"human-oral"),exact(Metadata!E308,"human-gut"),exact(Metadata!E308,"human-vaginal")))</f>
        <v>0</v>
      </c>
      <c r="AF308">
        <f>AND(IF(Metadata!F308="",FALSE,ISNUMBER(VALUE(Metadata!F308))),Metadata!F308&gt;0)</f>
        <v>0</v>
      </c>
      <c r="AG308">
        <f>AND(IF(Metadata!G308="",FALSE,TRUE),exact(Metadata!G308,"years"))</f>
        <v>0</v>
      </c>
      <c r="AH308">
        <f>OR(AND(IF(Metadata!H308="",FALSE,TRUE),OR(exact(Metadata!H308,"not applicable"),exact(Metadata!H308,"not collected"),exact(Metadata!H308,"not provided"),exact(Metadata!H308,"restricted access"))),AND(IF(Metadata!H308="",FALSE,ISNUMBER(VALUE(Metadata!H308))),Metadata!H308&gt;0))</f>
        <v>0</v>
      </c>
      <c r="AI308">
        <f>AND(IF(Metadata!I308="",FALSE,TRUE),exact(Metadata!I308,"human"))</f>
        <v>0</v>
      </c>
      <c r="AJ308">
        <f>AND(IF(Metadata!J308="",FALSE,ISNUMBER(VALUE(Metadata!J308))),Metadata!J308&gt;0)</f>
        <v>0</v>
      </c>
      <c r="AK308">
        <f>AND(IF(Metadata!K308="",FALSE,TRUE),exact(Metadata!K308,"cm"))</f>
        <v>0</v>
      </c>
      <c r="AL308">
        <f>AND(IF(Metadata!L308="",FALSE,TRUE),exact(Metadata!L308,"Homo sapiens"))</f>
        <v>0</v>
      </c>
      <c r="AM308">
        <f>AND(IF(Metadata!M308="",FALSE,TRUE),exact(Metadata!M308,"9606"))</f>
        <v>0</v>
      </c>
      <c r="AN308">
        <f>AND(IF(Metadata!N308="",FALSE,ISNUMBER(VALUE(Metadata!N308))),Metadata!N308&gt;0)</f>
        <v>0</v>
      </c>
      <c r="AO308">
        <f>AND(IF(Metadata!O308="",FALSE,TRUE),exact(Metadata!O308,"kg"))</f>
        <v>0</v>
      </c>
      <c r="AP308">
        <f>OR(AND(IF(Metadata!P308="",FALSE,TRUE),exact(Metadata!P308,"not provided")),IF(Metadata!P308="",FALSE,TRUE))</f>
        <v>0</v>
      </c>
      <c r="AQ308">
        <f>OR(AND(IF(Metadata!Q308="",FALSE,TRUE),exact(Metadata!Q308,"not provided")),IF(Metadata!Q308="",FALSE,TRUE))</f>
        <v>0</v>
      </c>
    </row>
    <row r="309" spans="1:43">
      <c r="A309" s="4">
        <f>IF(B309=" "," ",HYPERLINK(CONCATENATE("#metadata!",ADDRESS(INDEX($W$2:$W$1001,MATCH(ROWS($U$2:U309),$U$2:$U$1001,0),0),2)),INDEX($Z$2:$Z$1001,MATCH(ROWS($U$2:U309),$U$2:$U$1001,0),0)))</f>
        <v>0</v>
      </c>
      <c r="B309" s="5">
        <f>IF(OR(INDEX($V$2:$V$1001,MATCH(ROWS($U$2:U309),$U$2:$U$1001,0),1)&gt;=100000,INDEX($AB$1005:$AQ$1005,1,MATCH(COLUMNS($AB$1006:AB1006),$AB$1006:$AQ$1006,0))&gt;=100000), " ",IF(INDEX($AB$2:$AQ$1001,MATCH(ROWS($U$2:U309),$U$2:$U$1001,0),MATCH(COLUMNS($AB$1006:AB1006),$AB$1006:$AQ$1006,0)), HYPERLINK("#",""), HYPERLINK(CONCATENATE("#Metadata!", ADDRESS(INDEX($W$2:$W$1001,MATCH(ROWS($U$2:U309),$U$2:$U$1001,0),0), INDEX($AB$1004:$AQ$1004,1,MATCH(COLUMNS($AB$1006:AB1006),$AB$1006:$AQ$1006,0)))),"Fix")))</f>
        <v>0</v>
      </c>
      <c r="C309" s="5">
        <f>IF(OR(INDEX($V$2:$V$1001,MATCH(ROWS($U$2:U309),$U$2:$U$1001,0),1)&gt;=100000,INDEX($AB$1005:$AQ$1005,1,MATCH(COLUMNS($AB$1006:AC1006),$AB$1006:$AQ$1006,0))&gt;=100000), " ",IF(INDEX($AB$2:$AQ$1001,MATCH(ROWS($U$2:U309),$U$2:$U$1001,0),MATCH(COLUMNS($AB$1006:AC1006),$AB$1006:$AQ$1006,0)), HYPERLINK("#",""), HYPERLINK(CONCATENATE("#Metadata!", ADDRESS(INDEX($W$2:$W$1001,MATCH(ROWS($U$2:U309),$U$2:$U$1001,0),0), INDEX($AB$1004:$AQ$1004,1,MATCH(COLUMNS($AB$1006:AC1006),$AB$1006:$AQ$1006,0)))),"Fix")))</f>
        <v>0</v>
      </c>
      <c r="D309" s="5">
        <f>IF(OR(INDEX($V$2:$V$1001,MATCH(ROWS($U$2:U309),$U$2:$U$1001,0),1)&gt;=100000,INDEX($AB$1005:$AQ$1005,1,MATCH(COLUMNS($AB$1006:AD1006),$AB$1006:$AQ$1006,0))&gt;=100000), " ",IF(INDEX($AB$2:$AQ$1001,MATCH(ROWS($U$2:U309),$U$2:$U$1001,0),MATCH(COLUMNS($AB$1006:AD1006),$AB$1006:$AQ$1006,0)), HYPERLINK("#",""), HYPERLINK(CONCATENATE("#Metadata!", ADDRESS(INDEX($W$2:$W$1001,MATCH(ROWS($U$2:U309),$U$2:$U$1001,0),0), INDEX($AB$1004:$AQ$1004,1,MATCH(COLUMNS($AB$1006:AD1006),$AB$1006:$AQ$1006,0)))),"Fix")))</f>
        <v>0</v>
      </c>
      <c r="E309" s="5">
        <f>IF(OR(INDEX($V$2:$V$1001,MATCH(ROWS($U$2:U309),$U$2:$U$1001,0),1)&gt;=100000,INDEX($AB$1005:$AQ$1005,1,MATCH(COLUMNS($AB$1006:AE1006),$AB$1006:$AQ$1006,0))&gt;=100000), " ",IF(INDEX($AB$2:$AQ$1001,MATCH(ROWS($U$2:U309),$U$2:$U$1001,0),MATCH(COLUMNS($AB$1006:AE1006),$AB$1006:$AQ$1006,0)), HYPERLINK("#",""), HYPERLINK(CONCATENATE("#Metadata!", ADDRESS(INDEX($W$2:$W$1001,MATCH(ROWS($U$2:U309),$U$2:$U$1001,0),0), INDEX($AB$1004:$AQ$1004,1,MATCH(COLUMNS($AB$1006:AE1006),$AB$1006:$AQ$1006,0)))),"Fix")))</f>
        <v>0</v>
      </c>
      <c r="F309" s="5">
        <f>IF(OR(INDEX($V$2:$V$1001,MATCH(ROWS($U$2:U309),$U$2:$U$1001,0),1)&gt;=100000,INDEX($AB$1005:$AQ$1005,1,MATCH(COLUMNS($AB$1006:AF1006),$AB$1006:$AQ$1006,0))&gt;=100000), " ",IF(INDEX($AB$2:$AQ$1001,MATCH(ROWS($U$2:U309),$U$2:$U$1001,0),MATCH(COLUMNS($AB$1006:AF1006),$AB$1006:$AQ$1006,0)), HYPERLINK("#",""), HYPERLINK(CONCATENATE("#Metadata!", ADDRESS(INDEX($W$2:$W$1001,MATCH(ROWS($U$2:U309),$U$2:$U$1001,0),0), INDEX($AB$1004:$AQ$1004,1,MATCH(COLUMNS($AB$1006:AF1006),$AB$1006:$AQ$1006,0)))),"Fix")))</f>
        <v>0</v>
      </c>
      <c r="G309" s="5">
        <f>IF(OR(INDEX($V$2:$V$1001,MATCH(ROWS($U$2:U309),$U$2:$U$1001,0),1)&gt;=100000,INDEX($AB$1005:$AQ$1005,1,MATCH(COLUMNS($AB$1006:AG1006),$AB$1006:$AQ$1006,0))&gt;=100000), " ",IF(INDEX($AB$2:$AQ$1001,MATCH(ROWS($U$2:U309),$U$2:$U$1001,0),MATCH(COLUMNS($AB$1006:AG1006),$AB$1006:$AQ$1006,0)), HYPERLINK("#",""), HYPERLINK(CONCATENATE("#Metadata!", ADDRESS(INDEX($W$2:$W$1001,MATCH(ROWS($U$2:U309),$U$2:$U$1001,0),0), INDEX($AB$1004:$AQ$1004,1,MATCH(COLUMNS($AB$1006:AG1006),$AB$1006:$AQ$1006,0)))),"Fix")))</f>
        <v>0</v>
      </c>
      <c r="H309" s="5">
        <f>IF(OR(INDEX($V$2:$V$1001,MATCH(ROWS($U$2:U309),$U$2:$U$1001,0),1)&gt;=100000,INDEX($AB$1005:$AQ$1005,1,MATCH(COLUMNS($AB$1006:AH1006),$AB$1006:$AQ$1006,0))&gt;=100000), " ",IF(INDEX($AB$2:$AQ$1001,MATCH(ROWS($U$2:U309),$U$2:$U$1001,0),MATCH(COLUMNS($AB$1006:AH1006),$AB$1006:$AQ$1006,0)), HYPERLINK("#",""), HYPERLINK(CONCATENATE("#Metadata!", ADDRESS(INDEX($W$2:$W$1001,MATCH(ROWS($U$2:U309),$U$2:$U$1001,0),0), INDEX($AB$1004:$AQ$1004,1,MATCH(COLUMNS($AB$1006:AH1006),$AB$1006:$AQ$1006,0)))),"Fix")))</f>
        <v>0</v>
      </c>
      <c r="I309" s="5">
        <f>IF(OR(INDEX($V$2:$V$1001,MATCH(ROWS($U$2:U309),$U$2:$U$1001,0),1)&gt;=100000,INDEX($AB$1005:$AQ$1005,1,MATCH(COLUMNS($AB$1006:AI1006),$AB$1006:$AQ$1006,0))&gt;=100000), " ",IF(INDEX($AB$2:$AQ$1001,MATCH(ROWS($U$2:U309),$U$2:$U$1001,0),MATCH(COLUMNS($AB$1006:AI1006),$AB$1006:$AQ$1006,0)), HYPERLINK("#",""), HYPERLINK(CONCATENATE("#Metadata!", ADDRESS(INDEX($W$2:$W$1001,MATCH(ROWS($U$2:U309),$U$2:$U$1001,0),0), INDEX($AB$1004:$AQ$1004,1,MATCH(COLUMNS($AB$1006:AI1006),$AB$1006:$AQ$1006,0)))),"Fix")))</f>
        <v>0</v>
      </c>
      <c r="J309" s="5">
        <f>IF(OR(INDEX($V$2:$V$1001,MATCH(ROWS($U$2:U309),$U$2:$U$1001,0),1)&gt;=100000,INDEX($AB$1005:$AQ$1005,1,MATCH(COLUMNS($AB$1006:AJ1006),$AB$1006:$AQ$1006,0))&gt;=100000), " ",IF(INDEX($AB$2:$AQ$1001,MATCH(ROWS($U$2:U309),$U$2:$U$1001,0),MATCH(COLUMNS($AB$1006:AJ1006),$AB$1006:$AQ$1006,0)), HYPERLINK("#",""), HYPERLINK(CONCATENATE("#Metadata!", ADDRESS(INDEX($W$2:$W$1001,MATCH(ROWS($U$2:U309),$U$2:$U$1001,0),0), INDEX($AB$1004:$AQ$1004,1,MATCH(COLUMNS($AB$1006:AJ1006),$AB$1006:$AQ$1006,0)))),"Fix")))</f>
        <v>0</v>
      </c>
      <c r="K309" s="5">
        <f>IF(OR(INDEX($V$2:$V$1001,MATCH(ROWS($U$2:U309),$U$2:$U$1001,0),1)&gt;=100000,INDEX($AB$1005:$AQ$1005,1,MATCH(COLUMNS($AB$1006:AK1006),$AB$1006:$AQ$1006,0))&gt;=100000), " ",IF(INDEX($AB$2:$AQ$1001,MATCH(ROWS($U$2:U309),$U$2:$U$1001,0),MATCH(COLUMNS($AB$1006:AK1006),$AB$1006:$AQ$1006,0)), HYPERLINK("#",""), HYPERLINK(CONCATENATE("#Metadata!", ADDRESS(INDEX($W$2:$W$1001,MATCH(ROWS($U$2:U309),$U$2:$U$1001,0),0), INDEX($AB$1004:$AQ$1004,1,MATCH(COLUMNS($AB$1006:AK1006),$AB$1006:$AQ$1006,0)))),"Fix")))</f>
        <v>0</v>
      </c>
      <c r="L309" s="5">
        <f>IF(OR(INDEX($V$2:$V$1001,MATCH(ROWS($U$2:U309),$U$2:$U$1001,0),1)&gt;=100000,INDEX($AB$1005:$AQ$1005,1,MATCH(COLUMNS($AB$1006:AL1006),$AB$1006:$AQ$1006,0))&gt;=100000), " ",IF(INDEX($AB$2:$AQ$1001,MATCH(ROWS($U$2:U309),$U$2:$U$1001,0),MATCH(COLUMNS($AB$1006:AL1006),$AB$1006:$AQ$1006,0)), HYPERLINK("#",""), HYPERLINK(CONCATENATE("#Metadata!", ADDRESS(INDEX($W$2:$W$1001,MATCH(ROWS($U$2:U309),$U$2:$U$1001,0),0), INDEX($AB$1004:$AQ$1004,1,MATCH(COLUMNS($AB$1006:AL1006),$AB$1006:$AQ$1006,0)))),"Fix")))</f>
        <v>0</v>
      </c>
      <c r="M309" s="5">
        <f>IF(OR(INDEX($V$2:$V$1001,MATCH(ROWS($U$2:U309),$U$2:$U$1001,0),1)&gt;=100000,INDEX($AB$1005:$AQ$1005,1,MATCH(COLUMNS($AB$1006:AM1006),$AB$1006:$AQ$1006,0))&gt;=100000), " ",IF(INDEX($AB$2:$AQ$1001,MATCH(ROWS($U$2:U309),$U$2:$U$1001,0),MATCH(COLUMNS($AB$1006:AM1006),$AB$1006:$AQ$1006,0)), HYPERLINK("#",""), HYPERLINK(CONCATENATE("#Metadata!", ADDRESS(INDEX($W$2:$W$1001,MATCH(ROWS($U$2:U309),$U$2:$U$1001,0),0), INDEX($AB$1004:$AQ$1004,1,MATCH(COLUMNS($AB$1006:AM1006),$AB$1006:$AQ$1006,0)))),"Fix")))</f>
        <v>0</v>
      </c>
      <c r="N309" s="5">
        <f>IF(OR(INDEX($V$2:$V$1001,MATCH(ROWS($U$2:U309),$U$2:$U$1001,0),1)&gt;=100000,INDEX($AB$1005:$AQ$1005,1,MATCH(COLUMNS($AB$1006:AN1006),$AB$1006:$AQ$1006,0))&gt;=100000), " ",IF(INDEX($AB$2:$AQ$1001,MATCH(ROWS($U$2:U309),$U$2:$U$1001,0),MATCH(COLUMNS($AB$1006:AN1006),$AB$1006:$AQ$1006,0)), HYPERLINK("#",""), HYPERLINK(CONCATENATE("#Metadata!", ADDRESS(INDEX($W$2:$W$1001,MATCH(ROWS($U$2:U309),$U$2:$U$1001,0),0), INDEX($AB$1004:$AQ$1004,1,MATCH(COLUMNS($AB$1006:AN1006),$AB$1006:$AQ$1006,0)))),"Fix")))</f>
        <v>0</v>
      </c>
      <c r="O309" s="5">
        <f>IF(OR(INDEX($V$2:$V$1001,MATCH(ROWS($U$2:U309),$U$2:$U$1001,0),1)&gt;=100000,INDEX($AB$1005:$AQ$1005,1,MATCH(COLUMNS($AB$1006:AO1006),$AB$1006:$AQ$1006,0))&gt;=100000), " ",IF(INDEX($AB$2:$AQ$1001,MATCH(ROWS($U$2:U309),$U$2:$U$1001,0),MATCH(COLUMNS($AB$1006:AO1006),$AB$1006:$AQ$1006,0)), HYPERLINK("#",""), HYPERLINK(CONCATENATE("#Metadata!", ADDRESS(INDEX($W$2:$W$1001,MATCH(ROWS($U$2:U309),$U$2:$U$1001,0),0), INDEX($AB$1004:$AQ$1004,1,MATCH(COLUMNS($AB$1006:AO1006),$AB$1006:$AQ$1006,0)))),"Fix")))</f>
        <v>0</v>
      </c>
      <c r="P309" s="5">
        <f>IF(OR(INDEX($V$2:$V$1001,MATCH(ROWS($U$2:U309),$U$2:$U$1001,0),1)&gt;=100000,INDEX($AB$1005:$AQ$1005,1,MATCH(COLUMNS($AB$1006:AP1006),$AB$1006:$AQ$1006,0))&gt;=100000), " ",IF(INDEX($AB$2:$AQ$1001,MATCH(ROWS($U$2:U309),$U$2:$U$1001,0),MATCH(COLUMNS($AB$1006:AP1006),$AB$1006:$AQ$1006,0)), HYPERLINK("#",""), HYPERLINK(CONCATENATE("#Metadata!", ADDRESS(INDEX($W$2:$W$1001,MATCH(ROWS($U$2:U309),$U$2:$U$1001,0),0), INDEX($AB$1004:$AQ$1004,1,MATCH(COLUMNS($AB$1006:AP1006),$AB$1006:$AQ$1006,0)))),"Fix")))</f>
        <v>0</v>
      </c>
      <c r="Q309" s="5">
        <f>IF(OR(INDEX($V$2:$V$1001,MATCH(ROWS($U$2:U309),$U$2:$U$1001,0),1)&gt;=100000,INDEX($AB$1005:$AQ$1005,1,MATCH(COLUMNS($AB$1006:AQ1006),$AB$1006:$AQ$1006,0))&gt;=100000), " ",IF(INDEX($AB$2:$AQ$1001,MATCH(ROWS($U$2:U309),$U$2:$U$1001,0),MATCH(COLUMNS($AB$1006:AQ1006),$AB$1006:$AQ$1006,0)), HYPERLINK("#",""), HYPERLINK(CONCATENATE("#Metadata!", ADDRESS(INDEX($W$2:$W$1001,MATCH(ROWS($U$2:U309),$U$2:$U$1001,0),0), INDEX($AB$1004:$AQ$1004,1,MATCH(COLUMNS($AB$1006:AQ1006),$AB$1006:$AQ$1006,0)))),"Fix")))</f>
        <v>0</v>
      </c>
      <c r="U309">
        <v>0</v>
      </c>
      <c r="V309">
        <v>0</v>
      </c>
      <c r="W309">
        <v>0</v>
      </c>
      <c r="X309">
        <f>IF(Y309,TRUE,AND(AB309:AQ309))</f>
        <v>0</v>
      </c>
      <c r="Y309">
        <f>COUNTBLANK(Metadata!B309:Q309)=COLUMNS(Metadata!B309:Q309)</f>
        <v>0</v>
      </c>
      <c r="Z309">
        <v>0</v>
      </c>
      <c r="AB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AC309">
        <f>AND(IF(Metadata!C309="",FALSE,TRUE),exact(Metadata!C309,"urban biome"))</f>
        <v>0</v>
      </c>
      <c r="AD309">
        <f>AND(IF(Metadata!D309="",FALSE,TRUE),exact(Metadata!D309,"human-associated habitat"))</f>
        <v>0</v>
      </c>
      <c r="AE309">
        <f>AND(IF(Metadata!E309="",FALSE,TRUE),OR(exact(Metadata!E309,"human-associated"),exact(Metadata!E309,"human-skin"),exact(Metadata!E309,"human-oral"),exact(Metadata!E309,"human-gut"),exact(Metadata!E309,"human-vaginal")))</f>
        <v>0</v>
      </c>
      <c r="AF309">
        <f>AND(IF(Metadata!F309="",FALSE,ISNUMBER(VALUE(Metadata!F309))),Metadata!F309&gt;0)</f>
        <v>0</v>
      </c>
      <c r="AG309">
        <f>AND(IF(Metadata!G309="",FALSE,TRUE),exact(Metadata!G309,"years"))</f>
        <v>0</v>
      </c>
      <c r="AH309">
        <f>OR(AND(IF(Metadata!H309="",FALSE,TRUE),OR(exact(Metadata!H309,"not applicable"),exact(Metadata!H309,"not collected"),exact(Metadata!H309,"not provided"),exact(Metadata!H309,"restricted access"))),AND(IF(Metadata!H309="",FALSE,ISNUMBER(VALUE(Metadata!H309))),Metadata!H309&gt;0))</f>
        <v>0</v>
      </c>
      <c r="AI309">
        <f>AND(IF(Metadata!I309="",FALSE,TRUE),exact(Metadata!I309,"human"))</f>
        <v>0</v>
      </c>
      <c r="AJ309">
        <f>AND(IF(Metadata!J309="",FALSE,ISNUMBER(VALUE(Metadata!J309))),Metadata!J309&gt;0)</f>
        <v>0</v>
      </c>
      <c r="AK309">
        <f>AND(IF(Metadata!K309="",FALSE,TRUE),exact(Metadata!K309,"cm"))</f>
        <v>0</v>
      </c>
      <c r="AL309">
        <f>AND(IF(Metadata!L309="",FALSE,TRUE),exact(Metadata!L309,"Homo sapiens"))</f>
        <v>0</v>
      </c>
      <c r="AM309">
        <f>AND(IF(Metadata!M309="",FALSE,TRUE),exact(Metadata!M309,"9606"))</f>
        <v>0</v>
      </c>
      <c r="AN309">
        <f>AND(IF(Metadata!N309="",FALSE,ISNUMBER(VALUE(Metadata!N309))),Metadata!N309&gt;0)</f>
        <v>0</v>
      </c>
      <c r="AO309">
        <f>AND(IF(Metadata!O309="",FALSE,TRUE),exact(Metadata!O309,"kg"))</f>
        <v>0</v>
      </c>
      <c r="AP309">
        <f>OR(AND(IF(Metadata!P309="",FALSE,TRUE),exact(Metadata!P309,"not provided")),IF(Metadata!P309="",FALSE,TRUE))</f>
        <v>0</v>
      </c>
      <c r="AQ309">
        <f>OR(AND(IF(Metadata!Q309="",FALSE,TRUE),exact(Metadata!Q309,"not provided")),IF(Metadata!Q309="",FALSE,TRUE))</f>
        <v>0</v>
      </c>
    </row>
    <row r="310" spans="1:43">
      <c r="A310" s="4">
        <f>IF(B310=" "," ",HYPERLINK(CONCATENATE("#metadata!",ADDRESS(INDEX($W$2:$W$1001,MATCH(ROWS($U$2:U310),$U$2:$U$1001,0),0),2)),INDEX($Z$2:$Z$1001,MATCH(ROWS($U$2:U310),$U$2:$U$1001,0),0)))</f>
        <v>0</v>
      </c>
      <c r="B310" s="5">
        <f>IF(OR(INDEX($V$2:$V$1001,MATCH(ROWS($U$2:U310),$U$2:$U$1001,0),1)&gt;=100000,INDEX($AB$1005:$AQ$1005,1,MATCH(COLUMNS($AB$1006:AB1006),$AB$1006:$AQ$1006,0))&gt;=100000), " ",IF(INDEX($AB$2:$AQ$1001,MATCH(ROWS($U$2:U310),$U$2:$U$1001,0),MATCH(COLUMNS($AB$1006:AB1006),$AB$1006:$AQ$1006,0)), HYPERLINK("#",""), HYPERLINK(CONCATENATE("#Metadata!", ADDRESS(INDEX($W$2:$W$1001,MATCH(ROWS($U$2:U310),$U$2:$U$1001,0),0), INDEX($AB$1004:$AQ$1004,1,MATCH(COLUMNS($AB$1006:AB1006),$AB$1006:$AQ$1006,0)))),"Fix")))</f>
        <v>0</v>
      </c>
      <c r="C310" s="5">
        <f>IF(OR(INDEX($V$2:$V$1001,MATCH(ROWS($U$2:U310),$U$2:$U$1001,0),1)&gt;=100000,INDEX($AB$1005:$AQ$1005,1,MATCH(COLUMNS($AB$1006:AC1006),$AB$1006:$AQ$1006,0))&gt;=100000), " ",IF(INDEX($AB$2:$AQ$1001,MATCH(ROWS($U$2:U310),$U$2:$U$1001,0),MATCH(COLUMNS($AB$1006:AC1006),$AB$1006:$AQ$1006,0)), HYPERLINK("#",""), HYPERLINK(CONCATENATE("#Metadata!", ADDRESS(INDEX($W$2:$W$1001,MATCH(ROWS($U$2:U310),$U$2:$U$1001,0),0), INDEX($AB$1004:$AQ$1004,1,MATCH(COLUMNS($AB$1006:AC1006),$AB$1006:$AQ$1006,0)))),"Fix")))</f>
        <v>0</v>
      </c>
      <c r="D310" s="5">
        <f>IF(OR(INDEX($V$2:$V$1001,MATCH(ROWS($U$2:U310),$U$2:$U$1001,0),1)&gt;=100000,INDEX($AB$1005:$AQ$1005,1,MATCH(COLUMNS($AB$1006:AD1006),$AB$1006:$AQ$1006,0))&gt;=100000), " ",IF(INDEX($AB$2:$AQ$1001,MATCH(ROWS($U$2:U310),$U$2:$U$1001,0),MATCH(COLUMNS($AB$1006:AD1006),$AB$1006:$AQ$1006,0)), HYPERLINK("#",""), HYPERLINK(CONCATENATE("#Metadata!", ADDRESS(INDEX($W$2:$W$1001,MATCH(ROWS($U$2:U310),$U$2:$U$1001,0),0), INDEX($AB$1004:$AQ$1004,1,MATCH(COLUMNS($AB$1006:AD1006),$AB$1006:$AQ$1006,0)))),"Fix")))</f>
        <v>0</v>
      </c>
      <c r="E310" s="5">
        <f>IF(OR(INDEX($V$2:$V$1001,MATCH(ROWS($U$2:U310),$U$2:$U$1001,0),1)&gt;=100000,INDEX($AB$1005:$AQ$1005,1,MATCH(COLUMNS($AB$1006:AE1006),$AB$1006:$AQ$1006,0))&gt;=100000), " ",IF(INDEX($AB$2:$AQ$1001,MATCH(ROWS($U$2:U310),$U$2:$U$1001,0),MATCH(COLUMNS($AB$1006:AE1006),$AB$1006:$AQ$1006,0)), HYPERLINK("#",""), HYPERLINK(CONCATENATE("#Metadata!", ADDRESS(INDEX($W$2:$W$1001,MATCH(ROWS($U$2:U310),$U$2:$U$1001,0),0), INDEX($AB$1004:$AQ$1004,1,MATCH(COLUMNS($AB$1006:AE1006),$AB$1006:$AQ$1006,0)))),"Fix")))</f>
        <v>0</v>
      </c>
      <c r="F310" s="5">
        <f>IF(OR(INDEX($V$2:$V$1001,MATCH(ROWS($U$2:U310),$U$2:$U$1001,0),1)&gt;=100000,INDEX($AB$1005:$AQ$1005,1,MATCH(COLUMNS($AB$1006:AF1006),$AB$1006:$AQ$1006,0))&gt;=100000), " ",IF(INDEX($AB$2:$AQ$1001,MATCH(ROWS($U$2:U310),$U$2:$U$1001,0),MATCH(COLUMNS($AB$1006:AF1006),$AB$1006:$AQ$1006,0)), HYPERLINK("#",""), HYPERLINK(CONCATENATE("#Metadata!", ADDRESS(INDEX($W$2:$W$1001,MATCH(ROWS($U$2:U310),$U$2:$U$1001,0),0), INDEX($AB$1004:$AQ$1004,1,MATCH(COLUMNS($AB$1006:AF1006),$AB$1006:$AQ$1006,0)))),"Fix")))</f>
        <v>0</v>
      </c>
      <c r="G310" s="5">
        <f>IF(OR(INDEX($V$2:$V$1001,MATCH(ROWS($U$2:U310),$U$2:$U$1001,0),1)&gt;=100000,INDEX($AB$1005:$AQ$1005,1,MATCH(COLUMNS($AB$1006:AG1006),$AB$1006:$AQ$1006,0))&gt;=100000), " ",IF(INDEX($AB$2:$AQ$1001,MATCH(ROWS($U$2:U310),$U$2:$U$1001,0),MATCH(COLUMNS($AB$1006:AG1006),$AB$1006:$AQ$1006,0)), HYPERLINK("#",""), HYPERLINK(CONCATENATE("#Metadata!", ADDRESS(INDEX($W$2:$W$1001,MATCH(ROWS($U$2:U310),$U$2:$U$1001,0),0), INDEX($AB$1004:$AQ$1004,1,MATCH(COLUMNS($AB$1006:AG1006),$AB$1006:$AQ$1006,0)))),"Fix")))</f>
        <v>0</v>
      </c>
      <c r="H310" s="5">
        <f>IF(OR(INDEX($V$2:$V$1001,MATCH(ROWS($U$2:U310),$U$2:$U$1001,0),1)&gt;=100000,INDEX($AB$1005:$AQ$1005,1,MATCH(COLUMNS($AB$1006:AH1006),$AB$1006:$AQ$1006,0))&gt;=100000), " ",IF(INDEX($AB$2:$AQ$1001,MATCH(ROWS($U$2:U310),$U$2:$U$1001,0),MATCH(COLUMNS($AB$1006:AH1006),$AB$1006:$AQ$1006,0)), HYPERLINK("#",""), HYPERLINK(CONCATENATE("#Metadata!", ADDRESS(INDEX($W$2:$W$1001,MATCH(ROWS($U$2:U310),$U$2:$U$1001,0),0), INDEX($AB$1004:$AQ$1004,1,MATCH(COLUMNS($AB$1006:AH1006),$AB$1006:$AQ$1006,0)))),"Fix")))</f>
        <v>0</v>
      </c>
      <c r="I310" s="5">
        <f>IF(OR(INDEX($V$2:$V$1001,MATCH(ROWS($U$2:U310),$U$2:$U$1001,0),1)&gt;=100000,INDEX($AB$1005:$AQ$1005,1,MATCH(COLUMNS($AB$1006:AI1006),$AB$1006:$AQ$1006,0))&gt;=100000), " ",IF(INDEX($AB$2:$AQ$1001,MATCH(ROWS($U$2:U310),$U$2:$U$1001,0),MATCH(COLUMNS($AB$1006:AI1006),$AB$1006:$AQ$1006,0)), HYPERLINK("#",""), HYPERLINK(CONCATENATE("#Metadata!", ADDRESS(INDEX($W$2:$W$1001,MATCH(ROWS($U$2:U310),$U$2:$U$1001,0),0), INDEX($AB$1004:$AQ$1004,1,MATCH(COLUMNS($AB$1006:AI1006),$AB$1006:$AQ$1006,0)))),"Fix")))</f>
        <v>0</v>
      </c>
      <c r="J310" s="5">
        <f>IF(OR(INDEX($V$2:$V$1001,MATCH(ROWS($U$2:U310),$U$2:$U$1001,0),1)&gt;=100000,INDEX($AB$1005:$AQ$1005,1,MATCH(COLUMNS($AB$1006:AJ1006),$AB$1006:$AQ$1006,0))&gt;=100000), " ",IF(INDEX($AB$2:$AQ$1001,MATCH(ROWS($U$2:U310),$U$2:$U$1001,0),MATCH(COLUMNS($AB$1006:AJ1006),$AB$1006:$AQ$1006,0)), HYPERLINK("#",""), HYPERLINK(CONCATENATE("#Metadata!", ADDRESS(INDEX($W$2:$W$1001,MATCH(ROWS($U$2:U310),$U$2:$U$1001,0),0), INDEX($AB$1004:$AQ$1004,1,MATCH(COLUMNS($AB$1006:AJ1006),$AB$1006:$AQ$1006,0)))),"Fix")))</f>
        <v>0</v>
      </c>
      <c r="K310" s="5">
        <f>IF(OR(INDEX($V$2:$V$1001,MATCH(ROWS($U$2:U310),$U$2:$U$1001,0),1)&gt;=100000,INDEX($AB$1005:$AQ$1005,1,MATCH(COLUMNS($AB$1006:AK1006),$AB$1006:$AQ$1006,0))&gt;=100000), " ",IF(INDEX($AB$2:$AQ$1001,MATCH(ROWS($U$2:U310),$U$2:$U$1001,0),MATCH(COLUMNS($AB$1006:AK1006),$AB$1006:$AQ$1006,0)), HYPERLINK("#",""), HYPERLINK(CONCATENATE("#Metadata!", ADDRESS(INDEX($W$2:$W$1001,MATCH(ROWS($U$2:U310),$U$2:$U$1001,0),0), INDEX($AB$1004:$AQ$1004,1,MATCH(COLUMNS($AB$1006:AK1006),$AB$1006:$AQ$1006,0)))),"Fix")))</f>
        <v>0</v>
      </c>
      <c r="L310" s="5">
        <f>IF(OR(INDEX($V$2:$V$1001,MATCH(ROWS($U$2:U310),$U$2:$U$1001,0),1)&gt;=100000,INDEX($AB$1005:$AQ$1005,1,MATCH(COLUMNS($AB$1006:AL1006),$AB$1006:$AQ$1006,0))&gt;=100000), " ",IF(INDEX($AB$2:$AQ$1001,MATCH(ROWS($U$2:U310),$U$2:$U$1001,0),MATCH(COLUMNS($AB$1006:AL1006),$AB$1006:$AQ$1006,0)), HYPERLINK("#",""), HYPERLINK(CONCATENATE("#Metadata!", ADDRESS(INDEX($W$2:$W$1001,MATCH(ROWS($U$2:U310),$U$2:$U$1001,0),0), INDEX($AB$1004:$AQ$1004,1,MATCH(COLUMNS($AB$1006:AL1006),$AB$1006:$AQ$1006,0)))),"Fix")))</f>
        <v>0</v>
      </c>
      <c r="M310" s="5">
        <f>IF(OR(INDEX($V$2:$V$1001,MATCH(ROWS($U$2:U310),$U$2:$U$1001,0),1)&gt;=100000,INDEX($AB$1005:$AQ$1005,1,MATCH(COLUMNS($AB$1006:AM1006),$AB$1006:$AQ$1006,0))&gt;=100000), " ",IF(INDEX($AB$2:$AQ$1001,MATCH(ROWS($U$2:U310),$U$2:$U$1001,0),MATCH(COLUMNS($AB$1006:AM1006),$AB$1006:$AQ$1006,0)), HYPERLINK("#",""), HYPERLINK(CONCATENATE("#Metadata!", ADDRESS(INDEX($W$2:$W$1001,MATCH(ROWS($U$2:U310),$U$2:$U$1001,0),0), INDEX($AB$1004:$AQ$1004,1,MATCH(COLUMNS($AB$1006:AM1006),$AB$1006:$AQ$1006,0)))),"Fix")))</f>
        <v>0</v>
      </c>
      <c r="N310" s="5">
        <f>IF(OR(INDEX($V$2:$V$1001,MATCH(ROWS($U$2:U310),$U$2:$U$1001,0),1)&gt;=100000,INDEX($AB$1005:$AQ$1005,1,MATCH(COLUMNS($AB$1006:AN1006),$AB$1006:$AQ$1006,0))&gt;=100000), " ",IF(INDEX($AB$2:$AQ$1001,MATCH(ROWS($U$2:U310),$U$2:$U$1001,0),MATCH(COLUMNS($AB$1006:AN1006),$AB$1006:$AQ$1006,0)), HYPERLINK("#",""), HYPERLINK(CONCATENATE("#Metadata!", ADDRESS(INDEX($W$2:$W$1001,MATCH(ROWS($U$2:U310),$U$2:$U$1001,0),0), INDEX($AB$1004:$AQ$1004,1,MATCH(COLUMNS($AB$1006:AN1006),$AB$1006:$AQ$1006,0)))),"Fix")))</f>
        <v>0</v>
      </c>
      <c r="O310" s="5">
        <f>IF(OR(INDEX($V$2:$V$1001,MATCH(ROWS($U$2:U310),$U$2:$U$1001,0),1)&gt;=100000,INDEX($AB$1005:$AQ$1005,1,MATCH(COLUMNS($AB$1006:AO1006),$AB$1006:$AQ$1006,0))&gt;=100000), " ",IF(INDEX($AB$2:$AQ$1001,MATCH(ROWS($U$2:U310),$U$2:$U$1001,0),MATCH(COLUMNS($AB$1006:AO1006),$AB$1006:$AQ$1006,0)), HYPERLINK("#",""), HYPERLINK(CONCATENATE("#Metadata!", ADDRESS(INDEX($W$2:$W$1001,MATCH(ROWS($U$2:U310),$U$2:$U$1001,0),0), INDEX($AB$1004:$AQ$1004,1,MATCH(COLUMNS($AB$1006:AO1006),$AB$1006:$AQ$1006,0)))),"Fix")))</f>
        <v>0</v>
      </c>
      <c r="P310" s="5">
        <f>IF(OR(INDEX($V$2:$V$1001,MATCH(ROWS($U$2:U310),$U$2:$U$1001,0),1)&gt;=100000,INDEX($AB$1005:$AQ$1005,1,MATCH(COLUMNS($AB$1006:AP1006),$AB$1006:$AQ$1006,0))&gt;=100000), " ",IF(INDEX($AB$2:$AQ$1001,MATCH(ROWS($U$2:U310),$U$2:$U$1001,0),MATCH(COLUMNS($AB$1006:AP1006),$AB$1006:$AQ$1006,0)), HYPERLINK("#",""), HYPERLINK(CONCATENATE("#Metadata!", ADDRESS(INDEX($W$2:$W$1001,MATCH(ROWS($U$2:U310),$U$2:$U$1001,0),0), INDEX($AB$1004:$AQ$1004,1,MATCH(COLUMNS($AB$1006:AP1006),$AB$1006:$AQ$1006,0)))),"Fix")))</f>
        <v>0</v>
      </c>
      <c r="Q310" s="5">
        <f>IF(OR(INDEX($V$2:$V$1001,MATCH(ROWS($U$2:U310),$U$2:$U$1001,0),1)&gt;=100000,INDEX($AB$1005:$AQ$1005,1,MATCH(COLUMNS($AB$1006:AQ1006),$AB$1006:$AQ$1006,0))&gt;=100000), " ",IF(INDEX($AB$2:$AQ$1001,MATCH(ROWS($U$2:U310),$U$2:$U$1001,0),MATCH(COLUMNS($AB$1006:AQ1006),$AB$1006:$AQ$1006,0)), HYPERLINK("#",""), HYPERLINK(CONCATENATE("#Metadata!", ADDRESS(INDEX($W$2:$W$1001,MATCH(ROWS($U$2:U310),$U$2:$U$1001,0),0), INDEX($AB$1004:$AQ$1004,1,MATCH(COLUMNS($AB$1006:AQ1006),$AB$1006:$AQ$1006,0)))),"Fix")))</f>
        <v>0</v>
      </c>
      <c r="U310">
        <v>0</v>
      </c>
      <c r="V310">
        <v>0</v>
      </c>
      <c r="W310">
        <v>0</v>
      </c>
      <c r="X310">
        <f>IF(Y310,TRUE,AND(AB310:AQ310))</f>
        <v>0</v>
      </c>
      <c r="Y310">
        <f>COUNTBLANK(Metadata!B310:Q310)=COLUMNS(Metadata!B310:Q310)</f>
        <v>0</v>
      </c>
      <c r="Z310">
        <v>0</v>
      </c>
      <c r="AB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AC310">
        <f>AND(IF(Metadata!C310="",FALSE,TRUE),exact(Metadata!C310,"urban biome"))</f>
        <v>0</v>
      </c>
      <c r="AD310">
        <f>AND(IF(Metadata!D310="",FALSE,TRUE),exact(Metadata!D310,"human-associated habitat"))</f>
        <v>0</v>
      </c>
      <c r="AE310">
        <f>AND(IF(Metadata!E310="",FALSE,TRUE),OR(exact(Metadata!E310,"human-associated"),exact(Metadata!E310,"human-skin"),exact(Metadata!E310,"human-oral"),exact(Metadata!E310,"human-gut"),exact(Metadata!E310,"human-vaginal")))</f>
        <v>0</v>
      </c>
      <c r="AF310">
        <f>AND(IF(Metadata!F310="",FALSE,ISNUMBER(VALUE(Metadata!F310))),Metadata!F310&gt;0)</f>
        <v>0</v>
      </c>
      <c r="AG310">
        <f>AND(IF(Metadata!G310="",FALSE,TRUE),exact(Metadata!G310,"years"))</f>
        <v>0</v>
      </c>
      <c r="AH310">
        <f>OR(AND(IF(Metadata!H310="",FALSE,TRUE),OR(exact(Metadata!H310,"not applicable"),exact(Metadata!H310,"not collected"),exact(Metadata!H310,"not provided"),exact(Metadata!H310,"restricted access"))),AND(IF(Metadata!H310="",FALSE,ISNUMBER(VALUE(Metadata!H310))),Metadata!H310&gt;0))</f>
        <v>0</v>
      </c>
      <c r="AI310">
        <f>AND(IF(Metadata!I310="",FALSE,TRUE),exact(Metadata!I310,"human"))</f>
        <v>0</v>
      </c>
      <c r="AJ310">
        <f>AND(IF(Metadata!J310="",FALSE,ISNUMBER(VALUE(Metadata!J310))),Metadata!J310&gt;0)</f>
        <v>0</v>
      </c>
      <c r="AK310">
        <f>AND(IF(Metadata!K310="",FALSE,TRUE),exact(Metadata!K310,"cm"))</f>
        <v>0</v>
      </c>
      <c r="AL310">
        <f>AND(IF(Metadata!L310="",FALSE,TRUE),exact(Metadata!L310,"Homo sapiens"))</f>
        <v>0</v>
      </c>
      <c r="AM310">
        <f>AND(IF(Metadata!M310="",FALSE,TRUE),exact(Metadata!M310,"9606"))</f>
        <v>0</v>
      </c>
      <c r="AN310">
        <f>AND(IF(Metadata!N310="",FALSE,ISNUMBER(VALUE(Metadata!N310))),Metadata!N310&gt;0)</f>
        <v>0</v>
      </c>
      <c r="AO310">
        <f>AND(IF(Metadata!O310="",FALSE,TRUE),exact(Metadata!O310,"kg"))</f>
        <v>0</v>
      </c>
      <c r="AP310">
        <f>OR(AND(IF(Metadata!P310="",FALSE,TRUE),exact(Metadata!P310,"not provided")),IF(Metadata!P310="",FALSE,TRUE))</f>
        <v>0</v>
      </c>
      <c r="AQ310">
        <f>OR(AND(IF(Metadata!Q310="",FALSE,TRUE),exact(Metadata!Q310,"not provided")),IF(Metadata!Q310="",FALSE,TRUE))</f>
        <v>0</v>
      </c>
    </row>
    <row r="311" spans="1:43">
      <c r="A311" s="4">
        <f>IF(B311=" "," ",HYPERLINK(CONCATENATE("#metadata!",ADDRESS(INDEX($W$2:$W$1001,MATCH(ROWS($U$2:U311),$U$2:$U$1001,0),0),2)),INDEX($Z$2:$Z$1001,MATCH(ROWS($U$2:U311),$U$2:$U$1001,0),0)))</f>
        <v>0</v>
      </c>
      <c r="B311" s="5">
        <f>IF(OR(INDEX($V$2:$V$1001,MATCH(ROWS($U$2:U311),$U$2:$U$1001,0),1)&gt;=100000,INDEX($AB$1005:$AQ$1005,1,MATCH(COLUMNS($AB$1006:AB1006),$AB$1006:$AQ$1006,0))&gt;=100000), " ",IF(INDEX($AB$2:$AQ$1001,MATCH(ROWS($U$2:U311),$U$2:$U$1001,0),MATCH(COLUMNS($AB$1006:AB1006),$AB$1006:$AQ$1006,0)), HYPERLINK("#",""), HYPERLINK(CONCATENATE("#Metadata!", ADDRESS(INDEX($W$2:$W$1001,MATCH(ROWS($U$2:U311),$U$2:$U$1001,0),0), INDEX($AB$1004:$AQ$1004,1,MATCH(COLUMNS($AB$1006:AB1006),$AB$1006:$AQ$1006,0)))),"Fix")))</f>
        <v>0</v>
      </c>
      <c r="C311" s="5">
        <f>IF(OR(INDEX($V$2:$V$1001,MATCH(ROWS($U$2:U311),$U$2:$U$1001,0),1)&gt;=100000,INDEX($AB$1005:$AQ$1005,1,MATCH(COLUMNS($AB$1006:AC1006),$AB$1006:$AQ$1006,0))&gt;=100000), " ",IF(INDEX($AB$2:$AQ$1001,MATCH(ROWS($U$2:U311),$U$2:$U$1001,0),MATCH(COLUMNS($AB$1006:AC1006),$AB$1006:$AQ$1006,0)), HYPERLINK("#",""), HYPERLINK(CONCATENATE("#Metadata!", ADDRESS(INDEX($W$2:$W$1001,MATCH(ROWS($U$2:U311),$U$2:$U$1001,0),0), INDEX($AB$1004:$AQ$1004,1,MATCH(COLUMNS($AB$1006:AC1006),$AB$1006:$AQ$1006,0)))),"Fix")))</f>
        <v>0</v>
      </c>
      <c r="D311" s="5">
        <f>IF(OR(INDEX($V$2:$V$1001,MATCH(ROWS($U$2:U311),$U$2:$U$1001,0),1)&gt;=100000,INDEX($AB$1005:$AQ$1005,1,MATCH(COLUMNS($AB$1006:AD1006),$AB$1006:$AQ$1006,0))&gt;=100000), " ",IF(INDEX($AB$2:$AQ$1001,MATCH(ROWS($U$2:U311),$U$2:$U$1001,0),MATCH(COLUMNS($AB$1006:AD1006),$AB$1006:$AQ$1006,0)), HYPERLINK("#",""), HYPERLINK(CONCATENATE("#Metadata!", ADDRESS(INDEX($W$2:$W$1001,MATCH(ROWS($U$2:U311),$U$2:$U$1001,0),0), INDEX($AB$1004:$AQ$1004,1,MATCH(COLUMNS($AB$1006:AD1006),$AB$1006:$AQ$1006,0)))),"Fix")))</f>
        <v>0</v>
      </c>
      <c r="E311" s="5">
        <f>IF(OR(INDEX($V$2:$V$1001,MATCH(ROWS($U$2:U311),$U$2:$U$1001,0),1)&gt;=100000,INDEX($AB$1005:$AQ$1005,1,MATCH(COLUMNS($AB$1006:AE1006),$AB$1006:$AQ$1006,0))&gt;=100000), " ",IF(INDEX($AB$2:$AQ$1001,MATCH(ROWS($U$2:U311),$U$2:$U$1001,0),MATCH(COLUMNS($AB$1006:AE1006),$AB$1006:$AQ$1006,0)), HYPERLINK("#",""), HYPERLINK(CONCATENATE("#Metadata!", ADDRESS(INDEX($W$2:$W$1001,MATCH(ROWS($U$2:U311),$U$2:$U$1001,0),0), INDEX($AB$1004:$AQ$1004,1,MATCH(COLUMNS($AB$1006:AE1006),$AB$1006:$AQ$1006,0)))),"Fix")))</f>
        <v>0</v>
      </c>
      <c r="F311" s="5">
        <f>IF(OR(INDEX($V$2:$V$1001,MATCH(ROWS($U$2:U311),$U$2:$U$1001,0),1)&gt;=100000,INDEX($AB$1005:$AQ$1005,1,MATCH(COLUMNS($AB$1006:AF1006),$AB$1006:$AQ$1006,0))&gt;=100000), " ",IF(INDEX($AB$2:$AQ$1001,MATCH(ROWS($U$2:U311),$U$2:$U$1001,0),MATCH(COLUMNS($AB$1006:AF1006),$AB$1006:$AQ$1006,0)), HYPERLINK("#",""), HYPERLINK(CONCATENATE("#Metadata!", ADDRESS(INDEX($W$2:$W$1001,MATCH(ROWS($U$2:U311),$U$2:$U$1001,0),0), INDEX($AB$1004:$AQ$1004,1,MATCH(COLUMNS($AB$1006:AF1006),$AB$1006:$AQ$1006,0)))),"Fix")))</f>
        <v>0</v>
      </c>
      <c r="G311" s="5">
        <f>IF(OR(INDEX($V$2:$V$1001,MATCH(ROWS($U$2:U311),$U$2:$U$1001,0),1)&gt;=100000,INDEX($AB$1005:$AQ$1005,1,MATCH(COLUMNS($AB$1006:AG1006),$AB$1006:$AQ$1006,0))&gt;=100000), " ",IF(INDEX($AB$2:$AQ$1001,MATCH(ROWS($U$2:U311),$U$2:$U$1001,0),MATCH(COLUMNS($AB$1006:AG1006),$AB$1006:$AQ$1006,0)), HYPERLINK("#",""), HYPERLINK(CONCATENATE("#Metadata!", ADDRESS(INDEX($W$2:$W$1001,MATCH(ROWS($U$2:U311),$U$2:$U$1001,0),0), INDEX($AB$1004:$AQ$1004,1,MATCH(COLUMNS($AB$1006:AG1006),$AB$1006:$AQ$1006,0)))),"Fix")))</f>
        <v>0</v>
      </c>
      <c r="H311" s="5">
        <f>IF(OR(INDEX($V$2:$V$1001,MATCH(ROWS($U$2:U311),$U$2:$U$1001,0),1)&gt;=100000,INDEX($AB$1005:$AQ$1005,1,MATCH(COLUMNS($AB$1006:AH1006),$AB$1006:$AQ$1006,0))&gt;=100000), " ",IF(INDEX($AB$2:$AQ$1001,MATCH(ROWS($U$2:U311),$U$2:$U$1001,0),MATCH(COLUMNS($AB$1006:AH1006),$AB$1006:$AQ$1006,0)), HYPERLINK("#",""), HYPERLINK(CONCATENATE("#Metadata!", ADDRESS(INDEX($W$2:$W$1001,MATCH(ROWS($U$2:U311),$U$2:$U$1001,0),0), INDEX($AB$1004:$AQ$1004,1,MATCH(COLUMNS($AB$1006:AH1006),$AB$1006:$AQ$1006,0)))),"Fix")))</f>
        <v>0</v>
      </c>
      <c r="I311" s="5">
        <f>IF(OR(INDEX($V$2:$V$1001,MATCH(ROWS($U$2:U311),$U$2:$U$1001,0),1)&gt;=100000,INDEX($AB$1005:$AQ$1005,1,MATCH(COLUMNS($AB$1006:AI1006),$AB$1006:$AQ$1006,0))&gt;=100000), " ",IF(INDEX($AB$2:$AQ$1001,MATCH(ROWS($U$2:U311),$U$2:$U$1001,0),MATCH(COLUMNS($AB$1006:AI1006),$AB$1006:$AQ$1006,0)), HYPERLINK("#",""), HYPERLINK(CONCATENATE("#Metadata!", ADDRESS(INDEX($W$2:$W$1001,MATCH(ROWS($U$2:U311),$U$2:$U$1001,0),0), INDEX($AB$1004:$AQ$1004,1,MATCH(COLUMNS($AB$1006:AI1006),$AB$1006:$AQ$1006,0)))),"Fix")))</f>
        <v>0</v>
      </c>
      <c r="J311" s="5">
        <f>IF(OR(INDEX($V$2:$V$1001,MATCH(ROWS($U$2:U311),$U$2:$U$1001,0),1)&gt;=100000,INDEX($AB$1005:$AQ$1005,1,MATCH(COLUMNS($AB$1006:AJ1006),$AB$1006:$AQ$1006,0))&gt;=100000), " ",IF(INDEX($AB$2:$AQ$1001,MATCH(ROWS($U$2:U311),$U$2:$U$1001,0),MATCH(COLUMNS($AB$1006:AJ1006),$AB$1006:$AQ$1006,0)), HYPERLINK("#",""), HYPERLINK(CONCATENATE("#Metadata!", ADDRESS(INDEX($W$2:$W$1001,MATCH(ROWS($U$2:U311),$U$2:$U$1001,0),0), INDEX($AB$1004:$AQ$1004,1,MATCH(COLUMNS($AB$1006:AJ1006),$AB$1006:$AQ$1006,0)))),"Fix")))</f>
        <v>0</v>
      </c>
      <c r="K311" s="5">
        <f>IF(OR(INDEX($V$2:$V$1001,MATCH(ROWS($U$2:U311),$U$2:$U$1001,0),1)&gt;=100000,INDEX($AB$1005:$AQ$1005,1,MATCH(COLUMNS($AB$1006:AK1006),$AB$1006:$AQ$1006,0))&gt;=100000), " ",IF(INDEX($AB$2:$AQ$1001,MATCH(ROWS($U$2:U311),$U$2:$U$1001,0),MATCH(COLUMNS($AB$1006:AK1006),$AB$1006:$AQ$1006,0)), HYPERLINK("#",""), HYPERLINK(CONCATENATE("#Metadata!", ADDRESS(INDEX($W$2:$W$1001,MATCH(ROWS($U$2:U311),$U$2:$U$1001,0),0), INDEX($AB$1004:$AQ$1004,1,MATCH(COLUMNS($AB$1006:AK1006),$AB$1006:$AQ$1006,0)))),"Fix")))</f>
        <v>0</v>
      </c>
      <c r="L311" s="5">
        <f>IF(OR(INDEX($V$2:$V$1001,MATCH(ROWS($U$2:U311),$U$2:$U$1001,0),1)&gt;=100000,INDEX($AB$1005:$AQ$1005,1,MATCH(COLUMNS($AB$1006:AL1006),$AB$1006:$AQ$1006,0))&gt;=100000), " ",IF(INDEX($AB$2:$AQ$1001,MATCH(ROWS($U$2:U311),$U$2:$U$1001,0),MATCH(COLUMNS($AB$1006:AL1006),$AB$1006:$AQ$1006,0)), HYPERLINK("#",""), HYPERLINK(CONCATENATE("#Metadata!", ADDRESS(INDEX($W$2:$W$1001,MATCH(ROWS($U$2:U311),$U$2:$U$1001,0),0), INDEX($AB$1004:$AQ$1004,1,MATCH(COLUMNS($AB$1006:AL1006),$AB$1006:$AQ$1006,0)))),"Fix")))</f>
        <v>0</v>
      </c>
      <c r="M311" s="5">
        <f>IF(OR(INDEX($V$2:$V$1001,MATCH(ROWS($U$2:U311),$U$2:$U$1001,0),1)&gt;=100000,INDEX($AB$1005:$AQ$1005,1,MATCH(COLUMNS($AB$1006:AM1006),$AB$1006:$AQ$1006,0))&gt;=100000), " ",IF(INDEX($AB$2:$AQ$1001,MATCH(ROWS($U$2:U311),$U$2:$U$1001,0),MATCH(COLUMNS($AB$1006:AM1006),$AB$1006:$AQ$1006,0)), HYPERLINK("#",""), HYPERLINK(CONCATENATE("#Metadata!", ADDRESS(INDEX($W$2:$W$1001,MATCH(ROWS($U$2:U311),$U$2:$U$1001,0),0), INDEX($AB$1004:$AQ$1004,1,MATCH(COLUMNS($AB$1006:AM1006),$AB$1006:$AQ$1006,0)))),"Fix")))</f>
        <v>0</v>
      </c>
      <c r="N311" s="5">
        <f>IF(OR(INDEX($V$2:$V$1001,MATCH(ROWS($U$2:U311),$U$2:$U$1001,0),1)&gt;=100000,INDEX($AB$1005:$AQ$1005,1,MATCH(COLUMNS($AB$1006:AN1006),$AB$1006:$AQ$1006,0))&gt;=100000), " ",IF(INDEX($AB$2:$AQ$1001,MATCH(ROWS($U$2:U311),$U$2:$U$1001,0),MATCH(COLUMNS($AB$1006:AN1006),$AB$1006:$AQ$1006,0)), HYPERLINK("#",""), HYPERLINK(CONCATENATE("#Metadata!", ADDRESS(INDEX($W$2:$W$1001,MATCH(ROWS($U$2:U311),$U$2:$U$1001,0),0), INDEX($AB$1004:$AQ$1004,1,MATCH(COLUMNS($AB$1006:AN1006),$AB$1006:$AQ$1006,0)))),"Fix")))</f>
        <v>0</v>
      </c>
      <c r="O311" s="5">
        <f>IF(OR(INDEX($V$2:$V$1001,MATCH(ROWS($U$2:U311),$U$2:$U$1001,0),1)&gt;=100000,INDEX($AB$1005:$AQ$1005,1,MATCH(COLUMNS($AB$1006:AO1006),$AB$1006:$AQ$1006,0))&gt;=100000), " ",IF(INDEX($AB$2:$AQ$1001,MATCH(ROWS($U$2:U311),$U$2:$U$1001,0),MATCH(COLUMNS($AB$1006:AO1006),$AB$1006:$AQ$1006,0)), HYPERLINK("#",""), HYPERLINK(CONCATENATE("#Metadata!", ADDRESS(INDEX($W$2:$W$1001,MATCH(ROWS($U$2:U311),$U$2:$U$1001,0),0), INDEX($AB$1004:$AQ$1004,1,MATCH(COLUMNS($AB$1006:AO1006),$AB$1006:$AQ$1006,0)))),"Fix")))</f>
        <v>0</v>
      </c>
      <c r="P311" s="5">
        <f>IF(OR(INDEX($V$2:$V$1001,MATCH(ROWS($U$2:U311),$U$2:$U$1001,0),1)&gt;=100000,INDEX($AB$1005:$AQ$1005,1,MATCH(COLUMNS($AB$1006:AP1006),$AB$1006:$AQ$1006,0))&gt;=100000), " ",IF(INDEX($AB$2:$AQ$1001,MATCH(ROWS($U$2:U311),$U$2:$U$1001,0),MATCH(COLUMNS($AB$1006:AP1006),$AB$1006:$AQ$1006,0)), HYPERLINK("#",""), HYPERLINK(CONCATENATE("#Metadata!", ADDRESS(INDEX($W$2:$W$1001,MATCH(ROWS($U$2:U311),$U$2:$U$1001,0),0), INDEX($AB$1004:$AQ$1004,1,MATCH(COLUMNS($AB$1006:AP1006),$AB$1006:$AQ$1006,0)))),"Fix")))</f>
        <v>0</v>
      </c>
      <c r="Q311" s="5">
        <f>IF(OR(INDEX($V$2:$V$1001,MATCH(ROWS($U$2:U311),$U$2:$U$1001,0),1)&gt;=100000,INDEX($AB$1005:$AQ$1005,1,MATCH(COLUMNS($AB$1006:AQ1006),$AB$1006:$AQ$1006,0))&gt;=100000), " ",IF(INDEX($AB$2:$AQ$1001,MATCH(ROWS($U$2:U311),$U$2:$U$1001,0),MATCH(COLUMNS($AB$1006:AQ1006),$AB$1006:$AQ$1006,0)), HYPERLINK("#",""), HYPERLINK(CONCATENATE("#Metadata!", ADDRESS(INDEX($W$2:$W$1001,MATCH(ROWS($U$2:U311),$U$2:$U$1001,0),0), INDEX($AB$1004:$AQ$1004,1,MATCH(COLUMNS($AB$1006:AQ1006),$AB$1006:$AQ$1006,0)))),"Fix")))</f>
        <v>0</v>
      </c>
      <c r="U311">
        <v>0</v>
      </c>
      <c r="V311">
        <v>0</v>
      </c>
      <c r="W311">
        <v>0</v>
      </c>
      <c r="X311">
        <f>IF(Y311,TRUE,AND(AB311:AQ311))</f>
        <v>0</v>
      </c>
      <c r="Y311">
        <f>COUNTBLANK(Metadata!B311:Q311)=COLUMNS(Metadata!B311:Q311)</f>
        <v>0</v>
      </c>
      <c r="Z311">
        <v>0</v>
      </c>
      <c r="AB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AC311">
        <f>AND(IF(Metadata!C311="",FALSE,TRUE),exact(Metadata!C311,"urban biome"))</f>
        <v>0</v>
      </c>
      <c r="AD311">
        <f>AND(IF(Metadata!D311="",FALSE,TRUE),exact(Metadata!D311,"human-associated habitat"))</f>
        <v>0</v>
      </c>
      <c r="AE311">
        <f>AND(IF(Metadata!E311="",FALSE,TRUE),OR(exact(Metadata!E311,"human-associated"),exact(Metadata!E311,"human-skin"),exact(Metadata!E311,"human-oral"),exact(Metadata!E311,"human-gut"),exact(Metadata!E311,"human-vaginal")))</f>
        <v>0</v>
      </c>
      <c r="AF311">
        <f>AND(IF(Metadata!F311="",FALSE,ISNUMBER(VALUE(Metadata!F311))),Metadata!F311&gt;0)</f>
        <v>0</v>
      </c>
      <c r="AG311">
        <f>AND(IF(Metadata!G311="",FALSE,TRUE),exact(Metadata!G311,"years"))</f>
        <v>0</v>
      </c>
      <c r="AH311">
        <f>OR(AND(IF(Metadata!H311="",FALSE,TRUE),OR(exact(Metadata!H311,"not applicable"),exact(Metadata!H311,"not collected"),exact(Metadata!H311,"not provided"),exact(Metadata!H311,"restricted access"))),AND(IF(Metadata!H311="",FALSE,ISNUMBER(VALUE(Metadata!H311))),Metadata!H311&gt;0))</f>
        <v>0</v>
      </c>
      <c r="AI311">
        <f>AND(IF(Metadata!I311="",FALSE,TRUE),exact(Metadata!I311,"human"))</f>
        <v>0</v>
      </c>
      <c r="AJ311">
        <f>AND(IF(Metadata!J311="",FALSE,ISNUMBER(VALUE(Metadata!J311))),Metadata!J311&gt;0)</f>
        <v>0</v>
      </c>
      <c r="AK311">
        <f>AND(IF(Metadata!K311="",FALSE,TRUE),exact(Metadata!K311,"cm"))</f>
        <v>0</v>
      </c>
      <c r="AL311">
        <f>AND(IF(Metadata!L311="",FALSE,TRUE),exact(Metadata!L311,"Homo sapiens"))</f>
        <v>0</v>
      </c>
      <c r="AM311">
        <f>AND(IF(Metadata!M311="",FALSE,TRUE),exact(Metadata!M311,"9606"))</f>
        <v>0</v>
      </c>
      <c r="AN311">
        <f>AND(IF(Metadata!N311="",FALSE,ISNUMBER(VALUE(Metadata!N311))),Metadata!N311&gt;0)</f>
        <v>0</v>
      </c>
      <c r="AO311">
        <f>AND(IF(Metadata!O311="",FALSE,TRUE),exact(Metadata!O311,"kg"))</f>
        <v>0</v>
      </c>
      <c r="AP311">
        <f>OR(AND(IF(Metadata!P311="",FALSE,TRUE),exact(Metadata!P311,"not provided")),IF(Metadata!P311="",FALSE,TRUE))</f>
        <v>0</v>
      </c>
      <c r="AQ311">
        <f>OR(AND(IF(Metadata!Q311="",FALSE,TRUE),exact(Metadata!Q311,"not provided")),IF(Metadata!Q311="",FALSE,TRUE))</f>
        <v>0</v>
      </c>
    </row>
    <row r="312" spans="1:43">
      <c r="A312" s="4">
        <f>IF(B312=" "," ",HYPERLINK(CONCATENATE("#metadata!",ADDRESS(INDEX($W$2:$W$1001,MATCH(ROWS($U$2:U312),$U$2:$U$1001,0),0),2)),INDEX($Z$2:$Z$1001,MATCH(ROWS($U$2:U312),$U$2:$U$1001,0),0)))</f>
        <v>0</v>
      </c>
      <c r="B312" s="5">
        <f>IF(OR(INDEX($V$2:$V$1001,MATCH(ROWS($U$2:U312),$U$2:$U$1001,0),1)&gt;=100000,INDEX($AB$1005:$AQ$1005,1,MATCH(COLUMNS($AB$1006:AB1006),$AB$1006:$AQ$1006,0))&gt;=100000), " ",IF(INDEX($AB$2:$AQ$1001,MATCH(ROWS($U$2:U312),$U$2:$U$1001,0),MATCH(COLUMNS($AB$1006:AB1006),$AB$1006:$AQ$1006,0)), HYPERLINK("#",""), HYPERLINK(CONCATENATE("#Metadata!", ADDRESS(INDEX($W$2:$W$1001,MATCH(ROWS($U$2:U312),$U$2:$U$1001,0),0), INDEX($AB$1004:$AQ$1004,1,MATCH(COLUMNS($AB$1006:AB1006),$AB$1006:$AQ$1006,0)))),"Fix")))</f>
        <v>0</v>
      </c>
      <c r="C312" s="5">
        <f>IF(OR(INDEX($V$2:$V$1001,MATCH(ROWS($U$2:U312),$U$2:$U$1001,0),1)&gt;=100000,INDEX($AB$1005:$AQ$1005,1,MATCH(COLUMNS($AB$1006:AC1006),$AB$1006:$AQ$1006,0))&gt;=100000), " ",IF(INDEX($AB$2:$AQ$1001,MATCH(ROWS($U$2:U312),$U$2:$U$1001,0),MATCH(COLUMNS($AB$1006:AC1006),$AB$1006:$AQ$1006,0)), HYPERLINK("#",""), HYPERLINK(CONCATENATE("#Metadata!", ADDRESS(INDEX($W$2:$W$1001,MATCH(ROWS($U$2:U312),$U$2:$U$1001,0),0), INDEX($AB$1004:$AQ$1004,1,MATCH(COLUMNS($AB$1006:AC1006),$AB$1006:$AQ$1006,0)))),"Fix")))</f>
        <v>0</v>
      </c>
      <c r="D312" s="5">
        <f>IF(OR(INDEX($V$2:$V$1001,MATCH(ROWS($U$2:U312),$U$2:$U$1001,0),1)&gt;=100000,INDEX($AB$1005:$AQ$1005,1,MATCH(COLUMNS($AB$1006:AD1006),$AB$1006:$AQ$1006,0))&gt;=100000), " ",IF(INDEX($AB$2:$AQ$1001,MATCH(ROWS($U$2:U312),$U$2:$U$1001,0),MATCH(COLUMNS($AB$1006:AD1006),$AB$1006:$AQ$1006,0)), HYPERLINK("#",""), HYPERLINK(CONCATENATE("#Metadata!", ADDRESS(INDEX($W$2:$W$1001,MATCH(ROWS($U$2:U312),$U$2:$U$1001,0),0), INDEX($AB$1004:$AQ$1004,1,MATCH(COLUMNS($AB$1006:AD1006),$AB$1006:$AQ$1006,0)))),"Fix")))</f>
        <v>0</v>
      </c>
      <c r="E312" s="5">
        <f>IF(OR(INDEX($V$2:$V$1001,MATCH(ROWS($U$2:U312),$U$2:$U$1001,0),1)&gt;=100000,INDEX($AB$1005:$AQ$1005,1,MATCH(COLUMNS($AB$1006:AE1006),$AB$1006:$AQ$1006,0))&gt;=100000), " ",IF(INDEX($AB$2:$AQ$1001,MATCH(ROWS($U$2:U312),$U$2:$U$1001,0),MATCH(COLUMNS($AB$1006:AE1006),$AB$1006:$AQ$1006,0)), HYPERLINK("#",""), HYPERLINK(CONCATENATE("#Metadata!", ADDRESS(INDEX($W$2:$W$1001,MATCH(ROWS($U$2:U312),$U$2:$U$1001,0),0), INDEX($AB$1004:$AQ$1004,1,MATCH(COLUMNS($AB$1006:AE1006),$AB$1006:$AQ$1006,0)))),"Fix")))</f>
        <v>0</v>
      </c>
      <c r="F312" s="5">
        <f>IF(OR(INDEX($V$2:$V$1001,MATCH(ROWS($U$2:U312),$U$2:$U$1001,0),1)&gt;=100000,INDEX($AB$1005:$AQ$1005,1,MATCH(COLUMNS($AB$1006:AF1006),$AB$1006:$AQ$1006,0))&gt;=100000), " ",IF(INDEX($AB$2:$AQ$1001,MATCH(ROWS($U$2:U312),$U$2:$U$1001,0),MATCH(COLUMNS($AB$1006:AF1006),$AB$1006:$AQ$1006,0)), HYPERLINK("#",""), HYPERLINK(CONCATENATE("#Metadata!", ADDRESS(INDEX($W$2:$W$1001,MATCH(ROWS($U$2:U312),$U$2:$U$1001,0),0), INDEX($AB$1004:$AQ$1004,1,MATCH(COLUMNS($AB$1006:AF1006),$AB$1006:$AQ$1006,0)))),"Fix")))</f>
        <v>0</v>
      </c>
      <c r="G312" s="5">
        <f>IF(OR(INDEX($V$2:$V$1001,MATCH(ROWS($U$2:U312),$U$2:$U$1001,0),1)&gt;=100000,INDEX($AB$1005:$AQ$1005,1,MATCH(COLUMNS($AB$1006:AG1006),$AB$1006:$AQ$1006,0))&gt;=100000), " ",IF(INDEX($AB$2:$AQ$1001,MATCH(ROWS($U$2:U312),$U$2:$U$1001,0),MATCH(COLUMNS($AB$1006:AG1006),$AB$1006:$AQ$1006,0)), HYPERLINK("#",""), HYPERLINK(CONCATENATE("#Metadata!", ADDRESS(INDEX($W$2:$W$1001,MATCH(ROWS($U$2:U312),$U$2:$U$1001,0),0), INDEX($AB$1004:$AQ$1004,1,MATCH(COLUMNS($AB$1006:AG1006),$AB$1006:$AQ$1006,0)))),"Fix")))</f>
        <v>0</v>
      </c>
      <c r="H312" s="5">
        <f>IF(OR(INDEX($V$2:$V$1001,MATCH(ROWS($U$2:U312),$U$2:$U$1001,0),1)&gt;=100000,INDEX($AB$1005:$AQ$1005,1,MATCH(COLUMNS($AB$1006:AH1006),$AB$1006:$AQ$1006,0))&gt;=100000), " ",IF(INDEX($AB$2:$AQ$1001,MATCH(ROWS($U$2:U312),$U$2:$U$1001,0),MATCH(COLUMNS($AB$1006:AH1006),$AB$1006:$AQ$1006,0)), HYPERLINK("#",""), HYPERLINK(CONCATENATE("#Metadata!", ADDRESS(INDEX($W$2:$W$1001,MATCH(ROWS($U$2:U312),$U$2:$U$1001,0),0), INDEX($AB$1004:$AQ$1004,1,MATCH(COLUMNS($AB$1006:AH1006),$AB$1006:$AQ$1006,0)))),"Fix")))</f>
        <v>0</v>
      </c>
      <c r="I312" s="5">
        <f>IF(OR(INDEX($V$2:$V$1001,MATCH(ROWS($U$2:U312),$U$2:$U$1001,0),1)&gt;=100000,INDEX($AB$1005:$AQ$1005,1,MATCH(COLUMNS($AB$1006:AI1006),$AB$1006:$AQ$1006,0))&gt;=100000), " ",IF(INDEX($AB$2:$AQ$1001,MATCH(ROWS($U$2:U312),$U$2:$U$1001,0),MATCH(COLUMNS($AB$1006:AI1006),$AB$1006:$AQ$1006,0)), HYPERLINK("#",""), HYPERLINK(CONCATENATE("#Metadata!", ADDRESS(INDEX($W$2:$W$1001,MATCH(ROWS($U$2:U312),$U$2:$U$1001,0),0), INDEX($AB$1004:$AQ$1004,1,MATCH(COLUMNS($AB$1006:AI1006),$AB$1006:$AQ$1006,0)))),"Fix")))</f>
        <v>0</v>
      </c>
      <c r="J312" s="5">
        <f>IF(OR(INDEX($V$2:$V$1001,MATCH(ROWS($U$2:U312),$U$2:$U$1001,0),1)&gt;=100000,INDEX($AB$1005:$AQ$1005,1,MATCH(COLUMNS($AB$1006:AJ1006),$AB$1006:$AQ$1006,0))&gt;=100000), " ",IF(INDEX($AB$2:$AQ$1001,MATCH(ROWS($U$2:U312),$U$2:$U$1001,0),MATCH(COLUMNS($AB$1006:AJ1006),$AB$1006:$AQ$1006,0)), HYPERLINK("#",""), HYPERLINK(CONCATENATE("#Metadata!", ADDRESS(INDEX($W$2:$W$1001,MATCH(ROWS($U$2:U312),$U$2:$U$1001,0),0), INDEX($AB$1004:$AQ$1004,1,MATCH(COLUMNS($AB$1006:AJ1006),$AB$1006:$AQ$1006,0)))),"Fix")))</f>
        <v>0</v>
      </c>
      <c r="K312" s="5">
        <f>IF(OR(INDEX($V$2:$V$1001,MATCH(ROWS($U$2:U312),$U$2:$U$1001,0),1)&gt;=100000,INDEX($AB$1005:$AQ$1005,1,MATCH(COLUMNS($AB$1006:AK1006),$AB$1006:$AQ$1006,0))&gt;=100000), " ",IF(INDEX($AB$2:$AQ$1001,MATCH(ROWS($U$2:U312),$U$2:$U$1001,0),MATCH(COLUMNS($AB$1006:AK1006),$AB$1006:$AQ$1006,0)), HYPERLINK("#",""), HYPERLINK(CONCATENATE("#Metadata!", ADDRESS(INDEX($W$2:$W$1001,MATCH(ROWS($U$2:U312),$U$2:$U$1001,0),0), INDEX($AB$1004:$AQ$1004,1,MATCH(COLUMNS($AB$1006:AK1006),$AB$1006:$AQ$1006,0)))),"Fix")))</f>
        <v>0</v>
      </c>
      <c r="L312" s="5">
        <f>IF(OR(INDEX($V$2:$V$1001,MATCH(ROWS($U$2:U312),$U$2:$U$1001,0),1)&gt;=100000,INDEX($AB$1005:$AQ$1005,1,MATCH(COLUMNS($AB$1006:AL1006),$AB$1006:$AQ$1006,0))&gt;=100000), " ",IF(INDEX($AB$2:$AQ$1001,MATCH(ROWS($U$2:U312),$U$2:$U$1001,0),MATCH(COLUMNS($AB$1006:AL1006),$AB$1006:$AQ$1006,0)), HYPERLINK("#",""), HYPERLINK(CONCATENATE("#Metadata!", ADDRESS(INDEX($W$2:$W$1001,MATCH(ROWS($U$2:U312),$U$2:$U$1001,0),0), INDEX($AB$1004:$AQ$1004,1,MATCH(COLUMNS($AB$1006:AL1006),$AB$1006:$AQ$1006,0)))),"Fix")))</f>
        <v>0</v>
      </c>
      <c r="M312" s="5">
        <f>IF(OR(INDEX($V$2:$V$1001,MATCH(ROWS($U$2:U312),$U$2:$U$1001,0),1)&gt;=100000,INDEX($AB$1005:$AQ$1005,1,MATCH(COLUMNS($AB$1006:AM1006),$AB$1006:$AQ$1006,0))&gt;=100000), " ",IF(INDEX($AB$2:$AQ$1001,MATCH(ROWS($U$2:U312),$U$2:$U$1001,0),MATCH(COLUMNS($AB$1006:AM1006),$AB$1006:$AQ$1006,0)), HYPERLINK("#",""), HYPERLINK(CONCATENATE("#Metadata!", ADDRESS(INDEX($W$2:$W$1001,MATCH(ROWS($U$2:U312),$U$2:$U$1001,0),0), INDEX($AB$1004:$AQ$1004,1,MATCH(COLUMNS($AB$1006:AM1006),$AB$1006:$AQ$1006,0)))),"Fix")))</f>
        <v>0</v>
      </c>
      <c r="N312" s="5">
        <f>IF(OR(INDEX($V$2:$V$1001,MATCH(ROWS($U$2:U312),$U$2:$U$1001,0),1)&gt;=100000,INDEX($AB$1005:$AQ$1005,1,MATCH(COLUMNS($AB$1006:AN1006),$AB$1006:$AQ$1006,0))&gt;=100000), " ",IF(INDEX($AB$2:$AQ$1001,MATCH(ROWS($U$2:U312),$U$2:$U$1001,0),MATCH(COLUMNS($AB$1006:AN1006),$AB$1006:$AQ$1006,0)), HYPERLINK("#",""), HYPERLINK(CONCATENATE("#Metadata!", ADDRESS(INDEX($W$2:$W$1001,MATCH(ROWS($U$2:U312),$U$2:$U$1001,0),0), INDEX($AB$1004:$AQ$1004,1,MATCH(COLUMNS($AB$1006:AN1006),$AB$1006:$AQ$1006,0)))),"Fix")))</f>
        <v>0</v>
      </c>
      <c r="O312" s="5">
        <f>IF(OR(INDEX($V$2:$V$1001,MATCH(ROWS($U$2:U312),$U$2:$U$1001,0),1)&gt;=100000,INDEX($AB$1005:$AQ$1005,1,MATCH(COLUMNS($AB$1006:AO1006),$AB$1006:$AQ$1006,0))&gt;=100000), " ",IF(INDEX($AB$2:$AQ$1001,MATCH(ROWS($U$2:U312),$U$2:$U$1001,0),MATCH(COLUMNS($AB$1006:AO1006),$AB$1006:$AQ$1006,0)), HYPERLINK("#",""), HYPERLINK(CONCATENATE("#Metadata!", ADDRESS(INDEX($W$2:$W$1001,MATCH(ROWS($U$2:U312),$U$2:$U$1001,0),0), INDEX($AB$1004:$AQ$1004,1,MATCH(COLUMNS($AB$1006:AO1006),$AB$1006:$AQ$1006,0)))),"Fix")))</f>
        <v>0</v>
      </c>
      <c r="P312" s="5">
        <f>IF(OR(INDEX($V$2:$V$1001,MATCH(ROWS($U$2:U312),$U$2:$U$1001,0),1)&gt;=100000,INDEX($AB$1005:$AQ$1005,1,MATCH(COLUMNS($AB$1006:AP1006),$AB$1006:$AQ$1006,0))&gt;=100000), " ",IF(INDEX($AB$2:$AQ$1001,MATCH(ROWS($U$2:U312),$U$2:$U$1001,0),MATCH(COLUMNS($AB$1006:AP1006),$AB$1006:$AQ$1006,0)), HYPERLINK("#",""), HYPERLINK(CONCATENATE("#Metadata!", ADDRESS(INDEX($W$2:$W$1001,MATCH(ROWS($U$2:U312),$U$2:$U$1001,0),0), INDEX($AB$1004:$AQ$1004,1,MATCH(COLUMNS($AB$1006:AP1006),$AB$1006:$AQ$1006,0)))),"Fix")))</f>
        <v>0</v>
      </c>
      <c r="Q312" s="5">
        <f>IF(OR(INDEX($V$2:$V$1001,MATCH(ROWS($U$2:U312),$U$2:$U$1001,0),1)&gt;=100000,INDEX($AB$1005:$AQ$1005,1,MATCH(COLUMNS($AB$1006:AQ1006),$AB$1006:$AQ$1006,0))&gt;=100000), " ",IF(INDEX($AB$2:$AQ$1001,MATCH(ROWS($U$2:U312),$U$2:$U$1001,0),MATCH(COLUMNS($AB$1006:AQ1006),$AB$1006:$AQ$1006,0)), HYPERLINK("#",""), HYPERLINK(CONCATENATE("#Metadata!", ADDRESS(INDEX($W$2:$W$1001,MATCH(ROWS($U$2:U312),$U$2:$U$1001,0),0), INDEX($AB$1004:$AQ$1004,1,MATCH(COLUMNS($AB$1006:AQ1006),$AB$1006:$AQ$1006,0)))),"Fix")))</f>
        <v>0</v>
      </c>
      <c r="U312">
        <v>0</v>
      </c>
      <c r="V312">
        <v>0</v>
      </c>
      <c r="W312">
        <v>0</v>
      </c>
      <c r="X312">
        <f>IF(Y312,TRUE,AND(AB312:AQ312))</f>
        <v>0</v>
      </c>
      <c r="Y312">
        <f>COUNTBLANK(Metadata!B312:Q312)=COLUMNS(Metadata!B312:Q312)</f>
        <v>0</v>
      </c>
      <c r="Z312">
        <v>0</v>
      </c>
      <c r="AB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AC312">
        <f>AND(IF(Metadata!C312="",FALSE,TRUE),exact(Metadata!C312,"urban biome"))</f>
        <v>0</v>
      </c>
      <c r="AD312">
        <f>AND(IF(Metadata!D312="",FALSE,TRUE),exact(Metadata!D312,"human-associated habitat"))</f>
        <v>0</v>
      </c>
      <c r="AE312">
        <f>AND(IF(Metadata!E312="",FALSE,TRUE),OR(exact(Metadata!E312,"human-associated"),exact(Metadata!E312,"human-skin"),exact(Metadata!E312,"human-oral"),exact(Metadata!E312,"human-gut"),exact(Metadata!E312,"human-vaginal")))</f>
        <v>0</v>
      </c>
      <c r="AF312">
        <f>AND(IF(Metadata!F312="",FALSE,ISNUMBER(VALUE(Metadata!F312))),Metadata!F312&gt;0)</f>
        <v>0</v>
      </c>
      <c r="AG312">
        <f>AND(IF(Metadata!G312="",FALSE,TRUE),exact(Metadata!G312,"years"))</f>
        <v>0</v>
      </c>
      <c r="AH312">
        <f>OR(AND(IF(Metadata!H312="",FALSE,TRUE),OR(exact(Metadata!H312,"not applicable"),exact(Metadata!H312,"not collected"),exact(Metadata!H312,"not provided"),exact(Metadata!H312,"restricted access"))),AND(IF(Metadata!H312="",FALSE,ISNUMBER(VALUE(Metadata!H312))),Metadata!H312&gt;0))</f>
        <v>0</v>
      </c>
      <c r="AI312">
        <f>AND(IF(Metadata!I312="",FALSE,TRUE),exact(Metadata!I312,"human"))</f>
        <v>0</v>
      </c>
      <c r="AJ312">
        <f>AND(IF(Metadata!J312="",FALSE,ISNUMBER(VALUE(Metadata!J312))),Metadata!J312&gt;0)</f>
        <v>0</v>
      </c>
      <c r="AK312">
        <f>AND(IF(Metadata!K312="",FALSE,TRUE),exact(Metadata!K312,"cm"))</f>
        <v>0</v>
      </c>
      <c r="AL312">
        <f>AND(IF(Metadata!L312="",FALSE,TRUE),exact(Metadata!L312,"Homo sapiens"))</f>
        <v>0</v>
      </c>
      <c r="AM312">
        <f>AND(IF(Metadata!M312="",FALSE,TRUE),exact(Metadata!M312,"9606"))</f>
        <v>0</v>
      </c>
      <c r="AN312">
        <f>AND(IF(Metadata!N312="",FALSE,ISNUMBER(VALUE(Metadata!N312))),Metadata!N312&gt;0)</f>
        <v>0</v>
      </c>
      <c r="AO312">
        <f>AND(IF(Metadata!O312="",FALSE,TRUE),exact(Metadata!O312,"kg"))</f>
        <v>0</v>
      </c>
      <c r="AP312">
        <f>OR(AND(IF(Metadata!P312="",FALSE,TRUE),exact(Metadata!P312,"not provided")),IF(Metadata!P312="",FALSE,TRUE))</f>
        <v>0</v>
      </c>
      <c r="AQ312">
        <f>OR(AND(IF(Metadata!Q312="",FALSE,TRUE),exact(Metadata!Q312,"not provided")),IF(Metadata!Q312="",FALSE,TRUE))</f>
        <v>0</v>
      </c>
    </row>
    <row r="313" spans="1:43">
      <c r="A313" s="4">
        <f>IF(B313=" "," ",HYPERLINK(CONCATENATE("#metadata!",ADDRESS(INDEX($W$2:$W$1001,MATCH(ROWS($U$2:U313),$U$2:$U$1001,0),0),2)),INDEX($Z$2:$Z$1001,MATCH(ROWS($U$2:U313),$U$2:$U$1001,0),0)))</f>
        <v>0</v>
      </c>
      <c r="B313" s="5">
        <f>IF(OR(INDEX($V$2:$V$1001,MATCH(ROWS($U$2:U313),$U$2:$U$1001,0),1)&gt;=100000,INDEX($AB$1005:$AQ$1005,1,MATCH(COLUMNS($AB$1006:AB1006),$AB$1006:$AQ$1006,0))&gt;=100000), " ",IF(INDEX($AB$2:$AQ$1001,MATCH(ROWS($U$2:U313),$U$2:$U$1001,0),MATCH(COLUMNS($AB$1006:AB1006),$AB$1006:$AQ$1006,0)), HYPERLINK("#",""), HYPERLINK(CONCATENATE("#Metadata!", ADDRESS(INDEX($W$2:$W$1001,MATCH(ROWS($U$2:U313),$U$2:$U$1001,0),0), INDEX($AB$1004:$AQ$1004,1,MATCH(COLUMNS($AB$1006:AB1006),$AB$1006:$AQ$1006,0)))),"Fix")))</f>
        <v>0</v>
      </c>
      <c r="C313" s="5">
        <f>IF(OR(INDEX($V$2:$V$1001,MATCH(ROWS($U$2:U313),$U$2:$U$1001,0),1)&gt;=100000,INDEX($AB$1005:$AQ$1005,1,MATCH(COLUMNS($AB$1006:AC1006),$AB$1006:$AQ$1006,0))&gt;=100000), " ",IF(INDEX($AB$2:$AQ$1001,MATCH(ROWS($U$2:U313),$U$2:$U$1001,0),MATCH(COLUMNS($AB$1006:AC1006),$AB$1006:$AQ$1006,0)), HYPERLINK("#",""), HYPERLINK(CONCATENATE("#Metadata!", ADDRESS(INDEX($W$2:$W$1001,MATCH(ROWS($U$2:U313),$U$2:$U$1001,0),0), INDEX($AB$1004:$AQ$1004,1,MATCH(COLUMNS($AB$1006:AC1006),$AB$1006:$AQ$1006,0)))),"Fix")))</f>
        <v>0</v>
      </c>
      <c r="D313" s="5">
        <f>IF(OR(INDEX($V$2:$V$1001,MATCH(ROWS($U$2:U313),$U$2:$U$1001,0),1)&gt;=100000,INDEX($AB$1005:$AQ$1005,1,MATCH(COLUMNS($AB$1006:AD1006),$AB$1006:$AQ$1006,0))&gt;=100000), " ",IF(INDEX($AB$2:$AQ$1001,MATCH(ROWS($U$2:U313),$U$2:$U$1001,0),MATCH(COLUMNS($AB$1006:AD1006),$AB$1006:$AQ$1006,0)), HYPERLINK("#",""), HYPERLINK(CONCATENATE("#Metadata!", ADDRESS(INDEX($W$2:$W$1001,MATCH(ROWS($U$2:U313),$U$2:$U$1001,0),0), INDEX($AB$1004:$AQ$1004,1,MATCH(COLUMNS($AB$1006:AD1006),$AB$1006:$AQ$1006,0)))),"Fix")))</f>
        <v>0</v>
      </c>
      <c r="E313" s="5">
        <f>IF(OR(INDEX($V$2:$V$1001,MATCH(ROWS($U$2:U313),$U$2:$U$1001,0),1)&gt;=100000,INDEX($AB$1005:$AQ$1005,1,MATCH(COLUMNS($AB$1006:AE1006),$AB$1006:$AQ$1006,0))&gt;=100000), " ",IF(INDEX($AB$2:$AQ$1001,MATCH(ROWS($U$2:U313),$U$2:$U$1001,0),MATCH(COLUMNS($AB$1006:AE1006),$AB$1006:$AQ$1006,0)), HYPERLINK("#",""), HYPERLINK(CONCATENATE("#Metadata!", ADDRESS(INDEX($W$2:$W$1001,MATCH(ROWS($U$2:U313),$U$2:$U$1001,0),0), INDEX($AB$1004:$AQ$1004,1,MATCH(COLUMNS($AB$1006:AE1006),$AB$1006:$AQ$1006,0)))),"Fix")))</f>
        <v>0</v>
      </c>
      <c r="F313" s="5">
        <f>IF(OR(INDEX($V$2:$V$1001,MATCH(ROWS($U$2:U313),$U$2:$U$1001,0),1)&gt;=100000,INDEX($AB$1005:$AQ$1005,1,MATCH(COLUMNS($AB$1006:AF1006),$AB$1006:$AQ$1006,0))&gt;=100000), " ",IF(INDEX($AB$2:$AQ$1001,MATCH(ROWS($U$2:U313),$U$2:$U$1001,0),MATCH(COLUMNS($AB$1006:AF1006),$AB$1006:$AQ$1006,0)), HYPERLINK("#",""), HYPERLINK(CONCATENATE("#Metadata!", ADDRESS(INDEX($W$2:$W$1001,MATCH(ROWS($U$2:U313),$U$2:$U$1001,0),0), INDEX($AB$1004:$AQ$1004,1,MATCH(COLUMNS($AB$1006:AF1006),$AB$1006:$AQ$1006,0)))),"Fix")))</f>
        <v>0</v>
      </c>
      <c r="G313" s="5">
        <f>IF(OR(INDEX($V$2:$V$1001,MATCH(ROWS($U$2:U313),$U$2:$U$1001,0),1)&gt;=100000,INDEX($AB$1005:$AQ$1005,1,MATCH(COLUMNS($AB$1006:AG1006),$AB$1006:$AQ$1006,0))&gt;=100000), " ",IF(INDEX($AB$2:$AQ$1001,MATCH(ROWS($U$2:U313),$U$2:$U$1001,0),MATCH(COLUMNS($AB$1006:AG1006),$AB$1006:$AQ$1006,0)), HYPERLINK("#",""), HYPERLINK(CONCATENATE("#Metadata!", ADDRESS(INDEX($W$2:$W$1001,MATCH(ROWS($U$2:U313),$U$2:$U$1001,0),0), INDEX($AB$1004:$AQ$1004,1,MATCH(COLUMNS($AB$1006:AG1006),$AB$1006:$AQ$1006,0)))),"Fix")))</f>
        <v>0</v>
      </c>
      <c r="H313" s="5">
        <f>IF(OR(INDEX($V$2:$V$1001,MATCH(ROWS($U$2:U313),$U$2:$U$1001,0),1)&gt;=100000,INDEX($AB$1005:$AQ$1005,1,MATCH(COLUMNS($AB$1006:AH1006),$AB$1006:$AQ$1006,0))&gt;=100000), " ",IF(INDEX($AB$2:$AQ$1001,MATCH(ROWS($U$2:U313),$U$2:$U$1001,0),MATCH(COLUMNS($AB$1006:AH1006),$AB$1006:$AQ$1006,0)), HYPERLINK("#",""), HYPERLINK(CONCATENATE("#Metadata!", ADDRESS(INDEX($W$2:$W$1001,MATCH(ROWS($U$2:U313),$U$2:$U$1001,0),0), INDEX($AB$1004:$AQ$1004,1,MATCH(COLUMNS($AB$1006:AH1006),$AB$1006:$AQ$1006,0)))),"Fix")))</f>
        <v>0</v>
      </c>
      <c r="I313" s="5">
        <f>IF(OR(INDEX($V$2:$V$1001,MATCH(ROWS($U$2:U313),$U$2:$U$1001,0),1)&gt;=100000,INDEX($AB$1005:$AQ$1005,1,MATCH(COLUMNS($AB$1006:AI1006),$AB$1006:$AQ$1006,0))&gt;=100000), " ",IF(INDEX($AB$2:$AQ$1001,MATCH(ROWS($U$2:U313),$U$2:$U$1001,0),MATCH(COLUMNS($AB$1006:AI1006),$AB$1006:$AQ$1006,0)), HYPERLINK("#",""), HYPERLINK(CONCATENATE("#Metadata!", ADDRESS(INDEX($W$2:$W$1001,MATCH(ROWS($U$2:U313),$U$2:$U$1001,0),0), INDEX($AB$1004:$AQ$1004,1,MATCH(COLUMNS($AB$1006:AI1006),$AB$1006:$AQ$1006,0)))),"Fix")))</f>
        <v>0</v>
      </c>
      <c r="J313" s="5">
        <f>IF(OR(INDEX($V$2:$V$1001,MATCH(ROWS($U$2:U313),$U$2:$U$1001,0),1)&gt;=100000,INDEX($AB$1005:$AQ$1005,1,MATCH(COLUMNS($AB$1006:AJ1006),$AB$1006:$AQ$1006,0))&gt;=100000), " ",IF(INDEX($AB$2:$AQ$1001,MATCH(ROWS($U$2:U313),$U$2:$U$1001,0),MATCH(COLUMNS($AB$1006:AJ1006),$AB$1006:$AQ$1006,0)), HYPERLINK("#",""), HYPERLINK(CONCATENATE("#Metadata!", ADDRESS(INDEX($W$2:$W$1001,MATCH(ROWS($U$2:U313),$U$2:$U$1001,0),0), INDEX($AB$1004:$AQ$1004,1,MATCH(COLUMNS($AB$1006:AJ1006),$AB$1006:$AQ$1006,0)))),"Fix")))</f>
        <v>0</v>
      </c>
      <c r="K313" s="5">
        <f>IF(OR(INDEX($V$2:$V$1001,MATCH(ROWS($U$2:U313),$U$2:$U$1001,0),1)&gt;=100000,INDEX($AB$1005:$AQ$1005,1,MATCH(COLUMNS($AB$1006:AK1006),$AB$1006:$AQ$1006,0))&gt;=100000), " ",IF(INDEX($AB$2:$AQ$1001,MATCH(ROWS($U$2:U313),$U$2:$U$1001,0),MATCH(COLUMNS($AB$1006:AK1006),$AB$1006:$AQ$1006,0)), HYPERLINK("#",""), HYPERLINK(CONCATENATE("#Metadata!", ADDRESS(INDEX($W$2:$W$1001,MATCH(ROWS($U$2:U313),$U$2:$U$1001,0),0), INDEX($AB$1004:$AQ$1004,1,MATCH(COLUMNS($AB$1006:AK1006),$AB$1006:$AQ$1006,0)))),"Fix")))</f>
        <v>0</v>
      </c>
      <c r="L313" s="5">
        <f>IF(OR(INDEX($V$2:$V$1001,MATCH(ROWS($U$2:U313),$U$2:$U$1001,0),1)&gt;=100000,INDEX($AB$1005:$AQ$1005,1,MATCH(COLUMNS($AB$1006:AL1006),$AB$1006:$AQ$1006,0))&gt;=100000), " ",IF(INDEX($AB$2:$AQ$1001,MATCH(ROWS($U$2:U313),$U$2:$U$1001,0),MATCH(COLUMNS($AB$1006:AL1006),$AB$1006:$AQ$1006,0)), HYPERLINK("#",""), HYPERLINK(CONCATENATE("#Metadata!", ADDRESS(INDEX($W$2:$W$1001,MATCH(ROWS($U$2:U313),$U$2:$U$1001,0),0), INDEX($AB$1004:$AQ$1004,1,MATCH(COLUMNS($AB$1006:AL1006),$AB$1006:$AQ$1006,0)))),"Fix")))</f>
        <v>0</v>
      </c>
      <c r="M313" s="5">
        <f>IF(OR(INDEX($V$2:$V$1001,MATCH(ROWS($U$2:U313),$U$2:$U$1001,0),1)&gt;=100000,INDEX($AB$1005:$AQ$1005,1,MATCH(COLUMNS($AB$1006:AM1006),$AB$1006:$AQ$1006,0))&gt;=100000), " ",IF(INDEX($AB$2:$AQ$1001,MATCH(ROWS($U$2:U313),$U$2:$U$1001,0),MATCH(COLUMNS($AB$1006:AM1006),$AB$1006:$AQ$1006,0)), HYPERLINK("#",""), HYPERLINK(CONCATENATE("#Metadata!", ADDRESS(INDEX($W$2:$W$1001,MATCH(ROWS($U$2:U313),$U$2:$U$1001,0),0), INDEX($AB$1004:$AQ$1004,1,MATCH(COLUMNS($AB$1006:AM1006),$AB$1006:$AQ$1006,0)))),"Fix")))</f>
        <v>0</v>
      </c>
      <c r="N313" s="5">
        <f>IF(OR(INDEX($V$2:$V$1001,MATCH(ROWS($U$2:U313),$U$2:$U$1001,0),1)&gt;=100000,INDEX($AB$1005:$AQ$1005,1,MATCH(COLUMNS($AB$1006:AN1006),$AB$1006:$AQ$1006,0))&gt;=100000), " ",IF(INDEX($AB$2:$AQ$1001,MATCH(ROWS($U$2:U313),$U$2:$U$1001,0),MATCH(COLUMNS($AB$1006:AN1006),$AB$1006:$AQ$1006,0)), HYPERLINK("#",""), HYPERLINK(CONCATENATE("#Metadata!", ADDRESS(INDEX($W$2:$W$1001,MATCH(ROWS($U$2:U313),$U$2:$U$1001,0),0), INDEX($AB$1004:$AQ$1004,1,MATCH(COLUMNS($AB$1006:AN1006),$AB$1006:$AQ$1006,0)))),"Fix")))</f>
        <v>0</v>
      </c>
      <c r="O313" s="5">
        <f>IF(OR(INDEX($V$2:$V$1001,MATCH(ROWS($U$2:U313),$U$2:$U$1001,0),1)&gt;=100000,INDEX($AB$1005:$AQ$1005,1,MATCH(COLUMNS($AB$1006:AO1006),$AB$1006:$AQ$1006,0))&gt;=100000), " ",IF(INDEX($AB$2:$AQ$1001,MATCH(ROWS($U$2:U313),$U$2:$U$1001,0),MATCH(COLUMNS($AB$1006:AO1006),$AB$1006:$AQ$1006,0)), HYPERLINK("#",""), HYPERLINK(CONCATENATE("#Metadata!", ADDRESS(INDEX($W$2:$W$1001,MATCH(ROWS($U$2:U313),$U$2:$U$1001,0),0), INDEX($AB$1004:$AQ$1004,1,MATCH(COLUMNS($AB$1006:AO1006),$AB$1006:$AQ$1006,0)))),"Fix")))</f>
        <v>0</v>
      </c>
      <c r="P313" s="5">
        <f>IF(OR(INDEX($V$2:$V$1001,MATCH(ROWS($U$2:U313),$U$2:$U$1001,0),1)&gt;=100000,INDEX($AB$1005:$AQ$1005,1,MATCH(COLUMNS($AB$1006:AP1006),$AB$1006:$AQ$1006,0))&gt;=100000), " ",IF(INDEX($AB$2:$AQ$1001,MATCH(ROWS($U$2:U313),$U$2:$U$1001,0),MATCH(COLUMNS($AB$1006:AP1006),$AB$1006:$AQ$1006,0)), HYPERLINK("#",""), HYPERLINK(CONCATENATE("#Metadata!", ADDRESS(INDEX($W$2:$W$1001,MATCH(ROWS($U$2:U313),$U$2:$U$1001,0),0), INDEX($AB$1004:$AQ$1004,1,MATCH(COLUMNS($AB$1006:AP1006),$AB$1006:$AQ$1006,0)))),"Fix")))</f>
        <v>0</v>
      </c>
      <c r="Q313" s="5">
        <f>IF(OR(INDEX($V$2:$V$1001,MATCH(ROWS($U$2:U313),$U$2:$U$1001,0),1)&gt;=100000,INDEX($AB$1005:$AQ$1005,1,MATCH(COLUMNS($AB$1006:AQ1006),$AB$1006:$AQ$1006,0))&gt;=100000), " ",IF(INDEX($AB$2:$AQ$1001,MATCH(ROWS($U$2:U313),$U$2:$U$1001,0),MATCH(COLUMNS($AB$1006:AQ1006),$AB$1006:$AQ$1006,0)), HYPERLINK("#",""), HYPERLINK(CONCATENATE("#Metadata!", ADDRESS(INDEX($W$2:$W$1001,MATCH(ROWS($U$2:U313),$U$2:$U$1001,0),0), INDEX($AB$1004:$AQ$1004,1,MATCH(COLUMNS($AB$1006:AQ1006),$AB$1006:$AQ$1006,0)))),"Fix")))</f>
        <v>0</v>
      </c>
      <c r="U313">
        <v>0</v>
      </c>
      <c r="V313">
        <v>0</v>
      </c>
      <c r="W313">
        <v>0</v>
      </c>
      <c r="X313">
        <f>IF(Y313,TRUE,AND(AB313:AQ313))</f>
        <v>0</v>
      </c>
      <c r="Y313">
        <f>COUNTBLANK(Metadata!B313:Q313)=COLUMNS(Metadata!B313:Q313)</f>
        <v>0</v>
      </c>
      <c r="Z313">
        <v>0</v>
      </c>
      <c r="AB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AC313">
        <f>AND(IF(Metadata!C313="",FALSE,TRUE),exact(Metadata!C313,"urban biome"))</f>
        <v>0</v>
      </c>
      <c r="AD313">
        <f>AND(IF(Metadata!D313="",FALSE,TRUE),exact(Metadata!D313,"human-associated habitat"))</f>
        <v>0</v>
      </c>
      <c r="AE313">
        <f>AND(IF(Metadata!E313="",FALSE,TRUE),OR(exact(Metadata!E313,"human-associated"),exact(Metadata!E313,"human-skin"),exact(Metadata!E313,"human-oral"),exact(Metadata!E313,"human-gut"),exact(Metadata!E313,"human-vaginal")))</f>
        <v>0</v>
      </c>
      <c r="AF313">
        <f>AND(IF(Metadata!F313="",FALSE,ISNUMBER(VALUE(Metadata!F313))),Metadata!F313&gt;0)</f>
        <v>0</v>
      </c>
      <c r="AG313">
        <f>AND(IF(Metadata!G313="",FALSE,TRUE),exact(Metadata!G313,"years"))</f>
        <v>0</v>
      </c>
      <c r="AH313">
        <f>OR(AND(IF(Metadata!H313="",FALSE,TRUE),OR(exact(Metadata!H313,"not applicable"),exact(Metadata!H313,"not collected"),exact(Metadata!H313,"not provided"),exact(Metadata!H313,"restricted access"))),AND(IF(Metadata!H313="",FALSE,ISNUMBER(VALUE(Metadata!H313))),Metadata!H313&gt;0))</f>
        <v>0</v>
      </c>
      <c r="AI313">
        <f>AND(IF(Metadata!I313="",FALSE,TRUE),exact(Metadata!I313,"human"))</f>
        <v>0</v>
      </c>
      <c r="AJ313">
        <f>AND(IF(Metadata!J313="",FALSE,ISNUMBER(VALUE(Metadata!J313))),Metadata!J313&gt;0)</f>
        <v>0</v>
      </c>
      <c r="AK313">
        <f>AND(IF(Metadata!K313="",FALSE,TRUE),exact(Metadata!K313,"cm"))</f>
        <v>0</v>
      </c>
      <c r="AL313">
        <f>AND(IF(Metadata!L313="",FALSE,TRUE),exact(Metadata!L313,"Homo sapiens"))</f>
        <v>0</v>
      </c>
      <c r="AM313">
        <f>AND(IF(Metadata!M313="",FALSE,TRUE),exact(Metadata!M313,"9606"))</f>
        <v>0</v>
      </c>
      <c r="AN313">
        <f>AND(IF(Metadata!N313="",FALSE,ISNUMBER(VALUE(Metadata!N313))),Metadata!N313&gt;0)</f>
        <v>0</v>
      </c>
      <c r="AO313">
        <f>AND(IF(Metadata!O313="",FALSE,TRUE),exact(Metadata!O313,"kg"))</f>
        <v>0</v>
      </c>
      <c r="AP313">
        <f>OR(AND(IF(Metadata!P313="",FALSE,TRUE),exact(Metadata!P313,"not provided")),IF(Metadata!P313="",FALSE,TRUE))</f>
        <v>0</v>
      </c>
      <c r="AQ313">
        <f>OR(AND(IF(Metadata!Q313="",FALSE,TRUE),exact(Metadata!Q313,"not provided")),IF(Metadata!Q313="",FALSE,TRUE))</f>
        <v>0</v>
      </c>
    </row>
    <row r="314" spans="1:43">
      <c r="A314" s="4">
        <f>IF(B314=" "," ",HYPERLINK(CONCATENATE("#metadata!",ADDRESS(INDEX($W$2:$W$1001,MATCH(ROWS($U$2:U314),$U$2:$U$1001,0),0),2)),INDEX($Z$2:$Z$1001,MATCH(ROWS($U$2:U314),$U$2:$U$1001,0),0)))</f>
        <v>0</v>
      </c>
      <c r="B314" s="5">
        <f>IF(OR(INDEX($V$2:$V$1001,MATCH(ROWS($U$2:U314),$U$2:$U$1001,0),1)&gt;=100000,INDEX($AB$1005:$AQ$1005,1,MATCH(COLUMNS($AB$1006:AB1006),$AB$1006:$AQ$1006,0))&gt;=100000), " ",IF(INDEX($AB$2:$AQ$1001,MATCH(ROWS($U$2:U314),$U$2:$U$1001,0),MATCH(COLUMNS($AB$1006:AB1006),$AB$1006:$AQ$1006,0)), HYPERLINK("#",""), HYPERLINK(CONCATENATE("#Metadata!", ADDRESS(INDEX($W$2:$W$1001,MATCH(ROWS($U$2:U314),$U$2:$U$1001,0),0), INDEX($AB$1004:$AQ$1004,1,MATCH(COLUMNS($AB$1006:AB1006),$AB$1006:$AQ$1006,0)))),"Fix")))</f>
        <v>0</v>
      </c>
      <c r="C314" s="5">
        <f>IF(OR(INDEX($V$2:$V$1001,MATCH(ROWS($U$2:U314),$U$2:$U$1001,0),1)&gt;=100000,INDEX($AB$1005:$AQ$1005,1,MATCH(COLUMNS($AB$1006:AC1006),$AB$1006:$AQ$1006,0))&gt;=100000), " ",IF(INDEX($AB$2:$AQ$1001,MATCH(ROWS($U$2:U314),$U$2:$U$1001,0),MATCH(COLUMNS($AB$1006:AC1006),$AB$1006:$AQ$1006,0)), HYPERLINK("#",""), HYPERLINK(CONCATENATE("#Metadata!", ADDRESS(INDEX($W$2:$W$1001,MATCH(ROWS($U$2:U314),$U$2:$U$1001,0),0), INDEX($AB$1004:$AQ$1004,1,MATCH(COLUMNS($AB$1006:AC1006),$AB$1006:$AQ$1006,0)))),"Fix")))</f>
        <v>0</v>
      </c>
      <c r="D314" s="5">
        <f>IF(OR(INDEX($V$2:$V$1001,MATCH(ROWS($U$2:U314),$U$2:$U$1001,0),1)&gt;=100000,INDEX($AB$1005:$AQ$1005,1,MATCH(COLUMNS($AB$1006:AD1006),$AB$1006:$AQ$1006,0))&gt;=100000), " ",IF(INDEX($AB$2:$AQ$1001,MATCH(ROWS($U$2:U314),$U$2:$U$1001,0),MATCH(COLUMNS($AB$1006:AD1006),$AB$1006:$AQ$1006,0)), HYPERLINK("#",""), HYPERLINK(CONCATENATE("#Metadata!", ADDRESS(INDEX($W$2:$W$1001,MATCH(ROWS($U$2:U314),$U$2:$U$1001,0),0), INDEX($AB$1004:$AQ$1004,1,MATCH(COLUMNS($AB$1006:AD1006),$AB$1006:$AQ$1006,0)))),"Fix")))</f>
        <v>0</v>
      </c>
      <c r="E314" s="5">
        <f>IF(OR(INDEX($V$2:$V$1001,MATCH(ROWS($U$2:U314),$U$2:$U$1001,0),1)&gt;=100000,INDEX($AB$1005:$AQ$1005,1,MATCH(COLUMNS($AB$1006:AE1006),$AB$1006:$AQ$1006,0))&gt;=100000), " ",IF(INDEX($AB$2:$AQ$1001,MATCH(ROWS($U$2:U314),$U$2:$U$1001,0),MATCH(COLUMNS($AB$1006:AE1006),$AB$1006:$AQ$1006,0)), HYPERLINK("#",""), HYPERLINK(CONCATENATE("#Metadata!", ADDRESS(INDEX($W$2:$W$1001,MATCH(ROWS($U$2:U314),$U$2:$U$1001,0),0), INDEX($AB$1004:$AQ$1004,1,MATCH(COLUMNS($AB$1006:AE1006),$AB$1006:$AQ$1006,0)))),"Fix")))</f>
        <v>0</v>
      </c>
      <c r="F314" s="5">
        <f>IF(OR(INDEX($V$2:$V$1001,MATCH(ROWS($U$2:U314),$U$2:$U$1001,0),1)&gt;=100000,INDEX($AB$1005:$AQ$1005,1,MATCH(COLUMNS($AB$1006:AF1006),$AB$1006:$AQ$1006,0))&gt;=100000), " ",IF(INDEX($AB$2:$AQ$1001,MATCH(ROWS($U$2:U314),$U$2:$U$1001,0),MATCH(COLUMNS($AB$1006:AF1006),$AB$1006:$AQ$1006,0)), HYPERLINK("#",""), HYPERLINK(CONCATENATE("#Metadata!", ADDRESS(INDEX($W$2:$W$1001,MATCH(ROWS($U$2:U314),$U$2:$U$1001,0),0), INDEX($AB$1004:$AQ$1004,1,MATCH(COLUMNS($AB$1006:AF1006),$AB$1006:$AQ$1006,0)))),"Fix")))</f>
        <v>0</v>
      </c>
      <c r="G314" s="5">
        <f>IF(OR(INDEX($V$2:$V$1001,MATCH(ROWS($U$2:U314),$U$2:$U$1001,0),1)&gt;=100000,INDEX($AB$1005:$AQ$1005,1,MATCH(COLUMNS($AB$1006:AG1006),$AB$1006:$AQ$1006,0))&gt;=100000), " ",IF(INDEX($AB$2:$AQ$1001,MATCH(ROWS($U$2:U314),$U$2:$U$1001,0),MATCH(COLUMNS($AB$1006:AG1006),$AB$1006:$AQ$1006,0)), HYPERLINK("#",""), HYPERLINK(CONCATENATE("#Metadata!", ADDRESS(INDEX($W$2:$W$1001,MATCH(ROWS($U$2:U314),$U$2:$U$1001,0),0), INDEX($AB$1004:$AQ$1004,1,MATCH(COLUMNS($AB$1006:AG1006),$AB$1006:$AQ$1006,0)))),"Fix")))</f>
        <v>0</v>
      </c>
      <c r="H314" s="5">
        <f>IF(OR(INDEX($V$2:$V$1001,MATCH(ROWS($U$2:U314),$U$2:$U$1001,0),1)&gt;=100000,INDEX($AB$1005:$AQ$1005,1,MATCH(COLUMNS($AB$1006:AH1006),$AB$1006:$AQ$1006,0))&gt;=100000), " ",IF(INDEX($AB$2:$AQ$1001,MATCH(ROWS($U$2:U314),$U$2:$U$1001,0),MATCH(COLUMNS($AB$1006:AH1006),$AB$1006:$AQ$1006,0)), HYPERLINK("#",""), HYPERLINK(CONCATENATE("#Metadata!", ADDRESS(INDEX($W$2:$W$1001,MATCH(ROWS($U$2:U314),$U$2:$U$1001,0),0), INDEX($AB$1004:$AQ$1004,1,MATCH(COLUMNS($AB$1006:AH1006),$AB$1006:$AQ$1006,0)))),"Fix")))</f>
        <v>0</v>
      </c>
      <c r="I314" s="5">
        <f>IF(OR(INDEX($V$2:$V$1001,MATCH(ROWS($U$2:U314),$U$2:$U$1001,0),1)&gt;=100000,INDEX($AB$1005:$AQ$1005,1,MATCH(COLUMNS($AB$1006:AI1006),$AB$1006:$AQ$1006,0))&gt;=100000), " ",IF(INDEX($AB$2:$AQ$1001,MATCH(ROWS($U$2:U314),$U$2:$U$1001,0),MATCH(COLUMNS($AB$1006:AI1006),$AB$1006:$AQ$1006,0)), HYPERLINK("#",""), HYPERLINK(CONCATENATE("#Metadata!", ADDRESS(INDEX($W$2:$W$1001,MATCH(ROWS($U$2:U314),$U$2:$U$1001,0),0), INDEX($AB$1004:$AQ$1004,1,MATCH(COLUMNS($AB$1006:AI1006),$AB$1006:$AQ$1006,0)))),"Fix")))</f>
        <v>0</v>
      </c>
      <c r="J314" s="5">
        <f>IF(OR(INDEX($V$2:$V$1001,MATCH(ROWS($U$2:U314),$U$2:$U$1001,0),1)&gt;=100000,INDEX($AB$1005:$AQ$1005,1,MATCH(COLUMNS($AB$1006:AJ1006),$AB$1006:$AQ$1006,0))&gt;=100000), " ",IF(INDEX($AB$2:$AQ$1001,MATCH(ROWS($U$2:U314),$U$2:$U$1001,0),MATCH(COLUMNS($AB$1006:AJ1006),$AB$1006:$AQ$1006,0)), HYPERLINK("#",""), HYPERLINK(CONCATENATE("#Metadata!", ADDRESS(INDEX($W$2:$W$1001,MATCH(ROWS($U$2:U314),$U$2:$U$1001,0),0), INDEX($AB$1004:$AQ$1004,1,MATCH(COLUMNS($AB$1006:AJ1006),$AB$1006:$AQ$1006,0)))),"Fix")))</f>
        <v>0</v>
      </c>
      <c r="K314" s="5">
        <f>IF(OR(INDEX($V$2:$V$1001,MATCH(ROWS($U$2:U314),$U$2:$U$1001,0),1)&gt;=100000,INDEX($AB$1005:$AQ$1005,1,MATCH(COLUMNS($AB$1006:AK1006),$AB$1006:$AQ$1006,0))&gt;=100000), " ",IF(INDEX($AB$2:$AQ$1001,MATCH(ROWS($U$2:U314),$U$2:$U$1001,0),MATCH(COLUMNS($AB$1006:AK1006),$AB$1006:$AQ$1006,0)), HYPERLINK("#",""), HYPERLINK(CONCATENATE("#Metadata!", ADDRESS(INDEX($W$2:$W$1001,MATCH(ROWS($U$2:U314),$U$2:$U$1001,0),0), INDEX($AB$1004:$AQ$1004,1,MATCH(COLUMNS($AB$1006:AK1006),$AB$1006:$AQ$1006,0)))),"Fix")))</f>
        <v>0</v>
      </c>
      <c r="L314" s="5">
        <f>IF(OR(INDEX($V$2:$V$1001,MATCH(ROWS($U$2:U314),$U$2:$U$1001,0),1)&gt;=100000,INDEX($AB$1005:$AQ$1005,1,MATCH(COLUMNS($AB$1006:AL1006),$AB$1006:$AQ$1006,0))&gt;=100000), " ",IF(INDEX($AB$2:$AQ$1001,MATCH(ROWS($U$2:U314),$U$2:$U$1001,0),MATCH(COLUMNS($AB$1006:AL1006),$AB$1006:$AQ$1006,0)), HYPERLINK("#",""), HYPERLINK(CONCATENATE("#Metadata!", ADDRESS(INDEX($W$2:$W$1001,MATCH(ROWS($U$2:U314),$U$2:$U$1001,0),0), INDEX($AB$1004:$AQ$1004,1,MATCH(COLUMNS($AB$1006:AL1006),$AB$1006:$AQ$1006,0)))),"Fix")))</f>
        <v>0</v>
      </c>
      <c r="M314" s="5">
        <f>IF(OR(INDEX($V$2:$V$1001,MATCH(ROWS($U$2:U314),$U$2:$U$1001,0),1)&gt;=100000,INDEX($AB$1005:$AQ$1005,1,MATCH(COLUMNS($AB$1006:AM1006),$AB$1006:$AQ$1006,0))&gt;=100000), " ",IF(INDEX($AB$2:$AQ$1001,MATCH(ROWS($U$2:U314),$U$2:$U$1001,0),MATCH(COLUMNS($AB$1006:AM1006),$AB$1006:$AQ$1006,0)), HYPERLINK("#",""), HYPERLINK(CONCATENATE("#Metadata!", ADDRESS(INDEX($W$2:$W$1001,MATCH(ROWS($U$2:U314),$U$2:$U$1001,0),0), INDEX($AB$1004:$AQ$1004,1,MATCH(COLUMNS($AB$1006:AM1006),$AB$1006:$AQ$1006,0)))),"Fix")))</f>
        <v>0</v>
      </c>
      <c r="N314" s="5">
        <f>IF(OR(INDEX($V$2:$V$1001,MATCH(ROWS($U$2:U314),$U$2:$U$1001,0),1)&gt;=100000,INDEX($AB$1005:$AQ$1005,1,MATCH(COLUMNS($AB$1006:AN1006),$AB$1006:$AQ$1006,0))&gt;=100000), " ",IF(INDEX($AB$2:$AQ$1001,MATCH(ROWS($U$2:U314),$U$2:$U$1001,0),MATCH(COLUMNS($AB$1006:AN1006),$AB$1006:$AQ$1006,0)), HYPERLINK("#",""), HYPERLINK(CONCATENATE("#Metadata!", ADDRESS(INDEX($W$2:$W$1001,MATCH(ROWS($U$2:U314),$U$2:$U$1001,0),0), INDEX($AB$1004:$AQ$1004,1,MATCH(COLUMNS($AB$1006:AN1006),$AB$1006:$AQ$1006,0)))),"Fix")))</f>
        <v>0</v>
      </c>
      <c r="O314" s="5">
        <f>IF(OR(INDEX($V$2:$V$1001,MATCH(ROWS($U$2:U314),$U$2:$U$1001,0),1)&gt;=100000,INDEX($AB$1005:$AQ$1005,1,MATCH(COLUMNS($AB$1006:AO1006),$AB$1006:$AQ$1006,0))&gt;=100000), " ",IF(INDEX($AB$2:$AQ$1001,MATCH(ROWS($U$2:U314),$U$2:$U$1001,0),MATCH(COLUMNS($AB$1006:AO1006),$AB$1006:$AQ$1006,0)), HYPERLINK("#",""), HYPERLINK(CONCATENATE("#Metadata!", ADDRESS(INDEX($W$2:$W$1001,MATCH(ROWS($U$2:U314),$U$2:$U$1001,0),0), INDEX($AB$1004:$AQ$1004,1,MATCH(COLUMNS($AB$1006:AO1006),$AB$1006:$AQ$1006,0)))),"Fix")))</f>
        <v>0</v>
      </c>
      <c r="P314" s="5">
        <f>IF(OR(INDEX($V$2:$V$1001,MATCH(ROWS($U$2:U314),$U$2:$U$1001,0),1)&gt;=100000,INDEX($AB$1005:$AQ$1005,1,MATCH(COLUMNS($AB$1006:AP1006),$AB$1006:$AQ$1006,0))&gt;=100000), " ",IF(INDEX($AB$2:$AQ$1001,MATCH(ROWS($U$2:U314),$U$2:$U$1001,0),MATCH(COLUMNS($AB$1006:AP1006),$AB$1006:$AQ$1006,0)), HYPERLINK("#",""), HYPERLINK(CONCATENATE("#Metadata!", ADDRESS(INDEX($W$2:$W$1001,MATCH(ROWS($U$2:U314),$U$2:$U$1001,0),0), INDEX($AB$1004:$AQ$1004,1,MATCH(COLUMNS($AB$1006:AP1006),$AB$1006:$AQ$1006,0)))),"Fix")))</f>
        <v>0</v>
      </c>
      <c r="Q314" s="5">
        <f>IF(OR(INDEX($V$2:$V$1001,MATCH(ROWS($U$2:U314),$U$2:$U$1001,0),1)&gt;=100000,INDEX($AB$1005:$AQ$1005,1,MATCH(COLUMNS($AB$1006:AQ1006),$AB$1006:$AQ$1006,0))&gt;=100000), " ",IF(INDEX($AB$2:$AQ$1001,MATCH(ROWS($U$2:U314),$U$2:$U$1001,0),MATCH(COLUMNS($AB$1006:AQ1006),$AB$1006:$AQ$1006,0)), HYPERLINK("#",""), HYPERLINK(CONCATENATE("#Metadata!", ADDRESS(INDEX($W$2:$W$1001,MATCH(ROWS($U$2:U314),$U$2:$U$1001,0),0), INDEX($AB$1004:$AQ$1004,1,MATCH(COLUMNS($AB$1006:AQ1006),$AB$1006:$AQ$1006,0)))),"Fix")))</f>
        <v>0</v>
      </c>
      <c r="U314">
        <v>0</v>
      </c>
      <c r="V314">
        <v>0</v>
      </c>
      <c r="W314">
        <v>0</v>
      </c>
      <c r="X314">
        <f>IF(Y314,TRUE,AND(AB314:AQ314))</f>
        <v>0</v>
      </c>
      <c r="Y314">
        <f>COUNTBLANK(Metadata!B314:Q314)=COLUMNS(Metadata!B314:Q314)</f>
        <v>0</v>
      </c>
      <c r="Z314">
        <v>0</v>
      </c>
      <c r="AB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AC314">
        <f>AND(IF(Metadata!C314="",FALSE,TRUE),exact(Metadata!C314,"urban biome"))</f>
        <v>0</v>
      </c>
      <c r="AD314">
        <f>AND(IF(Metadata!D314="",FALSE,TRUE),exact(Metadata!D314,"human-associated habitat"))</f>
        <v>0</v>
      </c>
      <c r="AE314">
        <f>AND(IF(Metadata!E314="",FALSE,TRUE),OR(exact(Metadata!E314,"human-associated"),exact(Metadata!E314,"human-skin"),exact(Metadata!E314,"human-oral"),exact(Metadata!E314,"human-gut"),exact(Metadata!E314,"human-vaginal")))</f>
        <v>0</v>
      </c>
      <c r="AF314">
        <f>AND(IF(Metadata!F314="",FALSE,ISNUMBER(VALUE(Metadata!F314))),Metadata!F314&gt;0)</f>
        <v>0</v>
      </c>
      <c r="AG314">
        <f>AND(IF(Metadata!G314="",FALSE,TRUE),exact(Metadata!G314,"years"))</f>
        <v>0</v>
      </c>
      <c r="AH314">
        <f>OR(AND(IF(Metadata!H314="",FALSE,TRUE),OR(exact(Metadata!H314,"not applicable"),exact(Metadata!H314,"not collected"),exact(Metadata!H314,"not provided"),exact(Metadata!H314,"restricted access"))),AND(IF(Metadata!H314="",FALSE,ISNUMBER(VALUE(Metadata!H314))),Metadata!H314&gt;0))</f>
        <v>0</v>
      </c>
      <c r="AI314">
        <f>AND(IF(Metadata!I314="",FALSE,TRUE),exact(Metadata!I314,"human"))</f>
        <v>0</v>
      </c>
      <c r="AJ314">
        <f>AND(IF(Metadata!J314="",FALSE,ISNUMBER(VALUE(Metadata!J314))),Metadata!J314&gt;0)</f>
        <v>0</v>
      </c>
      <c r="AK314">
        <f>AND(IF(Metadata!K314="",FALSE,TRUE),exact(Metadata!K314,"cm"))</f>
        <v>0</v>
      </c>
      <c r="AL314">
        <f>AND(IF(Metadata!L314="",FALSE,TRUE),exact(Metadata!L314,"Homo sapiens"))</f>
        <v>0</v>
      </c>
      <c r="AM314">
        <f>AND(IF(Metadata!M314="",FALSE,TRUE),exact(Metadata!M314,"9606"))</f>
        <v>0</v>
      </c>
      <c r="AN314">
        <f>AND(IF(Metadata!N314="",FALSE,ISNUMBER(VALUE(Metadata!N314))),Metadata!N314&gt;0)</f>
        <v>0</v>
      </c>
      <c r="AO314">
        <f>AND(IF(Metadata!O314="",FALSE,TRUE),exact(Metadata!O314,"kg"))</f>
        <v>0</v>
      </c>
      <c r="AP314">
        <f>OR(AND(IF(Metadata!P314="",FALSE,TRUE),exact(Metadata!P314,"not provided")),IF(Metadata!P314="",FALSE,TRUE))</f>
        <v>0</v>
      </c>
      <c r="AQ314">
        <f>OR(AND(IF(Metadata!Q314="",FALSE,TRUE),exact(Metadata!Q314,"not provided")),IF(Metadata!Q314="",FALSE,TRUE))</f>
        <v>0</v>
      </c>
    </row>
    <row r="315" spans="1:43">
      <c r="A315" s="4">
        <f>IF(B315=" "," ",HYPERLINK(CONCATENATE("#metadata!",ADDRESS(INDEX($W$2:$W$1001,MATCH(ROWS($U$2:U315),$U$2:$U$1001,0),0),2)),INDEX($Z$2:$Z$1001,MATCH(ROWS($U$2:U315),$U$2:$U$1001,0),0)))</f>
        <v>0</v>
      </c>
      <c r="B315" s="5">
        <f>IF(OR(INDEX($V$2:$V$1001,MATCH(ROWS($U$2:U315),$U$2:$U$1001,0),1)&gt;=100000,INDEX($AB$1005:$AQ$1005,1,MATCH(COLUMNS($AB$1006:AB1006),$AB$1006:$AQ$1006,0))&gt;=100000), " ",IF(INDEX($AB$2:$AQ$1001,MATCH(ROWS($U$2:U315),$U$2:$U$1001,0),MATCH(COLUMNS($AB$1006:AB1006),$AB$1006:$AQ$1006,0)), HYPERLINK("#",""), HYPERLINK(CONCATENATE("#Metadata!", ADDRESS(INDEX($W$2:$W$1001,MATCH(ROWS($U$2:U315),$U$2:$U$1001,0),0), INDEX($AB$1004:$AQ$1004,1,MATCH(COLUMNS($AB$1006:AB1006),$AB$1006:$AQ$1006,0)))),"Fix")))</f>
        <v>0</v>
      </c>
      <c r="C315" s="5">
        <f>IF(OR(INDEX($V$2:$V$1001,MATCH(ROWS($U$2:U315),$U$2:$U$1001,0),1)&gt;=100000,INDEX($AB$1005:$AQ$1005,1,MATCH(COLUMNS($AB$1006:AC1006),$AB$1006:$AQ$1006,0))&gt;=100000), " ",IF(INDEX($AB$2:$AQ$1001,MATCH(ROWS($U$2:U315),$U$2:$U$1001,0),MATCH(COLUMNS($AB$1006:AC1006),$AB$1006:$AQ$1006,0)), HYPERLINK("#",""), HYPERLINK(CONCATENATE("#Metadata!", ADDRESS(INDEX($W$2:$W$1001,MATCH(ROWS($U$2:U315),$U$2:$U$1001,0),0), INDEX($AB$1004:$AQ$1004,1,MATCH(COLUMNS($AB$1006:AC1006),$AB$1006:$AQ$1006,0)))),"Fix")))</f>
        <v>0</v>
      </c>
      <c r="D315" s="5">
        <f>IF(OR(INDEX($V$2:$V$1001,MATCH(ROWS($U$2:U315),$U$2:$U$1001,0),1)&gt;=100000,INDEX($AB$1005:$AQ$1005,1,MATCH(COLUMNS($AB$1006:AD1006),$AB$1006:$AQ$1006,0))&gt;=100000), " ",IF(INDEX($AB$2:$AQ$1001,MATCH(ROWS($U$2:U315),$U$2:$U$1001,0),MATCH(COLUMNS($AB$1006:AD1006),$AB$1006:$AQ$1006,0)), HYPERLINK("#",""), HYPERLINK(CONCATENATE("#Metadata!", ADDRESS(INDEX($W$2:$W$1001,MATCH(ROWS($U$2:U315),$U$2:$U$1001,0),0), INDEX($AB$1004:$AQ$1004,1,MATCH(COLUMNS($AB$1006:AD1006),$AB$1006:$AQ$1006,0)))),"Fix")))</f>
        <v>0</v>
      </c>
      <c r="E315" s="5">
        <f>IF(OR(INDEX($V$2:$V$1001,MATCH(ROWS($U$2:U315),$U$2:$U$1001,0),1)&gt;=100000,INDEX($AB$1005:$AQ$1005,1,MATCH(COLUMNS($AB$1006:AE1006),$AB$1006:$AQ$1006,0))&gt;=100000), " ",IF(INDEX($AB$2:$AQ$1001,MATCH(ROWS($U$2:U315),$U$2:$U$1001,0),MATCH(COLUMNS($AB$1006:AE1006),$AB$1006:$AQ$1006,0)), HYPERLINK("#",""), HYPERLINK(CONCATENATE("#Metadata!", ADDRESS(INDEX($W$2:$W$1001,MATCH(ROWS($U$2:U315),$U$2:$U$1001,0),0), INDEX($AB$1004:$AQ$1004,1,MATCH(COLUMNS($AB$1006:AE1006),$AB$1006:$AQ$1006,0)))),"Fix")))</f>
        <v>0</v>
      </c>
      <c r="F315" s="5">
        <f>IF(OR(INDEX($V$2:$V$1001,MATCH(ROWS($U$2:U315),$U$2:$U$1001,0),1)&gt;=100000,INDEX($AB$1005:$AQ$1005,1,MATCH(COLUMNS($AB$1006:AF1006),$AB$1006:$AQ$1006,0))&gt;=100000), " ",IF(INDEX($AB$2:$AQ$1001,MATCH(ROWS($U$2:U315),$U$2:$U$1001,0),MATCH(COLUMNS($AB$1006:AF1006),$AB$1006:$AQ$1006,0)), HYPERLINK("#",""), HYPERLINK(CONCATENATE("#Metadata!", ADDRESS(INDEX($W$2:$W$1001,MATCH(ROWS($U$2:U315),$U$2:$U$1001,0),0), INDEX($AB$1004:$AQ$1004,1,MATCH(COLUMNS($AB$1006:AF1006),$AB$1006:$AQ$1006,0)))),"Fix")))</f>
        <v>0</v>
      </c>
      <c r="G315" s="5">
        <f>IF(OR(INDEX($V$2:$V$1001,MATCH(ROWS($U$2:U315),$U$2:$U$1001,0),1)&gt;=100000,INDEX($AB$1005:$AQ$1005,1,MATCH(COLUMNS($AB$1006:AG1006),$AB$1006:$AQ$1006,0))&gt;=100000), " ",IF(INDEX($AB$2:$AQ$1001,MATCH(ROWS($U$2:U315),$U$2:$U$1001,0),MATCH(COLUMNS($AB$1006:AG1006),$AB$1006:$AQ$1006,0)), HYPERLINK("#",""), HYPERLINK(CONCATENATE("#Metadata!", ADDRESS(INDEX($W$2:$W$1001,MATCH(ROWS($U$2:U315),$U$2:$U$1001,0),0), INDEX($AB$1004:$AQ$1004,1,MATCH(COLUMNS($AB$1006:AG1006),$AB$1006:$AQ$1006,0)))),"Fix")))</f>
        <v>0</v>
      </c>
      <c r="H315" s="5">
        <f>IF(OR(INDEX($V$2:$V$1001,MATCH(ROWS($U$2:U315),$U$2:$U$1001,0),1)&gt;=100000,INDEX($AB$1005:$AQ$1005,1,MATCH(COLUMNS($AB$1006:AH1006),$AB$1006:$AQ$1006,0))&gt;=100000), " ",IF(INDEX($AB$2:$AQ$1001,MATCH(ROWS($U$2:U315),$U$2:$U$1001,0),MATCH(COLUMNS($AB$1006:AH1006),$AB$1006:$AQ$1006,0)), HYPERLINK("#",""), HYPERLINK(CONCATENATE("#Metadata!", ADDRESS(INDEX($W$2:$W$1001,MATCH(ROWS($U$2:U315),$U$2:$U$1001,0),0), INDEX($AB$1004:$AQ$1004,1,MATCH(COLUMNS($AB$1006:AH1006),$AB$1006:$AQ$1006,0)))),"Fix")))</f>
        <v>0</v>
      </c>
      <c r="I315" s="5">
        <f>IF(OR(INDEX($V$2:$V$1001,MATCH(ROWS($U$2:U315),$U$2:$U$1001,0),1)&gt;=100000,INDEX($AB$1005:$AQ$1005,1,MATCH(COLUMNS($AB$1006:AI1006),$AB$1006:$AQ$1006,0))&gt;=100000), " ",IF(INDEX($AB$2:$AQ$1001,MATCH(ROWS($U$2:U315),$U$2:$U$1001,0),MATCH(COLUMNS($AB$1006:AI1006),$AB$1006:$AQ$1006,0)), HYPERLINK("#",""), HYPERLINK(CONCATENATE("#Metadata!", ADDRESS(INDEX($W$2:$W$1001,MATCH(ROWS($U$2:U315),$U$2:$U$1001,0),0), INDEX($AB$1004:$AQ$1004,1,MATCH(COLUMNS($AB$1006:AI1006),$AB$1006:$AQ$1006,0)))),"Fix")))</f>
        <v>0</v>
      </c>
      <c r="J315" s="5">
        <f>IF(OR(INDEX($V$2:$V$1001,MATCH(ROWS($U$2:U315),$U$2:$U$1001,0),1)&gt;=100000,INDEX($AB$1005:$AQ$1005,1,MATCH(COLUMNS($AB$1006:AJ1006),$AB$1006:$AQ$1006,0))&gt;=100000), " ",IF(INDEX($AB$2:$AQ$1001,MATCH(ROWS($U$2:U315),$U$2:$U$1001,0),MATCH(COLUMNS($AB$1006:AJ1006),$AB$1006:$AQ$1006,0)), HYPERLINK("#",""), HYPERLINK(CONCATENATE("#Metadata!", ADDRESS(INDEX($W$2:$W$1001,MATCH(ROWS($U$2:U315),$U$2:$U$1001,0),0), INDEX($AB$1004:$AQ$1004,1,MATCH(COLUMNS($AB$1006:AJ1006),$AB$1006:$AQ$1006,0)))),"Fix")))</f>
        <v>0</v>
      </c>
      <c r="K315" s="5">
        <f>IF(OR(INDEX($V$2:$V$1001,MATCH(ROWS($U$2:U315),$U$2:$U$1001,0),1)&gt;=100000,INDEX($AB$1005:$AQ$1005,1,MATCH(COLUMNS($AB$1006:AK1006),$AB$1006:$AQ$1006,0))&gt;=100000), " ",IF(INDEX($AB$2:$AQ$1001,MATCH(ROWS($U$2:U315),$U$2:$U$1001,0),MATCH(COLUMNS($AB$1006:AK1006),$AB$1006:$AQ$1006,0)), HYPERLINK("#",""), HYPERLINK(CONCATENATE("#Metadata!", ADDRESS(INDEX($W$2:$W$1001,MATCH(ROWS($U$2:U315),$U$2:$U$1001,0),0), INDEX($AB$1004:$AQ$1004,1,MATCH(COLUMNS($AB$1006:AK1006),$AB$1006:$AQ$1006,0)))),"Fix")))</f>
        <v>0</v>
      </c>
      <c r="L315" s="5">
        <f>IF(OR(INDEX($V$2:$V$1001,MATCH(ROWS($U$2:U315),$U$2:$U$1001,0),1)&gt;=100000,INDEX($AB$1005:$AQ$1005,1,MATCH(COLUMNS($AB$1006:AL1006),$AB$1006:$AQ$1006,0))&gt;=100000), " ",IF(INDEX($AB$2:$AQ$1001,MATCH(ROWS($U$2:U315),$U$2:$U$1001,0),MATCH(COLUMNS($AB$1006:AL1006),$AB$1006:$AQ$1006,0)), HYPERLINK("#",""), HYPERLINK(CONCATENATE("#Metadata!", ADDRESS(INDEX($W$2:$W$1001,MATCH(ROWS($U$2:U315),$U$2:$U$1001,0),0), INDEX($AB$1004:$AQ$1004,1,MATCH(COLUMNS($AB$1006:AL1006),$AB$1006:$AQ$1006,0)))),"Fix")))</f>
        <v>0</v>
      </c>
      <c r="M315" s="5">
        <f>IF(OR(INDEX($V$2:$V$1001,MATCH(ROWS($U$2:U315),$U$2:$U$1001,0),1)&gt;=100000,INDEX($AB$1005:$AQ$1005,1,MATCH(COLUMNS($AB$1006:AM1006),$AB$1006:$AQ$1006,0))&gt;=100000), " ",IF(INDEX($AB$2:$AQ$1001,MATCH(ROWS($U$2:U315),$U$2:$U$1001,0),MATCH(COLUMNS($AB$1006:AM1006),$AB$1006:$AQ$1006,0)), HYPERLINK("#",""), HYPERLINK(CONCATENATE("#Metadata!", ADDRESS(INDEX($W$2:$W$1001,MATCH(ROWS($U$2:U315),$U$2:$U$1001,0),0), INDEX($AB$1004:$AQ$1004,1,MATCH(COLUMNS($AB$1006:AM1006),$AB$1006:$AQ$1006,0)))),"Fix")))</f>
        <v>0</v>
      </c>
      <c r="N315" s="5">
        <f>IF(OR(INDEX($V$2:$V$1001,MATCH(ROWS($U$2:U315),$U$2:$U$1001,0),1)&gt;=100000,INDEX($AB$1005:$AQ$1005,1,MATCH(COLUMNS($AB$1006:AN1006),$AB$1006:$AQ$1006,0))&gt;=100000), " ",IF(INDEX($AB$2:$AQ$1001,MATCH(ROWS($U$2:U315),$U$2:$U$1001,0),MATCH(COLUMNS($AB$1006:AN1006),$AB$1006:$AQ$1006,0)), HYPERLINK("#",""), HYPERLINK(CONCATENATE("#Metadata!", ADDRESS(INDEX($W$2:$W$1001,MATCH(ROWS($U$2:U315),$U$2:$U$1001,0),0), INDEX($AB$1004:$AQ$1004,1,MATCH(COLUMNS($AB$1006:AN1006),$AB$1006:$AQ$1006,0)))),"Fix")))</f>
        <v>0</v>
      </c>
      <c r="O315" s="5">
        <f>IF(OR(INDEX($V$2:$V$1001,MATCH(ROWS($U$2:U315),$U$2:$U$1001,0),1)&gt;=100000,INDEX($AB$1005:$AQ$1005,1,MATCH(COLUMNS($AB$1006:AO1006),$AB$1006:$AQ$1006,0))&gt;=100000), " ",IF(INDEX($AB$2:$AQ$1001,MATCH(ROWS($U$2:U315),$U$2:$U$1001,0),MATCH(COLUMNS($AB$1006:AO1006),$AB$1006:$AQ$1006,0)), HYPERLINK("#",""), HYPERLINK(CONCATENATE("#Metadata!", ADDRESS(INDEX($W$2:$W$1001,MATCH(ROWS($U$2:U315),$U$2:$U$1001,0),0), INDEX($AB$1004:$AQ$1004,1,MATCH(COLUMNS($AB$1006:AO1006),$AB$1006:$AQ$1006,0)))),"Fix")))</f>
        <v>0</v>
      </c>
      <c r="P315" s="5">
        <f>IF(OR(INDEX($V$2:$V$1001,MATCH(ROWS($U$2:U315),$U$2:$U$1001,0),1)&gt;=100000,INDEX($AB$1005:$AQ$1005,1,MATCH(COLUMNS($AB$1006:AP1006),$AB$1006:$AQ$1006,0))&gt;=100000), " ",IF(INDEX($AB$2:$AQ$1001,MATCH(ROWS($U$2:U315),$U$2:$U$1001,0),MATCH(COLUMNS($AB$1006:AP1006),$AB$1006:$AQ$1006,0)), HYPERLINK("#",""), HYPERLINK(CONCATENATE("#Metadata!", ADDRESS(INDEX($W$2:$W$1001,MATCH(ROWS($U$2:U315),$U$2:$U$1001,0),0), INDEX($AB$1004:$AQ$1004,1,MATCH(COLUMNS($AB$1006:AP1006),$AB$1006:$AQ$1006,0)))),"Fix")))</f>
        <v>0</v>
      </c>
      <c r="Q315" s="5">
        <f>IF(OR(INDEX($V$2:$V$1001,MATCH(ROWS($U$2:U315),$U$2:$U$1001,0),1)&gt;=100000,INDEX($AB$1005:$AQ$1005,1,MATCH(COLUMNS($AB$1006:AQ1006),$AB$1006:$AQ$1006,0))&gt;=100000), " ",IF(INDEX($AB$2:$AQ$1001,MATCH(ROWS($U$2:U315),$U$2:$U$1001,0),MATCH(COLUMNS($AB$1006:AQ1006),$AB$1006:$AQ$1006,0)), HYPERLINK("#",""), HYPERLINK(CONCATENATE("#Metadata!", ADDRESS(INDEX($W$2:$W$1001,MATCH(ROWS($U$2:U315),$U$2:$U$1001,0),0), INDEX($AB$1004:$AQ$1004,1,MATCH(COLUMNS($AB$1006:AQ1006),$AB$1006:$AQ$1006,0)))),"Fix")))</f>
        <v>0</v>
      </c>
      <c r="U315">
        <v>0</v>
      </c>
      <c r="V315">
        <v>0</v>
      </c>
      <c r="W315">
        <v>0</v>
      </c>
      <c r="X315">
        <f>IF(Y315,TRUE,AND(AB315:AQ315))</f>
        <v>0</v>
      </c>
      <c r="Y315">
        <f>COUNTBLANK(Metadata!B315:Q315)=COLUMNS(Metadata!B315:Q315)</f>
        <v>0</v>
      </c>
      <c r="Z315">
        <v>0</v>
      </c>
      <c r="AB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AC315">
        <f>AND(IF(Metadata!C315="",FALSE,TRUE),exact(Metadata!C315,"urban biome"))</f>
        <v>0</v>
      </c>
      <c r="AD315">
        <f>AND(IF(Metadata!D315="",FALSE,TRUE),exact(Metadata!D315,"human-associated habitat"))</f>
        <v>0</v>
      </c>
      <c r="AE315">
        <f>AND(IF(Metadata!E315="",FALSE,TRUE),OR(exact(Metadata!E315,"human-associated"),exact(Metadata!E315,"human-skin"),exact(Metadata!E315,"human-oral"),exact(Metadata!E315,"human-gut"),exact(Metadata!E315,"human-vaginal")))</f>
        <v>0</v>
      </c>
      <c r="AF315">
        <f>AND(IF(Metadata!F315="",FALSE,ISNUMBER(VALUE(Metadata!F315))),Metadata!F315&gt;0)</f>
        <v>0</v>
      </c>
      <c r="AG315">
        <f>AND(IF(Metadata!G315="",FALSE,TRUE),exact(Metadata!G315,"years"))</f>
        <v>0</v>
      </c>
      <c r="AH315">
        <f>OR(AND(IF(Metadata!H315="",FALSE,TRUE),OR(exact(Metadata!H315,"not applicable"),exact(Metadata!H315,"not collected"),exact(Metadata!H315,"not provided"),exact(Metadata!H315,"restricted access"))),AND(IF(Metadata!H315="",FALSE,ISNUMBER(VALUE(Metadata!H315))),Metadata!H315&gt;0))</f>
        <v>0</v>
      </c>
      <c r="AI315">
        <f>AND(IF(Metadata!I315="",FALSE,TRUE),exact(Metadata!I315,"human"))</f>
        <v>0</v>
      </c>
      <c r="AJ315">
        <f>AND(IF(Metadata!J315="",FALSE,ISNUMBER(VALUE(Metadata!J315))),Metadata!J315&gt;0)</f>
        <v>0</v>
      </c>
      <c r="AK315">
        <f>AND(IF(Metadata!K315="",FALSE,TRUE),exact(Metadata!K315,"cm"))</f>
        <v>0</v>
      </c>
      <c r="AL315">
        <f>AND(IF(Metadata!L315="",FALSE,TRUE),exact(Metadata!L315,"Homo sapiens"))</f>
        <v>0</v>
      </c>
      <c r="AM315">
        <f>AND(IF(Metadata!M315="",FALSE,TRUE),exact(Metadata!M315,"9606"))</f>
        <v>0</v>
      </c>
      <c r="AN315">
        <f>AND(IF(Metadata!N315="",FALSE,ISNUMBER(VALUE(Metadata!N315))),Metadata!N315&gt;0)</f>
        <v>0</v>
      </c>
      <c r="AO315">
        <f>AND(IF(Metadata!O315="",FALSE,TRUE),exact(Metadata!O315,"kg"))</f>
        <v>0</v>
      </c>
      <c r="AP315">
        <f>OR(AND(IF(Metadata!P315="",FALSE,TRUE),exact(Metadata!P315,"not provided")),IF(Metadata!P315="",FALSE,TRUE))</f>
        <v>0</v>
      </c>
      <c r="AQ315">
        <f>OR(AND(IF(Metadata!Q315="",FALSE,TRUE),exact(Metadata!Q315,"not provided")),IF(Metadata!Q315="",FALSE,TRUE))</f>
        <v>0</v>
      </c>
    </row>
    <row r="316" spans="1:43">
      <c r="A316" s="4">
        <f>IF(B316=" "," ",HYPERLINK(CONCATENATE("#metadata!",ADDRESS(INDEX($W$2:$W$1001,MATCH(ROWS($U$2:U316),$U$2:$U$1001,0),0),2)),INDEX($Z$2:$Z$1001,MATCH(ROWS($U$2:U316),$U$2:$U$1001,0),0)))</f>
        <v>0</v>
      </c>
      <c r="B316" s="5">
        <f>IF(OR(INDEX($V$2:$V$1001,MATCH(ROWS($U$2:U316),$U$2:$U$1001,0),1)&gt;=100000,INDEX($AB$1005:$AQ$1005,1,MATCH(COLUMNS($AB$1006:AB1006),$AB$1006:$AQ$1006,0))&gt;=100000), " ",IF(INDEX($AB$2:$AQ$1001,MATCH(ROWS($U$2:U316),$U$2:$U$1001,0),MATCH(COLUMNS($AB$1006:AB1006),$AB$1006:$AQ$1006,0)), HYPERLINK("#",""), HYPERLINK(CONCATENATE("#Metadata!", ADDRESS(INDEX($W$2:$W$1001,MATCH(ROWS($U$2:U316),$U$2:$U$1001,0),0), INDEX($AB$1004:$AQ$1004,1,MATCH(COLUMNS($AB$1006:AB1006),$AB$1006:$AQ$1006,0)))),"Fix")))</f>
        <v>0</v>
      </c>
      <c r="C316" s="5">
        <f>IF(OR(INDEX($V$2:$V$1001,MATCH(ROWS($U$2:U316),$U$2:$U$1001,0),1)&gt;=100000,INDEX($AB$1005:$AQ$1005,1,MATCH(COLUMNS($AB$1006:AC1006),$AB$1006:$AQ$1006,0))&gt;=100000), " ",IF(INDEX($AB$2:$AQ$1001,MATCH(ROWS($U$2:U316),$U$2:$U$1001,0),MATCH(COLUMNS($AB$1006:AC1006),$AB$1006:$AQ$1006,0)), HYPERLINK("#",""), HYPERLINK(CONCATENATE("#Metadata!", ADDRESS(INDEX($W$2:$W$1001,MATCH(ROWS($U$2:U316),$U$2:$U$1001,0),0), INDEX($AB$1004:$AQ$1004,1,MATCH(COLUMNS($AB$1006:AC1006),$AB$1006:$AQ$1006,0)))),"Fix")))</f>
        <v>0</v>
      </c>
      <c r="D316" s="5">
        <f>IF(OR(INDEX($V$2:$V$1001,MATCH(ROWS($U$2:U316),$U$2:$U$1001,0),1)&gt;=100000,INDEX($AB$1005:$AQ$1005,1,MATCH(COLUMNS($AB$1006:AD1006),$AB$1006:$AQ$1006,0))&gt;=100000), " ",IF(INDEX($AB$2:$AQ$1001,MATCH(ROWS($U$2:U316),$U$2:$U$1001,0),MATCH(COLUMNS($AB$1006:AD1006),$AB$1006:$AQ$1006,0)), HYPERLINK("#",""), HYPERLINK(CONCATENATE("#Metadata!", ADDRESS(INDEX($W$2:$W$1001,MATCH(ROWS($U$2:U316),$U$2:$U$1001,0),0), INDEX($AB$1004:$AQ$1004,1,MATCH(COLUMNS($AB$1006:AD1006),$AB$1006:$AQ$1006,0)))),"Fix")))</f>
        <v>0</v>
      </c>
      <c r="E316" s="5">
        <f>IF(OR(INDEX($V$2:$V$1001,MATCH(ROWS($U$2:U316),$U$2:$U$1001,0),1)&gt;=100000,INDEX($AB$1005:$AQ$1005,1,MATCH(COLUMNS($AB$1006:AE1006),$AB$1006:$AQ$1006,0))&gt;=100000), " ",IF(INDEX($AB$2:$AQ$1001,MATCH(ROWS($U$2:U316),$U$2:$U$1001,0),MATCH(COLUMNS($AB$1006:AE1006),$AB$1006:$AQ$1006,0)), HYPERLINK("#",""), HYPERLINK(CONCATENATE("#Metadata!", ADDRESS(INDEX($W$2:$W$1001,MATCH(ROWS($U$2:U316),$U$2:$U$1001,0),0), INDEX($AB$1004:$AQ$1004,1,MATCH(COLUMNS($AB$1006:AE1006),$AB$1006:$AQ$1006,0)))),"Fix")))</f>
        <v>0</v>
      </c>
      <c r="F316" s="5">
        <f>IF(OR(INDEX($V$2:$V$1001,MATCH(ROWS($U$2:U316),$U$2:$U$1001,0),1)&gt;=100000,INDEX($AB$1005:$AQ$1005,1,MATCH(COLUMNS($AB$1006:AF1006),$AB$1006:$AQ$1006,0))&gt;=100000), " ",IF(INDEX($AB$2:$AQ$1001,MATCH(ROWS($U$2:U316),$U$2:$U$1001,0),MATCH(COLUMNS($AB$1006:AF1006),$AB$1006:$AQ$1006,0)), HYPERLINK("#",""), HYPERLINK(CONCATENATE("#Metadata!", ADDRESS(INDEX($W$2:$W$1001,MATCH(ROWS($U$2:U316),$U$2:$U$1001,0),0), INDEX($AB$1004:$AQ$1004,1,MATCH(COLUMNS($AB$1006:AF1006),$AB$1006:$AQ$1006,0)))),"Fix")))</f>
        <v>0</v>
      </c>
      <c r="G316" s="5">
        <f>IF(OR(INDEX($V$2:$V$1001,MATCH(ROWS($U$2:U316),$U$2:$U$1001,0),1)&gt;=100000,INDEX($AB$1005:$AQ$1005,1,MATCH(COLUMNS($AB$1006:AG1006),$AB$1006:$AQ$1006,0))&gt;=100000), " ",IF(INDEX($AB$2:$AQ$1001,MATCH(ROWS($U$2:U316),$U$2:$U$1001,0),MATCH(COLUMNS($AB$1006:AG1006),$AB$1006:$AQ$1006,0)), HYPERLINK("#",""), HYPERLINK(CONCATENATE("#Metadata!", ADDRESS(INDEX($W$2:$W$1001,MATCH(ROWS($U$2:U316),$U$2:$U$1001,0),0), INDEX($AB$1004:$AQ$1004,1,MATCH(COLUMNS($AB$1006:AG1006),$AB$1006:$AQ$1006,0)))),"Fix")))</f>
        <v>0</v>
      </c>
      <c r="H316" s="5">
        <f>IF(OR(INDEX($V$2:$V$1001,MATCH(ROWS($U$2:U316),$U$2:$U$1001,0),1)&gt;=100000,INDEX($AB$1005:$AQ$1005,1,MATCH(COLUMNS($AB$1006:AH1006),$AB$1006:$AQ$1006,0))&gt;=100000), " ",IF(INDEX($AB$2:$AQ$1001,MATCH(ROWS($U$2:U316),$U$2:$U$1001,0),MATCH(COLUMNS($AB$1006:AH1006),$AB$1006:$AQ$1006,0)), HYPERLINK("#",""), HYPERLINK(CONCATENATE("#Metadata!", ADDRESS(INDEX($W$2:$W$1001,MATCH(ROWS($U$2:U316),$U$2:$U$1001,0),0), INDEX($AB$1004:$AQ$1004,1,MATCH(COLUMNS($AB$1006:AH1006),$AB$1006:$AQ$1006,0)))),"Fix")))</f>
        <v>0</v>
      </c>
      <c r="I316" s="5">
        <f>IF(OR(INDEX($V$2:$V$1001,MATCH(ROWS($U$2:U316),$U$2:$U$1001,0),1)&gt;=100000,INDEX($AB$1005:$AQ$1005,1,MATCH(COLUMNS($AB$1006:AI1006),$AB$1006:$AQ$1006,0))&gt;=100000), " ",IF(INDEX($AB$2:$AQ$1001,MATCH(ROWS($U$2:U316),$U$2:$U$1001,0),MATCH(COLUMNS($AB$1006:AI1006),$AB$1006:$AQ$1006,0)), HYPERLINK("#",""), HYPERLINK(CONCATENATE("#Metadata!", ADDRESS(INDEX($W$2:$W$1001,MATCH(ROWS($U$2:U316),$U$2:$U$1001,0),0), INDEX($AB$1004:$AQ$1004,1,MATCH(COLUMNS($AB$1006:AI1006),$AB$1006:$AQ$1006,0)))),"Fix")))</f>
        <v>0</v>
      </c>
      <c r="J316" s="5">
        <f>IF(OR(INDEX($V$2:$V$1001,MATCH(ROWS($U$2:U316),$U$2:$U$1001,0),1)&gt;=100000,INDEX($AB$1005:$AQ$1005,1,MATCH(COLUMNS($AB$1006:AJ1006),$AB$1006:$AQ$1006,0))&gt;=100000), " ",IF(INDEX($AB$2:$AQ$1001,MATCH(ROWS($U$2:U316),$U$2:$U$1001,0),MATCH(COLUMNS($AB$1006:AJ1006),$AB$1006:$AQ$1006,0)), HYPERLINK("#",""), HYPERLINK(CONCATENATE("#Metadata!", ADDRESS(INDEX($W$2:$W$1001,MATCH(ROWS($U$2:U316),$U$2:$U$1001,0),0), INDEX($AB$1004:$AQ$1004,1,MATCH(COLUMNS($AB$1006:AJ1006),$AB$1006:$AQ$1006,0)))),"Fix")))</f>
        <v>0</v>
      </c>
      <c r="K316" s="5">
        <f>IF(OR(INDEX($V$2:$V$1001,MATCH(ROWS($U$2:U316),$U$2:$U$1001,0),1)&gt;=100000,INDEX($AB$1005:$AQ$1005,1,MATCH(COLUMNS($AB$1006:AK1006),$AB$1006:$AQ$1006,0))&gt;=100000), " ",IF(INDEX($AB$2:$AQ$1001,MATCH(ROWS($U$2:U316),$U$2:$U$1001,0),MATCH(COLUMNS($AB$1006:AK1006),$AB$1006:$AQ$1006,0)), HYPERLINK("#",""), HYPERLINK(CONCATENATE("#Metadata!", ADDRESS(INDEX($W$2:$W$1001,MATCH(ROWS($U$2:U316),$U$2:$U$1001,0),0), INDEX($AB$1004:$AQ$1004,1,MATCH(COLUMNS($AB$1006:AK1006),$AB$1006:$AQ$1006,0)))),"Fix")))</f>
        <v>0</v>
      </c>
      <c r="L316" s="5">
        <f>IF(OR(INDEX($V$2:$V$1001,MATCH(ROWS($U$2:U316),$U$2:$U$1001,0),1)&gt;=100000,INDEX($AB$1005:$AQ$1005,1,MATCH(COLUMNS($AB$1006:AL1006),$AB$1006:$AQ$1006,0))&gt;=100000), " ",IF(INDEX($AB$2:$AQ$1001,MATCH(ROWS($U$2:U316),$U$2:$U$1001,0),MATCH(COLUMNS($AB$1006:AL1006),$AB$1006:$AQ$1006,0)), HYPERLINK("#",""), HYPERLINK(CONCATENATE("#Metadata!", ADDRESS(INDEX($W$2:$W$1001,MATCH(ROWS($U$2:U316),$U$2:$U$1001,0),0), INDEX($AB$1004:$AQ$1004,1,MATCH(COLUMNS($AB$1006:AL1006),$AB$1006:$AQ$1006,0)))),"Fix")))</f>
        <v>0</v>
      </c>
      <c r="M316" s="5">
        <f>IF(OR(INDEX($V$2:$V$1001,MATCH(ROWS($U$2:U316),$U$2:$U$1001,0),1)&gt;=100000,INDEX($AB$1005:$AQ$1005,1,MATCH(COLUMNS($AB$1006:AM1006),$AB$1006:$AQ$1006,0))&gt;=100000), " ",IF(INDEX($AB$2:$AQ$1001,MATCH(ROWS($U$2:U316),$U$2:$U$1001,0),MATCH(COLUMNS($AB$1006:AM1006),$AB$1006:$AQ$1006,0)), HYPERLINK("#",""), HYPERLINK(CONCATENATE("#Metadata!", ADDRESS(INDEX($W$2:$W$1001,MATCH(ROWS($U$2:U316),$U$2:$U$1001,0),0), INDEX($AB$1004:$AQ$1004,1,MATCH(COLUMNS($AB$1006:AM1006),$AB$1006:$AQ$1006,0)))),"Fix")))</f>
        <v>0</v>
      </c>
      <c r="N316" s="5">
        <f>IF(OR(INDEX($V$2:$V$1001,MATCH(ROWS($U$2:U316),$U$2:$U$1001,0),1)&gt;=100000,INDEX($AB$1005:$AQ$1005,1,MATCH(COLUMNS($AB$1006:AN1006),$AB$1006:$AQ$1006,0))&gt;=100000), " ",IF(INDEX($AB$2:$AQ$1001,MATCH(ROWS($U$2:U316),$U$2:$U$1001,0),MATCH(COLUMNS($AB$1006:AN1006),$AB$1006:$AQ$1006,0)), HYPERLINK("#",""), HYPERLINK(CONCATENATE("#Metadata!", ADDRESS(INDEX($W$2:$W$1001,MATCH(ROWS($U$2:U316),$U$2:$U$1001,0),0), INDEX($AB$1004:$AQ$1004,1,MATCH(COLUMNS($AB$1006:AN1006),$AB$1006:$AQ$1006,0)))),"Fix")))</f>
        <v>0</v>
      </c>
      <c r="O316" s="5">
        <f>IF(OR(INDEX($V$2:$V$1001,MATCH(ROWS($U$2:U316),$U$2:$U$1001,0),1)&gt;=100000,INDEX($AB$1005:$AQ$1005,1,MATCH(COLUMNS($AB$1006:AO1006),$AB$1006:$AQ$1006,0))&gt;=100000), " ",IF(INDEX($AB$2:$AQ$1001,MATCH(ROWS($U$2:U316),$U$2:$U$1001,0),MATCH(COLUMNS($AB$1006:AO1006),$AB$1006:$AQ$1006,0)), HYPERLINK("#",""), HYPERLINK(CONCATENATE("#Metadata!", ADDRESS(INDEX($W$2:$W$1001,MATCH(ROWS($U$2:U316),$U$2:$U$1001,0),0), INDEX($AB$1004:$AQ$1004,1,MATCH(COLUMNS($AB$1006:AO1006),$AB$1006:$AQ$1006,0)))),"Fix")))</f>
        <v>0</v>
      </c>
      <c r="P316" s="5">
        <f>IF(OR(INDEX($V$2:$V$1001,MATCH(ROWS($U$2:U316),$U$2:$U$1001,0),1)&gt;=100000,INDEX($AB$1005:$AQ$1005,1,MATCH(COLUMNS($AB$1006:AP1006),$AB$1006:$AQ$1006,0))&gt;=100000), " ",IF(INDEX($AB$2:$AQ$1001,MATCH(ROWS($U$2:U316),$U$2:$U$1001,0),MATCH(COLUMNS($AB$1006:AP1006),$AB$1006:$AQ$1006,0)), HYPERLINK("#",""), HYPERLINK(CONCATENATE("#Metadata!", ADDRESS(INDEX($W$2:$W$1001,MATCH(ROWS($U$2:U316),$U$2:$U$1001,0),0), INDEX($AB$1004:$AQ$1004,1,MATCH(COLUMNS($AB$1006:AP1006),$AB$1006:$AQ$1006,0)))),"Fix")))</f>
        <v>0</v>
      </c>
      <c r="Q316" s="5">
        <f>IF(OR(INDEX($V$2:$V$1001,MATCH(ROWS($U$2:U316),$U$2:$U$1001,0),1)&gt;=100000,INDEX($AB$1005:$AQ$1005,1,MATCH(COLUMNS($AB$1006:AQ1006),$AB$1006:$AQ$1006,0))&gt;=100000), " ",IF(INDEX($AB$2:$AQ$1001,MATCH(ROWS($U$2:U316),$U$2:$U$1001,0),MATCH(COLUMNS($AB$1006:AQ1006),$AB$1006:$AQ$1006,0)), HYPERLINK("#",""), HYPERLINK(CONCATENATE("#Metadata!", ADDRESS(INDEX($W$2:$W$1001,MATCH(ROWS($U$2:U316),$U$2:$U$1001,0),0), INDEX($AB$1004:$AQ$1004,1,MATCH(COLUMNS($AB$1006:AQ1006),$AB$1006:$AQ$1006,0)))),"Fix")))</f>
        <v>0</v>
      </c>
      <c r="U316">
        <v>0</v>
      </c>
      <c r="V316">
        <v>0</v>
      </c>
      <c r="W316">
        <v>0</v>
      </c>
      <c r="X316">
        <f>IF(Y316,TRUE,AND(AB316:AQ316))</f>
        <v>0</v>
      </c>
      <c r="Y316">
        <f>COUNTBLANK(Metadata!B316:Q316)=COLUMNS(Metadata!B316:Q316)</f>
        <v>0</v>
      </c>
      <c r="Z316">
        <v>0</v>
      </c>
      <c r="AB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AC316">
        <f>AND(IF(Metadata!C316="",FALSE,TRUE),exact(Metadata!C316,"urban biome"))</f>
        <v>0</v>
      </c>
      <c r="AD316">
        <f>AND(IF(Metadata!D316="",FALSE,TRUE),exact(Metadata!D316,"human-associated habitat"))</f>
        <v>0</v>
      </c>
      <c r="AE316">
        <f>AND(IF(Metadata!E316="",FALSE,TRUE),OR(exact(Metadata!E316,"human-associated"),exact(Metadata!E316,"human-skin"),exact(Metadata!E316,"human-oral"),exact(Metadata!E316,"human-gut"),exact(Metadata!E316,"human-vaginal")))</f>
        <v>0</v>
      </c>
      <c r="AF316">
        <f>AND(IF(Metadata!F316="",FALSE,ISNUMBER(VALUE(Metadata!F316))),Metadata!F316&gt;0)</f>
        <v>0</v>
      </c>
      <c r="AG316">
        <f>AND(IF(Metadata!G316="",FALSE,TRUE),exact(Metadata!G316,"years"))</f>
        <v>0</v>
      </c>
      <c r="AH316">
        <f>OR(AND(IF(Metadata!H316="",FALSE,TRUE),OR(exact(Metadata!H316,"not applicable"),exact(Metadata!H316,"not collected"),exact(Metadata!H316,"not provided"),exact(Metadata!H316,"restricted access"))),AND(IF(Metadata!H316="",FALSE,ISNUMBER(VALUE(Metadata!H316))),Metadata!H316&gt;0))</f>
        <v>0</v>
      </c>
      <c r="AI316">
        <f>AND(IF(Metadata!I316="",FALSE,TRUE),exact(Metadata!I316,"human"))</f>
        <v>0</v>
      </c>
      <c r="AJ316">
        <f>AND(IF(Metadata!J316="",FALSE,ISNUMBER(VALUE(Metadata!J316))),Metadata!J316&gt;0)</f>
        <v>0</v>
      </c>
      <c r="AK316">
        <f>AND(IF(Metadata!K316="",FALSE,TRUE),exact(Metadata!K316,"cm"))</f>
        <v>0</v>
      </c>
      <c r="AL316">
        <f>AND(IF(Metadata!L316="",FALSE,TRUE),exact(Metadata!L316,"Homo sapiens"))</f>
        <v>0</v>
      </c>
      <c r="AM316">
        <f>AND(IF(Metadata!M316="",FALSE,TRUE),exact(Metadata!M316,"9606"))</f>
        <v>0</v>
      </c>
      <c r="AN316">
        <f>AND(IF(Metadata!N316="",FALSE,ISNUMBER(VALUE(Metadata!N316))),Metadata!N316&gt;0)</f>
        <v>0</v>
      </c>
      <c r="AO316">
        <f>AND(IF(Metadata!O316="",FALSE,TRUE),exact(Metadata!O316,"kg"))</f>
        <v>0</v>
      </c>
      <c r="AP316">
        <f>OR(AND(IF(Metadata!P316="",FALSE,TRUE),exact(Metadata!P316,"not provided")),IF(Metadata!P316="",FALSE,TRUE))</f>
        <v>0</v>
      </c>
      <c r="AQ316">
        <f>OR(AND(IF(Metadata!Q316="",FALSE,TRUE),exact(Metadata!Q316,"not provided")),IF(Metadata!Q316="",FALSE,TRUE))</f>
        <v>0</v>
      </c>
    </row>
    <row r="317" spans="1:43">
      <c r="A317" s="4">
        <f>IF(B317=" "," ",HYPERLINK(CONCATENATE("#metadata!",ADDRESS(INDEX($W$2:$W$1001,MATCH(ROWS($U$2:U317),$U$2:$U$1001,0),0),2)),INDEX($Z$2:$Z$1001,MATCH(ROWS($U$2:U317),$U$2:$U$1001,0),0)))</f>
        <v>0</v>
      </c>
      <c r="B317" s="5">
        <f>IF(OR(INDEX($V$2:$V$1001,MATCH(ROWS($U$2:U317),$U$2:$U$1001,0),1)&gt;=100000,INDEX($AB$1005:$AQ$1005,1,MATCH(COLUMNS($AB$1006:AB1006),$AB$1006:$AQ$1006,0))&gt;=100000), " ",IF(INDEX($AB$2:$AQ$1001,MATCH(ROWS($U$2:U317),$U$2:$U$1001,0),MATCH(COLUMNS($AB$1006:AB1006),$AB$1006:$AQ$1006,0)), HYPERLINK("#",""), HYPERLINK(CONCATENATE("#Metadata!", ADDRESS(INDEX($W$2:$W$1001,MATCH(ROWS($U$2:U317),$U$2:$U$1001,0),0), INDEX($AB$1004:$AQ$1004,1,MATCH(COLUMNS($AB$1006:AB1006),$AB$1006:$AQ$1006,0)))),"Fix")))</f>
        <v>0</v>
      </c>
      <c r="C317" s="5">
        <f>IF(OR(INDEX($V$2:$V$1001,MATCH(ROWS($U$2:U317),$U$2:$U$1001,0),1)&gt;=100000,INDEX($AB$1005:$AQ$1005,1,MATCH(COLUMNS($AB$1006:AC1006),$AB$1006:$AQ$1006,0))&gt;=100000), " ",IF(INDEX($AB$2:$AQ$1001,MATCH(ROWS($U$2:U317),$U$2:$U$1001,0),MATCH(COLUMNS($AB$1006:AC1006),$AB$1006:$AQ$1006,0)), HYPERLINK("#",""), HYPERLINK(CONCATENATE("#Metadata!", ADDRESS(INDEX($W$2:$W$1001,MATCH(ROWS($U$2:U317),$U$2:$U$1001,0),0), INDEX($AB$1004:$AQ$1004,1,MATCH(COLUMNS($AB$1006:AC1006),$AB$1006:$AQ$1006,0)))),"Fix")))</f>
        <v>0</v>
      </c>
      <c r="D317" s="5">
        <f>IF(OR(INDEX($V$2:$V$1001,MATCH(ROWS($U$2:U317),$U$2:$U$1001,0),1)&gt;=100000,INDEX($AB$1005:$AQ$1005,1,MATCH(COLUMNS($AB$1006:AD1006),$AB$1006:$AQ$1006,0))&gt;=100000), " ",IF(INDEX($AB$2:$AQ$1001,MATCH(ROWS($U$2:U317),$U$2:$U$1001,0),MATCH(COLUMNS($AB$1006:AD1006),$AB$1006:$AQ$1006,0)), HYPERLINK("#",""), HYPERLINK(CONCATENATE("#Metadata!", ADDRESS(INDEX($W$2:$W$1001,MATCH(ROWS($U$2:U317),$U$2:$U$1001,0),0), INDEX($AB$1004:$AQ$1004,1,MATCH(COLUMNS($AB$1006:AD1006),$AB$1006:$AQ$1006,0)))),"Fix")))</f>
        <v>0</v>
      </c>
      <c r="E317" s="5">
        <f>IF(OR(INDEX($V$2:$V$1001,MATCH(ROWS($U$2:U317),$U$2:$U$1001,0),1)&gt;=100000,INDEX($AB$1005:$AQ$1005,1,MATCH(COLUMNS($AB$1006:AE1006),$AB$1006:$AQ$1006,0))&gt;=100000), " ",IF(INDEX($AB$2:$AQ$1001,MATCH(ROWS($U$2:U317),$U$2:$U$1001,0),MATCH(COLUMNS($AB$1006:AE1006),$AB$1006:$AQ$1006,0)), HYPERLINK("#",""), HYPERLINK(CONCATENATE("#Metadata!", ADDRESS(INDEX($W$2:$W$1001,MATCH(ROWS($U$2:U317),$U$2:$U$1001,0),0), INDEX($AB$1004:$AQ$1004,1,MATCH(COLUMNS($AB$1006:AE1006),$AB$1006:$AQ$1006,0)))),"Fix")))</f>
        <v>0</v>
      </c>
      <c r="F317" s="5">
        <f>IF(OR(INDEX($V$2:$V$1001,MATCH(ROWS($U$2:U317),$U$2:$U$1001,0),1)&gt;=100000,INDEX($AB$1005:$AQ$1005,1,MATCH(COLUMNS($AB$1006:AF1006),$AB$1006:$AQ$1006,0))&gt;=100000), " ",IF(INDEX($AB$2:$AQ$1001,MATCH(ROWS($U$2:U317),$U$2:$U$1001,0),MATCH(COLUMNS($AB$1006:AF1006),$AB$1006:$AQ$1006,0)), HYPERLINK("#",""), HYPERLINK(CONCATENATE("#Metadata!", ADDRESS(INDEX($W$2:$W$1001,MATCH(ROWS($U$2:U317),$U$2:$U$1001,0),0), INDEX($AB$1004:$AQ$1004,1,MATCH(COLUMNS($AB$1006:AF1006),$AB$1006:$AQ$1006,0)))),"Fix")))</f>
        <v>0</v>
      </c>
      <c r="G317" s="5">
        <f>IF(OR(INDEX($V$2:$V$1001,MATCH(ROWS($U$2:U317),$U$2:$U$1001,0),1)&gt;=100000,INDEX($AB$1005:$AQ$1005,1,MATCH(COLUMNS($AB$1006:AG1006),$AB$1006:$AQ$1006,0))&gt;=100000), " ",IF(INDEX($AB$2:$AQ$1001,MATCH(ROWS($U$2:U317),$U$2:$U$1001,0),MATCH(COLUMNS($AB$1006:AG1006),$AB$1006:$AQ$1006,0)), HYPERLINK("#",""), HYPERLINK(CONCATENATE("#Metadata!", ADDRESS(INDEX($W$2:$W$1001,MATCH(ROWS($U$2:U317),$U$2:$U$1001,0),0), INDEX($AB$1004:$AQ$1004,1,MATCH(COLUMNS($AB$1006:AG1006),$AB$1006:$AQ$1006,0)))),"Fix")))</f>
        <v>0</v>
      </c>
      <c r="H317" s="5">
        <f>IF(OR(INDEX($V$2:$V$1001,MATCH(ROWS($U$2:U317),$U$2:$U$1001,0),1)&gt;=100000,INDEX($AB$1005:$AQ$1005,1,MATCH(COLUMNS($AB$1006:AH1006),$AB$1006:$AQ$1006,0))&gt;=100000), " ",IF(INDEX($AB$2:$AQ$1001,MATCH(ROWS($U$2:U317),$U$2:$U$1001,0),MATCH(COLUMNS($AB$1006:AH1006),$AB$1006:$AQ$1006,0)), HYPERLINK("#",""), HYPERLINK(CONCATENATE("#Metadata!", ADDRESS(INDEX($W$2:$W$1001,MATCH(ROWS($U$2:U317),$U$2:$U$1001,0),0), INDEX($AB$1004:$AQ$1004,1,MATCH(COLUMNS($AB$1006:AH1006),$AB$1006:$AQ$1006,0)))),"Fix")))</f>
        <v>0</v>
      </c>
      <c r="I317" s="5">
        <f>IF(OR(INDEX($V$2:$V$1001,MATCH(ROWS($U$2:U317),$U$2:$U$1001,0),1)&gt;=100000,INDEX($AB$1005:$AQ$1005,1,MATCH(COLUMNS($AB$1006:AI1006),$AB$1006:$AQ$1006,0))&gt;=100000), " ",IF(INDEX($AB$2:$AQ$1001,MATCH(ROWS($U$2:U317),$U$2:$U$1001,0),MATCH(COLUMNS($AB$1006:AI1006),$AB$1006:$AQ$1006,0)), HYPERLINK("#",""), HYPERLINK(CONCATENATE("#Metadata!", ADDRESS(INDEX($W$2:$W$1001,MATCH(ROWS($U$2:U317),$U$2:$U$1001,0),0), INDEX($AB$1004:$AQ$1004,1,MATCH(COLUMNS($AB$1006:AI1006),$AB$1006:$AQ$1006,0)))),"Fix")))</f>
        <v>0</v>
      </c>
      <c r="J317" s="5">
        <f>IF(OR(INDEX($V$2:$V$1001,MATCH(ROWS($U$2:U317),$U$2:$U$1001,0),1)&gt;=100000,INDEX($AB$1005:$AQ$1005,1,MATCH(COLUMNS($AB$1006:AJ1006),$AB$1006:$AQ$1006,0))&gt;=100000), " ",IF(INDEX($AB$2:$AQ$1001,MATCH(ROWS($U$2:U317),$U$2:$U$1001,0),MATCH(COLUMNS($AB$1006:AJ1006),$AB$1006:$AQ$1006,0)), HYPERLINK("#",""), HYPERLINK(CONCATENATE("#Metadata!", ADDRESS(INDEX($W$2:$W$1001,MATCH(ROWS($U$2:U317),$U$2:$U$1001,0),0), INDEX($AB$1004:$AQ$1004,1,MATCH(COLUMNS($AB$1006:AJ1006),$AB$1006:$AQ$1006,0)))),"Fix")))</f>
        <v>0</v>
      </c>
      <c r="K317" s="5">
        <f>IF(OR(INDEX($V$2:$V$1001,MATCH(ROWS($U$2:U317),$U$2:$U$1001,0),1)&gt;=100000,INDEX($AB$1005:$AQ$1005,1,MATCH(COLUMNS($AB$1006:AK1006),$AB$1006:$AQ$1006,0))&gt;=100000), " ",IF(INDEX($AB$2:$AQ$1001,MATCH(ROWS($U$2:U317),$U$2:$U$1001,0),MATCH(COLUMNS($AB$1006:AK1006),$AB$1006:$AQ$1006,0)), HYPERLINK("#",""), HYPERLINK(CONCATENATE("#Metadata!", ADDRESS(INDEX($W$2:$W$1001,MATCH(ROWS($U$2:U317),$U$2:$U$1001,0),0), INDEX($AB$1004:$AQ$1004,1,MATCH(COLUMNS($AB$1006:AK1006),$AB$1006:$AQ$1006,0)))),"Fix")))</f>
        <v>0</v>
      </c>
      <c r="L317" s="5">
        <f>IF(OR(INDEX($V$2:$V$1001,MATCH(ROWS($U$2:U317),$U$2:$U$1001,0),1)&gt;=100000,INDEX($AB$1005:$AQ$1005,1,MATCH(COLUMNS($AB$1006:AL1006),$AB$1006:$AQ$1006,0))&gt;=100000), " ",IF(INDEX($AB$2:$AQ$1001,MATCH(ROWS($U$2:U317),$U$2:$U$1001,0),MATCH(COLUMNS($AB$1006:AL1006),$AB$1006:$AQ$1006,0)), HYPERLINK("#",""), HYPERLINK(CONCATENATE("#Metadata!", ADDRESS(INDEX($W$2:$W$1001,MATCH(ROWS($U$2:U317),$U$2:$U$1001,0),0), INDEX($AB$1004:$AQ$1004,1,MATCH(COLUMNS($AB$1006:AL1006),$AB$1006:$AQ$1006,0)))),"Fix")))</f>
        <v>0</v>
      </c>
      <c r="M317" s="5">
        <f>IF(OR(INDEX($V$2:$V$1001,MATCH(ROWS($U$2:U317),$U$2:$U$1001,0),1)&gt;=100000,INDEX($AB$1005:$AQ$1005,1,MATCH(COLUMNS($AB$1006:AM1006),$AB$1006:$AQ$1006,0))&gt;=100000), " ",IF(INDEX($AB$2:$AQ$1001,MATCH(ROWS($U$2:U317),$U$2:$U$1001,0),MATCH(COLUMNS($AB$1006:AM1006),$AB$1006:$AQ$1006,0)), HYPERLINK("#",""), HYPERLINK(CONCATENATE("#Metadata!", ADDRESS(INDEX($W$2:$W$1001,MATCH(ROWS($U$2:U317),$U$2:$U$1001,0),0), INDEX($AB$1004:$AQ$1004,1,MATCH(COLUMNS($AB$1006:AM1006),$AB$1006:$AQ$1006,0)))),"Fix")))</f>
        <v>0</v>
      </c>
      <c r="N317" s="5">
        <f>IF(OR(INDEX($V$2:$V$1001,MATCH(ROWS($U$2:U317),$U$2:$U$1001,0),1)&gt;=100000,INDEX($AB$1005:$AQ$1005,1,MATCH(COLUMNS($AB$1006:AN1006),$AB$1006:$AQ$1006,0))&gt;=100000), " ",IF(INDEX($AB$2:$AQ$1001,MATCH(ROWS($U$2:U317),$U$2:$U$1001,0),MATCH(COLUMNS($AB$1006:AN1006),$AB$1006:$AQ$1006,0)), HYPERLINK("#",""), HYPERLINK(CONCATENATE("#Metadata!", ADDRESS(INDEX($W$2:$W$1001,MATCH(ROWS($U$2:U317),$U$2:$U$1001,0),0), INDEX($AB$1004:$AQ$1004,1,MATCH(COLUMNS($AB$1006:AN1006),$AB$1006:$AQ$1006,0)))),"Fix")))</f>
        <v>0</v>
      </c>
      <c r="O317" s="5">
        <f>IF(OR(INDEX($V$2:$V$1001,MATCH(ROWS($U$2:U317),$U$2:$U$1001,0),1)&gt;=100000,INDEX($AB$1005:$AQ$1005,1,MATCH(COLUMNS($AB$1006:AO1006),$AB$1006:$AQ$1006,0))&gt;=100000), " ",IF(INDEX($AB$2:$AQ$1001,MATCH(ROWS($U$2:U317),$U$2:$U$1001,0),MATCH(COLUMNS($AB$1006:AO1006),$AB$1006:$AQ$1006,0)), HYPERLINK("#",""), HYPERLINK(CONCATENATE("#Metadata!", ADDRESS(INDEX($W$2:$W$1001,MATCH(ROWS($U$2:U317),$U$2:$U$1001,0),0), INDEX($AB$1004:$AQ$1004,1,MATCH(COLUMNS($AB$1006:AO1006),$AB$1006:$AQ$1006,0)))),"Fix")))</f>
        <v>0</v>
      </c>
      <c r="P317" s="5">
        <f>IF(OR(INDEX($V$2:$V$1001,MATCH(ROWS($U$2:U317),$U$2:$U$1001,0),1)&gt;=100000,INDEX($AB$1005:$AQ$1005,1,MATCH(COLUMNS($AB$1006:AP1006),$AB$1006:$AQ$1006,0))&gt;=100000), " ",IF(INDEX($AB$2:$AQ$1001,MATCH(ROWS($U$2:U317),$U$2:$U$1001,0),MATCH(COLUMNS($AB$1006:AP1006),$AB$1006:$AQ$1006,0)), HYPERLINK("#",""), HYPERLINK(CONCATENATE("#Metadata!", ADDRESS(INDEX($W$2:$W$1001,MATCH(ROWS($U$2:U317),$U$2:$U$1001,0),0), INDEX($AB$1004:$AQ$1004,1,MATCH(COLUMNS($AB$1006:AP1006),$AB$1006:$AQ$1006,0)))),"Fix")))</f>
        <v>0</v>
      </c>
      <c r="Q317" s="5">
        <f>IF(OR(INDEX($V$2:$V$1001,MATCH(ROWS($U$2:U317),$U$2:$U$1001,0),1)&gt;=100000,INDEX($AB$1005:$AQ$1005,1,MATCH(COLUMNS($AB$1006:AQ1006),$AB$1006:$AQ$1006,0))&gt;=100000), " ",IF(INDEX($AB$2:$AQ$1001,MATCH(ROWS($U$2:U317),$U$2:$U$1001,0),MATCH(COLUMNS($AB$1006:AQ1006),$AB$1006:$AQ$1006,0)), HYPERLINK("#",""), HYPERLINK(CONCATENATE("#Metadata!", ADDRESS(INDEX($W$2:$W$1001,MATCH(ROWS($U$2:U317),$U$2:$U$1001,0),0), INDEX($AB$1004:$AQ$1004,1,MATCH(COLUMNS($AB$1006:AQ1006),$AB$1006:$AQ$1006,0)))),"Fix")))</f>
        <v>0</v>
      </c>
      <c r="U317">
        <v>0</v>
      </c>
      <c r="V317">
        <v>0</v>
      </c>
      <c r="W317">
        <v>0</v>
      </c>
      <c r="X317">
        <f>IF(Y317,TRUE,AND(AB317:AQ317))</f>
        <v>0</v>
      </c>
      <c r="Y317">
        <f>COUNTBLANK(Metadata!B317:Q317)=COLUMNS(Metadata!B317:Q317)</f>
        <v>0</v>
      </c>
      <c r="Z317">
        <v>0</v>
      </c>
      <c r="AB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AC317">
        <f>AND(IF(Metadata!C317="",FALSE,TRUE),exact(Metadata!C317,"urban biome"))</f>
        <v>0</v>
      </c>
      <c r="AD317">
        <f>AND(IF(Metadata!D317="",FALSE,TRUE),exact(Metadata!D317,"human-associated habitat"))</f>
        <v>0</v>
      </c>
      <c r="AE317">
        <f>AND(IF(Metadata!E317="",FALSE,TRUE),OR(exact(Metadata!E317,"human-associated"),exact(Metadata!E317,"human-skin"),exact(Metadata!E317,"human-oral"),exact(Metadata!E317,"human-gut"),exact(Metadata!E317,"human-vaginal")))</f>
        <v>0</v>
      </c>
      <c r="AF317">
        <f>AND(IF(Metadata!F317="",FALSE,ISNUMBER(VALUE(Metadata!F317))),Metadata!F317&gt;0)</f>
        <v>0</v>
      </c>
      <c r="AG317">
        <f>AND(IF(Metadata!G317="",FALSE,TRUE),exact(Metadata!G317,"years"))</f>
        <v>0</v>
      </c>
      <c r="AH317">
        <f>OR(AND(IF(Metadata!H317="",FALSE,TRUE),OR(exact(Metadata!H317,"not applicable"),exact(Metadata!H317,"not collected"),exact(Metadata!H317,"not provided"),exact(Metadata!H317,"restricted access"))),AND(IF(Metadata!H317="",FALSE,ISNUMBER(VALUE(Metadata!H317))),Metadata!H317&gt;0))</f>
        <v>0</v>
      </c>
      <c r="AI317">
        <f>AND(IF(Metadata!I317="",FALSE,TRUE),exact(Metadata!I317,"human"))</f>
        <v>0</v>
      </c>
      <c r="AJ317">
        <f>AND(IF(Metadata!J317="",FALSE,ISNUMBER(VALUE(Metadata!J317))),Metadata!J317&gt;0)</f>
        <v>0</v>
      </c>
      <c r="AK317">
        <f>AND(IF(Metadata!K317="",FALSE,TRUE),exact(Metadata!K317,"cm"))</f>
        <v>0</v>
      </c>
      <c r="AL317">
        <f>AND(IF(Metadata!L317="",FALSE,TRUE),exact(Metadata!L317,"Homo sapiens"))</f>
        <v>0</v>
      </c>
      <c r="AM317">
        <f>AND(IF(Metadata!M317="",FALSE,TRUE),exact(Metadata!M317,"9606"))</f>
        <v>0</v>
      </c>
      <c r="AN317">
        <f>AND(IF(Metadata!N317="",FALSE,ISNUMBER(VALUE(Metadata!N317))),Metadata!N317&gt;0)</f>
        <v>0</v>
      </c>
      <c r="AO317">
        <f>AND(IF(Metadata!O317="",FALSE,TRUE),exact(Metadata!O317,"kg"))</f>
        <v>0</v>
      </c>
      <c r="AP317">
        <f>OR(AND(IF(Metadata!P317="",FALSE,TRUE),exact(Metadata!P317,"not provided")),IF(Metadata!P317="",FALSE,TRUE))</f>
        <v>0</v>
      </c>
      <c r="AQ317">
        <f>OR(AND(IF(Metadata!Q317="",FALSE,TRUE),exact(Metadata!Q317,"not provided")),IF(Metadata!Q317="",FALSE,TRUE))</f>
        <v>0</v>
      </c>
    </row>
    <row r="318" spans="1:43">
      <c r="A318" s="4">
        <f>IF(B318=" "," ",HYPERLINK(CONCATENATE("#metadata!",ADDRESS(INDEX($W$2:$W$1001,MATCH(ROWS($U$2:U318),$U$2:$U$1001,0),0),2)),INDEX($Z$2:$Z$1001,MATCH(ROWS($U$2:U318),$U$2:$U$1001,0),0)))</f>
        <v>0</v>
      </c>
      <c r="B318" s="5">
        <f>IF(OR(INDEX($V$2:$V$1001,MATCH(ROWS($U$2:U318),$U$2:$U$1001,0),1)&gt;=100000,INDEX($AB$1005:$AQ$1005,1,MATCH(COLUMNS($AB$1006:AB1006),$AB$1006:$AQ$1006,0))&gt;=100000), " ",IF(INDEX($AB$2:$AQ$1001,MATCH(ROWS($U$2:U318),$U$2:$U$1001,0),MATCH(COLUMNS($AB$1006:AB1006),$AB$1006:$AQ$1006,0)), HYPERLINK("#",""), HYPERLINK(CONCATENATE("#Metadata!", ADDRESS(INDEX($W$2:$W$1001,MATCH(ROWS($U$2:U318),$U$2:$U$1001,0),0), INDEX($AB$1004:$AQ$1004,1,MATCH(COLUMNS($AB$1006:AB1006),$AB$1006:$AQ$1006,0)))),"Fix")))</f>
        <v>0</v>
      </c>
      <c r="C318" s="5">
        <f>IF(OR(INDEX($V$2:$V$1001,MATCH(ROWS($U$2:U318),$U$2:$U$1001,0),1)&gt;=100000,INDEX($AB$1005:$AQ$1005,1,MATCH(COLUMNS($AB$1006:AC1006),$AB$1006:$AQ$1006,0))&gt;=100000), " ",IF(INDEX($AB$2:$AQ$1001,MATCH(ROWS($U$2:U318),$U$2:$U$1001,0),MATCH(COLUMNS($AB$1006:AC1006),$AB$1006:$AQ$1006,0)), HYPERLINK("#",""), HYPERLINK(CONCATENATE("#Metadata!", ADDRESS(INDEX($W$2:$W$1001,MATCH(ROWS($U$2:U318),$U$2:$U$1001,0),0), INDEX($AB$1004:$AQ$1004,1,MATCH(COLUMNS($AB$1006:AC1006),$AB$1006:$AQ$1006,0)))),"Fix")))</f>
        <v>0</v>
      </c>
      <c r="D318" s="5">
        <f>IF(OR(INDEX($V$2:$V$1001,MATCH(ROWS($U$2:U318),$U$2:$U$1001,0),1)&gt;=100000,INDEX($AB$1005:$AQ$1005,1,MATCH(COLUMNS($AB$1006:AD1006),$AB$1006:$AQ$1006,0))&gt;=100000), " ",IF(INDEX($AB$2:$AQ$1001,MATCH(ROWS($U$2:U318),$U$2:$U$1001,0),MATCH(COLUMNS($AB$1006:AD1006),$AB$1006:$AQ$1006,0)), HYPERLINK("#",""), HYPERLINK(CONCATENATE("#Metadata!", ADDRESS(INDEX($W$2:$W$1001,MATCH(ROWS($U$2:U318),$U$2:$U$1001,0),0), INDEX($AB$1004:$AQ$1004,1,MATCH(COLUMNS($AB$1006:AD1006),$AB$1006:$AQ$1006,0)))),"Fix")))</f>
        <v>0</v>
      </c>
      <c r="E318" s="5">
        <f>IF(OR(INDEX($V$2:$V$1001,MATCH(ROWS($U$2:U318),$U$2:$U$1001,0),1)&gt;=100000,INDEX($AB$1005:$AQ$1005,1,MATCH(COLUMNS($AB$1006:AE1006),$AB$1006:$AQ$1006,0))&gt;=100000), " ",IF(INDEX($AB$2:$AQ$1001,MATCH(ROWS($U$2:U318),$U$2:$U$1001,0),MATCH(COLUMNS($AB$1006:AE1006),$AB$1006:$AQ$1006,0)), HYPERLINK("#",""), HYPERLINK(CONCATENATE("#Metadata!", ADDRESS(INDEX($W$2:$W$1001,MATCH(ROWS($U$2:U318),$U$2:$U$1001,0),0), INDEX($AB$1004:$AQ$1004,1,MATCH(COLUMNS($AB$1006:AE1006),$AB$1006:$AQ$1006,0)))),"Fix")))</f>
        <v>0</v>
      </c>
      <c r="F318" s="5">
        <f>IF(OR(INDEX($V$2:$V$1001,MATCH(ROWS($U$2:U318),$U$2:$U$1001,0),1)&gt;=100000,INDEX($AB$1005:$AQ$1005,1,MATCH(COLUMNS($AB$1006:AF1006),$AB$1006:$AQ$1006,0))&gt;=100000), " ",IF(INDEX($AB$2:$AQ$1001,MATCH(ROWS($U$2:U318),$U$2:$U$1001,0),MATCH(COLUMNS($AB$1006:AF1006),$AB$1006:$AQ$1006,0)), HYPERLINK("#",""), HYPERLINK(CONCATENATE("#Metadata!", ADDRESS(INDEX($W$2:$W$1001,MATCH(ROWS($U$2:U318),$U$2:$U$1001,0),0), INDEX($AB$1004:$AQ$1004,1,MATCH(COLUMNS($AB$1006:AF1006),$AB$1006:$AQ$1006,0)))),"Fix")))</f>
        <v>0</v>
      </c>
      <c r="G318" s="5">
        <f>IF(OR(INDEX($V$2:$V$1001,MATCH(ROWS($U$2:U318),$U$2:$U$1001,0),1)&gt;=100000,INDEX($AB$1005:$AQ$1005,1,MATCH(COLUMNS($AB$1006:AG1006),$AB$1006:$AQ$1006,0))&gt;=100000), " ",IF(INDEX($AB$2:$AQ$1001,MATCH(ROWS($U$2:U318),$U$2:$U$1001,0),MATCH(COLUMNS($AB$1006:AG1006),$AB$1006:$AQ$1006,0)), HYPERLINK("#",""), HYPERLINK(CONCATENATE("#Metadata!", ADDRESS(INDEX($W$2:$W$1001,MATCH(ROWS($U$2:U318),$U$2:$U$1001,0),0), INDEX($AB$1004:$AQ$1004,1,MATCH(COLUMNS($AB$1006:AG1006),$AB$1006:$AQ$1006,0)))),"Fix")))</f>
        <v>0</v>
      </c>
      <c r="H318" s="5">
        <f>IF(OR(INDEX($V$2:$V$1001,MATCH(ROWS($U$2:U318),$U$2:$U$1001,0),1)&gt;=100000,INDEX($AB$1005:$AQ$1005,1,MATCH(COLUMNS($AB$1006:AH1006),$AB$1006:$AQ$1006,0))&gt;=100000), " ",IF(INDEX($AB$2:$AQ$1001,MATCH(ROWS($U$2:U318),$U$2:$U$1001,0),MATCH(COLUMNS($AB$1006:AH1006),$AB$1006:$AQ$1006,0)), HYPERLINK("#",""), HYPERLINK(CONCATENATE("#Metadata!", ADDRESS(INDEX($W$2:$W$1001,MATCH(ROWS($U$2:U318),$U$2:$U$1001,0),0), INDEX($AB$1004:$AQ$1004,1,MATCH(COLUMNS($AB$1006:AH1006),$AB$1006:$AQ$1006,0)))),"Fix")))</f>
        <v>0</v>
      </c>
      <c r="I318" s="5">
        <f>IF(OR(INDEX($V$2:$V$1001,MATCH(ROWS($U$2:U318),$U$2:$U$1001,0),1)&gt;=100000,INDEX($AB$1005:$AQ$1005,1,MATCH(COLUMNS($AB$1006:AI1006),$AB$1006:$AQ$1006,0))&gt;=100000), " ",IF(INDEX($AB$2:$AQ$1001,MATCH(ROWS($U$2:U318),$U$2:$U$1001,0),MATCH(COLUMNS($AB$1006:AI1006),$AB$1006:$AQ$1006,0)), HYPERLINK("#",""), HYPERLINK(CONCATENATE("#Metadata!", ADDRESS(INDEX($W$2:$W$1001,MATCH(ROWS($U$2:U318),$U$2:$U$1001,0),0), INDEX($AB$1004:$AQ$1004,1,MATCH(COLUMNS($AB$1006:AI1006),$AB$1006:$AQ$1006,0)))),"Fix")))</f>
        <v>0</v>
      </c>
      <c r="J318" s="5">
        <f>IF(OR(INDEX($V$2:$V$1001,MATCH(ROWS($U$2:U318),$U$2:$U$1001,0),1)&gt;=100000,INDEX($AB$1005:$AQ$1005,1,MATCH(COLUMNS($AB$1006:AJ1006),$AB$1006:$AQ$1006,0))&gt;=100000), " ",IF(INDEX($AB$2:$AQ$1001,MATCH(ROWS($U$2:U318),$U$2:$U$1001,0),MATCH(COLUMNS($AB$1006:AJ1006),$AB$1006:$AQ$1006,0)), HYPERLINK("#",""), HYPERLINK(CONCATENATE("#Metadata!", ADDRESS(INDEX($W$2:$W$1001,MATCH(ROWS($U$2:U318),$U$2:$U$1001,0),0), INDEX($AB$1004:$AQ$1004,1,MATCH(COLUMNS($AB$1006:AJ1006),$AB$1006:$AQ$1006,0)))),"Fix")))</f>
        <v>0</v>
      </c>
      <c r="K318" s="5">
        <f>IF(OR(INDEX($V$2:$V$1001,MATCH(ROWS($U$2:U318),$U$2:$U$1001,0),1)&gt;=100000,INDEX($AB$1005:$AQ$1005,1,MATCH(COLUMNS($AB$1006:AK1006),$AB$1006:$AQ$1006,0))&gt;=100000), " ",IF(INDEX($AB$2:$AQ$1001,MATCH(ROWS($U$2:U318),$U$2:$U$1001,0),MATCH(COLUMNS($AB$1006:AK1006),$AB$1006:$AQ$1006,0)), HYPERLINK("#",""), HYPERLINK(CONCATENATE("#Metadata!", ADDRESS(INDEX($W$2:$W$1001,MATCH(ROWS($U$2:U318),$U$2:$U$1001,0),0), INDEX($AB$1004:$AQ$1004,1,MATCH(COLUMNS($AB$1006:AK1006),$AB$1006:$AQ$1006,0)))),"Fix")))</f>
        <v>0</v>
      </c>
      <c r="L318" s="5">
        <f>IF(OR(INDEX($V$2:$V$1001,MATCH(ROWS($U$2:U318),$U$2:$U$1001,0),1)&gt;=100000,INDEX($AB$1005:$AQ$1005,1,MATCH(COLUMNS($AB$1006:AL1006),$AB$1006:$AQ$1006,0))&gt;=100000), " ",IF(INDEX($AB$2:$AQ$1001,MATCH(ROWS($U$2:U318),$U$2:$U$1001,0),MATCH(COLUMNS($AB$1006:AL1006),$AB$1006:$AQ$1006,0)), HYPERLINK("#",""), HYPERLINK(CONCATENATE("#Metadata!", ADDRESS(INDEX($W$2:$W$1001,MATCH(ROWS($U$2:U318),$U$2:$U$1001,0),0), INDEX($AB$1004:$AQ$1004,1,MATCH(COLUMNS($AB$1006:AL1006),$AB$1006:$AQ$1006,0)))),"Fix")))</f>
        <v>0</v>
      </c>
      <c r="M318" s="5">
        <f>IF(OR(INDEX($V$2:$V$1001,MATCH(ROWS($U$2:U318),$U$2:$U$1001,0),1)&gt;=100000,INDEX($AB$1005:$AQ$1005,1,MATCH(COLUMNS($AB$1006:AM1006),$AB$1006:$AQ$1006,0))&gt;=100000), " ",IF(INDEX($AB$2:$AQ$1001,MATCH(ROWS($U$2:U318),$U$2:$U$1001,0),MATCH(COLUMNS($AB$1006:AM1006),$AB$1006:$AQ$1006,0)), HYPERLINK("#",""), HYPERLINK(CONCATENATE("#Metadata!", ADDRESS(INDEX($W$2:$W$1001,MATCH(ROWS($U$2:U318),$U$2:$U$1001,0),0), INDEX($AB$1004:$AQ$1004,1,MATCH(COLUMNS($AB$1006:AM1006),$AB$1006:$AQ$1006,0)))),"Fix")))</f>
        <v>0</v>
      </c>
      <c r="N318" s="5">
        <f>IF(OR(INDEX($V$2:$V$1001,MATCH(ROWS($U$2:U318),$U$2:$U$1001,0),1)&gt;=100000,INDEX($AB$1005:$AQ$1005,1,MATCH(COLUMNS($AB$1006:AN1006),$AB$1006:$AQ$1006,0))&gt;=100000), " ",IF(INDEX($AB$2:$AQ$1001,MATCH(ROWS($U$2:U318),$U$2:$U$1001,0),MATCH(COLUMNS($AB$1006:AN1006),$AB$1006:$AQ$1006,0)), HYPERLINK("#",""), HYPERLINK(CONCATENATE("#Metadata!", ADDRESS(INDEX($W$2:$W$1001,MATCH(ROWS($U$2:U318),$U$2:$U$1001,0),0), INDEX($AB$1004:$AQ$1004,1,MATCH(COLUMNS($AB$1006:AN1006),$AB$1006:$AQ$1006,0)))),"Fix")))</f>
        <v>0</v>
      </c>
      <c r="O318" s="5">
        <f>IF(OR(INDEX($V$2:$V$1001,MATCH(ROWS($U$2:U318),$U$2:$U$1001,0),1)&gt;=100000,INDEX($AB$1005:$AQ$1005,1,MATCH(COLUMNS($AB$1006:AO1006),$AB$1006:$AQ$1006,0))&gt;=100000), " ",IF(INDEX($AB$2:$AQ$1001,MATCH(ROWS($U$2:U318),$U$2:$U$1001,0),MATCH(COLUMNS($AB$1006:AO1006),$AB$1006:$AQ$1006,0)), HYPERLINK("#",""), HYPERLINK(CONCATENATE("#Metadata!", ADDRESS(INDEX($W$2:$W$1001,MATCH(ROWS($U$2:U318),$U$2:$U$1001,0),0), INDEX($AB$1004:$AQ$1004,1,MATCH(COLUMNS($AB$1006:AO1006),$AB$1006:$AQ$1006,0)))),"Fix")))</f>
        <v>0</v>
      </c>
      <c r="P318" s="5">
        <f>IF(OR(INDEX($V$2:$V$1001,MATCH(ROWS($U$2:U318),$U$2:$U$1001,0),1)&gt;=100000,INDEX($AB$1005:$AQ$1005,1,MATCH(COLUMNS($AB$1006:AP1006),$AB$1006:$AQ$1006,0))&gt;=100000), " ",IF(INDEX($AB$2:$AQ$1001,MATCH(ROWS($U$2:U318),$U$2:$U$1001,0),MATCH(COLUMNS($AB$1006:AP1006),$AB$1006:$AQ$1006,0)), HYPERLINK("#",""), HYPERLINK(CONCATENATE("#Metadata!", ADDRESS(INDEX($W$2:$W$1001,MATCH(ROWS($U$2:U318),$U$2:$U$1001,0),0), INDEX($AB$1004:$AQ$1004,1,MATCH(COLUMNS($AB$1006:AP1006),$AB$1006:$AQ$1006,0)))),"Fix")))</f>
        <v>0</v>
      </c>
      <c r="Q318" s="5">
        <f>IF(OR(INDEX($V$2:$V$1001,MATCH(ROWS($U$2:U318),$U$2:$U$1001,0),1)&gt;=100000,INDEX($AB$1005:$AQ$1005,1,MATCH(COLUMNS($AB$1006:AQ1006),$AB$1006:$AQ$1006,0))&gt;=100000), " ",IF(INDEX($AB$2:$AQ$1001,MATCH(ROWS($U$2:U318),$U$2:$U$1001,0),MATCH(COLUMNS($AB$1006:AQ1006),$AB$1006:$AQ$1006,0)), HYPERLINK("#",""), HYPERLINK(CONCATENATE("#Metadata!", ADDRESS(INDEX($W$2:$W$1001,MATCH(ROWS($U$2:U318),$U$2:$U$1001,0),0), INDEX($AB$1004:$AQ$1004,1,MATCH(COLUMNS($AB$1006:AQ1006),$AB$1006:$AQ$1006,0)))),"Fix")))</f>
        <v>0</v>
      </c>
      <c r="U318">
        <v>0</v>
      </c>
      <c r="V318">
        <v>0</v>
      </c>
      <c r="W318">
        <v>0</v>
      </c>
      <c r="X318">
        <f>IF(Y318,TRUE,AND(AB318:AQ318))</f>
        <v>0</v>
      </c>
      <c r="Y318">
        <f>COUNTBLANK(Metadata!B318:Q318)=COLUMNS(Metadata!B318:Q318)</f>
        <v>0</v>
      </c>
      <c r="Z318">
        <v>0</v>
      </c>
      <c r="AB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AC318">
        <f>AND(IF(Metadata!C318="",FALSE,TRUE),exact(Metadata!C318,"urban biome"))</f>
        <v>0</v>
      </c>
      <c r="AD318">
        <f>AND(IF(Metadata!D318="",FALSE,TRUE),exact(Metadata!D318,"human-associated habitat"))</f>
        <v>0</v>
      </c>
      <c r="AE318">
        <f>AND(IF(Metadata!E318="",FALSE,TRUE),OR(exact(Metadata!E318,"human-associated"),exact(Metadata!E318,"human-skin"),exact(Metadata!E318,"human-oral"),exact(Metadata!E318,"human-gut"),exact(Metadata!E318,"human-vaginal")))</f>
        <v>0</v>
      </c>
      <c r="AF318">
        <f>AND(IF(Metadata!F318="",FALSE,ISNUMBER(VALUE(Metadata!F318))),Metadata!F318&gt;0)</f>
        <v>0</v>
      </c>
      <c r="AG318">
        <f>AND(IF(Metadata!G318="",FALSE,TRUE),exact(Metadata!G318,"years"))</f>
        <v>0</v>
      </c>
      <c r="AH318">
        <f>OR(AND(IF(Metadata!H318="",FALSE,TRUE),OR(exact(Metadata!H318,"not applicable"),exact(Metadata!H318,"not collected"),exact(Metadata!H318,"not provided"),exact(Metadata!H318,"restricted access"))),AND(IF(Metadata!H318="",FALSE,ISNUMBER(VALUE(Metadata!H318))),Metadata!H318&gt;0))</f>
        <v>0</v>
      </c>
      <c r="AI318">
        <f>AND(IF(Metadata!I318="",FALSE,TRUE),exact(Metadata!I318,"human"))</f>
        <v>0</v>
      </c>
      <c r="AJ318">
        <f>AND(IF(Metadata!J318="",FALSE,ISNUMBER(VALUE(Metadata!J318))),Metadata!J318&gt;0)</f>
        <v>0</v>
      </c>
      <c r="AK318">
        <f>AND(IF(Metadata!K318="",FALSE,TRUE),exact(Metadata!K318,"cm"))</f>
        <v>0</v>
      </c>
      <c r="AL318">
        <f>AND(IF(Metadata!L318="",FALSE,TRUE),exact(Metadata!L318,"Homo sapiens"))</f>
        <v>0</v>
      </c>
      <c r="AM318">
        <f>AND(IF(Metadata!M318="",FALSE,TRUE),exact(Metadata!M318,"9606"))</f>
        <v>0</v>
      </c>
      <c r="AN318">
        <f>AND(IF(Metadata!N318="",FALSE,ISNUMBER(VALUE(Metadata!N318))),Metadata!N318&gt;0)</f>
        <v>0</v>
      </c>
      <c r="AO318">
        <f>AND(IF(Metadata!O318="",FALSE,TRUE),exact(Metadata!O318,"kg"))</f>
        <v>0</v>
      </c>
      <c r="AP318">
        <f>OR(AND(IF(Metadata!P318="",FALSE,TRUE),exact(Metadata!P318,"not provided")),IF(Metadata!P318="",FALSE,TRUE))</f>
        <v>0</v>
      </c>
      <c r="AQ318">
        <f>OR(AND(IF(Metadata!Q318="",FALSE,TRUE),exact(Metadata!Q318,"not provided")),IF(Metadata!Q318="",FALSE,TRUE))</f>
        <v>0</v>
      </c>
    </row>
    <row r="319" spans="1:43">
      <c r="A319" s="4">
        <f>IF(B319=" "," ",HYPERLINK(CONCATENATE("#metadata!",ADDRESS(INDEX($W$2:$W$1001,MATCH(ROWS($U$2:U319),$U$2:$U$1001,0),0),2)),INDEX($Z$2:$Z$1001,MATCH(ROWS($U$2:U319),$U$2:$U$1001,0),0)))</f>
        <v>0</v>
      </c>
      <c r="B319" s="5">
        <f>IF(OR(INDEX($V$2:$V$1001,MATCH(ROWS($U$2:U319),$U$2:$U$1001,0),1)&gt;=100000,INDEX($AB$1005:$AQ$1005,1,MATCH(COLUMNS($AB$1006:AB1006),$AB$1006:$AQ$1006,0))&gt;=100000), " ",IF(INDEX($AB$2:$AQ$1001,MATCH(ROWS($U$2:U319),$U$2:$U$1001,0),MATCH(COLUMNS($AB$1006:AB1006),$AB$1006:$AQ$1006,0)), HYPERLINK("#",""), HYPERLINK(CONCATENATE("#Metadata!", ADDRESS(INDEX($W$2:$W$1001,MATCH(ROWS($U$2:U319),$U$2:$U$1001,0),0), INDEX($AB$1004:$AQ$1004,1,MATCH(COLUMNS($AB$1006:AB1006),$AB$1006:$AQ$1006,0)))),"Fix")))</f>
        <v>0</v>
      </c>
      <c r="C319" s="5">
        <f>IF(OR(INDEX($V$2:$V$1001,MATCH(ROWS($U$2:U319),$U$2:$U$1001,0),1)&gt;=100000,INDEX($AB$1005:$AQ$1005,1,MATCH(COLUMNS($AB$1006:AC1006),$AB$1006:$AQ$1006,0))&gt;=100000), " ",IF(INDEX($AB$2:$AQ$1001,MATCH(ROWS($U$2:U319),$U$2:$U$1001,0),MATCH(COLUMNS($AB$1006:AC1006),$AB$1006:$AQ$1006,0)), HYPERLINK("#",""), HYPERLINK(CONCATENATE("#Metadata!", ADDRESS(INDEX($W$2:$W$1001,MATCH(ROWS($U$2:U319),$U$2:$U$1001,0),0), INDEX($AB$1004:$AQ$1004,1,MATCH(COLUMNS($AB$1006:AC1006),$AB$1006:$AQ$1006,0)))),"Fix")))</f>
        <v>0</v>
      </c>
      <c r="D319" s="5">
        <f>IF(OR(INDEX($V$2:$V$1001,MATCH(ROWS($U$2:U319),$U$2:$U$1001,0),1)&gt;=100000,INDEX($AB$1005:$AQ$1005,1,MATCH(COLUMNS($AB$1006:AD1006),$AB$1006:$AQ$1006,0))&gt;=100000), " ",IF(INDEX($AB$2:$AQ$1001,MATCH(ROWS($U$2:U319),$U$2:$U$1001,0),MATCH(COLUMNS($AB$1006:AD1006),$AB$1006:$AQ$1006,0)), HYPERLINK("#",""), HYPERLINK(CONCATENATE("#Metadata!", ADDRESS(INDEX($W$2:$W$1001,MATCH(ROWS($U$2:U319),$U$2:$U$1001,0),0), INDEX($AB$1004:$AQ$1004,1,MATCH(COLUMNS($AB$1006:AD1006),$AB$1006:$AQ$1006,0)))),"Fix")))</f>
        <v>0</v>
      </c>
      <c r="E319" s="5">
        <f>IF(OR(INDEX($V$2:$V$1001,MATCH(ROWS($U$2:U319),$U$2:$U$1001,0),1)&gt;=100000,INDEX($AB$1005:$AQ$1005,1,MATCH(COLUMNS($AB$1006:AE1006),$AB$1006:$AQ$1006,0))&gt;=100000), " ",IF(INDEX($AB$2:$AQ$1001,MATCH(ROWS($U$2:U319),$U$2:$U$1001,0),MATCH(COLUMNS($AB$1006:AE1006),$AB$1006:$AQ$1006,0)), HYPERLINK("#",""), HYPERLINK(CONCATENATE("#Metadata!", ADDRESS(INDEX($W$2:$W$1001,MATCH(ROWS($U$2:U319),$U$2:$U$1001,0),0), INDEX($AB$1004:$AQ$1004,1,MATCH(COLUMNS($AB$1006:AE1006),$AB$1006:$AQ$1006,0)))),"Fix")))</f>
        <v>0</v>
      </c>
      <c r="F319" s="5">
        <f>IF(OR(INDEX($V$2:$V$1001,MATCH(ROWS($U$2:U319),$U$2:$U$1001,0),1)&gt;=100000,INDEX($AB$1005:$AQ$1005,1,MATCH(COLUMNS($AB$1006:AF1006),$AB$1006:$AQ$1006,0))&gt;=100000), " ",IF(INDEX($AB$2:$AQ$1001,MATCH(ROWS($U$2:U319),$U$2:$U$1001,0),MATCH(COLUMNS($AB$1006:AF1006),$AB$1006:$AQ$1006,0)), HYPERLINK("#",""), HYPERLINK(CONCATENATE("#Metadata!", ADDRESS(INDEX($W$2:$W$1001,MATCH(ROWS($U$2:U319),$U$2:$U$1001,0),0), INDEX($AB$1004:$AQ$1004,1,MATCH(COLUMNS($AB$1006:AF1006),$AB$1006:$AQ$1006,0)))),"Fix")))</f>
        <v>0</v>
      </c>
      <c r="G319" s="5">
        <f>IF(OR(INDEX($V$2:$V$1001,MATCH(ROWS($U$2:U319),$U$2:$U$1001,0),1)&gt;=100000,INDEX($AB$1005:$AQ$1005,1,MATCH(COLUMNS($AB$1006:AG1006),$AB$1006:$AQ$1006,0))&gt;=100000), " ",IF(INDEX($AB$2:$AQ$1001,MATCH(ROWS($U$2:U319),$U$2:$U$1001,0),MATCH(COLUMNS($AB$1006:AG1006),$AB$1006:$AQ$1006,0)), HYPERLINK("#",""), HYPERLINK(CONCATENATE("#Metadata!", ADDRESS(INDEX($W$2:$W$1001,MATCH(ROWS($U$2:U319),$U$2:$U$1001,0),0), INDEX($AB$1004:$AQ$1004,1,MATCH(COLUMNS($AB$1006:AG1006),$AB$1006:$AQ$1006,0)))),"Fix")))</f>
        <v>0</v>
      </c>
      <c r="H319" s="5">
        <f>IF(OR(INDEX($V$2:$V$1001,MATCH(ROWS($U$2:U319),$U$2:$U$1001,0),1)&gt;=100000,INDEX($AB$1005:$AQ$1005,1,MATCH(COLUMNS($AB$1006:AH1006),$AB$1006:$AQ$1006,0))&gt;=100000), " ",IF(INDEX($AB$2:$AQ$1001,MATCH(ROWS($U$2:U319),$U$2:$U$1001,0),MATCH(COLUMNS($AB$1006:AH1006),$AB$1006:$AQ$1006,0)), HYPERLINK("#",""), HYPERLINK(CONCATENATE("#Metadata!", ADDRESS(INDEX($W$2:$W$1001,MATCH(ROWS($U$2:U319),$U$2:$U$1001,0),0), INDEX($AB$1004:$AQ$1004,1,MATCH(COLUMNS($AB$1006:AH1006),$AB$1006:$AQ$1006,0)))),"Fix")))</f>
        <v>0</v>
      </c>
      <c r="I319" s="5">
        <f>IF(OR(INDEX($V$2:$V$1001,MATCH(ROWS($U$2:U319),$U$2:$U$1001,0),1)&gt;=100000,INDEX($AB$1005:$AQ$1005,1,MATCH(COLUMNS($AB$1006:AI1006),$AB$1006:$AQ$1006,0))&gt;=100000), " ",IF(INDEX($AB$2:$AQ$1001,MATCH(ROWS($U$2:U319),$U$2:$U$1001,0),MATCH(COLUMNS($AB$1006:AI1006),$AB$1006:$AQ$1006,0)), HYPERLINK("#",""), HYPERLINK(CONCATENATE("#Metadata!", ADDRESS(INDEX($W$2:$W$1001,MATCH(ROWS($U$2:U319),$U$2:$U$1001,0),0), INDEX($AB$1004:$AQ$1004,1,MATCH(COLUMNS($AB$1006:AI1006),$AB$1006:$AQ$1006,0)))),"Fix")))</f>
        <v>0</v>
      </c>
      <c r="J319" s="5">
        <f>IF(OR(INDEX($V$2:$V$1001,MATCH(ROWS($U$2:U319),$U$2:$U$1001,0),1)&gt;=100000,INDEX($AB$1005:$AQ$1005,1,MATCH(COLUMNS($AB$1006:AJ1006),$AB$1006:$AQ$1006,0))&gt;=100000), " ",IF(INDEX($AB$2:$AQ$1001,MATCH(ROWS($U$2:U319),$U$2:$U$1001,0),MATCH(COLUMNS($AB$1006:AJ1006),$AB$1006:$AQ$1006,0)), HYPERLINK("#",""), HYPERLINK(CONCATENATE("#Metadata!", ADDRESS(INDEX($W$2:$W$1001,MATCH(ROWS($U$2:U319),$U$2:$U$1001,0),0), INDEX($AB$1004:$AQ$1004,1,MATCH(COLUMNS($AB$1006:AJ1006),$AB$1006:$AQ$1006,0)))),"Fix")))</f>
        <v>0</v>
      </c>
      <c r="K319" s="5">
        <f>IF(OR(INDEX($V$2:$V$1001,MATCH(ROWS($U$2:U319),$U$2:$U$1001,0),1)&gt;=100000,INDEX($AB$1005:$AQ$1005,1,MATCH(COLUMNS($AB$1006:AK1006),$AB$1006:$AQ$1006,0))&gt;=100000), " ",IF(INDEX($AB$2:$AQ$1001,MATCH(ROWS($U$2:U319),$U$2:$U$1001,0),MATCH(COLUMNS($AB$1006:AK1006),$AB$1006:$AQ$1006,0)), HYPERLINK("#",""), HYPERLINK(CONCATENATE("#Metadata!", ADDRESS(INDEX($W$2:$W$1001,MATCH(ROWS($U$2:U319),$U$2:$U$1001,0),0), INDEX($AB$1004:$AQ$1004,1,MATCH(COLUMNS($AB$1006:AK1006),$AB$1006:$AQ$1006,0)))),"Fix")))</f>
        <v>0</v>
      </c>
      <c r="L319" s="5">
        <f>IF(OR(INDEX($V$2:$V$1001,MATCH(ROWS($U$2:U319),$U$2:$U$1001,0),1)&gt;=100000,INDEX($AB$1005:$AQ$1005,1,MATCH(COLUMNS($AB$1006:AL1006),$AB$1006:$AQ$1006,0))&gt;=100000), " ",IF(INDEX($AB$2:$AQ$1001,MATCH(ROWS($U$2:U319),$U$2:$U$1001,0),MATCH(COLUMNS($AB$1006:AL1006),$AB$1006:$AQ$1006,0)), HYPERLINK("#",""), HYPERLINK(CONCATENATE("#Metadata!", ADDRESS(INDEX($W$2:$W$1001,MATCH(ROWS($U$2:U319),$U$2:$U$1001,0),0), INDEX($AB$1004:$AQ$1004,1,MATCH(COLUMNS($AB$1006:AL1006),$AB$1006:$AQ$1006,0)))),"Fix")))</f>
        <v>0</v>
      </c>
      <c r="M319" s="5">
        <f>IF(OR(INDEX($V$2:$V$1001,MATCH(ROWS($U$2:U319),$U$2:$U$1001,0),1)&gt;=100000,INDEX($AB$1005:$AQ$1005,1,MATCH(COLUMNS($AB$1006:AM1006),$AB$1006:$AQ$1006,0))&gt;=100000), " ",IF(INDEX($AB$2:$AQ$1001,MATCH(ROWS($U$2:U319),$U$2:$U$1001,0),MATCH(COLUMNS($AB$1006:AM1006),$AB$1006:$AQ$1006,0)), HYPERLINK("#",""), HYPERLINK(CONCATENATE("#Metadata!", ADDRESS(INDEX($W$2:$W$1001,MATCH(ROWS($U$2:U319),$U$2:$U$1001,0),0), INDEX($AB$1004:$AQ$1004,1,MATCH(COLUMNS($AB$1006:AM1006),$AB$1006:$AQ$1006,0)))),"Fix")))</f>
        <v>0</v>
      </c>
      <c r="N319" s="5">
        <f>IF(OR(INDEX($V$2:$V$1001,MATCH(ROWS($U$2:U319),$U$2:$U$1001,0),1)&gt;=100000,INDEX($AB$1005:$AQ$1005,1,MATCH(COLUMNS($AB$1006:AN1006),$AB$1006:$AQ$1006,0))&gt;=100000), " ",IF(INDEX($AB$2:$AQ$1001,MATCH(ROWS($U$2:U319),$U$2:$U$1001,0),MATCH(COLUMNS($AB$1006:AN1006),$AB$1006:$AQ$1006,0)), HYPERLINK("#",""), HYPERLINK(CONCATENATE("#Metadata!", ADDRESS(INDEX($W$2:$W$1001,MATCH(ROWS($U$2:U319),$U$2:$U$1001,0),0), INDEX($AB$1004:$AQ$1004,1,MATCH(COLUMNS($AB$1006:AN1006),$AB$1006:$AQ$1006,0)))),"Fix")))</f>
        <v>0</v>
      </c>
      <c r="O319" s="5">
        <f>IF(OR(INDEX($V$2:$V$1001,MATCH(ROWS($U$2:U319),$U$2:$U$1001,0),1)&gt;=100000,INDEX($AB$1005:$AQ$1005,1,MATCH(COLUMNS($AB$1006:AO1006),$AB$1006:$AQ$1006,0))&gt;=100000), " ",IF(INDEX($AB$2:$AQ$1001,MATCH(ROWS($U$2:U319),$U$2:$U$1001,0),MATCH(COLUMNS($AB$1006:AO1006),$AB$1006:$AQ$1006,0)), HYPERLINK("#",""), HYPERLINK(CONCATENATE("#Metadata!", ADDRESS(INDEX($W$2:$W$1001,MATCH(ROWS($U$2:U319),$U$2:$U$1001,0),0), INDEX($AB$1004:$AQ$1004,1,MATCH(COLUMNS($AB$1006:AO1006),$AB$1006:$AQ$1006,0)))),"Fix")))</f>
        <v>0</v>
      </c>
      <c r="P319" s="5">
        <f>IF(OR(INDEX($V$2:$V$1001,MATCH(ROWS($U$2:U319),$U$2:$U$1001,0),1)&gt;=100000,INDEX($AB$1005:$AQ$1005,1,MATCH(COLUMNS($AB$1006:AP1006),$AB$1006:$AQ$1006,0))&gt;=100000), " ",IF(INDEX($AB$2:$AQ$1001,MATCH(ROWS($U$2:U319),$U$2:$U$1001,0),MATCH(COLUMNS($AB$1006:AP1006),$AB$1006:$AQ$1006,0)), HYPERLINK("#",""), HYPERLINK(CONCATENATE("#Metadata!", ADDRESS(INDEX($W$2:$W$1001,MATCH(ROWS($U$2:U319),$U$2:$U$1001,0),0), INDEX($AB$1004:$AQ$1004,1,MATCH(COLUMNS($AB$1006:AP1006),$AB$1006:$AQ$1006,0)))),"Fix")))</f>
        <v>0</v>
      </c>
      <c r="Q319" s="5">
        <f>IF(OR(INDEX($V$2:$V$1001,MATCH(ROWS($U$2:U319),$U$2:$U$1001,0),1)&gt;=100000,INDEX($AB$1005:$AQ$1005,1,MATCH(COLUMNS($AB$1006:AQ1006),$AB$1006:$AQ$1006,0))&gt;=100000), " ",IF(INDEX($AB$2:$AQ$1001,MATCH(ROWS($U$2:U319),$U$2:$U$1001,0),MATCH(COLUMNS($AB$1006:AQ1006),$AB$1006:$AQ$1006,0)), HYPERLINK("#",""), HYPERLINK(CONCATENATE("#Metadata!", ADDRESS(INDEX($W$2:$W$1001,MATCH(ROWS($U$2:U319),$U$2:$U$1001,0),0), INDEX($AB$1004:$AQ$1004,1,MATCH(COLUMNS($AB$1006:AQ1006),$AB$1006:$AQ$1006,0)))),"Fix")))</f>
        <v>0</v>
      </c>
      <c r="U319">
        <v>0</v>
      </c>
      <c r="V319">
        <v>0</v>
      </c>
      <c r="W319">
        <v>0</v>
      </c>
      <c r="X319">
        <f>IF(Y319,TRUE,AND(AB319:AQ319))</f>
        <v>0</v>
      </c>
      <c r="Y319">
        <f>COUNTBLANK(Metadata!B319:Q319)=COLUMNS(Metadata!B319:Q319)</f>
        <v>0</v>
      </c>
      <c r="Z319">
        <v>0</v>
      </c>
      <c r="AB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AC319">
        <f>AND(IF(Metadata!C319="",FALSE,TRUE),exact(Metadata!C319,"urban biome"))</f>
        <v>0</v>
      </c>
      <c r="AD319">
        <f>AND(IF(Metadata!D319="",FALSE,TRUE),exact(Metadata!D319,"human-associated habitat"))</f>
        <v>0</v>
      </c>
      <c r="AE319">
        <f>AND(IF(Metadata!E319="",FALSE,TRUE),OR(exact(Metadata!E319,"human-associated"),exact(Metadata!E319,"human-skin"),exact(Metadata!E319,"human-oral"),exact(Metadata!E319,"human-gut"),exact(Metadata!E319,"human-vaginal")))</f>
        <v>0</v>
      </c>
      <c r="AF319">
        <f>AND(IF(Metadata!F319="",FALSE,ISNUMBER(VALUE(Metadata!F319))),Metadata!F319&gt;0)</f>
        <v>0</v>
      </c>
      <c r="AG319">
        <f>AND(IF(Metadata!G319="",FALSE,TRUE),exact(Metadata!G319,"years"))</f>
        <v>0</v>
      </c>
      <c r="AH319">
        <f>OR(AND(IF(Metadata!H319="",FALSE,TRUE),OR(exact(Metadata!H319,"not applicable"),exact(Metadata!H319,"not collected"),exact(Metadata!H319,"not provided"),exact(Metadata!H319,"restricted access"))),AND(IF(Metadata!H319="",FALSE,ISNUMBER(VALUE(Metadata!H319))),Metadata!H319&gt;0))</f>
        <v>0</v>
      </c>
      <c r="AI319">
        <f>AND(IF(Metadata!I319="",FALSE,TRUE),exact(Metadata!I319,"human"))</f>
        <v>0</v>
      </c>
      <c r="AJ319">
        <f>AND(IF(Metadata!J319="",FALSE,ISNUMBER(VALUE(Metadata!J319))),Metadata!J319&gt;0)</f>
        <v>0</v>
      </c>
      <c r="AK319">
        <f>AND(IF(Metadata!K319="",FALSE,TRUE),exact(Metadata!K319,"cm"))</f>
        <v>0</v>
      </c>
      <c r="AL319">
        <f>AND(IF(Metadata!L319="",FALSE,TRUE),exact(Metadata!L319,"Homo sapiens"))</f>
        <v>0</v>
      </c>
      <c r="AM319">
        <f>AND(IF(Metadata!M319="",FALSE,TRUE),exact(Metadata!M319,"9606"))</f>
        <v>0</v>
      </c>
      <c r="AN319">
        <f>AND(IF(Metadata!N319="",FALSE,ISNUMBER(VALUE(Metadata!N319))),Metadata!N319&gt;0)</f>
        <v>0</v>
      </c>
      <c r="AO319">
        <f>AND(IF(Metadata!O319="",FALSE,TRUE),exact(Metadata!O319,"kg"))</f>
        <v>0</v>
      </c>
      <c r="AP319">
        <f>OR(AND(IF(Metadata!P319="",FALSE,TRUE),exact(Metadata!P319,"not provided")),IF(Metadata!P319="",FALSE,TRUE))</f>
        <v>0</v>
      </c>
      <c r="AQ319">
        <f>OR(AND(IF(Metadata!Q319="",FALSE,TRUE),exact(Metadata!Q319,"not provided")),IF(Metadata!Q319="",FALSE,TRUE))</f>
        <v>0</v>
      </c>
    </row>
    <row r="320" spans="1:43">
      <c r="A320" s="4">
        <f>IF(B320=" "," ",HYPERLINK(CONCATENATE("#metadata!",ADDRESS(INDEX($W$2:$W$1001,MATCH(ROWS($U$2:U320),$U$2:$U$1001,0),0),2)),INDEX($Z$2:$Z$1001,MATCH(ROWS($U$2:U320),$U$2:$U$1001,0),0)))</f>
        <v>0</v>
      </c>
      <c r="B320" s="5">
        <f>IF(OR(INDEX($V$2:$V$1001,MATCH(ROWS($U$2:U320),$U$2:$U$1001,0),1)&gt;=100000,INDEX($AB$1005:$AQ$1005,1,MATCH(COLUMNS($AB$1006:AB1006),$AB$1006:$AQ$1006,0))&gt;=100000), " ",IF(INDEX($AB$2:$AQ$1001,MATCH(ROWS($U$2:U320),$U$2:$U$1001,0),MATCH(COLUMNS($AB$1006:AB1006),$AB$1006:$AQ$1006,0)), HYPERLINK("#",""), HYPERLINK(CONCATENATE("#Metadata!", ADDRESS(INDEX($W$2:$W$1001,MATCH(ROWS($U$2:U320),$U$2:$U$1001,0),0), INDEX($AB$1004:$AQ$1004,1,MATCH(COLUMNS($AB$1006:AB1006),$AB$1006:$AQ$1006,0)))),"Fix")))</f>
        <v>0</v>
      </c>
      <c r="C320" s="5">
        <f>IF(OR(INDEX($V$2:$V$1001,MATCH(ROWS($U$2:U320),$U$2:$U$1001,0),1)&gt;=100000,INDEX($AB$1005:$AQ$1005,1,MATCH(COLUMNS($AB$1006:AC1006),$AB$1006:$AQ$1006,0))&gt;=100000), " ",IF(INDEX($AB$2:$AQ$1001,MATCH(ROWS($U$2:U320),$U$2:$U$1001,0),MATCH(COLUMNS($AB$1006:AC1006),$AB$1006:$AQ$1006,0)), HYPERLINK("#",""), HYPERLINK(CONCATENATE("#Metadata!", ADDRESS(INDEX($W$2:$W$1001,MATCH(ROWS($U$2:U320),$U$2:$U$1001,0),0), INDEX($AB$1004:$AQ$1004,1,MATCH(COLUMNS($AB$1006:AC1006),$AB$1006:$AQ$1006,0)))),"Fix")))</f>
        <v>0</v>
      </c>
      <c r="D320" s="5">
        <f>IF(OR(INDEX($V$2:$V$1001,MATCH(ROWS($U$2:U320),$U$2:$U$1001,0),1)&gt;=100000,INDEX($AB$1005:$AQ$1005,1,MATCH(COLUMNS($AB$1006:AD1006),$AB$1006:$AQ$1006,0))&gt;=100000), " ",IF(INDEX($AB$2:$AQ$1001,MATCH(ROWS($U$2:U320),$U$2:$U$1001,0),MATCH(COLUMNS($AB$1006:AD1006),$AB$1006:$AQ$1006,0)), HYPERLINK("#",""), HYPERLINK(CONCATENATE("#Metadata!", ADDRESS(INDEX($W$2:$W$1001,MATCH(ROWS($U$2:U320),$U$2:$U$1001,0),0), INDEX($AB$1004:$AQ$1004,1,MATCH(COLUMNS($AB$1006:AD1006),$AB$1006:$AQ$1006,0)))),"Fix")))</f>
        <v>0</v>
      </c>
      <c r="E320" s="5">
        <f>IF(OR(INDEX($V$2:$V$1001,MATCH(ROWS($U$2:U320),$U$2:$U$1001,0),1)&gt;=100000,INDEX($AB$1005:$AQ$1005,1,MATCH(COLUMNS($AB$1006:AE1006),$AB$1006:$AQ$1006,0))&gt;=100000), " ",IF(INDEX($AB$2:$AQ$1001,MATCH(ROWS($U$2:U320),$U$2:$U$1001,0),MATCH(COLUMNS($AB$1006:AE1006),$AB$1006:$AQ$1006,0)), HYPERLINK("#",""), HYPERLINK(CONCATENATE("#Metadata!", ADDRESS(INDEX($W$2:$W$1001,MATCH(ROWS($U$2:U320),$U$2:$U$1001,0),0), INDEX($AB$1004:$AQ$1004,1,MATCH(COLUMNS($AB$1006:AE1006),$AB$1006:$AQ$1006,0)))),"Fix")))</f>
        <v>0</v>
      </c>
      <c r="F320" s="5">
        <f>IF(OR(INDEX($V$2:$V$1001,MATCH(ROWS($U$2:U320),$U$2:$U$1001,0),1)&gt;=100000,INDEX($AB$1005:$AQ$1005,1,MATCH(COLUMNS($AB$1006:AF1006),$AB$1006:$AQ$1006,0))&gt;=100000), " ",IF(INDEX($AB$2:$AQ$1001,MATCH(ROWS($U$2:U320),$U$2:$U$1001,0),MATCH(COLUMNS($AB$1006:AF1006),$AB$1006:$AQ$1006,0)), HYPERLINK("#",""), HYPERLINK(CONCATENATE("#Metadata!", ADDRESS(INDEX($W$2:$W$1001,MATCH(ROWS($U$2:U320),$U$2:$U$1001,0),0), INDEX($AB$1004:$AQ$1004,1,MATCH(COLUMNS($AB$1006:AF1006),$AB$1006:$AQ$1006,0)))),"Fix")))</f>
        <v>0</v>
      </c>
      <c r="G320" s="5">
        <f>IF(OR(INDEX($V$2:$V$1001,MATCH(ROWS($U$2:U320),$U$2:$U$1001,0),1)&gt;=100000,INDEX($AB$1005:$AQ$1005,1,MATCH(COLUMNS($AB$1006:AG1006),$AB$1006:$AQ$1006,0))&gt;=100000), " ",IF(INDEX($AB$2:$AQ$1001,MATCH(ROWS($U$2:U320),$U$2:$U$1001,0),MATCH(COLUMNS($AB$1006:AG1006),$AB$1006:$AQ$1006,0)), HYPERLINK("#",""), HYPERLINK(CONCATENATE("#Metadata!", ADDRESS(INDEX($W$2:$W$1001,MATCH(ROWS($U$2:U320),$U$2:$U$1001,0),0), INDEX($AB$1004:$AQ$1004,1,MATCH(COLUMNS($AB$1006:AG1006),$AB$1006:$AQ$1006,0)))),"Fix")))</f>
        <v>0</v>
      </c>
      <c r="H320" s="5">
        <f>IF(OR(INDEX($V$2:$V$1001,MATCH(ROWS($U$2:U320),$U$2:$U$1001,0),1)&gt;=100000,INDEX($AB$1005:$AQ$1005,1,MATCH(COLUMNS($AB$1006:AH1006),$AB$1006:$AQ$1006,0))&gt;=100000), " ",IF(INDEX($AB$2:$AQ$1001,MATCH(ROWS($U$2:U320),$U$2:$U$1001,0),MATCH(COLUMNS($AB$1006:AH1006),$AB$1006:$AQ$1006,0)), HYPERLINK("#",""), HYPERLINK(CONCATENATE("#Metadata!", ADDRESS(INDEX($W$2:$W$1001,MATCH(ROWS($U$2:U320),$U$2:$U$1001,0),0), INDEX($AB$1004:$AQ$1004,1,MATCH(COLUMNS($AB$1006:AH1006),$AB$1006:$AQ$1006,0)))),"Fix")))</f>
        <v>0</v>
      </c>
      <c r="I320" s="5">
        <f>IF(OR(INDEX($V$2:$V$1001,MATCH(ROWS($U$2:U320),$U$2:$U$1001,0),1)&gt;=100000,INDEX($AB$1005:$AQ$1005,1,MATCH(COLUMNS($AB$1006:AI1006),$AB$1006:$AQ$1006,0))&gt;=100000), " ",IF(INDEX($AB$2:$AQ$1001,MATCH(ROWS($U$2:U320),$U$2:$U$1001,0),MATCH(COLUMNS($AB$1006:AI1006),$AB$1006:$AQ$1006,0)), HYPERLINK("#",""), HYPERLINK(CONCATENATE("#Metadata!", ADDRESS(INDEX($W$2:$W$1001,MATCH(ROWS($U$2:U320),$U$2:$U$1001,0),0), INDEX($AB$1004:$AQ$1004,1,MATCH(COLUMNS($AB$1006:AI1006),$AB$1006:$AQ$1006,0)))),"Fix")))</f>
        <v>0</v>
      </c>
      <c r="J320" s="5">
        <f>IF(OR(INDEX($V$2:$V$1001,MATCH(ROWS($U$2:U320),$U$2:$U$1001,0),1)&gt;=100000,INDEX($AB$1005:$AQ$1005,1,MATCH(COLUMNS($AB$1006:AJ1006),$AB$1006:$AQ$1006,0))&gt;=100000), " ",IF(INDEX($AB$2:$AQ$1001,MATCH(ROWS($U$2:U320),$U$2:$U$1001,0),MATCH(COLUMNS($AB$1006:AJ1006),$AB$1006:$AQ$1006,0)), HYPERLINK("#",""), HYPERLINK(CONCATENATE("#Metadata!", ADDRESS(INDEX($W$2:$W$1001,MATCH(ROWS($U$2:U320),$U$2:$U$1001,0),0), INDEX($AB$1004:$AQ$1004,1,MATCH(COLUMNS($AB$1006:AJ1006),$AB$1006:$AQ$1006,0)))),"Fix")))</f>
        <v>0</v>
      </c>
      <c r="K320" s="5">
        <f>IF(OR(INDEX($V$2:$V$1001,MATCH(ROWS($U$2:U320),$U$2:$U$1001,0),1)&gt;=100000,INDEX($AB$1005:$AQ$1005,1,MATCH(COLUMNS($AB$1006:AK1006),$AB$1006:$AQ$1006,0))&gt;=100000), " ",IF(INDEX($AB$2:$AQ$1001,MATCH(ROWS($U$2:U320),$U$2:$U$1001,0),MATCH(COLUMNS($AB$1006:AK1006),$AB$1006:$AQ$1006,0)), HYPERLINK("#",""), HYPERLINK(CONCATENATE("#Metadata!", ADDRESS(INDEX($W$2:$W$1001,MATCH(ROWS($U$2:U320),$U$2:$U$1001,0),0), INDEX($AB$1004:$AQ$1004,1,MATCH(COLUMNS($AB$1006:AK1006),$AB$1006:$AQ$1006,0)))),"Fix")))</f>
        <v>0</v>
      </c>
      <c r="L320" s="5">
        <f>IF(OR(INDEX($V$2:$V$1001,MATCH(ROWS($U$2:U320),$U$2:$U$1001,0),1)&gt;=100000,INDEX($AB$1005:$AQ$1005,1,MATCH(COLUMNS($AB$1006:AL1006),$AB$1006:$AQ$1006,0))&gt;=100000), " ",IF(INDEX($AB$2:$AQ$1001,MATCH(ROWS($U$2:U320),$U$2:$U$1001,0),MATCH(COLUMNS($AB$1006:AL1006),$AB$1006:$AQ$1006,0)), HYPERLINK("#",""), HYPERLINK(CONCATENATE("#Metadata!", ADDRESS(INDEX($W$2:$W$1001,MATCH(ROWS($U$2:U320),$U$2:$U$1001,0),0), INDEX($AB$1004:$AQ$1004,1,MATCH(COLUMNS($AB$1006:AL1006),$AB$1006:$AQ$1006,0)))),"Fix")))</f>
        <v>0</v>
      </c>
      <c r="M320" s="5">
        <f>IF(OR(INDEX($V$2:$V$1001,MATCH(ROWS($U$2:U320),$U$2:$U$1001,0),1)&gt;=100000,INDEX($AB$1005:$AQ$1005,1,MATCH(COLUMNS($AB$1006:AM1006),$AB$1006:$AQ$1006,0))&gt;=100000), " ",IF(INDEX($AB$2:$AQ$1001,MATCH(ROWS($U$2:U320),$U$2:$U$1001,0),MATCH(COLUMNS($AB$1006:AM1006),$AB$1006:$AQ$1006,0)), HYPERLINK("#",""), HYPERLINK(CONCATENATE("#Metadata!", ADDRESS(INDEX($W$2:$W$1001,MATCH(ROWS($U$2:U320),$U$2:$U$1001,0),0), INDEX($AB$1004:$AQ$1004,1,MATCH(COLUMNS($AB$1006:AM1006),$AB$1006:$AQ$1006,0)))),"Fix")))</f>
        <v>0</v>
      </c>
      <c r="N320" s="5">
        <f>IF(OR(INDEX($V$2:$V$1001,MATCH(ROWS($U$2:U320),$U$2:$U$1001,0),1)&gt;=100000,INDEX($AB$1005:$AQ$1005,1,MATCH(COLUMNS($AB$1006:AN1006),$AB$1006:$AQ$1006,0))&gt;=100000), " ",IF(INDEX($AB$2:$AQ$1001,MATCH(ROWS($U$2:U320),$U$2:$U$1001,0),MATCH(COLUMNS($AB$1006:AN1006),$AB$1006:$AQ$1006,0)), HYPERLINK("#",""), HYPERLINK(CONCATENATE("#Metadata!", ADDRESS(INDEX($W$2:$W$1001,MATCH(ROWS($U$2:U320),$U$2:$U$1001,0),0), INDEX($AB$1004:$AQ$1004,1,MATCH(COLUMNS($AB$1006:AN1006),$AB$1006:$AQ$1006,0)))),"Fix")))</f>
        <v>0</v>
      </c>
      <c r="O320" s="5">
        <f>IF(OR(INDEX($V$2:$V$1001,MATCH(ROWS($U$2:U320),$U$2:$U$1001,0),1)&gt;=100000,INDEX($AB$1005:$AQ$1005,1,MATCH(COLUMNS($AB$1006:AO1006),$AB$1006:$AQ$1006,0))&gt;=100000), " ",IF(INDEX($AB$2:$AQ$1001,MATCH(ROWS($U$2:U320),$U$2:$U$1001,0),MATCH(COLUMNS($AB$1006:AO1006),$AB$1006:$AQ$1006,0)), HYPERLINK("#",""), HYPERLINK(CONCATENATE("#Metadata!", ADDRESS(INDEX($W$2:$W$1001,MATCH(ROWS($U$2:U320),$U$2:$U$1001,0),0), INDEX($AB$1004:$AQ$1004,1,MATCH(COLUMNS($AB$1006:AO1006),$AB$1006:$AQ$1006,0)))),"Fix")))</f>
        <v>0</v>
      </c>
      <c r="P320" s="5">
        <f>IF(OR(INDEX($V$2:$V$1001,MATCH(ROWS($U$2:U320),$U$2:$U$1001,0),1)&gt;=100000,INDEX($AB$1005:$AQ$1005,1,MATCH(COLUMNS($AB$1006:AP1006),$AB$1006:$AQ$1006,0))&gt;=100000), " ",IF(INDEX($AB$2:$AQ$1001,MATCH(ROWS($U$2:U320),$U$2:$U$1001,0),MATCH(COLUMNS($AB$1006:AP1006),$AB$1006:$AQ$1006,0)), HYPERLINK("#",""), HYPERLINK(CONCATENATE("#Metadata!", ADDRESS(INDEX($W$2:$W$1001,MATCH(ROWS($U$2:U320),$U$2:$U$1001,0),0), INDEX($AB$1004:$AQ$1004,1,MATCH(COLUMNS($AB$1006:AP1006),$AB$1006:$AQ$1006,0)))),"Fix")))</f>
        <v>0</v>
      </c>
      <c r="Q320" s="5">
        <f>IF(OR(INDEX($V$2:$V$1001,MATCH(ROWS($U$2:U320),$U$2:$U$1001,0),1)&gt;=100000,INDEX($AB$1005:$AQ$1005,1,MATCH(COLUMNS($AB$1006:AQ1006),$AB$1006:$AQ$1006,0))&gt;=100000), " ",IF(INDEX($AB$2:$AQ$1001,MATCH(ROWS($U$2:U320),$U$2:$U$1001,0),MATCH(COLUMNS($AB$1006:AQ1006),$AB$1006:$AQ$1006,0)), HYPERLINK("#",""), HYPERLINK(CONCATENATE("#Metadata!", ADDRESS(INDEX($W$2:$W$1001,MATCH(ROWS($U$2:U320),$U$2:$U$1001,0),0), INDEX($AB$1004:$AQ$1004,1,MATCH(COLUMNS($AB$1006:AQ1006),$AB$1006:$AQ$1006,0)))),"Fix")))</f>
        <v>0</v>
      </c>
      <c r="U320">
        <v>0</v>
      </c>
      <c r="V320">
        <v>0</v>
      </c>
      <c r="W320">
        <v>0</v>
      </c>
      <c r="X320">
        <f>IF(Y320,TRUE,AND(AB320:AQ320))</f>
        <v>0</v>
      </c>
      <c r="Y320">
        <f>COUNTBLANK(Metadata!B320:Q320)=COLUMNS(Metadata!B320:Q320)</f>
        <v>0</v>
      </c>
      <c r="Z320">
        <v>0</v>
      </c>
      <c r="AB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AC320">
        <f>AND(IF(Metadata!C320="",FALSE,TRUE),exact(Metadata!C320,"urban biome"))</f>
        <v>0</v>
      </c>
      <c r="AD320">
        <f>AND(IF(Metadata!D320="",FALSE,TRUE),exact(Metadata!D320,"human-associated habitat"))</f>
        <v>0</v>
      </c>
      <c r="AE320">
        <f>AND(IF(Metadata!E320="",FALSE,TRUE),OR(exact(Metadata!E320,"human-associated"),exact(Metadata!E320,"human-skin"),exact(Metadata!E320,"human-oral"),exact(Metadata!E320,"human-gut"),exact(Metadata!E320,"human-vaginal")))</f>
        <v>0</v>
      </c>
      <c r="AF320">
        <f>AND(IF(Metadata!F320="",FALSE,ISNUMBER(VALUE(Metadata!F320))),Metadata!F320&gt;0)</f>
        <v>0</v>
      </c>
      <c r="AG320">
        <f>AND(IF(Metadata!G320="",FALSE,TRUE),exact(Metadata!G320,"years"))</f>
        <v>0</v>
      </c>
      <c r="AH320">
        <f>OR(AND(IF(Metadata!H320="",FALSE,TRUE),OR(exact(Metadata!H320,"not applicable"),exact(Metadata!H320,"not collected"),exact(Metadata!H320,"not provided"),exact(Metadata!H320,"restricted access"))),AND(IF(Metadata!H320="",FALSE,ISNUMBER(VALUE(Metadata!H320))),Metadata!H320&gt;0))</f>
        <v>0</v>
      </c>
      <c r="AI320">
        <f>AND(IF(Metadata!I320="",FALSE,TRUE),exact(Metadata!I320,"human"))</f>
        <v>0</v>
      </c>
      <c r="AJ320">
        <f>AND(IF(Metadata!J320="",FALSE,ISNUMBER(VALUE(Metadata!J320))),Metadata!J320&gt;0)</f>
        <v>0</v>
      </c>
      <c r="AK320">
        <f>AND(IF(Metadata!K320="",FALSE,TRUE),exact(Metadata!K320,"cm"))</f>
        <v>0</v>
      </c>
      <c r="AL320">
        <f>AND(IF(Metadata!L320="",FALSE,TRUE),exact(Metadata!L320,"Homo sapiens"))</f>
        <v>0</v>
      </c>
      <c r="AM320">
        <f>AND(IF(Metadata!M320="",FALSE,TRUE),exact(Metadata!M320,"9606"))</f>
        <v>0</v>
      </c>
      <c r="AN320">
        <f>AND(IF(Metadata!N320="",FALSE,ISNUMBER(VALUE(Metadata!N320))),Metadata!N320&gt;0)</f>
        <v>0</v>
      </c>
      <c r="AO320">
        <f>AND(IF(Metadata!O320="",FALSE,TRUE),exact(Metadata!O320,"kg"))</f>
        <v>0</v>
      </c>
      <c r="AP320">
        <f>OR(AND(IF(Metadata!P320="",FALSE,TRUE),exact(Metadata!P320,"not provided")),IF(Metadata!P320="",FALSE,TRUE))</f>
        <v>0</v>
      </c>
      <c r="AQ320">
        <f>OR(AND(IF(Metadata!Q320="",FALSE,TRUE),exact(Metadata!Q320,"not provided")),IF(Metadata!Q320="",FALSE,TRUE))</f>
        <v>0</v>
      </c>
    </row>
    <row r="321" spans="1:43">
      <c r="A321" s="4">
        <f>IF(B321=" "," ",HYPERLINK(CONCATENATE("#metadata!",ADDRESS(INDEX($W$2:$W$1001,MATCH(ROWS($U$2:U321),$U$2:$U$1001,0),0),2)),INDEX($Z$2:$Z$1001,MATCH(ROWS($U$2:U321),$U$2:$U$1001,0),0)))</f>
        <v>0</v>
      </c>
      <c r="B321" s="5">
        <f>IF(OR(INDEX($V$2:$V$1001,MATCH(ROWS($U$2:U321),$U$2:$U$1001,0),1)&gt;=100000,INDEX($AB$1005:$AQ$1005,1,MATCH(COLUMNS($AB$1006:AB1006),$AB$1006:$AQ$1006,0))&gt;=100000), " ",IF(INDEX($AB$2:$AQ$1001,MATCH(ROWS($U$2:U321),$U$2:$U$1001,0),MATCH(COLUMNS($AB$1006:AB1006),$AB$1006:$AQ$1006,0)), HYPERLINK("#",""), HYPERLINK(CONCATENATE("#Metadata!", ADDRESS(INDEX($W$2:$W$1001,MATCH(ROWS($U$2:U321),$U$2:$U$1001,0),0), INDEX($AB$1004:$AQ$1004,1,MATCH(COLUMNS($AB$1006:AB1006),$AB$1006:$AQ$1006,0)))),"Fix")))</f>
        <v>0</v>
      </c>
      <c r="C321" s="5">
        <f>IF(OR(INDEX($V$2:$V$1001,MATCH(ROWS($U$2:U321),$U$2:$U$1001,0),1)&gt;=100000,INDEX($AB$1005:$AQ$1005,1,MATCH(COLUMNS($AB$1006:AC1006),$AB$1006:$AQ$1006,0))&gt;=100000), " ",IF(INDEX($AB$2:$AQ$1001,MATCH(ROWS($U$2:U321),$U$2:$U$1001,0),MATCH(COLUMNS($AB$1006:AC1006),$AB$1006:$AQ$1006,0)), HYPERLINK("#",""), HYPERLINK(CONCATENATE("#Metadata!", ADDRESS(INDEX($W$2:$W$1001,MATCH(ROWS($U$2:U321),$U$2:$U$1001,0),0), INDEX($AB$1004:$AQ$1004,1,MATCH(COLUMNS($AB$1006:AC1006),$AB$1006:$AQ$1006,0)))),"Fix")))</f>
        <v>0</v>
      </c>
      <c r="D321" s="5">
        <f>IF(OR(INDEX($V$2:$V$1001,MATCH(ROWS($U$2:U321),$U$2:$U$1001,0),1)&gt;=100000,INDEX($AB$1005:$AQ$1005,1,MATCH(COLUMNS($AB$1006:AD1006),$AB$1006:$AQ$1006,0))&gt;=100000), " ",IF(INDEX($AB$2:$AQ$1001,MATCH(ROWS($U$2:U321),$U$2:$U$1001,0),MATCH(COLUMNS($AB$1006:AD1006),$AB$1006:$AQ$1006,0)), HYPERLINK("#",""), HYPERLINK(CONCATENATE("#Metadata!", ADDRESS(INDEX($W$2:$W$1001,MATCH(ROWS($U$2:U321),$U$2:$U$1001,0),0), INDEX($AB$1004:$AQ$1004,1,MATCH(COLUMNS($AB$1006:AD1006),$AB$1006:$AQ$1006,0)))),"Fix")))</f>
        <v>0</v>
      </c>
      <c r="E321" s="5">
        <f>IF(OR(INDEX($V$2:$V$1001,MATCH(ROWS($U$2:U321),$U$2:$U$1001,0),1)&gt;=100000,INDEX($AB$1005:$AQ$1005,1,MATCH(COLUMNS($AB$1006:AE1006),$AB$1006:$AQ$1006,0))&gt;=100000), " ",IF(INDEX($AB$2:$AQ$1001,MATCH(ROWS($U$2:U321),$U$2:$U$1001,0),MATCH(COLUMNS($AB$1006:AE1006),$AB$1006:$AQ$1006,0)), HYPERLINK("#",""), HYPERLINK(CONCATENATE("#Metadata!", ADDRESS(INDEX($W$2:$W$1001,MATCH(ROWS($U$2:U321),$U$2:$U$1001,0),0), INDEX($AB$1004:$AQ$1004,1,MATCH(COLUMNS($AB$1006:AE1006),$AB$1006:$AQ$1006,0)))),"Fix")))</f>
        <v>0</v>
      </c>
      <c r="F321" s="5">
        <f>IF(OR(INDEX($V$2:$V$1001,MATCH(ROWS($U$2:U321),$U$2:$U$1001,0),1)&gt;=100000,INDEX($AB$1005:$AQ$1005,1,MATCH(COLUMNS($AB$1006:AF1006),$AB$1006:$AQ$1006,0))&gt;=100000), " ",IF(INDEX($AB$2:$AQ$1001,MATCH(ROWS($U$2:U321),$U$2:$U$1001,0),MATCH(COLUMNS($AB$1006:AF1006),$AB$1006:$AQ$1006,0)), HYPERLINK("#",""), HYPERLINK(CONCATENATE("#Metadata!", ADDRESS(INDEX($W$2:$W$1001,MATCH(ROWS($U$2:U321),$U$2:$U$1001,0),0), INDEX($AB$1004:$AQ$1004,1,MATCH(COLUMNS($AB$1006:AF1006),$AB$1006:$AQ$1006,0)))),"Fix")))</f>
        <v>0</v>
      </c>
      <c r="G321" s="5">
        <f>IF(OR(INDEX($V$2:$V$1001,MATCH(ROWS($U$2:U321),$U$2:$U$1001,0),1)&gt;=100000,INDEX($AB$1005:$AQ$1005,1,MATCH(COLUMNS($AB$1006:AG1006),$AB$1006:$AQ$1006,0))&gt;=100000), " ",IF(INDEX($AB$2:$AQ$1001,MATCH(ROWS($U$2:U321),$U$2:$U$1001,0),MATCH(COLUMNS($AB$1006:AG1006),$AB$1006:$AQ$1006,0)), HYPERLINK("#",""), HYPERLINK(CONCATENATE("#Metadata!", ADDRESS(INDEX($W$2:$W$1001,MATCH(ROWS($U$2:U321),$U$2:$U$1001,0),0), INDEX($AB$1004:$AQ$1004,1,MATCH(COLUMNS($AB$1006:AG1006),$AB$1006:$AQ$1006,0)))),"Fix")))</f>
        <v>0</v>
      </c>
      <c r="H321" s="5">
        <f>IF(OR(INDEX($V$2:$V$1001,MATCH(ROWS($U$2:U321),$U$2:$U$1001,0),1)&gt;=100000,INDEX($AB$1005:$AQ$1005,1,MATCH(COLUMNS($AB$1006:AH1006),$AB$1006:$AQ$1006,0))&gt;=100000), " ",IF(INDEX($AB$2:$AQ$1001,MATCH(ROWS($U$2:U321),$U$2:$U$1001,0),MATCH(COLUMNS($AB$1006:AH1006),$AB$1006:$AQ$1006,0)), HYPERLINK("#",""), HYPERLINK(CONCATENATE("#Metadata!", ADDRESS(INDEX($W$2:$W$1001,MATCH(ROWS($U$2:U321),$U$2:$U$1001,0),0), INDEX($AB$1004:$AQ$1004,1,MATCH(COLUMNS($AB$1006:AH1006),$AB$1006:$AQ$1006,0)))),"Fix")))</f>
        <v>0</v>
      </c>
      <c r="I321" s="5">
        <f>IF(OR(INDEX($V$2:$V$1001,MATCH(ROWS($U$2:U321),$U$2:$U$1001,0),1)&gt;=100000,INDEX($AB$1005:$AQ$1005,1,MATCH(COLUMNS($AB$1006:AI1006),$AB$1006:$AQ$1006,0))&gt;=100000), " ",IF(INDEX($AB$2:$AQ$1001,MATCH(ROWS($U$2:U321),$U$2:$U$1001,0),MATCH(COLUMNS($AB$1006:AI1006),$AB$1006:$AQ$1006,0)), HYPERLINK("#",""), HYPERLINK(CONCATENATE("#Metadata!", ADDRESS(INDEX($W$2:$W$1001,MATCH(ROWS($U$2:U321),$U$2:$U$1001,0),0), INDEX($AB$1004:$AQ$1004,1,MATCH(COLUMNS($AB$1006:AI1006),$AB$1006:$AQ$1006,0)))),"Fix")))</f>
        <v>0</v>
      </c>
      <c r="J321" s="5">
        <f>IF(OR(INDEX($V$2:$V$1001,MATCH(ROWS($U$2:U321),$U$2:$U$1001,0),1)&gt;=100000,INDEX($AB$1005:$AQ$1005,1,MATCH(COLUMNS($AB$1006:AJ1006),$AB$1006:$AQ$1006,0))&gt;=100000), " ",IF(INDEX($AB$2:$AQ$1001,MATCH(ROWS($U$2:U321),$U$2:$U$1001,0),MATCH(COLUMNS($AB$1006:AJ1006),$AB$1006:$AQ$1006,0)), HYPERLINK("#",""), HYPERLINK(CONCATENATE("#Metadata!", ADDRESS(INDEX($W$2:$W$1001,MATCH(ROWS($U$2:U321),$U$2:$U$1001,0),0), INDEX($AB$1004:$AQ$1004,1,MATCH(COLUMNS($AB$1006:AJ1006),$AB$1006:$AQ$1006,0)))),"Fix")))</f>
        <v>0</v>
      </c>
      <c r="K321" s="5">
        <f>IF(OR(INDEX($V$2:$V$1001,MATCH(ROWS($U$2:U321),$U$2:$U$1001,0),1)&gt;=100000,INDEX($AB$1005:$AQ$1005,1,MATCH(COLUMNS($AB$1006:AK1006),$AB$1006:$AQ$1006,0))&gt;=100000), " ",IF(INDEX($AB$2:$AQ$1001,MATCH(ROWS($U$2:U321),$U$2:$U$1001,0),MATCH(COLUMNS($AB$1006:AK1006),$AB$1006:$AQ$1006,0)), HYPERLINK("#",""), HYPERLINK(CONCATENATE("#Metadata!", ADDRESS(INDEX($W$2:$W$1001,MATCH(ROWS($U$2:U321),$U$2:$U$1001,0),0), INDEX($AB$1004:$AQ$1004,1,MATCH(COLUMNS($AB$1006:AK1006),$AB$1006:$AQ$1006,0)))),"Fix")))</f>
        <v>0</v>
      </c>
      <c r="L321" s="5">
        <f>IF(OR(INDEX($V$2:$V$1001,MATCH(ROWS($U$2:U321),$U$2:$U$1001,0),1)&gt;=100000,INDEX($AB$1005:$AQ$1005,1,MATCH(COLUMNS($AB$1006:AL1006),$AB$1006:$AQ$1006,0))&gt;=100000), " ",IF(INDEX($AB$2:$AQ$1001,MATCH(ROWS($U$2:U321),$U$2:$U$1001,0),MATCH(COLUMNS($AB$1006:AL1006),$AB$1006:$AQ$1006,0)), HYPERLINK("#",""), HYPERLINK(CONCATENATE("#Metadata!", ADDRESS(INDEX($W$2:$W$1001,MATCH(ROWS($U$2:U321),$U$2:$U$1001,0),0), INDEX($AB$1004:$AQ$1004,1,MATCH(COLUMNS($AB$1006:AL1006),$AB$1006:$AQ$1006,0)))),"Fix")))</f>
        <v>0</v>
      </c>
      <c r="M321" s="5">
        <f>IF(OR(INDEX($V$2:$V$1001,MATCH(ROWS($U$2:U321),$U$2:$U$1001,0),1)&gt;=100000,INDEX($AB$1005:$AQ$1005,1,MATCH(COLUMNS($AB$1006:AM1006),$AB$1006:$AQ$1006,0))&gt;=100000), " ",IF(INDEX($AB$2:$AQ$1001,MATCH(ROWS($U$2:U321),$U$2:$U$1001,0),MATCH(COLUMNS($AB$1006:AM1006),$AB$1006:$AQ$1006,0)), HYPERLINK("#",""), HYPERLINK(CONCATENATE("#Metadata!", ADDRESS(INDEX($W$2:$W$1001,MATCH(ROWS($U$2:U321),$U$2:$U$1001,0),0), INDEX($AB$1004:$AQ$1004,1,MATCH(COLUMNS($AB$1006:AM1006),$AB$1006:$AQ$1006,0)))),"Fix")))</f>
        <v>0</v>
      </c>
      <c r="N321" s="5">
        <f>IF(OR(INDEX($V$2:$V$1001,MATCH(ROWS($U$2:U321),$U$2:$U$1001,0),1)&gt;=100000,INDEX($AB$1005:$AQ$1005,1,MATCH(COLUMNS($AB$1006:AN1006),$AB$1006:$AQ$1006,0))&gt;=100000), " ",IF(INDEX($AB$2:$AQ$1001,MATCH(ROWS($U$2:U321),$U$2:$U$1001,0),MATCH(COLUMNS($AB$1006:AN1006),$AB$1006:$AQ$1006,0)), HYPERLINK("#",""), HYPERLINK(CONCATENATE("#Metadata!", ADDRESS(INDEX($W$2:$W$1001,MATCH(ROWS($U$2:U321),$U$2:$U$1001,0),0), INDEX($AB$1004:$AQ$1004,1,MATCH(COLUMNS($AB$1006:AN1006),$AB$1006:$AQ$1006,0)))),"Fix")))</f>
        <v>0</v>
      </c>
      <c r="O321" s="5">
        <f>IF(OR(INDEX($V$2:$V$1001,MATCH(ROWS($U$2:U321),$U$2:$U$1001,0),1)&gt;=100000,INDEX($AB$1005:$AQ$1005,1,MATCH(COLUMNS($AB$1006:AO1006),$AB$1006:$AQ$1006,0))&gt;=100000), " ",IF(INDEX($AB$2:$AQ$1001,MATCH(ROWS($U$2:U321),$U$2:$U$1001,0),MATCH(COLUMNS($AB$1006:AO1006),$AB$1006:$AQ$1006,0)), HYPERLINK("#",""), HYPERLINK(CONCATENATE("#Metadata!", ADDRESS(INDEX($W$2:$W$1001,MATCH(ROWS($U$2:U321),$U$2:$U$1001,0),0), INDEX($AB$1004:$AQ$1004,1,MATCH(COLUMNS($AB$1006:AO1006),$AB$1006:$AQ$1006,0)))),"Fix")))</f>
        <v>0</v>
      </c>
      <c r="P321" s="5">
        <f>IF(OR(INDEX($V$2:$V$1001,MATCH(ROWS($U$2:U321),$U$2:$U$1001,0),1)&gt;=100000,INDEX($AB$1005:$AQ$1005,1,MATCH(COLUMNS($AB$1006:AP1006),$AB$1006:$AQ$1006,0))&gt;=100000), " ",IF(INDEX($AB$2:$AQ$1001,MATCH(ROWS($U$2:U321),$U$2:$U$1001,0),MATCH(COLUMNS($AB$1006:AP1006),$AB$1006:$AQ$1006,0)), HYPERLINK("#",""), HYPERLINK(CONCATENATE("#Metadata!", ADDRESS(INDEX($W$2:$W$1001,MATCH(ROWS($U$2:U321),$U$2:$U$1001,0),0), INDEX($AB$1004:$AQ$1004,1,MATCH(COLUMNS($AB$1006:AP1006),$AB$1006:$AQ$1006,0)))),"Fix")))</f>
        <v>0</v>
      </c>
      <c r="Q321" s="5">
        <f>IF(OR(INDEX($V$2:$V$1001,MATCH(ROWS($U$2:U321),$U$2:$U$1001,0),1)&gt;=100000,INDEX($AB$1005:$AQ$1005,1,MATCH(COLUMNS($AB$1006:AQ1006),$AB$1006:$AQ$1006,0))&gt;=100000), " ",IF(INDEX($AB$2:$AQ$1001,MATCH(ROWS($U$2:U321),$U$2:$U$1001,0),MATCH(COLUMNS($AB$1006:AQ1006),$AB$1006:$AQ$1006,0)), HYPERLINK("#",""), HYPERLINK(CONCATENATE("#Metadata!", ADDRESS(INDEX($W$2:$W$1001,MATCH(ROWS($U$2:U321),$U$2:$U$1001,0),0), INDEX($AB$1004:$AQ$1004,1,MATCH(COLUMNS($AB$1006:AQ1006),$AB$1006:$AQ$1006,0)))),"Fix")))</f>
        <v>0</v>
      </c>
      <c r="U321">
        <v>0</v>
      </c>
      <c r="V321">
        <v>0</v>
      </c>
      <c r="W321">
        <v>0</v>
      </c>
      <c r="X321">
        <f>IF(Y321,TRUE,AND(AB321:AQ321))</f>
        <v>0</v>
      </c>
      <c r="Y321">
        <f>COUNTBLANK(Metadata!B321:Q321)=COLUMNS(Metadata!B321:Q321)</f>
        <v>0</v>
      </c>
      <c r="Z321">
        <v>0</v>
      </c>
      <c r="AB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AC321">
        <f>AND(IF(Metadata!C321="",FALSE,TRUE),exact(Metadata!C321,"urban biome"))</f>
        <v>0</v>
      </c>
      <c r="AD321">
        <f>AND(IF(Metadata!D321="",FALSE,TRUE),exact(Metadata!D321,"human-associated habitat"))</f>
        <v>0</v>
      </c>
      <c r="AE321">
        <f>AND(IF(Metadata!E321="",FALSE,TRUE),OR(exact(Metadata!E321,"human-associated"),exact(Metadata!E321,"human-skin"),exact(Metadata!E321,"human-oral"),exact(Metadata!E321,"human-gut"),exact(Metadata!E321,"human-vaginal")))</f>
        <v>0</v>
      </c>
      <c r="AF321">
        <f>AND(IF(Metadata!F321="",FALSE,ISNUMBER(VALUE(Metadata!F321))),Metadata!F321&gt;0)</f>
        <v>0</v>
      </c>
      <c r="AG321">
        <f>AND(IF(Metadata!G321="",FALSE,TRUE),exact(Metadata!G321,"years"))</f>
        <v>0</v>
      </c>
      <c r="AH321">
        <f>OR(AND(IF(Metadata!H321="",FALSE,TRUE),OR(exact(Metadata!H321,"not applicable"),exact(Metadata!H321,"not collected"),exact(Metadata!H321,"not provided"),exact(Metadata!H321,"restricted access"))),AND(IF(Metadata!H321="",FALSE,ISNUMBER(VALUE(Metadata!H321))),Metadata!H321&gt;0))</f>
        <v>0</v>
      </c>
      <c r="AI321">
        <f>AND(IF(Metadata!I321="",FALSE,TRUE),exact(Metadata!I321,"human"))</f>
        <v>0</v>
      </c>
      <c r="AJ321">
        <f>AND(IF(Metadata!J321="",FALSE,ISNUMBER(VALUE(Metadata!J321))),Metadata!J321&gt;0)</f>
        <v>0</v>
      </c>
      <c r="AK321">
        <f>AND(IF(Metadata!K321="",FALSE,TRUE),exact(Metadata!K321,"cm"))</f>
        <v>0</v>
      </c>
      <c r="AL321">
        <f>AND(IF(Metadata!L321="",FALSE,TRUE),exact(Metadata!L321,"Homo sapiens"))</f>
        <v>0</v>
      </c>
      <c r="AM321">
        <f>AND(IF(Metadata!M321="",FALSE,TRUE),exact(Metadata!M321,"9606"))</f>
        <v>0</v>
      </c>
      <c r="AN321">
        <f>AND(IF(Metadata!N321="",FALSE,ISNUMBER(VALUE(Metadata!N321))),Metadata!N321&gt;0)</f>
        <v>0</v>
      </c>
      <c r="AO321">
        <f>AND(IF(Metadata!O321="",FALSE,TRUE),exact(Metadata!O321,"kg"))</f>
        <v>0</v>
      </c>
      <c r="AP321">
        <f>OR(AND(IF(Metadata!P321="",FALSE,TRUE),exact(Metadata!P321,"not provided")),IF(Metadata!P321="",FALSE,TRUE))</f>
        <v>0</v>
      </c>
      <c r="AQ321">
        <f>OR(AND(IF(Metadata!Q321="",FALSE,TRUE),exact(Metadata!Q321,"not provided")),IF(Metadata!Q321="",FALSE,TRUE))</f>
        <v>0</v>
      </c>
    </row>
    <row r="322" spans="1:43">
      <c r="A322" s="4">
        <f>IF(B322=" "," ",HYPERLINK(CONCATENATE("#metadata!",ADDRESS(INDEX($W$2:$W$1001,MATCH(ROWS($U$2:U322),$U$2:$U$1001,0),0),2)),INDEX($Z$2:$Z$1001,MATCH(ROWS($U$2:U322),$U$2:$U$1001,0),0)))</f>
        <v>0</v>
      </c>
      <c r="B322" s="5">
        <f>IF(OR(INDEX($V$2:$V$1001,MATCH(ROWS($U$2:U322),$U$2:$U$1001,0),1)&gt;=100000,INDEX($AB$1005:$AQ$1005,1,MATCH(COLUMNS($AB$1006:AB1006),$AB$1006:$AQ$1006,0))&gt;=100000), " ",IF(INDEX($AB$2:$AQ$1001,MATCH(ROWS($U$2:U322),$U$2:$U$1001,0),MATCH(COLUMNS($AB$1006:AB1006),$AB$1006:$AQ$1006,0)), HYPERLINK("#",""), HYPERLINK(CONCATENATE("#Metadata!", ADDRESS(INDEX($W$2:$W$1001,MATCH(ROWS($U$2:U322),$U$2:$U$1001,0),0), INDEX($AB$1004:$AQ$1004,1,MATCH(COLUMNS($AB$1006:AB1006),$AB$1006:$AQ$1006,0)))),"Fix")))</f>
        <v>0</v>
      </c>
      <c r="C322" s="5">
        <f>IF(OR(INDEX($V$2:$V$1001,MATCH(ROWS($U$2:U322),$U$2:$U$1001,0),1)&gt;=100000,INDEX($AB$1005:$AQ$1005,1,MATCH(COLUMNS($AB$1006:AC1006),$AB$1006:$AQ$1006,0))&gt;=100000), " ",IF(INDEX($AB$2:$AQ$1001,MATCH(ROWS($U$2:U322),$U$2:$U$1001,0),MATCH(COLUMNS($AB$1006:AC1006),$AB$1006:$AQ$1006,0)), HYPERLINK("#",""), HYPERLINK(CONCATENATE("#Metadata!", ADDRESS(INDEX($W$2:$W$1001,MATCH(ROWS($U$2:U322),$U$2:$U$1001,0),0), INDEX($AB$1004:$AQ$1004,1,MATCH(COLUMNS($AB$1006:AC1006),$AB$1006:$AQ$1006,0)))),"Fix")))</f>
        <v>0</v>
      </c>
      <c r="D322" s="5">
        <f>IF(OR(INDEX($V$2:$V$1001,MATCH(ROWS($U$2:U322),$U$2:$U$1001,0),1)&gt;=100000,INDEX($AB$1005:$AQ$1005,1,MATCH(COLUMNS($AB$1006:AD1006),$AB$1006:$AQ$1006,0))&gt;=100000), " ",IF(INDEX($AB$2:$AQ$1001,MATCH(ROWS($U$2:U322),$U$2:$U$1001,0),MATCH(COLUMNS($AB$1006:AD1006),$AB$1006:$AQ$1006,0)), HYPERLINK("#",""), HYPERLINK(CONCATENATE("#Metadata!", ADDRESS(INDEX($W$2:$W$1001,MATCH(ROWS($U$2:U322),$U$2:$U$1001,0),0), INDEX($AB$1004:$AQ$1004,1,MATCH(COLUMNS($AB$1006:AD1006),$AB$1006:$AQ$1006,0)))),"Fix")))</f>
        <v>0</v>
      </c>
      <c r="E322" s="5">
        <f>IF(OR(INDEX($V$2:$V$1001,MATCH(ROWS($U$2:U322),$U$2:$U$1001,0),1)&gt;=100000,INDEX($AB$1005:$AQ$1005,1,MATCH(COLUMNS($AB$1006:AE1006),$AB$1006:$AQ$1006,0))&gt;=100000), " ",IF(INDEX($AB$2:$AQ$1001,MATCH(ROWS($U$2:U322),$U$2:$U$1001,0),MATCH(COLUMNS($AB$1006:AE1006),$AB$1006:$AQ$1006,0)), HYPERLINK("#",""), HYPERLINK(CONCATENATE("#Metadata!", ADDRESS(INDEX($W$2:$W$1001,MATCH(ROWS($U$2:U322),$U$2:$U$1001,0),0), INDEX($AB$1004:$AQ$1004,1,MATCH(COLUMNS($AB$1006:AE1006),$AB$1006:$AQ$1006,0)))),"Fix")))</f>
        <v>0</v>
      </c>
      <c r="F322" s="5">
        <f>IF(OR(INDEX($V$2:$V$1001,MATCH(ROWS($U$2:U322),$U$2:$U$1001,0),1)&gt;=100000,INDEX($AB$1005:$AQ$1005,1,MATCH(COLUMNS($AB$1006:AF1006),$AB$1006:$AQ$1006,0))&gt;=100000), " ",IF(INDEX($AB$2:$AQ$1001,MATCH(ROWS($U$2:U322),$U$2:$U$1001,0),MATCH(COLUMNS($AB$1006:AF1006),$AB$1006:$AQ$1006,0)), HYPERLINK("#",""), HYPERLINK(CONCATENATE("#Metadata!", ADDRESS(INDEX($W$2:$W$1001,MATCH(ROWS($U$2:U322),$U$2:$U$1001,0),0), INDEX($AB$1004:$AQ$1004,1,MATCH(COLUMNS($AB$1006:AF1006),$AB$1006:$AQ$1006,0)))),"Fix")))</f>
        <v>0</v>
      </c>
      <c r="G322" s="5">
        <f>IF(OR(INDEX($V$2:$V$1001,MATCH(ROWS($U$2:U322),$U$2:$U$1001,0),1)&gt;=100000,INDEX($AB$1005:$AQ$1005,1,MATCH(COLUMNS($AB$1006:AG1006),$AB$1006:$AQ$1006,0))&gt;=100000), " ",IF(INDEX($AB$2:$AQ$1001,MATCH(ROWS($U$2:U322),$U$2:$U$1001,0),MATCH(COLUMNS($AB$1006:AG1006),$AB$1006:$AQ$1006,0)), HYPERLINK("#",""), HYPERLINK(CONCATENATE("#Metadata!", ADDRESS(INDEX($W$2:$W$1001,MATCH(ROWS($U$2:U322),$U$2:$U$1001,0),0), INDEX($AB$1004:$AQ$1004,1,MATCH(COLUMNS($AB$1006:AG1006),$AB$1006:$AQ$1006,0)))),"Fix")))</f>
        <v>0</v>
      </c>
      <c r="H322" s="5">
        <f>IF(OR(INDEX($V$2:$V$1001,MATCH(ROWS($U$2:U322),$U$2:$U$1001,0),1)&gt;=100000,INDEX($AB$1005:$AQ$1005,1,MATCH(COLUMNS($AB$1006:AH1006),$AB$1006:$AQ$1006,0))&gt;=100000), " ",IF(INDEX($AB$2:$AQ$1001,MATCH(ROWS($U$2:U322),$U$2:$U$1001,0),MATCH(COLUMNS($AB$1006:AH1006),$AB$1006:$AQ$1006,0)), HYPERLINK("#",""), HYPERLINK(CONCATENATE("#Metadata!", ADDRESS(INDEX($W$2:$W$1001,MATCH(ROWS($U$2:U322),$U$2:$U$1001,0),0), INDEX($AB$1004:$AQ$1004,1,MATCH(COLUMNS($AB$1006:AH1006),$AB$1006:$AQ$1006,0)))),"Fix")))</f>
        <v>0</v>
      </c>
      <c r="I322" s="5">
        <f>IF(OR(INDEX($V$2:$V$1001,MATCH(ROWS($U$2:U322),$U$2:$U$1001,0),1)&gt;=100000,INDEX($AB$1005:$AQ$1005,1,MATCH(COLUMNS($AB$1006:AI1006),$AB$1006:$AQ$1006,0))&gt;=100000), " ",IF(INDEX($AB$2:$AQ$1001,MATCH(ROWS($U$2:U322),$U$2:$U$1001,0),MATCH(COLUMNS($AB$1006:AI1006),$AB$1006:$AQ$1006,0)), HYPERLINK("#",""), HYPERLINK(CONCATENATE("#Metadata!", ADDRESS(INDEX($W$2:$W$1001,MATCH(ROWS($U$2:U322),$U$2:$U$1001,0),0), INDEX($AB$1004:$AQ$1004,1,MATCH(COLUMNS($AB$1006:AI1006),$AB$1006:$AQ$1006,0)))),"Fix")))</f>
        <v>0</v>
      </c>
      <c r="J322" s="5">
        <f>IF(OR(INDEX($V$2:$V$1001,MATCH(ROWS($U$2:U322),$U$2:$U$1001,0),1)&gt;=100000,INDEX($AB$1005:$AQ$1005,1,MATCH(COLUMNS($AB$1006:AJ1006),$AB$1006:$AQ$1006,0))&gt;=100000), " ",IF(INDEX($AB$2:$AQ$1001,MATCH(ROWS($U$2:U322),$U$2:$U$1001,0),MATCH(COLUMNS($AB$1006:AJ1006),$AB$1006:$AQ$1006,0)), HYPERLINK("#",""), HYPERLINK(CONCATENATE("#Metadata!", ADDRESS(INDEX($W$2:$W$1001,MATCH(ROWS($U$2:U322),$U$2:$U$1001,0),0), INDEX($AB$1004:$AQ$1004,1,MATCH(COLUMNS($AB$1006:AJ1006),$AB$1006:$AQ$1006,0)))),"Fix")))</f>
        <v>0</v>
      </c>
      <c r="K322" s="5">
        <f>IF(OR(INDEX($V$2:$V$1001,MATCH(ROWS($U$2:U322),$U$2:$U$1001,0),1)&gt;=100000,INDEX($AB$1005:$AQ$1005,1,MATCH(COLUMNS($AB$1006:AK1006),$AB$1006:$AQ$1006,0))&gt;=100000), " ",IF(INDEX($AB$2:$AQ$1001,MATCH(ROWS($U$2:U322),$U$2:$U$1001,0),MATCH(COLUMNS($AB$1006:AK1006),$AB$1006:$AQ$1006,0)), HYPERLINK("#",""), HYPERLINK(CONCATENATE("#Metadata!", ADDRESS(INDEX($W$2:$W$1001,MATCH(ROWS($U$2:U322),$U$2:$U$1001,0),0), INDEX($AB$1004:$AQ$1004,1,MATCH(COLUMNS($AB$1006:AK1006),$AB$1006:$AQ$1006,0)))),"Fix")))</f>
        <v>0</v>
      </c>
      <c r="L322" s="5">
        <f>IF(OR(INDEX($V$2:$V$1001,MATCH(ROWS($U$2:U322),$U$2:$U$1001,0),1)&gt;=100000,INDEX($AB$1005:$AQ$1005,1,MATCH(COLUMNS($AB$1006:AL1006),$AB$1006:$AQ$1006,0))&gt;=100000), " ",IF(INDEX($AB$2:$AQ$1001,MATCH(ROWS($U$2:U322),$U$2:$U$1001,0),MATCH(COLUMNS($AB$1006:AL1006),$AB$1006:$AQ$1006,0)), HYPERLINK("#",""), HYPERLINK(CONCATENATE("#Metadata!", ADDRESS(INDEX($W$2:$W$1001,MATCH(ROWS($U$2:U322),$U$2:$U$1001,0),0), INDEX($AB$1004:$AQ$1004,1,MATCH(COLUMNS($AB$1006:AL1006),$AB$1006:$AQ$1006,0)))),"Fix")))</f>
        <v>0</v>
      </c>
      <c r="M322" s="5">
        <f>IF(OR(INDEX($V$2:$V$1001,MATCH(ROWS($U$2:U322),$U$2:$U$1001,0),1)&gt;=100000,INDEX($AB$1005:$AQ$1005,1,MATCH(COLUMNS($AB$1006:AM1006),$AB$1006:$AQ$1006,0))&gt;=100000), " ",IF(INDEX($AB$2:$AQ$1001,MATCH(ROWS($U$2:U322),$U$2:$U$1001,0),MATCH(COLUMNS($AB$1006:AM1006),$AB$1006:$AQ$1006,0)), HYPERLINK("#",""), HYPERLINK(CONCATENATE("#Metadata!", ADDRESS(INDEX($W$2:$W$1001,MATCH(ROWS($U$2:U322),$U$2:$U$1001,0),0), INDEX($AB$1004:$AQ$1004,1,MATCH(COLUMNS($AB$1006:AM1006),$AB$1006:$AQ$1006,0)))),"Fix")))</f>
        <v>0</v>
      </c>
      <c r="N322" s="5">
        <f>IF(OR(INDEX($V$2:$V$1001,MATCH(ROWS($U$2:U322),$U$2:$U$1001,0),1)&gt;=100000,INDEX($AB$1005:$AQ$1005,1,MATCH(COLUMNS($AB$1006:AN1006),$AB$1006:$AQ$1006,0))&gt;=100000), " ",IF(INDEX($AB$2:$AQ$1001,MATCH(ROWS($U$2:U322),$U$2:$U$1001,0),MATCH(COLUMNS($AB$1006:AN1006),$AB$1006:$AQ$1006,0)), HYPERLINK("#",""), HYPERLINK(CONCATENATE("#Metadata!", ADDRESS(INDEX($W$2:$W$1001,MATCH(ROWS($U$2:U322),$U$2:$U$1001,0),0), INDEX($AB$1004:$AQ$1004,1,MATCH(COLUMNS($AB$1006:AN1006),$AB$1006:$AQ$1006,0)))),"Fix")))</f>
        <v>0</v>
      </c>
      <c r="O322" s="5">
        <f>IF(OR(INDEX($V$2:$V$1001,MATCH(ROWS($U$2:U322),$U$2:$U$1001,0),1)&gt;=100000,INDEX($AB$1005:$AQ$1005,1,MATCH(COLUMNS($AB$1006:AO1006),$AB$1006:$AQ$1006,0))&gt;=100000), " ",IF(INDEX($AB$2:$AQ$1001,MATCH(ROWS($U$2:U322),$U$2:$U$1001,0),MATCH(COLUMNS($AB$1006:AO1006),$AB$1006:$AQ$1006,0)), HYPERLINK("#",""), HYPERLINK(CONCATENATE("#Metadata!", ADDRESS(INDEX($W$2:$W$1001,MATCH(ROWS($U$2:U322),$U$2:$U$1001,0),0), INDEX($AB$1004:$AQ$1004,1,MATCH(COLUMNS($AB$1006:AO1006),$AB$1006:$AQ$1006,0)))),"Fix")))</f>
        <v>0</v>
      </c>
      <c r="P322" s="5">
        <f>IF(OR(INDEX($V$2:$V$1001,MATCH(ROWS($U$2:U322),$U$2:$U$1001,0),1)&gt;=100000,INDEX($AB$1005:$AQ$1005,1,MATCH(COLUMNS($AB$1006:AP1006),$AB$1006:$AQ$1006,0))&gt;=100000), " ",IF(INDEX($AB$2:$AQ$1001,MATCH(ROWS($U$2:U322),$U$2:$U$1001,0),MATCH(COLUMNS($AB$1006:AP1006),$AB$1006:$AQ$1006,0)), HYPERLINK("#",""), HYPERLINK(CONCATENATE("#Metadata!", ADDRESS(INDEX($W$2:$W$1001,MATCH(ROWS($U$2:U322),$U$2:$U$1001,0),0), INDEX($AB$1004:$AQ$1004,1,MATCH(COLUMNS($AB$1006:AP1006),$AB$1006:$AQ$1006,0)))),"Fix")))</f>
        <v>0</v>
      </c>
      <c r="Q322" s="5">
        <f>IF(OR(INDEX($V$2:$V$1001,MATCH(ROWS($U$2:U322),$U$2:$U$1001,0),1)&gt;=100000,INDEX($AB$1005:$AQ$1005,1,MATCH(COLUMNS($AB$1006:AQ1006),$AB$1006:$AQ$1006,0))&gt;=100000), " ",IF(INDEX($AB$2:$AQ$1001,MATCH(ROWS($U$2:U322),$U$2:$U$1001,0),MATCH(COLUMNS($AB$1006:AQ1006),$AB$1006:$AQ$1006,0)), HYPERLINK("#",""), HYPERLINK(CONCATENATE("#Metadata!", ADDRESS(INDEX($W$2:$W$1001,MATCH(ROWS($U$2:U322),$U$2:$U$1001,0),0), INDEX($AB$1004:$AQ$1004,1,MATCH(COLUMNS($AB$1006:AQ1006),$AB$1006:$AQ$1006,0)))),"Fix")))</f>
        <v>0</v>
      </c>
      <c r="U322">
        <v>0</v>
      </c>
      <c r="V322">
        <v>0</v>
      </c>
      <c r="W322">
        <v>0</v>
      </c>
      <c r="X322">
        <f>IF(Y322,TRUE,AND(AB322:AQ322))</f>
        <v>0</v>
      </c>
      <c r="Y322">
        <f>COUNTBLANK(Metadata!B322:Q322)=COLUMNS(Metadata!B322:Q322)</f>
        <v>0</v>
      </c>
      <c r="Z322">
        <v>0</v>
      </c>
      <c r="AB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AC322">
        <f>AND(IF(Metadata!C322="",FALSE,TRUE),exact(Metadata!C322,"urban biome"))</f>
        <v>0</v>
      </c>
      <c r="AD322">
        <f>AND(IF(Metadata!D322="",FALSE,TRUE),exact(Metadata!D322,"human-associated habitat"))</f>
        <v>0</v>
      </c>
      <c r="AE322">
        <f>AND(IF(Metadata!E322="",FALSE,TRUE),OR(exact(Metadata!E322,"human-associated"),exact(Metadata!E322,"human-skin"),exact(Metadata!E322,"human-oral"),exact(Metadata!E322,"human-gut"),exact(Metadata!E322,"human-vaginal")))</f>
        <v>0</v>
      </c>
      <c r="AF322">
        <f>AND(IF(Metadata!F322="",FALSE,ISNUMBER(VALUE(Metadata!F322))),Metadata!F322&gt;0)</f>
        <v>0</v>
      </c>
      <c r="AG322">
        <f>AND(IF(Metadata!G322="",FALSE,TRUE),exact(Metadata!G322,"years"))</f>
        <v>0</v>
      </c>
      <c r="AH322">
        <f>OR(AND(IF(Metadata!H322="",FALSE,TRUE),OR(exact(Metadata!H322,"not applicable"),exact(Metadata!H322,"not collected"),exact(Metadata!H322,"not provided"),exact(Metadata!H322,"restricted access"))),AND(IF(Metadata!H322="",FALSE,ISNUMBER(VALUE(Metadata!H322))),Metadata!H322&gt;0))</f>
        <v>0</v>
      </c>
      <c r="AI322">
        <f>AND(IF(Metadata!I322="",FALSE,TRUE),exact(Metadata!I322,"human"))</f>
        <v>0</v>
      </c>
      <c r="AJ322">
        <f>AND(IF(Metadata!J322="",FALSE,ISNUMBER(VALUE(Metadata!J322))),Metadata!J322&gt;0)</f>
        <v>0</v>
      </c>
      <c r="AK322">
        <f>AND(IF(Metadata!K322="",FALSE,TRUE),exact(Metadata!K322,"cm"))</f>
        <v>0</v>
      </c>
      <c r="AL322">
        <f>AND(IF(Metadata!L322="",FALSE,TRUE),exact(Metadata!L322,"Homo sapiens"))</f>
        <v>0</v>
      </c>
      <c r="AM322">
        <f>AND(IF(Metadata!M322="",FALSE,TRUE),exact(Metadata!M322,"9606"))</f>
        <v>0</v>
      </c>
      <c r="AN322">
        <f>AND(IF(Metadata!N322="",FALSE,ISNUMBER(VALUE(Metadata!N322))),Metadata!N322&gt;0)</f>
        <v>0</v>
      </c>
      <c r="AO322">
        <f>AND(IF(Metadata!O322="",FALSE,TRUE),exact(Metadata!O322,"kg"))</f>
        <v>0</v>
      </c>
      <c r="AP322">
        <f>OR(AND(IF(Metadata!P322="",FALSE,TRUE),exact(Metadata!P322,"not provided")),IF(Metadata!P322="",FALSE,TRUE))</f>
        <v>0</v>
      </c>
      <c r="AQ322">
        <f>OR(AND(IF(Metadata!Q322="",FALSE,TRUE),exact(Metadata!Q322,"not provided")),IF(Metadata!Q322="",FALSE,TRUE))</f>
        <v>0</v>
      </c>
    </row>
    <row r="323" spans="1:43">
      <c r="A323" s="4">
        <f>IF(B323=" "," ",HYPERLINK(CONCATENATE("#metadata!",ADDRESS(INDEX($W$2:$W$1001,MATCH(ROWS($U$2:U323),$U$2:$U$1001,0),0),2)),INDEX($Z$2:$Z$1001,MATCH(ROWS($U$2:U323),$U$2:$U$1001,0),0)))</f>
        <v>0</v>
      </c>
      <c r="B323" s="5">
        <f>IF(OR(INDEX($V$2:$V$1001,MATCH(ROWS($U$2:U323),$U$2:$U$1001,0),1)&gt;=100000,INDEX($AB$1005:$AQ$1005,1,MATCH(COLUMNS($AB$1006:AB1006),$AB$1006:$AQ$1006,0))&gt;=100000), " ",IF(INDEX($AB$2:$AQ$1001,MATCH(ROWS($U$2:U323),$U$2:$U$1001,0),MATCH(COLUMNS($AB$1006:AB1006),$AB$1006:$AQ$1006,0)), HYPERLINK("#",""), HYPERLINK(CONCATENATE("#Metadata!", ADDRESS(INDEX($W$2:$W$1001,MATCH(ROWS($U$2:U323),$U$2:$U$1001,0),0), INDEX($AB$1004:$AQ$1004,1,MATCH(COLUMNS($AB$1006:AB1006),$AB$1006:$AQ$1006,0)))),"Fix")))</f>
        <v>0</v>
      </c>
      <c r="C323" s="5">
        <f>IF(OR(INDEX($V$2:$V$1001,MATCH(ROWS($U$2:U323),$U$2:$U$1001,0),1)&gt;=100000,INDEX($AB$1005:$AQ$1005,1,MATCH(COLUMNS($AB$1006:AC1006),$AB$1006:$AQ$1006,0))&gt;=100000), " ",IF(INDEX($AB$2:$AQ$1001,MATCH(ROWS($U$2:U323),$U$2:$U$1001,0),MATCH(COLUMNS($AB$1006:AC1006),$AB$1006:$AQ$1006,0)), HYPERLINK("#",""), HYPERLINK(CONCATENATE("#Metadata!", ADDRESS(INDEX($W$2:$W$1001,MATCH(ROWS($U$2:U323),$U$2:$U$1001,0),0), INDEX($AB$1004:$AQ$1004,1,MATCH(COLUMNS($AB$1006:AC1006),$AB$1006:$AQ$1006,0)))),"Fix")))</f>
        <v>0</v>
      </c>
      <c r="D323" s="5">
        <f>IF(OR(INDEX($V$2:$V$1001,MATCH(ROWS($U$2:U323),$U$2:$U$1001,0),1)&gt;=100000,INDEX($AB$1005:$AQ$1005,1,MATCH(COLUMNS($AB$1006:AD1006),$AB$1006:$AQ$1006,0))&gt;=100000), " ",IF(INDEX($AB$2:$AQ$1001,MATCH(ROWS($U$2:U323),$U$2:$U$1001,0),MATCH(COLUMNS($AB$1006:AD1006),$AB$1006:$AQ$1006,0)), HYPERLINK("#",""), HYPERLINK(CONCATENATE("#Metadata!", ADDRESS(INDEX($W$2:$W$1001,MATCH(ROWS($U$2:U323),$U$2:$U$1001,0),0), INDEX($AB$1004:$AQ$1004,1,MATCH(COLUMNS($AB$1006:AD1006),$AB$1006:$AQ$1006,0)))),"Fix")))</f>
        <v>0</v>
      </c>
      <c r="E323" s="5">
        <f>IF(OR(INDEX($V$2:$V$1001,MATCH(ROWS($U$2:U323),$U$2:$U$1001,0),1)&gt;=100000,INDEX($AB$1005:$AQ$1005,1,MATCH(COLUMNS($AB$1006:AE1006),$AB$1006:$AQ$1006,0))&gt;=100000), " ",IF(INDEX($AB$2:$AQ$1001,MATCH(ROWS($U$2:U323),$U$2:$U$1001,0),MATCH(COLUMNS($AB$1006:AE1006),$AB$1006:$AQ$1006,0)), HYPERLINK("#",""), HYPERLINK(CONCATENATE("#Metadata!", ADDRESS(INDEX($W$2:$W$1001,MATCH(ROWS($U$2:U323),$U$2:$U$1001,0),0), INDEX($AB$1004:$AQ$1004,1,MATCH(COLUMNS($AB$1006:AE1006),$AB$1006:$AQ$1006,0)))),"Fix")))</f>
        <v>0</v>
      </c>
      <c r="F323" s="5">
        <f>IF(OR(INDEX($V$2:$V$1001,MATCH(ROWS($U$2:U323),$U$2:$U$1001,0),1)&gt;=100000,INDEX($AB$1005:$AQ$1005,1,MATCH(COLUMNS($AB$1006:AF1006),$AB$1006:$AQ$1006,0))&gt;=100000), " ",IF(INDEX($AB$2:$AQ$1001,MATCH(ROWS($U$2:U323),$U$2:$U$1001,0),MATCH(COLUMNS($AB$1006:AF1006),$AB$1006:$AQ$1006,0)), HYPERLINK("#",""), HYPERLINK(CONCATENATE("#Metadata!", ADDRESS(INDEX($W$2:$W$1001,MATCH(ROWS($U$2:U323),$U$2:$U$1001,0),0), INDEX($AB$1004:$AQ$1004,1,MATCH(COLUMNS($AB$1006:AF1006),$AB$1006:$AQ$1006,0)))),"Fix")))</f>
        <v>0</v>
      </c>
      <c r="G323" s="5">
        <f>IF(OR(INDEX($V$2:$V$1001,MATCH(ROWS($U$2:U323),$U$2:$U$1001,0),1)&gt;=100000,INDEX($AB$1005:$AQ$1005,1,MATCH(COLUMNS($AB$1006:AG1006),$AB$1006:$AQ$1006,0))&gt;=100000), " ",IF(INDEX($AB$2:$AQ$1001,MATCH(ROWS($U$2:U323),$U$2:$U$1001,0),MATCH(COLUMNS($AB$1006:AG1006),$AB$1006:$AQ$1006,0)), HYPERLINK("#",""), HYPERLINK(CONCATENATE("#Metadata!", ADDRESS(INDEX($W$2:$W$1001,MATCH(ROWS($U$2:U323),$U$2:$U$1001,0),0), INDEX($AB$1004:$AQ$1004,1,MATCH(COLUMNS($AB$1006:AG1006),$AB$1006:$AQ$1006,0)))),"Fix")))</f>
        <v>0</v>
      </c>
      <c r="H323" s="5">
        <f>IF(OR(INDEX($V$2:$V$1001,MATCH(ROWS($U$2:U323),$U$2:$U$1001,0),1)&gt;=100000,INDEX($AB$1005:$AQ$1005,1,MATCH(COLUMNS($AB$1006:AH1006),$AB$1006:$AQ$1006,0))&gt;=100000), " ",IF(INDEX($AB$2:$AQ$1001,MATCH(ROWS($U$2:U323),$U$2:$U$1001,0),MATCH(COLUMNS($AB$1006:AH1006),$AB$1006:$AQ$1006,0)), HYPERLINK("#",""), HYPERLINK(CONCATENATE("#Metadata!", ADDRESS(INDEX($W$2:$W$1001,MATCH(ROWS($U$2:U323),$U$2:$U$1001,0),0), INDEX($AB$1004:$AQ$1004,1,MATCH(COLUMNS($AB$1006:AH1006),$AB$1006:$AQ$1006,0)))),"Fix")))</f>
        <v>0</v>
      </c>
      <c r="I323" s="5">
        <f>IF(OR(INDEX($V$2:$V$1001,MATCH(ROWS($U$2:U323),$U$2:$U$1001,0),1)&gt;=100000,INDEX($AB$1005:$AQ$1005,1,MATCH(COLUMNS($AB$1006:AI1006),$AB$1006:$AQ$1006,0))&gt;=100000), " ",IF(INDEX($AB$2:$AQ$1001,MATCH(ROWS($U$2:U323),$U$2:$U$1001,0),MATCH(COLUMNS($AB$1006:AI1006),$AB$1006:$AQ$1006,0)), HYPERLINK("#",""), HYPERLINK(CONCATENATE("#Metadata!", ADDRESS(INDEX($W$2:$W$1001,MATCH(ROWS($U$2:U323),$U$2:$U$1001,0),0), INDEX($AB$1004:$AQ$1004,1,MATCH(COLUMNS($AB$1006:AI1006),$AB$1006:$AQ$1006,0)))),"Fix")))</f>
        <v>0</v>
      </c>
      <c r="J323" s="5">
        <f>IF(OR(INDEX($V$2:$V$1001,MATCH(ROWS($U$2:U323),$U$2:$U$1001,0),1)&gt;=100000,INDEX($AB$1005:$AQ$1005,1,MATCH(COLUMNS($AB$1006:AJ1006),$AB$1006:$AQ$1006,0))&gt;=100000), " ",IF(INDEX($AB$2:$AQ$1001,MATCH(ROWS($U$2:U323),$U$2:$U$1001,0),MATCH(COLUMNS($AB$1006:AJ1006),$AB$1006:$AQ$1006,0)), HYPERLINK("#",""), HYPERLINK(CONCATENATE("#Metadata!", ADDRESS(INDEX($W$2:$W$1001,MATCH(ROWS($U$2:U323),$U$2:$U$1001,0),0), INDEX($AB$1004:$AQ$1004,1,MATCH(COLUMNS($AB$1006:AJ1006),$AB$1006:$AQ$1006,0)))),"Fix")))</f>
        <v>0</v>
      </c>
      <c r="K323" s="5">
        <f>IF(OR(INDEX($V$2:$V$1001,MATCH(ROWS($U$2:U323),$U$2:$U$1001,0),1)&gt;=100000,INDEX($AB$1005:$AQ$1005,1,MATCH(COLUMNS($AB$1006:AK1006),$AB$1006:$AQ$1006,0))&gt;=100000), " ",IF(INDEX($AB$2:$AQ$1001,MATCH(ROWS($U$2:U323),$U$2:$U$1001,0),MATCH(COLUMNS($AB$1006:AK1006),$AB$1006:$AQ$1006,0)), HYPERLINK("#",""), HYPERLINK(CONCATENATE("#Metadata!", ADDRESS(INDEX($W$2:$W$1001,MATCH(ROWS($U$2:U323),$U$2:$U$1001,0),0), INDEX($AB$1004:$AQ$1004,1,MATCH(COLUMNS($AB$1006:AK1006),$AB$1006:$AQ$1006,0)))),"Fix")))</f>
        <v>0</v>
      </c>
      <c r="L323" s="5">
        <f>IF(OR(INDEX($V$2:$V$1001,MATCH(ROWS($U$2:U323),$U$2:$U$1001,0),1)&gt;=100000,INDEX($AB$1005:$AQ$1005,1,MATCH(COLUMNS($AB$1006:AL1006),$AB$1006:$AQ$1006,0))&gt;=100000), " ",IF(INDEX($AB$2:$AQ$1001,MATCH(ROWS($U$2:U323),$U$2:$U$1001,0),MATCH(COLUMNS($AB$1006:AL1006),$AB$1006:$AQ$1006,0)), HYPERLINK("#",""), HYPERLINK(CONCATENATE("#Metadata!", ADDRESS(INDEX($W$2:$W$1001,MATCH(ROWS($U$2:U323),$U$2:$U$1001,0),0), INDEX($AB$1004:$AQ$1004,1,MATCH(COLUMNS($AB$1006:AL1006),$AB$1006:$AQ$1006,0)))),"Fix")))</f>
        <v>0</v>
      </c>
      <c r="M323" s="5">
        <f>IF(OR(INDEX($V$2:$V$1001,MATCH(ROWS($U$2:U323),$U$2:$U$1001,0),1)&gt;=100000,INDEX($AB$1005:$AQ$1005,1,MATCH(COLUMNS($AB$1006:AM1006),$AB$1006:$AQ$1006,0))&gt;=100000), " ",IF(INDEX($AB$2:$AQ$1001,MATCH(ROWS($U$2:U323),$U$2:$U$1001,0),MATCH(COLUMNS($AB$1006:AM1006),$AB$1006:$AQ$1006,0)), HYPERLINK("#",""), HYPERLINK(CONCATENATE("#Metadata!", ADDRESS(INDEX($W$2:$W$1001,MATCH(ROWS($U$2:U323),$U$2:$U$1001,0),0), INDEX($AB$1004:$AQ$1004,1,MATCH(COLUMNS($AB$1006:AM1006),$AB$1006:$AQ$1006,0)))),"Fix")))</f>
        <v>0</v>
      </c>
      <c r="N323" s="5">
        <f>IF(OR(INDEX($V$2:$V$1001,MATCH(ROWS($U$2:U323),$U$2:$U$1001,0),1)&gt;=100000,INDEX($AB$1005:$AQ$1005,1,MATCH(COLUMNS($AB$1006:AN1006),$AB$1006:$AQ$1006,0))&gt;=100000), " ",IF(INDEX($AB$2:$AQ$1001,MATCH(ROWS($U$2:U323),$U$2:$U$1001,0),MATCH(COLUMNS($AB$1006:AN1006),$AB$1006:$AQ$1006,0)), HYPERLINK("#",""), HYPERLINK(CONCATENATE("#Metadata!", ADDRESS(INDEX($W$2:$W$1001,MATCH(ROWS($U$2:U323),$U$2:$U$1001,0),0), INDEX($AB$1004:$AQ$1004,1,MATCH(COLUMNS($AB$1006:AN1006),$AB$1006:$AQ$1006,0)))),"Fix")))</f>
        <v>0</v>
      </c>
      <c r="O323" s="5">
        <f>IF(OR(INDEX($V$2:$V$1001,MATCH(ROWS($U$2:U323),$U$2:$U$1001,0),1)&gt;=100000,INDEX($AB$1005:$AQ$1005,1,MATCH(COLUMNS($AB$1006:AO1006),$AB$1006:$AQ$1006,0))&gt;=100000), " ",IF(INDEX($AB$2:$AQ$1001,MATCH(ROWS($U$2:U323),$U$2:$U$1001,0),MATCH(COLUMNS($AB$1006:AO1006),$AB$1006:$AQ$1006,0)), HYPERLINK("#",""), HYPERLINK(CONCATENATE("#Metadata!", ADDRESS(INDEX($W$2:$W$1001,MATCH(ROWS($U$2:U323),$U$2:$U$1001,0),0), INDEX($AB$1004:$AQ$1004,1,MATCH(COLUMNS($AB$1006:AO1006),$AB$1006:$AQ$1006,0)))),"Fix")))</f>
        <v>0</v>
      </c>
      <c r="P323" s="5">
        <f>IF(OR(INDEX($V$2:$V$1001,MATCH(ROWS($U$2:U323),$U$2:$U$1001,0),1)&gt;=100000,INDEX($AB$1005:$AQ$1005,1,MATCH(COLUMNS($AB$1006:AP1006),$AB$1006:$AQ$1006,0))&gt;=100000), " ",IF(INDEX($AB$2:$AQ$1001,MATCH(ROWS($U$2:U323),$U$2:$U$1001,0),MATCH(COLUMNS($AB$1006:AP1006),$AB$1006:$AQ$1006,0)), HYPERLINK("#",""), HYPERLINK(CONCATENATE("#Metadata!", ADDRESS(INDEX($W$2:$W$1001,MATCH(ROWS($U$2:U323),$U$2:$U$1001,0),0), INDEX($AB$1004:$AQ$1004,1,MATCH(COLUMNS($AB$1006:AP1006),$AB$1006:$AQ$1006,0)))),"Fix")))</f>
        <v>0</v>
      </c>
      <c r="Q323" s="5">
        <f>IF(OR(INDEX($V$2:$V$1001,MATCH(ROWS($U$2:U323),$U$2:$U$1001,0),1)&gt;=100000,INDEX($AB$1005:$AQ$1005,1,MATCH(COLUMNS($AB$1006:AQ1006),$AB$1006:$AQ$1006,0))&gt;=100000), " ",IF(INDEX($AB$2:$AQ$1001,MATCH(ROWS($U$2:U323),$U$2:$U$1001,0),MATCH(COLUMNS($AB$1006:AQ1006),$AB$1006:$AQ$1006,0)), HYPERLINK("#",""), HYPERLINK(CONCATENATE("#Metadata!", ADDRESS(INDEX($W$2:$W$1001,MATCH(ROWS($U$2:U323),$U$2:$U$1001,0),0), INDEX($AB$1004:$AQ$1004,1,MATCH(COLUMNS($AB$1006:AQ1006),$AB$1006:$AQ$1006,0)))),"Fix")))</f>
        <v>0</v>
      </c>
      <c r="U323">
        <v>0</v>
      </c>
      <c r="V323">
        <v>0</v>
      </c>
      <c r="W323">
        <v>0</v>
      </c>
      <c r="X323">
        <f>IF(Y323,TRUE,AND(AB323:AQ323))</f>
        <v>0</v>
      </c>
      <c r="Y323">
        <f>COUNTBLANK(Metadata!B323:Q323)=COLUMNS(Metadata!B323:Q323)</f>
        <v>0</v>
      </c>
      <c r="Z323">
        <v>0</v>
      </c>
      <c r="AB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AC323">
        <f>AND(IF(Metadata!C323="",FALSE,TRUE),exact(Metadata!C323,"urban biome"))</f>
        <v>0</v>
      </c>
      <c r="AD323">
        <f>AND(IF(Metadata!D323="",FALSE,TRUE),exact(Metadata!D323,"human-associated habitat"))</f>
        <v>0</v>
      </c>
      <c r="AE323">
        <f>AND(IF(Metadata!E323="",FALSE,TRUE),OR(exact(Metadata!E323,"human-associated"),exact(Metadata!E323,"human-skin"),exact(Metadata!E323,"human-oral"),exact(Metadata!E323,"human-gut"),exact(Metadata!E323,"human-vaginal")))</f>
        <v>0</v>
      </c>
      <c r="AF323">
        <f>AND(IF(Metadata!F323="",FALSE,ISNUMBER(VALUE(Metadata!F323))),Metadata!F323&gt;0)</f>
        <v>0</v>
      </c>
      <c r="AG323">
        <f>AND(IF(Metadata!G323="",FALSE,TRUE),exact(Metadata!G323,"years"))</f>
        <v>0</v>
      </c>
      <c r="AH323">
        <f>OR(AND(IF(Metadata!H323="",FALSE,TRUE),OR(exact(Metadata!H323,"not applicable"),exact(Metadata!H323,"not collected"),exact(Metadata!H323,"not provided"),exact(Metadata!H323,"restricted access"))),AND(IF(Metadata!H323="",FALSE,ISNUMBER(VALUE(Metadata!H323))),Metadata!H323&gt;0))</f>
        <v>0</v>
      </c>
      <c r="AI323">
        <f>AND(IF(Metadata!I323="",FALSE,TRUE),exact(Metadata!I323,"human"))</f>
        <v>0</v>
      </c>
      <c r="AJ323">
        <f>AND(IF(Metadata!J323="",FALSE,ISNUMBER(VALUE(Metadata!J323))),Metadata!J323&gt;0)</f>
        <v>0</v>
      </c>
      <c r="AK323">
        <f>AND(IF(Metadata!K323="",FALSE,TRUE),exact(Metadata!K323,"cm"))</f>
        <v>0</v>
      </c>
      <c r="AL323">
        <f>AND(IF(Metadata!L323="",FALSE,TRUE),exact(Metadata!L323,"Homo sapiens"))</f>
        <v>0</v>
      </c>
      <c r="AM323">
        <f>AND(IF(Metadata!M323="",FALSE,TRUE),exact(Metadata!M323,"9606"))</f>
        <v>0</v>
      </c>
      <c r="AN323">
        <f>AND(IF(Metadata!N323="",FALSE,ISNUMBER(VALUE(Metadata!N323))),Metadata!N323&gt;0)</f>
        <v>0</v>
      </c>
      <c r="AO323">
        <f>AND(IF(Metadata!O323="",FALSE,TRUE),exact(Metadata!O323,"kg"))</f>
        <v>0</v>
      </c>
      <c r="AP323">
        <f>OR(AND(IF(Metadata!P323="",FALSE,TRUE),exact(Metadata!P323,"not provided")),IF(Metadata!P323="",FALSE,TRUE))</f>
        <v>0</v>
      </c>
      <c r="AQ323">
        <f>OR(AND(IF(Metadata!Q323="",FALSE,TRUE),exact(Metadata!Q323,"not provided")),IF(Metadata!Q323="",FALSE,TRUE))</f>
        <v>0</v>
      </c>
    </row>
    <row r="324" spans="1:43">
      <c r="A324" s="4">
        <f>IF(B324=" "," ",HYPERLINK(CONCATENATE("#metadata!",ADDRESS(INDEX($W$2:$W$1001,MATCH(ROWS($U$2:U324),$U$2:$U$1001,0),0),2)),INDEX($Z$2:$Z$1001,MATCH(ROWS($U$2:U324),$U$2:$U$1001,0),0)))</f>
        <v>0</v>
      </c>
      <c r="B324" s="5">
        <f>IF(OR(INDEX($V$2:$V$1001,MATCH(ROWS($U$2:U324),$U$2:$U$1001,0),1)&gt;=100000,INDEX($AB$1005:$AQ$1005,1,MATCH(COLUMNS($AB$1006:AB1006),$AB$1006:$AQ$1006,0))&gt;=100000), " ",IF(INDEX($AB$2:$AQ$1001,MATCH(ROWS($U$2:U324),$U$2:$U$1001,0),MATCH(COLUMNS($AB$1006:AB1006),$AB$1006:$AQ$1006,0)), HYPERLINK("#",""), HYPERLINK(CONCATENATE("#Metadata!", ADDRESS(INDEX($W$2:$W$1001,MATCH(ROWS($U$2:U324),$U$2:$U$1001,0),0), INDEX($AB$1004:$AQ$1004,1,MATCH(COLUMNS($AB$1006:AB1006),$AB$1006:$AQ$1006,0)))),"Fix")))</f>
        <v>0</v>
      </c>
      <c r="C324" s="5">
        <f>IF(OR(INDEX($V$2:$V$1001,MATCH(ROWS($U$2:U324),$U$2:$U$1001,0),1)&gt;=100000,INDEX($AB$1005:$AQ$1005,1,MATCH(COLUMNS($AB$1006:AC1006),$AB$1006:$AQ$1006,0))&gt;=100000), " ",IF(INDEX($AB$2:$AQ$1001,MATCH(ROWS($U$2:U324),$U$2:$U$1001,0),MATCH(COLUMNS($AB$1006:AC1006),$AB$1006:$AQ$1006,0)), HYPERLINK("#",""), HYPERLINK(CONCATENATE("#Metadata!", ADDRESS(INDEX($W$2:$W$1001,MATCH(ROWS($U$2:U324),$U$2:$U$1001,0),0), INDEX($AB$1004:$AQ$1004,1,MATCH(COLUMNS($AB$1006:AC1006),$AB$1006:$AQ$1006,0)))),"Fix")))</f>
        <v>0</v>
      </c>
      <c r="D324" s="5">
        <f>IF(OR(INDEX($V$2:$V$1001,MATCH(ROWS($U$2:U324),$U$2:$U$1001,0),1)&gt;=100000,INDEX($AB$1005:$AQ$1005,1,MATCH(COLUMNS($AB$1006:AD1006),$AB$1006:$AQ$1006,0))&gt;=100000), " ",IF(INDEX($AB$2:$AQ$1001,MATCH(ROWS($U$2:U324),$U$2:$U$1001,0),MATCH(COLUMNS($AB$1006:AD1006),$AB$1006:$AQ$1006,0)), HYPERLINK("#",""), HYPERLINK(CONCATENATE("#Metadata!", ADDRESS(INDEX($W$2:$W$1001,MATCH(ROWS($U$2:U324),$U$2:$U$1001,0),0), INDEX($AB$1004:$AQ$1004,1,MATCH(COLUMNS($AB$1006:AD1006),$AB$1006:$AQ$1006,0)))),"Fix")))</f>
        <v>0</v>
      </c>
      <c r="E324" s="5">
        <f>IF(OR(INDEX($V$2:$V$1001,MATCH(ROWS($U$2:U324),$U$2:$U$1001,0),1)&gt;=100000,INDEX($AB$1005:$AQ$1005,1,MATCH(COLUMNS($AB$1006:AE1006),$AB$1006:$AQ$1006,0))&gt;=100000), " ",IF(INDEX($AB$2:$AQ$1001,MATCH(ROWS($U$2:U324),$U$2:$U$1001,0),MATCH(COLUMNS($AB$1006:AE1006),$AB$1006:$AQ$1006,0)), HYPERLINK("#",""), HYPERLINK(CONCATENATE("#Metadata!", ADDRESS(INDEX($W$2:$W$1001,MATCH(ROWS($U$2:U324),$U$2:$U$1001,0),0), INDEX($AB$1004:$AQ$1004,1,MATCH(COLUMNS($AB$1006:AE1006),$AB$1006:$AQ$1006,0)))),"Fix")))</f>
        <v>0</v>
      </c>
      <c r="F324" s="5">
        <f>IF(OR(INDEX($V$2:$V$1001,MATCH(ROWS($U$2:U324),$U$2:$U$1001,0),1)&gt;=100000,INDEX($AB$1005:$AQ$1005,1,MATCH(COLUMNS($AB$1006:AF1006),$AB$1006:$AQ$1006,0))&gt;=100000), " ",IF(INDEX($AB$2:$AQ$1001,MATCH(ROWS($U$2:U324),$U$2:$U$1001,0),MATCH(COLUMNS($AB$1006:AF1006),$AB$1006:$AQ$1006,0)), HYPERLINK("#",""), HYPERLINK(CONCATENATE("#Metadata!", ADDRESS(INDEX($W$2:$W$1001,MATCH(ROWS($U$2:U324),$U$2:$U$1001,0),0), INDEX($AB$1004:$AQ$1004,1,MATCH(COLUMNS($AB$1006:AF1006),$AB$1006:$AQ$1006,0)))),"Fix")))</f>
        <v>0</v>
      </c>
      <c r="G324" s="5">
        <f>IF(OR(INDEX($V$2:$V$1001,MATCH(ROWS($U$2:U324),$U$2:$U$1001,0),1)&gt;=100000,INDEX($AB$1005:$AQ$1005,1,MATCH(COLUMNS($AB$1006:AG1006),$AB$1006:$AQ$1006,0))&gt;=100000), " ",IF(INDEX($AB$2:$AQ$1001,MATCH(ROWS($U$2:U324),$U$2:$U$1001,0),MATCH(COLUMNS($AB$1006:AG1006),$AB$1006:$AQ$1006,0)), HYPERLINK("#",""), HYPERLINK(CONCATENATE("#Metadata!", ADDRESS(INDEX($W$2:$W$1001,MATCH(ROWS($U$2:U324),$U$2:$U$1001,0),0), INDEX($AB$1004:$AQ$1004,1,MATCH(COLUMNS($AB$1006:AG1006),$AB$1006:$AQ$1006,0)))),"Fix")))</f>
        <v>0</v>
      </c>
      <c r="H324" s="5">
        <f>IF(OR(INDEX($V$2:$V$1001,MATCH(ROWS($U$2:U324),$U$2:$U$1001,0),1)&gt;=100000,INDEX($AB$1005:$AQ$1005,1,MATCH(COLUMNS($AB$1006:AH1006),$AB$1006:$AQ$1006,0))&gt;=100000), " ",IF(INDEX($AB$2:$AQ$1001,MATCH(ROWS($U$2:U324),$U$2:$U$1001,0),MATCH(COLUMNS($AB$1006:AH1006),$AB$1006:$AQ$1006,0)), HYPERLINK("#",""), HYPERLINK(CONCATENATE("#Metadata!", ADDRESS(INDEX($W$2:$W$1001,MATCH(ROWS($U$2:U324),$U$2:$U$1001,0),0), INDEX($AB$1004:$AQ$1004,1,MATCH(COLUMNS($AB$1006:AH1006),$AB$1006:$AQ$1006,0)))),"Fix")))</f>
        <v>0</v>
      </c>
      <c r="I324" s="5">
        <f>IF(OR(INDEX($V$2:$V$1001,MATCH(ROWS($U$2:U324),$U$2:$U$1001,0),1)&gt;=100000,INDEX($AB$1005:$AQ$1005,1,MATCH(COLUMNS($AB$1006:AI1006),$AB$1006:$AQ$1006,0))&gt;=100000), " ",IF(INDEX($AB$2:$AQ$1001,MATCH(ROWS($U$2:U324),$U$2:$U$1001,0),MATCH(COLUMNS($AB$1006:AI1006),$AB$1006:$AQ$1006,0)), HYPERLINK("#",""), HYPERLINK(CONCATENATE("#Metadata!", ADDRESS(INDEX($W$2:$W$1001,MATCH(ROWS($U$2:U324),$U$2:$U$1001,0),0), INDEX($AB$1004:$AQ$1004,1,MATCH(COLUMNS($AB$1006:AI1006),$AB$1006:$AQ$1006,0)))),"Fix")))</f>
        <v>0</v>
      </c>
      <c r="J324" s="5">
        <f>IF(OR(INDEX($V$2:$V$1001,MATCH(ROWS($U$2:U324),$U$2:$U$1001,0),1)&gt;=100000,INDEX($AB$1005:$AQ$1005,1,MATCH(COLUMNS($AB$1006:AJ1006),$AB$1006:$AQ$1006,0))&gt;=100000), " ",IF(INDEX($AB$2:$AQ$1001,MATCH(ROWS($U$2:U324),$U$2:$U$1001,0),MATCH(COLUMNS($AB$1006:AJ1006),$AB$1006:$AQ$1006,0)), HYPERLINK("#",""), HYPERLINK(CONCATENATE("#Metadata!", ADDRESS(INDEX($W$2:$W$1001,MATCH(ROWS($U$2:U324),$U$2:$U$1001,0),0), INDEX($AB$1004:$AQ$1004,1,MATCH(COLUMNS($AB$1006:AJ1006),$AB$1006:$AQ$1006,0)))),"Fix")))</f>
        <v>0</v>
      </c>
      <c r="K324" s="5">
        <f>IF(OR(INDEX($V$2:$V$1001,MATCH(ROWS($U$2:U324),$U$2:$U$1001,0),1)&gt;=100000,INDEX($AB$1005:$AQ$1005,1,MATCH(COLUMNS($AB$1006:AK1006),$AB$1006:$AQ$1006,0))&gt;=100000), " ",IF(INDEX($AB$2:$AQ$1001,MATCH(ROWS($U$2:U324),$U$2:$U$1001,0),MATCH(COLUMNS($AB$1006:AK1006),$AB$1006:$AQ$1006,0)), HYPERLINK("#",""), HYPERLINK(CONCATENATE("#Metadata!", ADDRESS(INDEX($W$2:$W$1001,MATCH(ROWS($U$2:U324),$U$2:$U$1001,0),0), INDEX($AB$1004:$AQ$1004,1,MATCH(COLUMNS($AB$1006:AK1006),$AB$1006:$AQ$1006,0)))),"Fix")))</f>
        <v>0</v>
      </c>
      <c r="L324" s="5">
        <f>IF(OR(INDEX($V$2:$V$1001,MATCH(ROWS($U$2:U324),$U$2:$U$1001,0),1)&gt;=100000,INDEX($AB$1005:$AQ$1005,1,MATCH(COLUMNS($AB$1006:AL1006),$AB$1006:$AQ$1006,0))&gt;=100000), " ",IF(INDEX($AB$2:$AQ$1001,MATCH(ROWS($U$2:U324),$U$2:$U$1001,0),MATCH(COLUMNS($AB$1006:AL1006),$AB$1006:$AQ$1006,0)), HYPERLINK("#",""), HYPERLINK(CONCATENATE("#Metadata!", ADDRESS(INDEX($W$2:$W$1001,MATCH(ROWS($U$2:U324),$U$2:$U$1001,0),0), INDEX($AB$1004:$AQ$1004,1,MATCH(COLUMNS($AB$1006:AL1006),$AB$1006:$AQ$1006,0)))),"Fix")))</f>
        <v>0</v>
      </c>
      <c r="M324" s="5">
        <f>IF(OR(INDEX($V$2:$V$1001,MATCH(ROWS($U$2:U324),$U$2:$U$1001,0),1)&gt;=100000,INDEX($AB$1005:$AQ$1005,1,MATCH(COLUMNS($AB$1006:AM1006),$AB$1006:$AQ$1006,0))&gt;=100000), " ",IF(INDEX($AB$2:$AQ$1001,MATCH(ROWS($U$2:U324),$U$2:$U$1001,0),MATCH(COLUMNS($AB$1006:AM1006),$AB$1006:$AQ$1006,0)), HYPERLINK("#",""), HYPERLINK(CONCATENATE("#Metadata!", ADDRESS(INDEX($W$2:$W$1001,MATCH(ROWS($U$2:U324),$U$2:$U$1001,0),0), INDEX($AB$1004:$AQ$1004,1,MATCH(COLUMNS($AB$1006:AM1006),$AB$1006:$AQ$1006,0)))),"Fix")))</f>
        <v>0</v>
      </c>
      <c r="N324" s="5">
        <f>IF(OR(INDEX($V$2:$V$1001,MATCH(ROWS($U$2:U324),$U$2:$U$1001,0),1)&gt;=100000,INDEX($AB$1005:$AQ$1005,1,MATCH(COLUMNS($AB$1006:AN1006),$AB$1006:$AQ$1006,0))&gt;=100000), " ",IF(INDEX($AB$2:$AQ$1001,MATCH(ROWS($U$2:U324),$U$2:$U$1001,0),MATCH(COLUMNS($AB$1006:AN1006),$AB$1006:$AQ$1006,0)), HYPERLINK("#",""), HYPERLINK(CONCATENATE("#Metadata!", ADDRESS(INDEX($W$2:$W$1001,MATCH(ROWS($U$2:U324),$U$2:$U$1001,0),0), INDEX($AB$1004:$AQ$1004,1,MATCH(COLUMNS($AB$1006:AN1006),$AB$1006:$AQ$1006,0)))),"Fix")))</f>
        <v>0</v>
      </c>
      <c r="O324" s="5">
        <f>IF(OR(INDEX($V$2:$V$1001,MATCH(ROWS($U$2:U324),$U$2:$U$1001,0),1)&gt;=100000,INDEX($AB$1005:$AQ$1005,1,MATCH(COLUMNS($AB$1006:AO1006),$AB$1006:$AQ$1006,0))&gt;=100000), " ",IF(INDEX($AB$2:$AQ$1001,MATCH(ROWS($U$2:U324),$U$2:$U$1001,0),MATCH(COLUMNS($AB$1006:AO1006),$AB$1006:$AQ$1006,0)), HYPERLINK("#",""), HYPERLINK(CONCATENATE("#Metadata!", ADDRESS(INDEX($W$2:$W$1001,MATCH(ROWS($U$2:U324),$U$2:$U$1001,0),0), INDEX($AB$1004:$AQ$1004,1,MATCH(COLUMNS($AB$1006:AO1006),$AB$1006:$AQ$1006,0)))),"Fix")))</f>
        <v>0</v>
      </c>
      <c r="P324" s="5">
        <f>IF(OR(INDEX($V$2:$V$1001,MATCH(ROWS($U$2:U324),$U$2:$U$1001,0),1)&gt;=100000,INDEX($AB$1005:$AQ$1005,1,MATCH(COLUMNS($AB$1006:AP1006),$AB$1006:$AQ$1006,0))&gt;=100000), " ",IF(INDEX($AB$2:$AQ$1001,MATCH(ROWS($U$2:U324),$U$2:$U$1001,0),MATCH(COLUMNS($AB$1006:AP1006),$AB$1006:$AQ$1006,0)), HYPERLINK("#",""), HYPERLINK(CONCATENATE("#Metadata!", ADDRESS(INDEX($W$2:$W$1001,MATCH(ROWS($U$2:U324),$U$2:$U$1001,0),0), INDEX($AB$1004:$AQ$1004,1,MATCH(COLUMNS($AB$1006:AP1006),$AB$1006:$AQ$1006,0)))),"Fix")))</f>
        <v>0</v>
      </c>
      <c r="Q324" s="5">
        <f>IF(OR(INDEX($V$2:$V$1001,MATCH(ROWS($U$2:U324),$U$2:$U$1001,0),1)&gt;=100000,INDEX($AB$1005:$AQ$1005,1,MATCH(COLUMNS($AB$1006:AQ1006),$AB$1006:$AQ$1006,0))&gt;=100000), " ",IF(INDEX($AB$2:$AQ$1001,MATCH(ROWS($U$2:U324),$U$2:$U$1001,0),MATCH(COLUMNS($AB$1006:AQ1006),$AB$1006:$AQ$1006,0)), HYPERLINK("#",""), HYPERLINK(CONCATENATE("#Metadata!", ADDRESS(INDEX($W$2:$W$1001,MATCH(ROWS($U$2:U324),$U$2:$U$1001,0),0), INDEX($AB$1004:$AQ$1004,1,MATCH(COLUMNS($AB$1006:AQ1006),$AB$1006:$AQ$1006,0)))),"Fix")))</f>
        <v>0</v>
      </c>
      <c r="U324">
        <v>0</v>
      </c>
      <c r="V324">
        <v>0</v>
      </c>
      <c r="W324">
        <v>0</v>
      </c>
      <c r="X324">
        <f>IF(Y324,TRUE,AND(AB324:AQ324))</f>
        <v>0</v>
      </c>
      <c r="Y324">
        <f>COUNTBLANK(Metadata!B324:Q324)=COLUMNS(Metadata!B324:Q324)</f>
        <v>0</v>
      </c>
      <c r="Z324">
        <v>0</v>
      </c>
      <c r="AB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AC324">
        <f>AND(IF(Metadata!C324="",FALSE,TRUE),exact(Metadata!C324,"urban biome"))</f>
        <v>0</v>
      </c>
      <c r="AD324">
        <f>AND(IF(Metadata!D324="",FALSE,TRUE),exact(Metadata!D324,"human-associated habitat"))</f>
        <v>0</v>
      </c>
      <c r="AE324">
        <f>AND(IF(Metadata!E324="",FALSE,TRUE),OR(exact(Metadata!E324,"human-associated"),exact(Metadata!E324,"human-skin"),exact(Metadata!E324,"human-oral"),exact(Metadata!E324,"human-gut"),exact(Metadata!E324,"human-vaginal")))</f>
        <v>0</v>
      </c>
      <c r="AF324">
        <f>AND(IF(Metadata!F324="",FALSE,ISNUMBER(VALUE(Metadata!F324))),Metadata!F324&gt;0)</f>
        <v>0</v>
      </c>
      <c r="AG324">
        <f>AND(IF(Metadata!G324="",FALSE,TRUE),exact(Metadata!G324,"years"))</f>
        <v>0</v>
      </c>
      <c r="AH324">
        <f>OR(AND(IF(Metadata!H324="",FALSE,TRUE),OR(exact(Metadata!H324,"not applicable"),exact(Metadata!H324,"not collected"),exact(Metadata!H324,"not provided"),exact(Metadata!H324,"restricted access"))),AND(IF(Metadata!H324="",FALSE,ISNUMBER(VALUE(Metadata!H324))),Metadata!H324&gt;0))</f>
        <v>0</v>
      </c>
      <c r="AI324">
        <f>AND(IF(Metadata!I324="",FALSE,TRUE),exact(Metadata!I324,"human"))</f>
        <v>0</v>
      </c>
      <c r="AJ324">
        <f>AND(IF(Metadata!J324="",FALSE,ISNUMBER(VALUE(Metadata!J324))),Metadata!J324&gt;0)</f>
        <v>0</v>
      </c>
      <c r="AK324">
        <f>AND(IF(Metadata!K324="",FALSE,TRUE),exact(Metadata!K324,"cm"))</f>
        <v>0</v>
      </c>
      <c r="AL324">
        <f>AND(IF(Metadata!L324="",FALSE,TRUE),exact(Metadata!L324,"Homo sapiens"))</f>
        <v>0</v>
      </c>
      <c r="AM324">
        <f>AND(IF(Metadata!M324="",FALSE,TRUE),exact(Metadata!M324,"9606"))</f>
        <v>0</v>
      </c>
      <c r="AN324">
        <f>AND(IF(Metadata!N324="",FALSE,ISNUMBER(VALUE(Metadata!N324))),Metadata!N324&gt;0)</f>
        <v>0</v>
      </c>
      <c r="AO324">
        <f>AND(IF(Metadata!O324="",FALSE,TRUE),exact(Metadata!O324,"kg"))</f>
        <v>0</v>
      </c>
      <c r="AP324">
        <f>OR(AND(IF(Metadata!P324="",FALSE,TRUE),exact(Metadata!P324,"not provided")),IF(Metadata!P324="",FALSE,TRUE))</f>
        <v>0</v>
      </c>
      <c r="AQ324">
        <f>OR(AND(IF(Metadata!Q324="",FALSE,TRUE),exact(Metadata!Q324,"not provided")),IF(Metadata!Q324="",FALSE,TRUE))</f>
        <v>0</v>
      </c>
    </row>
    <row r="325" spans="1:43">
      <c r="A325" s="4">
        <f>IF(B325=" "," ",HYPERLINK(CONCATENATE("#metadata!",ADDRESS(INDEX($W$2:$W$1001,MATCH(ROWS($U$2:U325),$U$2:$U$1001,0),0),2)),INDEX($Z$2:$Z$1001,MATCH(ROWS($U$2:U325),$U$2:$U$1001,0),0)))</f>
        <v>0</v>
      </c>
      <c r="B325" s="5">
        <f>IF(OR(INDEX($V$2:$V$1001,MATCH(ROWS($U$2:U325),$U$2:$U$1001,0),1)&gt;=100000,INDEX($AB$1005:$AQ$1005,1,MATCH(COLUMNS($AB$1006:AB1006),$AB$1006:$AQ$1006,0))&gt;=100000), " ",IF(INDEX($AB$2:$AQ$1001,MATCH(ROWS($U$2:U325),$U$2:$U$1001,0),MATCH(COLUMNS($AB$1006:AB1006),$AB$1006:$AQ$1006,0)), HYPERLINK("#",""), HYPERLINK(CONCATENATE("#Metadata!", ADDRESS(INDEX($W$2:$W$1001,MATCH(ROWS($U$2:U325),$U$2:$U$1001,0),0), INDEX($AB$1004:$AQ$1004,1,MATCH(COLUMNS($AB$1006:AB1006),$AB$1006:$AQ$1006,0)))),"Fix")))</f>
        <v>0</v>
      </c>
      <c r="C325" s="5">
        <f>IF(OR(INDEX($V$2:$V$1001,MATCH(ROWS($U$2:U325),$U$2:$U$1001,0),1)&gt;=100000,INDEX($AB$1005:$AQ$1005,1,MATCH(COLUMNS($AB$1006:AC1006),$AB$1006:$AQ$1006,0))&gt;=100000), " ",IF(INDEX($AB$2:$AQ$1001,MATCH(ROWS($U$2:U325),$U$2:$U$1001,0),MATCH(COLUMNS($AB$1006:AC1006),$AB$1006:$AQ$1006,0)), HYPERLINK("#",""), HYPERLINK(CONCATENATE("#Metadata!", ADDRESS(INDEX($W$2:$W$1001,MATCH(ROWS($U$2:U325),$U$2:$U$1001,0),0), INDEX($AB$1004:$AQ$1004,1,MATCH(COLUMNS($AB$1006:AC1006),$AB$1006:$AQ$1006,0)))),"Fix")))</f>
        <v>0</v>
      </c>
      <c r="D325" s="5">
        <f>IF(OR(INDEX($V$2:$V$1001,MATCH(ROWS($U$2:U325),$U$2:$U$1001,0),1)&gt;=100000,INDEX($AB$1005:$AQ$1005,1,MATCH(COLUMNS($AB$1006:AD1006),$AB$1006:$AQ$1006,0))&gt;=100000), " ",IF(INDEX($AB$2:$AQ$1001,MATCH(ROWS($U$2:U325),$U$2:$U$1001,0),MATCH(COLUMNS($AB$1006:AD1006),$AB$1006:$AQ$1006,0)), HYPERLINK("#",""), HYPERLINK(CONCATENATE("#Metadata!", ADDRESS(INDEX($W$2:$W$1001,MATCH(ROWS($U$2:U325),$U$2:$U$1001,0),0), INDEX($AB$1004:$AQ$1004,1,MATCH(COLUMNS($AB$1006:AD1006),$AB$1006:$AQ$1006,0)))),"Fix")))</f>
        <v>0</v>
      </c>
      <c r="E325" s="5">
        <f>IF(OR(INDEX($V$2:$V$1001,MATCH(ROWS($U$2:U325),$U$2:$U$1001,0),1)&gt;=100000,INDEX($AB$1005:$AQ$1005,1,MATCH(COLUMNS($AB$1006:AE1006),$AB$1006:$AQ$1006,0))&gt;=100000), " ",IF(INDEX($AB$2:$AQ$1001,MATCH(ROWS($U$2:U325),$U$2:$U$1001,0),MATCH(COLUMNS($AB$1006:AE1006),$AB$1006:$AQ$1006,0)), HYPERLINK("#",""), HYPERLINK(CONCATENATE("#Metadata!", ADDRESS(INDEX($W$2:$W$1001,MATCH(ROWS($U$2:U325),$U$2:$U$1001,0),0), INDEX($AB$1004:$AQ$1004,1,MATCH(COLUMNS($AB$1006:AE1006),$AB$1006:$AQ$1006,0)))),"Fix")))</f>
        <v>0</v>
      </c>
      <c r="F325" s="5">
        <f>IF(OR(INDEX($V$2:$V$1001,MATCH(ROWS($U$2:U325),$U$2:$U$1001,0),1)&gt;=100000,INDEX($AB$1005:$AQ$1005,1,MATCH(COLUMNS($AB$1006:AF1006),$AB$1006:$AQ$1006,0))&gt;=100000), " ",IF(INDEX($AB$2:$AQ$1001,MATCH(ROWS($U$2:U325),$U$2:$U$1001,0),MATCH(COLUMNS($AB$1006:AF1006),$AB$1006:$AQ$1006,0)), HYPERLINK("#",""), HYPERLINK(CONCATENATE("#Metadata!", ADDRESS(INDEX($W$2:$W$1001,MATCH(ROWS($U$2:U325),$U$2:$U$1001,0),0), INDEX($AB$1004:$AQ$1004,1,MATCH(COLUMNS($AB$1006:AF1006),$AB$1006:$AQ$1006,0)))),"Fix")))</f>
        <v>0</v>
      </c>
      <c r="G325" s="5">
        <f>IF(OR(INDEX($V$2:$V$1001,MATCH(ROWS($U$2:U325),$U$2:$U$1001,0),1)&gt;=100000,INDEX($AB$1005:$AQ$1005,1,MATCH(COLUMNS($AB$1006:AG1006),$AB$1006:$AQ$1006,0))&gt;=100000), " ",IF(INDEX($AB$2:$AQ$1001,MATCH(ROWS($U$2:U325),$U$2:$U$1001,0),MATCH(COLUMNS($AB$1006:AG1006),$AB$1006:$AQ$1006,0)), HYPERLINK("#",""), HYPERLINK(CONCATENATE("#Metadata!", ADDRESS(INDEX($W$2:$W$1001,MATCH(ROWS($U$2:U325),$U$2:$U$1001,0),0), INDEX($AB$1004:$AQ$1004,1,MATCH(COLUMNS($AB$1006:AG1006),$AB$1006:$AQ$1006,0)))),"Fix")))</f>
        <v>0</v>
      </c>
      <c r="H325" s="5">
        <f>IF(OR(INDEX($V$2:$V$1001,MATCH(ROWS($U$2:U325),$U$2:$U$1001,0),1)&gt;=100000,INDEX($AB$1005:$AQ$1005,1,MATCH(COLUMNS($AB$1006:AH1006),$AB$1006:$AQ$1006,0))&gt;=100000), " ",IF(INDEX($AB$2:$AQ$1001,MATCH(ROWS($U$2:U325),$U$2:$U$1001,0),MATCH(COLUMNS($AB$1006:AH1006),$AB$1006:$AQ$1006,0)), HYPERLINK("#",""), HYPERLINK(CONCATENATE("#Metadata!", ADDRESS(INDEX($W$2:$W$1001,MATCH(ROWS($U$2:U325),$U$2:$U$1001,0),0), INDEX($AB$1004:$AQ$1004,1,MATCH(COLUMNS($AB$1006:AH1006),$AB$1006:$AQ$1006,0)))),"Fix")))</f>
        <v>0</v>
      </c>
      <c r="I325" s="5">
        <f>IF(OR(INDEX($V$2:$V$1001,MATCH(ROWS($U$2:U325),$U$2:$U$1001,0),1)&gt;=100000,INDEX($AB$1005:$AQ$1005,1,MATCH(COLUMNS($AB$1006:AI1006),$AB$1006:$AQ$1006,0))&gt;=100000), " ",IF(INDEX($AB$2:$AQ$1001,MATCH(ROWS($U$2:U325),$U$2:$U$1001,0),MATCH(COLUMNS($AB$1006:AI1006),$AB$1006:$AQ$1006,0)), HYPERLINK("#",""), HYPERLINK(CONCATENATE("#Metadata!", ADDRESS(INDEX($W$2:$W$1001,MATCH(ROWS($U$2:U325),$U$2:$U$1001,0),0), INDEX($AB$1004:$AQ$1004,1,MATCH(COLUMNS($AB$1006:AI1006),$AB$1006:$AQ$1006,0)))),"Fix")))</f>
        <v>0</v>
      </c>
      <c r="J325" s="5">
        <f>IF(OR(INDEX($V$2:$V$1001,MATCH(ROWS($U$2:U325),$U$2:$U$1001,0),1)&gt;=100000,INDEX($AB$1005:$AQ$1005,1,MATCH(COLUMNS($AB$1006:AJ1006),$AB$1006:$AQ$1006,0))&gt;=100000), " ",IF(INDEX($AB$2:$AQ$1001,MATCH(ROWS($U$2:U325),$U$2:$U$1001,0),MATCH(COLUMNS($AB$1006:AJ1006),$AB$1006:$AQ$1006,0)), HYPERLINK("#",""), HYPERLINK(CONCATENATE("#Metadata!", ADDRESS(INDEX($W$2:$W$1001,MATCH(ROWS($U$2:U325),$U$2:$U$1001,0),0), INDEX($AB$1004:$AQ$1004,1,MATCH(COLUMNS($AB$1006:AJ1006),$AB$1006:$AQ$1006,0)))),"Fix")))</f>
        <v>0</v>
      </c>
      <c r="K325" s="5">
        <f>IF(OR(INDEX($V$2:$V$1001,MATCH(ROWS($U$2:U325),$U$2:$U$1001,0),1)&gt;=100000,INDEX($AB$1005:$AQ$1005,1,MATCH(COLUMNS($AB$1006:AK1006),$AB$1006:$AQ$1006,0))&gt;=100000), " ",IF(INDEX($AB$2:$AQ$1001,MATCH(ROWS($U$2:U325),$U$2:$U$1001,0),MATCH(COLUMNS($AB$1006:AK1006),$AB$1006:$AQ$1006,0)), HYPERLINK("#",""), HYPERLINK(CONCATENATE("#Metadata!", ADDRESS(INDEX($W$2:$W$1001,MATCH(ROWS($U$2:U325),$U$2:$U$1001,0),0), INDEX($AB$1004:$AQ$1004,1,MATCH(COLUMNS($AB$1006:AK1006),$AB$1006:$AQ$1006,0)))),"Fix")))</f>
        <v>0</v>
      </c>
      <c r="L325" s="5">
        <f>IF(OR(INDEX($V$2:$V$1001,MATCH(ROWS($U$2:U325),$U$2:$U$1001,0),1)&gt;=100000,INDEX($AB$1005:$AQ$1005,1,MATCH(COLUMNS($AB$1006:AL1006),$AB$1006:$AQ$1006,0))&gt;=100000), " ",IF(INDEX($AB$2:$AQ$1001,MATCH(ROWS($U$2:U325),$U$2:$U$1001,0),MATCH(COLUMNS($AB$1006:AL1006),$AB$1006:$AQ$1006,0)), HYPERLINK("#",""), HYPERLINK(CONCATENATE("#Metadata!", ADDRESS(INDEX($W$2:$W$1001,MATCH(ROWS($U$2:U325),$U$2:$U$1001,0),0), INDEX($AB$1004:$AQ$1004,1,MATCH(COLUMNS($AB$1006:AL1006),$AB$1006:$AQ$1006,0)))),"Fix")))</f>
        <v>0</v>
      </c>
      <c r="M325" s="5">
        <f>IF(OR(INDEX($V$2:$V$1001,MATCH(ROWS($U$2:U325),$U$2:$U$1001,0),1)&gt;=100000,INDEX($AB$1005:$AQ$1005,1,MATCH(COLUMNS($AB$1006:AM1006),$AB$1006:$AQ$1006,0))&gt;=100000), " ",IF(INDEX($AB$2:$AQ$1001,MATCH(ROWS($U$2:U325),$U$2:$U$1001,0),MATCH(COLUMNS($AB$1006:AM1006),$AB$1006:$AQ$1006,0)), HYPERLINK("#",""), HYPERLINK(CONCATENATE("#Metadata!", ADDRESS(INDEX($W$2:$W$1001,MATCH(ROWS($U$2:U325),$U$2:$U$1001,0),0), INDEX($AB$1004:$AQ$1004,1,MATCH(COLUMNS($AB$1006:AM1006),$AB$1006:$AQ$1006,0)))),"Fix")))</f>
        <v>0</v>
      </c>
      <c r="N325" s="5">
        <f>IF(OR(INDEX($V$2:$V$1001,MATCH(ROWS($U$2:U325),$U$2:$U$1001,0),1)&gt;=100000,INDEX($AB$1005:$AQ$1005,1,MATCH(COLUMNS($AB$1006:AN1006),$AB$1006:$AQ$1006,0))&gt;=100000), " ",IF(INDEX($AB$2:$AQ$1001,MATCH(ROWS($U$2:U325),$U$2:$U$1001,0),MATCH(COLUMNS($AB$1006:AN1006),$AB$1006:$AQ$1006,0)), HYPERLINK("#",""), HYPERLINK(CONCATENATE("#Metadata!", ADDRESS(INDEX($W$2:$W$1001,MATCH(ROWS($U$2:U325),$U$2:$U$1001,0),0), INDEX($AB$1004:$AQ$1004,1,MATCH(COLUMNS($AB$1006:AN1006),$AB$1006:$AQ$1006,0)))),"Fix")))</f>
        <v>0</v>
      </c>
      <c r="O325" s="5">
        <f>IF(OR(INDEX($V$2:$V$1001,MATCH(ROWS($U$2:U325),$U$2:$U$1001,0),1)&gt;=100000,INDEX($AB$1005:$AQ$1005,1,MATCH(COLUMNS($AB$1006:AO1006),$AB$1006:$AQ$1006,0))&gt;=100000), " ",IF(INDEX($AB$2:$AQ$1001,MATCH(ROWS($U$2:U325),$U$2:$U$1001,0),MATCH(COLUMNS($AB$1006:AO1006),$AB$1006:$AQ$1006,0)), HYPERLINK("#",""), HYPERLINK(CONCATENATE("#Metadata!", ADDRESS(INDEX($W$2:$W$1001,MATCH(ROWS($U$2:U325),$U$2:$U$1001,0),0), INDEX($AB$1004:$AQ$1004,1,MATCH(COLUMNS($AB$1006:AO1006),$AB$1006:$AQ$1006,0)))),"Fix")))</f>
        <v>0</v>
      </c>
      <c r="P325" s="5">
        <f>IF(OR(INDEX($V$2:$V$1001,MATCH(ROWS($U$2:U325),$U$2:$U$1001,0),1)&gt;=100000,INDEX($AB$1005:$AQ$1005,1,MATCH(COLUMNS($AB$1006:AP1006),$AB$1006:$AQ$1006,0))&gt;=100000), " ",IF(INDEX($AB$2:$AQ$1001,MATCH(ROWS($U$2:U325),$U$2:$U$1001,0),MATCH(COLUMNS($AB$1006:AP1006),$AB$1006:$AQ$1006,0)), HYPERLINK("#",""), HYPERLINK(CONCATENATE("#Metadata!", ADDRESS(INDEX($W$2:$W$1001,MATCH(ROWS($U$2:U325),$U$2:$U$1001,0),0), INDEX($AB$1004:$AQ$1004,1,MATCH(COLUMNS($AB$1006:AP1006),$AB$1006:$AQ$1006,0)))),"Fix")))</f>
        <v>0</v>
      </c>
      <c r="Q325" s="5">
        <f>IF(OR(INDEX($V$2:$V$1001,MATCH(ROWS($U$2:U325),$U$2:$U$1001,0),1)&gt;=100000,INDEX($AB$1005:$AQ$1005,1,MATCH(COLUMNS($AB$1006:AQ1006),$AB$1006:$AQ$1006,0))&gt;=100000), " ",IF(INDEX($AB$2:$AQ$1001,MATCH(ROWS($U$2:U325),$U$2:$U$1001,0),MATCH(COLUMNS($AB$1006:AQ1006),$AB$1006:$AQ$1006,0)), HYPERLINK("#",""), HYPERLINK(CONCATENATE("#Metadata!", ADDRESS(INDEX($W$2:$W$1001,MATCH(ROWS($U$2:U325),$U$2:$U$1001,0),0), INDEX($AB$1004:$AQ$1004,1,MATCH(COLUMNS($AB$1006:AQ1006),$AB$1006:$AQ$1006,0)))),"Fix")))</f>
        <v>0</v>
      </c>
      <c r="U325">
        <v>0</v>
      </c>
      <c r="V325">
        <v>0</v>
      </c>
      <c r="W325">
        <v>0</v>
      </c>
      <c r="X325">
        <f>IF(Y325,TRUE,AND(AB325:AQ325))</f>
        <v>0</v>
      </c>
      <c r="Y325">
        <f>COUNTBLANK(Metadata!B325:Q325)=COLUMNS(Metadata!B325:Q325)</f>
        <v>0</v>
      </c>
      <c r="Z325">
        <v>0</v>
      </c>
      <c r="AB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AC325">
        <f>AND(IF(Metadata!C325="",FALSE,TRUE),exact(Metadata!C325,"urban biome"))</f>
        <v>0</v>
      </c>
      <c r="AD325">
        <f>AND(IF(Metadata!D325="",FALSE,TRUE),exact(Metadata!D325,"human-associated habitat"))</f>
        <v>0</v>
      </c>
      <c r="AE325">
        <f>AND(IF(Metadata!E325="",FALSE,TRUE),OR(exact(Metadata!E325,"human-associated"),exact(Metadata!E325,"human-skin"),exact(Metadata!E325,"human-oral"),exact(Metadata!E325,"human-gut"),exact(Metadata!E325,"human-vaginal")))</f>
        <v>0</v>
      </c>
      <c r="AF325">
        <f>AND(IF(Metadata!F325="",FALSE,ISNUMBER(VALUE(Metadata!F325))),Metadata!F325&gt;0)</f>
        <v>0</v>
      </c>
      <c r="AG325">
        <f>AND(IF(Metadata!G325="",FALSE,TRUE),exact(Metadata!G325,"years"))</f>
        <v>0</v>
      </c>
      <c r="AH325">
        <f>OR(AND(IF(Metadata!H325="",FALSE,TRUE),OR(exact(Metadata!H325,"not applicable"),exact(Metadata!H325,"not collected"),exact(Metadata!H325,"not provided"),exact(Metadata!H325,"restricted access"))),AND(IF(Metadata!H325="",FALSE,ISNUMBER(VALUE(Metadata!H325))),Metadata!H325&gt;0))</f>
        <v>0</v>
      </c>
      <c r="AI325">
        <f>AND(IF(Metadata!I325="",FALSE,TRUE),exact(Metadata!I325,"human"))</f>
        <v>0</v>
      </c>
      <c r="AJ325">
        <f>AND(IF(Metadata!J325="",FALSE,ISNUMBER(VALUE(Metadata!J325))),Metadata!J325&gt;0)</f>
        <v>0</v>
      </c>
      <c r="AK325">
        <f>AND(IF(Metadata!K325="",FALSE,TRUE),exact(Metadata!K325,"cm"))</f>
        <v>0</v>
      </c>
      <c r="AL325">
        <f>AND(IF(Metadata!L325="",FALSE,TRUE),exact(Metadata!L325,"Homo sapiens"))</f>
        <v>0</v>
      </c>
      <c r="AM325">
        <f>AND(IF(Metadata!M325="",FALSE,TRUE),exact(Metadata!M325,"9606"))</f>
        <v>0</v>
      </c>
      <c r="AN325">
        <f>AND(IF(Metadata!N325="",FALSE,ISNUMBER(VALUE(Metadata!N325))),Metadata!N325&gt;0)</f>
        <v>0</v>
      </c>
      <c r="AO325">
        <f>AND(IF(Metadata!O325="",FALSE,TRUE),exact(Metadata!O325,"kg"))</f>
        <v>0</v>
      </c>
      <c r="AP325">
        <f>OR(AND(IF(Metadata!P325="",FALSE,TRUE),exact(Metadata!P325,"not provided")),IF(Metadata!P325="",FALSE,TRUE))</f>
        <v>0</v>
      </c>
      <c r="AQ325">
        <f>OR(AND(IF(Metadata!Q325="",FALSE,TRUE),exact(Metadata!Q325,"not provided")),IF(Metadata!Q325="",FALSE,TRUE))</f>
        <v>0</v>
      </c>
    </row>
    <row r="326" spans="1:43">
      <c r="A326" s="4">
        <f>IF(B326=" "," ",HYPERLINK(CONCATENATE("#metadata!",ADDRESS(INDEX($W$2:$W$1001,MATCH(ROWS($U$2:U326),$U$2:$U$1001,0),0),2)),INDEX($Z$2:$Z$1001,MATCH(ROWS($U$2:U326),$U$2:$U$1001,0),0)))</f>
        <v>0</v>
      </c>
      <c r="B326" s="5">
        <f>IF(OR(INDEX($V$2:$V$1001,MATCH(ROWS($U$2:U326),$U$2:$U$1001,0),1)&gt;=100000,INDEX($AB$1005:$AQ$1005,1,MATCH(COLUMNS($AB$1006:AB1006),$AB$1006:$AQ$1006,0))&gt;=100000), " ",IF(INDEX($AB$2:$AQ$1001,MATCH(ROWS($U$2:U326),$U$2:$U$1001,0),MATCH(COLUMNS($AB$1006:AB1006),$AB$1006:$AQ$1006,0)), HYPERLINK("#",""), HYPERLINK(CONCATENATE("#Metadata!", ADDRESS(INDEX($W$2:$W$1001,MATCH(ROWS($U$2:U326),$U$2:$U$1001,0),0), INDEX($AB$1004:$AQ$1004,1,MATCH(COLUMNS($AB$1006:AB1006),$AB$1006:$AQ$1006,0)))),"Fix")))</f>
        <v>0</v>
      </c>
      <c r="C326" s="5">
        <f>IF(OR(INDEX($V$2:$V$1001,MATCH(ROWS($U$2:U326),$U$2:$U$1001,0),1)&gt;=100000,INDEX($AB$1005:$AQ$1005,1,MATCH(COLUMNS($AB$1006:AC1006),$AB$1006:$AQ$1006,0))&gt;=100000), " ",IF(INDEX($AB$2:$AQ$1001,MATCH(ROWS($U$2:U326),$U$2:$U$1001,0),MATCH(COLUMNS($AB$1006:AC1006),$AB$1006:$AQ$1006,0)), HYPERLINK("#",""), HYPERLINK(CONCATENATE("#Metadata!", ADDRESS(INDEX($W$2:$W$1001,MATCH(ROWS($U$2:U326),$U$2:$U$1001,0),0), INDEX($AB$1004:$AQ$1004,1,MATCH(COLUMNS($AB$1006:AC1006),$AB$1006:$AQ$1006,0)))),"Fix")))</f>
        <v>0</v>
      </c>
      <c r="D326" s="5">
        <f>IF(OR(INDEX($V$2:$V$1001,MATCH(ROWS($U$2:U326),$U$2:$U$1001,0),1)&gt;=100000,INDEX($AB$1005:$AQ$1005,1,MATCH(COLUMNS($AB$1006:AD1006),$AB$1006:$AQ$1006,0))&gt;=100000), " ",IF(INDEX($AB$2:$AQ$1001,MATCH(ROWS($U$2:U326),$U$2:$U$1001,0),MATCH(COLUMNS($AB$1006:AD1006),$AB$1006:$AQ$1006,0)), HYPERLINK("#",""), HYPERLINK(CONCATENATE("#Metadata!", ADDRESS(INDEX($W$2:$W$1001,MATCH(ROWS($U$2:U326),$U$2:$U$1001,0),0), INDEX($AB$1004:$AQ$1004,1,MATCH(COLUMNS($AB$1006:AD1006),$AB$1006:$AQ$1006,0)))),"Fix")))</f>
        <v>0</v>
      </c>
      <c r="E326" s="5">
        <f>IF(OR(INDEX($V$2:$V$1001,MATCH(ROWS($U$2:U326),$U$2:$U$1001,0),1)&gt;=100000,INDEX($AB$1005:$AQ$1005,1,MATCH(COLUMNS($AB$1006:AE1006),$AB$1006:$AQ$1006,0))&gt;=100000), " ",IF(INDEX($AB$2:$AQ$1001,MATCH(ROWS($U$2:U326),$U$2:$U$1001,0),MATCH(COLUMNS($AB$1006:AE1006),$AB$1006:$AQ$1006,0)), HYPERLINK("#",""), HYPERLINK(CONCATENATE("#Metadata!", ADDRESS(INDEX($W$2:$W$1001,MATCH(ROWS($U$2:U326),$U$2:$U$1001,0),0), INDEX($AB$1004:$AQ$1004,1,MATCH(COLUMNS($AB$1006:AE1006),$AB$1006:$AQ$1006,0)))),"Fix")))</f>
        <v>0</v>
      </c>
      <c r="F326" s="5">
        <f>IF(OR(INDEX($V$2:$V$1001,MATCH(ROWS($U$2:U326),$U$2:$U$1001,0),1)&gt;=100000,INDEX($AB$1005:$AQ$1005,1,MATCH(COLUMNS($AB$1006:AF1006),$AB$1006:$AQ$1006,0))&gt;=100000), " ",IF(INDEX($AB$2:$AQ$1001,MATCH(ROWS($U$2:U326),$U$2:$U$1001,0),MATCH(COLUMNS($AB$1006:AF1006),$AB$1006:$AQ$1006,0)), HYPERLINK("#",""), HYPERLINK(CONCATENATE("#Metadata!", ADDRESS(INDEX($W$2:$W$1001,MATCH(ROWS($U$2:U326),$U$2:$U$1001,0),0), INDEX($AB$1004:$AQ$1004,1,MATCH(COLUMNS($AB$1006:AF1006),$AB$1006:$AQ$1006,0)))),"Fix")))</f>
        <v>0</v>
      </c>
      <c r="G326" s="5">
        <f>IF(OR(INDEX($V$2:$V$1001,MATCH(ROWS($U$2:U326),$U$2:$U$1001,0),1)&gt;=100000,INDEX($AB$1005:$AQ$1005,1,MATCH(COLUMNS($AB$1006:AG1006),$AB$1006:$AQ$1006,0))&gt;=100000), " ",IF(INDEX($AB$2:$AQ$1001,MATCH(ROWS($U$2:U326),$U$2:$U$1001,0),MATCH(COLUMNS($AB$1006:AG1006),$AB$1006:$AQ$1006,0)), HYPERLINK("#",""), HYPERLINK(CONCATENATE("#Metadata!", ADDRESS(INDEX($W$2:$W$1001,MATCH(ROWS($U$2:U326),$U$2:$U$1001,0),0), INDEX($AB$1004:$AQ$1004,1,MATCH(COLUMNS($AB$1006:AG1006),$AB$1006:$AQ$1006,0)))),"Fix")))</f>
        <v>0</v>
      </c>
      <c r="H326" s="5">
        <f>IF(OR(INDEX($V$2:$V$1001,MATCH(ROWS($U$2:U326),$U$2:$U$1001,0),1)&gt;=100000,INDEX($AB$1005:$AQ$1005,1,MATCH(COLUMNS($AB$1006:AH1006),$AB$1006:$AQ$1006,0))&gt;=100000), " ",IF(INDEX($AB$2:$AQ$1001,MATCH(ROWS($U$2:U326),$U$2:$U$1001,0),MATCH(COLUMNS($AB$1006:AH1006),$AB$1006:$AQ$1006,0)), HYPERLINK("#",""), HYPERLINK(CONCATENATE("#Metadata!", ADDRESS(INDEX($W$2:$W$1001,MATCH(ROWS($U$2:U326),$U$2:$U$1001,0),0), INDEX($AB$1004:$AQ$1004,1,MATCH(COLUMNS($AB$1006:AH1006),$AB$1006:$AQ$1006,0)))),"Fix")))</f>
        <v>0</v>
      </c>
      <c r="I326" s="5">
        <f>IF(OR(INDEX($V$2:$V$1001,MATCH(ROWS($U$2:U326),$U$2:$U$1001,0),1)&gt;=100000,INDEX($AB$1005:$AQ$1005,1,MATCH(COLUMNS($AB$1006:AI1006),$AB$1006:$AQ$1006,0))&gt;=100000), " ",IF(INDEX($AB$2:$AQ$1001,MATCH(ROWS($U$2:U326),$U$2:$U$1001,0),MATCH(COLUMNS($AB$1006:AI1006),$AB$1006:$AQ$1006,0)), HYPERLINK("#",""), HYPERLINK(CONCATENATE("#Metadata!", ADDRESS(INDEX($W$2:$W$1001,MATCH(ROWS($U$2:U326),$U$2:$U$1001,0),0), INDEX($AB$1004:$AQ$1004,1,MATCH(COLUMNS($AB$1006:AI1006),$AB$1006:$AQ$1006,0)))),"Fix")))</f>
        <v>0</v>
      </c>
      <c r="J326" s="5">
        <f>IF(OR(INDEX($V$2:$V$1001,MATCH(ROWS($U$2:U326),$U$2:$U$1001,0),1)&gt;=100000,INDEX($AB$1005:$AQ$1005,1,MATCH(COLUMNS($AB$1006:AJ1006),$AB$1006:$AQ$1006,0))&gt;=100000), " ",IF(INDEX($AB$2:$AQ$1001,MATCH(ROWS($U$2:U326),$U$2:$U$1001,0),MATCH(COLUMNS($AB$1006:AJ1006),$AB$1006:$AQ$1006,0)), HYPERLINK("#",""), HYPERLINK(CONCATENATE("#Metadata!", ADDRESS(INDEX($W$2:$W$1001,MATCH(ROWS($U$2:U326),$U$2:$U$1001,0),0), INDEX($AB$1004:$AQ$1004,1,MATCH(COLUMNS($AB$1006:AJ1006),$AB$1006:$AQ$1006,0)))),"Fix")))</f>
        <v>0</v>
      </c>
      <c r="K326" s="5">
        <f>IF(OR(INDEX($V$2:$V$1001,MATCH(ROWS($U$2:U326),$U$2:$U$1001,0),1)&gt;=100000,INDEX($AB$1005:$AQ$1005,1,MATCH(COLUMNS($AB$1006:AK1006),$AB$1006:$AQ$1006,0))&gt;=100000), " ",IF(INDEX($AB$2:$AQ$1001,MATCH(ROWS($U$2:U326),$U$2:$U$1001,0),MATCH(COLUMNS($AB$1006:AK1006),$AB$1006:$AQ$1006,0)), HYPERLINK("#",""), HYPERLINK(CONCATENATE("#Metadata!", ADDRESS(INDEX($W$2:$W$1001,MATCH(ROWS($U$2:U326),$U$2:$U$1001,0),0), INDEX($AB$1004:$AQ$1004,1,MATCH(COLUMNS($AB$1006:AK1006),$AB$1006:$AQ$1006,0)))),"Fix")))</f>
        <v>0</v>
      </c>
      <c r="L326" s="5">
        <f>IF(OR(INDEX($V$2:$V$1001,MATCH(ROWS($U$2:U326),$U$2:$U$1001,0),1)&gt;=100000,INDEX($AB$1005:$AQ$1005,1,MATCH(COLUMNS($AB$1006:AL1006),$AB$1006:$AQ$1006,0))&gt;=100000), " ",IF(INDEX($AB$2:$AQ$1001,MATCH(ROWS($U$2:U326),$U$2:$U$1001,0),MATCH(COLUMNS($AB$1006:AL1006),$AB$1006:$AQ$1006,0)), HYPERLINK("#",""), HYPERLINK(CONCATENATE("#Metadata!", ADDRESS(INDEX($W$2:$W$1001,MATCH(ROWS($U$2:U326),$U$2:$U$1001,0),0), INDEX($AB$1004:$AQ$1004,1,MATCH(COLUMNS($AB$1006:AL1006),$AB$1006:$AQ$1006,0)))),"Fix")))</f>
        <v>0</v>
      </c>
      <c r="M326" s="5">
        <f>IF(OR(INDEX($V$2:$V$1001,MATCH(ROWS($U$2:U326),$U$2:$U$1001,0),1)&gt;=100000,INDEX($AB$1005:$AQ$1005,1,MATCH(COLUMNS($AB$1006:AM1006),$AB$1006:$AQ$1006,0))&gt;=100000), " ",IF(INDEX($AB$2:$AQ$1001,MATCH(ROWS($U$2:U326),$U$2:$U$1001,0),MATCH(COLUMNS($AB$1006:AM1006),$AB$1006:$AQ$1006,0)), HYPERLINK("#",""), HYPERLINK(CONCATENATE("#Metadata!", ADDRESS(INDEX($W$2:$W$1001,MATCH(ROWS($U$2:U326),$U$2:$U$1001,0),0), INDEX($AB$1004:$AQ$1004,1,MATCH(COLUMNS($AB$1006:AM1006),$AB$1006:$AQ$1006,0)))),"Fix")))</f>
        <v>0</v>
      </c>
      <c r="N326" s="5">
        <f>IF(OR(INDEX($V$2:$V$1001,MATCH(ROWS($U$2:U326),$U$2:$U$1001,0),1)&gt;=100000,INDEX($AB$1005:$AQ$1005,1,MATCH(COLUMNS($AB$1006:AN1006),$AB$1006:$AQ$1006,0))&gt;=100000), " ",IF(INDEX($AB$2:$AQ$1001,MATCH(ROWS($U$2:U326),$U$2:$U$1001,0),MATCH(COLUMNS($AB$1006:AN1006),$AB$1006:$AQ$1006,0)), HYPERLINK("#",""), HYPERLINK(CONCATENATE("#Metadata!", ADDRESS(INDEX($W$2:$W$1001,MATCH(ROWS($U$2:U326),$U$2:$U$1001,0),0), INDEX($AB$1004:$AQ$1004,1,MATCH(COLUMNS($AB$1006:AN1006),$AB$1006:$AQ$1006,0)))),"Fix")))</f>
        <v>0</v>
      </c>
      <c r="O326" s="5">
        <f>IF(OR(INDEX($V$2:$V$1001,MATCH(ROWS($U$2:U326),$U$2:$U$1001,0),1)&gt;=100000,INDEX($AB$1005:$AQ$1005,1,MATCH(COLUMNS($AB$1006:AO1006),$AB$1006:$AQ$1006,0))&gt;=100000), " ",IF(INDEX($AB$2:$AQ$1001,MATCH(ROWS($U$2:U326),$U$2:$U$1001,0),MATCH(COLUMNS($AB$1006:AO1006),$AB$1006:$AQ$1006,0)), HYPERLINK("#",""), HYPERLINK(CONCATENATE("#Metadata!", ADDRESS(INDEX($W$2:$W$1001,MATCH(ROWS($U$2:U326),$U$2:$U$1001,0),0), INDEX($AB$1004:$AQ$1004,1,MATCH(COLUMNS($AB$1006:AO1006),$AB$1006:$AQ$1006,0)))),"Fix")))</f>
        <v>0</v>
      </c>
      <c r="P326" s="5">
        <f>IF(OR(INDEX($V$2:$V$1001,MATCH(ROWS($U$2:U326),$U$2:$U$1001,0),1)&gt;=100000,INDEX($AB$1005:$AQ$1005,1,MATCH(COLUMNS($AB$1006:AP1006),$AB$1006:$AQ$1006,0))&gt;=100000), " ",IF(INDEX($AB$2:$AQ$1001,MATCH(ROWS($U$2:U326),$U$2:$U$1001,0),MATCH(COLUMNS($AB$1006:AP1006),$AB$1006:$AQ$1006,0)), HYPERLINK("#",""), HYPERLINK(CONCATENATE("#Metadata!", ADDRESS(INDEX($W$2:$W$1001,MATCH(ROWS($U$2:U326),$U$2:$U$1001,0),0), INDEX($AB$1004:$AQ$1004,1,MATCH(COLUMNS($AB$1006:AP1006),$AB$1006:$AQ$1006,0)))),"Fix")))</f>
        <v>0</v>
      </c>
      <c r="Q326" s="5">
        <f>IF(OR(INDEX($V$2:$V$1001,MATCH(ROWS($U$2:U326),$U$2:$U$1001,0),1)&gt;=100000,INDEX($AB$1005:$AQ$1005,1,MATCH(COLUMNS($AB$1006:AQ1006),$AB$1006:$AQ$1006,0))&gt;=100000), " ",IF(INDEX($AB$2:$AQ$1001,MATCH(ROWS($U$2:U326),$U$2:$U$1001,0),MATCH(COLUMNS($AB$1006:AQ1006),$AB$1006:$AQ$1006,0)), HYPERLINK("#",""), HYPERLINK(CONCATENATE("#Metadata!", ADDRESS(INDEX($W$2:$W$1001,MATCH(ROWS($U$2:U326),$U$2:$U$1001,0),0), INDEX($AB$1004:$AQ$1004,1,MATCH(COLUMNS($AB$1006:AQ1006),$AB$1006:$AQ$1006,0)))),"Fix")))</f>
        <v>0</v>
      </c>
      <c r="U326">
        <v>0</v>
      </c>
      <c r="V326">
        <v>0</v>
      </c>
      <c r="W326">
        <v>0</v>
      </c>
      <c r="X326">
        <f>IF(Y326,TRUE,AND(AB326:AQ326))</f>
        <v>0</v>
      </c>
      <c r="Y326">
        <f>COUNTBLANK(Metadata!B326:Q326)=COLUMNS(Metadata!B326:Q326)</f>
        <v>0</v>
      </c>
      <c r="Z326">
        <v>0</v>
      </c>
      <c r="AB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AC326">
        <f>AND(IF(Metadata!C326="",FALSE,TRUE),exact(Metadata!C326,"urban biome"))</f>
        <v>0</v>
      </c>
      <c r="AD326">
        <f>AND(IF(Metadata!D326="",FALSE,TRUE),exact(Metadata!D326,"human-associated habitat"))</f>
        <v>0</v>
      </c>
      <c r="AE326">
        <f>AND(IF(Metadata!E326="",FALSE,TRUE),OR(exact(Metadata!E326,"human-associated"),exact(Metadata!E326,"human-skin"),exact(Metadata!E326,"human-oral"),exact(Metadata!E326,"human-gut"),exact(Metadata!E326,"human-vaginal")))</f>
        <v>0</v>
      </c>
      <c r="AF326">
        <f>AND(IF(Metadata!F326="",FALSE,ISNUMBER(VALUE(Metadata!F326))),Metadata!F326&gt;0)</f>
        <v>0</v>
      </c>
      <c r="AG326">
        <f>AND(IF(Metadata!G326="",FALSE,TRUE),exact(Metadata!G326,"years"))</f>
        <v>0</v>
      </c>
      <c r="AH326">
        <f>OR(AND(IF(Metadata!H326="",FALSE,TRUE),OR(exact(Metadata!H326,"not applicable"),exact(Metadata!H326,"not collected"),exact(Metadata!H326,"not provided"),exact(Metadata!H326,"restricted access"))),AND(IF(Metadata!H326="",FALSE,ISNUMBER(VALUE(Metadata!H326))),Metadata!H326&gt;0))</f>
        <v>0</v>
      </c>
      <c r="AI326">
        <f>AND(IF(Metadata!I326="",FALSE,TRUE),exact(Metadata!I326,"human"))</f>
        <v>0</v>
      </c>
      <c r="AJ326">
        <f>AND(IF(Metadata!J326="",FALSE,ISNUMBER(VALUE(Metadata!J326))),Metadata!J326&gt;0)</f>
        <v>0</v>
      </c>
      <c r="AK326">
        <f>AND(IF(Metadata!K326="",FALSE,TRUE),exact(Metadata!K326,"cm"))</f>
        <v>0</v>
      </c>
      <c r="AL326">
        <f>AND(IF(Metadata!L326="",FALSE,TRUE),exact(Metadata!L326,"Homo sapiens"))</f>
        <v>0</v>
      </c>
      <c r="AM326">
        <f>AND(IF(Metadata!M326="",FALSE,TRUE),exact(Metadata!M326,"9606"))</f>
        <v>0</v>
      </c>
      <c r="AN326">
        <f>AND(IF(Metadata!N326="",FALSE,ISNUMBER(VALUE(Metadata!N326))),Metadata!N326&gt;0)</f>
        <v>0</v>
      </c>
      <c r="AO326">
        <f>AND(IF(Metadata!O326="",FALSE,TRUE),exact(Metadata!O326,"kg"))</f>
        <v>0</v>
      </c>
      <c r="AP326">
        <f>OR(AND(IF(Metadata!P326="",FALSE,TRUE),exact(Metadata!P326,"not provided")),IF(Metadata!P326="",FALSE,TRUE))</f>
        <v>0</v>
      </c>
      <c r="AQ326">
        <f>OR(AND(IF(Metadata!Q326="",FALSE,TRUE),exact(Metadata!Q326,"not provided")),IF(Metadata!Q326="",FALSE,TRUE))</f>
        <v>0</v>
      </c>
    </row>
    <row r="327" spans="1:43">
      <c r="A327" s="4">
        <f>IF(B327=" "," ",HYPERLINK(CONCATENATE("#metadata!",ADDRESS(INDEX($W$2:$W$1001,MATCH(ROWS($U$2:U327),$U$2:$U$1001,0),0),2)),INDEX($Z$2:$Z$1001,MATCH(ROWS($U$2:U327),$U$2:$U$1001,0),0)))</f>
        <v>0</v>
      </c>
      <c r="B327" s="5">
        <f>IF(OR(INDEX($V$2:$V$1001,MATCH(ROWS($U$2:U327),$U$2:$U$1001,0),1)&gt;=100000,INDEX($AB$1005:$AQ$1005,1,MATCH(COLUMNS($AB$1006:AB1006),$AB$1006:$AQ$1006,0))&gt;=100000), " ",IF(INDEX($AB$2:$AQ$1001,MATCH(ROWS($U$2:U327),$U$2:$U$1001,0),MATCH(COLUMNS($AB$1006:AB1006),$AB$1006:$AQ$1006,0)), HYPERLINK("#",""), HYPERLINK(CONCATENATE("#Metadata!", ADDRESS(INDEX($W$2:$W$1001,MATCH(ROWS($U$2:U327),$U$2:$U$1001,0),0), INDEX($AB$1004:$AQ$1004,1,MATCH(COLUMNS($AB$1006:AB1006),$AB$1006:$AQ$1006,0)))),"Fix")))</f>
        <v>0</v>
      </c>
      <c r="C327" s="5">
        <f>IF(OR(INDEX($V$2:$V$1001,MATCH(ROWS($U$2:U327),$U$2:$U$1001,0),1)&gt;=100000,INDEX($AB$1005:$AQ$1005,1,MATCH(COLUMNS($AB$1006:AC1006),$AB$1006:$AQ$1006,0))&gt;=100000), " ",IF(INDEX($AB$2:$AQ$1001,MATCH(ROWS($U$2:U327),$U$2:$U$1001,0),MATCH(COLUMNS($AB$1006:AC1006),$AB$1006:$AQ$1006,0)), HYPERLINK("#",""), HYPERLINK(CONCATENATE("#Metadata!", ADDRESS(INDEX($W$2:$W$1001,MATCH(ROWS($U$2:U327),$U$2:$U$1001,0),0), INDEX($AB$1004:$AQ$1004,1,MATCH(COLUMNS($AB$1006:AC1006),$AB$1006:$AQ$1006,0)))),"Fix")))</f>
        <v>0</v>
      </c>
      <c r="D327" s="5">
        <f>IF(OR(INDEX($V$2:$V$1001,MATCH(ROWS($U$2:U327),$U$2:$U$1001,0),1)&gt;=100000,INDEX($AB$1005:$AQ$1005,1,MATCH(COLUMNS($AB$1006:AD1006),$AB$1006:$AQ$1006,0))&gt;=100000), " ",IF(INDEX($AB$2:$AQ$1001,MATCH(ROWS($U$2:U327),$U$2:$U$1001,0),MATCH(COLUMNS($AB$1006:AD1006),$AB$1006:$AQ$1006,0)), HYPERLINK("#",""), HYPERLINK(CONCATENATE("#Metadata!", ADDRESS(INDEX($W$2:$W$1001,MATCH(ROWS($U$2:U327),$U$2:$U$1001,0),0), INDEX($AB$1004:$AQ$1004,1,MATCH(COLUMNS($AB$1006:AD1006),$AB$1006:$AQ$1006,0)))),"Fix")))</f>
        <v>0</v>
      </c>
      <c r="E327" s="5">
        <f>IF(OR(INDEX($V$2:$V$1001,MATCH(ROWS($U$2:U327),$U$2:$U$1001,0),1)&gt;=100000,INDEX($AB$1005:$AQ$1005,1,MATCH(COLUMNS($AB$1006:AE1006),$AB$1006:$AQ$1006,0))&gt;=100000), " ",IF(INDEX($AB$2:$AQ$1001,MATCH(ROWS($U$2:U327),$U$2:$U$1001,0),MATCH(COLUMNS($AB$1006:AE1006),$AB$1006:$AQ$1006,0)), HYPERLINK("#",""), HYPERLINK(CONCATENATE("#Metadata!", ADDRESS(INDEX($W$2:$W$1001,MATCH(ROWS($U$2:U327),$U$2:$U$1001,0),0), INDEX($AB$1004:$AQ$1004,1,MATCH(COLUMNS($AB$1006:AE1006),$AB$1006:$AQ$1006,0)))),"Fix")))</f>
        <v>0</v>
      </c>
      <c r="F327" s="5">
        <f>IF(OR(INDEX($V$2:$V$1001,MATCH(ROWS($U$2:U327),$U$2:$U$1001,0),1)&gt;=100000,INDEX($AB$1005:$AQ$1005,1,MATCH(COLUMNS($AB$1006:AF1006),$AB$1006:$AQ$1006,0))&gt;=100000), " ",IF(INDEX($AB$2:$AQ$1001,MATCH(ROWS($U$2:U327),$U$2:$U$1001,0),MATCH(COLUMNS($AB$1006:AF1006),$AB$1006:$AQ$1006,0)), HYPERLINK("#",""), HYPERLINK(CONCATENATE("#Metadata!", ADDRESS(INDEX($W$2:$W$1001,MATCH(ROWS($U$2:U327),$U$2:$U$1001,0),0), INDEX($AB$1004:$AQ$1004,1,MATCH(COLUMNS($AB$1006:AF1006),$AB$1006:$AQ$1006,0)))),"Fix")))</f>
        <v>0</v>
      </c>
      <c r="G327" s="5">
        <f>IF(OR(INDEX($V$2:$V$1001,MATCH(ROWS($U$2:U327),$U$2:$U$1001,0),1)&gt;=100000,INDEX($AB$1005:$AQ$1005,1,MATCH(COLUMNS($AB$1006:AG1006),$AB$1006:$AQ$1006,0))&gt;=100000), " ",IF(INDEX($AB$2:$AQ$1001,MATCH(ROWS($U$2:U327),$U$2:$U$1001,0),MATCH(COLUMNS($AB$1006:AG1006),$AB$1006:$AQ$1006,0)), HYPERLINK("#",""), HYPERLINK(CONCATENATE("#Metadata!", ADDRESS(INDEX($W$2:$W$1001,MATCH(ROWS($U$2:U327),$U$2:$U$1001,0),0), INDEX($AB$1004:$AQ$1004,1,MATCH(COLUMNS($AB$1006:AG1006),$AB$1006:$AQ$1006,0)))),"Fix")))</f>
        <v>0</v>
      </c>
      <c r="H327" s="5">
        <f>IF(OR(INDEX($V$2:$V$1001,MATCH(ROWS($U$2:U327),$U$2:$U$1001,0),1)&gt;=100000,INDEX($AB$1005:$AQ$1005,1,MATCH(COLUMNS($AB$1006:AH1006),$AB$1006:$AQ$1006,0))&gt;=100000), " ",IF(INDEX($AB$2:$AQ$1001,MATCH(ROWS($U$2:U327),$U$2:$U$1001,0),MATCH(COLUMNS($AB$1006:AH1006),$AB$1006:$AQ$1006,0)), HYPERLINK("#",""), HYPERLINK(CONCATENATE("#Metadata!", ADDRESS(INDEX($W$2:$W$1001,MATCH(ROWS($U$2:U327),$U$2:$U$1001,0),0), INDEX($AB$1004:$AQ$1004,1,MATCH(COLUMNS($AB$1006:AH1006),$AB$1006:$AQ$1006,0)))),"Fix")))</f>
        <v>0</v>
      </c>
      <c r="I327" s="5">
        <f>IF(OR(INDEX($V$2:$V$1001,MATCH(ROWS($U$2:U327),$U$2:$U$1001,0),1)&gt;=100000,INDEX($AB$1005:$AQ$1005,1,MATCH(COLUMNS($AB$1006:AI1006),$AB$1006:$AQ$1006,0))&gt;=100000), " ",IF(INDEX($AB$2:$AQ$1001,MATCH(ROWS($U$2:U327),$U$2:$U$1001,0),MATCH(COLUMNS($AB$1006:AI1006),$AB$1006:$AQ$1006,0)), HYPERLINK("#",""), HYPERLINK(CONCATENATE("#Metadata!", ADDRESS(INDEX($W$2:$W$1001,MATCH(ROWS($U$2:U327),$U$2:$U$1001,0),0), INDEX($AB$1004:$AQ$1004,1,MATCH(COLUMNS($AB$1006:AI1006),$AB$1006:$AQ$1006,0)))),"Fix")))</f>
        <v>0</v>
      </c>
      <c r="J327" s="5">
        <f>IF(OR(INDEX($V$2:$V$1001,MATCH(ROWS($U$2:U327),$U$2:$U$1001,0),1)&gt;=100000,INDEX($AB$1005:$AQ$1005,1,MATCH(COLUMNS($AB$1006:AJ1006),$AB$1006:$AQ$1006,0))&gt;=100000), " ",IF(INDEX($AB$2:$AQ$1001,MATCH(ROWS($U$2:U327),$U$2:$U$1001,0),MATCH(COLUMNS($AB$1006:AJ1006),$AB$1006:$AQ$1006,0)), HYPERLINK("#",""), HYPERLINK(CONCATENATE("#Metadata!", ADDRESS(INDEX($W$2:$W$1001,MATCH(ROWS($U$2:U327),$U$2:$U$1001,0),0), INDEX($AB$1004:$AQ$1004,1,MATCH(COLUMNS($AB$1006:AJ1006),$AB$1006:$AQ$1006,0)))),"Fix")))</f>
        <v>0</v>
      </c>
      <c r="K327" s="5">
        <f>IF(OR(INDEX($V$2:$V$1001,MATCH(ROWS($U$2:U327),$U$2:$U$1001,0),1)&gt;=100000,INDEX($AB$1005:$AQ$1005,1,MATCH(COLUMNS($AB$1006:AK1006),$AB$1006:$AQ$1006,0))&gt;=100000), " ",IF(INDEX($AB$2:$AQ$1001,MATCH(ROWS($U$2:U327),$U$2:$U$1001,0),MATCH(COLUMNS($AB$1006:AK1006),$AB$1006:$AQ$1006,0)), HYPERLINK("#",""), HYPERLINK(CONCATENATE("#Metadata!", ADDRESS(INDEX($W$2:$W$1001,MATCH(ROWS($U$2:U327),$U$2:$U$1001,0),0), INDEX($AB$1004:$AQ$1004,1,MATCH(COLUMNS($AB$1006:AK1006),$AB$1006:$AQ$1006,0)))),"Fix")))</f>
        <v>0</v>
      </c>
      <c r="L327" s="5">
        <f>IF(OR(INDEX($V$2:$V$1001,MATCH(ROWS($U$2:U327),$U$2:$U$1001,0),1)&gt;=100000,INDEX($AB$1005:$AQ$1005,1,MATCH(COLUMNS($AB$1006:AL1006),$AB$1006:$AQ$1006,0))&gt;=100000), " ",IF(INDEX($AB$2:$AQ$1001,MATCH(ROWS($U$2:U327),$U$2:$U$1001,0),MATCH(COLUMNS($AB$1006:AL1006),$AB$1006:$AQ$1006,0)), HYPERLINK("#",""), HYPERLINK(CONCATENATE("#Metadata!", ADDRESS(INDEX($W$2:$W$1001,MATCH(ROWS($U$2:U327),$U$2:$U$1001,0),0), INDEX($AB$1004:$AQ$1004,1,MATCH(COLUMNS($AB$1006:AL1006),$AB$1006:$AQ$1006,0)))),"Fix")))</f>
        <v>0</v>
      </c>
      <c r="M327" s="5">
        <f>IF(OR(INDEX($V$2:$V$1001,MATCH(ROWS($U$2:U327),$U$2:$U$1001,0),1)&gt;=100000,INDEX($AB$1005:$AQ$1005,1,MATCH(COLUMNS($AB$1006:AM1006),$AB$1006:$AQ$1006,0))&gt;=100000), " ",IF(INDEX($AB$2:$AQ$1001,MATCH(ROWS($U$2:U327),$U$2:$U$1001,0),MATCH(COLUMNS($AB$1006:AM1006),$AB$1006:$AQ$1006,0)), HYPERLINK("#",""), HYPERLINK(CONCATENATE("#Metadata!", ADDRESS(INDEX($W$2:$W$1001,MATCH(ROWS($U$2:U327),$U$2:$U$1001,0),0), INDEX($AB$1004:$AQ$1004,1,MATCH(COLUMNS($AB$1006:AM1006),$AB$1006:$AQ$1006,0)))),"Fix")))</f>
        <v>0</v>
      </c>
      <c r="N327" s="5">
        <f>IF(OR(INDEX($V$2:$V$1001,MATCH(ROWS($U$2:U327),$U$2:$U$1001,0),1)&gt;=100000,INDEX($AB$1005:$AQ$1005,1,MATCH(COLUMNS($AB$1006:AN1006),$AB$1006:$AQ$1006,0))&gt;=100000), " ",IF(INDEX($AB$2:$AQ$1001,MATCH(ROWS($U$2:U327),$U$2:$U$1001,0),MATCH(COLUMNS($AB$1006:AN1006),$AB$1006:$AQ$1006,0)), HYPERLINK("#",""), HYPERLINK(CONCATENATE("#Metadata!", ADDRESS(INDEX($W$2:$W$1001,MATCH(ROWS($U$2:U327),$U$2:$U$1001,0),0), INDEX($AB$1004:$AQ$1004,1,MATCH(COLUMNS($AB$1006:AN1006),$AB$1006:$AQ$1006,0)))),"Fix")))</f>
        <v>0</v>
      </c>
      <c r="O327" s="5">
        <f>IF(OR(INDEX($V$2:$V$1001,MATCH(ROWS($U$2:U327),$U$2:$U$1001,0),1)&gt;=100000,INDEX($AB$1005:$AQ$1005,1,MATCH(COLUMNS($AB$1006:AO1006),$AB$1006:$AQ$1006,0))&gt;=100000), " ",IF(INDEX($AB$2:$AQ$1001,MATCH(ROWS($U$2:U327),$U$2:$U$1001,0),MATCH(COLUMNS($AB$1006:AO1006),$AB$1006:$AQ$1006,0)), HYPERLINK("#",""), HYPERLINK(CONCATENATE("#Metadata!", ADDRESS(INDEX($W$2:$W$1001,MATCH(ROWS($U$2:U327),$U$2:$U$1001,0),0), INDEX($AB$1004:$AQ$1004,1,MATCH(COLUMNS($AB$1006:AO1006),$AB$1006:$AQ$1006,0)))),"Fix")))</f>
        <v>0</v>
      </c>
      <c r="P327" s="5">
        <f>IF(OR(INDEX($V$2:$V$1001,MATCH(ROWS($U$2:U327),$U$2:$U$1001,0),1)&gt;=100000,INDEX($AB$1005:$AQ$1005,1,MATCH(COLUMNS($AB$1006:AP1006),$AB$1006:$AQ$1006,0))&gt;=100000), " ",IF(INDEX($AB$2:$AQ$1001,MATCH(ROWS($U$2:U327),$U$2:$U$1001,0),MATCH(COLUMNS($AB$1006:AP1006),$AB$1006:$AQ$1006,0)), HYPERLINK("#",""), HYPERLINK(CONCATENATE("#Metadata!", ADDRESS(INDEX($W$2:$W$1001,MATCH(ROWS($U$2:U327),$U$2:$U$1001,0),0), INDEX($AB$1004:$AQ$1004,1,MATCH(COLUMNS($AB$1006:AP1006),$AB$1006:$AQ$1006,0)))),"Fix")))</f>
        <v>0</v>
      </c>
      <c r="Q327" s="5">
        <f>IF(OR(INDEX($V$2:$V$1001,MATCH(ROWS($U$2:U327),$U$2:$U$1001,0),1)&gt;=100000,INDEX($AB$1005:$AQ$1005,1,MATCH(COLUMNS($AB$1006:AQ1006),$AB$1006:$AQ$1006,0))&gt;=100000), " ",IF(INDEX($AB$2:$AQ$1001,MATCH(ROWS($U$2:U327),$U$2:$U$1001,0),MATCH(COLUMNS($AB$1006:AQ1006),$AB$1006:$AQ$1006,0)), HYPERLINK("#",""), HYPERLINK(CONCATENATE("#Metadata!", ADDRESS(INDEX($W$2:$W$1001,MATCH(ROWS($U$2:U327),$U$2:$U$1001,0),0), INDEX($AB$1004:$AQ$1004,1,MATCH(COLUMNS($AB$1006:AQ1006),$AB$1006:$AQ$1006,0)))),"Fix")))</f>
        <v>0</v>
      </c>
      <c r="U327">
        <v>0</v>
      </c>
      <c r="V327">
        <v>0</v>
      </c>
      <c r="W327">
        <v>0</v>
      </c>
      <c r="X327">
        <f>IF(Y327,TRUE,AND(AB327:AQ327))</f>
        <v>0</v>
      </c>
      <c r="Y327">
        <f>COUNTBLANK(Metadata!B327:Q327)=COLUMNS(Metadata!B327:Q327)</f>
        <v>0</v>
      </c>
      <c r="Z327">
        <v>0</v>
      </c>
      <c r="AB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AC327">
        <f>AND(IF(Metadata!C327="",FALSE,TRUE),exact(Metadata!C327,"urban biome"))</f>
        <v>0</v>
      </c>
      <c r="AD327">
        <f>AND(IF(Metadata!D327="",FALSE,TRUE),exact(Metadata!D327,"human-associated habitat"))</f>
        <v>0</v>
      </c>
      <c r="AE327">
        <f>AND(IF(Metadata!E327="",FALSE,TRUE),OR(exact(Metadata!E327,"human-associated"),exact(Metadata!E327,"human-skin"),exact(Metadata!E327,"human-oral"),exact(Metadata!E327,"human-gut"),exact(Metadata!E327,"human-vaginal")))</f>
        <v>0</v>
      </c>
      <c r="AF327">
        <f>AND(IF(Metadata!F327="",FALSE,ISNUMBER(VALUE(Metadata!F327))),Metadata!F327&gt;0)</f>
        <v>0</v>
      </c>
      <c r="AG327">
        <f>AND(IF(Metadata!G327="",FALSE,TRUE),exact(Metadata!G327,"years"))</f>
        <v>0</v>
      </c>
      <c r="AH327">
        <f>OR(AND(IF(Metadata!H327="",FALSE,TRUE),OR(exact(Metadata!H327,"not applicable"),exact(Metadata!H327,"not collected"),exact(Metadata!H327,"not provided"),exact(Metadata!H327,"restricted access"))),AND(IF(Metadata!H327="",FALSE,ISNUMBER(VALUE(Metadata!H327))),Metadata!H327&gt;0))</f>
        <v>0</v>
      </c>
      <c r="AI327">
        <f>AND(IF(Metadata!I327="",FALSE,TRUE),exact(Metadata!I327,"human"))</f>
        <v>0</v>
      </c>
      <c r="AJ327">
        <f>AND(IF(Metadata!J327="",FALSE,ISNUMBER(VALUE(Metadata!J327))),Metadata!J327&gt;0)</f>
        <v>0</v>
      </c>
      <c r="AK327">
        <f>AND(IF(Metadata!K327="",FALSE,TRUE),exact(Metadata!K327,"cm"))</f>
        <v>0</v>
      </c>
      <c r="AL327">
        <f>AND(IF(Metadata!L327="",FALSE,TRUE),exact(Metadata!L327,"Homo sapiens"))</f>
        <v>0</v>
      </c>
      <c r="AM327">
        <f>AND(IF(Metadata!M327="",FALSE,TRUE),exact(Metadata!M327,"9606"))</f>
        <v>0</v>
      </c>
      <c r="AN327">
        <f>AND(IF(Metadata!N327="",FALSE,ISNUMBER(VALUE(Metadata!N327))),Metadata!N327&gt;0)</f>
        <v>0</v>
      </c>
      <c r="AO327">
        <f>AND(IF(Metadata!O327="",FALSE,TRUE),exact(Metadata!O327,"kg"))</f>
        <v>0</v>
      </c>
      <c r="AP327">
        <f>OR(AND(IF(Metadata!P327="",FALSE,TRUE),exact(Metadata!P327,"not provided")),IF(Metadata!P327="",FALSE,TRUE))</f>
        <v>0</v>
      </c>
      <c r="AQ327">
        <f>OR(AND(IF(Metadata!Q327="",FALSE,TRUE),exact(Metadata!Q327,"not provided")),IF(Metadata!Q327="",FALSE,TRUE))</f>
        <v>0</v>
      </c>
    </row>
    <row r="328" spans="1:43">
      <c r="A328" s="4">
        <f>IF(B328=" "," ",HYPERLINK(CONCATENATE("#metadata!",ADDRESS(INDEX($W$2:$W$1001,MATCH(ROWS($U$2:U328),$U$2:$U$1001,0),0),2)),INDEX($Z$2:$Z$1001,MATCH(ROWS($U$2:U328),$U$2:$U$1001,0),0)))</f>
        <v>0</v>
      </c>
      <c r="B328" s="5">
        <f>IF(OR(INDEX($V$2:$V$1001,MATCH(ROWS($U$2:U328),$U$2:$U$1001,0),1)&gt;=100000,INDEX($AB$1005:$AQ$1005,1,MATCH(COLUMNS($AB$1006:AB1006),$AB$1006:$AQ$1006,0))&gt;=100000), " ",IF(INDEX($AB$2:$AQ$1001,MATCH(ROWS($U$2:U328),$U$2:$U$1001,0),MATCH(COLUMNS($AB$1006:AB1006),$AB$1006:$AQ$1006,0)), HYPERLINK("#",""), HYPERLINK(CONCATENATE("#Metadata!", ADDRESS(INDEX($W$2:$W$1001,MATCH(ROWS($U$2:U328),$U$2:$U$1001,0),0), INDEX($AB$1004:$AQ$1004,1,MATCH(COLUMNS($AB$1006:AB1006),$AB$1006:$AQ$1006,0)))),"Fix")))</f>
        <v>0</v>
      </c>
      <c r="C328" s="5">
        <f>IF(OR(INDEX($V$2:$V$1001,MATCH(ROWS($U$2:U328),$U$2:$U$1001,0),1)&gt;=100000,INDEX($AB$1005:$AQ$1005,1,MATCH(COLUMNS($AB$1006:AC1006),$AB$1006:$AQ$1006,0))&gt;=100000), " ",IF(INDEX($AB$2:$AQ$1001,MATCH(ROWS($U$2:U328),$U$2:$U$1001,0),MATCH(COLUMNS($AB$1006:AC1006),$AB$1006:$AQ$1006,0)), HYPERLINK("#",""), HYPERLINK(CONCATENATE("#Metadata!", ADDRESS(INDEX($W$2:$W$1001,MATCH(ROWS($U$2:U328),$U$2:$U$1001,0),0), INDEX($AB$1004:$AQ$1004,1,MATCH(COLUMNS($AB$1006:AC1006),$AB$1006:$AQ$1006,0)))),"Fix")))</f>
        <v>0</v>
      </c>
      <c r="D328" s="5">
        <f>IF(OR(INDEX($V$2:$V$1001,MATCH(ROWS($U$2:U328),$U$2:$U$1001,0),1)&gt;=100000,INDEX($AB$1005:$AQ$1005,1,MATCH(COLUMNS($AB$1006:AD1006),$AB$1006:$AQ$1006,0))&gt;=100000), " ",IF(INDEX($AB$2:$AQ$1001,MATCH(ROWS($U$2:U328),$U$2:$U$1001,0),MATCH(COLUMNS($AB$1006:AD1006),$AB$1006:$AQ$1006,0)), HYPERLINK("#",""), HYPERLINK(CONCATENATE("#Metadata!", ADDRESS(INDEX($W$2:$W$1001,MATCH(ROWS($U$2:U328),$U$2:$U$1001,0),0), INDEX($AB$1004:$AQ$1004,1,MATCH(COLUMNS($AB$1006:AD1006),$AB$1006:$AQ$1006,0)))),"Fix")))</f>
        <v>0</v>
      </c>
      <c r="E328" s="5">
        <f>IF(OR(INDEX($V$2:$V$1001,MATCH(ROWS($U$2:U328),$U$2:$U$1001,0),1)&gt;=100000,INDEX($AB$1005:$AQ$1005,1,MATCH(COLUMNS($AB$1006:AE1006),$AB$1006:$AQ$1006,0))&gt;=100000), " ",IF(INDEX($AB$2:$AQ$1001,MATCH(ROWS($U$2:U328),$U$2:$U$1001,0),MATCH(COLUMNS($AB$1006:AE1006),$AB$1006:$AQ$1006,0)), HYPERLINK("#",""), HYPERLINK(CONCATENATE("#Metadata!", ADDRESS(INDEX($W$2:$W$1001,MATCH(ROWS($U$2:U328),$U$2:$U$1001,0),0), INDEX($AB$1004:$AQ$1004,1,MATCH(COLUMNS($AB$1006:AE1006),$AB$1006:$AQ$1006,0)))),"Fix")))</f>
        <v>0</v>
      </c>
      <c r="F328" s="5">
        <f>IF(OR(INDEX($V$2:$V$1001,MATCH(ROWS($U$2:U328),$U$2:$U$1001,0),1)&gt;=100000,INDEX($AB$1005:$AQ$1005,1,MATCH(COLUMNS($AB$1006:AF1006),$AB$1006:$AQ$1006,0))&gt;=100000), " ",IF(INDEX($AB$2:$AQ$1001,MATCH(ROWS($U$2:U328),$U$2:$U$1001,0),MATCH(COLUMNS($AB$1006:AF1006),$AB$1006:$AQ$1006,0)), HYPERLINK("#",""), HYPERLINK(CONCATENATE("#Metadata!", ADDRESS(INDEX($W$2:$W$1001,MATCH(ROWS($U$2:U328),$U$2:$U$1001,0),0), INDEX($AB$1004:$AQ$1004,1,MATCH(COLUMNS($AB$1006:AF1006),$AB$1006:$AQ$1006,0)))),"Fix")))</f>
        <v>0</v>
      </c>
      <c r="G328" s="5">
        <f>IF(OR(INDEX($V$2:$V$1001,MATCH(ROWS($U$2:U328),$U$2:$U$1001,0),1)&gt;=100000,INDEX($AB$1005:$AQ$1005,1,MATCH(COLUMNS($AB$1006:AG1006),$AB$1006:$AQ$1006,0))&gt;=100000), " ",IF(INDEX($AB$2:$AQ$1001,MATCH(ROWS($U$2:U328),$U$2:$U$1001,0),MATCH(COLUMNS($AB$1006:AG1006),$AB$1006:$AQ$1006,0)), HYPERLINK("#",""), HYPERLINK(CONCATENATE("#Metadata!", ADDRESS(INDEX($W$2:$W$1001,MATCH(ROWS($U$2:U328),$U$2:$U$1001,0),0), INDEX($AB$1004:$AQ$1004,1,MATCH(COLUMNS($AB$1006:AG1006),$AB$1006:$AQ$1006,0)))),"Fix")))</f>
        <v>0</v>
      </c>
      <c r="H328" s="5">
        <f>IF(OR(INDEX($V$2:$V$1001,MATCH(ROWS($U$2:U328),$U$2:$U$1001,0),1)&gt;=100000,INDEX($AB$1005:$AQ$1005,1,MATCH(COLUMNS($AB$1006:AH1006),$AB$1006:$AQ$1006,0))&gt;=100000), " ",IF(INDEX($AB$2:$AQ$1001,MATCH(ROWS($U$2:U328),$U$2:$U$1001,0),MATCH(COLUMNS($AB$1006:AH1006),$AB$1006:$AQ$1006,0)), HYPERLINK("#",""), HYPERLINK(CONCATENATE("#Metadata!", ADDRESS(INDEX($W$2:$W$1001,MATCH(ROWS($U$2:U328),$U$2:$U$1001,0),0), INDEX($AB$1004:$AQ$1004,1,MATCH(COLUMNS($AB$1006:AH1006),$AB$1006:$AQ$1006,0)))),"Fix")))</f>
        <v>0</v>
      </c>
      <c r="I328" s="5">
        <f>IF(OR(INDEX($V$2:$V$1001,MATCH(ROWS($U$2:U328),$U$2:$U$1001,0),1)&gt;=100000,INDEX($AB$1005:$AQ$1005,1,MATCH(COLUMNS($AB$1006:AI1006),$AB$1006:$AQ$1006,0))&gt;=100000), " ",IF(INDEX($AB$2:$AQ$1001,MATCH(ROWS($U$2:U328),$U$2:$U$1001,0),MATCH(COLUMNS($AB$1006:AI1006),$AB$1006:$AQ$1006,0)), HYPERLINK("#",""), HYPERLINK(CONCATENATE("#Metadata!", ADDRESS(INDEX($W$2:$W$1001,MATCH(ROWS($U$2:U328),$U$2:$U$1001,0),0), INDEX($AB$1004:$AQ$1004,1,MATCH(COLUMNS($AB$1006:AI1006),$AB$1006:$AQ$1006,0)))),"Fix")))</f>
        <v>0</v>
      </c>
      <c r="J328" s="5">
        <f>IF(OR(INDEX($V$2:$V$1001,MATCH(ROWS($U$2:U328),$U$2:$U$1001,0),1)&gt;=100000,INDEX($AB$1005:$AQ$1005,1,MATCH(COLUMNS($AB$1006:AJ1006),$AB$1006:$AQ$1006,0))&gt;=100000), " ",IF(INDEX($AB$2:$AQ$1001,MATCH(ROWS($U$2:U328),$U$2:$U$1001,0),MATCH(COLUMNS($AB$1006:AJ1006),$AB$1006:$AQ$1006,0)), HYPERLINK("#",""), HYPERLINK(CONCATENATE("#Metadata!", ADDRESS(INDEX($W$2:$W$1001,MATCH(ROWS($U$2:U328),$U$2:$U$1001,0),0), INDEX($AB$1004:$AQ$1004,1,MATCH(COLUMNS($AB$1006:AJ1006),$AB$1006:$AQ$1006,0)))),"Fix")))</f>
        <v>0</v>
      </c>
      <c r="K328" s="5">
        <f>IF(OR(INDEX($V$2:$V$1001,MATCH(ROWS($U$2:U328),$U$2:$U$1001,0),1)&gt;=100000,INDEX($AB$1005:$AQ$1005,1,MATCH(COLUMNS($AB$1006:AK1006),$AB$1006:$AQ$1006,0))&gt;=100000), " ",IF(INDEX($AB$2:$AQ$1001,MATCH(ROWS($U$2:U328),$U$2:$U$1001,0),MATCH(COLUMNS($AB$1006:AK1006),$AB$1006:$AQ$1006,0)), HYPERLINK("#",""), HYPERLINK(CONCATENATE("#Metadata!", ADDRESS(INDEX($W$2:$W$1001,MATCH(ROWS($U$2:U328),$U$2:$U$1001,0),0), INDEX($AB$1004:$AQ$1004,1,MATCH(COLUMNS($AB$1006:AK1006),$AB$1006:$AQ$1006,0)))),"Fix")))</f>
        <v>0</v>
      </c>
      <c r="L328" s="5">
        <f>IF(OR(INDEX($V$2:$V$1001,MATCH(ROWS($U$2:U328),$U$2:$U$1001,0),1)&gt;=100000,INDEX($AB$1005:$AQ$1005,1,MATCH(COLUMNS($AB$1006:AL1006),$AB$1006:$AQ$1006,0))&gt;=100000), " ",IF(INDEX($AB$2:$AQ$1001,MATCH(ROWS($U$2:U328),$U$2:$U$1001,0),MATCH(COLUMNS($AB$1006:AL1006),$AB$1006:$AQ$1006,0)), HYPERLINK("#",""), HYPERLINK(CONCATENATE("#Metadata!", ADDRESS(INDEX($W$2:$W$1001,MATCH(ROWS($U$2:U328),$U$2:$U$1001,0),0), INDEX($AB$1004:$AQ$1004,1,MATCH(COLUMNS($AB$1006:AL1006),$AB$1006:$AQ$1006,0)))),"Fix")))</f>
        <v>0</v>
      </c>
      <c r="M328" s="5">
        <f>IF(OR(INDEX($V$2:$V$1001,MATCH(ROWS($U$2:U328),$U$2:$U$1001,0),1)&gt;=100000,INDEX($AB$1005:$AQ$1005,1,MATCH(COLUMNS($AB$1006:AM1006),$AB$1006:$AQ$1006,0))&gt;=100000), " ",IF(INDEX($AB$2:$AQ$1001,MATCH(ROWS($U$2:U328),$U$2:$U$1001,0),MATCH(COLUMNS($AB$1006:AM1006),$AB$1006:$AQ$1006,0)), HYPERLINK("#",""), HYPERLINK(CONCATENATE("#Metadata!", ADDRESS(INDEX($W$2:$W$1001,MATCH(ROWS($U$2:U328),$U$2:$U$1001,0),0), INDEX($AB$1004:$AQ$1004,1,MATCH(COLUMNS($AB$1006:AM1006),$AB$1006:$AQ$1006,0)))),"Fix")))</f>
        <v>0</v>
      </c>
      <c r="N328" s="5">
        <f>IF(OR(INDEX($V$2:$V$1001,MATCH(ROWS($U$2:U328),$U$2:$U$1001,0),1)&gt;=100000,INDEX($AB$1005:$AQ$1005,1,MATCH(COLUMNS($AB$1006:AN1006),$AB$1006:$AQ$1006,0))&gt;=100000), " ",IF(INDEX($AB$2:$AQ$1001,MATCH(ROWS($U$2:U328),$U$2:$U$1001,0),MATCH(COLUMNS($AB$1006:AN1006),$AB$1006:$AQ$1006,0)), HYPERLINK("#",""), HYPERLINK(CONCATENATE("#Metadata!", ADDRESS(INDEX($W$2:$W$1001,MATCH(ROWS($U$2:U328),$U$2:$U$1001,0),0), INDEX($AB$1004:$AQ$1004,1,MATCH(COLUMNS($AB$1006:AN1006),$AB$1006:$AQ$1006,0)))),"Fix")))</f>
        <v>0</v>
      </c>
      <c r="O328" s="5">
        <f>IF(OR(INDEX($V$2:$V$1001,MATCH(ROWS($U$2:U328),$U$2:$U$1001,0),1)&gt;=100000,INDEX($AB$1005:$AQ$1005,1,MATCH(COLUMNS($AB$1006:AO1006),$AB$1006:$AQ$1006,0))&gt;=100000), " ",IF(INDEX($AB$2:$AQ$1001,MATCH(ROWS($U$2:U328),$U$2:$U$1001,0),MATCH(COLUMNS($AB$1006:AO1006),$AB$1006:$AQ$1006,0)), HYPERLINK("#",""), HYPERLINK(CONCATENATE("#Metadata!", ADDRESS(INDEX($W$2:$W$1001,MATCH(ROWS($U$2:U328),$U$2:$U$1001,0),0), INDEX($AB$1004:$AQ$1004,1,MATCH(COLUMNS($AB$1006:AO1006),$AB$1006:$AQ$1006,0)))),"Fix")))</f>
        <v>0</v>
      </c>
      <c r="P328" s="5">
        <f>IF(OR(INDEX($V$2:$V$1001,MATCH(ROWS($U$2:U328),$U$2:$U$1001,0),1)&gt;=100000,INDEX($AB$1005:$AQ$1005,1,MATCH(COLUMNS($AB$1006:AP1006),$AB$1006:$AQ$1006,0))&gt;=100000), " ",IF(INDEX($AB$2:$AQ$1001,MATCH(ROWS($U$2:U328),$U$2:$U$1001,0),MATCH(COLUMNS($AB$1006:AP1006),$AB$1006:$AQ$1006,0)), HYPERLINK("#",""), HYPERLINK(CONCATENATE("#Metadata!", ADDRESS(INDEX($W$2:$W$1001,MATCH(ROWS($U$2:U328),$U$2:$U$1001,0),0), INDEX($AB$1004:$AQ$1004,1,MATCH(COLUMNS($AB$1006:AP1006),$AB$1006:$AQ$1006,0)))),"Fix")))</f>
        <v>0</v>
      </c>
      <c r="Q328" s="5">
        <f>IF(OR(INDEX($V$2:$V$1001,MATCH(ROWS($U$2:U328),$U$2:$U$1001,0),1)&gt;=100000,INDEX($AB$1005:$AQ$1005,1,MATCH(COLUMNS($AB$1006:AQ1006),$AB$1006:$AQ$1006,0))&gt;=100000), " ",IF(INDEX($AB$2:$AQ$1001,MATCH(ROWS($U$2:U328),$U$2:$U$1001,0),MATCH(COLUMNS($AB$1006:AQ1006),$AB$1006:$AQ$1006,0)), HYPERLINK("#",""), HYPERLINK(CONCATENATE("#Metadata!", ADDRESS(INDEX($W$2:$W$1001,MATCH(ROWS($U$2:U328),$U$2:$U$1001,0),0), INDEX($AB$1004:$AQ$1004,1,MATCH(COLUMNS($AB$1006:AQ1006),$AB$1006:$AQ$1006,0)))),"Fix")))</f>
        <v>0</v>
      </c>
      <c r="U328">
        <v>0</v>
      </c>
      <c r="V328">
        <v>0</v>
      </c>
      <c r="W328">
        <v>0</v>
      </c>
      <c r="X328">
        <f>IF(Y328,TRUE,AND(AB328:AQ328))</f>
        <v>0</v>
      </c>
      <c r="Y328">
        <f>COUNTBLANK(Metadata!B328:Q328)=COLUMNS(Metadata!B328:Q328)</f>
        <v>0</v>
      </c>
      <c r="Z328">
        <v>0</v>
      </c>
      <c r="AB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AC328">
        <f>AND(IF(Metadata!C328="",FALSE,TRUE),exact(Metadata!C328,"urban biome"))</f>
        <v>0</v>
      </c>
      <c r="AD328">
        <f>AND(IF(Metadata!D328="",FALSE,TRUE),exact(Metadata!D328,"human-associated habitat"))</f>
        <v>0</v>
      </c>
      <c r="AE328">
        <f>AND(IF(Metadata!E328="",FALSE,TRUE),OR(exact(Metadata!E328,"human-associated"),exact(Metadata!E328,"human-skin"),exact(Metadata!E328,"human-oral"),exact(Metadata!E328,"human-gut"),exact(Metadata!E328,"human-vaginal")))</f>
        <v>0</v>
      </c>
      <c r="AF328">
        <f>AND(IF(Metadata!F328="",FALSE,ISNUMBER(VALUE(Metadata!F328))),Metadata!F328&gt;0)</f>
        <v>0</v>
      </c>
      <c r="AG328">
        <f>AND(IF(Metadata!G328="",FALSE,TRUE),exact(Metadata!G328,"years"))</f>
        <v>0</v>
      </c>
      <c r="AH328">
        <f>OR(AND(IF(Metadata!H328="",FALSE,TRUE),OR(exact(Metadata!H328,"not applicable"),exact(Metadata!H328,"not collected"),exact(Metadata!H328,"not provided"),exact(Metadata!H328,"restricted access"))),AND(IF(Metadata!H328="",FALSE,ISNUMBER(VALUE(Metadata!H328))),Metadata!H328&gt;0))</f>
        <v>0</v>
      </c>
      <c r="AI328">
        <f>AND(IF(Metadata!I328="",FALSE,TRUE),exact(Metadata!I328,"human"))</f>
        <v>0</v>
      </c>
      <c r="AJ328">
        <f>AND(IF(Metadata!J328="",FALSE,ISNUMBER(VALUE(Metadata!J328))),Metadata!J328&gt;0)</f>
        <v>0</v>
      </c>
      <c r="AK328">
        <f>AND(IF(Metadata!K328="",FALSE,TRUE),exact(Metadata!K328,"cm"))</f>
        <v>0</v>
      </c>
      <c r="AL328">
        <f>AND(IF(Metadata!L328="",FALSE,TRUE),exact(Metadata!L328,"Homo sapiens"))</f>
        <v>0</v>
      </c>
      <c r="AM328">
        <f>AND(IF(Metadata!M328="",FALSE,TRUE),exact(Metadata!M328,"9606"))</f>
        <v>0</v>
      </c>
      <c r="AN328">
        <f>AND(IF(Metadata!N328="",FALSE,ISNUMBER(VALUE(Metadata!N328))),Metadata!N328&gt;0)</f>
        <v>0</v>
      </c>
      <c r="AO328">
        <f>AND(IF(Metadata!O328="",FALSE,TRUE),exact(Metadata!O328,"kg"))</f>
        <v>0</v>
      </c>
      <c r="AP328">
        <f>OR(AND(IF(Metadata!P328="",FALSE,TRUE),exact(Metadata!P328,"not provided")),IF(Metadata!P328="",FALSE,TRUE))</f>
        <v>0</v>
      </c>
      <c r="AQ328">
        <f>OR(AND(IF(Metadata!Q328="",FALSE,TRUE),exact(Metadata!Q328,"not provided")),IF(Metadata!Q328="",FALSE,TRUE))</f>
        <v>0</v>
      </c>
    </row>
    <row r="329" spans="1:43">
      <c r="A329" s="4">
        <f>IF(B329=" "," ",HYPERLINK(CONCATENATE("#metadata!",ADDRESS(INDEX($W$2:$W$1001,MATCH(ROWS($U$2:U329),$U$2:$U$1001,0),0),2)),INDEX($Z$2:$Z$1001,MATCH(ROWS($U$2:U329),$U$2:$U$1001,0),0)))</f>
        <v>0</v>
      </c>
      <c r="B329" s="5">
        <f>IF(OR(INDEX($V$2:$V$1001,MATCH(ROWS($U$2:U329),$U$2:$U$1001,0),1)&gt;=100000,INDEX($AB$1005:$AQ$1005,1,MATCH(COLUMNS($AB$1006:AB1006),$AB$1006:$AQ$1006,0))&gt;=100000), " ",IF(INDEX($AB$2:$AQ$1001,MATCH(ROWS($U$2:U329),$U$2:$U$1001,0),MATCH(COLUMNS($AB$1006:AB1006),$AB$1006:$AQ$1006,0)), HYPERLINK("#",""), HYPERLINK(CONCATENATE("#Metadata!", ADDRESS(INDEX($W$2:$W$1001,MATCH(ROWS($U$2:U329),$U$2:$U$1001,0),0), INDEX($AB$1004:$AQ$1004,1,MATCH(COLUMNS($AB$1006:AB1006),$AB$1006:$AQ$1006,0)))),"Fix")))</f>
        <v>0</v>
      </c>
      <c r="C329" s="5">
        <f>IF(OR(INDEX($V$2:$V$1001,MATCH(ROWS($U$2:U329),$U$2:$U$1001,0),1)&gt;=100000,INDEX($AB$1005:$AQ$1005,1,MATCH(COLUMNS($AB$1006:AC1006),$AB$1006:$AQ$1006,0))&gt;=100000), " ",IF(INDEX($AB$2:$AQ$1001,MATCH(ROWS($U$2:U329),$U$2:$U$1001,0),MATCH(COLUMNS($AB$1006:AC1006),$AB$1006:$AQ$1006,0)), HYPERLINK("#",""), HYPERLINK(CONCATENATE("#Metadata!", ADDRESS(INDEX($W$2:$W$1001,MATCH(ROWS($U$2:U329),$U$2:$U$1001,0),0), INDEX($AB$1004:$AQ$1004,1,MATCH(COLUMNS($AB$1006:AC1006),$AB$1006:$AQ$1006,0)))),"Fix")))</f>
        <v>0</v>
      </c>
      <c r="D329" s="5">
        <f>IF(OR(INDEX($V$2:$V$1001,MATCH(ROWS($U$2:U329),$U$2:$U$1001,0),1)&gt;=100000,INDEX($AB$1005:$AQ$1005,1,MATCH(COLUMNS($AB$1006:AD1006),$AB$1006:$AQ$1006,0))&gt;=100000), " ",IF(INDEX($AB$2:$AQ$1001,MATCH(ROWS($U$2:U329),$U$2:$U$1001,0),MATCH(COLUMNS($AB$1006:AD1006),$AB$1006:$AQ$1006,0)), HYPERLINK("#",""), HYPERLINK(CONCATENATE("#Metadata!", ADDRESS(INDEX($W$2:$W$1001,MATCH(ROWS($U$2:U329),$U$2:$U$1001,0),0), INDEX($AB$1004:$AQ$1004,1,MATCH(COLUMNS($AB$1006:AD1006),$AB$1006:$AQ$1006,0)))),"Fix")))</f>
        <v>0</v>
      </c>
      <c r="E329" s="5">
        <f>IF(OR(INDEX($V$2:$V$1001,MATCH(ROWS($U$2:U329),$U$2:$U$1001,0),1)&gt;=100000,INDEX($AB$1005:$AQ$1005,1,MATCH(COLUMNS($AB$1006:AE1006),$AB$1006:$AQ$1006,0))&gt;=100000), " ",IF(INDEX($AB$2:$AQ$1001,MATCH(ROWS($U$2:U329),$U$2:$U$1001,0),MATCH(COLUMNS($AB$1006:AE1006),$AB$1006:$AQ$1006,0)), HYPERLINK("#",""), HYPERLINK(CONCATENATE("#Metadata!", ADDRESS(INDEX($W$2:$W$1001,MATCH(ROWS($U$2:U329),$U$2:$U$1001,0),0), INDEX($AB$1004:$AQ$1004,1,MATCH(COLUMNS($AB$1006:AE1006),$AB$1006:$AQ$1006,0)))),"Fix")))</f>
        <v>0</v>
      </c>
      <c r="F329" s="5">
        <f>IF(OR(INDEX($V$2:$V$1001,MATCH(ROWS($U$2:U329),$U$2:$U$1001,0),1)&gt;=100000,INDEX($AB$1005:$AQ$1005,1,MATCH(COLUMNS($AB$1006:AF1006),$AB$1006:$AQ$1006,0))&gt;=100000), " ",IF(INDEX($AB$2:$AQ$1001,MATCH(ROWS($U$2:U329),$U$2:$U$1001,0),MATCH(COLUMNS($AB$1006:AF1006),$AB$1006:$AQ$1006,0)), HYPERLINK("#",""), HYPERLINK(CONCATENATE("#Metadata!", ADDRESS(INDEX($W$2:$W$1001,MATCH(ROWS($U$2:U329),$U$2:$U$1001,0),0), INDEX($AB$1004:$AQ$1004,1,MATCH(COLUMNS($AB$1006:AF1006),$AB$1006:$AQ$1006,0)))),"Fix")))</f>
        <v>0</v>
      </c>
      <c r="G329" s="5">
        <f>IF(OR(INDEX($V$2:$V$1001,MATCH(ROWS($U$2:U329),$U$2:$U$1001,0),1)&gt;=100000,INDEX($AB$1005:$AQ$1005,1,MATCH(COLUMNS($AB$1006:AG1006),$AB$1006:$AQ$1006,0))&gt;=100000), " ",IF(INDEX($AB$2:$AQ$1001,MATCH(ROWS($U$2:U329),$U$2:$U$1001,0),MATCH(COLUMNS($AB$1006:AG1006),$AB$1006:$AQ$1006,0)), HYPERLINK("#",""), HYPERLINK(CONCATENATE("#Metadata!", ADDRESS(INDEX($W$2:$W$1001,MATCH(ROWS($U$2:U329),$U$2:$U$1001,0),0), INDEX($AB$1004:$AQ$1004,1,MATCH(COLUMNS($AB$1006:AG1006),$AB$1006:$AQ$1006,0)))),"Fix")))</f>
        <v>0</v>
      </c>
      <c r="H329" s="5">
        <f>IF(OR(INDEX($V$2:$V$1001,MATCH(ROWS($U$2:U329),$U$2:$U$1001,0),1)&gt;=100000,INDEX($AB$1005:$AQ$1005,1,MATCH(COLUMNS($AB$1006:AH1006),$AB$1006:$AQ$1006,0))&gt;=100000), " ",IF(INDEX($AB$2:$AQ$1001,MATCH(ROWS($U$2:U329),$U$2:$U$1001,0),MATCH(COLUMNS($AB$1006:AH1006),$AB$1006:$AQ$1006,0)), HYPERLINK("#",""), HYPERLINK(CONCATENATE("#Metadata!", ADDRESS(INDEX($W$2:$W$1001,MATCH(ROWS($U$2:U329),$U$2:$U$1001,0),0), INDEX($AB$1004:$AQ$1004,1,MATCH(COLUMNS($AB$1006:AH1006),$AB$1006:$AQ$1006,0)))),"Fix")))</f>
        <v>0</v>
      </c>
      <c r="I329" s="5">
        <f>IF(OR(INDEX($V$2:$V$1001,MATCH(ROWS($U$2:U329),$U$2:$U$1001,0),1)&gt;=100000,INDEX($AB$1005:$AQ$1005,1,MATCH(COLUMNS($AB$1006:AI1006),$AB$1006:$AQ$1006,0))&gt;=100000), " ",IF(INDEX($AB$2:$AQ$1001,MATCH(ROWS($U$2:U329),$U$2:$U$1001,0),MATCH(COLUMNS($AB$1006:AI1006),$AB$1006:$AQ$1006,0)), HYPERLINK("#",""), HYPERLINK(CONCATENATE("#Metadata!", ADDRESS(INDEX($W$2:$W$1001,MATCH(ROWS($U$2:U329),$U$2:$U$1001,0),0), INDEX($AB$1004:$AQ$1004,1,MATCH(COLUMNS($AB$1006:AI1006),$AB$1006:$AQ$1006,0)))),"Fix")))</f>
        <v>0</v>
      </c>
      <c r="J329" s="5">
        <f>IF(OR(INDEX($V$2:$V$1001,MATCH(ROWS($U$2:U329),$U$2:$U$1001,0),1)&gt;=100000,INDEX($AB$1005:$AQ$1005,1,MATCH(COLUMNS($AB$1006:AJ1006),$AB$1006:$AQ$1006,0))&gt;=100000), " ",IF(INDEX($AB$2:$AQ$1001,MATCH(ROWS($U$2:U329),$U$2:$U$1001,0),MATCH(COLUMNS($AB$1006:AJ1006),$AB$1006:$AQ$1006,0)), HYPERLINK("#",""), HYPERLINK(CONCATENATE("#Metadata!", ADDRESS(INDEX($W$2:$W$1001,MATCH(ROWS($U$2:U329),$U$2:$U$1001,0),0), INDEX($AB$1004:$AQ$1004,1,MATCH(COLUMNS($AB$1006:AJ1006),$AB$1006:$AQ$1006,0)))),"Fix")))</f>
        <v>0</v>
      </c>
      <c r="K329" s="5">
        <f>IF(OR(INDEX($V$2:$V$1001,MATCH(ROWS($U$2:U329),$U$2:$U$1001,0),1)&gt;=100000,INDEX($AB$1005:$AQ$1005,1,MATCH(COLUMNS($AB$1006:AK1006),$AB$1006:$AQ$1006,0))&gt;=100000), " ",IF(INDEX($AB$2:$AQ$1001,MATCH(ROWS($U$2:U329),$U$2:$U$1001,0),MATCH(COLUMNS($AB$1006:AK1006),$AB$1006:$AQ$1006,0)), HYPERLINK("#",""), HYPERLINK(CONCATENATE("#Metadata!", ADDRESS(INDEX($W$2:$W$1001,MATCH(ROWS($U$2:U329),$U$2:$U$1001,0),0), INDEX($AB$1004:$AQ$1004,1,MATCH(COLUMNS($AB$1006:AK1006),$AB$1006:$AQ$1006,0)))),"Fix")))</f>
        <v>0</v>
      </c>
      <c r="L329" s="5">
        <f>IF(OR(INDEX($V$2:$V$1001,MATCH(ROWS($U$2:U329),$U$2:$U$1001,0),1)&gt;=100000,INDEX($AB$1005:$AQ$1005,1,MATCH(COLUMNS($AB$1006:AL1006),$AB$1006:$AQ$1006,0))&gt;=100000), " ",IF(INDEX($AB$2:$AQ$1001,MATCH(ROWS($U$2:U329),$U$2:$U$1001,0),MATCH(COLUMNS($AB$1006:AL1006),$AB$1006:$AQ$1006,0)), HYPERLINK("#",""), HYPERLINK(CONCATENATE("#Metadata!", ADDRESS(INDEX($W$2:$W$1001,MATCH(ROWS($U$2:U329),$U$2:$U$1001,0),0), INDEX($AB$1004:$AQ$1004,1,MATCH(COLUMNS($AB$1006:AL1006),$AB$1006:$AQ$1006,0)))),"Fix")))</f>
        <v>0</v>
      </c>
      <c r="M329" s="5">
        <f>IF(OR(INDEX($V$2:$V$1001,MATCH(ROWS($U$2:U329),$U$2:$U$1001,0),1)&gt;=100000,INDEX($AB$1005:$AQ$1005,1,MATCH(COLUMNS($AB$1006:AM1006),$AB$1006:$AQ$1006,0))&gt;=100000), " ",IF(INDEX($AB$2:$AQ$1001,MATCH(ROWS($U$2:U329),$U$2:$U$1001,0),MATCH(COLUMNS($AB$1006:AM1006),$AB$1006:$AQ$1006,0)), HYPERLINK("#",""), HYPERLINK(CONCATENATE("#Metadata!", ADDRESS(INDEX($W$2:$W$1001,MATCH(ROWS($U$2:U329),$U$2:$U$1001,0),0), INDEX($AB$1004:$AQ$1004,1,MATCH(COLUMNS($AB$1006:AM1006),$AB$1006:$AQ$1006,0)))),"Fix")))</f>
        <v>0</v>
      </c>
      <c r="N329" s="5">
        <f>IF(OR(INDEX($V$2:$V$1001,MATCH(ROWS($U$2:U329),$U$2:$U$1001,0),1)&gt;=100000,INDEX($AB$1005:$AQ$1005,1,MATCH(COLUMNS($AB$1006:AN1006),$AB$1006:$AQ$1006,0))&gt;=100000), " ",IF(INDEX($AB$2:$AQ$1001,MATCH(ROWS($U$2:U329),$U$2:$U$1001,0),MATCH(COLUMNS($AB$1006:AN1006),$AB$1006:$AQ$1006,0)), HYPERLINK("#",""), HYPERLINK(CONCATENATE("#Metadata!", ADDRESS(INDEX($W$2:$W$1001,MATCH(ROWS($U$2:U329),$U$2:$U$1001,0),0), INDEX($AB$1004:$AQ$1004,1,MATCH(COLUMNS($AB$1006:AN1006),$AB$1006:$AQ$1006,0)))),"Fix")))</f>
        <v>0</v>
      </c>
      <c r="O329" s="5">
        <f>IF(OR(INDEX($V$2:$V$1001,MATCH(ROWS($U$2:U329),$U$2:$U$1001,0),1)&gt;=100000,INDEX($AB$1005:$AQ$1005,1,MATCH(COLUMNS($AB$1006:AO1006),$AB$1006:$AQ$1006,0))&gt;=100000), " ",IF(INDEX($AB$2:$AQ$1001,MATCH(ROWS($U$2:U329),$U$2:$U$1001,0),MATCH(COLUMNS($AB$1006:AO1006),$AB$1006:$AQ$1006,0)), HYPERLINK("#",""), HYPERLINK(CONCATENATE("#Metadata!", ADDRESS(INDEX($W$2:$W$1001,MATCH(ROWS($U$2:U329),$U$2:$U$1001,0),0), INDEX($AB$1004:$AQ$1004,1,MATCH(COLUMNS($AB$1006:AO1006),$AB$1006:$AQ$1006,0)))),"Fix")))</f>
        <v>0</v>
      </c>
      <c r="P329" s="5">
        <f>IF(OR(INDEX($V$2:$V$1001,MATCH(ROWS($U$2:U329),$U$2:$U$1001,0),1)&gt;=100000,INDEX($AB$1005:$AQ$1005,1,MATCH(COLUMNS($AB$1006:AP1006),$AB$1006:$AQ$1006,0))&gt;=100000), " ",IF(INDEX($AB$2:$AQ$1001,MATCH(ROWS($U$2:U329),$U$2:$U$1001,0),MATCH(COLUMNS($AB$1006:AP1006),$AB$1006:$AQ$1006,0)), HYPERLINK("#",""), HYPERLINK(CONCATENATE("#Metadata!", ADDRESS(INDEX($W$2:$W$1001,MATCH(ROWS($U$2:U329),$U$2:$U$1001,0),0), INDEX($AB$1004:$AQ$1004,1,MATCH(COLUMNS($AB$1006:AP1006),$AB$1006:$AQ$1006,0)))),"Fix")))</f>
        <v>0</v>
      </c>
      <c r="Q329" s="5">
        <f>IF(OR(INDEX($V$2:$V$1001,MATCH(ROWS($U$2:U329),$U$2:$U$1001,0),1)&gt;=100000,INDEX($AB$1005:$AQ$1005,1,MATCH(COLUMNS($AB$1006:AQ1006),$AB$1006:$AQ$1006,0))&gt;=100000), " ",IF(INDEX($AB$2:$AQ$1001,MATCH(ROWS($U$2:U329),$U$2:$U$1001,0),MATCH(COLUMNS($AB$1006:AQ1006),$AB$1006:$AQ$1006,0)), HYPERLINK("#",""), HYPERLINK(CONCATENATE("#Metadata!", ADDRESS(INDEX($W$2:$W$1001,MATCH(ROWS($U$2:U329),$U$2:$U$1001,0),0), INDEX($AB$1004:$AQ$1004,1,MATCH(COLUMNS($AB$1006:AQ1006),$AB$1006:$AQ$1006,0)))),"Fix")))</f>
        <v>0</v>
      </c>
      <c r="U329">
        <v>0</v>
      </c>
      <c r="V329">
        <v>0</v>
      </c>
      <c r="W329">
        <v>0</v>
      </c>
      <c r="X329">
        <f>IF(Y329,TRUE,AND(AB329:AQ329))</f>
        <v>0</v>
      </c>
      <c r="Y329">
        <f>COUNTBLANK(Metadata!B329:Q329)=COLUMNS(Metadata!B329:Q329)</f>
        <v>0</v>
      </c>
      <c r="Z329">
        <v>0</v>
      </c>
      <c r="AB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AC329">
        <f>AND(IF(Metadata!C329="",FALSE,TRUE),exact(Metadata!C329,"urban biome"))</f>
        <v>0</v>
      </c>
      <c r="AD329">
        <f>AND(IF(Metadata!D329="",FALSE,TRUE),exact(Metadata!D329,"human-associated habitat"))</f>
        <v>0</v>
      </c>
      <c r="AE329">
        <f>AND(IF(Metadata!E329="",FALSE,TRUE),OR(exact(Metadata!E329,"human-associated"),exact(Metadata!E329,"human-skin"),exact(Metadata!E329,"human-oral"),exact(Metadata!E329,"human-gut"),exact(Metadata!E329,"human-vaginal")))</f>
        <v>0</v>
      </c>
      <c r="AF329">
        <f>AND(IF(Metadata!F329="",FALSE,ISNUMBER(VALUE(Metadata!F329))),Metadata!F329&gt;0)</f>
        <v>0</v>
      </c>
      <c r="AG329">
        <f>AND(IF(Metadata!G329="",FALSE,TRUE),exact(Metadata!G329,"years"))</f>
        <v>0</v>
      </c>
      <c r="AH329">
        <f>OR(AND(IF(Metadata!H329="",FALSE,TRUE),OR(exact(Metadata!H329,"not applicable"),exact(Metadata!H329,"not collected"),exact(Metadata!H329,"not provided"),exact(Metadata!H329,"restricted access"))),AND(IF(Metadata!H329="",FALSE,ISNUMBER(VALUE(Metadata!H329))),Metadata!H329&gt;0))</f>
        <v>0</v>
      </c>
      <c r="AI329">
        <f>AND(IF(Metadata!I329="",FALSE,TRUE),exact(Metadata!I329,"human"))</f>
        <v>0</v>
      </c>
      <c r="AJ329">
        <f>AND(IF(Metadata!J329="",FALSE,ISNUMBER(VALUE(Metadata!J329))),Metadata!J329&gt;0)</f>
        <v>0</v>
      </c>
      <c r="AK329">
        <f>AND(IF(Metadata!K329="",FALSE,TRUE),exact(Metadata!K329,"cm"))</f>
        <v>0</v>
      </c>
      <c r="AL329">
        <f>AND(IF(Metadata!L329="",FALSE,TRUE),exact(Metadata!L329,"Homo sapiens"))</f>
        <v>0</v>
      </c>
      <c r="AM329">
        <f>AND(IF(Metadata!M329="",FALSE,TRUE),exact(Metadata!M329,"9606"))</f>
        <v>0</v>
      </c>
      <c r="AN329">
        <f>AND(IF(Metadata!N329="",FALSE,ISNUMBER(VALUE(Metadata!N329))),Metadata!N329&gt;0)</f>
        <v>0</v>
      </c>
      <c r="AO329">
        <f>AND(IF(Metadata!O329="",FALSE,TRUE),exact(Metadata!O329,"kg"))</f>
        <v>0</v>
      </c>
      <c r="AP329">
        <f>OR(AND(IF(Metadata!P329="",FALSE,TRUE),exact(Metadata!P329,"not provided")),IF(Metadata!P329="",FALSE,TRUE))</f>
        <v>0</v>
      </c>
      <c r="AQ329">
        <f>OR(AND(IF(Metadata!Q329="",FALSE,TRUE),exact(Metadata!Q329,"not provided")),IF(Metadata!Q329="",FALSE,TRUE))</f>
        <v>0</v>
      </c>
    </row>
    <row r="330" spans="1:43">
      <c r="A330" s="4">
        <f>IF(B330=" "," ",HYPERLINK(CONCATENATE("#metadata!",ADDRESS(INDEX($W$2:$W$1001,MATCH(ROWS($U$2:U330),$U$2:$U$1001,0),0),2)),INDEX($Z$2:$Z$1001,MATCH(ROWS($U$2:U330),$U$2:$U$1001,0),0)))</f>
        <v>0</v>
      </c>
      <c r="B330" s="5">
        <f>IF(OR(INDEX($V$2:$V$1001,MATCH(ROWS($U$2:U330),$U$2:$U$1001,0),1)&gt;=100000,INDEX($AB$1005:$AQ$1005,1,MATCH(COLUMNS($AB$1006:AB1006),$AB$1006:$AQ$1006,0))&gt;=100000), " ",IF(INDEX($AB$2:$AQ$1001,MATCH(ROWS($U$2:U330),$U$2:$U$1001,0),MATCH(COLUMNS($AB$1006:AB1006),$AB$1006:$AQ$1006,0)), HYPERLINK("#",""), HYPERLINK(CONCATENATE("#Metadata!", ADDRESS(INDEX($W$2:$W$1001,MATCH(ROWS($U$2:U330),$U$2:$U$1001,0),0), INDEX($AB$1004:$AQ$1004,1,MATCH(COLUMNS($AB$1006:AB1006),$AB$1006:$AQ$1006,0)))),"Fix")))</f>
        <v>0</v>
      </c>
      <c r="C330" s="5">
        <f>IF(OR(INDEX($V$2:$V$1001,MATCH(ROWS($U$2:U330),$U$2:$U$1001,0),1)&gt;=100000,INDEX($AB$1005:$AQ$1005,1,MATCH(COLUMNS($AB$1006:AC1006),$AB$1006:$AQ$1006,0))&gt;=100000), " ",IF(INDEX($AB$2:$AQ$1001,MATCH(ROWS($U$2:U330),$U$2:$U$1001,0),MATCH(COLUMNS($AB$1006:AC1006),$AB$1006:$AQ$1006,0)), HYPERLINK("#",""), HYPERLINK(CONCATENATE("#Metadata!", ADDRESS(INDEX($W$2:$W$1001,MATCH(ROWS($U$2:U330),$U$2:$U$1001,0),0), INDEX($AB$1004:$AQ$1004,1,MATCH(COLUMNS($AB$1006:AC1006),$AB$1006:$AQ$1006,0)))),"Fix")))</f>
        <v>0</v>
      </c>
      <c r="D330" s="5">
        <f>IF(OR(INDEX($V$2:$V$1001,MATCH(ROWS($U$2:U330),$U$2:$U$1001,0),1)&gt;=100000,INDEX($AB$1005:$AQ$1005,1,MATCH(COLUMNS($AB$1006:AD1006),$AB$1006:$AQ$1006,0))&gt;=100000), " ",IF(INDEX($AB$2:$AQ$1001,MATCH(ROWS($U$2:U330),$U$2:$U$1001,0),MATCH(COLUMNS($AB$1006:AD1006),$AB$1006:$AQ$1006,0)), HYPERLINK("#",""), HYPERLINK(CONCATENATE("#Metadata!", ADDRESS(INDEX($W$2:$W$1001,MATCH(ROWS($U$2:U330),$U$2:$U$1001,0),0), INDEX($AB$1004:$AQ$1004,1,MATCH(COLUMNS($AB$1006:AD1006),$AB$1006:$AQ$1006,0)))),"Fix")))</f>
        <v>0</v>
      </c>
      <c r="E330" s="5">
        <f>IF(OR(INDEX($V$2:$V$1001,MATCH(ROWS($U$2:U330),$U$2:$U$1001,0),1)&gt;=100000,INDEX($AB$1005:$AQ$1005,1,MATCH(COLUMNS($AB$1006:AE1006),$AB$1006:$AQ$1006,0))&gt;=100000), " ",IF(INDEX($AB$2:$AQ$1001,MATCH(ROWS($U$2:U330),$U$2:$U$1001,0),MATCH(COLUMNS($AB$1006:AE1006),$AB$1006:$AQ$1006,0)), HYPERLINK("#",""), HYPERLINK(CONCATENATE("#Metadata!", ADDRESS(INDEX($W$2:$W$1001,MATCH(ROWS($U$2:U330),$U$2:$U$1001,0),0), INDEX($AB$1004:$AQ$1004,1,MATCH(COLUMNS($AB$1006:AE1006),$AB$1006:$AQ$1006,0)))),"Fix")))</f>
        <v>0</v>
      </c>
      <c r="F330" s="5">
        <f>IF(OR(INDEX($V$2:$V$1001,MATCH(ROWS($U$2:U330),$U$2:$U$1001,0),1)&gt;=100000,INDEX($AB$1005:$AQ$1005,1,MATCH(COLUMNS($AB$1006:AF1006),$AB$1006:$AQ$1006,0))&gt;=100000), " ",IF(INDEX($AB$2:$AQ$1001,MATCH(ROWS($U$2:U330),$U$2:$U$1001,0),MATCH(COLUMNS($AB$1006:AF1006),$AB$1006:$AQ$1006,0)), HYPERLINK("#",""), HYPERLINK(CONCATENATE("#Metadata!", ADDRESS(INDEX($W$2:$W$1001,MATCH(ROWS($U$2:U330),$U$2:$U$1001,0),0), INDEX($AB$1004:$AQ$1004,1,MATCH(COLUMNS($AB$1006:AF1006),$AB$1006:$AQ$1006,0)))),"Fix")))</f>
        <v>0</v>
      </c>
      <c r="G330" s="5">
        <f>IF(OR(INDEX($V$2:$V$1001,MATCH(ROWS($U$2:U330),$U$2:$U$1001,0),1)&gt;=100000,INDEX($AB$1005:$AQ$1005,1,MATCH(COLUMNS($AB$1006:AG1006),$AB$1006:$AQ$1006,0))&gt;=100000), " ",IF(INDEX($AB$2:$AQ$1001,MATCH(ROWS($U$2:U330),$U$2:$U$1001,0),MATCH(COLUMNS($AB$1006:AG1006),$AB$1006:$AQ$1006,0)), HYPERLINK("#",""), HYPERLINK(CONCATENATE("#Metadata!", ADDRESS(INDEX($W$2:$W$1001,MATCH(ROWS($U$2:U330),$U$2:$U$1001,0),0), INDEX($AB$1004:$AQ$1004,1,MATCH(COLUMNS($AB$1006:AG1006),$AB$1006:$AQ$1006,0)))),"Fix")))</f>
        <v>0</v>
      </c>
      <c r="H330" s="5">
        <f>IF(OR(INDEX($V$2:$V$1001,MATCH(ROWS($U$2:U330),$U$2:$U$1001,0),1)&gt;=100000,INDEX($AB$1005:$AQ$1005,1,MATCH(COLUMNS($AB$1006:AH1006),$AB$1006:$AQ$1006,0))&gt;=100000), " ",IF(INDEX($AB$2:$AQ$1001,MATCH(ROWS($U$2:U330),$U$2:$U$1001,0),MATCH(COLUMNS($AB$1006:AH1006),$AB$1006:$AQ$1006,0)), HYPERLINK("#",""), HYPERLINK(CONCATENATE("#Metadata!", ADDRESS(INDEX($W$2:$W$1001,MATCH(ROWS($U$2:U330),$U$2:$U$1001,0),0), INDEX($AB$1004:$AQ$1004,1,MATCH(COLUMNS($AB$1006:AH1006),$AB$1006:$AQ$1006,0)))),"Fix")))</f>
        <v>0</v>
      </c>
      <c r="I330" s="5">
        <f>IF(OR(INDEX($V$2:$V$1001,MATCH(ROWS($U$2:U330),$U$2:$U$1001,0),1)&gt;=100000,INDEX($AB$1005:$AQ$1005,1,MATCH(COLUMNS($AB$1006:AI1006),$AB$1006:$AQ$1006,0))&gt;=100000), " ",IF(INDEX($AB$2:$AQ$1001,MATCH(ROWS($U$2:U330),$U$2:$U$1001,0),MATCH(COLUMNS($AB$1006:AI1006),$AB$1006:$AQ$1006,0)), HYPERLINK("#",""), HYPERLINK(CONCATENATE("#Metadata!", ADDRESS(INDEX($W$2:$W$1001,MATCH(ROWS($U$2:U330),$U$2:$U$1001,0),0), INDEX($AB$1004:$AQ$1004,1,MATCH(COLUMNS($AB$1006:AI1006),$AB$1006:$AQ$1006,0)))),"Fix")))</f>
        <v>0</v>
      </c>
      <c r="J330" s="5">
        <f>IF(OR(INDEX($V$2:$V$1001,MATCH(ROWS($U$2:U330),$U$2:$U$1001,0),1)&gt;=100000,INDEX($AB$1005:$AQ$1005,1,MATCH(COLUMNS($AB$1006:AJ1006),$AB$1006:$AQ$1006,0))&gt;=100000), " ",IF(INDEX($AB$2:$AQ$1001,MATCH(ROWS($U$2:U330),$U$2:$U$1001,0),MATCH(COLUMNS($AB$1006:AJ1006),$AB$1006:$AQ$1006,0)), HYPERLINK("#",""), HYPERLINK(CONCATENATE("#Metadata!", ADDRESS(INDEX($W$2:$W$1001,MATCH(ROWS($U$2:U330),$U$2:$U$1001,0),0), INDEX($AB$1004:$AQ$1004,1,MATCH(COLUMNS($AB$1006:AJ1006),$AB$1006:$AQ$1006,0)))),"Fix")))</f>
        <v>0</v>
      </c>
      <c r="K330" s="5">
        <f>IF(OR(INDEX($V$2:$V$1001,MATCH(ROWS($U$2:U330),$U$2:$U$1001,0),1)&gt;=100000,INDEX($AB$1005:$AQ$1005,1,MATCH(COLUMNS($AB$1006:AK1006),$AB$1006:$AQ$1006,0))&gt;=100000), " ",IF(INDEX($AB$2:$AQ$1001,MATCH(ROWS($U$2:U330),$U$2:$U$1001,0),MATCH(COLUMNS($AB$1006:AK1006),$AB$1006:$AQ$1006,0)), HYPERLINK("#",""), HYPERLINK(CONCATENATE("#Metadata!", ADDRESS(INDEX($W$2:$W$1001,MATCH(ROWS($U$2:U330),$U$2:$U$1001,0),0), INDEX($AB$1004:$AQ$1004,1,MATCH(COLUMNS($AB$1006:AK1006),$AB$1006:$AQ$1006,0)))),"Fix")))</f>
        <v>0</v>
      </c>
      <c r="L330" s="5">
        <f>IF(OR(INDEX($V$2:$V$1001,MATCH(ROWS($U$2:U330),$U$2:$U$1001,0),1)&gt;=100000,INDEX($AB$1005:$AQ$1005,1,MATCH(COLUMNS($AB$1006:AL1006),$AB$1006:$AQ$1006,0))&gt;=100000), " ",IF(INDEX($AB$2:$AQ$1001,MATCH(ROWS($U$2:U330),$U$2:$U$1001,0),MATCH(COLUMNS($AB$1006:AL1006),$AB$1006:$AQ$1006,0)), HYPERLINK("#",""), HYPERLINK(CONCATENATE("#Metadata!", ADDRESS(INDEX($W$2:$W$1001,MATCH(ROWS($U$2:U330),$U$2:$U$1001,0),0), INDEX($AB$1004:$AQ$1004,1,MATCH(COLUMNS($AB$1006:AL1006),$AB$1006:$AQ$1006,0)))),"Fix")))</f>
        <v>0</v>
      </c>
      <c r="M330" s="5">
        <f>IF(OR(INDEX($V$2:$V$1001,MATCH(ROWS($U$2:U330),$U$2:$U$1001,0),1)&gt;=100000,INDEX($AB$1005:$AQ$1005,1,MATCH(COLUMNS($AB$1006:AM1006),$AB$1006:$AQ$1006,0))&gt;=100000), " ",IF(INDEX($AB$2:$AQ$1001,MATCH(ROWS($U$2:U330),$U$2:$U$1001,0),MATCH(COLUMNS($AB$1006:AM1006),$AB$1006:$AQ$1006,0)), HYPERLINK("#",""), HYPERLINK(CONCATENATE("#Metadata!", ADDRESS(INDEX($W$2:$W$1001,MATCH(ROWS($U$2:U330),$U$2:$U$1001,0),0), INDEX($AB$1004:$AQ$1004,1,MATCH(COLUMNS($AB$1006:AM1006),$AB$1006:$AQ$1006,0)))),"Fix")))</f>
        <v>0</v>
      </c>
      <c r="N330" s="5">
        <f>IF(OR(INDEX($V$2:$V$1001,MATCH(ROWS($U$2:U330),$U$2:$U$1001,0),1)&gt;=100000,INDEX($AB$1005:$AQ$1005,1,MATCH(COLUMNS($AB$1006:AN1006),$AB$1006:$AQ$1006,0))&gt;=100000), " ",IF(INDEX($AB$2:$AQ$1001,MATCH(ROWS($U$2:U330),$U$2:$U$1001,0),MATCH(COLUMNS($AB$1006:AN1006),$AB$1006:$AQ$1006,0)), HYPERLINK("#",""), HYPERLINK(CONCATENATE("#Metadata!", ADDRESS(INDEX($W$2:$W$1001,MATCH(ROWS($U$2:U330),$U$2:$U$1001,0),0), INDEX($AB$1004:$AQ$1004,1,MATCH(COLUMNS($AB$1006:AN1006),$AB$1006:$AQ$1006,0)))),"Fix")))</f>
        <v>0</v>
      </c>
      <c r="O330" s="5">
        <f>IF(OR(INDEX($V$2:$V$1001,MATCH(ROWS($U$2:U330),$U$2:$U$1001,0),1)&gt;=100000,INDEX($AB$1005:$AQ$1005,1,MATCH(COLUMNS($AB$1006:AO1006),$AB$1006:$AQ$1006,0))&gt;=100000), " ",IF(INDEX($AB$2:$AQ$1001,MATCH(ROWS($U$2:U330),$U$2:$U$1001,0),MATCH(COLUMNS($AB$1006:AO1006),$AB$1006:$AQ$1006,0)), HYPERLINK("#",""), HYPERLINK(CONCATENATE("#Metadata!", ADDRESS(INDEX($W$2:$W$1001,MATCH(ROWS($U$2:U330),$U$2:$U$1001,0),0), INDEX($AB$1004:$AQ$1004,1,MATCH(COLUMNS($AB$1006:AO1006),$AB$1006:$AQ$1006,0)))),"Fix")))</f>
        <v>0</v>
      </c>
      <c r="P330" s="5">
        <f>IF(OR(INDEX($V$2:$V$1001,MATCH(ROWS($U$2:U330),$U$2:$U$1001,0),1)&gt;=100000,INDEX($AB$1005:$AQ$1005,1,MATCH(COLUMNS($AB$1006:AP1006),$AB$1006:$AQ$1006,0))&gt;=100000), " ",IF(INDEX($AB$2:$AQ$1001,MATCH(ROWS($U$2:U330),$U$2:$U$1001,0),MATCH(COLUMNS($AB$1006:AP1006),$AB$1006:$AQ$1006,0)), HYPERLINK("#",""), HYPERLINK(CONCATENATE("#Metadata!", ADDRESS(INDEX($W$2:$W$1001,MATCH(ROWS($U$2:U330),$U$2:$U$1001,0),0), INDEX($AB$1004:$AQ$1004,1,MATCH(COLUMNS($AB$1006:AP1006),$AB$1006:$AQ$1006,0)))),"Fix")))</f>
        <v>0</v>
      </c>
      <c r="Q330" s="5">
        <f>IF(OR(INDEX($V$2:$V$1001,MATCH(ROWS($U$2:U330),$U$2:$U$1001,0),1)&gt;=100000,INDEX($AB$1005:$AQ$1005,1,MATCH(COLUMNS($AB$1006:AQ1006),$AB$1006:$AQ$1006,0))&gt;=100000), " ",IF(INDEX($AB$2:$AQ$1001,MATCH(ROWS($U$2:U330),$U$2:$U$1001,0),MATCH(COLUMNS($AB$1006:AQ1006),$AB$1006:$AQ$1006,0)), HYPERLINK("#",""), HYPERLINK(CONCATENATE("#Metadata!", ADDRESS(INDEX($W$2:$W$1001,MATCH(ROWS($U$2:U330),$U$2:$U$1001,0),0), INDEX($AB$1004:$AQ$1004,1,MATCH(COLUMNS($AB$1006:AQ1006),$AB$1006:$AQ$1006,0)))),"Fix")))</f>
        <v>0</v>
      </c>
      <c r="U330">
        <v>0</v>
      </c>
      <c r="V330">
        <v>0</v>
      </c>
      <c r="W330">
        <v>0</v>
      </c>
      <c r="X330">
        <f>IF(Y330,TRUE,AND(AB330:AQ330))</f>
        <v>0</v>
      </c>
      <c r="Y330">
        <f>COUNTBLANK(Metadata!B330:Q330)=COLUMNS(Metadata!B330:Q330)</f>
        <v>0</v>
      </c>
      <c r="Z330">
        <v>0</v>
      </c>
      <c r="AB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AC330">
        <f>AND(IF(Metadata!C330="",FALSE,TRUE),exact(Metadata!C330,"urban biome"))</f>
        <v>0</v>
      </c>
      <c r="AD330">
        <f>AND(IF(Metadata!D330="",FALSE,TRUE),exact(Metadata!D330,"human-associated habitat"))</f>
        <v>0</v>
      </c>
      <c r="AE330">
        <f>AND(IF(Metadata!E330="",FALSE,TRUE),OR(exact(Metadata!E330,"human-associated"),exact(Metadata!E330,"human-skin"),exact(Metadata!E330,"human-oral"),exact(Metadata!E330,"human-gut"),exact(Metadata!E330,"human-vaginal")))</f>
        <v>0</v>
      </c>
      <c r="AF330">
        <f>AND(IF(Metadata!F330="",FALSE,ISNUMBER(VALUE(Metadata!F330))),Metadata!F330&gt;0)</f>
        <v>0</v>
      </c>
      <c r="AG330">
        <f>AND(IF(Metadata!G330="",FALSE,TRUE),exact(Metadata!G330,"years"))</f>
        <v>0</v>
      </c>
      <c r="AH330">
        <f>OR(AND(IF(Metadata!H330="",FALSE,TRUE),OR(exact(Metadata!H330,"not applicable"),exact(Metadata!H330,"not collected"),exact(Metadata!H330,"not provided"),exact(Metadata!H330,"restricted access"))),AND(IF(Metadata!H330="",FALSE,ISNUMBER(VALUE(Metadata!H330))),Metadata!H330&gt;0))</f>
        <v>0</v>
      </c>
      <c r="AI330">
        <f>AND(IF(Metadata!I330="",FALSE,TRUE),exact(Metadata!I330,"human"))</f>
        <v>0</v>
      </c>
      <c r="AJ330">
        <f>AND(IF(Metadata!J330="",FALSE,ISNUMBER(VALUE(Metadata!J330))),Metadata!J330&gt;0)</f>
        <v>0</v>
      </c>
      <c r="AK330">
        <f>AND(IF(Metadata!K330="",FALSE,TRUE),exact(Metadata!K330,"cm"))</f>
        <v>0</v>
      </c>
      <c r="AL330">
        <f>AND(IF(Metadata!L330="",FALSE,TRUE),exact(Metadata!L330,"Homo sapiens"))</f>
        <v>0</v>
      </c>
      <c r="AM330">
        <f>AND(IF(Metadata!M330="",FALSE,TRUE),exact(Metadata!M330,"9606"))</f>
        <v>0</v>
      </c>
      <c r="AN330">
        <f>AND(IF(Metadata!N330="",FALSE,ISNUMBER(VALUE(Metadata!N330))),Metadata!N330&gt;0)</f>
        <v>0</v>
      </c>
      <c r="AO330">
        <f>AND(IF(Metadata!O330="",FALSE,TRUE),exact(Metadata!O330,"kg"))</f>
        <v>0</v>
      </c>
      <c r="AP330">
        <f>OR(AND(IF(Metadata!P330="",FALSE,TRUE),exact(Metadata!P330,"not provided")),IF(Metadata!P330="",FALSE,TRUE))</f>
        <v>0</v>
      </c>
      <c r="AQ330">
        <f>OR(AND(IF(Metadata!Q330="",FALSE,TRUE),exact(Metadata!Q330,"not provided")),IF(Metadata!Q330="",FALSE,TRUE))</f>
        <v>0</v>
      </c>
    </row>
    <row r="331" spans="1:43">
      <c r="A331" s="4">
        <f>IF(B331=" "," ",HYPERLINK(CONCATENATE("#metadata!",ADDRESS(INDEX($W$2:$W$1001,MATCH(ROWS($U$2:U331),$U$2:$U$1001,0),0),2)),INDEX($Z$2:$Z$1001,MATCH(ROWS($U$2:U331),$U$2:$U$1001,0),0)))</f>
        <v>0</v>
      </c>
      <c r="B331" s="5">
        <f>IF(OR(INDEX($V$2:$V$1001,MATCH(ROWS($U$2:U331),$U$2:$U$1001,0),1)&gt;=100000,INDEX($AB$1005:$AQ$1005,1,MATCH(COLUMNS($AB$1006:AB1006),$AB$1006:$AQ$1006,0))&gt;=100000), " ",IF(INDEX($AB$2:$AQ$1001,MATCH(ROWS($U$2:U331),$U$2:$U$1001,0),MATCH(COLUMNS($AB$1006:AB1006),$AB$1006:$AQ$1006,0)), HYPERLINK("#",""), HYPERLINK(CONCATENATE("#Metadata!", ADDRESS(INDEX($W$2:$W$1001,MATCH(ROWS($U$2:U331),$U$2:$U$1001,0),0), INDEX($AB$1004:$AQ$1004,1,MATCH(COLUMNS($AB$1006:AB1006),$AB$1006:$AQ$1006,0)))),"Fix")))</f>
        <v>0</v>
      </c>
      <c r="C331" s="5">
        <f>IF(OR(INDEX($V$2:$V$1001,MATCH(ROWS($U$2:U331),$U$2:$U$1001,0),1)&gt;=100000,INDEX($AB$1005:$AQ$1005,1,MATCH(COLUMNS($AB$1006:AC1006),$AB$1006:$AQ$1006,0))&gt;=100000), " ",IF(INDEX($AB$2:$AQ$1001,MATCH(ROWS($U$2:U331),$U$2:$U$1001,0),MATCH(COLUMNS($AB$1006:AC1006),$AB$1006:$AQ$1006,0)), HYPERLINK("#",""), HYPERLINK(CONCATENATE("#Metadata!", ADDRESS(INDEX($W$2:$W$1001,MATCH(ROWS($U$2:U331),$U$2:$U$1001,0),0), INDEX($AB$1004:$AQ$1004,1,MATCH(COLUMNS($AB$1006:AC1006),$AB$1006:$AQ$1006,0)))),"Fix")))</f>
        <v>0</v>
      </c>
      <c r="D331" s="5">
        <f>IF(OR(INDEX($V$2:$V$1001,MATCH(ROWS($U$2:U331),$U$2:$U$1001,0),1)&gt;=100000,INDEX($AB$1005:$AQ$1005,1,MATCH(COLUMNS($AB$1006:AD1006),$AB$1006:$AQ$1006,0))&gt;=100000), " ",IF(INDEX($AB$2:$AQ$1001,MATCH(ROWS($U$2:U331),$U$2:$U$1001,0),MATCH(COLUMNS($AB$1006:AD1006),$AB$1006:$AQ$1006,0)), HYPERLINK("#",""), HYPERLINK(CONCATENATE("#Metadata!", ADDRESS(INDEX($W$2:$W$1001,MATCH(ROWS($U$2:U331),$U$2:$U$1001,0),0), INDEX($AB$1004:$AQ$1004,1,MATCH(COLUMNS($AB$1006:AD1006),$AB$1006:$AQ$1006,0)))),"Fix")))</f>
        <v>0</v>
      </c>
      <c r="E331" s="5">
        <f>IF(OR(INDEX($V$2:$V$1001,MATCH(ROWS($U$2:U331),$U$2:$U$1001,0),1)&gt;=100000,INDEX($AB$1005:$AQ$1005,1,MATCH(COLUMNS($AB$1006:AE1006),$AB$1006:$AQ$1006,0))&gt;=100000), " ",IF(INDEX($AB$2:$AQ$1001,MATCH(ROWS($U$2:U331),$U$2:$U$1001,0),MATCH(COLUMNS($AB$1006:AE1006),$AB$1006:$AQ$1006,0)), HYPERLINK("#",""), HYPERLINK(CONCATENATE("#Metadata!", ADDRESS(INDEX($W$2:$W$1001,MATCH(ROWS($U$2:U331),$U$2:$U$1001,0),0), INDEX($AB$1004:$AQ$1004,1,MATCH(COLUMNS($AB$1006:AE1006),$AB$1006:$AQ$1006,0)))),"Fix")))</f>
        <v>0</v>
      </c>
      <c r="F331" s="5">
        <f>IF(OR(INDEX($V$2:$V$1001,MATCH(ROWS($U$2:U331),$U$2:$U$1001,0),1)&gt;=100000,INDEX($AB$1005:$AQ$1005,1,MATCH(COLUMNS($AB$1006:AF1006),$AB$1006:$AQ$1006,0))&gt;=100000), " ",IF(INDEX($AB$2:$AQ$1001,MATCH(ROWS($U$2:U331),$U$2:$U$1001,0),MATCH(COLUMNS($AB$1006:AF1006),$AB$1006:$AQ$1006,0)), HYPERLINK("#",""), HYPERLINK(CONCATENATE("#Metadata!", ADDRESS(INDEX($W$2:$W$1001,MATCH(ROWS($U$2:U331),$U$2:$U$1001,0),0), INDEX($AB$1004:$AQ$1004,1,MATCH(COLUMNS($AB$1006:AF1006),$AB$1006:$AQ$1006,0)))),"Fix")))</f>
        <v>0</v>
      </c>
      <c r="G331" s="5">
        <f>IF(OR(INDEX($V$2:$V$1001,MATCH(ROWS($U$2:U331),$U$2:$U$1001,0),1)&gt;=100000,INDEX($AB$1005:$AQ$1005,1,MATCH(COLUMNS($AB$1006:AG1006),$AB$1006:$AQ$1006,0))&gt;=100000), " ",IF(INDEX($AB$2:$AQ$1001,MATCH(ROWS($U$2:U331),$U$2:$U$1001,0),MATCH(COLUMNS($AB$1006:AG1006),$AB$1006:$AQ$1006,0)), HYPERLINK("#",""), HYPERLINK(CONCATENATE("#Metadata!", ADDRESS(INDEX($W$2:$W$1001,MATCH(ROWS($U$2:U331),$U$2:$U$1001,0),0), INDEX($AB$1004:$AQ$1004,1,MATCH(COLUMNS($AB$1006:AG1006),$AB$1006:$AQ$1006,0)))),"Fix")))</f>
        <v>0</v>
      </c>
      <c r="H331" s="5">
        <f>IF(OR(INDEX($V$2:$V$1001,MATCH(ROWS($U$2:U331),$U$2:$U$1001,0),1)&gt;=100000,INDEX($AB$1005:$AQ$1005,1,MATCH(COLUMNS($AB$1006:AH1006),$AB$1006:$AQ$1006,0))&gt;=100000), " ",IF(INDEX($AB$2:$AQ$1001,MATCH(ROWS($U$2:U331),$U$2:$U$1001,0),MATCH(COLUMNS($AB$1006:AH1006),$AB$1006:$AQ$1006,0)), HYPERLINK("#",""), HYPERLINK(CONCATENATE("#Metadata!", ADDRESS(INDEX($W$2:$W$1001,MATCH(ROWS($U$2:U331),$U$2:$U$1001,0),0), INDEX($AB$1004:$AQ$1004,1,MATCH(COLUMNS($AB$1006:AH1006),$AB$1006:$AQ$1006,0)))),"Fix")))</f>
        <v>0</v>
      </c>
      <c r="I331" s="5">
        <f>IF(OR(INDEX($V$2:$V$1001,MATCH(ROWS($U$2:U331),$U$2:$U$1001,0),1)&gt;=100000,INDEX($AB$1005:$AQ$1005,1,MATCH(COLUMNS($AB$1006:AI1006),$AB$1006:$AQ$1006,0))&gt;=100000), " ",IF(INDEX($AB$2:$AQ$1001,MATCH(ROWS($U$2:U331),$U$2:$U$1001,0),MATCH(COLUMNS($AB$1006:AI1006),$AB$1006:$AQ$1006,0)), HYPERLINK("#",""), HYPERLINK(CONCATENATE("#Metadata!", ADDRESS(INDEX($W$2:$W$1001,MATCH(ROWS($U$2:U331),$U$2:$U$1001,0),0), INDEX($AB$1004:$AQ$1004,1,MATCH(COLUMNS($AB$1006:AI1006),$AB$1006:$AQ$1006,0)))),"Fix")))</f>
        <v>0</v>
      </c>
      <c r="J331" s="5">
        <f>IF(OR(INDEX($V$2:$V$1001,MATCH(ROWS($U$2:U331),$U$2:$U$1001,0),1)&gt;=100000,INDEX($AB$1005:$AQ$1005,1,MATCH(COLUMNS($AB$1006:AJ1006),$AB$1006:$AQ$1006,0))&gt;=100000), " ",IF(INDEX($AB$2:$AQ$1001,MATCH(ROWS($U$2:U331),$U$2:$U$1001,0),MATCH(COLUMNS($AB$1006:AJ1006),$AB$1006:$AQ$1006,0)), HYPERLINK("#",""), HYPERLINK(CONCATENATE("#Metadata!", ADDRESS(INDEX($W$2:$W$1001,MATCH(ROWS($U$2:U331),$U$2:$U$1001,0),0), INDEX($AB$1004:$AQ$1004,1,MATCH(COLUMNS($AB$1006:AJ1006),$AB$1006:$AQ$1006,0)))),"Fix")))</f>
        <v>0</v>
      </c>
      <c r="K331" s="5">
        <f>IF(OR(INDEX($V$2:$V$1001,MATCH(ROWS($U$2:U331),$U$2:$U$1001,0),1)&gt;=100000,INDEX($AB$1005:$AQ$1005,1,MATCH(COLUMNS($AB$1006:AK1006),$AB$1006:$AQ$1006,0))&gt;=100000), " ",IF(INDEX($AB$2:$AQ$1001,MATCH(ROWS($U$2:U331),$U$2:$U$1001,0),MATCH(COLUMNS($AB$1006:AK1006),$AB$1006:$AQ$1006,0)), HYPERLINK("#",""), HYPERLINK(CONCATENATE("#Metadata!", ADDRESS(INDEX($W$2:$W$1001,MATCH(ROWS($U$2:U331),$U$2:$U$1001,0),0), INDEX($AB$1004:$AQ$1004,1,MATCH(COLUMNS($AB$1006:AK1006),$AB$1006:$AQ$1006,0)))),"Fix")))</f>
        <v>0</v>
      </c>
      <c r="L331" s="5">
        <f>IF(OR(INDEX($V$2:$V$1001,MATCH(ROWS($U$2:U331),$U$2:$U$1001,0),1)&gt;=100000,INDEX($AB$1005:$AQ$1005,1,MATCH(COLUMNS($AB$1006:AL1006),$AB$1006:$AQ$1006,0))&gt;=100000), " ",IF(INDEX($AB$2:$AQ$1001,MATCH(ROWS($U$2:U331),$U$2:$U$1001,0),MATCH(COLUMNS($AB$1006:AL1006),$AB$1006:$AQ$1006,0)), HYPERLINK("#",""), HYPERLINK(CONCATENATE("#Metadata!", ADDRESS(INDEX($W$2:$W$1001,MATCH(ROWS($U$2:U331),$U$2:$U$1001,0),0), INDEX($AB$1004:$AQ$1004,1,MATCH(COLUMNS($AB$1006:AL1006),$AB$1006:$AQ$1006,0)))),"Fix")))</f>
        <v>0</v>
      </c>
      <c r="M331" s="5">
        <f>IF(OR(INDEX($V$2:$V$1001,MATCH(ROWS($U$2:U331),$U$2:$U$1001,0),1)&gt;=100000,INDEX($AB$1005:$AQ$1005,1,MATCH(COLUMNS($AB$1006:AM1006),$AB$1006:$AQ$1006,0))&gt;=100000), " ",IF(INDEX($AB$2:$AQ$1001,MATCH(ROWS($U$2:U331),$U$2:$U$1001,0),MATCH(COLUMNS($AB$1006:AM1006),$AB$1006:$AQ$1006,0)), HYPERLINK("#",""), HYPERLINK(CONCATENATE("#Metadata!", ADDRESS(INDEX($W$2:$W$1001,MATCH(ROWS($U$2:U331),$U$2:$U$1001,0),0), INDEX($AB$1004:$AQ$1004,1,MATCH(COLUMNS($AB$1006:AM1006),$AB$1006:$AQ$1006,0)))),"Fix")))</f>
        <v>0</v>
      </c>
      <c r="N331" s="5">
        <f>IF(OR(INDEX($V$2:$V$1001,MATCH(ROWS($U$2:U331),$U$2:$U$1001,0),1)&gt;=100000,INDEX($AB$1005:$AQ$1005,1,MATCH(COLUMNS($AB$1006:AN1006),$AB$1006:$AQ$1006,0))&gt;=100000), " ",IF(INDEX($AB$2:$AQ$1001,MATCH(ROWS($U$2:U331),$U$2:$U$1001,0),MATCH(COLUMNS($AB$1006:AN1006),$AB$1006:$AQ$1006,0)), HYPERLINK("#",""), HYPERLINK(CONCATENATE("#Metadata!", ADDRESS(INDEX($W$2:$W$1001,MATCH(ROWS($U$2:U331),$U$2:$U$1001,0),0), INDEX($AB$1004:$AQ$1004,1,MATCH(COLUMNS($AB$1006:AN1006),$AB$1006:$AQ$1006,0)))),"Fix")))</f>
        <v>0</v>
      </c>
      <c r="O331" s="5">
        <f>IF(OR(INDEX($V$2:$V$1001,MATCH(ROWS($U$2:U331),$U$2:$U$1001,0),1)&gt;=100000,INDEX($AB$1005:$AQ$1005,1,MATCH(COLUMNS($AB$1006:AO1006),$AB$1006:$AQ$1006,0))&gt;=100000), " ",IF(INDEX($AB$2:$AQ$1001,MATCH(ROWS($U$2:U331),$U$2:$U$1001,0),MATCH(COLUMNS($AB$1006:AO1006),$AB$1006:$AQ$1006,0)), HYPERLINK("#",""), HYPERLINK(CONCATENATE("#Metadata!", ADDRESS(INDEX($W$2:$W$1001,MATCH(ROWS($U$2:U331),$U$2:$U$1001,0),0), INDEX($AB$1004:$AQ$1004,1,MATCH(COLUMNS($AB$1006:AO1006),$AB$1006:$AQ$1006,0)))),"Fix")))</f>
        <v>0</v>
      </c>
      <c r="P331" s="5">
        <f>IF(OR(INDEX($V$2:$V$1001,MATCH(ROWS($U$2:U331),$U$2:$U$1001,0),1)&gt;=100000,INDEX($AB$1005:$AQ$1005,1,MATCH(COLUMNS($AB$1006:AP1006),$AB$1006:$AQ$1006,0))&gt;=100000), " ",IF(INDEX($AB$2:$AQ$1001,MATCH(ROWS($U$2:U331),$U$2:$U$1001,0),MATCH(COLUMNS($AB$1006:AP1006),$AB$1006:$AQ$1006,0)), HYPERLINK("#",""), HYPERLINK(CONCATENATE("#Metadata!", ADDRESS(INDEX($W$2:$W$1001,MATCH(ROWS($U$2:U331),$U$2:$U$1001,0),0), INDEX($AB$1004:$AQ$1004,1,MATCH(COLUMNS($AB$1006:AP1006),$AB$1006:$AQ$1006,0)))),"Fix")))</f>
        <v>0</v>
      </c>
      <c r="Q331" s="5">
        <f>IF(OR(INDEX($V$2:$V$1001,MATCH(ROWS($U$2:U331),$U$2:$U$1001,0),1)&gt;=100000,INDEX($AB$1005:$AQ$1005,1,MATCH(COLUMNS($AB$1006:AQ1006),$AB$1006:$AQ$1006,0))&gt;=100000), " ",IF(INDEX($AB$2:$AQ$1001,MATCH(ROWS($U$2:U331),$U$2:$U$1001,0),MATCH(COLUMNS($AB$1006:AQ1006),$AB$1006:$AQ$1006,0)), HYPERLINK("#",""), HYPERLINK(CONCATENATE("#Metadata!", ADDRESS(INDEX($W$2:$W$1001,MATCH(ROWS($U$2:U331),$U$2:$U$1001,0),0), INDEX($AB$1004:$AQ$1004,1,MATCH(COLUMNS($AB$1006:AQ1006),$AB$1006:$AQ$1006,0)))),"Fix")))</f>
        <v>0</v>
      </c>
      <c r="U331">
        <v>0</v>
      </c>
      <c r="V331">
        <v>0</v>
      </c>
      <c r="W331">
        <v>0</v>
      </c>
      <c r="X331">
        <f>IF(Y331,TRUE,AND(AB331:AQ331))</f>
        <v>0</v>
      </c>
      <c r="Y331">
        <f>COUNTBLANK(Metadata!B331:Q331)=COLUMNS(Metadata!B331:Q331)</f>
        <v>0</v>
      </c>
      <c r="Z331">
        <v>0</v>
      </c>
      <c r="AB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AC331">
        <f>AND(IF(Metadata!C331="",FALSE,TRUE),exact(Metadata!C331,"urban biome"))</f>
        <v>0</v>
      </c>
      <c r="AD331">
        <f>AND(IF(Metadata!D331="",FALSE,TRUE),exact(Metadata!D331,"human-associated habitat"))</f>
        <v>0</v>
      </c>
      <c r="AE331">
        <f>AND(IF(Metadata!E331="",FALSE,TRUE),OR(exact(Metadata!E331,"human-associated"),exact(Metadata!E331,"human-skin"),exact(Metadata!E331,"human-oral"),exact(Metadata!E331,"human-gut"),exact(Metadata!E331,"human-vaginal")))</f>
        <v>0</v>
      </c>
      <c r="AF331">
        <f>AND(IF(Metadata!F331="",FALSE,ISNUMBER(VALUE(Metadata!F331))),Metadata!F331&gt;0)</f>
        <v>0</v>
      </c>
      <c r="AG331">
        <f>AND(IF(Metadata!G331="",FALSE,TRUE),exact(Metadata!G331,"years"))</f>
        <v>0</v>
      </c>
      <c r="AH331">
        <f>OR(AND(IF(Metadata!H331="",FALSE,TRUE),OR(exact(Metadata!H331,"not applicable"),exact(Metadata!H331,"not collected"),exact(Metadata!H331,"not provided"),exact(Metadata!H331,"restricted access"))),AND(IF(Metadata!H331="",FALSE,ISNUMBER(VALUE(Metadata!H331))),Metadata!H331&gt;0))</f>
        <v>0</v>
      </c>
      <c r="AI331">
        <f>AND(IF(Metadata!I331="",FALSE,TRUE),exact(Metadata!I331,"human"))</f>
        <v>0</v>
      </c>
      <c r="AJ331">
        <f>AND(IF(Metadata!J331="",FALSE,ISNUMBER(VALUE(Metadata!J331))),Metadata!J331&gt;0)</f>
        <v>0</v>
      </c>
      <c r="AK331">
        <f>AND(IF(Metadata!K331="",FALSE,TRUE),exact(Metadata!K331,"cm"))</f>
        <v>0</v>
      </c>
      <c r="AL331">
        <f>AND(IF(Metadata!L331="",FALSE,TRUE),exact(Metadata!L331,"Homo sapiens"))</f>
        <v>0</v>
      </c>
      <c r="AM331">
        <f>AND(IF(Metadata!M331="",FALSE,TRUE),exact(Metadata!M331,"9606"))</f>
        <v>0</v>
      </c>
      <c r="AN331">
        <f>AND(IF(Metadata!N331="",FALSE,ISNUMBER(VALUE(Metadata!N331))),Metadata!N331&gt;0)</f>
        <v>0</v>
      </c>
      <c r="AO331">
        <f>AND(IF(Metadata!O331="",FALSE,TRUE),exact(Metadata!O331,"kg"))</f>
        <v>0</v>
      </c>
      <c r="AP331">
        <f>OR(AND(IF(Metadata!P331="",FALSE,TRUE),exact(Metadata!P331,"not provided")),IF(Metadata!P331="",FALSE,TRUE))</f>
        <v>0</v>
      </c>
      <c r="AQ331">
        <f>OR(AND(IF(Metadata!Q331="",FALSE,TRUE),exact(Metadata!Q331,"not provided")),IF(Metadata!Q331="",FALSE,TRUE))</f>
        <v>0</v>
      </c>
    </row>
    <row r="332" spans="1:43">
      <c r="A332" s="4">
        <f>IF(B332=" "," ",HYPERLINK(CONCATENATE("#metadata!",ADDRESS(INDEX($W$2:$W$1001,MATCH(ROWS($U$2:U332),$U$2:$U$1001,0),0),2)),INDEX($Z$2:$Z$1001,MATCH(ROWS($U$2:U332),$U$2:$U$1001,0),0)))</f>
        <v>0</v>
      </c>
      <c r="B332" s="5">
        <f>IF(OR(INDEX($V$2:$V$1001,MATCH(ROWS($U$2:U332),$U$2:$U$1001,0),1)&gt;=100000,INDEX($AB$1005:$AQ$1005,1,MATCH(COLUMNS($AB$1006:AB1006),$AB$1006:$AQ$1006,0))&gt;=100000), " ",IF(INDEX($AB$2:$AQ$1001,MATCH(ROWS($U$2:U332),$U$2:$U$1001,0),MATCH(COLUMNS($AB$1006:AB1006),$AB$1006:$AQ$1006,0)), HYPERLINK("#",""), HYPERLINK(CONCATENATE("#Metadata!", ADDRESS(INDEX($W$2:$W$1001,MATCH(ROWS($U$2:U332),$U$2:$U$1001,0),0), INDEX($AB$1004:$AQ$1004,1,MATCH(COLUMNS($AB$1006:AB1006),$AB$1006:$AQ$1006,0)))),"Fix")))</f>
        <v>0</v>
      </c>
      <c r="C332" s="5">
        <f>IF(OR(INDEX($V$2:$V$1001,MATCH(ROWS($U$2:U332),$U$2:$U$1001,0),1)&gt;=100000,INDEX($AB$1005:$AQ$1005,1,MATCH(COLUMNS($AB$1006:AC1006),$AB$1006:$AQ$1006,0))&gt;=100000), " ",IF(INDEX($AB$2:$AQ$1001,MATCH(ROWS($U$2:U332),$U$2:$U$1001,0),MATCH(COLUMNS($AB$1006:AC1006),$AB$1006:$AQ$1006,0)), HYPERLINK("#",""), HYPERLINK(CONCATENATE("#Metadata!", ADDRESS(INDEX($W$2:$W$1001,MATCH(ROWS($U$2:U332),$U$2:$U$1001,0),0), INDEX($AB$1004:$AQ$1004,1,MATCH(COLUMNS($AB$1006:AC1006),$AB$1006:$AQ$1006,0)))),"Fix")))</f>
        <v>0</v>
      </c>
      <c r="D332" s="5">
        <f>IF(OR(INDEX($V$2:$V$1001,MATCH(ROWS($U$2:U332),$U$2:$U$1001,0),1)&gt;=100000,INDEX($AB$1005:$AQ$1005,1,MATCH(COLUMNS($AB$1006:AD1006),$AB$1006:$AQ$1006,0))&gt;=100000), " ",IF(INDEX($AB$2:$AQ$1001,MATCH(ROWS($U$2:U332),$U$2:$U$1001,0),MATCH(COLUMNS($AB$1006:AD1006),$AB$1006:$AQ$1006,0)), HYPERLINK("#",""), HYPERLINK(CONCATENATE("#Metadata!", ADDRESS(INDEX($W$2:$W$1001,MATCH(ROWS($U$2:U332),$U$2:$U$1001,0),0), INDEX($AB$1004:$AQ$1004,1,MATCH(COLUMNS($AB$1006:AD1006),$AB$1006:$AQ$1006,0)))),"Fix")))</f>
        <v>0</v>
      </c>
      <c r="E332" s="5">
        <f>IF(OR(INDEX($V$2:$V$1001,MATCH(ROWS($U$2:U332),$U$2:$U$1001,0),1)&gt;=100000,INDEX($AB$1005:$AQ$1005,1,MATCH(COLUMNS($AB$1006:AE1006),$AB$1006:$AQ$1006,0))&gt;=100000), " ",IF(INDEX($AB$2:$AQ$1001,MATCH(ROWS($U$2:U332),$U$2:$U$1001,0),MATCH(COLUMNS($AB$1006:AE1006),$AB$1006:$AQ$1006,0)), HYPERLINK("#",""), HYPERLINK(CONCATENATE("#Metadata!", ADDRESS(INDEX($W$2:$W$1001,MATCH(ROWS($U$2:U332),$U$2:$U$1001,0),0), INDEX($AB$1004:$AQ$1004,1,MATCH(COLUMNS($AB$1006:AE1006),$AB$1006:$AQ$1006,0)))),"Fix")))</f>
        <v>0</v>
      </c>
      <c r="F332" s="5">
        <f>IF(OR(INDEX($V$2:$V$1001,MATCH(ROWS($U$2:U332),$U$2:$U$1001,0),1)&gt;=100000,INDEX($AB$1005:$AQ$1005,1,MATCH(COLUMNS($AB$1006:AF1006),$AB$1006:$AQ$1006,0))&gt;=100000), " ",IF(INDEX($AB$2:$AQ$1001,MATCH(ROWS($U$2:U332),$U$2:$U$1001,0),MATCH(COLUMNS($AB$1006:AF1006),$AB$1006:$AQ$1006,0)), HYPERLINK("#",""), HYPERLINK(CONCATENATE("#Metadata!", ADDRESS(INDEX($W$2:$W$1001,MATCH(ROWS($U$2:U332),$U$2:$U$1001,0),0), INDEX($AB$1004:$AQ$1004,1,MATCH(COLUMNS($AB$1006:AF1006),$AB$1006:$AQ$1006,0)))),"Fix")))</f>
        <v>0</v>
      </c>
      <c r="G332" s="5">
        <f>IF(OR(INDEX($V$2:$V$1001,MATCH(ROWS($U$2:U332),$U$2:$U$1001,0),1)&gt;=100000,INDEX($AB$1005:$AQ$1005,1,MATCH(COLUMNS($AB$1006:AG1006),$AB$1006:$AQ$1006,0))&gt;=100000), " ",IF(INDEX($AB$2:$AQ$1001,MATCH(ROWS($U$2:U332),$U$2:$U$1001,0),MATCH(COLUMNS($AB$1006:AG1006),$AB$1006:$AQ$1006,0)), HYPERLINK("#",""), HYPERLINK(CONCATENATE("#Metadata!", ADDRESS(INDEX($W$2:$W$1001,MATCH(ROWS($U$2:U332),$U$2:$U$1001,0),0), INDEX($AB$1004:$AQ$1004,1,MATCH(COLUMNS($AB$1006:AG1006),$AB$1006:$AQ$1006,0)))),"Fix")))</f>
        <v>0</v>
      </c>
      <c r="H332" s="5">
        <f>IF(OR(INDEX($V$2:$V$1001,MATCH(ROWS($U$2:U332),$U$2:$U$1001,0),1)&gt;=100000,INDEX($AB$1005:$AQ$1005,1,MATCH(COLUMNS($AB$1006:AH1006),$AB$1006:$AQ$1006,0))&gt;=100000), " ",IF(INDEX($AB$2:$AQ$1001,MATCH(ROWS($U$2:U332),$U$2:$U$1001,0),MATCH(COLUMNS($AB$1006:AH1006),$AB$1006:$AQ$1006,0)), HYPERLINK("#",""), HYPERLINK(CONCATENATE("#Metadata!", ADDRESS(INDEX($W$2:$W$1001,MATCH(ROWS($U$2:U332),$U$2:$U$1001,0),0), INDEX($AB$1004:$AQ$1004,1,MATCH(COLUMNS($AB$1006:AH1006),$AB$1006:$AQ$1006,0)))),"Fix")))</f>
        <v>0</v>
      </c>
      <c r="I332" s="5">
        <f>IF(OR(INDEX($V$2:$V$1001,MATCH(ROWS($U$2:U332),$U$2:$U$1001,0),1)&gt;=100000,INDEX($AB$1005:$AQ$1005,1,MATCH(COLUMNS($AB$1006:AI1006),$AB$1006:$AQ$1006,0))&gt;=100000), " ",IF(INDEX($AB$2:$AQ$1001,MATCH(ROWS($U$2:U332),$U$2:$U$1001,0),MATCH(COLUMNS($AB$1006:AI1006),$AB$1006:$AQ$1006,0)), HYPERLINK("#",""), HYPERLINK(CONCATENATE("#Metadata!", ADDRESS(INDEX($W$2:$W$1001,MATCH(ROWS($U$2:U332),$U$2:$U$1001,0),0), INDEX($AB$1004:$AQ$1004,1,MATCH(COLUMNS($AB$1006:AI1006),$AB$1006:$AQ$1006,0)))),"Fix")))</f>
        <v>0</v>
      </c>
      <c r="J332" s="5">
        <f>IF(OR(INDEX($V$2:$V$1001,MATCH(ROWS($U$2:U332),$U$2:$U$1001,0),1)&gt;=100000,INDEX($AB$1005:$AQ$1005,1,MATCH(COLUMNS($AB$1006:AJ1006),$AB$1006:$AQ$1006,0))&gt;=100000), " ",IF(INDEX($AB$2:$AQ$1001,MATCH(ROWS($U$2:U332),$U$2:$U$1001,0),MATCH(COLUMNS($AB$1006:AJ1006),$AB$1006:$AQ$1006,0)), HYPERLINK("#",""), HYPERLINK(CONCATENATE("#Metadata!", ADDRESS(INDEX($W$2:$W$1001,MATCH(ROWS($U$2:U332),$U$2:$U$1001,0),0), INDEX($AB$1004:$AQ$1004,1,MATCH(COLUMNS($AB$1006:AJ1006),$AB$1006:$AQ$1006,0)))),"Fix")))</f>
        <v>0</v>
      </c>
      <c r="K332" s="5">
        <f>IF(OR(INDEX($V$2:$V$1001,MATCH(ROWS($U$2:U332),$U$2:$U$1001,0),1)&gt;=100000,INDEX($AB$1005:$AQ$1005,1,MATCH(COLUMNS($AB$1006:AK1006),$AB$1006:$AQ$1006,0))&gt;=100000), " ",IF(INDEX($AB$2:$AQ$1001,MATCH(ROWS($U$2:U332),$U$2:$U$1001,0),MATCH(COLUMNS($AB$1006:AK1006),$AB$1006:$AQ$1006,0)), HYPERLINK("#",""), HYPERLINK(CONCATENATE("#Metadata!", ADDRESS(INDEX($W$2:$W$1001,MATCH(ROWS($U$2:U332),$U$2:$U$1001,0),0), INDEX($AB$1004:$AQ$1004,1,MATCH(COLUMNS($AB$1006:AK1006),$AB$1006:$AQ$1006,0)))),"Fix")))</f>
        <v>0</v>
      </c>
      <c r="L332" s="5">
        <f>IF(OR(INDEX($V$2:$V$1001,MATCH(ROWS($U$2:U332),$U$2:$U$1001,0),1)&gt;=100000,INDEX($AB$1005:$AQ$1005,1,MATCH(COLUMNS($AB$1006:AL1006),$AB$1006:$AQ$1006,0))&gt;=100000), " ",IF(INDEX($AB$2:$AQ$1001,MATCH(ROWS($U$2:U332),$U$2:$U$1001,0),MATCH(COLUMNS($AB$1006:AL1006),$AB$1006:$AQ$1006,0)), HYPERLINK("#",""), HYPERLINK(CONCATENATE("#Metadata!", ADDRESS(INDEX($W$2:$W$1001,MATCH(ROWS($U$2:U332),$U$2:$U$1001,0),0), INDEX($AB$1004:$AQ$1004,1,MATCH(COLUMNS($AB$1006:AL1006),$AB$1006:$AQ$1006,0)))),"Fix")))</f>
        <v>0</v>
      </c>
      <c r="M332" s="5">
        <f>IF(OR(INDEX($V$2:$V$1001,MATCH(ROWS($U$2:U332),$U$2:$U$1001,0),1)&gt;=100000,INDEX($AB$1005:$AQ$1005,1,MATCH(COLUMNS($AB$1006:AM1006),$AB$1006:$AQ$1006,0))&gt;=100000), " ",IF(INDEX($AB$2:$AQ$1001,MATCH(ROWS($U$2:U332),$U$2:$U$1001,0),MATCH(COLUMNS($AB$1006:AM1006),$AB$1006:$AQ$1006,0)), HYPERLINK("#",""), HYPERLINK(CONCATENATE("#Metadata!", ADDRESS(INDEX($W$2:$W$1001,MATCH(ROWS($U$2:U332),$U$2:$U$1001,0),0), INDEX($AB$1004:$AQ$1004,1,MATCH(COLUMNS($AB$1006:AM1006),$AB$1006:$AQ$1006,0)))),"Fix")))</f>
        <v>0</v>
      </c>
      <c r="N332" s="5">
        <f>IF(OR(INDEX($V$2:$V$1001,MATCH(ROWS($U$2:U332),$U$2:$U$1001,0),1)&gt;=100000,INDEX($AB$1005:$AQ$1005,1,MATCH(COLUMNS($AB$1006:AN1006),$AB$1006:$AQ$1006,0))&gt;=100000), " ",IF(INDEX($AB$2:$AQ$1001,MATCH(ROWS($U$2:U332),$U$2:$U$1001,0),MATCH(COLUMNS($AB$1006:AN1006),$AB$1006:$AQ$1006,0)), HYPERLINK("#",""), HYPERLINK(CONCATENATE("#Metadata!", ADDRESS(INDEX($W$2:$W$1001,MATCH(ROWS($U$2:U332),$U$2:$U$1001,0),0), INDEX($AB$1004:$AQ$1004,1,MATCH(COLUMNS($AB$1006:AN1006),$AB$1006:$AQ$1006,0)))),"Fix")))</f>
        <v>0</v>
      </c>
      <c r="O332" s="5">
        <f>IF(OR(INDEX($V$2:$V$1001,MATCH(ROWS($U$2:U332),$U$2:$U$1001,0),1)&gt;=100000,INDEX($AB$1005:$AQ$1005,1,MATCH(COLUMNS($AB$1006:AO1006),$AB$1006:$AQ$1006,0))&gt;=100000), " ",IF(INDEX($AB$2:$AQ$1001,MATCH(ROWS($U$2:U332),$U$2:$U$1001,0),MATCH(COLUMNS($AB$1006:AO1006),$AB$1006:$AQ$1006,0)), HYPERLINK("#",""), HYPERLINK(CONCATENATE("#Metadata!", ADDRESS(INDEX($W$2:$W$1001,MATCH(ROWS($U$2:U332),$U$2:$U$1001,0),0), INDEX($AB$1004:$AQ$1004,1,MATCH(COLUMNS($AB$1006:AO1006),$AB$1006:$AQ$1006,0)))),"Fix")))</f>
        <v>0</v>
      </c>
      <c r="P332" s="5">
        <f>IF(OR(INDEX($V$2:$V$1001,MATCH(ROWS($U$2:U332),$U$2:$U$1001,0),1)&gt;=100000,INDEX($AB$1005:$AQ$1005,1,MATCH(COLUMNS($AB$1006:AP1006),$AB$1006:$AQ$1006,0))&gt;=100000), " ",IF(INDEX($AB$2:$AQ$1001,MATCH(ROWS($U$2:U332),$U$2:$U$1001,0),MATCH(COLUMNS($AB$1006:AP1006),$AB$1006:$AQ$1006,0)), HYPERLINK("#",""), HYPERLINK(CONCATENATE("#Metadata!", ADDRESS(INDEX($W$2:$W$1001,MATCH(ROWS($U$2:U332),$U$2:$U$1001,0),0), INDEX($AB$1004:$AQ$1004,1,MATCH(COLUMNS($AB$1006:AP1006),$AB$1006:$AQ$1006,0)))),"Fix")))</f>
        <v>0</v>
      </c>
      <c r="Q332" s="5">
        <f>IF(OR(INDEX($V$2:$V$1001,MATCH(ROWS($U$2:U332),$U$2:$U$1001,0),1)&gt;=100000,INDEX($AB$1005:$AQ$1005,1,MATCH(COLUMNS($AB$1006:AQ1006),$AB$1006:$AQ$1006,0))&gt;=100000), " ",IF(INDEX($AB$2:$AQ$1001,MATCH(ROWS($U$2:U332),$U$2:$U$1001,0),MATCH(COLUMNS($AB$1006:AQ1006),$AB$1006:$AQ$1006,0)), HYPERLINK("#",""), HYPERLINK(CONCATENATE("#Metadata!", ADDRESS(INDEX($W$2:$W$1001,MATCH(ROWS($U$2:U332),$U$2:$U$1001,0),0), INDEX($AB$1004:$AQ$1004,1,MATCH(COLUMNS($AB$1006:AQ1006),$AB$1006:$AQ$1006,0)))),"Fix")))</f>
        <v>0</v>
      </c>
      <c r="U332">
        <v>0</v>
      </c>
      <c r="V332">
        <v>0</v>
      </c>
      <c r="W332">
        <v>0</v>
      </c>
      <c r="X332">
        <f>IF(Y332,TRUE,AND(AB332:AQ332))</f>
        <v>0</v>
      </c>
      <c r="Y332">
        <f>COUNTBLANK(Metadata!B332:Q332)=COLUMNS(Metadata!B332:Q332)</f>
        <v>0</v>
      </c>
      <c r="Z332">
        <v>0</v>
      </c>
      <c r="AB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AC332">
        <f>AND(IF(Metadata!C332="",FALSE,TRUE),exact(Metadata!C332,"urban biome"))</f>
        <v>0</v>
      </c>
      <c r="AD332">
        <f>AND(IF(Metadata!D332="",FALSE,TRUE),exact(Metadata!D332,"human-associated habitat"))</f>
        <v>0</v>
      </c>
      <c r="AE332">
        <f>AND(IF(Metadata!E332="",FALSE,TRUE),OR(exact(Metadata!E332,"human-associated"),exact(Metadata!E332,"human-skin"),exact(Metadata!E332,"human-oral"),exact(Metadata!E332,"human-gut"),exact(Metadata!E332,"human-vaginal")))</f>
        <v>0</v>
      </c>
      <c r="AF332">
        <f>AND(IF(Metadata!F332="",FALSE,ISNUMBER(VALUE(Metadata!F332))),Metadata!F332&gt;0)</f>
        <v>0</v>
      </c>
      <c r="AG332">
        <f>AND(IF(Metadata!G332="",FALSE,TRUE),exact(Metadata!G332,"years"))</f>
        <v>0</v>
      </c>
      <c r="AH332">
        <f>OR(AND(IF(Metadata!H332="",FALSE,TRUE),OR(exact(Metadata!H332,"not applicable"),exact(Metadata!H332,"not collected"),exact(Metadata!H332,"not provided"),exact(Metadata!H332,"restricted access"))),AND(IF(Metadata!H332="",FALSE,ISNUMBER(VALUE(Metadata!H332))),Metadata!H332&gt;0))</f>
        <v>0</v>
      </c>
      <c r="AI332">
        <f>AND(IF(Metadata!I332="",FALSE,TRUE),exact(Metadata!I332,"human"))</f>
        <v>0</v>
      </c>
      <c r="AJ332">
        <f>AND(IF(Metadata!J332="",FALSE,ISNUMBER(VALUE(Metadata!J332))),Metadata!J332&gt;0)</f>
        <v>0</v>
      </c>
      <c r="AK332">
        <f>AND(IF(Metadata!K332="",FALSE,TRUE),exact(Metadata!K332,"cm"))</f>
        <v>0</v>
      </c>
      <c r="AL332">
        <f>AND(IF(Metadata!L332="",FALSE,TRUE),exact(Metadata!L332,"Homo sapiens"))</f>
        <v>0</v>
      </c>
      <c r="AM332">
        <f>AND(IF(Metadata!M332="",FALSE,TRUE),exact(Metadata!M332,"9606"))</f>
        <v>0</v>
      </c>
      <c r="AN332">
        <f>AND(IF(Metadata!N332="",FALSE,ISNUMBER(VALUE(Metadata!N332))),Metadata!N332&gt;0)</f>
        <v>0</v>
      </c>
      <c r="AO332">
        <f>AND(IF(Metadata!O332="",FALSE,TRUE),exact(Metadata!O332,"kg"))</f>
        <v>0</v>
      </c>
      <c r="AP332">
        <f>OR(AND(IF(Metadata!P332="",FALSE,TRUE),exact(Metadata!P332,"not provided")),IF(Metadata!P332="",FALSE,TRUE))</f>
        <v>0</v>
      </c>
      <c r="AQ332">
        <f>OR(AND(IF(Metadata!Q332="",FALSE,TRUE),exact(Metadata!Q332,"not provided")),IF(Metadata!Q332="",FALSE,TRUE))</f>
        <v>0</v>
      </c>
    </row>
    <row r="333" spans="1:43">
      <c r="A333" s="4">
        <f>IF(B333=" "," ",HYPERLINK(CONCATENATE("#metadata!",ADDRESS(INDEX($W$2:$W$1001,MATCH(ROWS($U$2:U333),$U$2:$U$1001,0),0),2)),INDEX($Z$2:$Z$1001,MATCH(ROWS($U$2:U333),$U$2:$U$1001,0),0)))</f>
        <v>0</v>
      </c>
      <c r="B333" s="5">
        <f>IF(OR(INDEX($V$2:$V$1001,MATCH(ROWS($U$2:U333),$U$2:$U$1001,0),1)&gt;=100000,INDEX($AB$1005:$AQ$1005,1,MATCH(COLUMNS($AB$1006:AB1006),$AB$1006:$AQ$1006,0))&gt;=100000), " ",IF(INDEX($AB$2:$AQ$1001,MATCH(ROWS($U$2:U333),$U$2:$U$1001,0),MATCH(COLUMNS($AB$1006:AB1006),$AB$1006:$AQ$1006,0)), HYPERLINK("#",""), HYPERLINK(CONCATENATE("#Metadata!", ADDRESS(INDEX($W$2:$W$1001,MATCH(ROWS($U$2:U333),$U$2:$U$1001,0),0), INDEX($AB$1004:$AQ$1004,1,MATCH(COLUMNS($AB$1006:AB1006),$AB$1006:$AQ$1006,0)))),"Fix")))</f>
        <v>0</v>
      </c>
      <c r="C333" s="5">
        <f>IF(OR(INDEX($V$2:$V$1001,MATCH(ROWS($U$2:U333),$U$2:$U$1001,0),1)&gt;=100000,INDEX($AB$1005:$AQ$1005,1,MATCH(COLUMNS($AB$1006:AC1006),$AB$1006:$AQ$1006,0))&gt;=100000), " ",IF(INDEX($AB$2:$AQ$1001,MATCH(ROWS($U$2:U333),$U$2:$U$1001,0),MATCH(COLUMNS($AB$1006:AC1006),$AB$1006:$AQ$1006,0)), HYPERLINK("#",""), HYPERLINK(CONCATENATE("#Metadata!", ADDRESS(INDEX($W$2:$W$1001,MATCH(ROWS($U$2:U333),$U$2:$U$1001,0),0), INDEX($AB$1004:$AQ$1004,1,MATCH(COLUMNS($AB$1006:AC1006),$AB$1006:$AQ$1006,0)))),"Fix")))</f>
        <v>0</v>
      </c>
      <c r="D333" s="5">
        <f>IF(OR(INDEX($V$2:$V$1001,MATCH(ROWS($U$2:U333),$U$2:$U$1001,0),1)&gt;=100000,INDEX($AB$1005:$AQ$1005,1,MATCH(COLUMNS($AB$1006:AD1006),$AB$1006:$AQ$1006,0))&gt;=100000), " ",IF(INDEX($AB$2:$AQ$1001,MATCH(ROWS($U$2:U333),$U$2:$U$1001,0),MATCH(COLUMNS($AB$1006:AD1006),$AB$1006:$AQ$1006,0)), HYPERLINK("#",""), HYPERLINK(CONCATENATE("#Metadata!", ADDRESS(INDEX($W$2:$W$1001,MATCH(ROWS($U$2:U333),$U$2:$U$1001,0),0), INDEX($AB$1004:$AQ$1004,1,MATCH(COLUMNS($AB$1006:AD1006),$AB$1006:$AQ$1006,0)))),"Fix")))</f>
        <v>0</v>
      </c>
      <c r="E333" s="5">
        <f>IF(OR(INDEX($V$2:$V$1001,MATCH(ROWS($U$2:U333),$U$2:$U$1001,0),1)&gt;=100000,INDEX($AB$1005:$AQ$1005,1,MATCH(COLUMNS($AB$1006:AE1006),$AB$1006:$AQ$1006,0))&gt;=100000), " ",IF(INDEX($AB$2:$AQ$1001,MATCH(ROWS($U$2:U333),$U$2:$U$1001,0),MATCH(COLUMNS($AB$1006:AE1006),$AB$1006:$AQ$1006,0)), HYPERLINK("#",""), HYPERLINK(CONCATENATE("#Metadata!", ADDRESS(INDEX($W$2:$W$1001,MATCH(ROWS($U$2:U333),$U$2:$U$1001,0),0), INDEX($AB$1004:$AQ$1004,1,MATCH(COLUMNS($AB$1006:AE1006),$AB$1006:$AQ$1006,0)))),"Fix")))</f>
        <v>0</v>
      </c>
      <c r="F333" s="5">
        <f>IF(OR(INDEX($V$2:$V$1001,MATCH(ROWS($U$2:U333),$U$2:$U$1001,0),1)&gt;=100000,INDEX($AB$1005:$AQ$1005,1,MATCH(COLUMNS($AB$1006:AF1006),$AB$1006:$AQ$1006,0))&gt;=100000), " ",IF(INDEX($AB$2:$AQ$1001,MATCH(ROWS($U$2:U333),$U$2:$U$1001,0),MATCH(COLUMNS($AB$1006:AF1006),$AB$1006:$AQ$1006,0)), HYPERLINK("#",""), HYPERLINK(CONCATENATE("#Metadata!", ADDRESS(INDEX($W$2:$W$1001,MATCH(ROWS($U$2:U333),$U$2:$U$1001,0),0), INDEX($AB$1004:$AQ$1004,1,MATCH(COLUMNS($AB$1006:AF1006),$AB$1006:$AQ$1006,0)))),"Fix")))</f>
        <v>0</v>
      </c>
      <c r="G333" s="5">
        <f>IF(OR(INDEX($V$2:$V$1001,MATCH(ROWS($U$2:U333),$U$2:$U$1001,0),1)&gt;=100000,INDEX($AB$1005:$AQ$1005,1,MATCH(COLUMNS($AB$1006:AG1006),$AB$1006:$AQ$1006,0))&gt;=100000), " ",IF(INDEX($AB$2:$AQ$1001,MATCH(ROWS($U$2:U333),$U$2:$U$1001,0),MATCH(COLUMNS($AB$1006:AG1006),$AB$1006:$AQ$1006,0)), HYPERLINK("#",""), HYPERLINK(CONCATENATE("#Metadata!", ADDRESS(INDEX($W$2:$W$1001,MATCH(ROWS($U$2:U333),$U$2:$U$1001,0),0), INDEX($AB$1004:$AQ$1004,1,MATCH(COLUMNS($AB$1006:AG1006),$AB$1006:$AQ$1006,0)))),"Fix")))</f>
        <v>0</v>
      </c>
      <c r="H333" s="5">
        <f>IF(OR(INDEX($V$2:$V$1001,MATCH(ROWS($U$2:U333),$U$2:$U$1001,0),1)&gt;=100000,INDEX($AB$1005:$AQ$1005,1,MATCH(COLUMNS($AB$1006:AH1006),$AB$1006:$AQ$1006,0))&gt;=100000), " ",IF(INDEX($AB$2:$AQ$1001,MATCH(ROWS($U$2:U333),$U$2:$U$1001,0),MATCH(COLUMNS($AB$1006:AH1006),$AB$1006:$AQ$1006,0)), HYPERLINK("#",""), HYPERLINK(CONCATENATE("#Metadata!", ADDRESS(INDEX($W$2:$W$1001,MATCH(ROWS($U$2:U333),$U$2:$U$1001,0),0), INDEX($AB$1004:$AQ$1004,1,MATCH(COLUMNS($AB$1006:AH1006),$AB$1006:$AQ$1006,0)))),"Fix")))</f>
        <v>0</v>
      </c>
      <c r="I333" s="5">
        <f>IF(OR(INDEX($V$2:$V$1001,MATCH(ROWS($U$2:U333),$U$2:$U$1001,0),1)&gt;=100000,INDEX($AB$1005:$AQ$1005,1,MATCH(COLUMNS($AB$1006:AI1006),$AB$1006:$AQ$1006,0))&gt;=100000), " ",IF(INDEX($AB$2:$AQ$1001,MATCH(ROWS($U$2:U333),$U$2:$U$1001,0),MATCH(COLUMNS($AB$1006:AI1006),$AB$1006:$AQ$1006,0)), HYPERLINK("#",""), HYPERLINK(CONCATENATE("#Metadata!", ADDRESS(INDEX($W$2:$W$1001,MATCH(ROWS($U$2:U333),$U$2:$U$1001,0),0), INDEX($AB$1004:$AQ$1004,1,MATCH(COLUMNS($AB$1006:AI1006),$AB$1006:$AQ$1006,0)))),"Fix")))</f>
        <v>0</v>
      </c>
      <c r="J333" s="5">
        <f>IF(OR(INDEX($V$2:$V$1001,MATCH(ROWS($U$2:U333),$U$2:$U$1001,0),1)&gt;=100000,INDEX($AB$1005:$AQ$1005,1,MATCH(COLUMNS($AB$1006:AJ1006),$AB$1006:$AQ$1006,0))&gt;=100000), " ",IF(INDEX($AB$2:$AQ$1001,MATCH(ROWS($U$2:U333),$U$2:$U$1001,0),MATCH(COLUMNS($AB$1006:AJ1006),$AB$1006:$AQ$1006,0)), HYPERLINK("#",""), HYPERLINK(CONCATENATE("#Metadata!", ADDRESS(INDEX($W$2:$W$1001,MATCH(ROWS($U$2:U333),$U$2:$U$1001,0),0), INDEX($AB$1004:$AQ$1004,1,MATCH(COLUMNS($AB$1006:AJ1006),$AB$1006:$AQ$1006,0)))),"Fix")))</f>
        <v>0</v>
      </c>
      <c r="K333" s="5">
        <f>IF(OR(INDEX($V$2:$V$1001,MATCH(ROWS($U$2:U333),$U$2:$U$1001,0),1)&gt;=100000,INDEX($AB$1005:$AQ$1005,1,MATCH(COLUMNS($AB$1006:AK1006),$AB$1006:$AQ$1006,0))&gt;=100000), " ",IF(INDEX($AB$2:$AQ$1001,MATCH(ROWS($U$2:U333),$U$2:$U$1001,0),MATCH(COLUMNS($AB$1006:AK1006),$AB$1006:$AQ$1006,0)), HYPERLINK("#",""), HYPERLINK(CONCATENATE("#Metadata!", ADDRESS(INDEX($W$2:$W$1001,MATCH(ROWS($U$2:U333),$U$2:$U$1001,0),0), INDEX($AB$1004:$AQ$1004,1,MATCH(COLUMNS($AB$1006:AK1006),$AB$1006:$AQ$1006,0)))),"Fix")))</f>
        <v>0</v>
      </c>
      <c r="L333" s="5">
        <f>IF(OR(INDEX($V$2:$V$1001,MATCH(ROWS($U$2:U333),$U$2:$U$1001,0),1)&gt;=100000,INDEX($AB$1005:$AQ$1005,1,MATCH(COLUMNS($AB$1006:AL1006),$AB$1006:$AQ$1006,0))&gt;=100000), " ",IF(INDEX($AB$2:$AQ$1001,MATCH(ROWS($U$2:U333),$U$2:$U$1001,0),MATCH(COLUMNS($AB$1006:AL1006),$AB$1006:$AQ$1006,0)), HYPERLINK("#",""), HYPERLINK(CONCATENATE("#Metadata!", ADDRESS(INDEX($W$2:$W$1001,MATCH(ROWS($U$2:U333),$U$2:$U$1001,0),0), INDEX($AB$1004:$AQ$1004,1,MATCH(COLUMNS($AB$1006:AL1006),$AB$1006:$AQ$1006,0)))),"Fix")))</f>
        <v>0</v>
      </c>
      <c r="M333" s="5">
        <f>IF(OR(INDEX($V$2:$V$1001,MATCH(ROWS($U$2:U333),$U$2:$U$1001,0),1)&gt;=100000,INDEX($AB$1005:$AQ$1005,1,MATCH(COLUMNS($AB$1006:AM1006),$AB$1006:$AQ$1006,0))&gt;=100000), " ",IF(INDEX($AB$2:$AQ$1001,MATCH(ROWS($U$2:U333),$U$2:$U$1001,0),MATCH(COLUMNS($AB$1006:AM1006),$AB$1006:$AQ$1006,0)), HYPERLINK("#",""), HYPERLINK(CONCATENATE("#Metadata!", ADDRESS(INDEX($W$2:$W$1001,MATCH(ROWS($U$2:U333),$U$2:$U$1001,0),0), INDEX($AB$1004:$AQ$1004,1,MATCH(COLUMNS($AB$1006:AM1006),$AB$1006:$AQ$1006,0)))),"Fix")))</f>
        <v>0</v>
      </c>
      <c r="N333" s="5">
        <f>IF(OR(INDEX($V$2:$V$1001,MATCH(ROWS($U$2:U333),$U$2:$U$1001,0),1)&gt;=100000,INDEX($AB$1005:$AQ$1005,1,MATCH(COLUMNS($AB$1006:AN1006),$AB$1006:$AQ$1006,0))&gt;=100000), " ",IF(INDEX($AB$2:$AQ$1001,MATCH(ROWS($U$2:U333),$U$2:$U$1001,0),MATCH(COLUMNS($AB$1006:AN1006),$AB$1006:$AQ$1006,0)), HYPERLINK("#",""), HYPERLINK(CONCATENATE("#Metadata!", ADDRESS(INDEX($W$2:$W$1001,MATCH(ROWS($U$2:U333),$U$2:$U$1001,0),0), INDEX($AB$1004:$AQ$1004,1,MATCH(COLUMNS($AB$1006:AN1006),$AB$1006:$AQ$1006,0)))),"Fix")))</f>
        <v>0</v>
      </c>
      <c r="O333" s="5">
        <f>IF(OR(INDEX($V$2:$V$1001,MATCH(ROWS($U$2:U333),$U$2:$U$1001,0),1)&gt;=100000,INDEX($AB$1005:$AQ$1005,1,MATCH(COLUMNS($AB$1006:AO1006),$AB$1006:$AQ$1006,0))&gt;=100000), " ",IF(INDEX($AB$2:$AQ$1001,MATCH(ROWS($U$2:U333),$U$2:$U$1001,0),MATCH(COLUMNS($AB$1006:AO1006),$AB$1006:$AQ$1006,0)), HYPERLINK("#",""), HYPERLINK(CONCATENATE("#Metadata!", ADDRESS(INDEX($W$2:$W$1001,MATCH(ROWS($U$2:U333),$U$2:$U$1001,0),0), INDEX($AB$1004:$AQ$1004,1,MATCH(COLUMNS($AB$1006:AO1006),$AB$1006:$AQ$1006,0)))),"Fix")))</f>
        <v>0</v>
      </c>
      <c r="P333" s="5">
        <f>IF(OR(INDEX($V$2:$V$1001,MATCH(ROWS($U$2:U333),$U$2:$U$1001,0),1)&gt;=100000,INDEX($AB$1005:$AQ$1005,1,MATCH(COLUMNS($AB$1006:AP1006),$AB$1006:$AQ$1006,0))&gt;=100000), " ",IF(INDEX($AB$2:$AQ$1001,MATCH(ROWS($U$2:U333),$U$2:$U$1001,0),MATCH(COLUMNS($AB$1006:AP1006),$AB$1006:$AQ$1006,0)), HYPERLINK("#",""), HYPERLINK(CONCATENATE("#Metadata!", ADDRESS(INDEX($W$2:$W$1001,MATCH(ROWS($U$2:U333),$U$2:$U$1001,0),0), INDEX($AB$1004:$AQ$1004,1,MATCH(COLUMNS($AB$1006:AP1006),$AB$1006:$AQ$1006,0)))),"Fix")))</f>
        <v>0</v>
      </c>
      <c r="Q333" s="5">
        <f>IF(OR(INDEX($V$2:$V$1001,MATCH(ROWS($U$2:U333),$U$2:$U$1001,0),1)&gt;=100000,INDEX($AB$1005:$AQ$1005,1,MATCH(COLUMNS($AB$1006:AQ1006),$AB$1006:$AQ$1006,0))&gt;=100000), " ",IF(INDEX($AB$2:$AQ$1001,MATCH(ROWS($U$2:U333),$U$2:$U$1001,0),MATCH(COLUMNS($AB$1006:AQ1006),$AB$1006:$AQ$1006,0)), HYPERLINK("#",""), HYPERLINK(CONCATENATE("#Metadata!", ADDRESS(INDEX($W$2:$W$1001,MATCH(ROWS($U$2:U333),$U$2:$U$1001,0),0), INDEX($AB$1004:$AQ$1004,1,MATCH(COLUMNS($AB$1006:AQ1006),$AB$1006:$AQ$1006,0)))),"Fix")))</f>
        <v>0</v>
      </c>
      <c r="U333">
        <v>0</v>
      </c>
      <c r="V333">
        <v>0</v>
      </c>
      <c r="W333">
        <v>0</v>
      </c>
      <c r="X333">
        <f>IF(Y333,TRUE,AND(AB333:AQ333))</f>
        <v>0</v>
      </c>
      <c r="Y333">
        <f>COUNTBLANK(Metadata!B333:Q333)=COLUMNS(Metadata!B333:Q333)</f>
        <v>0</v>
      </c>
      <c r="Z333">
        <v>0</v>
      </c>
      <c r="AB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AC333">
        <f>AND(IF(Metadata!C333="",FALSE,TRUE),exact(Metadata!C333,"urban biome"))</f>
        <v>0</v>
      </c>
      <c r="AD333">
        <f>AND(IF(Metadata!D333="",FALSE,TRUE),exact(Metadata!D333,"human-associated habitat"))</f>
        <v>0</v>
      </c>
      <c r="AE333">
        <f>AND(IF(Metadata!E333="",FALSE,TRUE),OR(exact(Metadata!E333,"human-associated"),exact(Metadata!E333,"human-skin"),exact(Metadata!E333,"human-oral"),exact(Metadata!E333,"human-gut"),exact(Metadata!E333,"human-vaginal")))</f>
        <v>0</v>
      </c>
      <c r="AF333">
        <f>AND(IF(Metadata!F333="",FALSE,ISNUMBER(VALUE(Metadata!F333))),Metadata!F333&gt;0)</f>
        <v>0</v>
      </c>
      <c r="AG333">
        <f>AND(IF(Metadata!G333="",FALSE,TRUE),exact(Metadata!G333,"years"))</f>
        <v>0</v>
      </c>
      <c r="AH333">
        <f>OR(AND(IF(Metadata!H333="",FALSE,TRUE),OR(exact(Metadata!H333,"not applicable"),exact(Metadata!H333,"not collected"),exact(Metadata!H333,"not provided"),exact(Metadata!H333,"restricted access"))),AND(IF(Metadata!H333="",FALSE,ISNUMBER(VALUE(Metadata!H333))),Metadata!H333&gt;0))</f>
        <v>0</v>
      </c>
      <c r="AI333">
        <f>AND(IF(Metadata!I333="",FALSE,TRUE),exact(Metadata!I333,"human"))</f>
        <v>0</v>
      </c>
      <c r="AJ333">
        <f>AND(IF(Metadata!J333="",FALSE,ISNUMBER(VALUE(Metadata!J333))),Metadata!J333&gt;0)</f>
        <v>0</v>
      </c>
      <c r="AK333">
        <f>AND(IF(Metadata!K333="",FALSE,TRUE),exact(Metadata!K333,"cm"))</f>
        <v>0</v>
      </c>
      <c r="AL333">
        <f>AND(IF(Metadata!L333="",FALSE,TRUE),exact(Metadata!L333,"Homo sapiens"))</f>
        <v>0</v>
      </c>
      <c r="AM333">
        <f>AND(IF(Metadata!M333="",FALSE,TRUE),exact(Metadata!M333,"9606"))</f>
        <v>0</v>
      </c>
      <c r="AN333">
        <f>AND(IF(Metadata!N333="",FALSE,ISNUMBER(VALUE(Metadata!N333))),Metadata!N333&gt;0)</f>
        <v>0</v>
      </c>
      <c r="AO333">
        <f>AND(IF(Metadata!O333="",FALSE,TRUE),exact(Metadata!O333,"kg"))</f>
        <v>0</v>
      </c>
      <c r="AP333">
        <f>OR(AND(IF(Metadata!P333="",FALSE,TRUE),exact(Metadata!P333,"not provided")),IF(Metadata!P333="",FALSE,TRUE))</f>
        <v>0</v>
      </c>
      <c r="AQ333">
        <f>OR(AND(IF(Metadata!Q333="",FALSE,TRUE),exact(Metadata!Q333,"not provided")),IF(Metadata!Q333="",FALSE,TRUE))</f>
        <v>0</v>
      </c>
    </row>
    <row r="334" spans="1:43">
      <c r="A334" s="4">
        <f>IF(B334=" "," ",HYPERLINK(CONCATENATE("#metadata!",ADDRESS(INDEX($W$2:$W$1001,MATCH(ROWS($U$2:U334),$U$2:$U$1001,0),0),2)),INDEX($Z$2:$Z$1001,MATCH(ROWS($U$2:U334),$U$2:$U$1001,0),0)))</f>
        <v>0</v>
      </c>
      <c r="B334" s="5">
        <f>IF(OR(INDEX($V$2:$V$1001,MATCH(ROWS($U$2:U334),$U$2:$U$1001,0),1)&gt;=100000,INDEX($AB$1005:$AQ$1005,1,MATCH(COLUMNS($AB$1006:AB1006),$AB$1006:$AQ$1006,0))&gt;=100000), " ",IF(INDEX($AB$2:$AQ$1001,MATCH(ROWS($U$2:U334),$U$2:$U$1001,0),MATCH(COLUMNS($AB$1006:AB1006),$AB$1006:$AQ$1006,0)), HYPERLINK("#",""), HYPERLINK(CONCATENATE("#Metadata!", ADDRESS(INDEX($W$2:$W$1001,MATCH(ROWS($U$2:U334),$U$2:$U$1001,0),0), INDEX($AB$1004:$AQ$1004,1,MATCH(COLUMNS($AB$1006:AB1006),$AB$1006:$AQ$1006,0)))),"Fix")))</f>
        <v>0</v>
      </c>
      <c r="C334" s="5">
        <f>IF(OR(INDEX($V$2:$V$1001,MATCH(ROWS($U$2:U334),$U$2:$U$1001,0),1)&gt;=100000,INDEX($AB$1005:$AQ$1005,1,MATCH(COLUMNS($AB$1006:AC1006),$AB$1006:$AQ$1006,0))&gt;=100000), " ",IF(INDEX($AB$2:$AQ$1001,MATCH(ROWS($U$2:U334),$U$2:$U$1001,0),MATCH(COLUMNS($AB$1006:AC1006),$AB$1006:$AQ$1006,0)), HYPERLINK("#",""), HYPERLINK(CONCATENATE("#Metadata!", ADDRESS(INDEX($W$2:$W$1001,MATCH(ROWS($U$2:U334),$U$2:$U$1001,0),0), INDEX($AB$1004:$AQ$1004,1,MATCH(COLUMNS($AB$1006:AC1006),$AB$1006:$AQ$1006,0)))),"Fix")))</f>
        <v>0</v>
      </c>
      <c r="D334" s="5">
        <f>IF(OR(INDEX($V$2:$V$1001,MATCH(ROWS($U$2:U334),$U$2:$U$1001,0),1)&gt;=100000,INDEX($AB$1005:$AQ$1005,1,MATCH(COLUMNS($AB$1006:AD1006),$AB$1006:$AQ$1006,0))&gt;=100000), " ",IF(INDEX($AB$2:$AQ$1001,MATCH(ROWS($U$2:U334),$U$2:$U$1001,0),MATCH(COLUMNS($AB$1006:AD1006),$AB$1006:$AQ$1006,0)), HYPERLINK("#",""), HYPERLINK(CONCATENATE("#Metadata!", ADDRESS(INDEX($W$2:$W$1001,MATCH(ROWS($U$2:U334),$U$2:$U$1001,0),0), INDEX($AB$1004:$AQ$1004,1,MATCH(COLUMNS($AB$1006:AD1006),$AB$1006:$AQ$1006,0)))),"Fix")))</f>
        <v>0</v>
      </c>
      <c r="E334" s="5">
        <f>IF(OR(INDEX($V$2:$V$1001,MATCH(ROWS($U$2:U334),$U$2:$U$1001,0),1)&gt;=100000,INDEX($AB$1005:$AQ$1005,1,MATCH(COLUMNS($AB$1006:AE1006),$AB$1006:$AQ$1006,0))&gt;=100000), " ",IF(INDEX($AB$2:$AQ$1001,MATCH(ROWS($U$2:U334),$U$2:$U$1001,0),MATCH(COLUMNS($AB$1006:AE1006),$AB$1006:$AQ$1006,0)), HYPERLINK("#",""), HYPERLINK(CONCATENATE("#Metadata!", ADDRESS(INDEX($W$2:$W$1001,MATCH(ROWS($U$2:U334),$U$2:$U$1001,0),0), INDEX($AB$1004:$AQ$1004,1,MATCH(COLUMNS($AB$1006:AE1006),$AB$1006:$AQ$1006,0)))),"Fix")))</f>
        <v>0</v>
      </c>
      <c r="F334" s="5">
        <f>IF(OR(INDEX($V$2:$V$1001,MATCH(ROWS($U$2:U334),$U$2:$U$1001,0),1)&gt;=100000,INDEX($AB$1005:$AQ$1005,1,MATCH(COLUMNS($AB$1006:AF1006),$AB$1006:$AQ$1006,0))&gt;=100000), " ",IF(INDEX($AB$2:$AQ$1001,MATCH(ROWS($U$2:U334),$U$2:$U$1001,0),MATCH(COLUMNS($AB$1006:AF1006),$AB$1006:$AQ$1006,0)), HYPERLINK("#",""), HYPERLINK(CONCATENATE("#Metadata!", ADDRESS(INDEX($W$2:$W$1001,MATCH(ROWS($U$2:U334),$U$2:$U$1001,0),0), INDEX($AB$1004:$AQ$1004,1,MATCH(COLUMNS($AB$1006:AF1006),$AB$1006:$AQ$1006,0)))),"Fix")))</f>
        <v>0</v>
      </c>
      <c r="G334" s="5">
        <f>IF(OR(INDEX($V$2:$V$1001,MATCH(ROWS($U$2:U334),$U$2:$U$1001,0),1)&gt;=100000,INDEX($AB$1005:$AQ$1005,1,MATCH(COLUMNS($AB$1006:AG1006),$AB$1006:$AQ$1006,0))&gt;=100000), " ",IF(INDEX($AB$2:$AQ$1001,MATCH(ROWS($U$2:U334),$U$2:$U$1001,0),MATCH(COLUMNS($AB$1006:AG1006),$AB$1006:$AQ$1006,0)), HYPERLINK("#",""), HYPERLINK(CONCATENATE("#Metadata!", ADDRESS(INDEX($W$2:$W$1001,MATCH(ROWS($U$2:U334),$U$2:$U$1001,0),0), INDEX($AB$1004:$AQ$1004,1,MATCH(COLUMNS($AB$1006:AG1006),$AB$1006:$AQ$1006,0)))),"Fix")))</f>
        <v>0</v>
      </c>
      <c r="H334" s="5">
        <f>IF(OR(INDEX($V$2:$V$1001,MATCH(ROWS($U$2:U334),$U$2:$U$1001,0),1)&gt;=100000,INDEX($AB$1005:$AQ$1005,1,MATCH(COLUMNS($AB$1006:AH1006),$AB$1006:$AQ$1006,0))&gt;=100000), " ",IF(INDEX($AB$2:$AQ$1001,MATCH(ROWS($U$2:U334),$U$2:$U$1001,0),MATCH(COLUMNS($AB$1006:AH1006),$AB$1006:$AQ$1006,0)), HYPERLINK("#",""), HYPERLINK(CONCATENATE("#Metadata!", ADDRESS(INDEX($W$2:$W$1001,MATCH(ROWS($U$2:U334),$U$2:$U$1001,0),0), INDEX($AB$1004:$AQ$1004,1,MATCH(COLUMNS($AB$1006:AH1006),$AB$1006:$AQ$1006,0)))),"Fix")))</f>
        <v>0</v>
      </c>
      <c r="I334" s="5">
        <f>IF(OR(INDEX($V$2:$V$1001,MATCH(ROWS($U$2:U334),$U$2:$U$1001,0),1)&gt;=100000,INDEX($AB$1005:$AQ$1005,1,MATCH(COLUMNS($AB$1006:AI1006),$AB$1006:$AQ$1006,0))&gt;=100000), " ",IF(INDEX($AB$2:$AQ$1001,MATCH(ROWS($U$2:U334),$U$2:$U$1001,0),MATCH(COLUMNS($AB$1006:AI1006),$AB$1006:$AQ$1006,0)), HYPERLINK("#",""), HYPERLINK(CONCATENATE("#Metadata!", ADDRESS(INDEX($W$2:$W$1001,MATCH(ROWS($U$2:U334),$U$2:$U$1001,0),0), INDEX($AB$1004:$AQ$1004,1,MATCH(COLUMNS($AB$1006:AI1006),$AB$1006:$AQ$1006,0)))),"Fix")))</f>
        <v>0</v>
      </c>
      <c r="J334" s="5">
        <f>IF(OR(INDEX($V$2:$V$1001,MATCH(ROWS($U$2:U334),$U$2:$U$1001,0),1)&gt;=100000,INDEX($AB$1005:$AQ$1005,1,MATCH(COLUMNS($AB$1006:AJ1006),$AB$1006:$AQ$1006,0))&gt;=100000), " ",IF(INDEX($AB$2:$AQ$1001,MATCH(ROWS($U$2:U334),$U$2:$U$1001,0),MATCH(COLUMNS($AB$1006:AJ1006),$AB$1006:$AQ$1006,0)), HYPERLINK("#",""), HYPERLINK(CONCATENATE("#Metadata!", ADDRESS(INDEX($W$2:$W$1001,MATCH(ROWS($U$2:U334),$U$2:$U$1001,0),0), INDEX($AB$1004:$AQ$1004,1,MATCH(COLUMNS($AB$1006:AJ1006),$AB$1006:$AQ$1006,0)))),"Fix")))</f>
        <v>0</v>
      </c>
      <c r="K334" s="5">
        <f>IF(OR(INDEX($V$2:$V$1001,MATCH(ROWS($U$2:U334),$U$2:$U$1001,0),1)&gt;=100000,INDEX($AB$1005:$AQ$1005,1,MATCH(COLUMNS($AB$1006:AK1006),$AB$1006:$AQ$1006,0))&gt;=100000), " ",IF(INDEX($AB$2:$AQ$1001,MATCH(ROWS($U$2:U334),$U$2:$U$1001,0),MATCH(COLUMNS($AB$1006:AK1006),$AB$1006:$AQ$1006,0)), HYPERLINK("#",""), HYPERLINK(CONCATENATE("#Metadata!", ADDRESS(INDEX($W$2:$W$1001,MATCH(ROWS($U$2:U334),$U$2:$U$1001,0),0), INDEX($AB$1004:$AQ$1004,1,MATCH(COLUMNS($AB$1006:AK1006),$AB$1006:$AQ$1006,0)))),"Fix")))</f>
        <v>0</v>
      </c>
      <c r="L334" s="5">
        <f>IF(OR(INDEX($V$2:$V$1001,MATCH(ROWS($U$2:U334),$U$2:$U$1001,0),1)&gt;=100000,INDEX($AB$1005:$AQ$1005,1,MATCH(COLUMNS($AB$1006:AL1006),$AB$1006:$AQ$1006,0))&gt;=100000), " ",IF(INDEX($AB$2:$AQ$1001,MATCH(ROWS($U$2:U334),$U$2:$U$1001,0),MATCH(COLUMNS($AB$1006:AL1006),$AB$1006:$AQ$1006,0)), HYPERLINK("#",""), HYPERLINK(CONCATENATE("#Metadata!", ADDRESS(INDEX($W$2:$W$1001,MATCH(ROWS($U$2:U334),$U$2:$U$1001,0),0), INDEX($AB$1004:$AQ$1004,1,MATCH(COLUMNS($AB$1006:AL1006),$AB$1006:$AQ$1006,0)))),"Fix")))</f>
        <v>0</v>
      </c>
      <c r="M334" s="5">
        <f>IF(OR(INDEX($V$2:$V$1001,MATCH(ROWS($U$2:U334),$U$2:$U$1001,0),1)&gt;=100000,INDEX($AB$1005:$AQ$1005,1,MATCH(COLUMNS($AB$1006:AM1006),$AB$1006:$AQ$1006,0))&gt;=100000), " ",IF(INDEX($AB$2:$AQ$1001,MATCH(ROWS($U$2:U334),$U$2:$U$1001,0),MATCH(COLUMNS($AB$1006:AM1006),$AB$1006:$AQ$1006,0)), HYPERLINK("#",""), HYPERLINK(CONCATENATE("#Metadata!", ADDRESS(INDEX($W$2:$W$1001,MATCH(ROWS($U$2:U334),$U$2:$U$1001,0),0), INDEX($AB$1004:$AQ$1004,1,MATCH(COLUMNS($AB$1006:AM1006),$AB$1006:$AQ$1006,0)))),"Fix")))</f>
        <v>0</v>
      </c>
      <c r="N334" s="5">
        <f>IF(OR(INDEX($V$2:$V$1001,MATCH(ROWS($U$2:U334),$U$2:$U$1001,0),1)&gt;=100000,INDEX($AB$1005:$AQ$1005,1,MATCH(COLUMNS($AB$1006:AN1006),$AB$1006:$AQ$1006,0))&gt;=100000), " ",IF(INDEX($AB$2:$AQ$1001,MATCH(ROWS($U$2:U334),$U$2:$U$1001,0),MATCH(COLUMNS($AB$1006:AN1006),$AB$1006:$AQ$1006,0)), HYPERLINK("#",""), HYPERLINK(CONCATENATE("#Metadata!", ADDRESS(INDEX($W$2:$W$1001,MATCH(ROWS($U$2:U334),$U$2:$U$1001,0),0), INDEX($AB$1004:$AQ$1004,1,MATCH(COLUMNS($AB$1006:AN1006),$AB$1006:$AQ$1006,0)))),"Fix")))</f>
        <v>0</v>
      </c>
      <c r="O334" s="5">
        <f>IF(OR(INDEX($V$2:$V$1001,MATCH(ROWS($U$2:U334),$U$2:$U$1001,0),1)&gt;=100000,INDEX($AB$1005:$AQ$1005,1,MATCH(COLUMNS($AB$1006:AO1006),$AB$1006:$AQ$1006,0))&gt;=100000), " ",IF(INDEX($AB$2:$AQ$1001,MATCH(ROWS($U$2:U334),$U$2:$U$1001,0),MATCH(COLUMNS($AB$1006:AO1006),$AB$1006:$AQ$1006,0)), HYPERLINK("#",""), HYPERLINK(CONCATENATE("#Metadata!", ADDRESS(INDEX($W$2:$W$1001,MATCH(ROWS($U$2:U334),$U$2:$U$1001,0),0), INDEX($AB$1004:$AQ$1004,1,MATCH(COLUMNS($AB$1006:AO1006),$AB$1006:$AQ$1006,0)))),"Fix")))</f>
        <v>0</v>
      </c>
      <c r="P334" s="5">
        <f>IF(OR(INDEX($V$2:$V$1001,MATCH(ROWS($U$2:U334),$U$2:$U$1001,0),1)&gt;=100000,INDEX($AB$1005:$AQ$1005,1,MATCH(COLUMNS($AB$1006:AP1006),$AB$1006:$AQ$1006,0))&gt;=100000), " ",IF(INDEX($AB$2:$AQ$1001,MATCH(ROWS($U$2:U334),$U$2:$U$1001,0),MATCH(COLUMNS($AB$1006:AP1006),$AB$1006:$AQ$1006,0)), HYPERLINK("#",""), HYPERLINK(CONCATENATE("#Metadata!", ADDRESS(INDEX($W$2:$W$1001,MATCH(ROWS($U$2:U334),$U$2:$U$1001,0),0), INDEX($AB$1004:$AQ$1004,1,MATCH(COLUMNS($AB$1006:AP1006),$AB$1006:$AQ$1006,0)))),"Fix")))</f>
        <v>0</v>
      </c>
      <c r="Q334" s="5">
        <f>IF(OR(INDEX($V$2:$V$1001,MATCH(ROWS($U$2:U334),$U$2:$U$1001,0),1)&gt;=100000,INDEX($AB$1005:$AQ$1005,1,MATCH(COLUMNS($AB$1006:AQ1006),$AB$1006:$AQ$1006,0))&gt;=100000), " ",IF(INDEX($AB$2:$AQ$1001,MATCH(ROWS($U$2:U334),$U$2:$U$1001,0),MATCH(COLUMNS($AB$1006:AQ1006),$AB$1006:$AQ$1006,0)), HYPERLINK("#",""), HYPERLINK(CONCATENATE("#Metadata!", ADDRESS(INDEX($W$2:$W$1001,MATCH(ROWS($U$2:U334),$U$2:$U$1001,0),0), INDEX($AB$1004:$AQ$1004,1,MATCH(COLUMNS($AB$1006:AQ1006),$AB$1006:$AQ$1006,0)))),"Fix")))</f>
        <v>0</v>
      </c>
      <c r="U334">
        <v>0</v>
      </c>
      <c r="V334">
        <v>0</v>
      </c>
      <c r="W334">
        <v>0</v>
      </c>
      <c r="X334">
        <f>IF(Y334,TRUE,AND(AB334:AQ334))</f>
        <v>0</v>
      </c>
      <c r="Y334">
        <f>COUNTBLANK(Metadata!B334:Q334)=COLUMNS(Metadata!B334:Q334)</f>
        <v>0</v>
      </c>
      <c r="Z334">
        <v>0</v>
      </c>
      <c r="AB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AC334">
        <f>AND(IF(Metadata!C334="",FALSE,TRUE),exact(Metadata!C334,"urban biome"))</f>
        <v>0</v>
      </c>
      <c r="AD334">
        <f>AND(IF(Metadata!D334="",FALSE,TRUE),exact(Metadata!D334,"human-associated habitat"))</f>
        <v>0</v>
      </c>
      <c r="AE334">
        <f>AND(IF(Metadata!E334="",FALSE,TRUE),OR(exact(Metadata!E334,"human-associated"),exact(Metadata!E334,"human-skin"),exact(Metadata!E334,"human-oral"),exact(Metadata!E334,"human-gut"),exact(Metadata!E334,"human-vaginal")))</f>
        <v>0</v>
      </c>
      <c r="AF334">
        <f>AND(IF(Metadata!F334="",FALSE,ISNUMBER(VALUE(Metadata!F334))),Metadata!F334&gt;0)</f>
        <v>0</v>
      </c>
      <c r="AG334">
        <f>AND(IF(Metadata!G334="",FALSE,TRUE),exact(Metadata!G334,"years"))</f>
        <v>0</v>
      </c>
      <c r="AH334">
        <f>OR(AND(IF(Metadata!H334="",FALSE,TRUE),OR(exact(Metadata!H334,"not applicable"),exact(Metadata!H334,"not collected"),exact(Metadata!H334,"not provided"),exact(Metadata!H334,"restricted access"))),AND(IF(Metadata!H334="",FALSE,ISNUMBER(VALUE(Metadata!H334))),Metadata!H334&gt;0))</f>
        <v>0</v>
      </c>
      <c r="AI334">
        <f>AND(IF(Metadata!I334="",FALSE,TRUE),exact(Metadata!I334,"human"))</f>
        <v>0</v>
      </c>
      <c r="AJ334">
        <f>AND(IF(Metadata!J334="",FALSE,ISNUMBER(VALUE(Metadata!J334))),Metadata!J334&gt;0)</f>
        <v>0</v>
      </c>
      <c r="AK334">
        <f>AND(IF(Metadata!K334="",FALSE,TRUE),exact(Metadata!K334,"cm"))</f>
        <v>0</v>
      </c>
      <c r="AL334">
        <f>AND(IF(Metadata!L334="",FALSE,TRUE),exact(Metadata!L334,"Homo sapiens"))</f>
        <v>0</v>
      </c>
      <c r="AM334">
        <f>AND(IF(Metadata!M334="",FALSE,TRUE),exact(Metadata!M334,"9606"))</f>
        <v>0</v>
      </c>
      <c r="AN334">
        <f>AND(IF(Metadata!N334="",FALSE,ISNUMBER(VALUE(Metadata!N334))),Metadata!N334&gt;0)</f>
        <v>0</v>
      </c>
      <c r="AO334">
        <f>AND(IF(Metadata!O334="",FALSE,TRUE),exact(Metadata!O334,"kg"))</f>
        <v>0</v>
      </c>
      <c r="AP334">
        <f>OR(AND(IF(Metadata!P334="",FALSE,TRUE),exact(Metadata!P334,"not provided")),IF(Metadata!P334="",FALSE,TRUE))</f>
        <v>0</v>
      </c>
      <c r="AQ334">
        <f>OR(AND(IF(Metadata!Q334="",FALSE,TRUE),exact(Metadata!Q334,"not provided")),IF(Metadata!Q334="",FALSE,TRUE))</f>
        <v>0</v>
      </c>
    </row>
    <row r="335" spans="1:43">
      <c r="A335" s="4">
        <f>IF(B335=" "," ",HYPERLINK(CONCATENATE("#metadata!",ADDRESS(INDEX($W$2:$W$1001,MATCH(ROWS($U$2:U335),$U$2:$U$1001,0),0),2)),INDEX($Z$2:$Z$1001,MATCH(ROWS($U$2:U335),$U$2:$U$1001,0),0)))</f>
        <v>0</v>
      </c>
      <c r="B335" s="5">
        <f>IF(OR(INDEX($V$2:$V$1001,MATCH(ROWS($U$2:U335),$U$2:$U$1001,0),1)&gt;=100000,INDEX($AB$1005:$AQ$1005,1,MATCH(COLUMNS($AB$1006:AB1006),$AB$1006:$AQ$1006,0))&gt;=100000), " ",IF(INDEX($AB$2:$AQ$1001,MATCH(ROWS($U$2:U335),$U$2:$U$1001,0),MATCH(COLUMNS($AB$1006:AB1006),$AB$1006:$AQ$1006,0)), HYPERLINK("#",""), HYPERLINK(CONCATENATE("#Metadata!", ADDRESS(INDEX($W$2:$W$1001,MATCH(ROWS($U$2:U335),$U$2:$U$1001,0),0), INDEX($AB$1004:$AQ$1004,1,MATCH(COLUMNS($AB$1006:AB1006),$AB$1006:$AQ$1006,0)))),"Fix")))</f>
        <v>0</v>
      </c>
      <c r="C335" s="5">
        <f>IF(OR(INDEX($V$2:$V$1001,MATCH(ROWS($U$2:U335),$U$2:$U$1001,0),1)&gt;=100000,INDEX($AB$1005:$AQ$1005,1,MATCH(COLUMNS($AB$1006:AC1006),$AB$1006:$AQ$1006,0))&gt;=100000), " ",IF(INDEX($AB$2:$AQ$1001,MATCH(ROWS($U$2:U335),$U$2:$U$1001,0),MATCH(COLUMNS($AB$1006:AC1006),$AB$1006:$AQ$1006,0)), HYPERLINK("#",""), HYPERLINK(CONCATENATE("#Metadata!", ADDRESS(INDEX($W$2:$W$1001,MATCH(ROWS($U$2:U335),$U$2:$U$1001,0),0), INDEX($AB$1004:$AQ$1004,1,MATCH(COLUMNS($AB$1006:AC1006),$AB$1006:$AQ$1006,0)))),"Fix")))</f>
        <v>0</v>
      </c>
      <c r="D335" s="5">
        <f>IF(OR(INDEX($V$2:$V$1001,MATCH(ROWS($U$2:U335),$U$2:$U$1001,0),1)&gt;=100000,INDEX($AB$1005:$AQ$1005,1,MATCH(COLUMNS($AB$1006:AD1006),$AB$1006:$AQ$1006,0))&gt;=100000), " ",IF(INDEX($AB$2:$AQ$1001,MATCH(ROWS($U$2:U335),$U$2:$U$1001,0),MATCH(COLUMNS($AB$1006:AD1006),$AB$1006:$AQ$1006,0)), HYPERLINK("#",""), HYPERLINK(CONCATENATE("#Metadata!", ADDRESS(INDEX($W$2:$W$1001,MATCH(ROWS($U$2:U335),$U$2:$U$1001,0),0), INDEX($AB$1004:$AQ$1004,1,MATCH(COLUMNS($AB$1006:AD1006),$AB$1006:$AQ$1006,0)))),"Fix")))</f>
        <v>0</v>
      </c>
      <c r="E335" s="5">
        <f>IF(OR(INDEX($V$2:$V$1001,MATCH(ROWS($U$2:U335),$U$2:$U$1001,0),1)&gt;=100000,INDEX($AB$1005:$AQ$1005,1,MATCH(COLUMNS($AB$1006:AE1006),$AB$1006:$AQ$1006,0))&gt;=100000), " ",IF(INDEX($AB$2:$AQ$1001,MATCH(ROWS($U$2:U335),$U$2:$U$1001,0),MATCH(COLUMNS($AB$1006:AE1006),$AB$1006:$AQ$1006,0)), HYPERLINK("#",""), HYPERLINK(CONCATENATE("#Metadata!", ADDRESS(INDEX($W$2:$W$1001,MATCH(ROWS($U$2:U335),$U$2:$U$1001,0),0), INDEX($AB$1004:$AQ$1004,1,MATCH(COLUMNS($AB$1006:AE1006),$AB$1006:$AQ$1006,0)))),"Fix")))</f>
        <v>0</v>
      </c>
      <c r="F335" s="5">
        <f>IF(OR(INDEX($V$2:$V$1001,MATCH(ROWS($U$2:U335),$U$2:$U$1001,0),1)&gt;=100000,INDEX($AB$1005:$AQ$1005,1,MATCH(COLUMNS($AB$1006:AF1006),$AB$1006:$AQ$1006,0))&gt;=100000), " ",IF(INDEX($AB$2:$AQ$1001,MATCH(ROWS($U$2:U335),$U$2:$U$1001,0),MATCH(COLUMNS($AB$1006:AF1006),$AB$1006:$AQ$1006,0)), HYPERLINK("#",""), HYPERLINK(CONCATENATE("#Metadata!", ADDRESS(INDEX($W$2:$W$1001,MATCH(ROWS($U$2:U335),$U$2:$U$1001,0),0), INDEX($AB$1004:$AQ$1004,1,MATCH(COLUMNS($AB$1006:AF1006),$AB$1006:$AQ$1006,0)))),"Fix")))</f>
        <v>0</v>
      </c>
      <c r="G335" s="5">
        <f>IF(OR(INDEX($V$2:$V$1001,MATCH(ROWS($U$2:U335),$U$2:$U$1001,0),1)&gt;=100000,INDEX($AB$1005:$AQ$1005,1,MATCH(COLUMNS($AB$1006:AG1006),$AB$1006:$AQ$1006,0))&gt;=100000), " ",IF(INDEX($AB$2:$AQ$1001,MATCH(ROWS($U$2:U335),$U$2:$U$1001,0),MATCH(COLUMNS($AB$1006:AG1006),$AB$1006:$AQ$1006,0)), HYPERLINK("#",""), HYPERLINK(CONCATENATE("#Metadata!", ADDRESS(INDEX($W$2:$W$1001,MATCH(ROWS($U$2:U335),$U$2:$U$1001,0),0), INDEX($AB$1004:$AQ$1004,1,MATCH(COLUMNS($AB$1006:AG1006),$AB$1006:$AQ$1006,0)))),"Fix")))</f>
        <v>0</v>
      </c>
      <c r="H335" s="5">
        <f>IF(OR(INDEX($V$2:$V$1001,MATCH(ROWS($U$2:U335),$U$2:$U$1001,0),1)&gt;=100000,INDEX($AB$1005:$AQ$1005,1,MATCH(COLUMNS($AB$1006:AH1006),$AB$1006:$AQ$1006,0))&gt;=100000), " ",IF(INDEX($AB$2:$AQ$1001,MATCH(ROWS($U$2:U335),$U$2:$U$1001,0),MATCH(COLUMNS($AB$1006:AH1006),$AB$1006:$AQ$1006,0)), HYPERLINK("#",""), HYPERLINK(CONCATENATE("#Metadata!", ADDRESS(INDEX($W$2:$W$1001,MATCH(ROWS($U$2:U335),$U$2:$U$1001,0),0), INDEX($AB$1004:$AQ$1004,1,MATCH(COLUMNS($AB$1006:AH1006),$AB$1006:$AQ$1006,0)))),"Fix")))</f>
        <v>0</v>
      </c>
      <c r="I335" s="5">
        <f>IF(OR(INDEX($V$2:$V$1001,MATCH(ROWS($U$2:U335),$U$2:$U$1001,0),1)&gt;=100000,INDEX($AB$1005:$AQ$1005,1,MATCH(COLUMNS($AB$1006:AI1006),$AB$1006:$AQ$1006,0))&gt;=100000), " ",IF(INDEX($AB$2:$AQ$1001,MATCH(ROWS($U$2:U335),$U$2:$U$1001,0),MATCH(COLUMNS($AB$1006:AI1006),$AB$1006:$AQ$1006,0)), HYPERLINK("#",""), HYPERLINK(CONCATENATE("#Metadata!", ADDRESS(INDEX($W$2:$W$1001,MATCH(ROWS($U$2:U335),$U$2:$U$1001,0),0), INDEX($AB$1004:$AQ$1004,1,MATCH(COLUMNS($AB$1006:AI1006),$AB$1006:$AQ$1006,0)))),"Fix")))</f>
        <v>0</v>
      </c>
      <c r="J335" s="5">
        <f>IF(OR(INDEX($V$2:$V$1001,MATCH(ROWS($U$2:U335),$U$2:$U$1001,0),1)&gt;=100000,INDEX($AB$1005:$AQ$1005,1,MATCH(COLUMNS($AB$1006:AJ1006),$AB$1006:$AQ$1006,0))&gt;=100000), " ",IF(INDEX($AB$2:$AQ$1001,MATCH(ROWS($U$2:U335),$U$2:$U$1001,0),MATCH(COLUMNS($AB$1006:AJ1006),$AB$1006:$AQ$1006,0)), HYPERLINK("#",""), HYPERLINK(CONCATENATE("#Metadata!", ADDRESS(INDEX($W$2:$W$1001,MATCH(ROWS($U$2:U335),$U$2:$U$1001,0),0), INDEX($AB$1004:$AQ$1004,1,MATCH(COLUMNS($AB$1006:AJ1006),$AB$1006:$AQ$1006,0)))),"Fix")))</f>
        <v>0</v>
      </c>
      <c r="K335" s="5">
        <f>IF(OR(INDEX($V$2:$V$1001,MATCH(ROWS($U$2:U335),$U$2:$U$1001,0),1)&gt;=100000,INDEX($AB$1005:$AQ$1005,1,MATCH(COLUMNS($AB$1006:AK1006),$AB$1006:$AQ$1006,0))&gt;=100000), " ",IF(INDEX($AB$2:$AQ$1001,MATCH(ROWS($U$2:U335),$U$2:$U$1001,0),MATCH(COLUMNS($AB$1006:AK1006),$AB$1006:$AQ$1006,0)), HYPERLINK("#",""), HYPERLINK(CONCATENATE("#Metadata!", ADDRESS(INDEX($W$2:$W$1001,MATCH(ROWS($U$2:U335),$U$2:$U$1001,0),0), INDEX($AB$1004:$AQ$1004,1,MATCH(COLUMNS($AB$1006:AK1006),$AB$1006:$AQ$1006,0)))),"Fix")))</f>
        <v>0</v>
      </c>
      <c r="L335" s="5">
        <f>IF(OR(INDEX($V$2:$V$1001,MATCH(ROWS($U$2:U335),$U$2:$U$1001,0),1)&gt;=100000,INDEX($AB$1005:$AQ$1005,1,MATCH(COLUMNS($AB$1006:AL1006),$AB$1006:$AQ$1006,0))&gt;=100000), " ",IF(INDEX($AB$2:$AQ$1001,MATCH(ROWS($U$2:U335),$U$2:$U$1001,0),MATCH(COLUMNS($AB$1006:AL1006),$AB$1006:$AQ$1006,0)), HYPERLINK("#",""), HYPERLINK(CONCATENATE("#Metadata!", ADDRESS(INDEX($W$2:$W$1001,MATCH(ROWS($U$2:U335),$U$2:$U$1001,0),0), INDEX($AB$1004:$AQ$1004,1,MATCH(COLUMNS($AB$1006:AL1006),$AB$1006:$AQ$1006,0)))),"Fix")))</f>
        <v>0</v>
      </c>
      <c r="M335" s="5">
        <f>IF(OR(INDEX($V$2:$V$1001,MATCH(ROWS($U$2:U335),$U$2:$U$1001,0),1)&gt;=100000,INDEX($AB$1005:$AQ$1005,1,MATCH(COLUMNS($AB$1006:AM1006),$AB$1006:$AQ$1006,0))&gt;=100000), " ",IF(INDEX($AB$2:$AQ$1001,MATCH(ROWS($U$2:U335),$U$2:$U$1001,0),MATCH(COLUMNS($AB$1006:AM1006),$AB$1006:$AQ$1006,0)), HYPERLINK("#",""), HYPERLINK(CONCATENATE("#Metadata!", ADDRESS(INDEX($W$2:$W$1001,MATCH(ROWS($U$2:U335),$U$2:$U$1001,0),0), INDEX($AB$1004:$AQ$1004,1,MATCH(COLUMNS($AB$1006:AM1006),$AB$1006:$AQ$1006,0)))),"Fix")))</f>
        <v>0</v>
      </c>
      <c r="N335" s="5">
        <f>IF(OR(INDEX($V$2:$V$1001,MATCH(ROWS($U$2:U335),$U$2:$U$1001,0),1)&gt;=100000,INDEX($AB$1005:$AQ$1005,1,MATCH(COLUMNS($AB$1006:AN1006),$AB$1006:$AQ$1006,0))&gt;=100000), " ",IF(INDEX($AB$2:$AQ$1001,MATCH(ROWS($U$2:U335),$U$2:$U$1001,0),MATCH(COLUMNS($AB$1006:AN1006),$AB$1006:$AQ$1006,0)), HYPERLINK("#",""), HYPERLINK(CONCATENATE("#Metadata!", ADDRESS(INDEX($W$2:$W$1001,MATCH(ROWS($U$2:U335),$U$2:$U$1001,0),0), INDEX($AB$1004:$AQ$1004,1,MATCH(COLUMNS($AB$1006:AN1006),$AB$1006:$AQ$1006,0)))),"Fix")))</f>
        <v>0</v>
      </c>
      <c r="O335" s="5">
        <f>IF(OR(INDEX($V$2:$V$1001,MATCH(ROWS($U$2:U335),$U$2:$U$1001,0),1)&gt;=100000,INDEX($AB$1005:$AQ$1005,1,MATCH(COLUMNS($AB$1006:AO1006),$AB$1006:$AQ$1006,0))&gt;=100000), " ",IF(INDEX($AB$2:$AQ$1001,MATCH(ROWS($U$2:U335),$U$2:$U$1001,0),MATCH(COLUMNS($AB$1006:AO1006),$AB$1006:$AQ$1006,0)), HYPERLINK("#",""), HYPERLINK(CONCATENATE("#Metadata!", ADDRESS(INDEX($W$2:$W$1001,MATCH(ROWS($U$2:U335),$U$2:$U$1001,0),0), INDEX($AB$1004:$AQ$1004,1,MATCH(COLUMNS($AB$1006:AO1006),$AB$1006:$AQ$1006,0)))),"Fix")))</f>
        <v>0</v>
      </c>
      <c r="P335" s="5">
        <f>IF(OR(INDEX($V$2:$V$1001,MATCH(ROWS($U$2:U335),$U$2:$U$1001,0),1)&gt;=100000,INDEX($AB$1005:$AQ$1005,1,MATCH(COLUMNS($AB$1006:AP1006),$AB$1006:$AQ$1006,0))&gt;=100000), " ",IF(INDEX($AB$2:$AQ$1001,MATCH(ROWS($U$2:U335),$U$2:$U$1001,0),MATCH(COLUMNS($AB$1006:AP1006),$AB$1006:$AQ$1006,0)), HYPERLINK("#",""), HYPERLINK(CONCATENATE("#Metadata!", ADDRESS(INDEX($W$2:$W$1001,MATCH(ROWS($U$2:U335),$U$2:$U$1001,0),0), INDEX($AB$1004:$AQ$1004,1,MATCH(COLUMNS($AB$1006:AP1006),$AB$1006:$AQ$1006,0)))),"Fix")))</f>
        <v>0</v>
      </c>
      <c r="Q335" s="5">
        <f>IF(OR(INDEX($V$2:$V$1001,MATCH(ROWS($U$2:U335),$U$2:$U$1001,0),1)&gt;=100000,INDEX($AB$1005:$AQ$1005,1,MATCH(COLUMNS($AB$1006:AQ1006),$AB$1006:$AQ$1006,0))&gt;=100000), " ",IF(INDEX($AB$2:$AQ$1001,MATCH(ROWS($U$2:U335),$U$2:$U$1001,0),MATCH(COLUMNS($AB$1006:AQ1006),$AB$1006:$AQ$1006,0)), HYPERLINK("#",""), HYPERLINK(CONCATENATE("#Metadata!", ADDRESS(INDEX($W$2:$W$1001,MATCH(ROWS($U$2:U335),$U$2:$U$1001,0),0), INDEX($AB$1004:$AQ$1004,1,MATCH(COLUMNS($AB$1006:AQ1006),$AB$1006:$AQ$1006,0)))),"Fix")))</f>
        <v>0</v>
      </c>
      <c r="U335">
        <v>0</v>
      </c>
      <c r="V335">
        <v>0</v>
      </c>
      <c r="W335">
        <v>0</v>
      </c>
      <c r="X335">
        <f>IF(Y335,TRUE,AND(AB335:AQ335))</f>
        <v>0</v>
      </c>
      <c r="Y335">
        <f>COUNTBLANK(Metadata!B335:Q335)=COLUMNS(Metadata!B335:Q335)</f>
        <v>0</v>
      </c>
      <c r="Z335">
        <v>0</v>
      </c>
      <c r="AB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AC335">
        <f>AND(IF(Metadata!C335="",FALSE,TRUE),exact(Metadata!C335,"urban biome"))</f>
        <v>0</v>
      </c>
      <c r="AD335">
        <f>AND(IF(Metadata!D335="",FALSE,TRUE),exact(Metadata!D335,"human-associated habitat"))</f>
        <v>0</v>
      </c>
      <c r="AE335">
        <f>AND(IF(Metadata!E335="",FALSE,TRUE),OR(exact(Metadata!E335,"human-associated"),exact(Metadata!E335,"human-skin"),exact(Metadata!E335,"human-oral"),exact(Metadata!E335,"human-gut"),exact(Metadata!E335,"human-vaginal")))</f>
        <v>0</v>
      </c>
      <c r="AF335">
        <f>AND(IF(Metadata!F335="",FALSE,ISNUMBER(VALUE(Metadata!F335))),Metadata!F335&gt;0)</f>
        <v>0</v>
      </c>
      <c r="AG335">
        <f>AND(IF(Metadata!G335="",FALSE,TRUE),exact(Metadata!G335,"years"))</f>
        <v>0</v>
      </c>
      <c r="AH335">
        <f>OR(AND(IF(Metadata!H335="",FALSE,TRUE),OR(exact(Metadata!H335,"not applicable"),exact(Metadata!H335,"not collected"),exact(Metadata!H335,"not provided"),exact(Metadata!H335,"restricted access"))),AND(IF(Metadata!H335="",FALSE,ISNUMBER(VALUE(Metadata!H335))),Metadata!H335&gt;0))</f>
        <v>0</v>
      </c>
      <c r="AI335">
        <f>AND(IF(Metadata!I335="",FALSE,TRUE),exact(Metadata!I335,"human"))</f>
        <v>0</v>
      </c>
      <c r="AJ335">
        <f>AND(IF(Metadata!J335="",FALSE,ISNUMBER(VALUE(Metadata!J335))),Metadata!J335&gt;0)</f>
        <v>0</v>
      </c>
      <c r="AK335">
        <f>AND(IF(Metadata!K335="",FALSE,TRUE),exact(Metadata!K335,"cm"))</f>
        <v>0</v>
      </c>
      <c r="AL335">
        <f>AND(IF(Metadata!L335="",FALSE,TRUE),exact(Metadata!L335,"Homo sapiens"))</f>
        <v>0</v>
      </c>
      <c r="AM335">
        <f>AND(IF(Metadata!M335="",FALSE,TRUE),exact(Metadata!M335,"9606"))</f>
        <v>0</v>
      </c>
      <c r="AN335">
        <f>AND(IF(Metadata!N335="",FALSE,ISNUMBER(VALUE(Metadata!N335))),Metadata!N335&gt;0)</f>
        <v>0</v>
      </c>
      <c r="AO335">
        <f>AND(IF(Metadata!O335="",FALSE,TRUE),exact(Metadata!O335,"kg"))</f>
        <v>0</v>
      </c>
      <c r="AP335">
        <f>OR(AND(IF(Metadata!P335="",FALSE,TRUE),exact(Metadata!P335,"not provided")),IF(Metadata!P335="",FALSE,TRUE))</f>
        <v>0</v>
      </c>
      <c r="AQ335">
        <f>OR(AND(IF(Metadata!Q335="",FALSE,TRUE),exact(Metadata!Q335,"not provided")),IF(Metadata!Q335="",FALSE,TRUE))</f>
        <v>0</v>
      </c>
    </row>
    <row r="336" spans="1:43">
      <c r="A336" s="4">
        <f>IF(B336=" "," ",HYPERLINK(CONCATENATE("#metadata!",ADDRESS(INDEX($W$2:$W$1001,MATCH(ROWS($U$2:U336),$U$2:$U$1001,0),0),2)),INDEX($Z$2:$Z$1001,MATCH(ROWS($U$2:U336),$U$2:$U$1001,0),0)))</f>
        <v>0</v>
      </c>
      <c r="B336" s="5">
        <f>IF(OR(INDEX($V$2:$V$1001,MATCH(ROWS($U$2:U336),$U$2:$U$1001,0),1)&gt;=100000,INDEX($AB$1005:$AQ$1005,1,MATCH(COLUMNS($AB$1006:AB1006),$AB$1006:$AQ$1006,0))&gt;=100000), " ",IF(INDEX($AB$2:$AQ$1001,MATCH(ROWS($U$2:U336),$U$2:$U$1001,0),MATCH(COLUMNS($AB$1006:AB1006),$AB$1006:$AQ$1006,0)), HYPERLINK("#",""), HYPERLINK(CONCATENATE("#Metadata!", ADDRESS(INDEX($W$2:$W$1001,MATCH(ROWS($U$2:U336),$U$2:$U$1001,0),0), INDEX($AB$1004:$AQ$1004,1,MATCH(COLUMNS($AB$1006:AB1006),$AB$1006:$AQ$1006,0)))),"Fix")))</f>
        <v>0</v>
      </c>
      <c r="C336" s="5">
        <f>IF(OR(INDEX($V$2:$V$1001,MATCH(ROWS($U$2:U336),$U$2:$U$1001,0),1)&gt;=100000,INDEX($AB$1005:$AQ$1005,1,MATCH(COLUMNS($AB$1006:AC1006),$AB$1006:$AQ$1006,0))&gt;=100000), " ",IF(INDEX($AB$2:$AQ$1001,MATCH(ROWS($U$2:U336),$U$2:$U$1001,0),MATCH(COLUMNS($AB$1006:AC1006),$AB$1006:$AQ$1006,0)), HYPERLINK("#",""), HYPERLINK(CONCATENATE("#Metadata!", ADDRESS(INDEX($W$2:$W$1001,MATCH(ROWS($U$2:U336),$U$2:$U$1001,0),0), INDEX($AB$1004:$AQ$1004,1,MATCH(COLUMNS($AB$1006:AC1006),$AB$1006:$AQ$1006,0)))),"Fix")))</f>
        <v>0</v>
      </c>
      <c r="D336" s="5">
        <f>IF(OR(INDEX($V$2:$V$1001,MATCH(ROWS($U$2:U336),$U$2:$U$1001,0),1)&gt;=100000,INDEX($AB$1005:$AQ$1005,1,MATCH(COLUMNS($AB$1006:AD1006),$AB$1006:$AQ$1006,0))&gt;=100000), " ",IF(INDEX($AB$2:$AQ$1001,MATCH(ROWS($U$2:U336),$U$2:$U$1001,0),MATCH(COLUMNS($AB$1006:AD1006),$AB$1006:$AQ$1006,0)), HYPERLINK("#",""), HYPERLINK(CONCATENATE("#Metadata!", ADDRESS(INDEX($W$2:$W$1001,MATCH(ROWS($U$2:U336),$U$2:$U$1001,0),0), INDEX($AB$1004:$AQ$1004,1,MATCH(COLUMNS($AB$1006:AD1006),$AB$1006:$AQ$1006,0)))),"Fix")))</f>
        <v>0</v>
      </c>
      <c r="E336" s="5">
        <f>IF(OR(INDEX($V$2:$V$1001,MATCH(ROWS($U$2:U336),$U$2:$U$1001,0),1)&gt;=100000,INDEX($AB$1005:$AQ$1005,1,MATCH(COLUMNS($AB$1006:AE1006),$AB$1006:$AQ$1006,0))&gt;=100000), " ",IF(INDEX($AB$2:$AQ$1001,MATCH(ROWS($U$2:U336),$U$2:$U$1001,0),MATCH(COLUMNS($AB$1006:AE1006),$AB$1006:$AQ$1006,0)), HYPERLINK("#",""), HYPERLINK(CONCATENATE("#Metadata!", ADDRESS(INDEX($W$2:$W$1001,MATCH(ROWS($U$2:U336),$U$2:$U$1001,0),0), INDEX($AB$1004:$AQ$1004,1,MATCH(COLUMNS($AB$1006:AE1006),$AB$1006:$AQ$1006,0)))),"Fix")))</f>
        <v>0</v>
      </c>
      <c r="F336" s="5">
        <f>IF(OR(INDEX($V$2:$V$1001,MATCH(ROWS($U$2:U336),$U$2:$U$1001,0),1)&gt;=100000,INDEX($AB$1005:$AQ$1005,1,MATCH(COLUMNS($AB$1006:AF1006),$AB$1006:$AQ$1006,0))&gt;=100000), " ",IF(INDEX($AB$2:$AQ$1001,MATCH(ROWS($U$2:U336),$U$2:$U$1001,0),MATCH(COLUMNS($AB$1006:AF1006),$AB$1006:$AQ$1006,0)), HYPERLINK("#",""), HYPERLINK(CONCATENATE("#Metadata!", ADDRESS(INDEX($W$2:$W$1001,MATCH(ROWS($U$2:U336),$U$2:$U$1001,0),0), INDEX($AB$1004:$AQ$1004,1,MATCH(COLUMNS($AB$1006:AF1006),$AB$1006:$AQ$1006,0)))),"Fix")))</f>
        <v>0</v>
      </c>
      <c r="G336" s="5">
        <f>IF(OR(INDEX($V$2:$V$1001,MATCH(ROWS($U$2:U336),$U$2:$U$1001,0),1)&gt;=100000,INDEX($AB$1005:$AQ$1005,1,MATCH(COLUMNS($AB$1006:AG1006),$AB$1006:$AQ$1006,0))&gt;=100000), " ",IF(INDEX($AB$2:$AQ$1001,MATCH(ROWS($U$2:U336),$U$2:$U$1001,0),MATCH(COLUMNS($AB$1006:AG1006),$AB$1006:$AQ$1006,0)), HYPERLINK("#",""), HYPERLINK(CONCATENATE("#Metadata!", ADDRESS(INDEX($W$2:$W$1001,MATCH(ROWS($U$2:U336),$U$2:$U$1001,0),0), INDEX($AB$1004:$AQ$1004,1,MATCH(COLUMNS($AB$1006:AG1006),$AB$1006:$AQ$1006,0)))),"Fix")))</f>
        <v>0</v>
      </c>
      <c r="H336" s="5">
        <f>IF(OR(INDEX($V$2:$V$1001,MATCH(ROWS($U$2:U336),$U$2:$U$1001,0),1)&gt;=100000,INDEX($AB$1005:$AQ$1005,1,MATCH(COLUMNS($AB$1006:AH1006),$AB$1006:$AQ$1006,0))&gt;=100000), " ",IF(INDEX($AB$2:$AQ$1001,MATCH(ROWS($U$2:U336),$U$2:$U$1001,0),MATCH(COLUMNS($AB$1006:AH1006),$AB$1006:$AQ$1006,0)), HYPERLINK("#",""), HYPERLINK(CONCATENATE("#Metadata!", ADDRESS(INDEX($W$2:$W$1001,MATCH(ROWS($U$2:U336),$U$2:$U$1001,0),0), INDEX($AB$1004:$AQ$1004,1,MATCH(COLUMNS($AB$1006:AH1006),$AB$1006:$AQ$1006,0)))),"Fix")))</f>
        <v>0</v>
      </c>
      <c r="I336" s="5">
        <f>IF(OR(INDEX($V$2:$V$1001,MATCH(ROWS($U$2:U336),$U$2:$U$1001,0),1)&gt;=100000,INDEX($AB$1005:$AQ$1005,1,MATCH(COLUMNS($AB$1006:AI1006),$AB$1006:$AQ$1006,0))&gt;=100000), " ",IF(INDEX($AB$2:$AQ$1001,MATCH(ROWS($U$2:U336),$U$2:$U$1001,0),MATCH(COLUMNS($AB$1006:AI1006),$AB$1006:$AQ$1006,0)), HYPERLINK("#",""), HYPERLINK(CONCATENATE("#Metadata!", ADDRESS(INDEX($W$2:$W$1001,MATCH(ROWS($U$2:U336),$U$2:$U$1001,0),0), INDEX($AB$1004:$AQ$1004,1,MATCH(COLUMNS($AB$1006:AI1006),$AB$1006:$AQ$1006,0)))),"Fix")))</f>
        <v>0</v>
      </c>
      <c r="J336" s="5">
        <f>IF(OR(INDEX($V$2:$V$1001,MATCH(ROWS($U$2:U336),$U$2:$U$1001,0),1)&gt;=100000,INDEX($AB$1005:$AQ$1005,1,MATCH(COLUMNS($AB$1006:AJ1006),$AB$1006:$AQ$1006,0))&gt;=100000), " ",IF(INDEX($AB$2:$AQ$1001,MATCH(ROWS($U$2:U336),$U$2:$U$1001,0),MATCH(COLUMNS($AB$1006:AJ1006),$AB$1006:$AQ$1006,0)), HYPERLINK("#",""), HYPERLINK(CONCATENATE("#Metadata!", ADDRESS(INDEX($W$2:$W$1001,MATCH(ROWS($U$2:U336),$U$2:$U$1001,0),0), INDEX($AB$1004:$AQ$1004,1,MATCH(COLUMNS($AB$1006:AJ1006),$AB$1006:$AQ$1006,0)))),"Fix")))</f>
        <v>0</v>
      </c>
      <c r="K336" s="5">
        <f>IF(OR(INDEX($V$2:$V$1001,MATCH(ROWS($U$2:U336),$U$2:$U$1001,0),1)&gt;=100000,INDEX($AB$1005:$AQ$1005,1,MATCH(COLUMNS($AB$1006:AK1006),$AB$1006:$AQ$1006,0))&gt;=100000), " ",IF(INDEX($AB$2:$AQ$1001,MATCH(ROWS($U$2:U336),$U$2:$U$1001,0),MATCH(COLUMNS($AB$1006:AK1006),$AB$1006:$AQ$1006,0)), HYPERLINK("#",""), HYPERLINK(CONCATENATE("#Metadata!", ADDRESS(INDEX($W$2:$W$1001,MATCH(ROWS($U$2:U336),$U$2:$U$1001,0),0), INDEX($AB$1004:$AQ$1004,1,MATCH(COLUMNS($AB$1006:AK1006),$AB$1006:$AQ$1006,0)))),"Fix")))</f>
        <v>0</v>
      </c>
      <c r="L336" s="5">
        <f>IF(OR(INDEX($V$2:$V$1001,MATCH(ROWS($U$2:U336),$U$2:$U$1001,0),1)&gt;=100000,INDEX($AB$1005:$AQ$1005,1,MATCH(COLUMNS($AB$1006:AL1006),$AB$1006:$AQ$1006,0))&gt;=100000), " ",IF(INDEX($AB$2:$AQ$1001,MATCH(ROWS($U$2:U336),$U$2:$U$1001,0),MATCH(COLUMNS($AB$1006:AL1006),$AB$1006:$AQ$1006,0)), HYPERLINK("#",""), HYPERLINK(CONCATENATE("#Metadata!", ADDRESS(INDEX($W$2:$W$1001,MATCH(ROWS($U$2:U336),$U$2:$U$1001,0),0), INDEX($AB$1004:$AQ$1004,1,MATCH(COLUMNS($AB$1006:AL1006),$AB$1006:$AQ$1006,0)))),"Fix")))</f>
        <v>0</v>
      </c>
      <c r="M336" s="5">
        <f>IF(OR(INDEX($V$2:$V$1001,MATCH(ROWS($U$2:U336),$U$2:$U$1001,0),1)&gt;=100000,INDEX($AB$1005:$AQ$1005,1,MATCH(COLUMNS($AB$1006:AM1006),$AB$1006:$AQ$1006,0))&gt;=100000), " ",IF(INDEX($AB$2:$AQ$1001,MATCH(ROWS($U$2:U336),$U$2:$U$1001,0),MATCH(COLUMNS($AB$1006:AM1006),$AB$1006:$AQ$1006,0)), HYPERLINK("#",""), HYPERLINK(CONCATENATE("#Metadata!", ADDRESS(INDEX($W$2:$W$1001,MATCH(ROWS($U$2:U336),$U$2:$U$1001,0),0), INDEX($AB$1004:$AQ$1004,1,MATCH(COLUMNS($AB$1006:AM1006),$AB$1006:$AQ$1006,0)))),"Fix")))</f>
        <v>0</v>
      </c>
      <c r="N336" s="5">
        <f>IF(OR(INDEX($V$2:$V$1001,MATCH(ROWS($U$2:U336),$U$2:$U$1001,0),1)&gt;=100000,INDEX($AB$1005:$AQ$1005,1,MATCH(COLUMNS($AB$1006:AN1006),$AB$1006:$AQ$1006,0))&gt;=100000), " ",IF(INDEX($AB$2:$AQ$1001,MATCH(ROWS($U$2:U336),$U$2:$U$1001,0),MATCH(COLUMNS($AB$1006:AN1006),$AB$1006:$AQ$1006,0)), HYPERLINK("#",""), HYPERLINK(CONCATENATE("#Metadata!", ADDRESS(INDEX($W$2:$W$1001,MATCH(ROWS($U$2:U336),$U$2:$U$1001,0),0), INDEX($AB$1004:$AQ$1004,1,MATCH(COLUMNS($AB$1006:AN1006),$AB$1006:$AQ$1006,0)))),"Fix")))</f>
        <v>0</v>
      </c>
      <c r="O336" s="5">
        <f>IF(OR(INDEX($V$2:$V$1001,MATCH(ROWS($U$2:U336),$U$2:$U$1001,0),1)&gt;=100000,INDEX($AB$1005:$AQ$1005,1,MATCH(COLUMNS($AB$1006:AO1006),$AB$1006:$AQ$1006,0))&gt;=100000), " ",IF(INDEX($AB$2:$AQ$1001,MATCH(ROWS($U$2:U336),$U$2:$U$1001,0),MATCH(COLUMNS($AB$1006:AO1006),$AB$1006:$AQ$1006,0)), HYPERLINK("#",""), HYPERLINK(CONCATENATE("#Metadata!", ADDRESS(INDEX($W$2:$W$1001,MATCH(ROWS($U$2:U336),$U$2:$U$1001,0),0), INDEX($AB$1004:$AQ$1004,1,MATCH(COLUMNS($AB$1006:AO1006),$AB$1006:$AQ$1006,0)))),"Fix")))</f>
        <v>0</v>
      </c>
      <c r="P336" s="5">
        <f>IF(OR(INDEX($V$2:$V$1001,MATCH(ROWS($U$2:U336),$U$2:$U$1001,0),1)&gt;=100000,INDEX($AB$1005:$AQ$1005,1,MATCH(COLUMNS($AB$1006:AP1006),$AB$1006:$AQ$1006,0))&gt;=100000), " ",IF(INDEX($AB$2:$AQ$1001,MATCH(ROWS($U$2:U336),$U$2:$U$1001,0),MATCH(COLUMNS($AB$1006:AP1006),$AB$1006:$AQ$1006,0)), HYPERLINK("#",""), HYPERLINK(CONCATENATE("#Metadata!", ADDRESS(INDEX($W$2:$W$1001,MATCH(ROWS($U$2:U336),$U$2:$U$1001,0),0), INDEX($AB$1004:$AQ$1004,1,MATCH(COLUMNS($AB$1006:AP1006),$AB$1006:$AQ$1006,0)))),"Fix")))</f>
        <v>0</v>
      </c>
      <c r="Q336" s="5">
        <f>IF(OR(INDEX($V$2:$V$1001,MATCH(ROWS($U$2:U336),$U$2:$U$1001,0),1)&gt;=100000,INDEX($AB$1005:$AQ$1005,1,MATCH(COLUMNS($AB$1006:AQ1006),$AB$1006:$AQ$1006,0))&gt;=100000), " ",IF(INDEX($AB$2:$AQ$1001,MATCH(ROWS($U$2:U336),$U$2:$U$1001,0),MATCH(COLUMNS($AB$1006:AQ1006),$AB$1006:$AQ$1006,0)), HYPERLINK("#",""), HYPERLINK(CONCATENATE("#Metadata!", ADDRESS(INDEX($W$2:$W$1001,MATCH(ROWS($U$2:U336),$U$2:$U$1001,0),0), INDEX($AB$1004:$AQ$1004,1,MATCH(COLUMNS($AB$1006:AQ1006),$AB$1006:$AQ$1006,0)))),"Fix")))</f>
        <v>0</v>
      </c>
      <c r="U336">
        <v>0</v>
      </c>
      <c r="V336">
        <v>0</v>
      </c>
      <c r="W336">
        <v>0</v>
      </c>
      <c r="X336">
        <f>IF(Y336,TRUE,AND(AB336:AQ336))</f>
        <v>0</v>
      </c>
      <c r="Y336">
        <f>COUNTBLANK(Metadata!B336:Q336)=COLUMNS(Metadata!B336:Q336)</f>
        <v>0</v>
      </c>
      <c r="Z336">
        <v>0</v>
      </c>
      <c r="AB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AC336">
        <f>AND(IF(Metadata!C336="",FALSE,TRUE),exact(Metadata!C336,"urban biome"))</f>
        <v>0</v>
      </c>
      <c r="AD336">
        <f>AND(IF(Metadata!D336="",FALSE,TRUE),exact(Metadata!D336,"human-associated habitat"))</f>
        <v>0</v>
      </c>
      <c r="AE336">
        <f>AND(IF(Metadata!E336="",FALSE,TRUE),OR(exact(Metadata!E336,"human-associated"),exact(Metadata!E336,"human-skin"),exact(Metadata!E336,"human-oral"),exact(Metadata!E336,"human-gut"),exact(Metadata!E336,"human-vaginal")))</f>
        <v>0</v>
      </c>
      <c r="AF336">
        <f>AND(IF(Metadata!F336="",FALSE,ISNUMBER(VALUE(Metadata!F336))),Metadata!F336&gt;0)</f>
        <v>0</v>
      </c>
      <c r="AG336">
        <f>AND(IF(Metadata!G336="",FALSE,TRUE),exact(Metadata!G336,"years"))</f>
        <v>0</v>
      </c>
      <c r="AH336">
        <f>OR(AND(IF(Metadata!H336="",FALSE,TRUE),OR(exact(Metadata!H336,"not applicable"),exact(Metadata!H336,"not collected"),exact(Metadata!H336,"not provided"),exact(Metadata!H336,"restricted access"))),AND(IF(Metadata!H336="",FALSE,ISNUMBER(VALUE(Metadata!H336))),Metadata!H336&gt;0))</f>
        <v>0</v>
      </c>
      <c r="AI336">
        <f>AND(IF(Metadata!I336="",FALSE,TRUE),exact(Metadata!I336,"human"))</f>
        <v>0</v>
      </c>
      <c r="AJ336">
        <f>AND(IF(Metadata!J336="",FALSE,ISNUMBER(VALUE(Metadata!J336))),Metadata!J336&gt;0)</f>
        <v>0</v>
      </c>
      <c r="AK336">
        <f>AND(IF(Metadata!K336="",FALSE,TRUE),exact(Metadata!K336,"cm"))</f>
        <v>0</v>
      </c>
      <c r="AL336">
        <f>AND(IF(Metadata!L336="",FALSE,TRUE),exact(Metadata!L336,"Homo sapiens"))</f>
        <v>0</v>
      </c>
      <c r="AM336">
        <f>AND(IF(Metadata!M336="",FALSE,TRUE),exact(Metadata!M336,"9606"))</f>
        <v>0</v>
      </c>
      <c r="AN336">
        <f>AND(IF(Metadata!N336="",FALSE,ISNUMBER(VALUE(Metadata!N336))),Metadata!N336&gt;0)</f>
        <v>0</v>
      </c>
      <c r="AO336">
        <f>AND(IF(Metadata!O336="",FALSE,TRUE),exact(Metadata!O336,"kg"))</f>
        <v>0</v>
      </c>
      <c r="AP336">
        <f>OR(AND(IF(Metadata!P336="",FALSE,TRUE),exact(Metadata!P336,"not provided")),IF(Metadata!P336="",FALSE,TRUE))</f>
        <v>0</v>
      </c>
      <c r="AQ336">
        <f>OR(AND(IF(Metadata!Q336="",FALSE,TRUE),exact(Metadata!Q336,"not provided")),IF(Metadata!Q336="",FALSE,TRUE))</f>
        <v>0</v>
      </c>
    </row>
    <row r="337" spans="1:43">
      <c r="A337" s="4">
        <f>IF(B337=" "," ",HYPERLINK(CONCATENATE("#metadata!",ADDRESS(INDEX($W$2:$W$1001,MATCH(ROWS($U$2:U337),$U$2:$U$1001,0),0),2)),INDEX($Z$2:$Z$1001,MATCH(ROWS($U$2:U337),$U$2:$U$1001,0),0)))</f>
        <v>0</v>
      </c>
      <c r="B337" s="5">
        <f>IF(OR(INDEX($V$2:$V$1001,MATCH(ROWS($U$2:U337),$U$2:$U$1001,0),1)&gt;=100000,INDEX($AB$1005:$AQ$1005,1,MATCH(COLUMNS($AB$1006:AB1006),$AB$1006:$AQ$1006,0))&gt;=100000), " ",IF(INDEX($AB$2:$AQ$1001,MATCH(ROWS($U$2:U337),$U$2:$U$1001,0),MATCH(COLUMNS($AB$1006:AB1006),$AB$1006:$AQ$1006,0)), HYPERLINK("#",""), HYPERLINK(CONCATENATE("#Metadata!", ADDRESS(INDEX($W$2:$W$1001,MATCH(ROWS($U$2:U337),$U$2:$U$1001,0),0), INDEX($AB$1004:$AQ$1004,1,MATCH(COLUMNS($AB$1006:AB1006),$AB$1006:$AQ$1006,0)))),"Fix")))</f>
        <v>0</v>
      </c>
      <c r="C337" s="5">
        <f>IF(OR(INDEX($V$2:$V$1001,MATCH(ROWS($U$2:U337),$U$2:$U$1001,0),1)&gt;=100000,INDEX($AB$1005:$AQ$1005,1,MATCH(COLUMNS($AB$1006:AC1006),$AB$1006:$AQ$1006,0))&gt;=100000), " ",IF(INDEX($AB$2:$AQ$1001,MATCH(ROWS($U$2:U337),$U$2:$U$1001,0),MATCH(COLUMNS($AB$1006:AC1006),$AB$1006:$AQ$1006,0)), HYPERLINK("#",""), HYPERLINK(CONCATENATE("#Metadata!", ADDRESS(INDEX($W$2:$W$1001,MATCH(ROWS($U$2:U337),$U$2:$U$1001,0),0), INDEX($AB$1004:$AQ$1004,1,MATCH(COLUMNS($AB$1006:AC1006),$AB$1006:$AQ$1006,0)))),"Fix")))</f>
        <v>0</v>
      </c>
      <c r="D337" s="5">
        <f>IF(OR(INDEX($V$2:$V$1001,MATCH(ROWS($U$2:U337),$U$2:$U$1001,0),1)&gt;=100000,INDEX($AB$1005:$AQ$1005,1,MATCH(COLUMNS($AB$1006:AD1006),$AB$1006:$AQ$1006,0))&gt;=100000), " ",IF(INDEX($AB$2:$AQ$1001,MATCH(ROWS($U$2:U337),$U$2:$U$1001,0),MATCH(COLUMNS($AB$1006:AD1006),$AB$1006:$AQ$1006,0)), HYPERLINK("#",""), HYPERLINK(CONCATENATE("#Metadata!", ADDRESS(INDEX($W$2:$W$1001,MATCH(ROWS($U$2:U337),$U$2:$U$1001,0),0), INDEX($AB$1004:$AQ$1004,1,MATCH(COLUMNS($AB$1006:AD1006),$AB$1006:$AQ$1006,0)))),"Fix")))</f>
        <v>0</v>
      </c>
      <c r="E337" s="5">
        <f>IF(OR(INDEX($V$2:$V$1001,MATCH(ROWS($U$2:U337),$U$2:$U$1001,0),1)&gt;=100000,INDEX($AB$1005:$AQ$1005,1,MATCH(COLUMNS($AB$1006:AE1006),$AB$1006:$AQ$1006,0))&gt;=100000), " ",IF(INDEX($AB$2:$AQ$1001,MATCH(ROWS($U$2:U337),$U$2:$U$1001,0),MATCH(COLUMNS($AB$1006:AE1006),$AB$1006:$AQ$1006,0)), HYPERLINK("#",""), HYPERLINK(CONCATENATE("#Metadata!", ADDRESS(INDEX($W$2:$W$1001,MATCH(ROWS($U$2:U337),$U$2:$U$1001,0),0), INDEX($AB$1004:$AQ$1004,1,MATCH(COLUMNS($AB$1006:AE1006),$AB$1006:$AQ$1006,0)))),"Fix")))</f>
        <v>0</v>
      </c>
      <c r="F337" s="5">
        <f>IF(OR(INDEX($V$2:$V$1001,MATCH(ROWS($U$2:U337),$U$2:$U$1001,0),1)&gt;=100000,INDEX($AB$1005:$AQ$1005,1,MATCH(COLUMNS($AB$1006:AF1006),$AB$1006:$AQ$1006,0))&gt;=100000), " ",IF(INDEX($AB$2:$AQ$1001,MATCH(ROWS($U$2:U337),$U$2:$U$1001,0),MATCH(COLUMNS($AB$1006:AF1006),$AB$1006:$AQ$1006,0)), HYPERLINK("#",""), HYPERLINK(CONCATENATE("#Metadata!", ADDRESS(INDEX($W$2:$W$1001,MATCH(ROWS($U$2:U337),$U$2:$U$1001,0),0), INDEX($AB$1004:$AQ$1004,1,MATCH(COLUMNS($AB$1006:AF1006),$AB$1006:$AQ$1006,0)))),"Fix")))</f>
        <v>0</v>
      </c>
      <c r="G337" s="5">
        <f>IF(OR(INDEX($V$2:$V$1001,MATCH(ROWS($U$2:U337),$U$2:$U$1001,0),1)&gt;=100000,INDEX($AB$1005:$AQ$1005,1,MATCH(COLUMNS($AB$1006:AG1006),$AB$1006:$AQ$1006,0))&gt;=100000), " ",IF(INDEX($AB$2:$AQ$1001,MATCH(ROWS($U$2:U337),$U$2:$U$1001,0),MATCH(COLUMNS($AB$1006:AG1006),$AB$1006:$AQ$1006,0)), HYPERLINK("#",""), HYPERLINK(CONCATENATE("#Metadata!", ADDRESS(INDEX($W$2:$W$1001,MATCH(ROWS($U$2:U337),$U$2:$U$1001,0),0), INDEX($AB$1004:$AQ$1004,1,MATCH(COLUMNS($AB$1006:AG1006),$AB$1006:$AQ$1006,0)))),"Fix")))</f>
        <v>0</v>
      </c>
      <c r="H337" s="5">
        <f>IF(OR(INDEX($V$2:$V$1001,MATCH(ROWS($U$2:U337),$U$2:$U$1001,0),1)&gt;=100000,INDEX($AB$1005:$AQ$1005,1,MATCH(COLUMNS($AB$1006:AH1006),$AB$1006:$AQ$1006,0))&gt;=100000), " ",IF(INDEX($AB$2:$AQ$1001,MATCH(ROWS($U$2:U337),$U$2:$U$1001,0),MATCH(COLUMNS($AB$1006:AH1006),$AB$1006:$AQ$1006,0)), HYPERLINK("#",""), HYPERLINK(CONCATENATE("#Metadata!", ADDRESS(INDEX($W$2:$W$1001,MATCH(ROWS($U$2:U337),$U$2:$U$1001,0),0), INDEX($AB$1004:$AQ$1004,1,MATCH(COLUMNS($AB$1006:AH1006),$AB$1006:$AQ$1006,0)))),"Fix")))</f>
        <v>0</v>
      </c>
      <c r="I337" s="5">
        <f>IF(OR(INDEX($V$2:$V$1001,MATCH(ROWS($U$2:U337),$U$2:$U$1001,0),1)&gt;=100000,INDEX($AB$1005:$AQ$1005,1,MATCH(COLUMNS($AB$1006:AI1006),$AB$1006:$AQ$1006,0))&gt;=100000), " ",IF(INDEX($AB$2:$AQ$1001,MATCH(ROWS($U$2:U337),$U$2:$U$1001,0),MATCH(COLUMNS($AB$1006:AI1006),$AB$1006:$AQ$1006,0)), HYPERLINK("#",""), HYPERLINK(CONCATENATE("#Metadata!", ADDRESS(INDEX($W$2:$W$1001,MATCH(ROWS($U$2:U337),$U$2:$U$1001,0),0), INDEX($AB$1004:$AQ$1004,1,MATCH(COLUMNS($AB$1006:AI1006),$AB$1006:$AQ$1006,0)))),"Fix")))</f>
        <v>0</v>
      </c>
      <c r="J337" s="5">
        <f>IF(OR(INDEX($V$2:$V$1001,MATCH(ROWS($U$2:U337),$U$2:$U$1001,0),1)&gt;=100000,INDEX($AB$1005:$AQ$1005,1,MATCH(COLUMNS($AB$1006:AJ1006),$AB$1006:$AQ$1006,0))&gt;=100000), " ",IF(INDEX($AB$2:$AQ$1001,MATCH(ROWS($U$2:U337),$U$2:$U$1001,0),MATCH(COLUMNS($AB$1006:AJ1006),$AB$1006:$AQ$1006,0)), HYPERLINK("#",""), HYPERLINK(CONCATENATE("#Metadata!", ADDRESS(INDEX($W$2:$W$1001,MATCH(ROWS($U$2:U337),$U$2:$U$1001,0),0), INDEX($AB$1004:$AQ$1004,1,MATCH(COLUMNS($AB$1006:AJ1006),$AB$1006:$AQ$1006,0)))),"Fix")))</f>
        <v>0</v>
      </c>
      <c r="K337" s="5">
        <f>IF(OR(INDEX($V$2:$V$1001,MATCH(ROWS($U$2:U337),$U$2:$U$1001,0),1)&gt;=100000,INDEX($AB$1005:$AQ$1005,1,MATCH(COLUMNS($AB$1006:AK1006),$AB$1006:$AQ$1006,0))&gt;=100000), " ",IF(INDEX($AB$2:$AQ$1001,MATCH(ROWS($U$2:U337),$U$2:$U$1001,0),MATCH(COLUMNS($AB$1006:AK1006),$AB$1006:$AQ$1006,0)), HYPERLINK("#",""), HYPERLINK(CONCATENATE("#Metadata!", ADDRESS(INDEX($W$2:$W$1001,MATCH(ROWS($U$2:U337),$U$2:$U$1001,0),0), INDEX($AB$1004:$AQ$1004,1,MATCH(COLUMNS($AB$1006:AK1006),$AB$1006:$AQ$1006,0)))),"Fix")))</f>
        <v>0</v>
      </c>
      <c r="L337" s="5">
        <f>IF(OR(INDEX($V$2:$V$1001,MATCH(ROWS($U$2:U337),$U$2:$U$1001,0),1)&gt;=100000,INDEX($AB$1005:$AQ$1005,1,MATCH(COLUMNS($AB$1006:AL1006),$AB$1006:$AQ$1006,0))&gt;=100000), " ",IF(INDEX($AB$2:$AQ$1001,MATCH(ROWS($U$2:U337),$U$2:$U$1001,0),MATCH(COLUMNS($AB$1006:AL1006),$AB$1006:$AQ$1006,0)), HYPERLINK("#",""), HYPERLINK(CONCATENATE("#Metadata!", ADDRESS(INDEX($W$2:$W$1001,MATCH(ROWS($U$2:U337),$U$2:$U$1001,0),0), INDEX($AB$1004:$AQ$1004,1,MATCH(COLUMNS($AB$1006:AL1006),$AB$1006:$AQ$1006,0)))),"Fix")))</f>
        <v>0</v>
      </c>
      <c r="M337" s="5">
        <f>IF(OR(INDEX($V$2:$V$1001,MATCH(ROWS($U$2:U337),$U$2:$U$1001,0),1)&gt;=100000,INDEX($AB$1005:$AQ$1005,1,MATCH(COLUMNS($AB$1006:AM1006),$AB$1006:$AQ$1006,0))&gt;=100000), " ",IF(INDEX($AB$2:$AQ$1001,MATCH(ROWS($U$2:U337),$U$2:$U$1001,0),MATCH(COLUMNS($AB$1006:AM1006),$AB$1006:$AQ$1006,0)), HYPERLINK("#",""), HYPERLINK(CONCATENATE("#Metadata!", ADDRESS(INDEX($W$2:$W$1001,MATCH(ROWS($U$2:U337),$U$2:$U$1001,0),0), INDEX($AB$1004:$AQ$1004,1,MATCH(COLUMNS($AB$1006:AM1006),$AB$1006:$AQ$1006,0)))),"Fix")))</f>
        <v>0</v>
      </c>
      <c r="N337" s="5">
        <f>IF(OR(INDEX($V$2:$V$1001,MATCH(ROWS($U$2:U337),$U$2:$U$1001,0),1)&gt;=100000,INDEX($AB$1005:$AQ$1005,1,MATCH(COLUMNS($AB$1006:AN1006),$AB$1006:$AQ$1006,0))&gt;=100000), " ",IF(INDEX($AB$2:$AQ$1001,MATCH(ROWS($U$2:U337),$U$2:$U$1001,0),MATCH(COLUMNS($AB$1006:AN1006),$AB$1006:$AQ$1006,0)), HYPERLINK("#",""), HYPERLINK(CONCATENATE("#Metadata!", ADDRESS(INDEX($W$2:$W$1001,MATCH(ROWS($U$2:U337),$U$2:$U$1001,0),0), INDEX($AB$1004:$AQ$1004,1,MATCH(COLUMNS($AB$1006:AN1006),$AB$1006:$AQ$1006,0)))),"Fix")))</f>
        <v>0</v>
      </c>
      <c r="O337" s="5">
        <f>IF(OR(INDEX($V$2:$V$1001,MATCH(ROWS($U$2:U337),$U$2:$U$1001,0),1)&gt;=100000,INDEX($AB$1005:$AQ$1005,1,MATCH(COLUMNS($AB$1006:AO1006),$AB$1006:$AQ$1006,0))&gt;=100000), " ",IF(INDEX($AB$2:$AQ$1001,MATCH(ROWS($U$2:U337),$U$2:$U$1001,0),MATCH(COLUMNS($AB$1006:AO1006),$AB$1006:$AQ$1006,0)), HYPERLINK("#",""), HYPERLINK(CONCATENATE("#Metadata!", ADDRESS(INDEX($W$2:$W$1001,MATCH(ROWS($U$2:U337),$U$2:$U$1001,0),0), INDEX($AB$1004:$AQ$1004,1,MATCH(COLUMNS($AB$1006:AO1006),$AB$1006:$AQ$1006,0)))),"Fix")))</f>
        <v>0</v>
      </c>
      <c r="P337" s="5">
        <f>IF(OR(INDEX($V$2:$V$1001,MATCH(ROWS($U$2:U337),$U$2:$U$1001,0),1)&gt;=100000,INDEX($AB$1005:$AQ$1005,1,MATCH(COLUMNS($AB$1006:AP1006),$AB$1006:$AQ$1006,0))&gt;=100000), " ",IF(INDEX($AB$2:$AQ$1001,MATCH(ROWS($U$2:U337),$U$2:$U$1001,0),MATCH(COLUMNS($AB$1006:AP1006),$AB$1006:$AQ$1006,0)), HYPERLINK("#",""), HYPERLINK(CONCATENATE("#Metadata!", ADDRESS(INDEX($W$2:$W$1001,MATCH(ROWS($U$2:U337),$U$2:$U$1001,0),0), INDEX($AB$1004:$AQ$1004,1,MATCH(COLUMNS($AB$1006:AP1006),$AB$1006:$AQ$1006,0)))),"Fix")))</f>
        <v>0</v>
      </c>
      <c r="Q337" s="5">
        <f>IF(OR(INDEX($V$2:$V$1001,MATCH(ROWS($U$2:U337),$U$2:$U$1001,0),1)&gt;=100000,INDEX($AB$1005:$AQ$1005,1,MATCH(COLUMNS($AB$1006:AQ1006),$AB$1006:$AQ$1006,0))&gt;=100000), " ",IF(INDEX($AB$2:$AQ$1001,MATCH(ROWS($U$2:U337),$U$2:$U$1001,0),MATCH(COLUMNS($AB$1006:AQ1006),$AB$1006:$AQ$1006,0)), HYPERLINK("#",""), HYPERLINK(CONCATENATE("#Metadata!", ADDRESS(INDEX($W$2:$W$1001,MATCH(ROWS($U$2:U337),$U$2:$U$1001,0),0), INDEX($AB$1004:$AQ$1004,1,MATCH(COLUMNS($AB$1006:AQ1006),$AB$1006:$AQ$1006,0)))),"Fix")))</f>
        <v>0</v>
      </c>
      <c r="U337">
        <v>0</v>
      </c>
      <c r="V337">
        <v>0</v>
      </c>
      <c r="W337">
        <v>0</v>
      </c>
      <c r="X337">
        <f>IF(Y337,TRUE,AND(AB337:AQ337))</f>
        <v>0</v>
      </c>
      <c r="Y337">
        <f>COUNTBLANK(Metadata!B337:Q337)=COLUMNS(Metadata!B337:Q337)</f>
        <v>0</v>
      </c>
      <c r="Z337">
        <v>0</v>
      </c>
      <c r="AB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AC337">
        <f>AND(IF(Metadata!C337="",FALSE,TRUE),exact(Metadata!C337,"urban biome"))</f>
        <v>0</v>
      </c>
      <c r="AD337">
        <f>AND(IF(Metadata!D337="",FALSE,TRUE),exact(Metadata!D337,"human-associated habitat"))</f>
        <v>0</v>
      </c>
      <c r="AE337">
        <f>AND(IF(Metadata!E337="",FALSE,TRUE),OR(exact(Metadata!E337,"human-associated"),exact(Metadata!E337,"human-skin"),exact(Metadata!E337,"human-oral"),exact(Metadata!E337,"human-gut"),exact(Metadata!E337,"human-vaginal")))</f>
        <v>0</v>
      </c>
      <c r="AF337">
        <f>AND(IF(Metadata!F337="",FALSE,ISNUMBER(VALUE(Metadata!F337))),Metadata!F337&gt;0)</f>
        <v>0</v>
      </c>
      <c r="AG337">
        <f>AND(IF(Metadata!G337="",FALSE,TRUE),exact(Metadata!G337,"years"))</f>
        <v>0</v>
      </c>
      <c r="AH337">
        <f>OR(AND(IF(Metadata!H337="",FALSE,TRUE),OR(exact(Metadata!H337,"not applicable"),exact(Metadata!H337,"not collected"),exact(Metadata!H337,"not provided"),exact(Metadata!H337,"restricted access"))),AND(IF(Metadata!H337="",FALSE,ISNUMBER(VALUE(Metadata!H337))),Metadata!H337&gt;0))</f>
        <v>0</v>
      </c>
      <c r="AI337">
        <f>AND(IF(Metadata!I337="",FALSE,TRUE),exact(Metadata!I337,"human"))</f>
        <v>0</v>
      </c>
      <c r="AJ337">
        <f>AND(IF(Metadata!J337="",FALSE,ISNUMBER(VALUE(Metadata!J337))),Metadata!J337&gt;0)</f>
        <v>0</v>
      </c>
      <c r="AK337">
        <f>AND(IF(Metadata!K337="",FALSE,TRUE),exact(Metadata!K337,"cm"))</f>
        <v>0</v>
      </c>
      <c r="AL337">
        <f>AND(IF(Metadata!L337="",FALSE,TRUE),exact(Metadata!L337,"Homo sapiens"))</f>
        <v>0</v>
      </c>
      <c r="AM337">
        <f>AND(IF(Metadata!M337="",FALSE,TRUE),exact(Metadata!M337,"9606"))</f>
        <v>0</v>
      </c>
      <c r="AN337">
        <f>AND(IF(Metadata!N337="",FALSE,ISNUMBER(VALUE(Metadata!N337))),Metadata!N337&gt;0)</f>
        <v>0</v>
      </c>
      <c r="AO337">
        <f>AND(IF(Metadata!O337="",FALSE,TRUE),exact(Metadata!O337,"kg"))</f>
        <v>0</v>
      </c>
      <c r="AP337">
        <f>OR(AND(IF(Metadata!P337="",FALSE,TRUE),exact(Metadata!P337,"not provided")),IF(Metadata!P337="",FALSE,TRUE))</f>
        <v>0</v>
      </c>
      <c r="AQ337">
        <f>OR(AND(IF(Metadata!Q337="",FALSE,TRUE),exact(Metadata!Q337,"not provided")),IF(Metadata!Q337="",FALSE,TRUE))</f>
        <v>0</v>
      </c>
    </row>
    <row r="338" spans="1:43">
      <c r="A338" s="4">
        <f>IF(B338=" "," ",HYPERLINK(CONCATENATE("#metadata!",ADDRESS(INDEX($W$2:$W$1001,MATCH(ROWS($U$2:U338),$U$2:$U$1001,0),0),2)),INDEX($Z$2:$Z$1001,MATCH(ROWS($U$2:U338),$U$2:$U$1001,0),0)))</f>
        <v>0</v>
      </c>
      <c r="B338" s="5">
        <f>IF(OR(INDEX($V$2:$V$1001,MATCH(ROWS($U$2:U338),$U$2:$U$1001,0),1)&gt;=100000,INDEX($AB$1005:$AQ$1005,1,MATCH(COLUMNS($AB$1006:AB1006),$AB$1006:$AQ$1006,0))&gt;=100000), " ",IF(INDEX($AB$2:$AQ$1001,MATCH(ROWS($U$2:U338),$U$2:$U$1001,0),MATCH(COLUMNS($AB$1006:AB1006),$AB$1006:$AQ$1006,0)), HYPERLINK("#",""), HYPERLINK(CONCATENATE("#Metadata!", ADDRESS(INDEX($W$2:$W$1001,MATCH(ROWS($U$2:U338),$U$2:$U$1001,0),0), INDEX($AB$1004:$AQ$1004,1,MATCH(COLUMNS($AB$1006:AB1006),$AB$1006:$AQ$1006,0)))),"Fix")))</f>
        <v>0</v>
      </c>
      <c r="C338" s="5">
        <f>IF(OR(INDEX($V$2:$V$1001,MATCH(ROWS($U$2:U338),$U$2:$U$1001,0),1)&gt;=100000,INDEX($AB$1005:$AQ$1005,1,MATCH(COLUMNS($AB$1006:AC1006),$AB$1006:$AQ$1006,0))&gt;=100000), " ",IF(INDEX($AB$2:$AQ$1001,MATCH(ROWS($U$2:U338),$U$2:$U$1001,0),MATCH(COLUMNS($AB$1006:AC1006),$AB$1006:$AQ$1006,0)), HYPERLINK("#",""), HYPERLINK(CONCATENATE("#Metadata!", ADDRESS(INDEX($W$2:$W$1001,MATCH(ROWS($U$2:U338),$U$2:$U$1001,0),0), INDEX($AB$1004:$AQ$1004,1,MATCH(COLUMNS($AB$1006:AC1006),$AB$1006:$AQ$1006,0)))),"Fix")))</f>
        <v>0</v>
      </c>
      <c r="D338" s="5">
        <f>IF(OR(INDEX($V$2:$V$1001,MATCH(ROWS($U$2:U338),$U$2:$U$1001,0),1)&gt;=100000,INDEX($AB$1005:$AQ$1005,1,MATCH(COLUMNS($AB$1006:AD1006),$AB$1006:$AQ$1006,0))&gt;=100000), " ",IF(INDEX($AB$2:$AQ$1001,MATCH(ROWS($U$2:U338),$U$2:$U$1001,0),MATCH(COLUMNS($AB$1006:AD1006),$AB$1006:$AQ$1006,0)), HYPERLINK("#",""), HYPERLINK(CONCATENATE("#Metadata!", ADDRESS(INDEX($W$2:$W$1001,MATCH(ROWS($U$2:U338),$U$2:$U$1001,0),0), INDEX($AB$1004:$AQ$1004,1,MATCH(COLUMNS($AB$1006:AD1006),$AB$1006:$AQ$1006,0)))),"Fix")))</f>
        <v>0</v>
      </c>
      <c r="E338" s="5">
        <f>IF(OR(INDEX($V$2:$V$1001,MATCH(ROWS($U$2:U338),$U$2:$U$1001,0),1)&gt;=100000,INDEX($AB$1005:$AQ$1005,1,MATCH(COLUMNS($AB$1006:AE1006),$AB$1006:$AQ$1006,0))&gt;=100000), " ",IF(INDEX($AB$2:$AQ$1001,MATCH(ROWS($U$2:U338),$U$2:$U$1001,0),MATCH(COLUMNS($AB$1006:AE1006),$AB$1006:$AQ$1006,0)), HYPERLINK("#",""), HYPERLINK(CONCATENATE("#Metadata!", ADDRESS(INDEX($W$2:$W$1001,MATCH(ROWS($U$2:U338),$U$2:$U$1001,0),0), INDEX($AB$1004:$AQ$1004,1,MATCH(COLUMNS($AB$1006:AE1006),$AB$1006:$AQ$1006,0)))),"Fix")))</f>
        <v>0</v>
      </c>
      <c r="F338" s="5">
        <f>IF(OR(INDEX($V$2:$V$1001,MATCH(ROWS($U$2:U338),$U$2:$U$1001,0),1)&gt;=100000,INDEX($AB$1005:$AQ$1005,1,MATCH(COLUMNS($AB$1006:AF1006),$AB$1006:$AQ$1006,0))&gt;=100000), " ",IF(INDEX($AB$2:$AQ$1001,MATCH(ROWS($U$2:U338),$U$2:$U$1001,0),MATCH(COLUMNS($AB$1006:AF1006),$AB$1006:$AQ$1006,0)), HYPERLINK("#",""), HYPERLINK(CONCATENATE("#Metadata!", ADDRESS(INDEX($W$2:$W$1001,MATCH(ROWS($U$2:U338),$U$2:$U$1001,0),0), INDEX($AB$1004:$AQ$1004,1,MATCH(COLUMNS($AB$1006:AF1006),$AB$1006:$AQ$1006,0)))),"Fix")))</f>
        <v>0</v>
      </c>
      <c r="G338" s="5">
        <f>IF(OR(INDEX($V$2:$V$1001,MATCH(ROWS($U$2:U338),$U$2:$U$1001,0),1)&gt;=100000,INDEX($AB$1005:$AQ$1005,1,MATCH(COLUMNS($AB$1006:AG1006),$AB$1006:$AQ$1006,0))&gt;=100000), " ",IF(INDEX($AB$2:$AQ$1001,MATCH(ROWS($U$2:U338),$U$2:$U$1001,0),MATCH(COLUMNS($AB$1006:AG1006),$AB$1006:$AQ$1006,0)), HYPERLINK("#",""), HYPERLINK(CONCATENATE("#Metadata!", ADDRESS(INDEX($W$2:$W$1001,MATCH(ROWS($U$2:U338),$U$2:$U$1001,0),0), INDEX($AB$1004:$AQ$1004,1,MATCH(COLUMNS($AB$1006:AG1006),$AB$1006:$AQ$1006,0)))),"Fix")))</f>
        <v>0</v>
      </c>
      <c r="H338" s="5">
        <f>IF(OR(INDEX($V$2:$V$1001,MATCH(ROWS($U$2:U338),$U$2:$U$1001,0),1)&gt;=100000,INDEX($AB$1005:$AQ$1005,1,MATCH(COLUMNS($AB$1006:AH1006),$AB$1006:$AQ$1006,0))&gt;=100000), " ",IF(INDEX($AB$2:$AQ$1001,MATCH(ROWS($U$2:U338),$U$2:$U$1001,0),MATCH(COLUMNS($AB$1006:AH1006),$AB$1006:$AQ$1006,0)), HYPERLINK("#",""), HYPERLINK(CONCATENATE("#Metadata!", ADDRESS(INDEX($W$2:$W$1001,MATCH(ROWS($U$2:U338),$U$2:$U$1001,0),0), INDEX($AB$1004:$AQ$1004,1,MATCH(COLUMNS($AB$1006:AH1006),$AB$1006:$AQ$1006,0)))),"Fix")))</f>
        <v>0</v>
      </c>
      <c r="I338" s="5">
        <f>IF(OR(INDEX($V$2:$V$1001,MATCH(ROWS($U$2:U338),$U$2:$U$1001,0),1)&gt;=100000,INDEX($AB$1005:$AQ$1005,1,MATCH(COLUMNS($AB$1006:AI1006),$AB$1006:$AQ$1006,0))&gt;=100000), " ",IF(INDEX($AB$2:$AQ$1001,MATCH(ROWS($U$2:U338),$U$2:$U$1001,0),MATCH(COLUMNS($AB$1006:AI1006),$AB$1006:$AQ$1006,0)), HYPERLINK("#",""), HYPERLINK(CONCATENATE("#Metadata!", ADDRESS(INDEX($W$2:$W$1001,MATCH(ROWS($U$2:U338),$U$2:$U$1001,0),0), INDEX($AB$1004:$AQ$1004,1,MATCH(COLUMNS($AB$1006:AI1006),$AB$1006:$AQ$1006,0)))),"Fix")))</f>
        <v>0</v>
      </c>
      <c r="J338" s="5">
        <f>IF(OR(INDEX($V$2:$V$1001,MATCH(ROWS($U$2:U338),$U$2:$U$1001,0),1)&gt;=100000,INDEX($AB$1005:$AQ$1005,1,MATCH(COLUMNS($AB$1006:AJ1006),$AB$1006:$AQ$1006,0))&gt;=100000), " ",IF(INDEX($AB$2:$AQ$1001,MATCH(ROWS($U$2:U338),$U$2:$U$1001,0),MATCH(COLUMNS($AB$1006:AJ1006),$AB$1006:$AQ$1006,0)), HYPERLINK("#",""), HYPERLINK(CONCATENATE("#Metadata!", ADDRESS(INDEX($W$2:$W$1001,MATCH(ROWS($U$2:U338),$U$2:$U$1001,0),0), INDEX($AB$1004:$AQ$1004,1,MATCH(COLUMNS($AB$1006:AJ1006),$AB$1006:$AQ$1006,0)))),"Fix")))</f>
        <v>0</v>
      </c>
      <c r="K338" s="5">
        <f>IF(OR(INDEX($V$2:$V$1001,MATCH(ROWS($U$2:U338),$U$2:$U$1001,0),1)&gt;=100000,INDEX($AB$1005:$AQ$1005,1,MATCH(COLUMNS($AB$1006:AK1006),$AB$1006:$AQ$1006,0))&gt;=100000), " ",IF(INDEX($AB$2:$AQ$1001,MATCH(ROWS($U$2:U338),$U$2:$U$1001,0),MATCH(COLUMNS($AB$1006:AK1006),$AB$1006:$AQ$1006,0)), HYPERLINK("#",""), HYPERLINK(CONCATENATE("#Metadata!", ADDRESS(INDEX($W$2:$W$1001,MATCH(ROWS($U$2:U338),$U$2:$U$1001,0),0), INDEX($AB$1004:$AQ$1004,1,MATCH(COLUMNS($AB$1006:AK1006),$AB$1006:$AQ$1006,0)))),"Fix")))</f>
        <v>0</v>
      </c>
      <c r="L338" s="5">
        <f>IF(OR(INDEX($V$2:$V$1001,MATCH(ROWS($U$2:U338),$U$2:$U$1001,0),1)&gt;=100000,INDEX($AB$1005:$AQ$1005,1,MATCH(COLUMNS($AB$1006:AL1006),$AB$1006:$AQ$1006,0))&gt;=100000), " ",IF(INDEX($AB$2:$AQ$1001,MATCH(ROWS($U$2:U338),$U$2:$U$1001,0),MATCH(COLUMNS($AB$1006:AL1006),$AB$1006:$AQ$1006,0)), HYPERLINK("#",""), HYPERLINK(CONCATENATE("#Metadata!", ADDRESS(INDEX($W$2:$W$1001,MATCH(ROWS($U$2:U338),$U$2:$U$1001,0),0), INDEX($AB$1004:$AQ$1004,1,MATCH(COLUMNS($AB$1006:AL1006),$AB$1006:$AQ$1006,0)))),"Fix")))</f>
        <v>0</v>
      </c>
      <c r="M338" s="5">
        <f>IF(OR(INDEX($V$2:$V$1001,MATCH(ROWS($U$2:U338),$U$2:$U$1001,0),1)&gt;=100000,INDEX($AB$1005:$AQ$1005,1,MATCH(COLUMNS($AB$1006:AM1006),$AB$1006:$AQ$1006,0))&gt;=100000), " ",IF(INDEX($AB$2:$AQ$1001,MATCH(ROWS($U$2:U338),$U$2:$U$1001,0),MATCH(COLUMNS($AB$1006:AM1006),$AB$1006:$AQ$1006,0)), HYPERLINK("#",""), HYPERLINK(CONCATENATE("#Metadata!", ADDRESS(INDEX($W$2:$W$1001,MATCH(ROWS($U$2:U338),$U$2:$U$1001,0),0), INDEX($AB$1004:$AQ$1004,1,MATCH(COLUMNS($AB$1006:AM1006),$AB$1006:$AQ$1006,0)))),"Fix")))</f>
        <v>0</v>
      </c>
      <c r="N338" s="5">
        <f>IF(OR(INDEX($V$2:$V$1001,MATCH(ROWS($U$2:U338),$U$2:$U$1001,0),1)&gt;=100000,INDEX($AB$1005:$AQ$1005,1,MATCH(COLUMNS($AB$1006:AN1006),$AB$1006:$AQ$1006,0))&gt;=100000), " ",IF(INDEX($AB$2:$AQ$1001,MATCH(ROWS($U$2:U338),$U$2:$U$1001,0),MATCH(COLUMNS($AB$1006:AN1006),$AB$1006:$AQ$1006,0)), HYPERLINK("#",""), HYPERLINK(CONCATENATE("#Metadata!", ADDRESS(INDEX($W$2:$W$1001,MATCH(ROWS($U$2:U338),$U$2:$U$1001,0),0), INDEX($AB$1004:$AQ$1004,1,MATCH(COLUMNS($AB$1006:AN1006),$AB$1006:$AQ$1006,0)))),"Fix")))</f>
        <v>0</v>
      </c>
      <c r="O338" s="5">
        <f>IF(OR(INDEX($V$2:$V$1001,MATCH(ROWS($U$2:U338),$U$2:$U$1001,0),1)&gt;=100000,INDEX($AB$1005:$AQ$1005,1,MATCH(COLUMNS($AB$1006:AO1006),$AB$1006:$AQ$1006,0))&gt;=100000), " ",IF(INDEX($AB$2:$AQ$1001,MATCH(ROWS($U$2:U338),$U$2:$U$1001,0),MATCH(COLUMNS($AB$1006:AO1006),$AB$1006:$AQ$1006,0)), HYPERLINK("#",""), HYPERLINK(CONCATENATE("#Metadata!", ADDRESS(INDEX($W$2:$W$1001,MATCH(ROWS($U$2:U338),$U$2:$U$1001,0),0), INDEX($AB$1004:$AQ$1004,1,MATCH(COLUMNS($AB$1006:AO1006),$AB$1006:$AQ$1006,0)))),"Fix")))</f>
        <v>0</v>
      </c>
      <c r="P338" s="5">
        <f>IF(OR(INDEX($V$2:$V$1001,MATCH(ROWS($U$2:U338),$U$2:$U$1001,0),1)&gt;=100000,INDEX($AB$1005:$AQ$1005,1,MATCH(COLUMNS($AB$1006:AP1006),$AB$1006:$AQ$1006,0))&gt;=100000), " ",IF(INDEX($AB$2:$AQ$1001,MATCH(ROWS($U$2:U338),$U$2:$U$1001,0),MATCH(COLUMNS($AB$1006:AP1006),$AB$1006:$AQ$1006,0)), HYPERLINK("#",""), HYPERLINK(CONCATENATE("#Metadata!", ADDRESS(INDEX($W$2:$W$1001,MATCH(ROWS($U$2:U338),$U$2:$U$1001,0),0), INDEX($AB$1004:$AQ$1004,1,MATCH(COLUMNS($AB$1006:AP1006),$AB$1006:$AQ$1006,0)))),"Fix")))</f>
        <v>0</v>
      </c>
      <c r="Q338" s="5">
        <f>IF(OR(INDEX($V$2:$V$1001,MATCH(ROWS($U$2:U338),$U$2:$U$1001,0),1)&gt;=100000,INDEX($AB$1005:$AQ$1005,1,MATCH(COLUMNS($AB$1006:AQ1006),$AB$1006:$AQ$1006,0))&gt;=100000), " ",IF(INDEX($AB$2:$AQ$1001,MATCH(ROWS($U$2:U338),$U$2:$U$1001,0),MATCH(COLUMNS($AB$1006:AQ1006),$AB$1006:$AQ$1006,0)), HYPERLINK("#",""), HYPERLINK(CONCATENATE("#Metadata!", ADDRESS(INDEX($W$2:$W$1001,MATCH(ROWS($U$2:U338),$U$2:$U$1001,0),0), INDEX($AB$1004:$AQ$1004,1,MATCH(COLUMNS($AB$1006:AQ1006),$AB$1006:$AQ$1006,0)))),"Fix")))</f>
        <v>0</v>
      </c>
      <c r="U338">
        <v>0</v>
      </c>
      <c r="V338">
        <v>0</v>
      </c>
      <c r="W338">
        <v>0</v>
      </c>
      <c r="X338">
        <f>IF(Y338,TRUE,AND(AB338:AQ338))</f>
        <v>0</v>
      </c>
      <c r="Y338">
        <f>COUNTBLANK(Metadata!B338:Q338)=COLUMNS(Metadata!B338:Q338)</f>
        <v>0</v>
      </c>
      <c r="Z338">
        <v>0</v>
      </c>
      <c r="AB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AC338">
        <f>AND(IF(Metadata!C338="",FALSE,TRUE),exact(Metadata!C338,"urban biome"))</f>
        <v>0</v>
      </c>
      <c r="AD338">
        <f>AND(IF(Metadata!D338="",FALSE,TRUE),exact(Metadata!D338,"human-associated habitat"))</f>
        <v>0</v>
      </c>
      <c r="AE338">
        <f>AND(IF(Metadata!E338="",FALSE,TRUE),OR(exact(Metadata!E338,"human-associated"),exact(Metadata!E338,"human-skin"),exact(Metadata!E338,"human-oral"),exact(Metadata!E338,"human-gut"),exact(Metadata!E338,"human-vaginal")))</f>
        <v>0</v>
      </c>
      <c r="AF338">
        <f>AND(IF(Metadata!F338="",FALSE,ISNUMBER(VALUE(Metadata!F338))),Metadata!F338&gt;0)</f>
        <v>0</v>
      </c>
      <c r="AG338">
        <f>AND(IF(Metadata!G338="",FALSE,TRUE),exact(Metadata!G338,"years"))</f>
        <v>0</v>
      </c>
      <c r="AH338">
        <f>OR(AND(IF(Metadata!H338="",FALSE,TRUE),OR(exact(Metadata!H338,"not applicable"),exact(Metadata!H338,"not collected"),exact(Metadata!H338,"not provided"),exact(Metadata!H338,"restricted access"))),AND(IF(Metadata!H338="",FALSE,ISNUMBER(VALUE(Metadata!H338))),Metadata!H338&gt;0))</f>
        <v>0</v>
      </c>
      <c r="AI338">
        <f>AND(IF(Metadata!I338="",FALSE,TRUE),exact(Metadata!I338,"human"))</f>
        <v>0</v>
      </c>
      <c r="AJ338">
        <f>AND(IF(Metadata!J338="",FALSE,ISNUMBER(VALUE(Metadata!J338))),Metadata!J338&gt;0)</f>
        <v>0</v>
      </c>
      <c r="AK338">
        <f>AND(IF(Metadata!K338="",FALSE,TRUE),exact(Metadata!K338,"cm"))</f>
        <v>0</v>
      </c>
      <c r="AL338">
        <f>AND(IF(Metadata!L338="",FALSE,TRUE),exact(Metadata!L338,"Homo sapiens"))</f>
        <v>0</v>
      </c>
      <c r="AM338">
        <f>AND(IF(Metadata!M338="",FALSE,TRUE),exact(Metadata!M338,"9606"))</f>
        <v>0</v>
      </c>
      <c r="AN338">
        <f>AND(IF(Metadata!N338="",FALSE,ISNUMBER(VALUE(Metadata!N338))),Metadata!N338&gt;0)</f>
        <v>0</v>
      </c>
      <c r="AO338">
        <f>AND(IF(Metadata!O338="",FALSE,TRUE),exact(Metadata!O338,"kg"))</f>
        <v>0</v>
      </c>
      <c r="AP338">
        <f>OR(AND(IF(Metadata!P338="",FALSE,TRUE),exact(Metadata!P338,"not provided")),IF(Metadata!P338="",FALSE,TRUE))</f>
        <v>0</v>
      </c>
      <c r="AQ338">
        <f>OR(AND(IF(Metadata!Q338="",FALSE,TRUE),exact(Metadata!Q338,"not provided")),IF(Metadata!Q338="",FALSE,TRUE))</f>
        <v>0</v>
      </c>
    </row>
    <row r="339" spans="1:43">
      <c r="A339" s="4">
        <f>IF(B339=" "," ",HYPERLINK(CONCATENATE("#metadata!",ADDRESS(INDEX($W$2:$W$1001,MATCH(ROWS($U$2:U339),$U$2:$U$1001,0),0),2)),INDEX($Z$2:$Z$1001,MATCH(ROWS($U$2:U339),$U$2:$U$1001,0),0)))</f>
        <v>0</v>
      </c>
      <c r="B339" s="5">
        <f>IF(OR(INDEX($V$2:$V$1001,MATCH(ROWS($U$2:U339),$U$2:$U$1001,0),1)&gt;=100000,INDEX($AB$1005:$AQ$1005,1,MATCH(COLUMNS($AB$1006:AB1006),$AB$1006:$AQ$1006,0))&gt;=100000), " ",IF(INDEX($AB$2:$AQ$1001,MATCH(ROWS($U$2:U339),$U$2:$U$1001,0),MATCH(COLUMNS($AB$1006:AB1006),$AB$1006:$AQ$1006,0)), HYPERLINK("#",""), HYPERLINK(CONCATENATE("#Metadata!", ADDRESS(INDEX($W$2:$W$1001,MATCH(ROWS($U$2:U339),$U$2:$U$1001,0),0), INDEX($AB$1004:$AQ$1004,1,MATCH(COLUMNS($AB$1006:AB1006),$AB$1006:$AQ$1006,0)))),"Fix")))</f>
        <v>0</v>
      </c>
      <c r="C339" s="5">
        <f>IF(OR(INDEX($V$2:$V$1001,MATCH(ROWS($U$2:U339),$U$2:$U$1001,0),1)&gt;=100000,INDEX($AB$1005:$AQ$1005,1,MATCH(COLUMNS($AB$1006:AC1006),$AB$1006:$AQ$1006,0))&gt;=100000), " ",IF(INDEX($AB$2:$AQ$1001,MATCH(ROWS($U$2:U339),$U$2:$U$1001,0),MATCH(COLUMNS($AB$1006:AC1006),$AB$1006:$AQ$1006,0)), HYPERLINK("#",""), HYPERLINK(CONCATENATE("#Metadata!", ADDRESS(INDEX($W$2:$W$1001,MATCH(ROWS($U$2:U339),$U$2:$U$1001,0),0), INDEX($AB$1004:$AQ$1004,1,MATCH(COLUMNS($AB$1006:AC1006),$AB$1006:$AQ$1006,0)))),"Fix")))</f>
        <v>0</v>
      </c>
      <c r="D339" s="5">
        <f>IF(OR(INDEX($V$2:$V$1001,MATCH(ROWS($U$2:U339),$U$2:$U$1001,0),1)&gt;=100000,INDEX($AB$1005:$AQ$1005,1,MATCH(COLUMNS($AB$1006:AD1006),$AB$1006:$AQ$1006,0))&gt;=100000), " ",IF(INDEX($AB$2:$AQ$1001,MATCH(ROWS($U$2:U339),$U$2:$U$1001,0),MATCH(COLUMNS($AB$1006:AD1006),$AB$1006:$AQ$1006,0)), HYPERLINK("#",""), HYPERLINK(CONCATENATE("#Metadata!", ADDRESS(INDEX($W$2:$W$1001,MATCH(ROWS($U$2:U339),$U$2:$U$1001,0),0), INDEX($AB$1004:$AQ$1004,1,MATCH(COLUMNS($AB$1006:AD1006),$AB$1006:$AQ$1006,0)))),"Fix")))</f>
        <v>0</v>
      </c>
      <c r="E339" s="5">
        <f>IF(OR(INDEX($V$2:$V$1001,MATCH(ROWS($U$2:U339),$U$2:$U$1001,0),1)&gt;=100000,INDEX($AB$1005:$AQ$1005,1,MATCH(COLUMNS($AB$1006:AE1006),$AB$1006:$AQ$1006,0))&gt;=100000), " ",IF(INDEX($AB$2:$AQ$1001,MATCH(ROWS($U$2:U339),$U$2:$U$1001,0),MATCH(COLUMNS($AB$1006:AE1006),$AB$1006:$AQ$1006,0)), HYPERLINK("#",""), HYPERLINK(CONCATENATE("#Metadata!", ADDRESS(INDEX($W$2:$W$1001,MATCH(ROWS($U$2:U339),$U$2:$U$1001,0),0), INDEX($AB$1004:$AQ$1004,1,MATCH(COLUMNS($AB$1006:AE1006),$AB$1006:$AQ$1006,0)))),"Fix")))</f>
        <v>0</v>
      </c>
      <c r="F339" s="5">
        <f>IF(OR(INDEX($V$2:$V$1001,MATCH(ROWS($U$2:U339),$U$2:$U$1001,0),1)&gt;=100000,INDEX($AB$1005:$AQ$1005,1,MATCH(COLUMNS($AB$1006:AF1006),$AB$1006:$AQ$1006,0))&gt;=100000), " ",IF(INDEX($AB$2:$AQ$1001,MATCH(ROWS($U$2:U339),$U$2:$U$1001,0),MATCH(COLUMNS($AB$1006:AF1006),$AB$1006:$AQ$1006,0)), HYPERLINK("#",""), HYPERLINK(CONCATENATE("#Metadata!", ADDRESS(INDEX($W$2:$W$1001,MATCH(ROWS($U$2:U339),$U$2:$U$1001,0),0), INDEX($AB$1004:$AQ$1004,1,MATCH(COLUMNS($AB$1006:AF1006),$AB$1006:$AQ$1006,0)))),"Fix")))</f>
        <v>0</v>
      </c>
      <c r="G339" s="5">
        <f>IF(OR(INDEX($V$2:$V$1001,MATCH(ROWS($U$2:U339),$U$2:$U$1001,0),1)&gt;=100000,INDEX($AB$1005:$AQ$1005,1,MATCH(COLUMNS($AB$1006:AG1006),$AB$1006:$AQ$1006,0))&gt;=100000), " ",IF(INDEX($AB$2:$AQ$1001,MATCH(ROWS($U$2:U339),$U$2:$U$1001,0),MATCH(COLUMNS($AB$1006:AG1006),$AB$1006:$AQ$1006,0)), HYPERLINK("#",""), HYPERLINK(CONCATENATE("#Metadata!", ADDRESS(INDEX($W$2:$W$1001,MATCH(ROWS($U$2:U339),$U$2:$U$1001,0),0), INDEX($AB$1004:$AQ$1004,1,MATCH(COLUMNS($AB$1006:AG1006),$AB$1006:$AQ$1006,0)))),"Fix")))</f>
        <v>0</v>
      </c>
      <c r="H339" s="5">
        <f>IF(OR(INDEX($V$2:$V$1001,MATCH(ROWS($U$2:U339),$U$2:$U$1001,0),1)&gt;=100000,INDEX($AB$1005:$AQ$1005,1,MATCH(COLUMNS($AB$1006:AH1006),$AB$1006:$AQ$1006,0))&gt;=100000), " ",IF(INDEX($AB$2:$AQ$1001,MATCH(ROWS($U$2:U339),$U$2:$U$1001,0),MATCH(COLUMNS($AB$1006:AH1006),$AB$1006:$AQ$1006,0)), HYPERLINK("#",""), HYPERLINK(CONCATENATE("#Metadata!", ADDRESS(INDEX($W$2:$W$1001,MATCH(ROWS($U$2:U339),$U$2:$U$1001,0),0), INDEX($AB$1004:$AQ$1004,1,MATCH(COLUMNS($AB$1006:AH1006),$AB$1006:$AQ$1006,0)))),"Fix")))</f>
        <v>0</v>
      </c>
      <c r="I339" s="5">
        <f>IF(OR(INDEX($V$2:$V$1001,MATCH(ROWS($U$2:U339),$U$2:$U$1001,0),1)&gt;=100000,INDEX($AB$1005:$AQ$1005,1,MATCH(COLUMNS($AB$1006:AI1006),$AB$1006:$AQ$1006,0))&gt;=100000), " ",IF(INDEX($AB$2:$AQ$1001,MATCH(ROWS($U$2:U339),$U$2:$U$1001,0),MATCH(COLUMNS($AB$1006:AI1006),$AB$1006:$AQ$1006,0)), HYPERLINK("#",""), HYPERLINK(CONCATENATE("#Metadata!", ADDRESS(INDEX($W$2:$W$1001,MATCH(ROWS($U$2:U339),$U$2:$U$1001,0),0), INDEX($AB$1004:$AQ$1004,1,MATCH(COLUMNS($AB$1006:AI1006),$AB$1006:$AQ$1006,0)))),"Fix")))</f>
        <v>0</v>
      </c>
      <c r="J339" s="5">
        <f>IF(OR(INDEX($V$2:$V$1001,MATCH(ROWS($U$2:U339),$U$2:$U$1001,0),1)&gt;=100000,INDEX($AB$1005:$AQ$1005,1,MATCH(COLUMNS($AB$1006:AJ1006),$AB$1006:$AQ$1006,0))&gt;=100000), " ",IF(INDEX($AB$2:$AQ$1001,MATCH(ROWS($U$2:U339),$U$2:$U$1001,0),MATCH(COLUMNS($AB$1006:AJ1006),$AB$1006:$AQ$1006,0)), HYPERLINK("#",""), HYPERLINK(CONCATENATE("#Metadata!", ADDRESS(INDEX($W$2:$W$1001,MATCH(ROWS($U$2:U339),$U$2:$U$1001,0),0), INDEX($AB$1004:$AQ$1004,1,MATCH(COLUMNS($AB$1006:AJ1006),$AB$1006:$AQ$1006,0)))),"Fix")))</f>
        <v>0</v>
      </c>
      <c r="K339" s="5">
        <f>IF(OR(INDEX($V$2:$V$1001,MATCH(ROWS($U$2:U339),$U$2:$U$1001,0),1)&gt;=100000,INDEX($AB$1005:$AQ$1005,1,MATCH(COLUMNS($AB$1006:AK1006),$AB$1006:$AQ$1006,0))&gt;=100000), " ",IF(INDEX($AB$2:$AQ$1001,MATCH(ROWS($U$2:U339),$U$2:$U$1001,0),MATCH(COLUMNS($AB$1006:AK1006),$AB$1006:$AQ$1006,0)), HYPERLINK("#",""), HYPERLINK(CONCATENATE("#Metadata!", ADDRESS(INDEX($W$2:$W$1001,MATCH(ROWS($U$2:U339),$U$2:$U$1001,0),0), INDEX($AB$1004:$AQ$1004,1,MATCH(COLUMNS($AB$1006:AK1006),$AB$1006:$AQ$1006,0)))),"Fix")))</f>
        <v>0</v>
      </c>
      <c r="L339" s="5">
        <f>IF(OR(INDEX($V$2:$V$1001,MATCH(ROWS($U$2:U339),$U$2:$U$1001,0),1)&gt;=100000,INDEX($AB$1005:$AQ$1005,1,MATCH(COLUMNS($AB$1006:AL1006),$AB$1006:$AQ$1006,0))&gt;=100000), " ",IF(INDEX($AB$2:$AQ$1001,MATCH(ROWS($U$2:U339),$U$2:$U$1001,0),MATCH(COLUMNS($AB$1006:AL1006),$AB$1006:$AQ$1006,0)), HYPERLINK("#",""), HYPERLINK(CONCATENATE("#Metadata!", ADDRESS(INDEX($W$2:$W$1001,MATCH(ROWS($U$2:U339),$U$2:$U$1001,0),0), INDEX($AB$1004:$AQ$1004,1,MATCH(COLUMNS($AB$1006:AL1006),$AB$1006:$AQ$1006,0)))),"Fix")))</f>
        <v>0</v>
      </c>
      <c r="M339" s="5">
        <f>IF(OR(INDEX($V$2:$V$1001,MATCH(ROWS($U$2:U339),$U$2:$U$1001,0),1)&gt;=100000,INDEX($AB$1005:$AQ$1005,1,MATCH(COLUMNS($AB$1006:AM1006),$AB$1006:$AQ$1006,0))&gt;=100000), " ",IF(INDEX($AB$2:$AQ$1001,MATCH(ROWS($U$2:U339),$U$2:$U$1001,0),MATCH(COLUMNS($AB$1006:AM1006),$AB$1006:$AQ$1006,0)), HYPERLINK("#",""), HYPERLINK(CONCATENATE("#Metadata!", ADDRESS(INDEX($W$2:$W$1001,MATCH(ROWS($U$2:U339),$U$2:$U$1001,0),0), INDEX($AB$1004:$AQ$1004,1,MATCH(COLUMNS($AB$1006:AM1006),$AB$1006:$AQ$1006,0)))),"Fix")))</f>
        <v>0</v>
      </c>
      <c r="N339" s="5">
        <f>IF(OR(INDEX($V$2:$V$1001,MATCH(ROWS($U$2:U339),$U$2:$U$1001,0),1)&gt;=100000,INDEX($AB$1005:$AQ$1005,1,MATCH(COLUMNS($AB$1006:AN1006),$AB$1006:$AQ$1006,0))&gt;=100000), " ",IF(INDEX($AB$2:$AQ$1001,MATCH(ROWS($U$2:U339),$U$2:$U$1001,0),MATCH(COLUMNS($AB$1006:AN1006),$AB$1006:$AQ$1006,0)), HYPERLINK("#",""), HYPERLINK(CONCATENATE("#Metadata!", ADDRESS(INDEX($W$2:$W$1001,MATCH(ROWS($U$2:U339),$U$2:$U$1001,0),0), INDEX($AB$1004:$AQ$1004,1,MATCH(COLUMNS($AB$1006:AN1006),$AB$1006:$AQ$1006,0)))),"Fix")))</f>
        <v>0</v>
      </c>
      <c r="O339" s="5">
        <f>IF(OR(INDEX($V$2:$V$1001,MATCH(ROWS($U$2:U339),$U$2:$U$1001,0),1)&gt;=100000,INDEX($AB$1005:$AQ$1005,1,MATCH(COLUMNS($AB$1006:AO1006),$AB$1006:$AQ$1006,0))&gt;=100000), " ",IF(INDEX($AB$2:$AQ$1001,MATCH(ROWS($U$2:U339),$U$2:$U$1001,0),MATCH(COLUMNS($AB$1006:AO1006),$AB$1006:$AQ$1006,0)), HYPERLINK("#",""), HYPERLINK(CONCATENATE("#Metadata!", ADDRESS(INDEX($W$2:$W$1001,MATCH(ROWS($U$2:U339),$U$2:$U$1001,0),0), INDEX($AB$1004:$AQ$1004,1,MATCH(COLUMNS($AB$1006:AO1006),$AB$1006:$AQ$1006,0)))),"Fix")))</f>
        <v>0</v>
      </c>
      <c r="P339" s="5">
        <f>IF(OR(INDEX($V$2:$V$1001,MATCH(ROWS($U$2:U339),$U$2:$U$1001,0),1)&gt;=100000,INDEX($AB$1005:$AQ$1005,1,MATCH(COLUMNS($AB$1006:AP1006),$AB$1006:$AQ$1006,0))&gt;=100000), " ",IF(INDEX($AB$2:$AQ$1001,MATCH(ROWS($U$2:U339),$U$2:$U$1001,0),MATCH(COLUMNS($AB$1006:AP1006),$AB$1006:$AQ$1006,0)), HYPERLINK("#",""), HYPERLINK(CONCATENATE("#Metadata!", ADDRESS(INDEX($W$2:$W$1001,MATCH(ROWS($U$2:U339),$U$2:$U$1001,0),0), INDEX($AB$1004:$AQ$1004,1,MATCH(COLUMNS($AB$1006:AP1006),$AB$1006:$AQ$1006,0)))),"Fix")))</f>
        <v>0</v>
      </c>
      <c r="Q339" s="5">
        <f>IF(OR(INDEX($V$2:$V$1001,MATCH(ROWS($U$2:U339),$U$2:$U$1001,0),1)&gt;=100000,INDEX($AB$1005:$AQ$1005,1,MATCH(COLUMNS($AB$1006:AQ1006),$AB$1006:$AQ$1006,0))&gt;=100000), " ",IF(INDEX($AB$2:$AQ$1001,MATCH(ROWS($U$2:U339),$U$2:$U$1001,0),MATCH(COLUMNS($AB$1006:AQ1006),$AB$1006:$AQ$1006,0)), HYPERLINK("#",""), HYPERLINK(CONCATENATE("#Metadata!", ADDRESS(INDEX($W$2:$W$1001,MATCH(ROWS($U$2:U339),$U$2:$U$1001,0),0), INDEX($AB$1004:$AQ$1004,1,MATCH(COLUMNS($AB$1006:AQ1006),$AB$1006:$AQ$1006,0)))),"Fix")))</f>
        <v>0</v>
      </c>
      <c r="U339">
        <v>0</v>
      </c>
      <c r="V339">
        <v>0</v>
      </c>
      <c r="W339">
        <v>0</v>
      </c>
      <c r="X339">
        <f>IF(Y339,TRUE,AND(AB339:AQ339))</f>
        <v>0</v>
      </c>
      <c r="Y339">
        <f>COUNTBLANK(Metadata!B339:Q339)=COLUMNS(Metadata!B339:Q339)</f>
        <v>0</v>
      </c>
      <c r="Z339">
        <v>0</v>
      </c>
      <c r="AB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AC339">
        <f>AND(IF(Metadata!C339="",FALSE,TRUE),exact(Metadata!C339,"urban biome"))</f>
        <v>0</v>
      </c>
      <c r="AD339">
        <f>AND(IF(Metadata!D339="",FALSE,TRUE),exact(Metadata!D339,"human-associated habitat"))</f>
        <v>0</v>
      </c>
      <c r="AE339">
        <f>AND(IF(Metadata!E339="",FALSE,TRUE),OR(exact(Metadata!E339,"human-associated"),exact(Metadata!E339,"human-skin"),exact(Metadata!E339,"human-oral"),exact(Metadata!E339,"human-gut"),exact(Metadata!E339,"human-vaginal")))</f>
        <v>0</v>
      </c>
      <c r="AF339">
        <f>AND(IF(Metadata!F339="",FALSE,ISNUMBER(VALUE(Metadata!F339))),Metadata!F339&gt;0)</f>
        <v>0</v>
      </c>
      <c r="AG339">
        <f>AND(IF(Metadata!G339="",FALSE,TRUE),exact(Metadata!G339,"years"))</f>
        <v>0</v>
      </c>
      <c r="AH339">
        <f>OR(AND(IF(Metadata!H339="",FALSE,TRUE),OR(exact(Metadata!H339,"not applicable"),exact(Metadata!H339,"not collected"),exact(Metadata!H339,"not provided"),exact(Metadata!H339,"restricted access"))),AND(IF(Metadata!H339="",FALSE,ISNUMBER(VALUE(Metadata!H339))),Metadata!H339&gt;0))</f>
        <v>0</v>
      </c>
      <c r="AI339">
        <f>AND(IF(Metadata!I339="",FALSE,TRUE),exact(Metadata!I339,"human"))</f>
        <v>0</v>
      </c>
      <c r="AJ339">
        <f>AND(IF(Metadata!J339="",FALSE,ISNUMBER(VALUE(Metadata!J339))),Metadata!J339&gt;0)</f>
        <v>0</v>
      </c>
      <c r="AK339">
        <f>AND(IF(Metadata!K339="",FALSE,TRUE),exact(Metadata!K339,"cm"))</f>
        <v>0</v>
      </c>
      <c r="AL339">
        <f>AND(IF(Metadata!L339="",FALSE,TRUE),exact(Metadata!L339,"Homo sapiens"))</f>
        <v>0</v>
      </c>
      <c r="AM339">
        <f>AND(IF(Metadata!M339="",FALSE,TRUE),exact(Metadata!M339,"9606"))</f>
        <v>0</v>
      </c>
      <c r="AN339">
        <f>AND(IF(Metadata!N339="",FALSE,ISNUMBER(VALUE(Metadata!N339))),Metadata!N339&gt;0)</f>
        <v>0</v>
      </c>
      <c r="AO339">
        <f>AND(IF(Metadata!O339="",FALSE,TRUE),exact(Metadata!O339,"kg"))</f>
        <v>0</v>
      </c>
      <c r="AP339">
        <f>OR(AND(IF(Metadata!P339="",FALSE,TRUE),exact(Metadata!P339,"not provided")),IF(Metadata!P339="",FALSE,TRUE))</f>
        <v>0</v>
      </c>
      <c r="AQ339">
        <f>OR(AND(IF(Metadata!Q339="",FALSE,TRUE),exact(Metadata!Q339,"not provided")),IF(Metadata!Q339="",FALSE,TRUE))</f>
        <v>0</v>
      </c>
    </row>
    <row r="340" spans="1:43">
      <c r="A340" s="4">
        <f>IF(B340=" "," ",HYPERLINK(CONCATENATE("#metadata!",ADDRESS(INDEX($W$2:$W$1001,MATCH(ROWS($U$2:U340),$U$2:$U$1001,0),0),2)),INDEX($Z$2:$Z$1001,MATCH(ROWS($U$2:U340),$U$2:$U$1001,0),0)))</f>
        <v>0</v>
      </c>
      <c r="B340" s="5">
        <f>IF(OR(INDEX($V$2:$V$1001,MATCH(ROWS($U$2:U340),$U$2:$U$1001,0),1)&gt;=100000,INDEX($AB$1005:$AQ$1005,1,MATCH(COLUMNS($AB$1006:AB1006),$AB$1006:$AQ$1006,0))&gt;=100000), " ",IF(INDEX($AB$2:$AQ$1001,MATCH(ROWS($U$2:U340),$U$2:$U$1001,0),MATCH(COLUMNS($AB$1006:AB1006),$AB$1006:$AQ$1006,0)), HYPERLINK("#",""), HYPERLINK(CONCATENATE("#Metadata!", ADDRESS(INDEX($W$2:$W$1001,MATCH(ROWS($U$2:U340),$U$2:$U$1001,0),0), INDEX($AB$1004:$AQ$1004,1,MATCH(COLUMNS($AB$1006:AB1006),$AB$1006:$AQ$1006,0)))),"Fix")))</f>
        <v>0</v>
      </c>
      <c r="C340" s="5">
        <f>IF(OR(INDEX($V$2:$V$1001,MATCH(ROWS($U$2:U340),$U$2:$U$1001,0),1)&gt;=100000,INDEX($AB$1005:$AQ$1005,1,MATCH(COLUMNS($AB$1006:AC1006),$AB$1006:$AQ$1006,0))&gt;=100000), " ",IF(INDEX($AB$2:$AQ$1001,MATCH(ROWS($U$2:U340),$U$2:$U$1001,0),MATCH(COLUMNS($AB$1006:AC1006),$AB$1006:$AQ$1006,0)), HYPERLINK("#",""), HYPERLINK(CONCATENATE("#Metadata!", ADDRESS(INDEX($W$2:$W$1001,MATCH(ROWS($U$2:U340),$U$2:$U$1001,0),0), INDEX($AB$1004:$AQ$1004,1,MATCH(COLUMNS($AB$1006:AC1006),$AB$1006:$AQ$1006,0)))),"Fix")))</f>
        <v>0</v>
      </c>
      <c r="D340" s="5">
        <f>IF(OR(INDEX($V$2:$V$1001,MATCH(ROWS($U$2:U340),$U$2:$U$1001,0),1)&gt;=100000,INDEX($AB$1005:$AQ$1005,1,MATCH(COLUMNS($AB$1006:AD1006),$AB$1006:$AQ$1006,0))&gt;=100000), " ",IF(INDEX($AB$2:$AQ$1001,MATCH(ROWS($U$2:U340),$U$2:$U$1001,0),MATCH(COLUMNS($AB$1006:AD1006),$AB$1006:$AQ$1006,0)), HYPERLINK("#",""), HYPERLINK(CONCATENATE("#Metadata!", ADDRESS(INDEX($W$2:$W$1001,MATCH(ROWS($U$2:U340),$U$2:$U$1001,0),0), INDEX($AB$1004:$AQ$1004,1,MATCH(COLUMNS($AB$1006:AD1006),$AB$1006:$AQ$1006,0)))),"Fix")))</f>
        <v>0</v>
      </c>
      <c r="E340" s="5">
        <f>IF(OR(INDEX($V$2:$V$1001,MATCH(ROWS($U$2:U340),$U$2:$U$1001,0),1)&gt;=100000,INDEX($AB$1005:$AQ$1005,1,MATCH(COLUMNS($AB$1006:AE1006),$AB$1006:$AQ$1006,0))&gt;=100000), " ",IF(INDEX($AB$2:$AQ$1001,MATCH(ROWS($U$2:U340),$U$2:$U$1001,0),MATCH(COLUMNS($AB$1006:AE1006),$AB$1006:$AQ$1006,0)), HYPERLINK("#",""), HYPERLINK(CONCATENATE("#Metadata!", ADDRESS(INDEX($W$2:$W$1001,MATCH(ROWS($U$2:U340),$U$2:$U$1001,0),0), INDEX($AB$1004:$AQ$1004,1,MATCH(COLUMNS($AB$1006:AE1006),$AB$1006:$AQ$1006,0)))),"Fix")))</f>
        <v>0</v>
      </c>
      <c r="F340" s="5">
        <f>IF(OR(INDEX($V$2:$V$1001,MATCH(ROWS($U$2:U340),$U$2:$U$1001,0),1)&gt;=100000,INDEX($AB$1005:$AQ$1005,1,MATCH(COLUMNS($AB$1006:AF1006),$AB$1006:$AQ$1006,0))&gt;=100000), " ",IF(INDEX($AB$2:$AQ$1001,MATCH(ROWS($U$2:U340),$U$2:$U$1001,0),MATCH(COLUMNS($AB$1006:AF1006),$AB$1006:$AQ$1006,0)), HYPERLINK("#",""), HYPERLINK(CONCATENATE("#Metadata!", ADDRESS(INDEX($W$2:$W$1001,MATCH(ROWS($U$2:U340),$U$2:$U$1001,0),0), INDEX($AB$1004:$AQ$1004,1,MATCH(COLUMNS($AB$1006:AF1006),$AB$1006:$AQ$1006,0)))),"Fix")))</f>
        <v>0</v>
      </c>
      <c r="G340" s="5">
        <f>IF(OR(INDEX($V$2:$V$1001,MATCH(ROWS($U$2:U340),$U$2:$U$1001,0),1)&gt;=100000,INDEX($AB$1005:$AQ$1005,1,MATCH(COLUMNS($AB$1006:AG1006),$AB$1006:$AQ$1006,0))&gt;=100000), " ",IF(INDEX($AB$2:$AQ$1001,MATCH(ROWS($U$2:U340),$U$2:$U$1001,0),MATCH(COLUMNS($AB$1006:AG1006),$AB$1006:$AQ$1006,0)), HYPERLINK("#",""), HYPERLINK(CONCATENATE("#Metadata!", ADDRESS(INDEX($W$2:$W$1001,MATCH(ROWS($U$2:U340),$U$2:$U$1001,0),0), INDEX($AB$1004:$AQ$1004,1,MATCH(COLUMNS($AB$1006:AG1006),$AB$1006:$AQ$1006,0)))),"Fix")))</f>
        <v>0</v>
      </c>
      <c r="H340" s="5">
        <f>IF(OR(INDEX($V$2:$V$1001,MATCH(ROWS($U$2:U340),$U$2:$U$1001,0),1)&gt;=100000,INDEX($AB$1005:$AQ$1005,1,MATCH(COLUMNS($AB$1006:AH1006),$AB$1006:$AQ$1006,0))&gt;=100000), " ",IF(INDEX($AB$2:$AQ$1001,MATCH(ROWS($U$2:U340),$U$2:$U$1001,0),MATCH(COLUMNS($AB$1006:AH1006),$AB$1006:$AQ$1006,0)), HYPERLINK("#",""), HYPERLINK(CONCATENATE("#Metadata!", ADDRESS(INDEX($W$2:$W$1001,MATCH(ROWS($U$2:U340),$U$2:$U$1001,0),0), INDEX($AB$1004:$AQ$1004,1,MATCH(COLUMNS($AB$1006:AH1006),$AB$1006:$AQ$1006,0)))),"Fix")))</f>
        <v>0</v>
      </c>
      <c r="I340" s="5">
        <f>IF(OR(INDEX($V$2:$V$1001,MATCH(ROWS($U$2:U340),$U$2:$U$1001,0),1)&gt;=100000,INDEX($AB$1005:$AQ$1005,1,MATCH(COLUMNS($AB$1006:AI1006),$AB$1006:$AQ$1006,0))&gt;=100000), " ",IF(INDEX($AB$2:$AQ$1001,MATCH(ROWS($U$2:U340),$U$2:$U$1001,0),MATCH(COLUMNS($AB$1006:AI1006),$AB$1006:$AQ$1006,0)), HYPERLINK("#",""), HYPERLINK(CONCATENATE("#Metadata!", ADDRESS(INDEX($W$2:$W$1001,MATCH(ROWS($U$2:U340),$U$2:$U$1001,0),0), INDEX($AB$1004:$AQ$1004,1,MATCH(COLUMNS($AB$1006:AI1006),$AB$1006:$AQ$1006,0)))),"Fix")))</f>
        <v>0</v>
      </c>
      <c r="J340" s="5">
        <f>IF(OR(INDEX($V$2:$V$1001,MATCH(ROWS($U$2:U340),$U$2:$U$1001,0),1)&gt;=100000,INDEX($AB$1005:$AQ$1005,1,MATCH(COLUMNS($AB$1006:AJ1006),$AB$1006:$AQ$1006,0))&gt;=100000), " ",IF(INDEX($AB$2:$AQ$1001,MATCH(ROWS($U$2:U340),$U$2:$U$1001,0),MATCH(COLUMNS($AB$1006:AJ1006),$AB$1006:$AQ$1006,0)), HYPERLINK("#",""), HYPERLINK(CONCATENATE("#Metadata!", ADDRESS(INDEX($W$2:$W$1001,MATCH(ROWS($U$2:U340),$U$2:$U$1001,0),0), INDEX($AB$1004:$AQ$1004,1,MATCH(COLUMNS($AB$1006:AJ1006),$AB$1006:$AQ$1006,0)))),"Fix")))</f>
        <v>0</v>
      </c>
      <c r="K340" s="5">
        <f>IF(OR(INDEX($V$2:$V$1001,MATCH(ROWS($U$2:U340),$U$2:$U$1001,0),1)&gt;=100000,INDEX($AB$1005:$AQ$1005,1,MATCH(COLUMNS($AB$1006:AK1006),$AB$1006:$AQ$1006,0))&gt;=100000), " ",IF(INDEX($AB$2:$AQ$1001,MATCH(ROWS($U$2:U340),$U$2:$U$1001,0),MATCH(COLUMNS($AB$1006:AK1006),$AB$1006:$AQ$1006,0)), HYPERLINK("#",""), HYPERLINK(CONCATENATE("#Metadata!", ADDRESS(INDEX($W$2:$W$1001,MATCH(ROWS($U$2:U340),$U$2:$U$1001,0),0), INDEX($AB$1004:$AQ$1004,1,MATCH(COLUMNS($AB$1006:AK1006),$AB$1006:$AQ$1006,0)))),"Fix")))</f>
        <v>0</v>
      </c>
      <c r="L340" s="5">
        <f>IF(OR(INDEX($V$2:$V$1001,MATCH(ROWS($U$2:U340),$U$2:$U$1001,0),1)&gt;=100000,INDEX($AB$1005:$AQ$1005,1,MATCH(COLUMNS($AB$1006:AL1006),$AB$1006:$AQ$1006,0))&gt;=100000), " ",IF(INDEX($AB$2:$AQ$1001,MATCH(ROWS($U$2:U340),$U$2:$U$1001,0),MATCH(COLUMNS($AB$1006:AL1006),$AB$1006:$AQ$1006,0)), HYPERLINK("#",""), HYPERLINK(CONCATENATE("#Metadata!", ADDRESS(INDEX($W$2:$W$1001,MATCH(ROWS($U$2:U340),$U$2:$U$1001,0),0), INDEX($AB$1004:$AQ$1004,1,MATCH(COLUMNS($AB$1006:AL1006),$AB$1006:$AQ$1006,0)))),"Fix")))</f>
        <v>0</v>
      </c>
      <c r="M340" s="5">
        <f>IF(OR(INDEX($V$2:$V$1001,MATCH(ROWS($U$2:U340),$U$2:$U$1001,0),1)&gt;=100000,INDEX($AB$1005:$AQ$1005,1,MATCH(COLUMNS($AB$1006:AM1006),$AB$1006:$AQ$1006,0))&gt;=100000), " ",IF(INDEX($AB$2:$AQ$1001,MATCH(ROWS($U$2:U340),$U$2:$U$1001,0),MATCH(COLUMNS($AB$1006:AM1006),$AB$1006:$AQ$1006,0)), HYPERLINK("#",""), HYPERLINK(CONCATENATE("#Metadata!", ADDRESS(INDEX($W$2:$W$1001,MATCH(ROWS($U$2:U340),$U$2:$U$1001,0),0), INDEX($AB$1004:$AQ$1004,1,MATCH(COLUMNS($AB$1006:AM1006),$AB$1006:$AQ$1006,0)))),"Fix")))</f>
        <v>0</v>
      </c>
      <c r="N340" s="5">
        <f>IF(OR(INDEX($V$2:$V$1001,MATCH(ROWS($U$2:U340),$U$2:$U$1001,0),1)&gt;=100000,INDEX($AB$1005:$AQ$1005,1,MATCH(COLUMNS($AB$1006:AN1006),$AB$1006:$AQ$1006,0))&gt;=100000), " ",IF(INDEX($AB$2:$AQ$1001,MATCH(ROWS($U$2:U340),$U$2:$U$1001,0),MATCH(COLUMNS($AB$1006:AN1006),$AB$1006:$AQ$1006,0)), HYPERLINK("#",""), HYPERLINK(CONCATENATE("#Metadata!", ADDRESS(INDEX($W$2:$W$1001,MATCH(ROWS($U$2:U340),$U$2:$U$1001,0),0), INDEX($AB$1004:$AQ$1004,1,MATCH(COLUMNS($AB$1006:AN1006),$AB$1006:$AQ$1006,0)))),"Fix")))</f>
        <v>0</v>
      </c>
      <c r="O340" s="5">
        <f>IF(OR(INDEX($V$2:$V$1001,MATCH(ROWS($U$2:U340),$U$2:$U$1001,0),1)&gt;=100000,INDEX($AB$1005:$AQ$1005,1,MATCH(COLUMNS($AB$1006:AO1006),$AB$1006:$AQ$1006,0))&gt;=100000), " ",IF(INDEX($AB$2:$AQ$1001,MATCH(ROWS($U$2:U340),$U$2:$U$1001,0),MATCH(COLUMNS($AB$1006:AO1006),$AB$1006:$AQ$1006,0)), HYPERLINK("#",""), HYPERLINK(CONCATENATE("#Metadata!", ADDRESS(INDEX($W$2:$W$1001,MATCH(ROWS($U$2:U340),$U$2:$U$1001,0),0), INDEX($AB$1004:$AQ$1004,1,MATCH(COLUMNS($AB$1006:AO1006),$AB$1006:$AQ$1006,0)))),"Fix")))</f>
        <v>0</v>
      </c>
      <c r="P340" s="5">
        <f>IF(OR(INDEX($V$2:$V$1001,MATCH(ROWS($U$2:U340),$U$2:$U$1001,0),1)&gt;=100000,INDEX($AB$1005:$AQ$1005,1,MATCH(COLUMNS($AB$1006:AP1006),$AB$1006:$AQ$1006,0))&gt;=100000), " ",IF(INDEX($AB$2:$AQ$1001,MATCH(ROWS($U$2:U340),$U$2:$U$1001,0),MATCH(COLUMNS($AB$1006:AP1006),$AB$1006:$AQ$1006,0)), HYPERLINK("#",""), HYPERLINK(CONCATENATE("#Metadata!", ADDRESS(INDEX($W$2:$W$1001,MATCH(ROWS($U$2:U340),$U$2:$U$1001,0),0), INDEX($AB$1004:$AQ$1004,1,MATCH(COLUMNS($AB$1006:AP1006),$AB$1006:$AQ$1006,0)))),"Fix")))</f>
        <v>0</v>
      </c>
      <c r="Q340" s="5">
        <f>IF(OR(INDEX($V$2:$V$1001,MATCH(ROWS($U$2:U340),$U$2:$U$1001,0),1)&gt;=100000,INDEX($AB$1005:$AQ$1005,1,MATCH(COLUMNS($AB$1006:AQ1006),$AB$1006:$AQ$1006,0))&gt;=100000), " ",IF(INDEX($AB$2:$AQ$1001,MATCH(ROWS($U$2:U340),$U$2:$U$1001,0),MATCH(COLUMNS($AB$1006:AQ1006),$AB$1006:$AQ$1006,0)), HYPERLINK("#",""), HYPERLINK(CONCATENATE("#Metadata!", ADDRESS(INDEX($W$2:$W$1001,MATCH(ROWS($U$2:U340),$U$2:$U$1001,0),0), INDEX($AB$1004:$AQ$1004,1,MATCH(COLUMNS($AB$1006:AQ1006),$AB$1006:$AQ$1006,0)))),"Fix")))</f>
        <v>0</v>
      </c>
      <c r="U340">
        <v>0</v>
      </c>
      <c r="V340">
        <v>0</v>
      </c>
      <c r="W340">
        <v>0</v>
      </c>
      <c r="X340">
        <f>IF(Y340,TRUE,AND(AB340:AQ340))</f>
        <v>0</v>
      </c>
      <c r="Y340">
        <f>COUNTBLANK(Metadata!B340:Q340)=COLUMNS(Metadata!B340:Q340)</f>
        <v>0</v>
      </c>
      <c r="Z340">
        <v>0</v>
      </c>
      <c r="AB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AC340">
        <f>AND(IF(Metadata!C340="",FALSE,TRUE),exact(Metadata!C340,"urban biome"))</f>
        <v>0</v>
      </c>
      <c r="AD340">
        <f>AND(IF(Metadata!D340="",FALSE,TRUE),exact(Metadata!D340,"human-associated habitat"))</f>
        <v>0</v>
      </c>
      <c r="AE340">
        <f>AND(IF(Metadata!E340="",FALSE,TRUE),OR(exact(Metadata!E340,"human-associated"),exact(Metadata!E340,"human-skin"),exact(Metadata!E340,"human-oral"),exact(Metadata!E340,"human-gut"),exact(Metadata!E340,"human-vaginal")))</f>
        <v>0</v>
      </c>
      <c r="AF340">
        <f>AND(IF(Metadata!F340="",FALSE,ISNUMBER(VALUE(Metadata!F340))),Metadata!F340&gt;0)</f>
        <v>0</v>
      </c>
      <c r="AG340">
        <f>AND(IF(Metadata!G340="",FALSE,TRUE),exact(Metadata!G340,"years"))</f>
        <v>0</v>
      </c>
      <c r="AH340">
        <f>OR(AND(IF(Metadata!H340="",FALSE,TRUE),OR(exact(Metadata!H340,"not applicable"),exact(Metadata!H340,"not collected"),exact(Metadata!H340,"not provided"),exact(Metadata!H340,"restricted access"))),AND(IF(Metadata!H340="",FALSE,ISNUMBER(VALUE(Metadata!H340))),Metadata!H340&gt;0))</f>
        <v>0</v>
      </c>
      <c r="AI340">
        <f>AND(IF(Metadata!I340="",FALSE,TRUE),exact(Metadata!I340,"human"))</f>
        <v>0</v>
      </c>
      <c r="AJ340">
        <f>AND(IF(Metadata!J340="",FALSE,ISNUMBER(VALUE(Metadata!J340))),Metadata!J340&gt;0)</f>
        <v>0</v>
      </c>
      <c r="AK340">
        <f>AND(IF(Metadata!K340="",FALSE,TRUE),exact(Metadata!K340,"cm"))</f>
        <v>0</v>
      </c>
      <c r="AL340">
        <f>AND(IF(Metadata!L340="",FALSE,TRUE),exact(Metadata!L340,"Homo sapiens"))</f>
        <v>0</v>
      </c>
      <c r="AM340">
        <f>AND(IF(Metadata!M340="",FALSE,TRUE),exact(Metadata!M340,"9606"))</f>
        <v>0</v>
      </c>
      <c r="AN340">
        <f>AND(IF(Metadata!N340="",FALSE,ISNUMBER(VALUE(Metadata!N340))),Metadata!N340&gt;0)</f>
        <v>0</v>
      </c>
      <c r="AO340">
        <f>AND(IF(Metadata!O340="",FALSE,TRUE),exact(Metadata!O340,"kg"))</f>
        <v>0</v>
      </c>
      <c r="AP340">
        <f>OR(AND(IF(Metadata!P340="",FALSE,TRUE),exact(Metadata!P340,"not provided")),IF(Metadata!P340="",FALSE,TRUE))</f>
        <v>0</v>
      </c>
      <c r="AQ340">
        <f>OR(AND(IF(Metadata!Q340="",FALSE,TRUE),exact(Metadata!Q340,"not provided")),IF(Metadata!Q340="",FALSE,TRUE))</f>
        <v>0</v>
      </c>
    </row>
    <row r="341" spans="1:43">
      <c r="A341" s="4">
        <f>IF(B341=" "," ",HYPERLINK(CONCATENATE("#metadata!",ADDRESS(INDEX($W$2:$W$1001,MATCH(ROWS($U$2:U341),$U$2:$U$1001,0),0),2)),INDEX($Z$2:$Z$1001,MATCH(ROWS($U$2:U341),$U$2:$U$1001,0),0)))</f>
        <v>0</v>
      </c>
      <c r="B341" s="5">
        <f>IF(OR(INDEX($V$2:$V$1001,MATCH(ROWS($U$2:U341),$U$2:$U$1001,0),1)&gt;=100000,INDEX($AB$1005:$AQ$1005,1,MATCH(COLUMNS($AB$1006:AB1006),$AB$1006:$AQ$1006,0))&gt;=100000), " ",IF(INDEX($AB$2:$AQ$1001,MATCH(ROWS($U$2:U341),$U$2:$U$1001,0),MATCH(COLUMNS($AB$1006:AB1006),$AB$1006:$AQ$1006,0)), HYPERLINK("#",""), HYPERLINK(CONCATENATE("#Metadata!", ADDRESS(INDEX($W$2:$W$1001,MATCH(ROWS($U$2:U341),$U$2:$U$1001,0),0), INDEX($AB$1004:$AQ$1004,1,MATCH(COLUMNS($AB$1006:AB1006),$AB$1006:$AQ$1006,0)))),"Fix")))</f>
        <v>0</v>
      </c>
      <c r="C341" s="5">
        <f>IF(OR(INDEX($V$2:$V$1001,MATCH(ROWS($U$2:U341),$U$2:$U$1001,0),1)&gt;=100000,INDEX($AB$1005:$AQ$1005,1,MATCH(COLUMNS($AB$1006:AC1006),$AB$1006:$AQ$1006,0))&gt;=100000), " ",IF(INDEX($AB$2:$AQ$1001,MATCH(ROWS($U$2:U341),$U$2:$U$1001,0),MATCH(COLUMNS($AB$1006:AC1006),$AB$1006:$AQ$1006,0)), HYPERLINK("#",""), HYPERLINK(CONCATENATE("#Metadata!", ADDRESS(INDEX($W$2:$W$1001,MATCH(ROWS($U$2:U341),$U$2:$U$1001,0),0), INDEX($AB$1004:$AQ$1004,1,MATCH(COLUMNS($AB$1006:AC1006),$AB$1006:$AQ$1006,0)))),"Fix")))</f>
        <v>0</v>
      </c>
      <c r="D341" s="5">
        <f>IF(OR(INDEX($V$2:$V$1001,MATCH(ROWS($U$2:U341),$U$2:$U$1001,0),1)&gt;=100000,INDEX($AB$1005:$AQ$1005,1,MATCH(COLUMNS($AB$1006:AD1006),$AB$1006:$AQ$1006,0))&gt;=100000), " ",IF(INDEX($AB$2:$AQ$1001,MATCH(ROWS($U$2:U341),$U$2:$U$1001,0),MATCH(COLUMNS($AB$1006:AD1006),$AB$1006:$AQ$1006,0)), HYPERLINK("#",""), HYPERLINK(CONCATENATE("#Metadata!", ADDRESS(INDEX($W$2:$W$1001,MATCH(ROWS($U$2:U341),$U$2:$U$1001,0),0), INDEX($AB$1004:$AQ$1004,1,MATCH(COLUMNS($AB$1006:AD1006),$AB$1006:$AQ$1006,0)))),"Fix")))</f>
        <v>0</v>
      </c>
      <c r="E341" s="5">
        <f>IF(OR(INDEX($V$2:$V$1001,MATCH(ROWS($U$2:U341),$U$2:$U$1001,0),1)&gt;=100000,INDEX($AB$1005:$AQ$1005,1,MATCH(COLUMNS($AB$1006:AE1006),$AB$1006:$AQ$1006,0))&gt;=100000), " ",IF(INDEX($AB$2:$AQ$1001,MATCH(ROWS($U$2:U341),$U$2:$U$1001,0),MATCH(COLUMNS($AB$1006:AE1006),$AB$1006:$AQ$1006,0)), HYPERLINK("#",""), HYPERLINK(CONCATENATE("#Metadata!", ADDRESS(INDEX($W$2:$W$1001,MATCH(ROWS($U$2:U341),$U$2:$U$1001,0),0), INDEX($AB$1004:$AQ$1004,1,MATCH(COLUMNS($AB$1006:AE1006),$AB$1006:$AQ$1006,0)))),"Fix")))</f>
        <v>0</v>
      </c>
      <c r="F341" s="5">
        <f>IF(OR(INDEX($V$2:$V$1001,MATCH(ROWS($U$2:U341),$U$2:$U$1001,0),1)&gt;=100000,INDEX($AB$1005:$AQ$1005,1,MATCH(COLUMNS($AB$1006:AF1006),$AB$1006:$AQ$1006,0))&gt;=100000), " ",IF(INDEX($AB$2:$AQ$1001,MATCH(ROWS($U$2:U341),$U$2:$U$1001,0),MATCH(COLUMNS($AB$1006:AF1006),$AB$1006:$AQ$1006,0)), HYPERLINK("#",""), HYPERLINK(CONCATENATE("#Metadata!", ADDRESS(INDEX($W$2:$W$1001,MATCH(ROWS($U$2:U341),$U$2:$U$1001,0),0), INDEX($AB$1004:$AQ$1004,1,MATCH(COLUMNS($AB$1006:AF1006),$AB$1006:$AQ$1006,0)))),"Fix")))</f>
        <v>0</v>
      </c>
      <c r="G341" s="5">
        <f>IF(OR(INDEX($V$2:$V$1001,MATCH(ROWS($U$2:U341),$U$2:$U$1001,0),1)&gt;=100000,INDEX($AB$1005:$AQ$1005,1,MATCH(COLUMNS($AB$1006:AG1006),$AB$1006:$AQ$1006,0))&gt;=100000), " ",IF(INDEX($AB$2:$AQ$1001,MATCH(ROWS($U$2:U341),$U$2:$U$1001,0),MATCH(COLUMNS($AB$1006:AG1006),$AB$1006:$AQ$1006,0)), HYPERLINK("#",""), HYPERLINK(CONCATENATE("#Metadata!", ADDRESS(INDEX($W$2:$W$1001,MATCH(ROWS($U$2:U341),$U$2:$U$1001,0),0), INDEX($AB$1004:$AQ$1004,1,MATCH(COLUMNS($AB$1006:AG1006),$AB$1006:$AQ$1006,0)))),"Fix")))</f>
        <v>0</v>
      </c>
      <c r="H341" s="5">
        <f>IF(OR(INDEX($V$2:$V$1001,MATCH(ROWS($U$2:U341),$U$2:$U$1001,0),1)&gt;=100000,INDEX($AB$1005:$AQ$1005,1,MATCH(COLUMNS($AB$1006:AH1006),$AB$1006:$AQ$1006,0))&gt;=100000), " ",IF(INDEX($AB$2:$AQ$1001,MATCH(ROWS($U$2:U341),$U$2:$U$1001,0),MATCH(COLUMNS($AB$1006:AH1006),$AB$1006:$AQ$1006,0)), HYPERLINK("#",""), HYPERLINK(CONCATENATE("#Metadata!", ADDRESS(INDEX($W$2:$W$1001,MATCH(ROWS($U$2:U341),$U$2:$U$1001,0),0), INDEX($AB$1004:$AQ$1004,1,MATCH(COLUMNS($AB$1006:AH1006),$AB$1006:$AQ$1006,0)))),"Fix")))</f>
        <v>0</v>
      </c>
      <c r="I341" s="5">
        <f>IF(OR(INDEX($V$2:$V$1001,MATCH(ROWS($U$2:U341),$U$2:$U$1001,0),1)&gt;=100000,INDEX($AB$1005:$AQ$1005,1,MATCH(COLUMNS($AB$1006:AI1006),$AB$1006:$AQ$1006,0))&gt;=100000), " ",IF(INDEX($AB$2:$AQ$1001,MATCH(ROWS($U$2:U341),$U$2:$U$1001,0),MATCH(COLUMNS($AB$1006:AI1006),$AB$1006:$AQ$1006,0)), HYPERLINK("#",""), HYPERLINK(CONCATENATE("#Metadata!", ADDRESS(INDEX($W$2:$W$1001,MATCH(ROWS($U$2:U341),$U$2:$U$1001,0),0), INDEX($AB$1004:$AQ$1004,1,MATCH(COLUMNS($AB$1006:AI1006),$AB$1006:$AQ$1006,0)))),"Fix")))</f>
        <v>0</v>
      </c>
      <c r="J341" s="5">
        <f>IF(OR(INDEX($V$2:$V$1001,MATCH(ROWS($U$2:U341),$U$2:$U$1001,0),1)&gt;=100000,INDEX($AB$1005:$AQ$1005,1,MATCH(COLUMNS($AB$1006:AJ1006),$AB$1006:$AQ$1006,0))&gt;=100000), " ",IF(INDEX($AB$2:$AQ$1001,MATCH(ROWS($U$2:U341),$U$2:$U$1001,0),MATCH(COLUMNS($AB$1006:AJ1006),$AB$1006:$AQ$1006,0)), HYPERLINK("#",""), HYPERLINK(CONCATENATE("#Metadata!", ADDRESS(INDEX($W$2:$W$1001,MATCH(ROWS($U$2:U341),$U$2:$U$1001,0),0), INDEX($AB$1004:$AQ$1004,1,MATCH(COLUMNS($AB$1006:AJ1006),$AB$1006:$AQ$1006,0)))),"Fix")))</f>
        <v>0</v>
      </c>
      <c r="K341" s="5">
        <f>IF(OR(INDEX($V$2:$V$1001,MATCH(ROWS($U$2:U341),$U$2:$U$1001,0),1)&gt;=100000,INDEX($AB$1005:$AQ$1005,1,MATCH(COLUMNS($AB$1006:AK1006),$AB$1006:$AQ$1006,0))&gt;=100000), " ",IF(INDEX($AB$2:$AQ$1001,MATCH(ROWS($U$2:U341),$U$2:$U$1001,0),MATCH(COLUMNS($AB$1006:AK1006),$AB$1006:$AQ$1006,0)), HYPERLINK("#",""), HYPERLINK(CONCATENATE("#Metadata!", ADDRESS(INDEX($W$2:$W$1001,MATCH(ROWS($U$2:U341),$U$2:$U$1001,0),0), INDEX($AB$1004:$AQ$1004,1,MATCH(COLUMNS($AB$1006:AK1006),$AB$1006:$AQ$1006,0)))),"Fix")))</f>
        <v>0</v>
      </c>
      <c r="L341" s="5">
        <f>IF(OR(INDEX($V$2:$V$1001,MATCH(ROWS($U$2:U341),$U$2:$U$1001,0),1)&gt;=100000,INDEX($AB$1005:$AQ$1005,1,MATCH(COLUMNS($AB$1006:AL1006),$AB$1006:$AQ$1006,0))&gt;=100000), " ",IF(INDEX($AB$2:$AQ$1001,MATCH(ROWS($U$2:U341),$U$2:$U$1001,0),MATCH(COLUMNS($AB$1006:AL1006),$AB$1006:$AQ$1006,0)), HYPERLINK("#",""), HYPERLINK(CONCATENATE("#Metadata!", ADDRESS(INDEX($W$2:$W$1001,MATCH(ROWS($U$2:U341),$U$2:$U$1001,0),0), INDEX($AB$1004:$AQ$1004,1,MATCH(COLUMNS($AB$1006:AL1006),$AB$1006:$AQ$1006,0)))),"Fix")))</f>
        <v>0</v>
      </c>
      <c r="M341" s="5">
        <f>IF(OR(INDEX($V$2:$V$1001,MATCH(ROWS($U$2:U341),$U$2:$U$1001,0),1)&gt;=100000,INDEX($AB$1005:$AQ$1005,1,MATCH(COLUMNS($AB$1006:AM1006),$AB$1006:$AQ$1006,0))&gt;=100000), " ",IF(INDEX($AB$2:$AQ$1001,MATCH(ROWS($U$2:U341),$U$2:$U$1001,0),MATCH(COLUMNS($AB$1006:AM1006),$AB$1006:$AQ$1006,0)), HYPERLINK("#",""), HYPERLINK(CONCATENATE("#Metadata!", ADDRESS(INDEX($W$2:$W$1001,MATCH(ROWS($U$2:U341),$U$2:$U$1001,0),0), INDEX($AB$1004:$AQ$1004,1,MATCH(COLUMNS($AB$1006:AM1006),$AB$1006:$AQ$1006,0)))),"Fix")))</f>
        <v>0</v>
      </c>
      <c r="N341" s="5">
        <f>IF(OR(INDEX($V$2:$V$1001,MATCH(ROWS($U$2:U341),$U$2:$U$1001,0),1)&gt;=100000,INDEX($AB$1005:$AQ$1005,1,MATCH(COLUMNS($AB$1006:AN1006),$AB$1006:$AQ$1006,0))&gt;=100000), " ",IF(INDEX($AB$2:$AQ$1001,MATCH(ROWS($U$2:U341),$U$2:$U$1001,0),MATCH(COLUMNS($AB$1006:AN1006),$AB$1006:$AQ$1006,0)), HYPERLINK("#",""), HYPERLINK(CONCATENATE("#Metadata!", ADDRESS(INDEX($W$2:$W$1001,MATCH(ROWS($U$2:U341),$U$2:$U$1001,0),0), INDEX($AB$1004:$AQ$1004,1,MATCH(COLUMNS($AB$1006:AN1006),$AB$1006:$AQ$1006,0)))),"Fix")))</f>
        <v>0</v>
      </c>
      <c r="O341" s="5">
        <f>IF(OR(INDEX($V$2:$V$1001,MATCH(ROWS($U$2:U341),$U$2:$U$1001,0),1)&gt;=100000,INDEX($AB$1005:$AQ$1005,1,MATCH(COLUMNS($AB$1006:AO1006),$AB$1006:$AQ$1006,0))&gt;=100000), " ",IF(INDEX($AB$2:$AQ$1001,MATCH(ROWS($U$2:U341),$U$2:$U$1001,0),MATCH(COLUMNS($AB$1006:AO1006),$AB$1006:$AQ$1006,0)), HYPERLINK("#",""), HYPERLINK(CONCATENATE("#Metadata!", ADDRESS(INDEX($W$2:$W$1001,MATCH(ROWS($U$2:U341),$U$2:$U$1001,0),0), INDEX($AB$1004:$AQ$1004,1,MATCH(COLUMNS($AB$1006:AO1006),$AB$1006:$AQ$1006,0)))),"Fix")))</f>
        <v>0</v>
      </c>
      <c r="P341" s="5">
        <f>IF(OR(INDEX($V$2:$V$1001,MATCH(ROWS($U$2:U341),$U$2:$U$1001,0),1)&gt;=100000,INDEX($AB$1005:$AQ$1005,1,MATCH(COLUMNS($AB$1006:AP1006),$AB$1006:$AQ$1006,0))&gt;=100000), " ",IF(INDEX($AB$2:$AQ$1001,MATCH(ROWS($U$2:U341),$U$2:$U$1001,0),MATCH(COLUMNS($AB$1006:AP1006),$AB$1006:$AQ$1006,0)), HYPERLINK("#",""), HYPERLINK(CONCATENATE("#Metadata!", ADDRESS(INDEX($W$2:$W$1001,MATCH(ROWS($U$2:U341),$U$2:$U$1001,0),0), INDEX($AB$1004:$AQ$1004,1,MATCH(COLUMNS($AB$1006:AP1006),$AB$1006:$AQ$1006,0)))),"Fix")))</f>
        <v>0</v>
      </c>
      <c r="Q341" s="5">
        <f>IF(OR(INDEX($V$2:$V$1001,MATCH(ROWS($U$2:U341),$U$2:$U$1001,0),1)&gt;=100000,INDEX($AB$1005:$AQ$1005,1,MATCH(COLUMNS($AB$1006:AQ1006),$AB$1006:$AQ$1006,0))&gt;=100000), " ",IF(INDEX($AB$2:$AQ$1001,MATCH(ROWS($U$2:U341),$U$2:$U$1001,0),MATCH(COLUMNS($AB$1006:AQ1006),$AB$1006:$AQ$1006,0)), HYPERLINK("#",""), HYPERLINK(CONCATENATE("#Metadata!", ADDRESS(INDEX($W$2:$W$1001,MATCH(ROWS($U$2:U341),$U$2:$U$1001,0),0), INDEX($AB$1004:$AQ$1004,1,MATCH(COLUMNS($AB$1006:AQ1006),$AB$1006:$AQ$1006,0)))),"Fix")))</f>
        <v>0</v>
      </c>
      <c r="U341">
        <v>0</v>
      </c>
      <c r="V341">
        <v>0</v>
      </c>
      <c r="W341">
        <v>0</v>
      </c>
      <c r="X341">
        <f>IF(Y341,TRUE,AND(AB341:AQ341))</f>
        <v>0</v>
      </c>
      <c r="Y341">
        <f>COUNTBLANK(Metadata!B341:Q341)=COLUMNS(Metadata!B341:Q341)</f>
        <v>0</v>
      </c>
      <c r="Z341">
        <v>0</v>
      </c>
      <c r="AB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AC341">
        <f>AND(IF(Metadata!C341="",FALSE,TRUE),exact(Metadata!C341,"urban biome"))</f>
        <v>0</v>
      </c>
      <c r="AD341">
        <f>AND(IF(Metadata!D341="",FALSE,TRUE),exact(Metadata!D341,"human-associated habitat"))</f>
        <v>0</v>
      </c>
      <c r="AE341">
        <f>AND(IF(Metadata!E341="",FALSE,TRUE),OR(exact(Metadata!E341,"human-associated"),exact(Metadata!E341,"human-skin"),exact(Metadata!E341,"human-oral"),exact(Metadata!E341,"human-gut"),exact(Metadata!E341,"human-vaginal")))</f>
        <v>0</v>
      </c>
      <c r="AF341">
        <f>AND(IF(Metadata!F341="",FALSE,ISNUMBER(VALUE(Metadata!F341))),Metadata!F341&gt;0)</f>
        <v>0</v>
      </c>
      <c r="AG341">
        <f>AND(IF(Metadata!G341="",FALSE,TRUE),exact(Metadata!G341,"years"))</f>
        <v>0</v>
      </c>
      <c r="AH341">
        <f>OR(AND(IF(Metadata!H341="",FALSE,TRUE),OR(exact(Metadata!H341,"not applicable"),exact(Metadata!H341,"not collected"),exact(Metadata!H341,"not provided"),exact(Metadata!H341,"restricted access"))),AND(IF(Metadata!H341="",FALSE,ISNUMBER(VALUE(Metadata!H341))),Metadata!H341&gt;0))</f>
        <v>0</v>
      </c>
      <c r="AI341">
        <f>AND(IF(Metadata!I341="",FALSE,TRUE),exact(Metadata!I341,"human"))</f>
        <v>0</v>
      </c>
      <c r="AJ341">
        <f>AND(IF(Metadata!J341="",FALSE,ISNUMBER(VALUE(Metadata!J341))),Metadata!J341&gt;0)</f>
        <v>0</v>
      </c>
      <c r="AK341">
        <f>AND(IF(Metadata!K341="",FALSE,TRUE),exact(Metadata!K341,"cm"))</f>
        <v>0</v>
      </c>
      <c r="AL341">
        <f>AND(IF(Metadata!L341="",FALSE,TRUE),exact(Metadata!L341,"Homo sapiens"))</f>
        <v>0</v>
      </c>
      <c r="AM341">
        <f>AND(IF(Metadata!M341="",FALSE,TRUE),exact(Metadata!M341,"9606"))</f>
        <v>0</v>
      </c>
      <c r="AN341">
        <f>AND(IF(Metadata!N341="",FALSE,ISNUMBER(VALUE(Metadata!N341))),Metadata!N341&gt;0)</f>
        <v>0</v>
      </c>
      <c r="AO341">
        <f>AND(IF(Metadata!O341="",FALSE,TRUE),exact(Metadata!O341,"kg"))</f>
        <v>0</v>
      </c>
      <c r="AP341">
        <f>OR(AND(IF(Metadata!P341="",FALSE,TRUE),exact(Metadata!P341,"not provided")),IF(Metadata!P341="",FALSE,TRUE))</f>
        <v>0</v>
      </c>
      <c r="AQ341">
        <f>OR(AND(IF(Metadata!Q341="",FALSE,TRUE),exact(Metadata!Q341,"not provided")),IF(Metadata!Q341="",FALSE,TRUE))</f>
        <v>0</v>
      </c>
    </row>
    <row r="342" spans="1:43">
      <c r="A342" s="4">
        <f>IF(B342=" "," ",HYPERLINK(CONCATENATE("#metadata!",ADDRESS(INDEX($W$2:$W$1001,MATCH(ROWS($U$2:U342),$U$2:$U$1001,0),0),2)),INDEX($Z$2:$Z$1001,MATCH(ROWS($U$2:U342),$U$2:$U$1001,0),0)))</f>
        <v>0</v>
      </c>
      <c r="B342" s="5">
        <f>IF(OR(INDEX($V$2:$V$1001,MATCH(ROWS($U$2:U342),$U$2:$U$1001,0),1)&gt;=100000,INDEX($AB$1005:$AQ$1005,1,MATCH(COLUMNS($AB$1006:AB1006),$AB$1006:$AQ$1006,0))&gt;=100000), " ",IF(INDEX($AB$2:$AQ$1001,MATCH(ROWS($U$2:U342),$U$2:$U$1001,0),MATCH(COLUMNS($AB$1006:AB1006),$AB$1006:$AQ$1006,0)), HYPERLINK("#",""), HYPERLINK(CONCATENATE("#Metadata!", ADDRESS(INDEX($W$2:$W$1001,MATCH(ROWS($U$2:U342),$U$2:$U$1001,0),0), INDEX($AB$1004:$AQ$1004,1,MATCH(COLUMNS($AB$1006:AB1006),$AB$1006:$AQ$1006,0)))),"Fix")))</f>
        <v>0</v>
      </c>
      <c r="C342" s="5">
        <f>IF(OR(INDEX($V$2:$V$1001,MATCH(ROWS($U$2:U342),$U$2:$U$1001,0),1)&gt;=100000,INDEX($AB$1005:$AQ$1005,1,MATCH(COLUMNS($AB$1006:AC1006),$AB$1006:$AQ$1006,0))&gt;=100000), " ",IF(INDEX($AB$2:$AQ$1001,MATCH(ROWS($U$2:U342),$U$2:$U$1001,0),MATCH(COLUMNS($AB$1006:AC1006),$AB$1006:$AQ$1006,0)), HYPERLINK("#",""), HYPERLINK(CONCATENATE("#Metadata!", ADDRESS(INDEX($W$2:$W$1001,MATCH(ROWS($U$2:U342),$U$2:$U$1001,0),0), INDEX($AB$1004:$AQ$1004,1,MATCH(COLUMNS($AB$1006:AC1006),$AB$1006:$AQ$1006,0)))),"Fix")))</f>
        <v>0</v>
      </c>
      <c r="D342" s="5">
        <f>IF(OR(INDEX($V$2:$V$1001,MATCH(ROWS($U$2:U342),$U$2:$U$1001,0),1)&gt;=100000,INDEX($AB$1005:$AQ$1005,1,MATCH(COLUMNS($AB$1006:AD1006),$AB$1006:$AQ$1006,0))&gt;=100000), " ",IF(INDEX($AB$2:$AQ$1001,MATCH(ROWS($U$2:U342),$U$2:$U$1001,0),MATCH(COLUMNS($AB$1006:AD1006),$AB$1006:$AQ$1006,0)), HYPERLINK("#",""), HYPERLINK(CONCATENATE("#Metadata!", ADDRESS(INDEX($W$2:$W$1001,MATCH(ROWS($U$2:U342),$U$2:$U$1001,0),0), INDEX($AB$1004:$AQ$1004,1,MATCH(COLUMNS($AB$1006:AD1006),$AB$1006:$AQ$1006,0)))),"Fix")))</f>
        <v>0</v>
      </c>
      <c r="E342" s="5">
        <f>IF(OR(INDEX($V$2:$V$1001,MATCH(ROWS($U$2:U342),$U$2:$U$1001,0),1)&gt;=100000,INDEX($AB$1005:$AQ$1005,1,MATCH(COLUMNS($AB$1006:AE1006),$AB$1006:$AQ$1006,0))&gt;=100000), " ",IF(INDEX($AB$2:$AQ$1001,MATCH(ROWS($U$2:U342),$U$2:$U$1001,0),MATCH(COLUMNS($AB$1006:AE1006),$AB$1006:$AQ$1006,0)), HYPERLINK("#",""), HYPERLINK(CONCATENATE("#Metadata!", ADDRESS(INDEX($W$2:$W$1001,MATCH(ROWS($U$2:U342),$U$2:$U$1001,0),0), INDEX($AB$1004:$AQ$1004,1,MATCH(COLUMNS($AB$1006:AE1006),$AB$1006:$AQ$1006,0)))),"Fix")))</f>
        <v>0</v>
      </c>
      <c r="F342" s="5">
        <f>IF(OR(INDEX($V$2:$V$1001,MATCH(ROWS($U$2:U342),$U$2:$U$1001,0),1)&gt;=100000,INDEX($AB$1005:$AQ$1005,1,MATCH(COLUMNS($AB$1006:AF1006),$AB$1006:$AQ$1006,0))&gt;=100000), " ",IF(INDEX($AB$2:$AQ$1001,MATCH(ROWS($U$2:U342),$U$2:$U$1001,0),MATCH(COLUMNS($AB$1006:AF1006),$AB$1006:$AQ$1006,0)), HYPERLINK("#",""), HYPERLINK(CONCATENATE("#Metadata!", ADDRESS(INDEX($W$2:$W$1001,MATCH(ROWS($U$2:U342),$U$2:$U$1001,0),0), INDEX($AB$1004:$AQ$1004,1,MATCH(COLUMNS($AB$1006:AF1006),$AB$1006:$AQ$1006,0)))),"Fix")))</f>
        <v>0</v>
      </c>
      <c r="G342" s="5">
        <f>IF(OR(INDEX($V$2:$V$1001,MATCH(ROWS($U$2:U342),$U$2:$U$1001,0),1)&gt;=100000,INDEX($AB$1005:$AQ$1005,1,MATCH(COLUMNS($AB$1006:AG1006),$AB$1006:$AQ$1006,0))&gt;=100000), " ",IF(INDEX($AB$2:$AQ$1001,MATCH(ROWS($U$2:U342),$U$2:$U$1001,0),MATCH(COLUMNS($AB$1006:AG1006),$AB$1006:$AQ$1006,0)), HYPERLINK("#",""), HYPERLINK(CONCATENATE("#Metadata!", ADDRESS(INDEX($W$2:$W$1001,MATCH(ROWS($U$2:U342),$U$2:$U$1001,0),0), INDEX($AB$1004:$AQ$1004,1,MATCH(COLUMNS($AB$1006:AG1006),$AB$1006:$AQ$1006,0)))),"Fix")))</f>
        <v>0</v>
      </c>
      <c r="H342" s="5">
        <f>IF(OR(INDEX($V$2:$V$1001,MATCH(ROWS($U$2:U342),$U$2:$U$1001,0),1)&gt;=100000,INDEX($AB$1005:$AQ$1005,1,MATCH(COLUMNS($AB$1006:AH1006),$AB$1006:$AQ$1006,0))&gt;=100000), " ",IF(INDEX($AB$2:$AQ$1001,MATCH(ROWS($U$2:U342),$U$2:$U$1001,0),MATCH(COLUMNS($AB$1006:AH1006),$AB$1006:$AQ$1006,0)), HYPERLINK("#",""), HYPERLINK(CONCATENATE("#Metadata!", ADDRESS(INDEX($W$2:$W$1001,MATCH(ROWS($U$2:U342),$U$2:$U$1001,0),0), INDEX($AB$1004:$AQ$1004,1,MATCH(COLUMNS($AB$1006:AH1006),$AB$1006:$AQ$1006,0)))),"Fix")))</f>
        <v>0</v>
      </c>
      <c r="I342" s="5">
        <f>IF(OR(INDEX($V$2:$V$1001,MATCH(ROWS($U$2:U342),$U$2:$U$1001,0),1)&gt;=100000,INDEX($AB$1005:$AQ$1005,1,MATCH(COLUMNS($AB$1006:AI1006),$AB$1006:$AQ$1006,0))&gt;=100000), " ",IF(INDEX($AB$2:$AQ$1001,MATCH(ROWS($U$2:U342),$U$2:$U$1001,0),MATCH(COLUMNS($AB$1006:AI1006),$AB$1006:$AQ$1006,0)), HYPERLINK("#",""), HYPERLINK(CONCATENATE("#Metadata!", ADDRESS(INDEX($W$2:$W$1001,MATCH(ROWS($U$2:U342),$U$2:$U$1001,0),0), INDEX($AB$1004:$AQ$1004,1,MATCH(COLUMNS($AB$1006:AI1006),$AB$1006:$AQ$1006,0)))),"Fix")))</f>
        <v>0</v>
      </c>
      <c r="J342" s="5">
        <f>IF(OR(INDEX($V$2:$V$1001,MATCH(ROWS($U$2:U342),$U$2:$U$1001,0),1)&gt;=100000,INDEX($AB$1005:$AQ$1005,1,MATCH(COLUMNS($AB$1006:AJ1006),$AB$1006:$AQ$1006,0))&gt;=100000), " ",IF(INDEX($AB$2:$AQ$1001,MATCH(ROWS($U$2:U342),$U$2:$U$1001,0),MATCH(COLUMNS($AB$1006:AJ1006),$AB$1006:$AQ$1006,0)), HYPERLINK("#",""), HYPERLINK(CONCATENATE("#Metadata!", ADDRESS(INDEX($W$2:$W$1001,MATCH(ROWS($U$2:U342),$U$2:$U$1001,0),0), INDEX($AB$1004:$AQ$1004,1,MATCH(COLUMNS($AB$1006:AJ1006),$AB$1006:$AQ$1006,0)))),"Fix")))</f>
        <v>0</v>
      </c>
      <c r="K342" s="5">
        <f>IF(OR(INDEX($V$2:$V$1001,MATCH(ROWS($U$2:U342),$U$2:$U$1001,0),1)&gt;=100000,INDEX($AB$1005:$AQ$1005,1,MATCH(COLUMNS($AB$1006:AK1006),$AB$1006:$AQ$1006,0))&gt;=100000), " ",IF(INDEX($AB$2:$AQ$1001,MATCH(ROWS($U$2:U342),$U$2:$U$1001,0),MATCH(COLUMNS($AB$1006:AK1006),$AB$1006:$AQ$1006,0)), HYPERLINK("#",""), HYPERLINK(CONCATENATE("#Metadata!", ADDRESS(INDEX($W$2:$W$1001,MATCH(ROWS($U$2:U342),$U$2:$U$1001,0),0), INDEX($AB$1004:$AQ$1004,1,MATCH(COLUMNS($AB$1006:AK1006),$AB$1006:$AQ$1006,0)))),"Fix")))</f>
        <v>0</v>
      </c>
      <c r="L342" s="5">
        <f>IF(OR(INDEX($V$2:$V$1001,MATCH(ROWS($U$2:U342),$U$2:$U$1001,0),1)&gt;=100000,INDEX($AB$1005:$AQ$1005,1,MATCH(COLUMNS($AB$1006:AL1006),$AB$1006:$AQ$1006,0))&gt;=100000), " ",IF(INDEX($AB$2:$AQ$1001,MATCH(ROWS($U$2:U342),$U$2:$U$1001,0),MATCH(COLUMNS($AB$1006:AL1006),$AB$1006:$AQ$1006,0)), HYPERLINK("#",""), HYPERLINK(CONCATENATE("#Metadata!", ADDRESS(INDEX($W$2:$W$1001,MATCH(ROWS($U$2:U342),$U$2:$U$1001,0),0), INDEX($AB$1004:$AQ$1004,1,MATCH(COLUMNS($AB$1006:AL1006),$AB$1006:$AQ$1006,0)))),"Fix")))</f>
        <v>0</v>
      </c>
      <c r="M342" s="5">
        <f>IF(OR(INDEX($V$2:$V$1001,MATCH(ROWS($U$2:U342),$U$2:$U$1001,0),1)&gt;=100000,INDEX($AB$1005:$AQ$1005,1,MATCH(COLUMNS($AB$1006:AM1006),$AB$1006:$AQ$1006,0))&gt;=100000), " ",IF(INDEX($AB$2:$AQ$1001,MATCH(ROWS($U$2:U342),$U$2:$U$1001,0),MATCH(COLUMNS($AB$1006:AM1006),$AB$1006:$AQ$1006,0)), HYPERLINK("#",""), HYPERLINK(CONCATENATE("#Metadata!", ADDRESS(INDEX($W$2:$W$1001,MATCH(ROWS($U$2:U342),$U$2:$U$1001,0),0), INDEX($AB$1004:$AQ$1004,1,MATCH(COLUMNS($AB$1006:AM1006),$AB$1006:$AQ$1006,0)))),"Fix")))</f>
        <v>0</v>
      </c>
      <c r="N342" s="5">
        <f>IF(OR(INDEX($V$2:$V$1001,MATCH(ROWS($U$2:U342),$U$2:$U$1001,0),1)&gt;=100000,INDEX($AB$1005:$AQ$1005,1,MATCH(COLUMNS($AB$1006:AN1006),$AB$1006:$AQ$1006,0))&gt;=100000), " ",IF(INDEX($AB$2:$AQ$1001,MATCH(ROWS($U$2:U342),$U$2:$U$1001,0),MATCH(COLUMNS($AB$1006:AN1006),$AB$1006:$AQ$1006,0)), HYPERLINK("#",""), HYPERLINK(CONCATENATE("#Metadata!", ADDRESS(INDEX($W$2:$W$1001,MATCH(ROWS($U$2:U342),$U$2:$U$1001,0),0), INDEX($AB$1004:$AQ$1004,1,MATCH(COLUMNS($AB$1006:AN1006),$AB$1006:$AQ$1006,0)))),"Fix")))</f>
        <v>0</v>
      </c>
      <c r="O342" s="5">
        <f>IF(OR(INDEX($V$2:$V$1001,MATCH(ROWS($U$2:U342),$U$2:$U$1001,0),1)&gt;=100000,INDEX($AB$1005:$AQ$1005,1,MATCH(COLUMNS($AB$1006:AO1006),$AB$1006:$AQ$1006,0))&gt;=100000), " ",IF(INDEX($AB$2:$AQ$1001,MATCH(ROWS($U$2:U342),$U$2:$U$1001,0),MATCH(COLUMNS($AB$1006:AO1006),$AB$1006:$AQ$1006,0)), HYPERLINK("#",""), HYPERLINK(CONCATENATE("#Metadata!", ADDRESS(INDEX($W$2:$W$1001,MATCH(ROWS($U$2:U342),$U$2:$U$1001,0),0), INDEX($AB$1004:$AQ$1004,1,MATCH(COLUMNS($AB$1006:AO1006),$AB$1006:$AQ$1006,0)))),"Fix")))</f>
        <v>0</v>
      </c>
      <c r="P342" s="5">
        <f>IF(OR(INDEX($V$2:$V$1001,MATCH(ROWS($U$2:U342),$U$2:$U$1001,0),1)&gt;=100000,INDEX($AB$1005:$AQ$1005,1,MATCH(COLUMNS($AB$1006:AP1006),$AB$1006:$AQ$1006,0))&gt;=100000), " ",IF(INDEX($AB$2:$AQ$1001,MATCH(ROWS($U$2:U342),$U$2:$U$1001,0),MATCH(COLUMNS($AB$1006:AP1006),$AB$1006:$AQ$1006,0)), HYPERLINK("#",""), HYPERLINK(CONCATENATE("#Metadata!", ADDRESS(INDEX($W$2:$W$1001,MATCH(ROWS($U$2:U342),$U$2:$U$1001,0),0), INDEX($AB$1004:$AQ$1004,1,MATCH(COLUMNS($AB$1006:AP1006),$AB$1006:$AQ$1006,0)))),"Fix")))</f>
        <v>0</v>
      </c>
      <c r="Q342" s="5">
        <f>IF(OR(INDEX($V$2:$V$1001,MATCH(ROWS($U$2:U342),$U$2:$U$1001,0),1)&gt;=100000,INDEX($AB$1005:$AQ$1005,1,MATCH(COLUMNS($AB$1006:AQ1006),$AB$1006:$AQ$1006,0))&gt;=100000), " ",IF(INDEX($AB$2:$AQ$1001,MATCH(ROWS($U$2:U342),$U$2:$U$1001,0),MATCH(COLUMNS($AB$1006:AQ1006),$AB$1006:$AQ$1006,0)), HYPERLINK("#",""), HYPERLINK(CONCATENATE("#Metadata!", ADDRESS(INDEX($W$2:$W$1001,MATCH(ROWS($U$2:U342),$U$2:$U$1001,0),0), INDEX($AB$1004:$AQ$1004,1,MATCH(COLUMNS($AB$1006:AQ1006),$AB$1006:$AQ$1006,0)))),"Fix")))</f>
        <v>0</v>
      </c>
      <c r="U342">
        <v>0</v>
      </c>
      <c r="V342">
        <v>0</v>
      </c>
      <c r="W342">
        <v>0</v>
      </c>
      <c r="X342">
        <f>IF(Y342,TRUE,AND(AB342:AQ342))</f>
        <v>0</v>
      </c>
      <c r="Y342">
        <f>COUNTBLANK(Metadata!B342:Q342)=COLUMNS(Metadata!B342:Q342)</f>
        <v>0</v>
      </c>
      <c r="Z342">
        <v>0</v>
      </c>
      <c r="AB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AC342">
        <f>AND(IF(Metadata!C342="",FALSE,TRUE),exact(Metadata!C342,"urban biome"))</f>
        <v>0</v>
      </c>
      <c r="AD342">
        <f>AND(IF(Metadata!D342="",FALSE,TRUE),exact(Metadata!D342,"human-associated habitat"))</f>
        <v>0</v>
      </c>
      <c r="AE342">
        <f>AND(IF(Metadata!E342="",FALSE,TRUE),OR(exact(Metadata!E342,"human-associated"),exact(Metadata!E342,"human-skin"),exact(Metadata!E342,"human-oral"),exact(Metadata!E342,"human-gut"),exact(Metadata!E342,"human-vaginal")))</f>
        <v>0</v>
      </c>
      <c r="AF342">
        <f>AND(IF(Metadata!F342="",FALSE,ISNUMBER(VALUE(Metadata!F342))),Metadata!F342&gt;0)</f>
        <v>0</v>
      </c>
      <c r="AG342">
        <f>AND(IF(Metadata!G342="",FALSE,TRUE),exact(Metadata!G342,"years"))</f>
        <v>0</v>
      </c>
      <c r="AH342">
        <f>OR(AND(IF(Metadata!H342="",FALSE,TRUE),OR(exact(Metadata!H342,"not applicable"),exact(Metadata!H342,"not collected"),exact(Metadata!H342,"not provided"),exact(Metadata!H342,"restricted access"))),AND(IF(Metadata!H342="",FALSE,ISNUMBER(VALUE(Metadata!H342))),Metadata!H342&gt;0))</f>
        <v>0</v>
      </c>
      <c r="AI342">
        <f>AND(IF(Metadata!I342="",FALSE,TRUE),exact(Metadata!I342,"human"))</f>
        <v>0</v>
      </c>
      <c r="AJ342">
        <f>AND(IF(Metadata!J342="",FALSE,ISNUMBER(VALUE(Metadata!J342))),Metadata!J342&gt;0)</f>
        <v>0</v>
      </c>
      <c r="AK342">
        <f>AND(IF(Metadata!K342="",FALSE,TRUE),exact(Metadata!K342,"cm"))</f>
        <v>0</v>
      </c>
      <c r="AL342">
        <f>AND(IF(Metadata!L342="",FALSE,TRUE),exact(Metadata!L342,"Homo sapiens"))</f>
        <v>0</v>
      </c>
      <c r="AM342">
        <f>AND(IF(Metadata!M342="",FALSE,TRUE),exact(Metadata!M342,"9606"))</f>
        <v>0</v>
      </c>
      <c r="AN342">
        <f>AND(IF(Metadata!N342="",FALSE,ISNUMBER(VALUE(Metadata!N342))),Metadata!N342&gt;0)</f>
        <v>0</v>
      </c>
      <c r="AO342">
        <f>AND(IF(Metadata!O342="",FALSE,TRUE),exact(Metadata!O342,"kg"))</f>
        <v>0</v>
      </c>
      <c r="AP342">
        <f>OR(AND(IF(Metadata!P342="",FALSE,TRUE),exact(Metadata!P342,"not provided")),IF(Metadata!P342="",FALSE,TRUE))</f>
        <v>0</v>
      </c>
      <c r="AQ342">
        <f>OR(AND(IF(Metadata!Q342="",FALSE,TRUE),exact(Metadata!Q342,"not provided")),IF(Metadata!Q342="",FALSE,TRUE))</f>
        <v>0</v>
      </c>
    </row>
    <row r="343" spans="1:43">
      <c r="A343" s="4">
        <f>IF(B343=" "," ",HYPERLINK(CONCATENATE("#metadata!",ADDRESS(INDEX($W$2:$W$1001,MATCH(ROWS($U$2:U343),$U$2:$U$1001,0),0),2)),INDEX($Z$2:$Z$1001,MATCH(ROWS($U$2:U343),$U$2:$U$1001,0),0)))</f>
        <v>0</v>
      </c>
      <c r="B343" s="5">
        <f>IF(OR(INDEX($V$2:$V$1001,MATCH(ROWS($U$2:U343),$U$2:$U$1001,0),1)&gt;=100000,INDEX($AB$1005:$AQ$1005,1,MATCH(COLUMNS($AB$1006:AB1006),$AB$1006:$AQ$1006,0))&gt;=100000), " ",IF(INDEX($AB$2:$AQ$1001,MATCH(ROWS($U$2:U343),$U$2:$U$1001,0),MATCH(COLUMNS($AB$1006:AB1006),$AB$1006:$AQ$1006,0)), HYPERLINK("#",""), HYPERLINK(CONCATENATE("#Metadata!", ADDRESS(INDEX($W$2:$W$1001,MATCH(ROWS($U$2:U343),$U$2:$U$1001,0),0), INDEX($AB$1004:$AQ$1004,1,MATCH(COLUMNS($AB$1006:AB1006),$AB$1006:$AQ$1006,0)))),"Fix")))</f>
        <v>0</v>
      </c>
      <c r="C343" s="5">
        <f>IF(OR(INDEX($V$2:$V$1001,MATCH(ROWS($U$2:U343),$U$2:$U$1001,0),1)&gt;=100000,INDEX($AB$1005:$AQ$1005,1,MATCH(COLUMNS($AB$1006:AC1006),$AB$1006:$AQ$1006,0))&gt;=100000), " ",IF(INDEX($AB$2:$AQ$1001,MATCH(ROWS($U$2:U343),$U$2:$U$1001,0),MATCH(COLUMNS($AB$1006:AC1006),$AB$1006:$AQ$1006,0)), HYPERLINK("#",""), HYPERLINK(CONCATENATE("#Metadata!", ADDRESS(INDEX($W$2:$W$1001,MATCH(ROWS($U$2:U343),$U$2:$U$1001,0),0), INDEX($AB$1004:$AQ$1004,1,MATCH(COLUMNS($AB$1006:AC1006),$AB$1006:$AQ$1006,0)))),"Fix")))</f>
        <v>0</v>
      </c>
      <c r="D343" s="5">
        <f>IF(OR(INDEX($V$2:$V$1001,MATCH(ROWS($U$2:U343),$U$2:$U$1001,0),1)&gt;=100000,INDEX($AB$1005:$AQ$1005,1,MATCH(COLUMNS($AB$1006:AD1006),$AB$1006:$AQ$1006,0))&gt;=100000), " ",IF(INDEX($AB$2:$AQ$1001,MATCH(ROWS($U$2:U343),$U$2:$U$1001,0),MATCH(COLUMNS($AB$1006:AD1006),$AB$1006:$AQ$1006,0)), HYPERLINK("#",""), HYPERLINK(CONCATENATE("#Metadata!", ADDRESS(INDEX($W$2:$W$1001,MATCH(ROWS($U$2:U343),$U$2:$U$1001,0),0), INDEX($AB$1004:$AQ$1004,1,MATCH(COLUMNS($AB$1006:AD1006),$AB$1006:$AQ$1006,0)))),"Fix")))</f>
        <v>0</v>
      </c>
      <c r="E343" s="5">
        <f>IF(OR(INDEX($V$2:$V$1001,MATCH(ROWS($U$2:U343),$U$2:$U$1001,0),1)&gt;=100000,INDEX($AB$1005:$AQ$1005,1,MATCH(COLUMNS($AB$1006:AE1006),$AB$1006:$AQ$1006,0))&gt;=100000), " ",IF(INDEX($AB$2:$AQ$1001,MATCH(ROWS($U$2:U343),$U$2:$U$1001,0),MATCH(COLUMNS($AB$1006:AE1006),$AB$1006:$AQ$1006,0)), HYPERLINK("#",""), HYPERLINK(CONCATENATE("#Metadata!", ADDRESS(INDEX($W$2:$W$1001,MATCH(ROWS($U$2:U343),$U$2:$U$1001,0),0), INDEX($AB$1004:$AQ$1004,1,MATCH(COLUMNS($AB$1006:AE1006),$AB$1006:$AQ$1006,0)))),"Fix")))</f>
        <v>0</v>
      </c>
      <c r="F343" s="5">
        <f>IF(OR(INDEX($V$2:$V$1001,MATCH(ROWS($U$2:U343),$U$2:$U$1001,0),1)&gt;=100000,INDEX($AB$1005:$AQ$1005,1,MATCH(COLUMNS($AB$1006:AF1006),$AB$1006:$AQ$1006,0))&gt;=100000), " ",IF(INDEX($AB$2:$AQ$1001,MATCH(ROWS($U$2:U343),$U$2:$U$1001,0),MATCH(COLUMNS($AB$1006:AF1006),$AB$1006:$AQ$1006,0)), HYPERLINK("#",""), HYPERLINK(CONCATENATE("#Metadata!", ADDRESS(INDEX($W$2:$W$1001,MATCH(ROWS($U$2:U343),$U$2:$U$1001,0),0), INDEX($AB$1004:$AQ$1004,1,MATCH(COLUMNS($AB$1006:AF1006),$AB$1006:$AQ$1006,0)))),"Fix")))</f>
        <v>0</v>
      </c>
      <c r="G343" s="5">
        <f>IF(OR(INDEX($V$2:$V$1001,MATCH(ROWS($U$2:U343),$U$2:$U$1001,0),1)&gt;=100000,INDEX($AB$1005:$AQ$1005,1,MATCH(COLUMNS($AB$1006:AG1006),$AB$1006:$AQ$1006,0))&gt;=100000), " ",IF(INDEX($AB$2:$AQ$1001,MATCH(ROWS($U$2:U343),$U$2:$U$1001,0),MATCH(COLUMNS($AB$1006:AG1006),$AB$1006:$AQ$1006,0)), HYPERLINK("#",""), HYPERLINK(CONCATENATE("#Metadata!", ADDRESS(INDEX($W$2:$W$1001,MATCH(ROWS($U$2:U343),$U$2:$U$1001,0),0), INDEX($AB$1004:$AQ$1004,1,MATCH(COLUMNS($AB$1006:AG1006),$AB$1006:$AQ$1006,0)))),"Fix")))</f>
        <v>0</v>
      </c>
      <c r="H343" s="5">
        <f>IF(OR(INDEX($V$2:$V$1001,MATCH(ROWS($U$2:U343),$U$2:$U$1001,0),1)&gt;=100000,INDEX($AB$1005:$AQ$1005,1,MATCH(COLUMNS($AB$1006:AH1006),$AB$1006:$AQ$1006,0))&gt;=100000), " ",IF(INDEX($AB$2:$AQ$1001,MATCH(ROWS($U$2:U343),$U$2:$U$1001,0),MATCH(COLUMNS($AB$1006:AH1006),$AB$1006:$AQ$1006,0)), HYPERLINK("#",""), HYPERLINK(CONCATENATE("#Metadata!", ADDRESS(INDEX($W$2:$W$1001,MATCH(ROWS($U$2:U343),$U$2:$U$1001,0),0), INDEX($AB$1004:$AQ$1004,1,MATCH(COLUMNS($AB$1006:AH1006),$AB$1006:$AQ$1006,0)))),"Fix")))</f>
        <v>0</v>
      </c>
      <c r="I343" s="5">
        <f>IF(OR(INDEX($V$2:$V$1001,MATCH(ROWS($U$2:U343),$U$2:$U$1001,0),1)&gt;=100000,INDEX($AB$1005:$AQ$1005,1,MATCH(COLUMNS($AB$1006:AI1006),$AB$1006:$AQ$1006,0))&gt;=100000), " ",IF(INDEX($AB$2:$AQ$1001,MATCH(ROWS($U$2:U343),$U$2:$U$1001,0),MATCH(COLUMNS($AB$1006:AI1006),$AB$1006:$AQ$1006,0)), HYPERLINK("#",""), HYPERLINK(CONCATENATE("#Metadata!", ADDRESS(INDEX($W$2:$W$1001,MATCH(ROWS($U$2:U343),$U$2:$U$1001,0),0), INDEX($AB$1004:$AQ$1004,1,MATCH(COLUMNS($AB$1006:AI1006),$AB$1006:$AQ$1006,0)))),"Fix")))</f>
        <v>0</v>
      </c>
      <c r="J343" s="5">
        <f>IF(OR(INDEX($V$2:$V$1001,MATCH(ROWS($U$2:U343),$U$2:$U$1001,0),1)&gt;=100000,INDEX($AB$1005:$AQ$1005,1,MATCH(COLUMNS($AB$1006:AJ1006),$AB$1006:$AQ$1006,0))&gt;=100000), " ",IF(INDEX($AB$2:$AQ$1001,MATCH(ROWS($U$2:U343),$U$2:$U$1001,0),MATCH(COLUMNS($AB$1006:AJ1006),$AB$1006:$AQ$1006,0)), HYPERLINK("#",""), HYPERLINK(CONCATENATE("#Metadata!", ADDRESS(INDEX($W$2:$W$1001,MATCH(ROWS($U$2:U343),$U$2:$U$1001,0),0), INDEX($AB$1004:$AQ$1004,1,MATCH(COLUMNS($AB$1006:AJ1006),$AB$1006:$AQ$1006,0)))),"Fix")))</f>
        <v>0</v>
      </c>
      <c r="K343" s="5">
        <f>IF(OR(INDEX($V$2:$V$1001,MATCH(ROWS($U$2:U343),$U$2:$U$1001,0),1)&gt;=100000,INDEX($AB$1005:$AQ$1005,1,MATCH(COLUMNS($AB$1006:AK1006),$AB$1006:$AQ$1006,0))&gt;=100000), " ",IF(INDEX($AB$2:$AQ$1001,MATCH(ROWS($U$2:U343),$U$2:$U$1001,0),MATCH(COLUMNS($AB$1006:AK1006),$AB$1006:$AQ$1006,0)), HYPERLINK("#",""), HYPERLINK(CONCATENATE("#Metadata!", ADDRESS(INDEX($W$2:$W$1001,MATCH(ROWS($U$2:U343),$U$2:$U$1001,0),0), INDEX($AB$1004:$AQ$1004,1,MATCH(COLUMNS($AB$1006:AK1006),$AB$1006:$AQ$1006,0)))),"Fix")))</f>
        <v>0</v>
      </c>
      <c r="L343" s="5">
        <f>IF(OR(INDEX($V$2:$V$1001,MATCH(ROWS($U$2:U343),$U$2:$U$1001,0),1)&gt;=100000,INDEX($AB$1005:$AQ$1005,1,MATCH(COLUMNS($AB$1006:AL1006),$AB$1006:$AQ$1006,0))&gt;=100000), " ",IF(INDEX($AB$2:$AQ$1001,MATCH(ROWS($U$2:U343),$U$2:$U$1001,0),MATCH(COLUMNS($AB$1006:AL1006),$AB$1006:$AQ$1006,0)), HYPERLINK("#",""), HYPERLINK(CONCATENATE("#Metadata!", ADDRESS(INDEX($W$2:$W$1001,MATCH(ROWS($U$2:U343),$U$2:$U$1001,0),0), INDEX($AB$1004:$AQ$1004,1,MATCH(COLUMNS($AB$1006:AL1006),$AB$1006:$AQ$1006,0)))),"Fix")))</f>
        <v>0</v>
      </c>
      <c r="M343" s="5">
        <f>IF(OR(INDEX($V$2:$V$1001,MATCH(ROWS($U$2:U343),$U$2:$U$1001,0),1)&gt;=100000,INDEX($AB$1005:$AQ$1005,1,MATCH(COLUMNS($AB$1006:AM1006),$AB$1006:$AQ$1006,0))&gt;=100000), " ",IF(INDEX($AB$2:$AQ$1001,MATCH(ROWS($U$2:U343),$U$2:$U$1001,0),MATCH(COLUMNS($AB$1006:AM1006),$AB$1006:$AQ$1006,0)), HYPERLINK("#",""), HYPERLINK(CONCATENATE("#Metadata!", ADDRESS(INDEX($W$2:$W$1001,MATCH(ROWS($U$2:U343),$U$2:$U$1001,0),0), INDEX($AB$1004:$AQ$1004,1,MATCH(COLUMNS($AB$1006:AM1006),$AB$1006:$AQ$1006,0)))),"Fix")))</f>
        <v>0</v>
      </c>
      <c r="N343" s="5">
        <f>IF(OR(INDEX($V$2:$V$1001,MATCH(ROWS($U$2:U343),$U$2:$U$1001,0),1)&gt;=100000,INDEX($AB$1005:$AQ$1005,1,MATCH(COLUMNS($AB$1006:AN1006),$AB$1006:$AQ$1006,0))&gt;=100000), " ",IF(INDEX($AB$2:$AQ$1001,MATCH(ROWS($U$2:U343),$U$2:$U$1001,0),MATCH(COLUMNS($AB$1006:AN1006),$AB$1006:$AQ$1006,0)), HYPERLINK("#",""), HYPERLINK(CONCATENATE("#Metadata!", ADDRESS(INDEX($W$2:$W$1001,MATCH(ROWS($U$2:U343),$U$2:$U$1001,0),0), INDEX($AB$1004:$AQ$1004,1,MATCH(COLUMNS($AB$1006:AN1006),$AB$1006:$AQ$1006,0)))),"Fix")))</f>
        <v>0</v>
      </c>
      <c r="O343" s="5">
        <f>IF(OR(INDEX($V$2:$V$1001,MATCH(ROWS($U$2:U343),$U$2:$U$1001,0),1)&gt;=100000,INDEX($AB$1005:$AQ$1005,1,MATCH(COLUMNS($AB$1006:AO1006),$AB$1006:$AQ$1006,0))&gt;=100000), " ",IF(INDEX($AB$2:$AQ$1001,MATCH(ROWS($U$2:U343),$U$2:$U$1001,0),MATCH(COLUMNS($AB$1006:AO1006),$AB$1006:$AQ$1006,0)), HYPERLINK("#",""), HYPERLINK(CONCATENATE("#Metadata!", ADDRESS(INDEX($W$2:$W$1001,MATCH(ROWS($U$2:U343),$U$2:$U$1001,0),0), INDEX($AB$1004:$AQ$1004,1,MATCH(COLUMNS($AB$1006:AO1006),$AB$1006:$AQ$1006,0)))),"Fix")))</f>
        <v>0</v>
      </c>
      <c r="P343" s="5">
        <f>IF(OR(INDEX($V$2:$V$1001,MATCH(ROWS($U$2:U343),$U$2:$U$1001,0),1)&gt;=100000,INDEX($AB$1005:$AQ$1005,1,MATCH(COLUMNS($AB$1006:AP1006),$AB$1006:$AQ$1006,0))&gt;=100000), " ",IF(INDEX($AB$2:$AQ$1001,MATCH(ROWS($U$2:U343),$U$2:$U$1001,0),MATCH(COLUMNS($AB$1006:AP1006),$AB$1006:$AQ$1006,0)), HYPERLINK("#",""), HYPERLINK(CONCATENATE("#Metadata!", ADDRESS(INDEX($W$2:$W$1001,MATCH(ROWS($U$2:U343),$U$2:$U$1001,0),0), INDEX($AB$1004:$AQ$1004,1,MATCH(COLUMNS($AB$1006:AP1006),$AB$1006:$AQ$1006,0)))),"Fix")))</f>
        <v>0</v>
      </c>
      <c r="Q343" s="5">
        <f>IF(OR(INDEX($V$2:$V$1001,MATCH(ROWS($U$2:U343),$U$2:$U$1001,0),1)&gt;=100000,INDEX($AB$1005:$AQ$1005,1,MATCH(COLUMNS($AB$1006:AQ1006),$AB$1006:$AQ$1006,0))&gt;=100000), " ",IF(INDEX($AB$2:$AQ$1001,MATCH(ROWS($U$2:U343),$U$2:$U$1001,0),MATCH(COLUMNS($AB$1006:AQ1006),$AB$1006:$AQ$1006,0)), HYPERLINK("#",""), HYPERLINK(CONCATENATE("#Metadata!", ADDRESS(INDEX($W$2:$W$1001,MATCH(ROWS($U$2:U343),$U$2:$U$1001,0),0), INDEX($AB$1004:$AQ$1004,1,MATCH(COLUMNS($AB$1006:AQ1006),$AB$1006:$AQ$1006,0)))),"Fix")))</f>
        <v>0</v>
      </c>
      <c r="U343">
        <v>0</v>
      </c>
      <c r="V343">
        <v>0</v>
      </c>
      <c r="W343">
        <v>0</v>
      </c>
      <c r="X343">
        <f>IF(Y343,TRUE,AND(AB343:AQ343))</f>
        <v>0</v>
      </c>
      <c r="Y343">
        <f>COUNTBLANK(Metadata!B343:Q343)=COLUMNS(Metadata!B343:Q343)</f>
        <v>0</v>
      </c>
      <c r="Z343">
        <v>0</v>
      </c>
      <c r="AB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AC343">
        <f>AND(IF(Metadata!C343="",FALSE,TRUE),exact(Metadata!C343,"urban biome"))</f>
        <v>0</v>
      </c>
      <c r="AD343">
        <f>AND(IF(Metadata!D343="",FALSE,TRUE),exact(Metadata!D343,"human-associated habitat"))</f>
        <v>0</v>
      </c>
      <c r="AE343">
        <f>AND(IF(Metadata!E343="",FALSE,TRUE),OR(exact(Metadata!E343,"human-associated"),exact(Metadata!E343,"human-skin"),exact(Metadata!E343,"human-oral"),exact(Metadata!E343,"human-gut"),exact(Metadata!E343,"human-vaginal")))</f>
        <v>0</v>
      </c>
      <c r="AF343">
        <f>AND(IF(Metadata!F343="",FALSE,ISNUMBER(VALUE(Metadata!F343))),Metadata!F343&gt;0)</f>
        <v>0</v>
      </c>
      <c r="AG343">
        <f>AND(IF(Metadata!G343="",FALSE,TRUE),exact(Metadata!G343,"years"))</f>
        <v>0</v>
      </c>
      <c r="AH343">
        <f>OR(AND(IF(Metadata!H343="",FALSE,TRUE),OR(exact(Metadata!H343,"not applicable"),exact(Metadata!H343,"not collected"),exact(Metadata!H343,"not provided"),exact(Metadata!H343,"restricted access"))),AND(IF(Metadata!H343="",FALSE,ISNUMBER(VALUE(Metadata!H343))),Metadata!H343&gt;0))</f>
        <v>0</v>
      </c>
      <c r="AI343">
        <f>AND(IF(Metadata!I343="",FALSE,TRUE),exact(Metadata!I343,"human"))</f>
        <v>0</v>
      </c>
      <c r="AJ343">
        <f>AND(IF(Metadata!J343="",FALSE,ISNUMBER(VALUE(Metadata!J343))),Metadata!J343&gt;0)</f>
        <v>0</v>
      </c>
      <c r="AK343">
        <f>AND(IF(Metadata!K343="",FALSE,TRUE),exact(Metadata!K343,"cm"))</f>
        <v>0</v>
      </c>
      <c r="AL343">
        <f>AND(IF(Metadata!L343="",FALSE,TRUE),exact(Metadata!L343,"Homo sapiens"))</f>
        <v>0</v>
      </c>
      <c r="AM343">
        <f>AND(IF(Metadata!M343="",FALSE,TRUE),exact(Metadata!M343,"9606"))</f>
        <v>0</v>
      </c>
      <c r="AN343">
        <f>AND(IF(Metadata!N343="",FALSE,ISNUMBER(VALUE(Metadata!N343))),Metadata!N343&gt;0)</f>
        <v>0</v>
      </c>
      <c r="AO343">
        <f>AND(IF(Metadata!O343="",FALSE,TRUE),exact(Metadata!O343,"kg"))</f>
        <v>0</v>
      </c>
      <c r="AP343">
        <f>OR(AND(IF(Metadata!P343="",FALSE,TRUE),exact(Metadata!P343,"not provided")),IF(Metadata!P343="",FALSE,TRUE))</f>
        <v>0</v>
      </c>
      <c r="AQ343">
        <f>OR(AND(IF(Metadata!Q343="",FALSE,TRUE),exact(Metadata!Q343,"not provided")),IF(Metadata!Q343="",FALSE,TRUE))</f>
        <v>0</v>
      </c>
    </row>
    <row r="344" spans="1:43">
      <c r="A344" s="4">
        <f>IF(B344=" "," ",HYPERLINK(CONCATENATE("#metadata!",ADDRESS(INDEX($W$2:$W$1001,MATCH(ROWS($U$2:U344),$U$2:$U$1001,0),0),2)),INDEX($Z$2:$Z$1001,MATCH(ROWS($U$2:U344),$U$2:$U$1001,0),0)))</f>
        <v>0</v>
      </c>
      <c r="B344" s="5">
        <f>IF(OR(INDEX($V$2:$V$1001,MATCH(ROWS($U$2:U344),$U$2:$U$1001,0),1)&gt;=100000,INDEX($AB$1005:$AQ$1005,1,MATCH(COLUMNS($AB$1006:AB1006),$AB$1006:$AQ$1006,0))&gt;=100000), " ",IF(INDEX($AB$2:$AQ$1001,MATCH(ROWS($U$2:U344),$U$2:$U$1001,0),MATCH(COLUMNS($AB$1006:AB1006),$AB$1006:$AQ$1006,0)), HYPERLINK("#",""), HYPERLINK(CONCATENATE("#Metadata!", ADDRESS(INDEX($W$2:$W$1001,MATCH(ROWS($U$2:U344),$U$2:$U$1001,0),0), INDEX($AB$1004:$AQ$1004,1,MATCH(COLUMNS($AB$1006:AB1006),$AB$1006:$AQ$1006,0)))),"Fix")))</f>
        <v>0</v>
      </c>
      <c r="C344" s="5">
        <f>IF(OR(INDEX($V$2:$V$1001,MATCH(ROWS($U$2:U344),$U$2:$U$1001,0),1)&gt;=100000,INDEX($AB$1005:$AQ$1005,1,MATCH(COLUMNS($AB$1006:AC1006),$AB$1006:$AQ$1006,0))&gt;=100000), " ",IF(INDEX($AB$2:$AQ$1001,MATCH(ROWS($U$2:U344),$U$2:$U$1001,0),MATCH(COLUMNS($AB$1006:AC1006),$AB$1006:$AQ$1006,0)), HYPERLINK("#",""), HYPERLINK(CONCATENATE("#Metadata!", ADDRESS(INDEX($W$2:$W$1001,MATCH(ROWS($U$2:U344),$U$2:$U$1001,0),0), INDEX($AB$1004:$AQ$1004,1,MATCH(COLUMNS($AB$1006:AC1006),$AB$1006:$AQ$1006,0)))),"Fix")))</f>
        <v>0</v>
      </c>
      <c r="D344" s="5">
        <f>IF(OR(INDEX($V$2:$V$1001,MATCH(ROWS($U$2:U344),$U$2:$U$1001,0),1)&gt;=100000,INDEX($AB$1005:$AQ$1005,1,MATCH(COLUMNS($AB$1006:AD1006),$AB$1006:$AQ$1006,0))&gt;=100000), " ",IF(INDEX($AB$2:$AQ$1001,MATCH(ROWS($U$2:U344),$U$2:$U$1001,0),MATCH(COLUMNS($AB$1006:AD1006),$AB$1006:$AQ$1006,0)), HYPERLINK("#",""), HYPERLINK(CONCATENATE("#Metadata!", ADDRESS(INDEX($W$2:$W$1001,MATCH(ROWS($U$2:U344),$U$2:$U$1001,0),0), INDEX($AB$1004:$AQ$1004,1,MATCH(COLUMNS($AB$1006:AD1006),$AB$1006:$AQ$1006,0)))),"Fix")))</f>
        <v>0</v>
      </c>
      <c r="E344" s="5">
        <f>IF(OR(INDEX($V$2:$V$1001,MATCH(ROWS($U$2:U344),$U$2:$U$1001,0),1)&gt;=100000,INDEX($AB$1005:$AQ$1005,1,MATCH(COLUMNS($AB$1006:AE1006),$AB$1006:$AQ$1006,0))&gt;=100000), " ",IF(INDEX($AB$2:$AQ$1001,MATCH(ROWS($U$2:U344),$U$2:$U$1001,0),MATCH(COLUMNS($AB$1006:AE1006),$AB$1006:$AQ$1006,0)), HYPERLINK("#",""), HYPERLINK(CONCATENATE("#Metadata!", ADDRESS(INDEX($W$2:$W$1001,MATCH(ROWS($U$2:U344),$U$2:$U$1001,0),0), INDEX($AB$1004:$AQ$1004,1,MATCH(COLUMNS($AB$1006:AE1006),$AB$1006:$AQ$1006,0)))),"Fix")))</f>
        <v>0</v>
      </c>
      <c r="F344" s="5">
        <f>IF(OR(INDEX($V$2:$V$1001,MATCH(ROWS($U$2:U344),$U$2:$U$1001,0),1)&gt;=100000,INDEX($AB$1005:$AQ$1005,1,MATCH(COLUMNS($AB$1006:AF1006),$AB$1006:$AQ$1006,0))&gt;=100000), " ",IF(INDEX($AB$2:$AQ$1001,MATCH(ROWS($U$2:U344),$U$2:$U$1001,0),MATCH(COLUMNS($AB$1006:AF1006),$AB$1006:$AQ$1006,0)), HYPERLINK("#",""), HYPERLINK(CONCATENATE("#Metadata!", ADDRESS(INDEX($W$2:$W$1001,MATCH(ROWS($U$2:U344),$U$2:$U$1001,0),0), INDEX($AB$1004:$AQ$1004,1,MATCH(COLUMNS($AB$1006:AF1006),$AB$1006:$AQ$1006,0)))),"Fix")))</f>
        <v>0</v>
      </c>
      <c r="G344" s="5">
        <f>IF(OR(INDEX($V$2:$V$1001,MATCH(ROWS($U$2:U344),$U$2:$U$1001,0),1)&gt;=100000,INDEX($AB$1005:$AQ$1005,1,MATCH(COLUMNS($AB$1006:AG1006),$AB$1006:$AQ$1006,0))&gt;=100000), " ",IF(INDEX($AB$2:$AQ$1001,MATCH(ROWS($U$2:U344),$U$2:$U$1001,0),MATCH(COLUMNS($AB$1006:AG1006),$AB$1006:$AQ$1006,0)), HYPERLINK("#",""), HYPERLINK(CONCATENATE("#Metadata!", ADDRESS(INDEX($W$2:$W$1001,MATCH(ROWS($U$2:U344),$U$2:$U$1001,0),0), INDEX($AB$1004:$AQ$1004,1,MATCH(COLUMNS($AB$1006:AG1006),$AB$1006:$AQ$1006,0)))),"Fix")))</f>
        <v>0</v>
      </c>
      <c r="H344" s="5">
        <f>IF(OR(INDEX($V$2:$V$1001,MATCH(ROWS($U$2:U344),$U$2:$U$1001,0),1)&gt;=100000,INDEX($AB$1005:$AQ$1005,1,MATCH(COLUMNS($AB$1006:AH1006),$AB$1006:$AQ$1006,0))&gt;=100000), " ",IF(INDEX($AB$2:$AQ$1001,MATCH(ROWS($U$2:U344),$U$2:$U$1001,0),MATCH(COLUMNS($AB$1006:AH1006),$AB$1006:$AQ$1006,0)), HYPERLINK("#",""), HYPERLINK(CONCATENATE("#Metadata!", ADDRESS(INDEX($W$2:$W$1001,MATCH(ROWS($U$2:U344),$U$2:$U$1001,0),0), INDEX($AB$1004:$AQ$1004,1,MATCH(COLUMNS($AB$1006:AH1006),$AB$1006:$AQ$1006,0)))),"Fix")))</f>
        <v>0</v>
      </c>
      <c r="I344" s="5">
        <f>IF(OR(INDEX($V$2:$V$1001,MATCH(ROWS($U$2:U344),$U$2:$U$1001,0),1)&gt;=100000,INDEX($AB$1005:$AQ$1005,1,MATCH(COLUMNS($AB$1006:AI1006),$AB$1006:$AQ$1006,0))&gt;=100000), " ",IF(INDEX($AB$2:$AQ$1001,MATCH(ROWS($U$2:U344),$U$2:$U$1001,0),MATCH(COLUMNS($AB$1006:AI1006),$AB$1006:$AQ$1006,0)), HYPERLINK("#",""), HYPERLINK(CONCATENATE("#Metadata!", ADDRESS(INDEX($W$2:$W$1001,MATCH(ROWS($U$2:U344),$U$2:$U$1001,0),0), INDEX($AB$1004:$AQ$1004,1,MATCH(COLUMNS($AB$1006:AI1006),$AB$1006:$AQ$1006,0)))),"Fix")))</f>
        <v>0</v>
      </c>
      <c r="J344" s="5">
        <f>IF(OR(INDEX($V$2:$V$1001,MATCH(ROWS($U$2:U344),$U$2:$U$1001,0),1)&gt;=100000,INDEX($AB$1005:$AQ$1005,1,MATCH(COLUMNS($AB$1006:AJ1006),$AB$1006:$AQ$1006,0))&gt;=100000), " ",IF(INDEX($AB$2:$AQ$1001,MATCH(ROWS($U$2:U344),$U$2:$U$1001,0),MATCH(COLUMNS($AB$1006:AJ1006),$AB$1006:$AQ$1006,0)), HYPERLINK("#",""), HYPERLINK(CONCATENATE("#Metadata!", ADDRESS(INDEX($W$2:$W$1001,MATCH(ROWS($U$2:U344),$U$2:$U$1001,0),0), INDEX($AB$1004:$AQ$1004,1,MATCH(COLUMNS($AB$1006:AJ1006),$AB$1006:$AQ$1006,0)))),"Fix")))</f>
        <v>0</v>
      </c>
      <c r="K344" s="5">
        <f>IF(OR(INDEX($V$2:$V$1001,MATCH(ROWS($U$2:U344),$U$2:$U$1001,0),1)&gt;=100000,INDEX($AB$1005:$AQ$1005,1,MATCH(COLUMNS($AB$1006:AK1006),$AB$1006:$AQ$1006,0))&gt;=100000), " ",IF(INDEX($AB$2:$AQ$1001,MATCH(ROWS($U$2:U344),$U$2:$U$1001,0),MATCH(COLUMNS($AB$1006:AK1006),$AB$1006:$AQ$1006,0)), HYPERLINK("#",""), HYPERLINK(CONCATENATE("#Metadata!", ADDRESS(INDEX($W$2:$W$1001,MATCH(ROWS($U$2:U344),$U$2:$U$1001,0),0), INDEX($AB$1004:$AQ$1004,1,MATCH(COLUMNS($AB$1006:AK1006),$AB$1006:$AQ$1006,0)))),"Fix")))</f>
        <v>0</v>
      </c>
      <c r="L344" s="5">
        <f>IF(OR(INDEX($V$2:$V$1001,MATCH(ROWS($U$2:U344),$U$2:$U$1001,0),1)&gt;=100000,INDEX($AB$1005:$AQ$1005,1,MATCH(COLUMNS($AB$1006:AL1006),$AB$1006:$AQ$1006,0))&gt;=100000), " ",IF(INDEX($AB$2:$AQ$1001,MATCH(ROWS($U$2:U344),$U$2:$U$1001,0),MATCH(COLUMNS($AB$1006:AL1006),$AB$1006:$AQ$1006,0)), HYPERLINK("#",""), HYPERLINK(CONCATENATE("#Metadata!", ADDRESS(INDEX($W$2:$W$1001,MATCH(ROWS($U$2:U344),$U$2:$U$1001,0),0), INDEX($AB$1004:$AQ$1004,1,MATCH(COLUMNS($AB$1006:AL1006),$AB$1006:$AQ$1006,0)))),"Fix")))</f>
        <v>0</v>
      </c>
      <c r="M344" s="5">
        <f>IF(OR(INDEX($V$2:$V$1001,MATCH(ROWS($U$2:U344),$U$2:$U$1001,0),1)&gt;=100000,INDEX($AB$1005:$AQ$1005,1,MATCH(COLUMNS($AB$1006:AM1006),$AB$1006:$AQ$1006,0))&gt;=100000), " ",IF(INDEX($AB$2:$AQ$1001,MATCH(ROWS($U$2:U344),$U$2:$U$1001,0),MATCH(COLUMNS($AB$1006:AM1006),$AB$1006:$AQ$1006,0)), HYPERLINK("#",""), HYPERLINK(CONCATENATE("#Metadata!", ADDRESS(INDEX($W$2:$W$1001,MATCH(ROWS($U$2:U344),$U$2:$U$1001,0),0), INDEX($AB$1004:$AQ$1004,1,MATCH(COLUMNS($AB$1006:AM1006),$AB$1006:$AQ$1006,0)))),"Fix")))</f>
        <v>0</v>
      </c>
      <c r="N344" s="5">
        <f>IF(OR(INDEX($V$2:$V$1001,MATCH(ROWS($U$2:U344),$U$2:$U$1001,0),1)&gt;=100000,INDEX($AB$1005:$AQ$1005,1,MATCH(COLUMNS($AB$1006:AN1006),$AB$1006:$AQ$1006,0))&gt;=100000), " ",IF(INDEX($AB$2:$AQ$1001,MATCH(ROWS($U$2:U344),$U$2:$U$1001,0),MATCH(COLUMNS($AB$1006:AN1006),$AB$1006:$AQ$1006,0)), HYPERLINK("#",""), HYPERLINK(CONCATENATE("#Metadata!", ADDRESS(INDEX($W$2:$W$1001,MATCH(ROWS($U$2:U344),$U$2:$U$1001,0),0), INDEX($AB$1004:$AQ$1004,1,MATCH(COLUMNS($AB$1006:AN1006),$AB$1006:$AQ$1006,0)))),"Fix")))</f>
        <v>0</v>
      </c>
      <c r="O344" s="5">
        <f>IF(OR(INDEX($V$2:$V$1001,MATCH(ROWS($U$2:U344),$U$2:$U$1001,0),1)&gt;=100000,INDEX($AB$1005:$AQ$1005,1,MATCH(COLUMNS($AB$1006:AO1006),$AB$1006:$AQ$1006,0))&gt;=100000), " ",IF(INDEX($AB$2:$AQ$1001,MATCH(ROWS($U$2:U344),$U$2:$U$1001,0),MATCH(COLUMNS($AB$1006:AO1006),$AB$1006:$AQ$1006,0)), HYPERLINK("#",""), HYPERLINK(CONCATENATE("#Metadata!", ADDRESS(INDEX($W$2:$W$1001,MATCH(ROWS($U$2:U344),$U$2:$U$1001,0),0), INDEX($AB$1004:$AQ$1004,1,MATCH(COLUMNS($AB$1006:AO1006),$AB$1006:$AQ$1006,0)))),"Fix")))</f>
        <v>0</v>
      </c>
      <c r="P344" s="5">
        <f>IF(OR(INDEX($V$2:$V$1001,MATCH(ROWS($U$2:U344),$U$2:$U$1001,0),1)&gt;=100000,INDEX($AB$1005:$AQ$1005,1,MATCH(COLUMNS($AB$1006:AP1006),$AB$1006:$AQ$1006,0))&gt;=100000), " ",IF(INDEX($AB$2:$AQ$1001,MATCH(ROWS($U$2:U344),$U$2:$U$1001,0),MATCH(COLUMNS($AB$1006:AP1006),$AB$1006:$AQ$1006,0)), HYPERLINK("#",""), HYPERLINK(CONCATENATE("#Metadata!", ADDRESS(INDEX($W$2:$W$1001,MATCH(ROWS($U$2:U344),$U$2:$U$1001,0),0), INDEX($AB$1004:$AQ$1004,1,MATCH(COLUMNS($AB$1006:AP1006),$AB$1006:$AQ$1006,0)))),"Fix")))</f>
        <v>0</v>
      </c>
      <c r="Q344" s="5">
        <f>IF(OR(INDEX($V$2:$V$1001,MATCH(ROWS($U$2:U344),$U$2:$U$1001,0),1)&gt;=100000,INDEX($AB$1005:$AQ$1005,1,MATCH(COLUMNS($AB$1006:AQ1006),$AB$1006:$AQ$1006,0))&gt;=100000), " ",IF(INDEX($AB$2:$AQ$1001,MATCH(ROWS($U$2:U344),$U$2:$U$1001,0),MATCH(COLUMNS($AB$1006:AQ1006),$AB$1006:$AQ$1006,0)), HYPERLINK("#",""), HYPERLINK(CONCATENATE("#Metadata!", ADDRESS(INDEX($W$2:$W$1001,MATCH(ROWS($U$2:U344),$U$2:$U$1001,0),0), INDEX($AB$1004:$AQ$1004,1,MATCH(COLUMNS($AB$1006:AQ1006),$AB$1006:$AQ$1006,0)))),"Fix")))</f>
        <v>0</v>
      </c>
      <c r="U344">
        <v>0</v>
      </c>
      <c r="V344">
        <v>0</v>
      </c>
      <c r="W344">
        <v>0</v>
      </c>
      <c r="X344">
        <f>IF(Y344,TRUE,AND(AB344:AQ344))</f>
        <v>0</v>
      </c>
      <c r="Y344">
        <f>COUNTBLANK(Metadata!B344:Q344)=COLUMNS(Metadata!B344:Q344)</f>
        <v>0</v>
      </c>
      <c r="Z344">
        <v>0</v>
      </c>
      <c r="AB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AC344">
        <f>AND(IF(Metadata!C344="",FALSE,TRUE),exact(Metadata!C344,"urban biome"))</f>
        <v>0</v>
      </c>
      <c r="AD344">
        <f>AND(IF(Metadata!D344="",FALSE,TRUE),exact(Metadata!D344,"human-associated habitat"))</f>
        <v>0</v>
      </c>
      <c r="AE344">
        <f>AND(IF(Metadata!E344="",FALSE,TRUE),OR(exact(Metadata!E344,"human-associated"),exact(Metadata!E344,"human-skin"),exact(Metadata!E344,"human-oral"),exact(Metadata!E344,"human-gut"),exact(Metadata!E344,"human-vaginal")))</f>
        <v>0</v>
      </c>
      <c r="AF344">
        <f>AND(IF(Metadata!F344="",FALSE,ISNUMBER(VALUE(Metadata!F344))),Metadata!F344&gt;0)</f>
        <v>0</v>
      </c>
      <c r="AG344">
        <f>AND(IF(Metadata!G344="",FALSE,TRUE),exact(Metadata!G344,"years"))</f>
        <v>0</v>
      </c>
      <c r="AH344">
        <f>OR(AND(IF(Metadata!H344="",FALSE,TRUE),OR(exact(Metadata!H344,"not applicable"),exact(Metadata!H344,"not collected"),exact(Metadata!H344,"not provided"),exact(Metadata!H344,"restricted access"))),AND(IF(Metadata!H344="",FALSE,ISNUMBER(VALUE(Metadata!H344))),Metadata!H344&gt;0))</f>
        <v>0</v>
      </c>
      <c r="AI344">
        <f>AND(IF(Metadata!I344="",FALSE,TRUE),exact(Metadata!I344,"human"))</f>
        <v>0</v>
      </c>
      <c r="AJ344">
        <f>AND(IF(Metadata!J344="",FALSE,ISNUMBER(VALUE(Metadata!J344))),Metadata!J344&gt;0)</f>
        <v>0</v>
      </c>
      <c r="AK344">
        <f>AND(IF(Metadata!K344="",FALSE,TRUE),exact(Metadata!K344,"cm"))</f>
        <v>0</v>
      </c>
      <c r="AL344">
        <f>AND(IF(Metadata!L344="",FALSE,TRUE),exact(Metadata!L344,"Homo sapiens"))</f>
        <v>0</v>
      </c>
      <c r="AM344">
        <f>AND(IF(Metadata!M344="",FALSE,TRUE),exact(Metadata!M344,"9606"))</f>
        <v>0</v>
      </c>
      <c r="AN344">
        <f>AND(IF(Metadata!N344="",FALSE,ISNUMBER(VALUE(Metadata!N344))),Metadata!N344&gt;0)</f>
        <v>0</v>
      </c>
      <c r="AO344">
        <f>AND(IF(Metadata!O344="",FALSE,TRUE),exact(Metadata!O344,"kg"))</f>
        <v>0</v>
      </c>
      <c r="AP344">
        <f>OR(AND(IF(Metadata!P344="",FALSE,TRUE),exact(Metadata!P344,"not provided")),IF(Metadata!P344="",FALSE,TRUE))</f>
        <v>0</v>
      </c>
      <c r="AQ344">
        <f>OR(AND(IF(Metadata!Q344="",FALSE,TRUE),exact(Metadata!Q344,"not provided")),IF(Metadata!Q344="",FALSE,TRUE))</f>
        <v>0</v>
      </c>
    </row>
    <row r="345" spans="1:43">
      <c r="A345" s="4">
        <f>IF(B345=" "," ",HYPERLINK(CONCATENATE("#metadata!",ADDRESS(INDEX($W$2:$W$1001,MATCH(ROWS($U$2:U345),$U$2:$U$1001,0),0),2)),INDEX($Z$2:$Z$1001,MATCH(ROWS($U$2:U345),$U$2:$U$1001,0),0)))</f>
        <v>0</v>
      </c>
      <c r="B345" s="5">
        <f>IF(OR(INDEX($V$2:$V$1001,MATCH(ROWS($U$2:U345),$U$2:$U$1001,0),1)&gt;=100000,INDEX($AB$1005:$AQ$1005,1,MATCH(COLUMNS($AB$1006:AB1006),$AB$1006:$AQ$1006,0))&gt;=100000), " ",IF(INDEX($AB$2:$AQ$1001,MATCH(ROWS($U$2:U345),$U$2:$U$1001,0),MATCH(COLUMNS($AB$1006:AB1006),$AB$1006:$AQ$1006,0)), HYPERLINK("#",""), HYPERLINK(CONCATENATE("#Metadata!", ADDRESS(INDEX($W$2:$W$1001,MATCH(ROWS($U$2:U345),$U$2:$U$1001,0),0), INDEX($AB$1004:$AQ$1004,1,MATCH(COLUMNS($AB$1006:AB1006),$AB$1006:$AQ$1006,0)))),"Fix")))</f>
        <v>0</v>
      </c>
      <c r="C345" s="5">
        <f>IF(OR(INDEX($V$2:$V$1001,MATCH(ROWS($U$2:U345),$U$2:$U$1001,0),1)&gt;=100000,INDEX($AB$1005:$AQ$1005,1,MATCH(COLUMNS($AB$1006:AC1006),$AB$1006:$AQ$1006,0))&gt;=100000), " ",IF(INDEX($AB$2:$AQ$1001,MATCH(ROWS($U$2:U345),$U$2:$U$1001,0),MATCH(COLUMNS($AB$1006:AC1006),$AB$1006:$AQ$1006,0)), HYPERLINK("#",""), HYPERLINK(CONCATENATE("#Metadata!", ADDRESS(INDEX($W$2:$W$1001,MATCH(ROWS($U$2:U345),$U$2:$U$1001,0),0), INDEX($AB$1004:$AQ$1004,1,MATCH(COLUMNS($AB$1006:AC1006),$AB$1006:$AQ$1006,0)))),"Fix")))</f>
        <v>0</v>
      </c>
      <c r="D345" s="5">
        <f>IF(OR(INDEX($V$2:$V$1001,MATCH(ROWS($U$2:U345),$U$2:$U$1001,0),1)&gt;=100000,INDEX($AB$1005:$AQ$1005,1,MATCH(COLUMNS($AB$1006:AD1006),$AB$1006:$AQ$1006,0))&gt;=100000), " ",IF(INDEX($AB$2:$AQ$1001,MATCH(ROWS($U$2:U345),$U$2:$U$1001,0),MATCH(COLUMNS($AB$1006:AD1006),$AB$1006:$AQ$1006,0)), HYPERLINK("#",""), HYPERLINK(CONCATENATE("#Metadata!", ADDRESS(INDEX($W$2:$W$1001,MATCH(ROWS($U$2:U345),$U$2:$U$1001,0),0), INDEX($AB$1004:$AQ$1004,1,MATCH(COLUMNS($AB$1006:AD1006),$AB$1006:$AQ$1006,0)))),"Fix")))</f>
        <v>0</v>
      </c>
      <c r="E345" s="5">
        <f>IF(OR(INDEX($V$2:$V$1001,MATCH(ROWS($U$2:U345),$U$2:$U$1001,0),1)&gt;=100000,INDEX($AB$1005:$AQ$1005,1,MATCH(COLUMNS($AB$1006:AE1006),$AB$1006:$AQ$1006,0))&gt;=100000), " ",IF(INDEX($AB$2:$AQ$1001,MATCH(ROWS($U$2:U345),$U$2:$U$1001,0),MATCH(COLUMNS($AB$1006:AE1006),$AB$1006:$AQ$1006,0)), HYPERLINK("#",""), HYPERLINK(CONCATENATE("#Metadata!", ADDRESS(INDEX($W$2:$W$1001,MATCH(ROWS($U$2:U345),$U$2:$U$1001,0),0), INDEX($AB$1004:$AQ$1004,1,MATCH(COLUMNS($AB$1006:AE1006),$AB$1006:$AQ$1006,0)))),"Fix")))</f>
        <v>0</v>
      </c>
      <c r="F345" s="5">
        <f>IF(OR(INDEX($V$2:$V$1001,MATCH(ROWS($U$2:U345),$U$2:$U$1001,0),1)&gt;=100000,INDEX($AB$1005:$AQ$1005,1,MATCH(COLUMNS($AB$1006:AF1006),$AB$1006:$AQ$1006,0))&gt;=100000), " ",IF(INDEX($AB$2:$AQ$1001,MATCH(ROWS($U$2:U345),$U$2:$U$1001,0),MATCH(COLUMNS($AB$1006:AF1006),$AB$1006:$AQ$1006,0)), HYPERLINK("#",""), HYPERLINK(CONCATENATE("#Metadata!", ADDRESS(INDEX($W$2:$W$1001,MATCH(ROWS($U$2:U345),$U$2:$U$1001,0),0), INDEX($AB$1004:$AQ$1004,1,MATCH(COLUMNS($AB$1006:AF1006),$AB$1006:$AQ$1006,0)))),"Fix")))</f>
        <v>0</v>
      </c>
      <c r="G345" s="5">
        <f>IF(OR(INDEX($V$2:$V$1001,MATCH(ROWS($U$2:U345),$U$2:$U$1001,0),1)&gt;=100000,INDEX($AB$1005:$AQ$1005,1,MATCH(COLUMNS($AB$1006:AG1006),$AB$1006:$AQ$1006,0))&gt;=100000), " ",IF(INDEX($AB$2:$AQ$1001,MATCH(ROWS($U$2:U345),$U$2:$U$1001,0),MATCH(COLUMNS($AB$1006:AG1006),$AB$1006:$AQ$1006,0)), HYPERLINK("#",""), HYPERLINK(CONCATENATE("#Metadata!", ADDRESS(INDEX($W$2:$W$1001,MATCH(ROWS($U$2:U345),$U$2:$U$1001,0),0), INDEX($AB$1004:$AQ$1004,1,MATCH(COLUMNS($AB$1006:AG1006),$AB$1006:$AQ$1006,0)))),"Fix")))</f>
        <v>0</v>
      </c>
      <c r="H345" s="5">
        <f>IF(OR(INDEX($V$2:$V$1001,MATCH(ROWS($U$2:U345),$U$2:$U$1001,0),1)&gt;=100000,INDEX($AB$1005:$AQ$1005,1,MATCH(COLUMNS($AB$1006:AH1006),$AB$1006:$AQ$1006,0))&gt;=100000), " ",IF(INDEX($AB$2:$AQ$1001,MATCH(ROWS($U$2:U345),$U$2:$U$1001,0),MATCH(COLUMNS($AB$1006:AH1006),$AB$1006:$AQ$1006,0)), HYPERLINK("#",""), HYPERLINK(CONCATENATE("#Metadata!", ADDRESS(INDEX($W$2:$W$1001,MATCH(ROWS($U$2:U345),$U$2:$U$1001,0),0), INDEX($AB$1004:$AQ$1004,1,MATCH(COLUMNS($AB$1006:AH1006),$AB$1006:$AQ$1006,0)))),"Fix")))</f>
        <v>0</v>
      </c>
      <c r="I345" s="5">
        <f>IF(OR(INDEX($V$2:$V$1001,MATCH(ROWS($U$2:U345),$U$2:$U$1001,0),1)&gt;=100000,INDEX($AB$1005:$AQ$1005,1,MATCH(COLUMNS($AB$1006:AI1006),$AB$1006:$AQ$1006,0))&gt;=100000), " ",IF(INDEX($AB$2:$AQ$1001,MATCH(ROWS($U$2:U345),$U$2:$U$1001,0),MATCH(COLUMNS($AB$1006:AI1006),$AB$1006:$AQ$1006,0)), HYPERLINK("#",""), HYPERLINK(CONCATENATE("#Metadata!", ADDRESS(INDEX($W$2:$W$1001,MATCH(ROWS($U$2:U345),$U$2:$U$1001,0),0), INDEX($AB$1004:$AQ$1004,1,MATCH(COLUMNS($AB$1006:AI1006),$AB$1006:$AQ$1006,0)))),"Fix")))</f>
        <v>0</v>
      </c>
      <c r="J345" s="5">
        <f>IF(OR(INDEX($V$2:$V$1001,MATCH(ROWS($U$2:U345),$U$2:$U$1001,0),1)&gt;=100000,INDEX($AB$1005:$AQ$1005,1,MATCH(COLUMNS($AB$1006:AJ1006),$AB$1006:$AQ$1006,0))&gt;=100000), " ",IF(INDEX($AB$2:$AQ$1001,MATCH(ROWS($U$2:U345),$U$2:$U$1001,0),MATCH(COLUMNS($AB$1006:AJ1006),$AB$1006:$AQ$1006,0)), HYPERLINK("#",""), HYPERLINK(CONCATENATE("#Metadata!", ADDRESS(INDEX($W$2:$W$1001,MATCH(ROWS($U$2:U345),$U$2:$U$1001,0),0), INDEX($AB$1004:$AQ$1004,1,MATCH(COLUMNS($AB$1006:AJ1006),$AB$1006:$AQ$1006,0)))),"Fix")))</f>
        <v>0</v>
      </c>
      <c r="K345" s="5">
        <f>IF(OR(INDEX($V$2:$V$1001,MATCH(ROWS($U$2:U345),$U$2:$U$1001,0),1)&gt;=100000,INDEX($AB$1005:$AQ$1005,1,MATCH(COLUMNS($AB$1006:AK1006),$AB$1006:$AQ$1006,0))&gt;=100000), " ",IF(INDEX($AB$2:$AQ$1001,MATCH(ROWS($U$2:U345),$U$2:$U$1001,0),MATCH(COLUMNS($AB$1006:AK1006),$AB$1006:$AQ$1006,0)), HYPERLINK("#",""), HYPERLINK(CONCATENATE("#Metadata!", ADDRESS(INDEX($W$2:$W$1001,MATCH(ROWS($U$2:U345),$U$2:$U$1001,0),0), INDEX($AB$1004:$AQ$1004,1,MATCH(COLUMNS($AB$1006:AK1006),$AB$1006:$AQ$1006,0)))),"Fix")))</f>
        <v>0</v>
      </c>
      <c r="L345" s="5">
        <f>IF(OR(INDEX($V$2:$V$1001,MATCH(ROWS($U$2:U345),$U$2:$U$1001,0),1)&gt;=100000,INDEX($AB$1005:$AQ$1005,1,MATCH(COLUMNS($AB$1006:AL1006),$AB$1006:$AQ$1006,0))&gt;=100000), " ",IF(INDEX($AB$2:$AQ$1001,MATCH(ROWS($U$2:U345),$U$2:$U$1001,0),MATCH(COLUMNS($AB$1006:AL1006),$AB$1006:$AQ$1006,0)), HYPERLINK("#",""), HYPERLINK(CONCATENATE("#Metadata!", ADDRESS(INDEX($W$2:$W$1001,MATCH(ROWS($U$2:U345),$U$2:$U$1001,0),0), INDEX($AB$1004:$AQ$1004,1,MATCH(COLUMNS($AB$1006:AL1006),$AB$1006:$AQ$1006,0)))),"Fix")))</f>
        <v>0</v>
      </c>
      <c r="M345" s="5">
        <f>IF(OR(INDEX($V$2:$V$1001,MATCH(ROWS($U$2:U345),$U$2:$U$1001,0),1)&gt;=100000,INDEX($AB$1005:$AQ$1005,1,MATCH(COLUMNS($AB$1006:AM1006),$AB$1006:$AQ$1006,0))&gt;=100000), " ",IF(INDEX($AB$2:$AQ$1001,MATCH(ROWS($U$2:U345),$U$2:$U$1001,0),MATCH(COLUMNS($AB$1006:AM1006),$AB$1006:$AQ$1006,0)), HYPERLINK("#",""), HYPERLINK(CONCATENATE("#Metadata!", ADDRESS(INDEX($W$2:$W$1001,MATCH(ROWS($U$2:U345),$U$2:$U$1001,0),0), INDEX($AB$1004:$AQ$1004,1,MATCH(COLUMNS($AB$1006:AM1006),$AB$1006:$AQ$1006,0)))),"Fix")))</f>
        <v>0</v>
      </c>
      <c r="N345" s="5">
        <f>IF(OR(INDEX($V$2:$V$1001,MATCH(ROWS($U$2:U345),$U$2:$U$1001,0),1)&gt;=100000,INDEX($AB$1005:$AQ$1005,1,MATCH(COLUMNS($AB$1006:AN1006),$AB$1006:$AQ$1006,0))&gt;=100000), " ",IF(INDEX($AB$2:$AQ$1001,MATCH(ROWS($U$2:U345),$U$2:$U$1001,0),MATCH(COLUMNS($AB$1006:AN1006),$AB$1006:$AQ$1006,0)), HYPERLINK("#",""), HYPERLINK(CONCATENATE("#Metadata!", ADDRESS(INDEX($W$2:$W$1001,MATCH(ROWS($U$2:U345),$U$2:$U$1001,0),0), INDEX($AB$1004:$AQ$1004,1,MATCH(COLUMNS($AB$1006:AN1006),$AB$1006:$AQ$1006,0)))),"Fix")))</f>
        <v>0</v>
      </c>
      <c r="O345" s="5">
        <f>IF(OR(INDEX($V$2:$V$1001,MATCH(ROWS($U$2:U345),$U$2:$U$1001,0),1)&gt;=100000,INDEX($AB$1005:$AQ$1005,1,MATCH(COLUMNS($AB$1006:AO1006),$AB$1006:$AQ$1006,0))&gt;=100000), " ",IF(INDEX($AB$2:$AQ$1001,MATCH(ROWS($U$2:U345),$U$2:$U$1001,0),MATCH(COLUMNS($AB$1006:AO1006),$AB$1006:$AQ$1006,0)), HYPERLINK("#",""), HYPERLINK(CONCATENATE("#Metadata!", ADDRESS(INDEX($W$2:$W$1001,MATCH(ROWS($U$2:U345),$U$2:$U$1001,0),0), INDEX($AB$1004:$AQ$1004,1,MATCH(COLUMNS($AB$1006:AO1006),$AB$1006:$AQ$1006,0)))),"Fix")))</f>
        <v>0</v>
      </c>
      <c r="P345" s="5">
        <f>IF(OR(INDEX($V$2:$V$1001,MATCH(ROWS($U$2:U345),$U$2:$U$1001,0),1)&gt;=100000,INDEX($AB$1005:$AQ$1005,1,MATCH(COLUMNS($AB$1006:AP1006),$AB$1006:$AQ$1006,0))&gt;=100000), " ",IF(INDEX($AB$2:$AQ$1001,MATCH(ROWS($U$2:U345),$U$2:$U$1001,0),MATCH(COLUMNS($AB$1006:AP1006),$AB$1006:$AQ$1006,0)), HYPERLINK("#",""), HYPERLINK(CONCATENATE("#Metadata!", ADDRESS(INDEX($W$2:$W$1001,MATCH(ROWS($U$2:U345),$U$2:$U$1001,0),0), INDEX($AB$1004:$AQ$1004,1,MATCH(COLUMNS($AB$1006:AP1006),$AB$1006:$AQ$1006,0)))),"Fix")))</f>
        <v>0</v>
      </c>
      <c r="Q345" s="5">
        <f>IF(OR(INDEX($V$2:$V$1001,MATCH(ROWS($U$2:U345),$U$2:$U$1001,0),1)&gt;=100000,INDEX($AB$1005:$AQ$1005,1,MATCH(COLUMNS($AB$1006:AQ1006),$AB$1006:$AQ$1006,0))&gt;=100000), " ",IF(INDEX($AB$2:$AQ$1001,MATCH(ROWS($U$2:U345),$U$2:$U$1001,0),MATCH(COLUMNS($AB$1006:AQ1006),$AB$1006:$AQ$1006,0)), HYPERLINK("#",""), HYPERLINK(CONCATENATE("#Metadata!", ADDRESS(INDEX($W$2:$W$1001,MATCH(ROWS($U$2:U345),$U$2:$U$1001,0),0), INDEX($AB$1004:$AQ$1004,1,MATCH(COLUMNS($AB$1006:AQ1006),$AB$1006:$AQ$1006,0)))),"Fix")))</f>
        <v>0</v>
      </c>
      <c r="U345">
        <v>0</v>
      </c>
      <c r="V345">
        <v>0</v>
      </c>
      <c r="W345">
        <v>0</v>
      </c>
      <c r="X345">
        <f>IF(Y345,TRUE,AND(AB345:AQ345))</f>
        <v>0</v>
      </c>
      <c r="Y345">
        <f>COUNTBLANK(Metadata!B345:Q345)=COLUMNS(Metadata!B345:Q345)</f>
        <v>0</v>
      </c>
      <c r="Z345">
        <v>0</v>
      </c>
      <c r="AB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AC345">
        <f>AND(IF(Metadata!C345="",FALSE,TRUE),exact(Metadata!C345,"urban biome"))</f>
        <v>0</v>
      </c>
      <c r="AD345">
        <f>AND(IF(Metadata!D345="",FALSE,TRUE),exact(Metadata!D345,"human-associated habitat"))</f>
        <v>0</v>
      </c>
      <c r="AE345">
        <f>AND(IF(Metadata!E345="",FALSE,TRUE),OR(exact(Metadata!E345,"human-associated"),exact(Metadata!E345,"human-skin"),exact(Metadata!E345,"human-oral"),exact(Metadata!E345,"human-gut"),exact(Metadata!E345,"human-vaginal")))</f>
        <v>0</v>
      </c>
      <c r="AF345">
        <f>AND(IF(Metadata!F345="",FALSE,ISNUMBER(VALUE(Metadata!F345))),Metadata!F345&gt;0)</f>
        <v>0</v>
      </c>
      <c r="AG345">
        <f>AND(IF(Metadata!G345="",FALSE,TRUE),exact(Metadata!G345,"years"))</f>
        <v>0</v>
      </c>
      <c r="AH345">
        <f>OR(AND(IF(Metadata!H345="",FALSE,TRUE),OR(exact(Metadata!H345,"not applicable"),exact(Metadata!H345,"not collected"),exact(Metadata!H345,"not provided"),exact(Metadata!H345,"restricted access"))),AND(IF(Metadata!H345="",FALSE,ISNUMBER(VALUE(Metadata!H345))),Metadata!H345&gt;0))</f>
        <v>0</v>
      </c>
      <c r="AI345">
        <f>AND(IF(Metadata!I345="",FALSE,TRUE),exact(Metadata!I345,"human"))</f>
        <v>0</v>
      </c>
      <c r="AJ345">
        <f>AND(IF(Metadata!J345="",FALSE,ISNUMBER(VALUE(Metadata!J345))),Metadata!J345&gt;0)</f>
        <v>0</v>
      </c>
      <c r="AK345">
        <f>AND(IF(Metadata!K345="",FALSE,TRUE),exact(Metadata!K345,"cm"))</f>
        <v>0</v>
      </c>
      <c r="AL345">
        <f>AND(IF(Metadata!L345="",FALSE,TRUE),exact(Metadata!L345,"Homo sapiens"))</f>
        <v>0</v>
      </c>
      <c r="AM345">
        <f>AND(IF(Metadata!M345="",FALSE,TRUE),exact(Metadata!M345,"9606"))</f>
        <v>0</v>
      </c>
      <c r="AN345">
        <f>AND(IF(Metadata!N345="",FALSE,ISNUMBER(VALUE(Metadata!N345))),Metadata!N345&gt;0)</f>
        <v>0</v>
      </c>
      <c r="AO345">
        <f>AND(IF(Metadata!O345="",FALSE,TRUE),exact(Metadata!O345,"kg"))</f>
        <v>0</v>
      </c>
      <c r="AP345">
        <f>OR(AND(IF(Metadata!P345="",FALSE,TRUE),exact(Metadata!P345,"not provided")),IF(Metadata!P345="",FALSE,TRUE))</f>
        <v>0</v>
      </c>
      <c r="AQ345">
        <f>OR(AND(IF(Metadata!Q345="",FALSE,TRUE),exact(Metadata!Q345,"not provided")),IF(Metadata!Q345="",FALSE,TRUE))</f>
        <v>0</v>
      </c>
    </row>
    <row r="346" spans="1:43">
      <c r="A346" s="4">
        <f>IF(B346=" "," ",HYPERLINK(CONCATENATE("#metadata!",ADDRESS(INDEX($W$2:$W$1001,MATCH(ROWS($U$2:U346),$U$2:$U$1001,0),0),2)),INDEX($Z$2:$Z$1001,MATCH(ROWS($U$2:U346),$U$2:$U$1001,0),0)))</f>
        <v>0</v>
      </c>
      <c r="B346" s="5">
        <f>IF(OR(INDEX($V$2:$V$1001,MATCH(ROWS($U$2:U346),$U$2:$U$1001,0),1)&gt;=100000,INDEX($AB$1005:$AQ$1005,1,MATCH(COLUMNS($AB$1006:AB1006),$AB$1006:$AQ$1006,0))&gt;=100000), " ",IF(INDEX($AB$2:$AQ$1001,MATCH(ROWS($U$2:U346),$U$2:$U$1001,0),MATCH(COLUMNS($AB$1006:AB1006),$AB$1006:$AQ$1006,0)), HYPERLINK("#",""), HYPERLINK(CONCATENATE("#Metadata!", ADDRESS(INDEX($W$2:$W$1001,MATCH(ROWS($U$2:U346),$U$2:$U$1001,0),0), INDEX($AB$1004:$AQ$1004,1,MATCH(COLUMNS($AB$1006:AB1006),$AB$1006:$AQ$1006,0)))),"Fix")))</f>
        <v>0</v>
      </c>
      <c r="C346" s="5">
        <f>IF(OR(INDEX($V$2:$V$1001,MATCH(ROWS($U$2:U346),$U$2:$U$1001,0),1)&gt;=100000,INDEX($AB$1005:$AQ$1005,1,MATCH(COLUMNS($AB$1006:AC1006),$AB$1006:$AQ$1006,0))&gt;=100000), " ",IF(INDEX($AB$2:$AQ$1001,MATCH(ROWS($U$2:U346),$U$2:$U$1001,0),MATCH(COLUMNS($AB$1006:AC1006),$AB$1006:$AQ$1006,0)), HYPERLINK("#",""), HYPERLINK(CONCATENATE("#Metadata!", ADDRESS(INDEX($W$2:$W$1001,MATCH(ROWS($U$2:U346),$U$2:$U$1001,0),0), INDEX($AB$1004:$AQ$1004,1,MATCH(COLUMNS($AB$1006:AC1006),$AB$1006:$AQ$1006,0)))),"Fix")))</f>
        <v>0</v>
      </c>
      <c r="D346" s="5">
        <f>IF(OR(INDEX($V$2:$V$1001,MATCH(ROWS($U$2:U346),$U$2:$U$1001,0),1)&gt;=100000,INDEX($AB$1005:$AQ$1005,1,MATCH(COLUMNS($AB$1006:AD1006),$AB$1006:$AQ$1006,0))&gt;=100000), " ",IF(INDEX($AB$2:$AQ$1001,MATCH(ROWS($U$2:U346),$U$2:$U$1001,0),MATCH(COLUMNS($AB$1006:AD1006),$AB$1006:$AQ$1006,0)), HYPERLINK("#",""), HYPERLINK(CONCATENATE("#Metadata!", ADDRESS(INDEX($W$2:$W$1001,MATCH(ROWS($U$2:U346),$U$2:$U$1001,0),0), INDEX($AB$1004:$AQ$1004,1,MATCH(COLUMNS($AB$1006:AD1006),$AB$1006:$AQ$1006,0)))),"Fix")))</f>
        <v>0</v>
      </c>
      <c r="E346" s="5">
        <f>IF(OR(INDEX($V$2:$V$1001,MATCH(ROWS($U$2:U346),$U$2:$U$1001,0),1)&gt;=100000,INDEX($AB$1005:$AQ$1005,1,MATCH(COLUMNS($AB$1006:AE1006),$AB$1006:$AQ$1006,0))&gt;=100000), " ",IF(INDEX($AB$2:$AQ$1001,MATCH(ROWS($U$2:U346),$U$2:$U$1001,0),MATCH(COLUMNS($AB$1006:AE1006),$AB$1006:$AQ$1006,0)), HYPERLINK("#",""), HYPERLINK(CONCATENATE("#Metadata!", ADDRESS(INDEX($W$2:$W$1001,MATCH(ROWS($U$2:U346),$U$2:$U$1001,0),0), INDEX($AB$1004:$AQ$1004,1,MATCH(COLUMNS($AB$1006:AE1006),$AB$1006:$AQ$1006,0)))),"Fix")))</f>
        <v>0</v>
      </c>
      <c r="F346" s="5">
        <f>IF(OR(INDEX($V$2:$V$1001,MATCH(ROWS($U$2:U346),$U$2:$U$1001,0),1)&gt;=100000,INDEX($AB$1005:$AQ$1005,1,MATCH(COLUMNS($AB$1006:AF1006),$AB$1006:$AQ$1006,0))&gt;=100000), " ",IF(INDEX($AB$2:$AQ$1001,MATCH(ROWS($U$2:U346),$U$2:$U$1001,0),MATCH(COLUMNS($AB$1006:AF1006),$AB$1006:$AQ$1006,0)), HYPERLINK("#",""), HYPERLINK(CONCATENATE("#Metadata!", ADDRESS(INDEX($W$2:$W$1001,MATCH(ROWS($U$2:U346),$U$2:$U$1001,0),0), INDEX($AB$1004:$AQ$1004,1,MATCH(COLUMNS($AB$1006:AF1006),$AB$1006:$AQ$1006,0)))),"Fix")))</f>
        <v>0</v>
      </c>
      <c r="G346" s="5">
        <f>IF(OR(INDEX($V$2:$V$1001,MATCH(ROWS($U$2:U346),$U$2:$U$1001,0),1)&gt;=100000,INDEX($AB$1005:$AQ$1005,1,MATCH(COLUMNS($AB$1006:AG1006),$AB$1006:$AQ$1006,0))&gt;=100000), " ",IF(INDEX($AB$2:$AQ$1001,MATCH(ROWS($U$2:U346),$U$2:$U$1001,0),MATCH(COLUMNS($AB$1006:AG1006),$AB$1006:$AQ$1006,0)), HYPERLINK("#",""), HYPERLINK(CONCATENATE("#Metadata!", ADDRESS(INDEX($W$2:$W$1001,MATCH(ROWS($U$2:U346),$U$2:$U$1001,0),0), INDEX($AB$1004:$AQ$1004,1,MATCH(COLUMNS($AB$1006:AG1006),$AB$1006:$AQ$1006,0)))),"Fix")))</f>
        <v>0</v>
      </c>
      <c r="H346" s="5">
        <f>IF(OR(INDEX($V$2:$V$1001,MATCH(ROWS($U$2:U346),$U$2:$U$1001,0),1)&gt;=100000,INDEX($AB$1005:$AQ$1005,1,MATCH(COLUMNS($AB$1006:AH1006),$AB$1006:$AQ$1006,0))&gt;=100000), " ",IF(INDEX($AB$2:$AQ$1001,MATCH(ROWS($U$2:U346),$U$2:$U$1001,0),MATCH(COLUMNS($AB$1006:AH1006),$AB$1006:$AQ$1006,0)), HYPERLINK("#",""), HYPERLINK(CONCATENATE("#Metadata!", ADDRESS(INDEX($W$2:$W$1001,MATCH(ROWS($U$2:U346),$U$2:$U$1001,0),0), INDEX($AB$1004:$AQ$1004,1,MATCH(COLUMNS($AB$1006:AH1006),$AB$1006:$AQ$1006,0)))),"Fix")))</f>
        <v>0</v>
      </c>
      <c r="I346" s="5">
        <f>IF(OR(INDEX($V$2:$V$1001,MATCH(ROWS($U$2:U346),$U$2:$U$1001,0),1)&gt;=100000,INDEX($AB$1005:$AQ$1005,1,MATCH(COLUMNS($AB$1006:AI1006),$AB$1006:$AQ$1006,0))&gt;=100000), " ",IF(INDEX($AB$2:$AQ$1001,MATCH(ROWS($U$2:U346),$U$2:$U$1001,0),MATCH(COLUMNS($AB$1006:AI1006),$AB$1006:$AQ$1006,0)), HYPERLINK("#",""), HYPERLINK(CONCATENATE("#Metadata!", ADDRESS(INDEX($W$2:$W$1001,MATCH(ROWS($U$2:U346),$U$2:$U$1001,0),0), INDEX($AB$1004:$AQ$1004,1,MATCH(COLUMNS($AB$1006:AI1006),$AB$1006:$AQ$1006,0)))),"Fix")))</f>
        <v>0</v>
      </c>
      <c r="J346" s="5">
        <f>IF(OR(INDEX($V$2:$V$1001,MATCH(ROWS($U$2:U346),$U$2:$U$1001,0),1)&gt;=100000,INDEX($AB$1005:$AQ$1005,1,MATCH(COLUMNS($AB$1006:AJ1006),$AB$1006:$AQ$1006,0))&gt;=100000), " ",IF(INDEX($AB$2:$AQ$1001,MATCH(ROWS($U$2:U346),$U$2:$U$1001,0),MATCH(COLUMNS($AB$1006:AJ1006),$AB$1006:$AQ$1006,0)), HYPERLINK("#",""), HYPERLINK(CONCATENATE("#Metadata!", ADDRESS(INDEX($W$2:$W$1001,MATCH(ROWS($U$2:U346),$U$2:$U$1001,0),0), INDEX($AB$1004:$AQ$1004,1,MATCH(COLUMNS($AB$1006:AJ1006),$AB$1006:$AQ$1006,0)))),"Fix")))</f>
        <v>0</v>
      </c>
      <c r="K346" s="5">
        <f>IF(OR(INDEX($V$2:$V$1001,MATCH(ROWS($U$2:U346),$U$2:$U$1001,0),1)&gt;=100000,INDEX($AB$1005:$AQ$1005,1,MATCH(COLUMNS($AB$1006:AK1006),$AB$1006:$AQ$1006,0))&gt;=100000), " ",IF(INDEX($AB$2:$AQ$1001,MATCH(ROWS($U$2:U346),$U$2:$U$1001,0),MATCH(COLUMNS($AB$1006:AK1006),$AB$1006:$AQ$1006,0)), HYPERLINK("#",""), HYPERLINK(CONCATENATE("#Metadata!", ADDRESS(INDEX($W$2:$W$1001,MATCH(ROWS($U$2:U346),$U$2:$U$1001,0),0), INDEX($AB$1004:$AQ$1004,1,MATCH(COLUMNS($AB$1006:AK1006),$AB$1006:$AQ$1006,0)))),"Fix")))</f>
        <v>0</v>
      </c>
      <c r="L346" s="5">
        <f>IF(OR(INDEX($V$2:$V$1001,MATCH(ROWS($U$2:U346),$U$2:$U$1001,0),1)&gt;=100000,INDEX($AB$1005:$AQ$1005,1,MATCH(COLUMNS($AB$1006:AL1006),$AB$1006:$AQ$1006,0))&gt;=100000), " ",IF(INDEX($AB$2:$AQ$1001,MATCH(ROWS($U$2:U346),$U$2:$U$1001,0),MATCH(COLUMNS($AB$1006:AL1006),$AB$1006:$AQ$1006,0)), HYPERLINK("#",""), HYPERLINK(CONCATENATE("#Metadata!", ADDRESS(INDEX($W$2:$W$1001,MATCH(ROWS($U$2:U346),$U$2:$U$1001,0),0), INDEX($AB$1004:$AQ$1004,1,MATCH(COLUMNS($AB$1006:AL1006),$AB$1006:$AQ$1006,0)))),"Fix")))</f>
        <v>0</v>
      </c>
      <c r="M346" s="5">
        <f>IF(OR(INDEX($V$2:$V$1001,MATCH(ROWS($U$2:U346),$U$2:$U$1001,0),1)&gt;=100000,INDEX($AB$1005:$AQ$1005,1,MATCH(COLUMNS($AB$1006:AM1006),$AB$1006:$AQ$1006,0))&gt;=100000), " ",IF(INDEX($AB$2:$AQ$1001,MATCH(ROWS($U$2:U346),$U$2:$U$1001,0),MATCH(COLUMNS($AB$1006:AM1006),$AB$1006:$AQ$1006,0)), HYPERLINK("#",""), HYPERLINK(CONCATENATE("#Metadata!", ADDRESS(INDEX($W$2:$W$1001,MATCH(ROWS($U$2:U346),$U$2:$U$1001,0),0), INDEX($AB$1004:$AQ$1004,1,MATCH(COLUMNS($AB$1006:AM1006),$AB$1006:$AQ$1006,0)))),"Fix")))</f>
        <v>0</v>
      </c>
      <c r="N346" s="5">
        <f>IF(OR(INDEX($V$2:$V$1001,MATCH(ROWS($U$2:U346),$U$2:$U$1001,0),1)&gt;=100000,INDEX($AB$1005:$AQ$1005,1,MATCH(COLUMNS($AB$1006:AN1006),$AB$1006:$AQ$1006,0))&gt;=100000), " ",IF(INDEX($AB$2:$AQ$1001,MATCH(ROWS($U$2:U346),$U$2:$U$1001,0),MATCH(COLUMNS($AB$1006:AN1006),$AB$1006:$AQ$1006,0)), HYPERLINK("#",""), HYPERLINK(CONCATENATE("#Metadata!", ADDRESS(INDEX($W$2:$W$1001,MATCH(ROWS($U$2:U346),$U$2:$U$1001,0),0), INDEX($AB$1004:$AQ$1004,1,MATCH(COLUMNS($AB$1006:AN1006),$AB$1006:$AQ$1006,0)))),"Fix")))</f>
        <v>0</v>
      </c>
      <c r="O346" s="5">
        <f>IF(OR(INDEX($V$2:$V$1001,MATCH(ROWS($U$2:U346),$U$2:$U$1001,0),1)&gt;=100000,INDEX($AB$1005:$AQ$1005,1,MATCH(COLUMNS($AB$1006:AO1006),$AB$1006:$AQ$1006,0))&gt;=100000), " ",IF(INDEX($AB$2:$AQ$1001,MATCH(ROWS($U$2:U346),$U$2:$U$1001,0),MATCH(COLUMNS($AB$1006:AO1006),$AB$1006:$AQ$1006,0)), HYPERLINK("#",""), HYPERLINK(CONCATENATE("#Metadata!", ADDRESS(INDEX($W$2:$W$1001,MATCH(ROWS($U$2:U346),$U$2:$U$1001,0),0), INDEX($AB$1004:$AQ$1004,1,MATCH(COLUMNS($AB$1006:AO1006),$AB$1006:$AQ$1006,0)))),"Fix")))</f>
        <v>0</v>
      </c>
      <c r="P346" s="5">
        <f>IF(OR(INDEX($V$2:$V$1001,MATCH(ROWS($U$2:U346),$U$2:$U$1001,0),1)&gt;=100000,INDEX($AB$1005:$AQ$1005,1,MATCH(COLUMNS($AB$1006:AP1006),$AB$1006:$AQ$1006,0))&gt;=100000), " ",IF(INDEX($AB$2:$AQ$1001,MATCH(ROWS($U$2:U346),$U$2:$U$1001,0),MATCH(COLUMNS($AB$1006:AP1006),$AB$1006:$AQ$1006,0)), HYPERLINK("#",""), HYPERLINK(CONCATENATE("#Metadata!", ADDRESS(INDEX($W$2:$W$1001,MATCH(ROWS($U$2:U346),$U$2:$U$1001,0),0), INDEX($AB$1004:$AQ$1004,1,MATCH(COLUMNS($AB$1006:AP1006),$AB$1006:$AQ$1006,0)))),"Fix")))</f>
        <v>0</v>
      </c>
      <c r="Q346" s="5">
        <f>IF(OR(INDEX($V$2:$V$1001,MATCH(ROWS($U$2:U346),$U$2:$U$1001,0),1)&gt;=100000,INDEX($AB$1005:$AQ$1005,1,MATCH(COLUMNS($AB$1006:AQ1006),$AB$1006:$AQ$1006,0))&gt;=100000), " ",IF(INDEX($AB$2:$AQ$1001,MATCH(ROWS($U$2:U346),$U$2:$U$1001,0),MATCH(COLUMNS($AB$1006:AQ1006),$AB$1006:$AQ$1006,0)), HYPERLINK("#",""), HYPERLINK(CONCATENATE("#Metadata!", ADDRESS(INDEX($W$2:$W$1001,MATCH(ROWS($U$2:U346),$U$2:$U$1001,0),0), INDEX($AB$1004:$AQ$1004,1,MATCH(COLUMNS($AB$1006:AQ1006),$AB$1006:$AQ$1006,0)))),"Fix")))</f>
        <v>0</v>
      </c>
      <c r="U346">
        <v>0</v>
      </c>
      <c r="V346">
        <v>0</v>
      </c>
      <c r="W346">
        <v>0</v>
      </c>
      <c r="X346">
        <f>IF(Y346,TRUE,AND(AB346:AQ346))</f>
        <v>0</v>
      </c>
      <c r="Y346">
        <f>COUNTBLANK(Metadata!B346:Q346)=COLUMNS(Metadata!B346:Q346)</f>
        <v>0</v>
      </c>
      <c r="Z346">
        <v>0</v>
      </c>
      <c r="AB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AC346">
        <f>AND(IF(Metadata!C346="",FALSE,TRUE),exact(Metadata!C346,"urban biome"))</f>
        <v>0</v>
      </c>
      <c r="AD346">
        <f>AND(IF(Metadata!D346="",FALSE,TRUE),exact(Metadata!D346,"human-associated habitat"))</f>
        <v>0</v>
      </c>
      <c r="AE346">
        <f>AND(IF(Metadata!E346="",FALSE,TRUE),OR(exact(Metadata!E346,"human-associated"),exact(Metadata!E346,"human-skin"),exact(Metadata!E346,"human-oral"),exact(Metadata!E346,"human-gut"),exact(Metadata!E346,"human-vaginal")))</f>
        <v>0</v>
      </c>
      <c r="AF346">
        <f>AND(IF(Metadata!F346="",FALSE,ISNUMBER(VALUE(Metadata!F346))),Metadata!F346&gt;0)</f>
        <v>0</v>
      </c>
      <c r="AG346">
        <f>AND(IF(Metadata!G346="",FALSE,TRUE),exact(Metadata!G346,"years"))</f>
        <v>0</v>
      </c>
      <c r="AH346">
        <f>OR(AND(IF(Metadata!H346="",FALSE,TRUE),OR(exact(Metadata!H346,"not applicable"),exact(Metadata!H346,"not collected"),exact(Metadata!H346,"not provided"),exact(Metadata!H346,"restricted access"))),AND(IF(Metadata!H346="",FALSE,ISNUMBER(VALUE(Metadata!H346))),Metadata!H346&gt;0))</f>
        <v>0</v>
      </c>
      <c r="AI346">
        <f>AND(IF(Metadata!I346="",FALSE,TRUE),exact(Metadata!I346,"human"))</f>
        <v>0</v>
      </c>
      <c r="AJ346">
        <f>AND(IF(Metadata!J346="",FALSE,ISNUMBER(VALUE(Metadata!J346))),Metadata!J346&gt;0)</f>
        <v>0</v>
      </c>
      <c r="AK346">
        <f>AND(IF(Metadata!K346="",FALSE,TRUE),exact(Metadata!K346,"cm"))</f>
        <v>0</v>
      </c>
      <c r="AL346">
        <f>AND(IF(Metadata!L346="",FALSE,TRUE),exact(Metadata!L346,"Homo sapiens"))</f>
        <v>0</v>
      </c>
      <c r="AM346">
        <f>AND(IF(Metadata!M346="",FALSE,TRUE),exact(Metadata!M346,"9606"))</f>
        <v>0</v>
      </c>
      <c r="AN346">
        <f>AND(IF(Metadata!N346="",FALSE,ISNUMBER(VALUE(Metadata!N346))),Metadata!N346&gt;0)</f>
        <v>0</v>
      </c>
      <c r="AO346">
        <f>AND(IF(Metadata!O346="",FALSE,TRUE),exact(Metadata!O346,"kg"))</f>
        <v>0</v>
      </c>
      <c r="AP346">
        <f>OR(AND(IF(Metadata!P346="",FALSE,TRUE),exact(Metadata!P346,"not provided")),IF(Metadata!P346="",FALSE,TRUE))</f>
        <v>0</v>
      </c>
      <c r="AQ346">
        <f>OR(AND(IF(Metadata!Q346="",FALSE,TRUE),exact(Metadata!Q346,"not provided")),IF(Metadata!Q346="",FALSE,TRUE))</f>
        <v>0</v>
      </c>
    </row>
    <row r="347" spans="1:43">
      <c r="A347" s="4">
        <f>IF(B347=" "," ",HYPERLINK(CONCATENATE("#metadata!",ADDRESS(INDEX($W$2:$W$1001,MATCH(ROWS($U$2:U347),$U$2:$U$1001,0),0),2)),INDEX($Z$2:$Z$1001,MATCH(ROWS($U$2:U347),$U$2:$U$1001,0),0)))</f>
        <v>0</v>
      </c>
      <c r="B347" s="5">
        <f>IF(OR(INDEX($V$2:$V$1001,MATCH(ROWS($U$2:U347),$U$2:$U$1001,0),1)&gt;=100000,INDEX($AB$1005:$AQ$1005,1,MATCH(COLUMNS($AB$1006:AB1006),$AB$1006:$AQ$1006,0))&gt;=100000), " ",IF(INDEX($AB$2:$AQ$1001,MATCH(ROWS($U$2:U347),$U$2:$U$1001,0),MATCH(COLUMNS($AB$1006:AB1006),$AB$1006:$AQ$1006,0)), HYPERLINK("#",""), HYPERLINK(CONCATENATE("#Metadata!", ADDRESS(INDEX($W$2:$W$1001,MATCH(ROWS($U$2:U347),$U$2:$U$1001,0),0), INDEX($AB$1004:$AQ$1004,1,MATCH(COLUMNS($AB$1006:AB1006),$AB$1006:$AQ$1006,0)))),"Fix")))</f>
        <v>0</v>
      </c>
      <c r="C347" s="5">
        <f>IF(OR(INDEX($V$2:$V$1001,MATCH(ROWS($U$2:U347),$U$2:$U$1001,0),1)&gt;=100000,INDEX($AB$1005:$AQ$1005,1,MATCH(COLUMNS($AB$1006:AC1006),$AB$1006:$AQ$1006,0))&gt;=100000), " ",IF(INDEX($AB$2:$AQ$1001,MATCH(ROWS($U$2:U347),$U$2:$U$1001,0),MATCH(COLUMNS($AB$1006:AC1006),$AB$1006:$AQ$1006,0)), HYPERLINK("#",""), HYPERLINK(CONCATENATE("#Metadata!", ADDRESS(INDEX($W$2:$W$1001,MATCH(ROWS($U$2:U347),$U$2:$U$1001,0),0), INDEX($AB$1004:$AQ$1004,1,MATCH(COLUMNS($AB$1006:AC1006),$AB$1006:$AQ$1006,0)))),"Fix")))</f>
        <v>0</v>
      </c>
      <c r="D347" s="5">
        <f>IF(OR(INDEX($V$2:$V$1001,MATCH(ROWS($U$2:U347),$U$2:$U$1001,0),1)&gt;=100000,INDEX($AB$1005:$AQ$1005,1,MATCH(COLUMNS($AB$1006:AD1006),$AB$1006:$AQ$1006,0))&gt;=100000), " ",IF(INDEX($AB$2:$AQ$1001,MATCH(ROWS($U$2:U347),$U$2:$U$1001,0),MATCH(COLUMNS($AB$1006:AD1006),$AB$1006:$AQ$1006,0)), HYPERLINK("#",""), HYPERLINK(CONCATENATE("#Metadata!", ADDRESS(INDEX($W$2:$W$1001,MATCH(ROWS($U$2:U347),$U$2:$U$1001,0),0), INDEX($AB$1004:$AQ$1004,1,MATCH(COLUMNS($AB$1006:AD1006),$AB$1006:$AQ$1006,0)))),"Fix")))</f>
        <v>0</v>
      </c>
      <c r="E347" s="5">
        <f>IF(OR(INDEX($V$2:$V$1001,MATCH(ROWS($U$2:U347),$U$2:$U$1001,0),1)&gt;=100000,INDEX($AB$1005:$AQ$1005,1,MATCH(COLUMNS($AB$1006:AE1006),$AB$1006:$AQ$1006,0))&gt;=100000), " ",IF(INDEX($AB$2:$AQ$1001,MATCH(ROWS($U$2:U347),$U$2:$U$1001,0),MATCH(COLUMNS($AB$1006:AE1006),$AB$1006:$AQ$1006,0)), HYPERLINK("#",""), HYPERLINK(CONCATENATE("#Metadata!", ADDRESS(INDEX($W$2:$W$1001,MATCH(ROWS($U$2:U347),$U$2:$U$1001,0),0), INDEX($AB$1004:$AQ$1004,1,MATCH(COLUMNS($AB$1006:AE1006),$AB$1006:$AQ$1006,0)))),"Fix")))</f>
        <v>0</v>
      </c>
      <c r="F347" s="5">
        <f>IF(OR(INDEX($V$2:$V$1001,MATCH(ROWS($U$2:U347),$U$2:$U$1001,0),1)&gt;=100000,INDEX($AB$1005:$AQ$1005,1,MATCH(COLUMNS($AB$1006:AF1006),$AB$1006:$AQ$1006,0))&gt;=100000), " ",IF(INDEX($AB$2:$AQ$1001,MATCH(ROWS($U$2:U347),$U$2:$U$1001,0),MATCH(COLUMNS($AB$1006:AF1006),$AB$1006:$AQ$1006,0)), HYPERLINK("#",""), HYPERLINK(CONCATENATE("#Metadata!", ADDRESS(INDEX($W$2:$W$1001,MATCH(ROWS($U$2:U347),$U$2:$U$1001,0),0), INDEX($AB$1004:$AQ$1004,1,MATCH(COLUMNS($AB$1006:AF1006),$AB$1006:$AQ$1006,0)))),"Fix")))</f>
        <v>0</v>
      </c>
      <c r="G347" s="5">
        <f>IF(OR(INDEX($V$2:$V$1001,MATCH(ROWS($U$2:U347),$U$2:$U$1001,0),1)&gt;=100000,INDEX($AB$1005:$AQ$1005,1,MATCH(COLUMNS($AB$1006:AG1006),$AB$1006:$AQ$1006,0))&gt;=100000), " ",IF(INDEX($AB$2:$AQ$1001,MATCH(ROWS($U$2:U347),$U$2:$U$1001,0),MATCH(COLUMNS($AB$1006:AG1006),$AB$1006:$AQ$1006,0)), HYPERLINK("#",""), HYPERLINK(CONCATENATE("#Metadata!", ADDRESS(INDEX($W$2:$W$1001,MATCH(ROWS($U$2:U347),$U$2:$U$1001,0),0), INDEX($AB$1004:$AQ$1004,1,MATCH(COLUMNS($AB$1006:AG1006),$AB$1006:$AQ$1006,0)))),"Fix")))</f>
        <v>0</v>
      </c>
      <c r="H347" s="5">
        <f>IF(OR(INDEX($V$2:$V$1001,MATCH(ROWS($U$2:U347),$U$2:$U$1001,0),1)&gt;=100000,INDEX($AB$1005:$AQ$1005,1,MATCH(COLUMNS($AB$1006:AH1006),$AB$1006:$AQ$1006,0))&gt;=100000), " ",IF(INDEX($AB$2:$AQ$1001,MATCH(ROWS($U$2:U347),$U$2:$U$1001,0),MATCH(COLUMNS($AB$1006:AH1006),$AB$1006:$AQ$1006,0)), HYPERLINK("#",""), HYPERLINK(CONCATENATE("#Metadata!", ADDRESS(INDEX($W$2:$W$1001,MATCH(ROWS($U$2:U347),$U$2:$U$1001,0),0), INDEX($AB$1004:$AQ$1004,1,MATCH(COLUMNS($AB$1006:AH1006),$AB$1006:$AQ$1006,0)))),"Fix")))</f>
        <v>0</v>
      </c>
      <c r="I347" s="5">
        <f>IF(OR(INDEX($V$2:$V$1001,MATCH(ROWS($U$2:U347),$U$2:$U$1001,0),1)&gt;=100000,INDEX($AB$1005:$AQ$1005,1,MATCH(COLUMNS($AB$1006:AI1006),$AB$1006:$AQ$1006,0))&gt;=100000), " ",IF(INDEX($AB$2:$AQ$1001,MATCH(ROWS($U$2:U347),$U$2:$U$1001,0),MATCH(COLUMNS($AB$1006:AI1006),$AB$1006:$AQ$1006,0)), HYPERLINK("#",""), HYPERLINK(CONCATENATE("#Metadata!", ADDRESS(INDEX($W$2:$W$1001,MATCH(ROWS($U$2:U347),$U$2:$U$1001,0),0), INDEX($AB$1004:$AQ$1004,1,MATCH(COLUMNS($AB$1006:AI1006),$AB$1006:$AQ$1006,0)))),"Fix")))</f>
        <v>0</v>
      </c>
      <c r="J347" s="5">
        <f>IF(OR(INDEX($V$2:$V$1001,MATCH(ROWS($U$2:U347),$U$2:$U$1001,0),1)&gt;=100000,INDEX($AB$1005:$AQ$1005,1,MATCH(COLUMNS($AB$1006:AJ1006),$AB$1006:$AQ$1006,0))&gt;=100000), " ",IF(INDEX($AB$2:$AQ$1001,MATCH(ROWS($U$2:U347),$U$2:$U$1001,0),MATCH(COLUMNS($AB$1006:AJ1006),$AB$1006:$AQ$1006,0)), HYPERLINK("#",""), HYPERLINK(CONCATENATE("#Metadata!", ADDRESS(INDEX($W$2:$W$1001,MATCH(ROWS($U$2:U347),$U$2:$U$1001,0),0), INDEX($AB$1004:$AQ$1004,1,MATCH(COLUMNS($AB$1006:AJ1006),$AB$1006:$AQ$1006,0)))),"Fix")))</f>
        <v>0</v>
      </c>
      <c r="K347" s="5">
        <f>IF(OR(INDEX($V$2:$V$1001,MATCH(ROWS($U$2:U347),$U$2:$U$1001,0),1)&gt;=100000,INDEX($AB$1005:$AQ$1005,1,MATCH(COLUMNS($AB$1006:AK1006),$AB$1006:$AQ$1006,0))&gt;=100000), " ",IF(INDEX($AB$2:$AQ$1001,MATCH(ROWS($U$2:U347),$U$2:$U$1001,0),MATCH(COLUMNS($AB$1006:AK1006),$AB$1006:$AQ$1006,0)), HYPERLINK("#",""), HYPERLINK(CONCATENATE("#Metadata!", ADDRESS(INDEX($W$2:$W$1001,MATCH(ROWS($U$2:U347),$U$2:$U$1001,0),0), INDEX($AB$1004:$AQ$1004,1,MATCH(COLUMNS($AB$1006:AK1006),$AB$1006:$AQ$1006,0)))),"Fix")))</f>
        <v>0</v>
      </c>
      <c r="L347" s="5">
        <f>IF(OR(INDEX($V$2:$V$1001,MATCH(ROWS($U$2:U347),$U$2:$U$1001,0),1)&gt;=100000,INDEX($AB$1005:$AQ$1005,1,MATCH(COLUMNS($AB$1006:AL1006),$AB$1006:$AQ$1006,0))&gt;=100000), " ",IF(INDEX($AB$2:$AQ$1001,MATCH(ROWS($U$2:U347),$U$2:$U$1001,0),MATCH(COLUMNS($AB$1006:AL1006),$AB$1006:$AQ$1006,0)), HYPERLINK("#",""), HYPERLINK(CONCATENATE("#Metadata!", ADDRESS(INDEX($W$2:$W$1001,MATCH(ROWS($U$2:U347),$U$2:$U$1001,0),0), INDEX($AB$1004:$AQ$1004,1,MATCH(COLUMNS($AB$1006:AL1006),$AB$1006:$AQ$1006,0)))),"Fix")))</f>
        <v>0</v>
      </c>
      <c r="M347" s="5">
        <f>IF(OR(INDEX($V$2:$V$1001,MATCH(ROWS($U$2:U347),$U$2:$U$1001,0),1)&gt;=100000,INDEX($AB$1005:$AQ$1005,1,MATCH(COLUMNS($AB$1006:AM1006),$AB$1006:$AQ$1006,0))&gt;=100000), " ",IF(INDEX($AB$2:$AQ$1001,MATCH(ROWS($U$2:U347),$U$2:$U$1001,0),MATCH(COLUMNS($AB$1006:AM1006),$AB$1006:$AQ$1006,0)), HYPERLINK("#",""), HYPERLINK(CONCATENATE("#Metadata!", ADDRESS(INDEX($W$2:$W$1001,MATCH(ROWS($U$2:U347),$U$2:$U$1001,0),0), INDEX($AB$1004:$AQ$1004,1,MATCH(COLUMNS($AB$1006:AM1006),$AB$1006:$AQ$1006,0)))),"Fix")))</f>
        <v>0</v>
      </c>
      <c r="N347" s="5">
        <f>IF(OR(INDEX($V$2:$V$1001,MATCH(ROWS($U$2:U347),$U$2:$U$1001,0),1)&gt;=100000,INDEX($AB$1005:$AQ$1005,1,MATCH(COLUMNS($AB$1006:AN1006),$AB$1006:$AQ$1006,0))&gt;=100000), " ",IF(INDEX($AB$2:$AQ$1001,MATCH(ROWS($U$2:U347),$U$2:$U$1001,0),MATCH(COLUMNS($AB$1006:AN1006),$AB$1006:$AQ$1006,0)), HYPERLINK("#",""), HYPERLINK(CONCATENATE("#Metadata!", ADDRESS(INDEX($W$2:$W$1001,MATCH(ROWS($U$2:U347),$U$2:$U$1001,0),0), INDEX($AB$1004:$AQ$1004,1,MATCH(COLUMNS($AB$1006:AN1006),$AB$1006:$AQ$1006,0)))),"Fix")))</f>
        <v>0</v>
      </c>
      <c r="O347" s="5">
        <f>IF(OR(INDEX($V$2:$V$1001,MATCH(ROWS($U$2:U347),$U$2:$U$1001,0),1)&gt;=100000,INDEX($AB$1005:$AQ$1005,1,MATCH(COLUMNS($AB$1006:AO1006),$AB$1006:$AQ$1006,0))&gt;=100000), " ",IF(INDEX($AB$2:$AQ$1001,MATCH(ROWS($U$2:U347),$U$2:$U$1001,0),MATCH(COLUMNS($AB$1006:AO1006),$AB$1006:$AQ$1006,0)), HYPERLINK("#",""), HYPERLINK(CONCATENATE("#Metadata!", ADDRESS(INDEX($W$2:$W$1001,MATCH(ROWS($U$2:U347),$U$2:$U$1001,0),0), INDEX($AB$1004:$AQ$1004,1,MATCH(COLUMNS($AB$1006:AO1006),$AB$1006:$AQ$1006,0)))),"Fix")))</f>
        <v>0</v>
      </c>
      <c r="P347" s="5">
        <f>IF(OR(INDEX($V$2:$V$1001,MATCH(ROWS($U$2:U347),$U$2:$U$1001,0),1)&gt;=100000,INDEX($AB$1005:$AQ$1005,1,MATCH(COLUMNS($AB$1006:AP1006),$AB$1006:$AQ$1006,0))&gt;=100000), " ",IF(INDEX($AB$2:$AQ$1001,MATCH(ROWS($U$2:U347),$U$2:$U$1001,0),MATCH(COLUMNS($AB$1006:AP1006),$AB$1006:$AQ$1006,0)), HYPERLINK("#",""), HYPERLINK(CONCATENATE("#Metadata!", ADDRESS(INDEX($W$2:$W$1001,MATCH(ROWS($U$2:U347),$U$2:$U$1001,0),0), INDEX($AB$1004:$AQ$1004,1,MATCH(COLUMNS($AB$1006:AP1006),$AB$1006:$AQ$1006,0)))),"Fix")))</f>
        <v>0</v>
      </c>
      <c r="Q347" s="5">
        <f>IF(OR(INDEX($V$2:$V$1001,MATCH(ROWS($U$2:U347),$U$2:$U$1001,0),1)&gt;=100000,INDEX($AB$1005:$AQ$1005,1,MATCH(COLUMNS($AB$1006:AQ1006),$AB$1006:$AQ$1006,0))&gt;=100000), " ",IF(INDEX($AB$2:$AQ$1001,MATCH(ROWS($U$2:U347),$U$2:$U$1001,0),MATCH(COLUMNS($AB$1006:AQ1006),$AB$1006:$AQ$1006,0)), HYPERLINK("#",""), HYPERLINK(CONCATENATE("#Metadata!", ADDRESS(INDEX($W$2:$W$1001,MATCH(ROWS($U$2:U347),$U$2:$U$1001,0),0), INDEX($AB$1004:$AQ$1004,1,MATCH(COLUMNS($AB$1006:AQ1006),$AB$1006:$AQ$1006,0)))),"Fix")))</f>
        <v>0</v>
      </c>
      <c r="U347">
        <v>0</v>
      </c>
      <c r="V347">
        <v>0</v>
      </c>
      <c r="W347">
        <v>0</v>
      </c>
      <c r="X347">
        <f>IF(Y347,TRUE,AND(AB347:AQ347))</f>
        <v>0</v>
      </c>
      <c r="Y347">
        <f>COUNTBLANK(Metadata!B347:Q347)=COLUMNS(Metadata!B347:Q347)</f>
        <v>0</v>
      </c>
      <c r="Z347">
        <v>0</v>
      </c>
      <c r="AB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AC347">
        <f>AND(IF(Metadata!C347="",FALSE,TRUE),exact(Metadata!C347,"urban biome"))</f>
        <v>0</v>
      </c>
      <c r="AD347">
        <f>AND(IF(Metadata!D347="",FALSE,TRUE),exact(Metadata!D347,"human-associated habitat"))</f>
        <v>0</v>
      </c>
      <c r="AE347">
        <f>AND(IF(Metadata!E347="",FALSE,TRUE),OR(exact(Metadata!E347,"human-associated"),exact(Metadata!E347,"human-skin"),exact(Metadata!E347,"human-oral"),exact(Metadata!E347,"human-gut"),exact(Metadata!E347,"human-vaginal")))</f>
        <v>0</v>
      </c>
      <c r="AF347">
        <f>AND(IF(Metadata!F347="",FALSE,ISNUMBER(VALUE(Metadata!F347))),Metadata!F347&gt;0)</f>
        <v>0</v>
      </c>
      <c r="AG347">
        <f>AND(IF(Metadata!G347="",FALSE,TRUE),exact(Metadata!G347,"years"))</f>
        <v>0</v>
      </c>
      <c r="AH347">
        <f>OR(AND(IF(Metadata!H347="",FALSE,TRUE),OR(exact(Metadata!H347,"not applicable"),exact(Metadata!H347,"not collected"),exact(Metadata!H347,"not provided"),exact(Metadata!H347,"restricted access"))),AND(IF(Metadata!H347="",FALSE,ISNUMBER(VALUE(Metadata!H347))),Metadata!H347&gt;0))</f>
        <v>0</v>
      </c>
      <c r="AI347">
        <f>AND(IF(Metadata!I347="",FALSE,TRUE),exact(Metadata!I347,"human"))</f>
        <v>0</v>
      </c>
      <c r="AJ347">
        <f>AND(IF(Metadata!J347="",FALSE,ISNUMBER(VALUE(Metadata!J347))),Metadata!J347&gt;0)</f>
        <v>0</v>
      </c>
      <c r="AK347">
        <f>AND(IF(Metadata!K347="",FALSE,TRUE),exact(Metadata!K347,"cm"))</f>
        <v>0</v>
      </c>
      <c r="AL347">
        <f>AND(IF(Metadata!L347="",FALSE,TRUE),exact(Metadata!L347,"Homo sapiens"))</f>
        <v>0</v>
      </c>
      <c r="AM347">
        <f>AND(IF(Metadata!M347="",FALSE,TRUE),exact(Metadata!M347,"9606"))</f>
        <v>0</v>
      </c>
      <c r="AN347">
        <f>AND(IF(Metadata!N347="",FALSE,ISNUMBER(VALUE(Metadata!N347))),Metadata!N347&gt;0)</f>
        <v>0</v>
      </c>
      <c r="AO347">
        <f>AND(IF(Metadata!O347="",FALSE,TRUE),exact(Metadata!O347,"kg"))</f>
        <v>0</v>
      </c>
      <c r="AP347">
        <f>OR(AND(IF(Metadata!P347="",FALSE,TRUE),exact(Metadata!P347,"not provided")),IF(Metadata!P347="",FALSE,TRUE))</f>
        <v>0</v>
      </c>
      <c r="AQ347">
        <f>OR(AND(IF(Metadata!Q347="",FALSE,TRUE),exact(Metadata!Q347,"not provided")),IF(Metadata!Q347="",FALSE,TRUE))</f>
        <v>0</v>
      </c>
    </row>
    <row r="348" spans="1:43">
      <c r="A348" s="4">
        <f>IF(B348=" "," ",HYPERLINK(CONCATENATE("#metadata!",ADDRESS(INDEX($W$2:$W$1001,MATCH(ROWS($U$2:U348),$U$2:$U$1001,0),0),2)),INDEX($Z$2:$Z$1001,MATCH(ROWS($U$2:U348),$U$2:$U$1001,0),0)))</f>
        <v>0</v>
      </c>
      <c r="B348" s="5">
        <f>IF(OR(INDEX($V$2:$V$1001,MATCH(ROWS($U$2:U348),$U$2:$U$1001,0),1)&gt;=100000,INDEX($AB$1005:$AQ$1005,1,MATCH(COLUMNS($AB$1006:AB1006),$AB$1006:$AQ$1006,0))&gt;=100000), " ",IF(INDEX($AB$2:$AQ$1001,MATCH(ROWS($U$2:U348),$U$2:$U$1001,0),MATCH(COLUMNS($AB$1006:AB1006),$AB$1006:$AQ$1006,0)), HYPERLINK("#",""), HYPERLINK(CONCATENATE("#Metadata!", ADDRESS(INDEX($W$2:$W$1001,MATCH(ROWS($U$2:U348),$U$2:$U$1001,0),0), INDEX($AB$1004:$AQ$1004,1,MATCH(COLUMNS($AB$1006:AB1006),$AB$1006:$AQ$1006,0)))),"Fix")))</f>
        <v>0</v>
      </c>
      <c r="C348" s="5">
        <f>IF(OR(INDEX($V$2:$V$1001,MATCH(ROWS($U$2:U348),$U$2:$U$1001,0),1)&gt;=100000,INDEX($AB$1005:$AQ$1005,1,MATCH(COLUMNS($AB$1006:AC1006),$AB$1006:$AQ$1006,0))&gt;=100000), " ",IF(INDEX($AB$2:$AQ$1001,MATCH(ROWS($U$2:U348),$U$2:$U$1001,0),MATCH(COLUMNS($AB$1006:AC1006),$AB$1006:$AQ$1006,0)), HYPERLINK("#",""), HYPERLINK(CONCATENATE("#Metadata!", ADDRESS(INDEX($W$2:$W$1001,MATCH(ROWS($U$2:U348),$U$2:$U$1001,0),0), INDEX($AB$1004:$AQ$1004,1,MATCH(COLUMNS($AB$1006:AC1006),$AB$1006:$AQ$1006,0)))),"Fix")))</f>
        <v>0</v>
      </c>
      <c r="D348" s="5">
        <f>IF(OR(INDEX($V$2:$V$1001,MATCH(ROWS($U$2:U348),$U$2:$U$1001,0),1)&gt;=100000,INDEX($AB$1005:$AQ$1005,1,MATCH(COLUMNS($AB$1006:AD1006),$AB$1006:$AQ$1006,0))&gt;=100000), " ",IF(INDEX($AB$2:$AQ$1001,MATCH(ROWS($U$2:U348),$U$2:$U$1001,0),MATCH(COLUMNS($AB$1006:AD1006),$AB$1006:$AQ$1006,0)), HYPERLINK("#",""), HYPERLINK(CONCATENATE("#Metadata!", ADDRESS(INDEX($W$2:$W$1001,MATCH(ROWS($U$2:U348),$U$2:$U$1001,0),0), INDEX($AB$1004:$AQ$1004,1,MATCH(COLUMNS($AB$1006:AD1006),$AB$1006:$AQ$1006,0)))),"Fix")))</f>
        <v>0</v>
      </c>
      <c r="E348" s="5">
        <f>IF(OR(INDEX($V$2:$V$1001,MATCH(ROWS($U$2:U348),$U$2:$U$1001,0),1)&gt;=100000,INDEX($AB$1005:$AQ$1005,1,MATCH(COLUMNS($AB$1006:AE1006),$AB$1006:$AQ$1006,0))&gt;=100000), " ",IF(INDEX($AB$2:$AQ$1001,MATCH(ROWS($U$2:U348),$U$2:$U$1001,0),MATCH(COLUMNS($AB$1006:AE1006),$AB$1006:$AQ$1006,0)), HYPERLINK("#",""), HYPERLINK(CONCATENATE("#Metadata!", ADDRESS(INDEX($W$2:$W$1001,MATCH(ROWS($U$2:U348),$U$2:$U$1001,0),0), INDEX($AB$1004:$AQ$1004,1,MATCH(COLUMNS($AB$1006:AE1006),$AB$1006:$AQ$1006,0)))),"Fix")))</f>
        <v>0</v>
      </c>
      <c r="F348" s="5">
        <f>IF(OR(INDEX($V$2:$V$1001,MATCH(ROWS($U$2:U348),$U$2:$U$1001,0),1)&gt;=100000,INDEX($AB$1005:$AQ$1005,1,MATCH(COLUMNS($AB$1006:AF1006),$AB$1006:$AQ$1006,0))&gt;=100000), " ",IF(INDEX($AB$2:$AQ$1001,MATCH(ROWS($U$2:U348),$U$2:$U$1001,0),MATCH(COLUMNS($AB$1006:AF1006),$AB$1006:$AQ$1006,0)), HYPERLINK("#",""), HYPERLINK(CONCATENATE("#Metadata!", ADDRESS(INDEX($W$2:$W$1001,MATCH(ROWS($U$2:U348),$U$2:$U$1001,0),0), INDEX($AB$1004:$AQ$1004,1,MATCH(COLUMNS($AB$1006:AF1006),$AB$1006:$AQ$1006,0)))),"Fix")))</f>
        <v>0</v>
      </c>
      <c r="G348" s="5">
        <f>IF(OR(INDEX($V$2:$V$1001,MATCH(ROWS($U$2:U348),$U$2:$U$1001,0),1)&gt;=100000,INDEX($AB$1005:$AQ$1005,1,MATCH(COLUMNS($AB$1006:AG1006),$AB$1006:$AQ$1006,0))&gt;=100000), " ",IF(INDEX($AB$2:$AQ$1001,MATCH(ROWS($U$2:U348),$U$2:$U$1001,0),MATCH(COLUMNS($AB$1006:AG1006),$AB$1006:$AQ$1006,0)), HYPERLINK("#",""), HYPERLINK(CONCATENATE("#Metadata!", ADDRESS(INDEX($W$2:$W$1001,MATCH(ROWS($U$2:U348),$U$2:$U$1001,0),0), INDEX($AB$1004:$AQ$1004,1,MATCH(COLUMNS($AB$1006:AG1006),$AB$1006:$AQ$1006,0)))),"Fix")))</f>
        <v>0</v>
      </c>
      <c r="H348" s="5">
        <f>IF(OR(INDEX($V$2:$V$1001,MATCH(ROWS($U$2:U348),$U$2:$U$1001,0),1)&gt;=100000,INDEX($AB$1005:$AQ$1005,1,MATCH(COLUMNS($AB$1006:AH1006),$AB$1006:$AQ$1006,0))&gt;=100000), " ",IF(INDEX($AB$2:$AQ$1001,MATCH(ROWS($U$2:U348),$U$2:$U$1001,0),MATCH(COLUMNS($AB$1006:AH1006),$AB$1006:$AQ$1006,0)), HYPERLINK("#",""), HYPERLINK(CONCATENATE("#Metadata!", ADDRESS(INDEX($W$2:$W$1001,MATCH(ROWS($U$2:U348),$U$2:$U$1001,0),0), INDEX($AB$1004:$AQ$1004,1,MATCH(COLUMNS($AB$1006:AH1006),$AB$1006:$AQ$1006,0)))),"Fix")))</f>
        <v>0</v>
      </c>
      <c r="I348" s="5">
        <f>IF(OR(INDEX($V$2:$V$1001,MATCH(ROWS($U$2:U348),$U$2:$U$1001,0),1)&gt;=100000,INDEX($AB$1005:$AQ$1005,1,MATCH(COLUMNS($AB$1006:AI1006),$AB$1006:$AQ$1006,0))&gt;=100000), " ",IF(INDEX($AB$2:$AQ$1001,MATCH(ROWS($U$2:U348),$U$2:$U$1001,0),MATCH(COLUMNS($AB$1006:AI1006),$AB$1006:$AQ$1006,0)), HYPERLINK("#",""), HYPERLINK(CONCATENATE("#Metadata!", ADDRESS(INDEX($W$2:$W$1001,MATCH(ROWS($U$2:U348),$U$2:$U$1001,0),0), INDEX($AB$1004:$AQ$1004,1,MATCH(COLUMNS($AB$1006:AI1006),$AB$1006:$AQ$1006,0)))),"Fix")))</f>
        <v>0</v>
      </c>
      <c r="J348" s="5">
        <f>IF(OR(INDEX($V$2:$V$1001,MATCH(ROWS($U$2:U348),$U$2:$U$1001,0),1)&gt;=100000,INDEX($AB$1005:$AQ$1005,1,MATCH(COLUMNS($AB$1006:AJ1006),$AB$1006:$AQ$1006,0))&gt;=100000), " ",IF(INDEX($AB$2:$AQ$1001,MATCH(ROWS($U$2:U348),$U$2:$U$1001,0),MATCH(COLUMNS($AB$1006:AJ1006),$AB$1006:$AQ$1006,0)), HYPERLINK("#",""), HYPERLINK(CONCATENATE("#Metadata!", ADDRESS(INDEX($W$2:$W$1001,MATCH(ROWS($U$2:U348),$U$2:$U$1001,0),0), INDEX($AB$1004:$AQ$1004,1,MATCH(COLUMNS($AB$1006:AJ1006),$AB$1006:$AQ$1006,0)))),"Fix")))</f>
        <v>0</v>
      </c>
      <c r="K348" s="5">
        <f>IF(OR(INDEX($V$2:$V$1001,MATCH(ROWS($U$2:U348),$U$2:$U$1001,0),1)&gt;=100000,INDEX($AB$1005:$AQ$1005,1,MATCH(COLUMNS($AB$1006:AK1006),$AB$1006:$AQ$1006,0))&gt;=100000), " ",IF(INDEX($AB$2:$AQ$1001,MATCH(ROWS($U$2:U348),$U$2:$U$1001,0),MATCH(COLUMNS($AB$1006:AK1006),$AB$1006:$AQ$1006,0)), HYPERLINK("#",""), HYPERLINK(CONCATENATE("#Metadata!", ADDRESS(INDEX($W$2:$W$1001,MATCH(ROWS($U$2:U348),$U$2:$U$1001,0),0), INDEX($AB$1004:$AQ$1004,1,MATCH(COLUMNS($AB$1006:AK1006),$AB$1006:$AQ$1006,0)))),"Fix")))</f>
        <v>0</v>
      </c>
      <c r="L348" s="5">
        <f>IF(OR(INDEX($V$2:$V$1001,MATCH(ROWS($U$2:U348),$U$2:$U$1001,0),1)&gt;=100000,INDEX($AB$1005:$AQ$1005,1,MATCH(COLUMNS($AB$1006:AL1006),$AB$1006:$AQ$1006,0))&gt;=100000), " ",IF(INDEX($AB$2:$AQ$1001,MATCH(ROWS($U$2:U348),$U$2:$U$1001,0),MATCH(COLUMNS($AB$1006:AL1006),$AB$1006:$AQ$1006,0)), HYPERLINK("#",""), HYPERLINK(CONCATENATE("#Metadata!", ADDRESS(INDEX($W$2:$W$1001,MATCH(ROWS($U$2:U348),$U$2:$U$1001,0),0), INDEX($AB$1004:$AQ$1004,1,MATCH(COLUMNS($AB$1006:AL1006),$AB$1006:$AQ$1006,0)))),"Fix")))</f>
        <v>0</v>
      </c>
      <c r="M348" s="5">
        <f>IF(OR(INDEX($V$2:$V$1001,MATCH(ROWS($U$2:U348),$U$2:$U$1001,0),1)&gt;=100000,INDEX($AB$1005:$AQ$1005,1,MATCH(COLUMNS($AB$1006:AM1006),$AB$1006:$AQ$1006,0))&gt;=100000), " ",IF(INDEX($AB$2:$AQ$1001,MATCH(ROWS($U$2:U348),$U$2:$U$1001,0),MATCH(COLUMNS($AB$1006:AM1006),$AB$1006:$AQ$1006,0)), HYPERLINK("#",""), HYPERLINK(CONCATENATE("#Metadata!", ADDRESS(INDEX($W$2:$W$1001,MATCH(ROWS($U$2:U348),$U$2:$U$1001,0),0), INDEX($AB$1004:$AQ$1004,1,MATCH(COLUMNS($AB$1006:AM1006),$AB$1006:$AQ$1006,0)))),"Fix")))</f>
        <v>0</v>
      </c>
      <c r="N348" s="5">
        <f>IF(OR(INDEX($V$2:$V$1001,MATCH(ROWS($U$2:U348),$U$2:$U$1001,0),1)&gt;=100000,INDEX($AB$1005:$AQ$1005,1,MATCH(COLUMNS($AB$1006:AN1006),$AB$1006:$AQ$1006,0))&gt;=100000), " ",IF(INDEX($AB$2:$AQ$1001,MATCH(ROWS($U$2:U348),$U$2:$U$1001,0),MATCH(COLUMNS($AB$1006:AN1006),$AB$1006:$AQ$1006,0)), HYPERLINK("#",""), HYPERLINK(CONCATENATE("#Metadata!", ADDRESS(INDEX($W$2:$W$1001,MATCH(ROWS($U$2:U348),$U$2:$U$1001,0),0), INDEX($AB$1004:$AQ$1004,1,MATCH(COLUMNS($AB$1006:AN1006),$AB$1006:$AQ$1006,0)))),"Fix")))</f>
        <v>0</v>
      </c>
      <c r="O348" s="5">
        <f>IF(OR(INDEX($V$2:$V$1001,MATCH(ROWS($U$2:U348),$U$2:$U$1001,0),1)&gt;=100000,INDEX($AB$1005:$AQ$1005,1,MATCH(COLUMNS($AB$1006:AO1006),$AB$1006:$AQ$1006,0))&gt;=100000), " ",IF(INDEX($AB$2:$AQ$1001,MATCH(ROWS($U$2:U348),$U$2:$U$1001,0),MATCH(COLUMNS($AB$1006:AO1006),$AB$1006:$AQ$1006,0)), HYPERLINK("#",""), HYPERLINK(CONCATENATE("#Metadata!", ADDRESS(INDEX($W$2:$W$1001,MATCH(ROWS($U$2:U348),$U$2:$U$1001,0),0), INDEX($AB$1004:$AQ$1004,1,MATCH(COLUMNS($AB$1006:AO1006),$AB$1006:$AQ$1006,0)))),"Fix")))</f>
        <v>0</v>
      </c>
      <c r="P348" s="5">
        <f>IF(OR(INDEX($V$2:$V$1001,MATCH(ROWS($U$2:U348),$U$2:$U$1001,0),1)&gt;=100000,INDEX($AB$1005:$AQ$1005,1,MATCH(COLUMNS($AB$1006:AP1006),$AB$1006:$AQ$1006,0))&gt;=100000), " ",IF(INDEX($AB$2:$AQ$1001,MATCH(ROWS($U$2:U348),$U$2:$U$1001,0),MATCH(COLUMNS($AB$1006:AP1006),$AB$1006:$AQ$1006,0)), HYPERLINK("#",""), HYPERLINK(CONCATENATE("#Metadata!", ADDRESS(INDEX($W$2:$W$1001,MATCH(ROWS($U$2:U348),$U$2:$U$1001,0),0), INDEX($AB$1004:$AQ$1004,1,MATCH(COLUMNS($AB$1006:AP1006),$AB$1006:$AQ$1006,0)))),"Fix")))</f>
        <v>0</v>
      </c>
      <c r="Q348" s="5">
        <f>IF(OR(INDEX($V$2:$V$1001,MATCH(ROWS($U$2:U348),$U$2:$U$1001,0),1)&gt;=100000,INDEX($AB$1005:$AQ$1005,1,MATCH(COLUMNS($AB$1006:AQ1006),$AB$1006:$AQ$1006,0))&gt;=100000), " ",IF(INDEX($AB$2:$AQ$1001,MATCH(ROWS($U$2:U348),$U$2:$U$1001,0),MATCH(COLUMNS($AB$1006:AQ1006),$AB$1006:$AQ$1006,0)), HYPERLINK("#",""), HYPERLINK(CONCATENATE("#Metadata!", ADDRESS(INDEX($W$2:$W$1001,MATCH(ROWS($U$2:U348),$U$2:$U$1001,0),0), INDEX($AB$1004:$AQ$1004,1,MATCH(COLUMNS($AB$1006:AQ1006),$AB$1006:$AQ$1006,0)))),"Fix")))</f>
        <v>0</v>
      </c>
      <c r="U348">
        <v>0</v>
      </c>
      <c r="V348">
        <v>0</v>
      </c>
      <c r="W348">
        <v>0</v>
      </c>
      <c r="X348">
        <f>IF(Y348,TRUE,AND(AB348:AQ348))</f>
        <v>0</v>
      </c>
      <c r="Y348">
        <f>COUNTBLANK(Metadata!B348:Q348)=COLUMNS(Metadata!B348:Q348)</f>
        <v>0</v>
      </c>
      <c r="Z348">
        <v>0</v>
      </c>
      <c r="AB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AC348">
        <f>AND(IF(Metadata!C348="",FALSE,TRUE),exact(Metadata!C348,"urban biome"))</f>
        <v>0</v>
      </c>
      <c r="AD348">
        <f>AND(IF(Metadata!D348="",FALSE,TRUE),exact(Metadata!D348,"human-associated habitat"))</f>
        <v>0</v>
      </c>
      <c r="AE348">
        <f>AND(IF(Metadata!E348="",FALSE,TRUE),OR(exact(Metadata!E348,"human-associated"),exact(Metadata!E348,"human-skin"),exact(Metadata!E348,"human-oral"),exact(Metadata!E348,"human-gut"),exact(Metadata!E348,"human-vaginal")))</f>
        <v>0</v>
      </c>
      <c r="AF348">
        <f>AND(IF(Metadata!F348="",FALSE,ISNUMBER(VALUE(Metadata!F348))),Metadata!F348&gt;0)</f>
        <v>0</v>
      </c>
      <c r="AG348">
        <f>AND(IF(Metadata!G348="",FALSE,TRUE),exact(Metadata!G348,"years"))</f>
        <v>0</v>
      </c>
      <c r="AH348">
        <f>OR(AND(IF(Metadata!H348="",FALSE,TRUE),OR(exact(Metadata!H348,"not applicable"),exact(Metadata!H348,"not collected"),exact(Metadata!H348,"not provided"),exact(Metadata!H348,"restricted access"))),AND(IF(Metadata!H348="",FALSE,ISNUMBER(VALUE(Metadata!H348))),Metadata!H348&gt;0))</f>
        <v>0</v>
      </c>
      <c r="AI348">
        <f>AND(IF(Metadata!I348="",FALSE,TRUE),exact(Metadata!I348,"human"))</f>
        <v>0</v>
      </c>
      <c r="AJ348">
        <f>AND(IF(Metadata!J348="",FALSE,ISNUMBER(VALUE(Metadata!J348))),Metadata!J348&gt;0)</f>
        <v>0</v>
      </c>
      <c r="AK348">
        <f>AND(IF(Metadata!K348="",FALSE,TRUE),exact(Metadata!K348,"cm"))</f>
        <v>0</v>
      </c>
      <c r="AL348">
        <f>AND(IF(Metadata!L348="",FALSE,TRUE),exact(Metadata!L348,"Homo sapiens"))</f>
        <v>0</v>
      </c>
      <c r="AM348">
        <f>AND(IF(Metadata!M348="",FALSE,TRUE),exact(Metadata!M348,"9606"))</f>
        <v>0</v>
      </c>
      <c r="AN348">
        <f>AND(IF(Metadata!N348="",FALSE,ISNUMBER(VALUE(Metadata!N348))),Metadata!N348&gt;0)</f>
        <v>0</v>
      </c>
      <c r="AO348">
        <f>AND(IF(Metadata!O348="",FALSE,TRUE),exact(Metadata!O348,"kg"))</f>
        <v>0</v>
      </c>
      <c r="AP348">
        <f>OR(AND(IF(Metadata!P348="",FALSE,TRUE),exact(Metadata!P348,"not provided")),IF(Metadata!P348="",FALSE,TRUE))</f>
        <v>0</v>
      </c>
      <c r="AQ348">
        <f>OR(AND(IF(Metadata!Q348="",FALSE,TRUE),exact(Metadata!Q348,"not provided")),IF(Metadata!Q348="",FALSE,TRUE))</f>
        <v>0</v>
      </c>
    </row>
    <row r="349" spans="1:43">
      <c r="A349" s="4">
        <f>IF(B349=" "," ",HYPERLINK(CONCATENATE("#metadata!",ADDRESS(INDEX($W$2:$W$1001,MATCH(ROWS($U$2:U349),$U$2:$U$1001,0),0),2)),INDEX($Z$2:$Z$1001,MATCH(ROWS($U$2:U349),$U$2:$U$1001,0),0)))</f>
        <v>0</v>
      </c>
      <c r="B349" s="5">
        <f>IF(OR(INDEX($V$2:$V$1001,MATCH(ROWS($U$2:U349),$U$2:$U$1001,0),1)&gt;=100000,INDEX($AB$1005:$AQ$1005,1,MATCH(COLUMNS($AB$1006:AB1006),$AB$1006:$AQ$1006,0))&gt;=100000), " ",IF(INDEX($AB$2:$AQ$1001,MATCH(ROWS($U$2:U349),$U$2:$U$1001,0),MATCH(COLUMNS($AB$1006:AB1006),$AB$1006:$AQ$1006,0)), HYPERLINK("#",""), HYPERLINK(CONCATENATE("#Metadata!", ADDRESS(INDEX($W$2:$W$1001,MATCH(ROWS($U$2:U349),$U$2:$U$1001,0),0), INDEX($AB$1004:$AQ$1004,1,MATCH(COLUMNS($AB$1006:AB1006),$AB$1006:$AQ$1006,0)))),"Fix")))</f>
        <v>0</v>
      </c>
      <c r="C349" s="5">
        <f>IF(OR(INDEX($V$2:$V$1001,MATCH(ROWS($U$2:U349),$U$2:$U$1001,0),1)&gt;=100000,INDEX($AB$1005:$AQ$1005,1,MATCH(COLUMNS($AB$1006:AC1006),$AB$1006:$AQ$1006,0))&gt;=100000), " ",IF(INDEX($AB$2:$AQ$1001,MATCH(ROWS($U$2:U349),$U$2:$U$1001,0),MATCH(COLUMNS($AB$1006:AC1006),$AB$1006:$AQ$1006,0)), HYPERLINK("#",""), HYPERLINK(CONCATENATE("#Metadata!", ADDRESS(INDEX($W$2:$W$1001,MATCH(ROWS($U$2:U349),$U$2:$U$1001,0),0), INDEX($AB$1004:$AQ$1004,1,MATCH(COLUMNS($AB$1006:AC1006),$AB$1006:$AQ$1006,0)))),"Fix")))</f>
        <v>0</v>
      </c>
      <c r="D349" s="5">
        <f>IF(OR(INDEX($V$2:$V$1001,MATCH(ROWS($U$2:U349),$U$2:$U$1001,0),1)&gt;=100000,INDEX($AB$1005:$AQ$1005,1,MATCH(COLUMNS($AB$1006:AD1006),$AB$1006:$AQ$1006,0))&gt;=100000), " ",IF(INDEX($AB$2:$AQ$1001,MATCH(ROWS($U$2:U349),$U$2:$U$1001,0),MATCH(COLUMNS($AB$1006:AD1006),$AB$1006:$AQ$1006,0)), HYPERLINK("#",""), HYPERLINK(CONCATENATE("#Metadata!", ADDRESS(INDEX($W$2:$W$1001,MATCH(ROWS($U$2:U349),$U$2:$U$1001,0),0), INDEX($AB$1004:$AQ$1004,1,MATCH(COLUMNS($AB$1006:AD1006),$AB$1006:$AQ$1006,0)))),"Fix")))</f>
        <v>0</v>
      </c>
      <c r="E349" s="5">
        <f>IF(OR(INDEX($V$2:$V$1001,MATCH(ROWS($U$2:U349),$U$2:$U$1001,0),1)&gt;=100000,INDEX($AB$1005:$AQ$1005,1,MATCH(COLUMNS($AB$1006:AE1006),$AB$1006:$AQ$1006,0))&gt;=100000), " ",IF(INDEX($AB$2:$AQ$1001,MATCH(ROWS($U$2:U349),$U$2:$U$1001,0),MATCH(COLUMNS($AB$1006:AE1006),$AB$1006:$AQ$1006,0)), HYPERLINK("#",""), HYPERLINK(CONCATENATE("#Metadata!", ADDRESS(INDEX($W$2:$W$1001,MATCH(ROWS($U$2:U349),$U$2:$U$1001,0),0), INDEX($AB$1004:$AQ$1004,1,MATCH(COLUMNS($AB$1006:AE1006),$AB$1006:$AQ$1006,0)))),"Fix")))</f>
        <v>0</v>
      </c>
      <c r="F349" s="5">
        <f>IF(OR(INDEX($V$2:$V$1001,MATCH(ROWS($U$2:U349),$U$2:$U$1001,0),1)&gt;=100000,INDEX($AB$1005:$AQ$1005,1,MATCH(COLUMNS($AB$1006:AF1006),$AB$1006:$AQ$1006,0))&gt;=100000), " ",IF(INDEX($AB$2:$AQ$1001,MATCH(ROWS($U$2:U349),$U$2:$U$1001,0),MATCH(COLUMNS($AB$1006:AF1006),$AB$1006:$AQ$1006,0)), HYPERLINK("#",""), HYPERLINK(CONCATENATE("#Metadata!", ADDRESS(INDEX($W$2:$W$1001,MATCH(ROWS($U$2:U349),$U$2:$U$1001,0),0), INDEX($AB$1004:$AQ$1004,1,MATCH(COLUMNS($AB$1006:AF1006),$AB$1006:$AQ$1006,0)))),"Fix")))</f>
        <v>0</v>
      </c>
      <c r="G349" s="5">
        <f>IF(OR(INDEX($V$2:$V$1001,MATCH(ROWS($U$2:U349),$U$2:$U$1001,0),1)&gt;=100000,INDEX($AB$1005:$AQ$1005,1,MATCH(COLUMNS($AB$1006:AG1006),$AB$1006:$AQ$1006,0))&gt;=100000), " ",IF(INDEX($AB$2:$AQ$1001,MATCH(ROWS($U$2:U349),$U$2:$U$1001,0),MATCH(COLUMNS($AB$1006:AG1006),$AB$1006:$AQ$1006,0)), HYPERLINK("#",""), HYPERLINK(CONCATENATE("#Metadata!", ADDRESS(INDEX($W$2:$W$1001,MATCH(ROWS($U$2:U349),$U$2:$U$1001,0),0), INDEX($AB$1004:$AQ$1004,1,MATCH(COLUMNS($AB$1006:AG1006),$AB$1006:$AQ$1006,0)))),"Fix")))</f>
        <v>0</v>
      </c>
      <c r="H349" s="5">
        <f>IF(OR(INDEX($V$2:$V$1001,MATCH(ROWS($U$2:U349),$U$2:$U$1001,0),1)&gt;=100000,INDEX($AB$1005:$AQ$1005,1,MATCH(COLUMNS($AB$1006:AH1006),$AB$1006:$AQ$1006,0))&gt;=100000), " ",IF(INDEX($AB$2:$AQ$1001,MATCH(ROWS($U$2:U349),$U$2:$U$1001,0),MATCH(COLUMNS($AB$1006:AH1006),$AB$1006:$AQ$1006,0)), HYPERLINK("#",""), HYPERLINK(CONCATENATE("#Metadata!", ADDRESS(INDEX($W$2:$W$1001,MATCH(ROWS($U$2:U349),$U$2:$U$1001,0),0), INDEX($AB$1004:$AQ$1004,1,MATCH(COLUMNS($AB$1006:AH1006),$AB$1006:$AQ$1006,0)))),"Fix")))</f>
        <v>0</v>
      </c>
      <c r="I349" s="5">
        <f>IF(OR(INDEX($V$2:$V$1001,MATCH(ROWS($U$2:U349),$U$2:$U$1001,0),1)&gt;=100000,INDEX($AB$1005:$AQ$1005,1,MATCH(COLUMNS($AB$1006:AI1006),$AB$1006:$AQ$1006,0))&gt;=100000), " ",IF(INDEX($AB$2:$AQ$1001,MATCH(ROWS($U$2:U349),$U$2:$U$1001,0),MATCH(COLUMNS($AB$1006:AI1006),$AB$1006:$AQ$1006,0)), HYPERLINK("#",""), HYPERLINK(CONCATENATE("#Metadata!", ADDRESS(INDEX($W$2:$W$1001,MATCH(ROWS($U$2:U349),$U$2:$U$1001,0),0), INDEX($AB$1004:$AQ$1004,1,MATCH(COLUMNS($AB$1006:AI1006),$AB$1006:$AQ$1006,0)))),"Fix")))</f>
        <v>0</v>
      </c>
      <c r="J349" s="5">
        <f>IF(OR(INDEX($V$2:$V$1001,MATCH(ROWS($U$2:U349),$U$2:$U$1001,0),1)&gt;=100000,INDEX($AB$1005:$AQ$1005,1,MATCH(COLUMNS($AB$1006:AJ1006),$AB$1006:$AQ$1006,0))&gt;=100000), " ",IF(INDEX($AB$2:$AQ$1001,MATCH(ROWS($U$2:U349),$U$2:$U$1001,0),MATCH(COLUMNS($AB$1006:AJ1006),$AB$1006:$AQ$1006,0)), HYPERLINK("#",""), HYPERLINK(CONCATENATE("#Metadata!", ADDRESS(INDEX($W$2:$W$1001,MATCH(ROWS($U$2:U349),$U$2:$U$1001,0),0), INDEX($AB$1004:$AQ$1004,1,MATCH(COLUMNS($AB$1006:AJ1006),$AB$1006:$AQ$1006,0)))),"Fix")))</f>
        <v>0</v>
      </c>
      <c r="K349" s="5">
        <f>IF(OR(INDEX($V$2:$V$1001,MATCH(ROWS($U$2:U349),$U$2:$U$1001,0),1)&gt;=100000,INDEX($AB$1005:$AQ$1005,1,MATCH(COLUMNS($AB$1006:AK1006),$AB$1006:$AQ$1006,0))&gt;=100000), " ",IF(INDEX($AB$2:$AQ$1001,MATCH(ROWS($U$2:U349),$U$2:$U$1001,0),MATCH(COLUMNS($AB$1006:AK1006),$AB$1006:$AQ$1006,0)), HYPERLINK("#",""), HYPERLINK(CONCATENATE("#Metadata!", ADDRESS(INDEX($W$2:$W$1001,MATCH(ROWS($U$2:U349),$U$2:$U$1001,0),0), INDEX($AB$1004:$AQ$1004,1,MATCH(COLUMNS($AB$1006:AK1006),$AB$1006:$AQ$1006,0)))),"Fix")))</f>
        <v>0</v>
      </c>
      <c r="L349" s="5">
        <f>IF(OR(INDEX($V$2:$V$1001,MATCH(ROWS($U$2:U349),$U$2:$U$1001,0),1)&gt;=100000,INDEX($AB$1005:$AQ$1005,1,MATCH(COLUMNS($AB$1006:AL1006),$AB$1006:$AQ$1006,0))&gt;=100000), " ",IF(INDEX($AB$2:$AQ$1001,MATCH(ROWS($U$2:U349),$U$2:$U$1001,0),MATCH(COLUMNS($AB$1006:AL1006),$AB$1006:$AQ$1006,0)), HYPERLINK("#",""), HYPERLINK(CONCATENATE("#Metadata!", ADDRESS(INDEX($W$2:$W$1001,MATCH(ROWS($U$2:U349),$U$2:$U$1001,0),0), INDEX($AB$1004:$AQ$1004,1,MATCH(COLUMNS($AB$1006:AL1006),$AB$1006:$AQ$1006,0)))),"Fix")))</f>
        <v>0</v>
      </c>
      <c r="M349" s="5">
        <f>IF(OR(INDEX($V$2:$V$1001,MATCH(ROWS($U$2:U349),$U$2:$U$1001,0),1)&gt;=100000,INDEX($AB$1005:$AQ$1005,1,MATCH(COLUMNS($AB$1006:AM1006),$AB$1006:$AQ$1006,0))&gt;=100000), " ",IF(INDEX($AB$2:$AQ$1001,MATCH(ROWS($U$2:U349),$U$2:$U$1001,0),MATCH(COLUMNS($AB$1006:AM1006),$AB$1006:$AQ$1006,0)), HYPERLINK("#",""), HYPERLINK(CONCATENATE("#Metadata!", ADDRESS(INDEX($W$2:$W$1001,MATCH(ROWS($U$2:U349),$U$2:$U$1001,0),0), INDEX($AB$1004:$AQ$1004,1,MATCH(COLUMNS($AB$1006:AM1006),$AB$1006:$AQ$1006,0)))),"Fix")))</f>
        <v>0</v>
      </c>
      <c r="N349" s="5">
        <f>IF(OR(INDEX($V$2:$V$1001,MATCH(ROWS($U$2:U349),$U$2:$U$1001,0),1)&gt;=100000,INDEX($AB$1005:$AQ$1005,1,MATCH(COLUMNS($AB$1006:AN1006),$AB$1006:$AQ$1006,0))&gt;=100000), " ",IF(INDEX($AB$2:$AQ$1001,MATCH(ROWS($U$2:U349),$U$2:$U$1001,0),MATCH(COLUMNS($AB$1006:AN1006),$AB$1006:$AQ$1006,0)), HYPERLINK("#",""), HYPERLINK(CONCATENATE("#Metadata!", ADDRESS(INDEX($W$2:$W$1001,MATCH(ROWS($U$2:U349),$U$2:$U$1001,0),0), INDEX($AB$1004:$AQ$1004,1,MATCH(COLUMNS($AB$1006:AN1006),$AB$1006:$AQ$1006,0)))),"Fix")))</f>
        <v>0</v>
      </c>
      <c r="O349" s="5">
        <f>IF(OR(INDEX($V$2:$V$1001,MATCH(ROWS($U$2:U349),$U$2:$U$1001,0),1)&gt;=100000,INDEX($AB$1005:$AQ$1005,1,MATCH(COLUMNS($AB$1006:AO1006),$AB$1006:$AQ$1006,0))&gt;=100000), " ",IF(INDEX($AB$2:$AQ$1001,MATCH(ROWS($U$2:U349),$U$2:$U$1001,0),MATCH(COLUMNS($AB$1006:AO1006),$AB$1006:$AQ$1006,0)), HYPERLINK("#",""), HYPERLINK(CONCATENATE("#Metadata!", ADDRESS(INDEX($W$2:$W$1001,MATCH(ROWS($U$2:U349),$U$2:$U$1001,0),0), INDEX($AB$1004:$AQ$1004,1,MATCH(COLUMNS($AB$1006:AO1006),$AB$1006:$AQ$1006,0)))),"Fix")))</f>
        <v>0</v>
      </c>
      <c r="P349" s="5">
        <f>IF(OR(INDEX($V$2:$V$1001,MATCH(ROWS($U$2:U349),$U$2:$U$1001,0),1)&gt;=100000,INDEX($AB$1005:$AQ$1005,1,MATCH(COLUMNS($AB$1006:AP1006),$AB$1006:$AQ$1006,0))&gt;=100000), " ",IF(INDEX($AB$2:$AQ$1001,MATCH(ROWS($U$2:U349),$U$2:$U$1001,0),MATCH(COLUMNS($AB$1006:AP1006),$AB$1006:$AQ$1006,0)), HYPERLINK("#",""), HYPERLINK(CONCATENATE("#Metadata!", ADDRESS(INDEX($W$2:$W$1001,MATCH(ROWS($U$2:U349),$U$2:$U$1001,0),0), INDEX($AB$1004:$AQ$1004,1,MATCH(COLUMNS($AB$1006:AP1006),$AB$1006:$AQ$1006,0)))),"Fix")))</f>
        <v>0</v>
      </c>
      <c r="Q349" s="5">
        <f>IF(OR(INDEX($V$2:$V$1001,MATCH(ROWS($U$2:U349),$U$2:$U$1001,0),1)&gt;=100000,INDEX($AB$1005:$AQ$1005,1,MATCH(COLUMNS($AB$1006:AQ1006),$AB$1006:$AQ$1006,0))&gt;=100000), " ",IF(INDEX($AB$2:$AQ$1001,MATCH(ROWS($U$2:U349),$U$2:$U$1001,0),MATCH(COLUMNS($AB$1006:AQ1006),$AB$1006:$AQ$1006,0)), HYPERLINK("#",""), HYPERLINK(CONCATENATE("#Metadata!", ADDRESS(INDEX($W$2:$W$1001,MATCH(ROWS($U$2:U349),$U$2:$U$1001,0),0), INDEX($AB$1004:$AQ$1004,1,MATCH(COLUMNS($AB$1006:AQ1006),$AB$1006:$AQ$1006,0)))),"Fix")))</f>
        <v>0</v>
      </c>
      <c r="U349">
        <v>0</v>
      </c>
      <c r="V349">
        <v>0</v>
      </c>
      <c r="W349">
        <v>0</v>
      </c>
      <c r="X349">
        <f>IF(Y349,TRUE,AND(AB349:AQ349))</f>
        <v>0</v>
      </c>
      <c r="Y349">
        <f>COUNTBLANK(Metadata!B349:Q349)=COLUMNS(Metadata!B349:Q349)</f>
        <v>0</v>
      </c>
      <c r="Z349">
        <v>0</v>
      </c>
      <c r="AB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AC349">
        <f>AND(IF(Metadata!C349="",FALSE,TRUE),exact(Metadata!C349,"urban biome"))</f>
        <v>0</v>
      </c>
      <c r="AD349">
        <f>AND(IF(Metadata!D349="",FALSE,TRUE),exact(Metadata!D349,"human-associated habitat"))</f>
        <v>0</v>
      </c>
      <c r="AE349">
        <f>AND(IF(Metadata!E349="",FALSE,TRUE),OR(exact(Metadata!E349,"human-associated"),exact(Metadata!E349,"human-skin"),exact(Metadata!E349,"human-oral"),exact(Metadata!E349,"human-gut"),exact(Metadata!E349,"human-vaginal")))</f>
        <v>0</v>
      </c>
      <c r="AF349">
        <f>AND(IF(Metadata!F349="",FALSE,ISNUMBER(VALUE(Metadata!F349))),Metadata!F349&gt;0)</f>
        <v>0</v>
      </c>
      <c r="AG349">
        <f>AND(IF(Metadata!G349="",FALSE,TRUE),exact(Metadata!G349,"years"))</f>
        <v>0</v>
      </c>
      <c r="AH349">
        <f>OR(AND(IF(Metadata!H349="",FALSE,TRUE),OR(exact(Metadata!H349,"not applicable"),exact(Metadata!H349,"not collected"),exact(Metadata!H349,"not provided"),exact(Metadata!H349,"restricted access"))),AND(IF(Metadata!H349="",FALSE,ISNUMBER(VALUE(Metadata!H349))),Metadata!H349&gt;0))</f>
        <v>0</v>
      </c>
      <c r="AI349">
        <f>AND(IF(Metadata!I349="",FALSE,TRUE),exact(Metadata!I349,"human"))</f>
        <v>0</v>
      </c>
      <c r="AJ349">
        <f>AND(IF(Metadata!J349="",FALSE,ISNUMBER(VALUE(Metadata!J349))),Metadata!J349&gt;0)</f>
        <v>0</v>
      </c>
      <c r="AK349">
        <f>AND(IF(Metadata!K349="",FALSE,TRUE),exact(Metadata!K349,"cm"))</f>
        <v>0</v>
      </c>
      <c r="AL349">
        <f>AND(IF(Metadata!L349="",FALSE,TRUE),exact(Metadata!L349,"Homo sapiens"))</f>
        <v>0</v>
      </c>
      <c r="AM349">
        <f>AND(IF(Metadata!M349="",FALSE,TRUE),exact(Metadata!M349,"9606"))</f>
        <v>0</v>
      </c>
      <c r="AN349">
        <f>AND(IF(Metadata!N349="",FALSE,ISNUMBER(VALUE(Metadata!N349))),Metadata!N349&gt;0)</f>
        <v>0</v>
      </c>
      <c r="AO349">
        <f>AND(IF(Metadata!O349="",FALSE,TRUE),exact(Metadata!O349,"kg"))</f>
        <v>0</v>
      </c>
      <c r="AP349">
        <f>OR(AND(IF(Metadata!P349="",FALSE,TRUE),exact(Metadata!P349,"not provided")),IF(Metadata!P349="",FALSE,TRUE))</f>
        <v>0</v>
      </c>
      <c r="AQ349">
        <f>OR(AND(IF(Metadata!Q349="",FALSE,TRUE),exact(Metadata!Q349,"not provided")),IF(Metadata!Q349="",FALSE,TRUE))</f>
        <v>0</v>
      </c>
    </row>
    <row r="350" spans="1:43">
      <c r="A350" s="4">
        <f>IF(B350=" "," ",HYPERLINK(CONCATENATE("#metadata!",ADDRESS(INDEX($W$2:$W$1001,MATCH(ROWS($U$2:U350),$U$2:$U$1001,0),0),2)),INDEX($Z$2:$Z$1001,MATCH(ROWS($U$2:U350),$U$2:$U$1001,0),0)))</f>
        <v>0</v>
      </c>
      <c r="B350" s="5">
        <f>IF(OR(INDEX($V$2:$V$1001,MATCH(ROWS($U$2:U350),$U$2:$U$1001,0),1)&gt;=100000,INDEX($AB$1005:$AQ$1005,1,MATCH(COLUMNS($AB$1006:AB1006),$AB$1006:$AQ$1006,0))&gt;=100000), " ",IF(INDEX($AB$2:$AQ$1001,MATCH(ROWS($U$2:U350),$U$2:$U$1001,0),MATCH(COLUMNS($AB$1006:AB1006),$AB$1006:$AQ$1006,0)), HYPERLINK("#",""), HYPERLINK(CONCATENATE("#Metadata!", ADDRESS(INDEX($W$2:$W$1001,MATCH(ROWS($U$2:U350),$U$2:$U$1001,0),0), INDEX($AB$1004:$AQ$1004,1,MATCH(COLUMNS($AB$1006:AB1006),$AB$1006:$AQ$1006,0)))),"Fix")))</f>
        <v>0</v>
      </c>
      <c r="C350" s="5">
        <f>IF(OR(INDEX($V$2:$V$1001,MATCH(ROWS($U$2:U350),$U$2:$U$1001,0),1)&gt;=100000,INDEX($AB$1005:$AQ$1005,1,MATCH(COLUMNS($AB$1006:AC1006),$AB$1006:$AQ$1006,0))&gt;=100000), " ",IF(INDEX($AB$2:$AQ$1001,MATCH(ROWS($U$2:U350),$U$2:$U$1001,0),MATCH(COLUMNS($AB$1006:AC1006),$AB$1006:$AQ$1006,0)), HYPERLINK("#",""), HYPERLINK(CONCATENATE("#Metadata!", ADDRESS(INDEX($W$2:$W$1001,MATCH(ROWS($U$2:U350),$U$2:$U$1001,0),0), INDEX($AB$1004:$AQ$1004,1,MATCH(COLUMNS($AB$1006:AC1006),$AB$1006:$AQ$1006,0)))),"Fix")))</f>
        <v>0</v>
      </c>
      <c r="D350" s="5">
        <f>IF(OR(INDEX($V$2:$V$1001,MATCH(ROWS($U$2:U350),$U$2:$U$1001,0),1)&gt;=100000,INDEX($AB$1005:$AQ$1005,1,MATCH(COLUMNS($AB$1006:AD1006),$AB$1006:$AQ$1006,0))&gt;=100000), " ",IF(INDEX($AB$2:$AQ$1001,MATCH(ROWS($U$2:U350),$U$2:$U$1001,0),MATCH(COLUMNS($AB$1006:AD1006),$AB$1006:$AQ$1006,0)), HYPERLINK("#",""), HYPERLINK(CONCATENATE("#Metadata!", ADDRESS(INDEX($W$2:$W$1001,MATCH(ROWS($U$2:U350),$U$2:$U$1001,0),0), INDEX($AB$1004:$AQ$1004,1,MATCH(COLUMNS($AB$1006:AD1006),$AB$1006:$AQ$1006,0)))),"Fix")))</f>
        <v>0</v>
      </c>
      <c r="E350" s="5">
        <f>IF(OR(INDEX($V$2:$V$1001,MATCH(ROWS($U$2:U350),$U$2:$U$1001,0),1)&gt;=100000,INDEX($AB$1005:$AQ$1005,1,MATCH(COLUMNS($AB$1006:AE1006),$AB$1006:$AQ$1006,0))&gt;=100000), " ",IF(INDEX($AB$2:$AQ$1001,MATCH(ROWS($U$2:U350),$U$2:$U$1001,0),MATCH(COLUMNS($AB$1006:AE1006),$AB$1006:$AQ$1006,0)), HYPERLINK("#",""), HYPERLINK(CONCATENATE("#Metadata!", ADDRESS(INDEX($W$2:$W$1001,MATCH(ROWS($U$2:U350),$U$2:$U$1001,0),0), INDEX($AB$1004:$AQ$1004,1,MATCH(COLUMNS($AB$1006:AE1006),$AB$1006:$AQ$1006,0)))),"Fix")))</f>
        <v>0</v>
      </c>
      <c r="F350" s="5">
        <f>IF(OR(INDEX($V$2:$V$1001,MATCH(ROWS($U$2:U350),$U$2:$U$1001,0),1)&gt;=100000,INDEX($AB$1005:$AQ$1005,1,MATCH(COLUMNS($AB$1006:AF1006),$AB$1006:$AQ$1006,0))&gt;=100000), " ",IF(INDEX($AB$2:$AQ$1001,MATCH(ROWS($U$2:U350),$U$2:$U$1001,0),MATCH(COLUMNS($AB$1006:AF1006),$AB$1006:$AQ$1006,0)), HYPERLINK("#",""), HYPERLINK(CONCATENATE("#Metadata!", ADDRESS(INDEX($W$2:$W$1001,MATCH(ROWS($U$2:U350),$U$2:$U$1001,0),0), INDEX($AB$1004:$AQ$1004,1,MATCH(COLUMNS($AB$1006:AF1006),$AB$1006:$AQ$1006,0)))),"Fix")))</f>
        <v>0</v>
      </c>
      <c r="G350" s="5">
        <f>IF(OR(INDEX($V$2:$V$1001,MATCH(ROWS($U$2:U350),$U$2:$U$1001,0),1)&gt;=100000,INDEX($AB$1005:$AQ$1005,1,MATCH(COLUMNS($AB$1006:AG1006),$AB$1006:$AQ$1006,0))&gt;=100000), " ",IF(INDEX($AB$2:$AQ$1001,MATCH(ROWS($U$2:U350),$U$2:$U$1001,0),MATCH(COLUMNS($AB$1006:AG1006),$AB$1006:$AQ$1006,0)), HYPERLINK("#",""), HYPERLINK(CONCATENATE("#Metadata!", ADDRESS(INDEX($W$2:$W$1001,MATCH(ROWS($U$2:U350),$U$2:$U$1001,0),0), INDEX($AB$1004:$AQ$1004,1,MATCH(COLUMNS($AB$1006:AG1006),$AB$1006:$AQ$1006,0)))),"Fix")))</f>
        <v>0</v>
      </c>
      <c r="H350" s="5">
        <f>IF(OR(INDEX($V$2:$V$1001,MATCH(ROWS($U$2:U350),$U$2:$U$1001,0),1)&gt;=100000,INDEX($AB$1005:$AQ$1005,1,MATCH(COLUMNS($AB$1006:AH1006),$AB$1006:$AQ$1006,0))&gt;=100000), " ",IF(INDEX($AB$2:$AQ$1001,MATCH(ROWS($U$2:U350),$U$2:$U$1001,0),MATCH(COLUMNS($AB$1006:AH1006),$AB$1006:$AQ$1006,0)), HYPERLINK("#",""), HYPERLINK(CONCATENATE("#Metadata!", ADDRESS(INDEX($W$2:$W$1001,MATCH(ROWS($U$2:U350),$U$2:$U$1001,0),0), INDEX($AB$1004:$AQ$1004,1,MATCH(COLUMNS($AB$1006:AH1006),$AB$1006:$AQ$1006,0)))),"Fix")))</f>
        <v>0</v>
      </c>
      <c r="I350" s="5">
        <f>IF(OR(INDEX($V$2:$V$1001,MATCH(ROWS($U$2:U350),$U$2:$U$1001,0),1)&gt;=100000,INDEX($AB$1005:$AQ$1005,1,MATCH(COLUMNS($AB$1006:AI1006),$AB$1006:$AQ$1006,0))&gt;=100000), " ",IF(INDEX($AB$2:$AQ$1001,MATCH(ROWS($U$2:U350),$U$2:$U$1001,0),MATCH(COLUMNS($AB$1006:AI1006),$AB$1006:$AQ$1006,0)), HYPERLINK("#",""), HYPERLINK(CONCATENATE("#Metadata!", ADDRESS(INDEX($W$2:$W$1001,MATCH(ROWS($U$2:U350),$U$2:$U$1001,0),0), INDEX($AB$1004:$AQ$1004,1,MATCH(COLUMNS($AB$1006:AI1006),$AB$1006:$AQ$1006,0)))),"Fix")))</f>
        <v>0</v>
      </c>
      <c r="J350" s="5">
        <f>IF(OR(INDEX($V$2:$V$1001,MATCH(ROWS($U$2:U350),$U$2:$U$1001,0),1)&gt;=100000,INDEX($AB$1005:$AQ$1005,1,MATCH(COLUMNS($AB$1006:AJ1006),$AB$1006:$AQ$1006,0))&gt;=100000), " ",IF(INDEX($AB$2:$AQ$1001,MATCH(ROWS($U$2:U350),$U$2:$U$1001,0),MATCH(COLUMNS($AB$1006:AJ1006),$AB$1006:$AQ$1006,0)), HYPERLINK("#",""), HYPERLINK(CONCATENATE("#Metadata!", ADDRESS(INDEX($W$2:$W$1001,MATCH(ROWS($U$2:U350),$U$2:$U$1001,0),0), INDEX($AB$1004:$AQ$1004,1,MATCH(COLUMNS($AB$1006:AJ1006),$AB$1006:$AQ$1006,0)))),"Fix")))</f>
        <v>0</v>
      </c>
      <c r="K350" s="5">
        <f>IF(OR(INDEX($V$2:$V$1001,MATCH(ROWS($U$2:U350),$U$2:$U$1001,0),1)&gt;=100000,INDEX($AB$1005:$AQ$1005,1,MATCH(COLUMNS($AB$1006:AK1006),$AB$1006:$AQ$1006,0))&gt;=100000), " ",IF(INDEX($AB$2:$AQ$1001,MATCH(ROWS($U$2:U350),$U$2:$U$1001,0),MATCH(COLUMNS($AB$1006:AK1006),$AB$1006:$AQ$1006,0)), HYPERLINK("#",""), HYPERLINK(CONCATENATE("#Metadata!", ADDRESS(INDEX($W$2:$W$1001,MATCH(ROWS($U$2:U350),$U$2:$U$1001,0),0), INDEX($AB$1004:$AQ$1004,1,MATCH(COLUMNS($AB$1006:AK1006),$AB$1006:$AQ$1006,0)))),"Fix")))</f>
        <v>0</v>
      </c>
      <c r="L350" s="5">
        <f>IF(OR(INDEX($V$2:$V$1001,MATCH(ROWS($U$2:U350),$U$2:$U$1001,0),1)&gt;=100000,INDEX($AB$1005:$AQ$1005,1,MATCH(COLUMNS($AB$1006:AL1006),$AB$1006:$AQ$1006,0))&gt;=100000), " ",IF(INDEX($AB$2:$AQ$1001,MATCH(ROWS($U$2:U350),$U$2:$U$1001,0),MATCH(COLUMNS($AB$1006:AL1006),$AB$1006:$AQ$1006,0)), HYPERLINK("#",""), HYPERLINK(CONCATENATE("#Metadata!", ADDRESS(INDEX($W$2:$W$1001,MATCH(ROWS($U$2:U350),$U$2:$U$1001,0),0), INDEX($AB$1004:$AQ$1004,1,MATCH(COLUMNS($AB$1006:AL1006),$AB$1006:$AQ$1006,0)))),"Fix")))</f>
        <v>0</v>
      </c>
      <c r="M350" s="5">
        <f>IF(OR(INDEX($V$2:$V$1001,MATCH(ROWS($U$2:U350),$U$2:$U$1001,0),1)&gt;=100000,INDEX($AB$1005:$AQ$1005,1,MATCH(COLUMNS($AB$1006:AM1006),$AB$1006:$AQ$1006,0))&gt;=100000), " ",IF(INDEX($AB$2:$AQ$1001,MATCH(ROWS($U$2:U350),$U$2:$U$1001,0),MATCH(COLUMNS($AB$1006:AM1006),$AB$1006:$AQ$1006,0)), HYPERLINK("#",""), HYPERLINK(CONCATENATE("#Metadata!", ADDRESS(INDEX($W$2:$W$1001,MATCH(ROWS($U$2:U350),$U$2:$U$1001,0),0), INDEX($AB$1004:$AQ$1004,1,MATCH(COLUMNS($AB$1006:AM1006),$AB$1006:$AQ$1006,0)))),"Fix")))</f>
        <v>0</v>
      </c>
      <c r="N350" s="5">
        <f>IF(OR(INDEX($V$2:$V$1001,MATCH(ROWS($U$2:U350),$U$2:$U$1001,0),1)&gt;=100000,INDEX($AB$1005:$AQ$1005,1,MATCH(COLUMNS($AB$1006:AN1006),$AB$1006:$AQ$1006,0))&gt;=100000), " ",IF(INDEX($AB$2:$AQ$1001,MATCH(ROWS($U$2:U350),$U$2:$U$1001,0),MATCH(COLUMNS($AB$1006:AN1006),$AB$1006:$AQ$1006,0)), HYPERLINK("#",""), HYPERLINK(CONCATENATE("#Metadata!", ADDRESS(INDEX($W$2:$W$1001,MATCH(ROWS($U$2:U350),$U$2:$U$1001,0),0), INDEX($AB$1004:$AQ$1004,1,MATCH(COLUMNS($AB$1006:AN1006),$AB$1006:$AQ$1006,0)))),"Fix")))</f>
        <v>0</v>
      </c>
      <c r="O350" s="5">
        <f>IF(OR(INDEX($V$2:$V$1001,MATCH(ROWS($U$2:U350),$U$2:$U$1001,0),1)&gt;=100000,INDEX($AB$1005:$AQ$1005,1,MATCH(COLUMNS($AB$1006:AO1006),$AB$1006:$AQ$1006,0))&gt;=100000), " ",IF(INDEX($AB$2:$AQ$1001,MATCH(ROWS($U$2:U350),$U$2:$U$1001,0),MATCH(COLUMNS($AB$1006:AO1006),$AB$1006:$AQ$1006,0)), HYPERLINK("#",""), HYPERLINK(CONCATENATE("#Metadata!", ADDRESS(INDEX($W$2:$W$1001,MATCH(ROWS($U$2:U350),$U$2:$U$1001,0),0), INDEX($AB$1004:$AQ$1004,1,MATCH(COLUMNS($AB$1006:AO1006),$AB$1006:$AQ$1006,0)))),"Fix")))</f>
        <v>0</v>
      </c>
      <c r="P350" s="5">
        <f>IF(OR(INDEX($V$2:$V$1001,MATCH(ROWS($U$2:U350),$U$2:$U$1001,0),1)&gt;=100000,INDEX($AB$1005:$AQ$1005,1,MATCH(COLUMNS($AB$1006:AP1006),$AB$1006:$AQ$1006,0))&gt;=100000), " ",IF(INDEX($AB$2:$AQ$1001,MATCH(ROWS($U$2:U350),$U$2:$U$1001,0),MATCH(COLUMNS($AB$1006:AP1006),$AB$1006:$AQ$1006,0)), HYPERLINK("#",""), HYPERLINK(CONCATENATE("#Metadata!", ADDRESS(INDEX($W$2:$W$1001,MATCH(ROWS($U$2:U350),$U$2:$U$1001,0),0), INDEX($AB$1004:$AQ$1004,1,MATCH(COLUMNS($AB$1006:AP1006),$AB$1006:$AQ$1006,0)))),"Fix")))</f>
        <v>0</v>
      </c>
      <c r="Q350" s="5">
        <f>IF(OR(INDEX($V$2:$V$1001,MATCH(ROWS($U$2:U350),$U$2:$U$1001,0),1)&gt;=100000,INDEX($AB$1005:$AQ$1005,1,MATCH(COLUMNS($AB$1006:AQ1006),$AB$1006:$AQ$1006,0))&gt;=100000), " ",IF(INDEX($AB$2:$AQ$1001,MATCH(ROWS($U$2:U350),$U$2:$U$1001,0),MATCH(COLUMNS($AB$1006:AQ1006),$AB$1006:$AQ$1006,0)), HYPERLINK("#",""), HYPERLINK(CONCATENATE("#Metadata!", ADDRESS(INDEX($W$2:$W$1001,MATCH(ROWS($U$2:U350),$U$2:$U$1001,0),0), INDEX($AB$1004:$AQ$1004,1,MATCH(COLUMNS($AB$1006:AQ1006),$AB$1006:$AQ$1006,0)))),"Fix")))</f>
        <v>0</v>
      </c>
      <c r="U350">
        <v>0</v>
      </c>
      <c r="V350">
        <v>0</v>
      </c>
      <c r="W350">
        <v>0</v>
      </c>
      <c r="X350">
        <f>IF(Y350,TRUE,AND(AB350:AQ350))</f>
        <v>0</v>
      </c>
      <c r="Y350">
        <f>COUNTBLANK(Metadata!B350:Q350)=COLUMNS(Metadata!B350:Q350)</f>
        <v>0</v>
      </c>
      <c r="Z350">
        <v>0</v>
      </c>
      <c r="AB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AC350">
        <f>AND(IF(Metadata!C350="",FALSE,TRUE),exact(Metadata!C350,"urban biome"))</f>
        <v>0</v>
      </c>
      <c r="AD350">
        <f>AND(IF(Metadata!D350="",FALSE,TRUE),exact(Metadata!D350,"human-associated habitat"))</f>
        <v>0</v>
      </c>
      <c r="AE350">
        <f>AND(IF(Metadata!E350="",FALSE,TRUE),OR(exact(Metadata!E350,"human-associated"),exact(Metadata!E350,"human-skin"),exact(Metadata!E350,"human-oral"),exact(Metadata!E350,"human-gut"),exact(Metadata!E350,"human-vaginal")))</f>
        <v>0</v>
      </c>
      <c r="AF350">
        <f>AND(IF(Metadata!F350="",FALSE,ISNUMBER(VALUE(Metadata!F350))),Metadata!F350&gt;0)</f>
        <v>0</v>
      </c>
      <c r="AG350">
        <f>AND(IF(Metadata!G350="",FALSE,TRUE),exact(Metadata!G350,"years"))</f>
        <v>0</v>
      </c>
      <c r="AH350">
        <f>OR(AND(IF(Metadata!H350="",FALSE,TRUE),OR(exact(Metadata!H350,"not applicable"),exact(Metadata!H350,"not collected"),exact(Metadata!H350,"not provided"),exact(Metadata!H350,"restricted access"))),AND(IF(Metadata!H350="",FALSE,ISNUMBER(VALUE(Metadata!H350))),Metadata!H350&gt;0))</f>
        <v>0</v>
      </c>
      <c r="AI350">
        <f>AND(IF(Metadata!I350="",FALSE,TRUE),exact(Metadata!I350,"human"))</f>
        <v>0</v>
      </c>
      <c r="AJ350">
        <f>AND(IF(Metadata!J350="",FALSE,ISNUMBER(VALUE(Metadata!J350))),Metadata!J350&gt;0)</f>
        <v>0</v>
      </c>
      <c r="AK350">
        <f>AND(IF(Metadata!K350="",FALSE,TRUE),exact(Metadata!K350,"cm"))</f>
        <v>0</v>
      </c>
      <c r="AL350">
        <f>AND(IF(Metadata!L350="",FALSE,TRUE),exact(Metadata!L350,"Homo sapiens"))</f>
        <v>0</v>
      </c>
      <c r="AM350">
        <f>AND(IF(Metadata!M350="",FALSE,TRUE),exact(Metadata!M350,"9606"))</f>
        <v>0</v>
      </c>
      <c r="AN350">
        <f>AND(IF(Metadata!N350="",FALSE,ISNUMBER(VALUE(Metadata!N350))),Metadata!N350&gt;0)</f>
        <v>0</v>
      </c>
      <c r="AO350">
        <f>AND(IF(Metadata!O350="",FALSE,TRUE),exact(Metadata!O350,"kg"))</f>
        <v>0</v>
      </c>
      <c r="AP350">
        <f>OR(AND(IF(Metadata!P350="",FALSE,TRUE),exact(Metadata!P350,"not provided")),IF(Metadata!P350="",FALSE,TRUE))</f>
        <v>0</v>
      </c>
      <c r="AQ350">
        <f>OR(AND(IF(Metadata!Q350="",FALSE,TRUE),exact(Metadata!Q350,"not provided")),IF(Metadata!Q350="",FALSE,TRUE))</f>
        <v>0</v>
      </c>
    </row>
    <row r="351" spans="1:43">
      <c r="A351" s="4">
        <f>IF(B351=" "," ",HYPERLINK(CONCATENATE("#metadata!",ADDRESS(INDEX($W$2:$W$1001,MATCH(ROWS($U$2:U351),$U$2:$U$1001,0),0),2)),INDEX($Z$2:$Z$1001,MATCH(ROWS($U$2:U351),$U$2:$U$1001,0),0)))</f>
        <v>0</v>
      </c>
      <c r="B351" s="5">
        <f>IF(OR(INDEX($V$2:$V$1001,MATCH(ROWS($U$2:U351),$U$2:$U$1001,0),1)&gt;=100000,INDEX($AB$1005:$AQ$1005,1,MATCH(COLUMNS($AB$1006:AB1006),$AB$1006:$AQ$1006,0))&gt;=100000), " ",IF(INDEX($AB$2:$AQ$1001,MATCH(ROWS($U$2:U351),$U$2:$U$1001,0),MATCH(COLUMNS($AB$1006:AB1006),$AB$1006:$AQ$1006,0)), HYPERLINK("#",""), HYPERLINK(CONCATENATE("#Metadata!", ADDRESS(INDEX($W$2:$W$1001,MATCH(ROWS($U$2:U351),$U$2:$U$1001,0),0), INDEX($AB$1004:$AQ$1004,1,MATCH(COLUMNS($AB$1006:AB1006),$AB$1006:$AQ$1006,0)))),"Fix")))</f>
        <v>0</v>
      </c>
      <c r="C351" s="5">
        <f>IF(OR(INDEX($V$2:$V$1001,MATCH(ROWS($U$2:U351),$U$2:$U$1001,0),1)&gt;=100000,INDEX($AB$1005:$AQ$1005,1,MATCH(COLUMNS($AB$1006:AC1006),$AB$1006:$AQ$1006,0))&gt;=100000), " ",IF(INDEX($AB$2:$AQ$1001,MATCH(ROWS($U$2:U351),$U$2:$U$1001,0),MATCH(COLUMNS($AB$1006:AC1006),$AB$1006:$AQ$1006,0)), HYPERLINK("#",""), HYPERLINK(CONCATENATE("#Metadata!", ADDRESS(INDEX($W$2:$W$1001,MATCH(ROWS($U$2:U351),$U$2:$U$1001,0),0), INDEX($AB$1004:$AQ$1004,1,MATCH(COLUMNS($AB$1006:AC1006),$AB$1006:$AQ$1006,0)))),"Fix")))</f>
        <v>0</v>
      </c>
      <c r="D351" s="5">
        <f>IF(OR(INDEX($V$2:$V$1001,MATCH(ROWS($U$2:U351),$U$2:$U$1001,0),1)&gt;=100000,INDEX($AB$1005:$AQ$1005,1,MATCH(COLUMNS($AB$1006:AD1006),$AB$1006:$AQ$1006,0))&gt;=100000), " ",IF(INDEX($AB$2:$AQ$1001,MATCH(ROWS($U$2:U351),$U$2:$U$1001,0),MATCH(COLUMNS($AB$1006:AD1006),$AB$1006:$AQ$1006,0)), HYPERLINK("#",""), HYPERLINK(CONCATENATE("#Metadata!", ADDRESS(INDEX($W$2:$W$1001,MATCH(ROWS($U$2:U351),$U$2:$U$1001,0),0), INDEX($AB$1004:$AQ$1004,1,MATCH(COLUMNS($AB$1006:AD1006),$AB$1006:$AQ$1006,0)))),"Fix")))</f>
        <v>0</v>
      </c>
      <c r="E351" s="5">
        <f>IF(OR(INDEX($V$2:$V$1001,MATCH(ROWS($U$2:U351),$U$2:$U$1001,0),1)&gt;=100000,INDEX($AB$1005:$AQ$1005,1,MATCH(COLUMNS($AB$1006:AE1006),$AB$1006:$AQ$1006,0))&gt;=100000), " ",IF(INDEX($AB$2:$AQ$1001,MATCH(ROWS($U$2:U351),$U$2:$U$1001,0),MATCH(COLUMNS($AB$1006:AE1006),$AB$1006:$AQ$1006,0)), HYPERLINK("#",""), HYPERLINK(CONCATENATE("#Metadata!", ADDRESS(INDEX($W$2:$W$1001,MATCH(ROWS($U$2:U351),$U$2:$U$1001,0),0), INDEX($AB$1004:$AQ$1004,1,MATCH(COLUMNS($AB$1006:AE1006),$AB$1006:$AQ$1006,0)))),"Fix")))</f>
        <v>0</v>
      </c>
      <c r="F351" s="5">
        <f>IF(OR(INDEX($V$2:$V$1001,MATCH(ROWS($U$2:U351),$U$2:$U$1001,0),1)&gt;=100000,INDEX($AB$1005:$AQ$1005,1,MATCH(COLUMNS($AB$1006:AF1006),$AB$1006:$AQ$1006,0))&gt;=100000), " ",IF(INDEX($AB$2:$AQ$1001,MATCH(ROWS($U$2:U351),$U$2:$U$1001,0),MATCH(COLUMNS($AB$1006:AF1006),$AB$1006:$AQ$1006,0)), HYPERLINK("#",""), HYPERLINK(CONCATENATE("#Metadata!", ADDRESS(INDEX($W$2:$W$1001,MATCH(ROWS($U$2:U351),$U$2:$U$1001,0),0), INDEX($AB$1004:$AQ$1004,1,MATCH(COLUMNS($AB$1006:AF1006),$AB$1006:$AQ$1006,0)))),"Fix")))</f>
        <v>0</v>
      </c>
      <c r="G351" s="5">
        <f>IF(OR(INDEX($V$2:$V$1001,MATCH(ROWS($U$2:U351),$U$2:$U$1001,0),1)&gt;=100000,INDEX($AB$1005:$AQ$1005,1,MATCH(COLUMNS($AB$1006:AG1006),$AB$1006:$AQ$1006,0))&gt;=100000), " ",IF(INDEX($AB$2:$AQ$1001,MATCH(ROWS($U$2:U351),$U$2:$U$1001,0),MATCH(COLUMNS($AB$1006:AG1006),$AB$1006:$AQ$1006,0)), HYPERLINK("#",""), HYPERLINK(CONCATENATE("#Metadata!", ADDRESS(INDEX($W$2:$W$1001,MATCH(ROWS($U$2:U351),$U$2:$U$1001,0),0), INDEX($AB$1004:$AQ$1004,1,MATCH(COLUMNS($AB$1006:AG1006),$AB$1006:$AQ$1006,0)))),"Fix")))</f>
        <v>0</v>
      </c>
      <c r="H351" s="5">
        <f>IF(OR(INDEX($V$2:$V$1001,MATCH(ROWS($U$2:U351),$U$2:$U$1001,0),1)&gt;=100000,INDEX($AB$1005:$AQ$1005,1,MATCH(COLUMNS($AB$1006:AH1006),$AB$1006:$AQ$1006,0))&gt;=100000), " ",IF(INDEX($AB$2:$AQ$1001,MATCH(ROWS($U$2:U351),$U$2:$U$1001,0),MATCH(COLUMNS($AB$1006:AH1006),$AB$1006:$AQ$1006,0)), HYPERLINK("#",""), HYPERLINK(CONCATENATE("#Metadata!", ADDRESS(INDEX($W$2:$W$1001,MATCH(ROWS($U$2:U351),$U$2:$U$1001,0),0), INDEX($AB$1004:$AQ$1004,1,MATCH(COLUMNS($AB$1006:AH1006),$AB$1006:$AQ$1006,0)))),"Fix")))</f>
        <v>0</v>
      </c>
      <c r="I351" s="5">
        <f>IF(OR(INDEX($V$2:$V$1001,MATCH(ROWS($U$2:U351),$U$2:$U$1001,0),1)&gt;=100000,INDEX($AB$1005:$AQ$1005,1,MATCH(COLUMNS($AB$1006:AI1006),$AB$1006:$AQ$1006,0))&gt;=100000), " ",IF(INDEX($AB$2:$AQ$1001,MATCH(ROWS($U$2:U351),$U$2:$U$1001,0),MATCH(COLUMNS($AB$1006:AI1006),$AB$1006:$AQ$1006,0)), HYPERLINK("#",""), HYPERLINK(CONCATENATE("#Metadata!", ADDRESS(INDEX($W$2:$W$1001,MATCH(ROWS($U$2:U351),$U$2:$U$1001,0),0), INDEX($AB$1004:$AQ$1004,1,MATCH(COLUMNS($AB$1006:AI1006),$AB$1006:$AQ$1006,0)))),"Fix")))</f>
        <v>0</v>
      </c>
      <c r="J351" s="5">
        <f>IF(OR(INDEX($V$2:$V$1001,MATCH(ROWS($U$2:U351),$U$2:$U$1001,0),1)&gt;=100000,INDEX($AB$1005:$AQ$1005,1,MATCH(COLUMNS($AB$1006:AJ1006),$AB$1006:$AQ$1006,0))&gt;=100000), " ",IF(INDEX($AB$2:$AQ$1001,MATCH(ROWS($U$2:U351),$U$2:$U$1001,0),MATCH(COLUMNS($AB$1006:AJ1006),$AB$1006:$AQ$1006,0)), HYPERLINK("#",""), HYPERLINK(CONCATENATE("#Metadata!", ADDRESS(INDEX($W$2:$W$1001,MATCH(ROWS($U$2:U351),$U$2:$U$1001,0),0), INDEX($AB$1004:$AQ$1004,1,MATCH(COLUMNS($AB$1006:AJ1006),$AB$1006:$AQ$1006,0)))),"Fix")))</f>
        <v>0</v>
      </c>
      <c r="K351" s="5">
        <f>IF(OR(INDEX($V$2:$V$1001,MATCH(ROWS($U$2:U351),$U$2:$U$1001,0),1)&gt;=100000,INDEX($AB$1005:$AQ$1005,1,MATCH(COLUMNS($AB$1006:AK1006),$AB$1006:$AQ$1006,0))&gt;=100000), " ",IF(INDEX($AB$2:$AQ$1001,MATCH(ROWS($U$2:U351),$U$2:$U$1001,0),MATCH(COLUMNS($AB$1006:AK1006),$AB$1006:$AQ$1006,0)), HYPERLINK("#",""), HYPERLINK(CONCATENATE("#Metadata!", ADDRESS(INDEX($W$2:$W$1001,MATCH(ROWS($U$2:U351),$U$2:$U$1001,0),0), INDEX($AB$1004:$AQ$1004,1,MATCH(COLUMNS($AB$1006:AK1006),$AB$1006:$AQ$1006,0)))),"Fix")))</f>
        <v>0</v>
      </c>
      <c r="L351" s="5">
        <f>IF(OR(INDEX($V$2:$V$1001,MATCH(ROWS($U$2:U351),$U$2:$U$1001,0),1)&gt;=100000,INDEX($AB$1005:$AQ$1005,1,MATCH(COLUMNS($AB$1006:AL1006),$AB$1006:$AQ$1006,0))&gt;=100000), " ",IF(INDEX($AB$2:$AQ$1001,MATCH(ROWS($U$2:U351),$U$2:$U$1001,0),MATCH(COLUMNS($AB$1006:AL1006),$AB$1006:$AQ$1006,0)), HYPERLINK("#",""), HYPERLINK(CONCATENATE("#Metadata!", ADDRESS(INDEX($W$2:$W$1001,MATCH(ROWS($U$2:U351),$U$2:$U$1001,0),0), INDEX($AB$1004:$AQ$1004,1,MATCH(COLUMNS($AB$1006:AL1006),$AB$1006:$AQ$1006,0)))),"Fix")))</f>
        <v>0</v>
      </c>
      <c r="M351" s="5">
        <f>IF(OR(INDEX($V$2:$V$1001,MATCH(ROWS($U$2:U351),$U$2:$U$1001,0),1)&gt;=100000,INDEX($AB$1005:$AQ$1005,1,MATCH(COLUMNS($AB$1006:AM1006),$AB$1006:$AQ$1006,0))&gt;=100000), " ",IF(INDEX($AB$2:$AQ$1001,MATCH(ROWS($U$2:U351),$U$2:$U$1001,0),MATCH(COLUMNS($AB$1006:AM1006),$AB$1006:$AQ$1006,0)), HYPERLINK("#",""), HYPERLINK(CONCATENATE("#Metadata!", ADDRESS(INDEX($W$2:$W$1001,MATCH(ROWS($U$2:U351),$U$2:$U$1001,0),0), INDEX($AB$1004:$AQ$1004,1,MATCH(COLUMNS($AB$1006:AM1006),$AB$1006:$AQ$1006,0)))),"Fix")))</f>
        <v>0</v>
      </c>
      <c r="N351" s="5">
        <f>IF(OR(INDEX($V$2:$V$1001,MATCH(ROWS($U$2:U351),$U$2:$U$1001,0),1)&gt;=100000,INDEX($AB$1005:$AQ$1005,1,MATCH(COLUMNS($AB$1006:AN1006),$AB$1006:$AQ$1006,0))&gt;=100000), " ",IF(INDEX($AB$2:$AQ$1001,MATCH(ROWS($U$2:U351),$U$2:$U$1001,0),MATCH(COLUMNS($AB$1006:AN1006),$AB$1006:$AQ$1006,0)), HYPERLINK("#",""), HYPERLINK(CONCATENATE("#Metadata!", ADDRESS(INDEX($W$2:$W$1001,MATCH(ROWS($U$2:U351),$U$2:$U$1001,0),0), INDEX($AB$1004:$AQ$1004,1,MATCH(COLUMNS($AB$1006:AN1006),$AB$1006:$AQ$1006,0)))),"Fix")))</f>
        <v>0</v>
      </c>
      <c r="O351" s="5">
        <f>IF(OR(INDEX($V$2:$V$1001,MATCH(ROWS($U$2:U351),$U$2:$U$1001,0),1)&gt;=100000,INDEX($AB$1005:$AQ$1005,1,MATCH(COLUMNS($AB$1006:AO1006),$AB$1006:$AQ$1006,0))&gt;=100000), " ",IF(INDEX($AB$2:$AQ$1001,MATCH(ROWS($U$2:U351),$U$2:$U$1001,0),MATCH(COLUMNS($AB$1006:AO1006),$AB$1006:$AQ$1006,0)), HYPERLINK("#",""), HYPERLINK(CONCATENATE("#Metadata!", ADDRESS(INDEX($W$2:$W$1001,MATCH(ROWS($U$2:U351),$U$2:$U$1001,0),0), INDEX($AB$1004:$AQ$1004,1,MATCH(COLUMNS($AB$1006:AO1006),$AB$1006:$AQ$1006,0)))),"Fix")))</f>
        <v>0</v>
      </c>
      <c r="P351" s="5">
        <f>IF(OR(INDEX($V$2:$V$1001,MATCH(ROWS($U$2:U351),$U$2:$U$1001,0),1)&gt;=100000,INDEX($AB$1005:$AQ$1005,1,MATCH(COLUMNS($AB$1006:AP1006),$AB$1006:$AQ$1006,0))&gt;=100000), " ",IF(INDEX($AB$2:$AQ$1001,MATCH(ROWS($U$2:U351),$U$2:$U$1001,0),MATCH(COLUMNS($AB$1006:AP1006),$AB$1006:$AQ$1006,0)), HYPERLINK("#",""), HYPERLINK(CONCATENATE("#Metadata!", ADDRESS(INDEX($W$2:$W$1001,MATCH(ROWS($U$2:U351),$U$2:$U$1001,0),0), INDEX($AB$1004:$AQ$1004,1,MATCH(COLUMNS($AB$1006:AP1006),$AB$1006:$AQ$1006,0)))),"Fix")))</f>
        <v>0</v>
      </c>
      <c r="Q351" s="5">
        <f>IF(OR(INDEX($V$2:$V$1001,MATCH(ROWS($U$2:U351),$U$2:$U$1001,0),1)&gt;=100000,INDEX($AB$1005:$AQ$1005,1,MATCH(COLUMNS($AB$1006:AQ1006),$AB$1006:$AQ$1006,0))&gt;=100000), " ",IF(INDEX($AB$2:$AQ$1001,MATCH(ROWS($U$2:U351),$U$2:$U$1001,0),MATCH(COLUMNS($AB$1006:AQ1006),$AB$1006:$AQ$1006,0)), HYPERLINK("#",""), HYPERLINK(CONCATENATE("#Metadata!", ADDRESS(INDEX($W$2:$W$1001,MATCH(ROWS($U$2:U351),$U$2:$U$1001,0),0), INDEX($AB$1004:$AQ$1004,1,MATCH(COLUMNS($AB$1006:AQ1006),$AB$1006:$AQ$1006,0)))),"Fix")))</f>
        <v>0</v>
      </c>
      <c r="U351">
        <v>0</v>
      </c>
      <c r="V351">
        <v>0</v>
      </c>
      <c r="W351">
        <v>0</v>
      </c>
      <c r="X351">
        <f>IF(Y351,TRUE,AND(AB351:AQ351))</f>
        <v>0</v>
      </c>
      <c r="Y351">
        <f>COUNTBLANK(Metadata!B351:Q351)=COLUMNS(Metadata!B351:Q351)</f>
        <v>0</v>
      </c>
      <c r="Z351">
        <v>0</v>
      </c>
      <c r="AB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AC351">
        <f>AND(IF(Metadata!C351="",FALSE,TRUE),exact(Metadata!C351,"urban biome"))</f>
        <v>0</v>
      </c>
      <c r="AD351">
        <f>AND(IF(Metadata!D351="",FALSE,TRUE),exact(Metadata!D351,"human-associated habitat"))</f>
        <v>0</v>
      </c>
      <c r="AE351">
        <f>AND(IF(Metadata!E351="",FALSE,TRUE),OR(exact(Metadata!E351,"human-associated"),exact(Metadata!E351,"human-skin"),exact(Metadata!E351,"human-oral"),exact(Metadata!E351,"human-gut"),exact(Metadata!E351,"human-vaginal")))</f>
        <v>0</v>
      </c>
      <c r="AF351">
        <f>AND(IF(Metadata!F351="",FALSE,ISNUMBER(VALUE(Metadata!F351))),Metadata!F351&gt;0)</f>
        <v>0</v>
      </c>
      <c r="AG351">
        <f>AND(IF(Metadata!G351="",FALSE,TRUE),exact(Metadata!G351,"years"))</f>
        <v>0</v>
      </c>
      <c r="AH351">
        <f>OR(AND(IF(Metadata!H351="",FALSE,TRUE),OR(exact(Metadata!H351,"not applicable"),exact(Metadata!H351,"not collected"),exact(Metadata!H351,"not provided"),exact(Metadata!H351,"restricted access"))),AND(IF(Metadata!H351="",FALSE,ISNUMBER(VALUE(Metadata!H351))),Metadata!H351&gt;0))</f>
        <v>0</v>
      </c>
      <c r="AI351">
        <f>AND(IF(Metadata!I351="",FALSE,TRUE),exact(Metadata!I351,"human"))</f>
        <v>0</v>
      </c>
      <c r="AJ351">
        <f>AND(IF(Metadata!J351="",FALSE,ISNUMBER(VALUE(Metadata!J351))),Metadata!J351&gt;0)</f>
        <v>0</v>
      </c>
      <c r="AK351">
        <f>AND(IF(Metadata!K351="",FALSE,TRUE),exact(Metadata!K351,"cm"))</f>
        <v>0</v>
      </c>
      <c r="AL351">
        <f>AND(IF(Metadata!L351="",FALSE,TRUE),exact(Metadata!L351,"Homo sapiens"))</f>
        <v>0</v>
      </c>
      <c r="AM351">
        <f>AND(IF(Metadata!M351="",FALSE,TRUE),exact(Metadata!M351,"9606"))</f>
        <v>0</v>
      </c>
      <c r="AN351">
        <f>AND(IF(Metadata!N351="",FALSE,ISNUMBER(VALUE(Metadata!N351))),Metadata!N351&gt;0)</f>
        <v>0</v>
      </c>
      <c r="AO351">
        <f>AND(IF(Metadata!O351="",FALSE,TRUE),exact(Metadata!O351,"kg"))</f>
        <v>0</v>
      </c>
      <c r="AP351">
        <f>OR(AND(IF(Metadata!P351="",FALSE,TRUE),exact(Metadata!P351,"not provided")),IF(Metadata!P351="",FALSE,TRUE))</f>
        <v>0</v>
      </c>
      <c r="AQ351">
        <f>OR(AND(IF(Metadata!Q351="",FALSE,TRUE),exact(Metadata!Q351,"not provided")),IF(Metadata!Q351="",FALSE,TRUE))</f>
        <v>0</v>
      </c>
    </row>
    <row r="352" spans="1:43">
      <c r="A352" s="4">
        <f>IF(B352=" "," ",HYPERLINK(CONCATENATE("#metadata!",ADDRESS(INDEX($W$2:$W$1001,MATCH(ROWS($U$2:U352),$U$2:$U$1001,0),0),2)),INDEX($Z$2:$Z$1001,MATCH(ROWS($U$2:U352),$U$2:$U$1001,0),0)))</f>
        <v>0</v>
      </c>
      <c r="B352" s="5">
        <f>IF(OR(INDEX($V$2:$V$1001,MATCH(ROWS($U$2:U352),$U$2:$U$1001,0),1)&gt;=100000,INDEX($AB$1005:$AQ$1005,1,MATCH(COLUMNS($AB$1006:AB1006),$AB$1006:$AQ$1006,0))&gt;=100000), " ",IF(INDEX($AB$2:$AQ$1001,MATCH(ROWS($U$2:U352),$U$2:$U$1001,0),MATCH(COLUMNS($AB$1006:AB1006),$AB$1006:$AQ$1006,0)), HYPERLINK("#",""), HYPERLINK(CONCATENATE("#Metadata!", ADDRESS(INDEX($W$2:$W$1001,MATCH(ROWS($U$2:U352),$U$2:$U$1001,0),0), INDEX($AB$1004:$AQ$1004,1,MATCH(COLUMNS($AB$1006:AB1006),$AB$1006:$AQ$1006,0)))),"Fix")))</f>
        <v>0</v>
      </c>
      <c r="C352" s="5">
        <f>IF(OR(INDEX($V$2:$V$1001,MATCH(ROWS($U$2:U352),$U$2:$U$1001,0),1)&gt;=100000,INDEX($AB$1005:$AQ$1005,1,MATCH(COLUMNS($AB$1006:AC1006),$AB$1006:$AQ$1006,0))&gt;=100000), " ",IF(INDEX($AB$2:$AQ$1001,MATCH(ROWS($U$2:U352),$U$2:$U$1001,0),MATCH(COLUMNS($AB$1006:AC1006),$AB$1006:$AQ$1006,0)), HYPERLINK("#",""), HYPERLINK(CONCATENATE("#Metadata!", ADDRESS(INDEX($W$2:$W$1001,MATCH(ROWS($U$2:U352),$U$2:$U$1001,0),0), INDEX($AB$1004:$AQ$1004,1,MATCH(COLUMNS($AB$1006:AC1006),$AB$1006:$AQ$1006,0)))),"Fix")))</f>
        <v>0</v>
      </c>
      <c r="D352" s="5">
        <f>IF(OR(INDEX($V$2:$V$1001,MATCH(ROWS($U$2:U352),$U$2:$U$1001,0),1)&gt;=100000,INDEX($AB$1005:$AQ$1005,1,MATCH(COLUMNS($AB$1006:AD1006),$AB$1006:$AQ$1006,0))&gt;=100000), " ",IF(INDEX($AB$2:$AQ$1001,MATCH(ROWS($U$2:U352),$U$2:$U$1001,0),MATCH(COLUMNS($AB$1006:AD1006),$AB$1006:$AQ$1006,0)), HYPERLINK("#",""), HYPERLINK(CONCATENATE("#Metadata!", ADDRESS(INDEX($W$2:$W$1001,MATCH(ROWS($U$2:U352),$U$2:$U$1001,0),0), INDEX($AB$1004:$AQ$1004,1,MATCH(COLUMNS($AB$1006:AD1006),$AB$1006:$AQ$1006,0)))),"Fix")))</f>
        <v>0</v>
      </c>
      <c r="E352" s="5">
        <f>IF(OR(INDEX($V$2:$V$1001,MATCH(ROWS($U$2:U352),$U$2:$U$1001,0),1)&gt;=100000,INDEX($AB$1005:$AQ$1005,1,MATCH(COLUMNS($AB$1006:AE1006),$AB$1006:$AQ$1006,0))&gt;=100000), " ",IF(INDEX($AB$2:$AQ$1001,MATCH(ROWS($U$2:U352),$U$2:$U$1001,0),MATCH(COLUMNS($AB$1006:AE1006),$AB$1006:$AQ$1006,0)), HYPERLINK("#",""), HYPERLINK(CONCATENATE("#Metadata!", ADDRESS(INDEX($W$2:$W$1001,MATCH(ROWS($U$2:U352),$U$2:$U$1001,0),0), INDEX($AB$1004:$AQ$1004,1,MATCH(COLUMNS($AB$1006:AE1006),$AB$1006:$AQ$1006,0)))),"Fix")))</f>
        <v>0</v>
      </c>
      <c r="F352" s="5">
        <f>IF(OR(INDEX($V$2:$V$1001,MATCH(ROWS($U$2:U352),$U$2:$U$1001,0),1)&gt;=100000,INDEX($AB$1005:$AQ$1005,1,MATCH(COLUMNS($AB$1006:AF1006),$AB$1006:$AQ$1006,0))&gt;=100000), " ",IF(INDEX($AB$2:$AQ$1001,MATCH(ROWS($U$2:U352),$U$2:$U$1001,0),MATCH(COLUMNS($AB$1006:AF1006),$AB$1006:$AQ$1006,0)), HYPERLINK("#",""), HYPERLINK(CONCATENATE("#Metadata!", ADDRESS(INDEX($W$2:$W$1001,MATCH(ROWS($U$2:U352),$U$2:$U$1001,0),0), INDEX($AB$1004:$AQ$1004,1,MATCH(COLUMNS($AB$1006:AF1006),$AB$1006:$AQ$1006,0)))),"Fix")))</f>
        <v>0</v>
      </c>
      <c r="G352" s="5">
        <f>IF(OR(INDEX($V$2:$V$1001,MATCH(ROWS($U$2:U352),$U$2:$U$1001,0),1)&gt;=100000,INDEX($AB$1005:$AQ$1005,1,MATCH(COLUMNS($AB$1006:AG1006),$AB$1006:$AQ$1006,0))&gt;=100000), " ",IF(INDEX($AB$2:$AQ$1001,MATCH(ROWS($U$2:U352),$U$2:$U$1001,0),MATCH(COLUMNS($AB$1006:AG1006),$AB$1006:$AQ$1006,0)), HYPERLINK("#",""), HYPERLINK(CONCATENATE("#Metadata!", ADDRESS(INDEX($W$2:$W$1001,MATCH(ROWS($U$2:U352),$U$2:$U$1001,0),0), INDEX($AB$1004:$AQ$1004,1,MATCH(COLUMNS($AB$1006:AG1006),$AB$1006:$AQ$1006,0)))),"Fix")))</f>
        <v>0</v>
      </c>
      <c r="H352" s="5">
        <f>IF(OR(INDEX($V$2:$V$1001,MATCH(ROWS($U$2:U352),$U$2:$U$1001,0),1)&gt;=100000,INDEX($AB$1005:$AQ$1005,1,MATCH(COLUMNS($AB$1006:AH1006),$AB$1006:$AQ$1006,0))&gt;=100000), " ",IF(INDEX($AB$2:$AQ$1001,MATCH(ROWS($U$2:U352),$U$2:$U$1001,0),MATCH(COLUMNS($AB$1006:AH1006),$AB$1006:$AQ$1006,0)), HYPERLINK("#",""), HYPERLINK(CONCATENATE("#Metadata!", ADDRESS(INDEX($W$2:$W$1001,MATCH(ROWS($U$2:U352),$U$2:$U$1001,0),0), INDEX($AB$1004:$AQ$1004,1,MATCH(COLUMNS($AB$1006:AH1006),$AB$1006:$AQ$1006,0)))),"Fix")))</f>
        <v>0</v>
      </c>
      <c r="I352" s="5">
        <f>IF(OR(INDEX($V$2:$V$1001,MATCH(ROWS($U$2:U352),$U$2:$U$1001,0),1)&gt;=100000,INDEX($AB$1005:$AQ$1005,1,MATCH(COLUMNS($AB$1006:AI1006),$AB$1006:$AQ$1006,0))&gt;=100000), " ",IF(INDEX($AB$2:$AQ$1001,MATCH(ROWS($U$2:U352),$U$2:$U$1001,0),MATCH(COLUMNS($AB$1006:AI1006),$AB$1006:$AQ$1006,0)), HYPERLINK("#",""), HYPERLINK(CONCATENATE("#Metadata!", ADDRESS(INDEX($W$2:$W$1001,MATCH(ROWS($U$2:U352),$U$2:$U$1001,0),0), INDEX($AB$1004:$AQ$1004,1,MATCH(COLUMNS($AB$1006:AI1006),$AB$1006:$AQ$1006,0)))),"Fix")))</f>
        <v>0</v>
      </c>
      <c r="J352" s="5">
        <f>IF(OR(INDEX($V$2:$V$1001,MATCH(ROWS($U$2:U352),$U$2:$U$1001,0),1)&gt;=100000,INDEX($AB$1005:$AQ$1005,1,MATCH(COLUMNS($AB$1006:AJ1006),$AB$1006:$AQ$1006,0))&gt;=100000), " ",IF(INDEX($AB$2:$AQ$1001,MATCH(ROWS($U$2:U352),$U$2:$U$1001,0),MATCH(COLUMNS($AB$1006:AJ1006),$AB$1006:$AQ$1006,0)), HYPERLINK("#",""), HYPERLINK(CONCATENATE("#Metadata!", ADDRESS(INDEX($W$2:$W$1001,MATCH(ROWS($U$2:U352),$U$2:$U$1001,0),0), INDEX($AB$1004:$AQ$1004,1,MATCH(COLUMNS($AB$1006:AJ1006),$AB$1006:$AQ$1006,0)))),"Fix")))</f>
        <v>0</v>
      </c>
      <c r="K352" s="5">
        <f>IF(OR(INDEX($V$2:$V$1001,MATCH(ROWS($U$2:U352),$U$2:$U$1001,0),1)&gt;=100000,INDEX($AB$1005:$AQ$1005,1,MATCH(COLUMNS($AB$1006:AK1006),$AB$1006:$AQ$1006,0))&gt;=100000), " ",IF(INDEX($AB$2:$AQ$1001,MATCH(ROWS($U$2:U352),$U$2:$U$1001,0),MATCH(COLUMNS($AB$1006:AK1006),$AB$1006:$AQ$1006,0)), HYPERLINK("#",""), HYPERLINK(CONCATENATE("#Metadata!", ADDRESS(INDEX($W$2:$W$1001,MATCH(ROWS($U$2:U352),$U$2:$U$1001,0),0), INDEX($AB$1004:$AQ$1004,1,MATCH(COLUMNS($AB$1006:AK1006),$AB$1006:$AQ$1006,0)))),"Fix")))</f>
        <v>0</v>
      </c>
      <c r="L352" s="5">
        <f>IF(OR(INDEX($V$2:$V$1001,MATCH(ROWS($U$2:U352),$U$2:$U$1001,0),1)&gt;=100000,INDEX($AB$1005:$AQ$1005,1,MATCH(COLUMNS($AB$1006:AL1006),$AB$1006:$AQ$1006,0))&gt;=100000), " ",IF(INDEX($AB$2:$AQ$1001,MATCH(ROWS($U$2:U352),$U$2:$U$1001,0),MATCH(COLUMNS($AB$1006:AL1006),$AB$1006:$AQ$1006,0)), HYPERLINK("#",""), HYPERLINK(CONCATENATE("#Metadata!", ADDRESS(INDEX($W$2:$W$1001,MATCH(ROWS($U$2:U352),$U$2:$U$1001,0),0), INDEX($AB$1004:$AQ$1004,1,MATCH(COLUMNS($AB$1006:AL1006),$AB$1006:$AQ$1006,0)))),"Fix")))</f>
        <v>0</v>
      </c>
      <c r="M352" s="5">
        <f>IF(OR(INDEX($V$2:$V$1001,MATCH(ROWS($U$2:U352),$U$2:$U$1001,0),1)&gt;=100000,INDEX($AB$1005:$AQ$1005,1,MATCH(COLUMNS($AB$1006:AM1006),$AB$1006:$AQ$1006,0))&gt;=100000), " ",IF(INDEX($AB$2:$AQ$1001,MATCH(ROWS($U$2:U352),$U$2:$U$1001,0),MATCH(COLUMNS($AB$1006:AM1006),$AB$1006:$AQ$1006,0)), HYPERLINK("#",""), HYPERLINK(CONCATENATE("#Metadata!", ADDRESS(INDEX($W$2:$W$1001,MATCH(ROWS($U$2:U352),$U$2:$U$1001,0),0), INDEX($AB$1004:$AQ$1004,1,MATCH(COLUMNS($AB$1006:AM1006),$AB$1006:$AQ$1006,0)))),"Fix")))</f>
        <v>0</v>
      </c>
      <c r="N352" s="5">
        <f>IF(OR(INDEX($V$2:$V$1001,MATCH(ROWS($U$2:U352),$U$2:$U$1001,0),1)&gt;=100000,INDEX($AB$1005:$AQ$1005,1,MATCH(COLUMNS($AB$1006:AN1006),$AB$1006:$AQ$1006,0))&gt;=100000), " ",IF(INDEX($AB$2:$AQ$1001,MATCH(ROWS($U$2:U352),$U$2:$U$1001,0),MATCH(COLUMNS($AB$1006:AN1006),$AB$1006:$AQ$1006,0)), HYPERLINK("#",""), HYPERLINK(CONCATENATE("#Metadata!", ADDRESS(INDEX($W$2:$W$1001,MATCH(ROWS($U$2:U352),$U$2:$U$1001,0),0), INDEX($AB$1004:$AQ$1004,1,MATCH(COLUMNS($AB$1006:AN1006),$AB$1006:$AQ$1006,0)))),"Fix")))</f>
        <v>0</v>
      </c>
      <c r="O352" s="5">
        <f>IF(OR(INDEX($V$2:$V$1001,MATCH(ROWS($U$2:U352),$U$2:$U$1001,0),1)&gt;=100000,INDEX($AB$1005:$AQ$1005,1,MATCH(COLUMNS($AB$1006:AO1006),$AB$1006:$AQ$1006,0))&gt;=100000), " ",IF(INDEX($AB$2:$AQ$1001,MATCH(ROWS($U$2:U352),$U$2:$U$1001,0),MATCH(COLUMNS($AB$1006:AO1006),$AB$1006:$AQ$1006,0)), HYPERLINK("#",""), HYPERLINK(CONCATENATE("#Metadata!", ADDRESS(INDEX($W$2:$W$1001,MATCH(ROWS($U$2:U352),$U$2:$U$1001,0),0), INDEX($AB$1004:$AQ$1004,1,MATCH(COLUMNS($AB$1006:AO1006),$AB$1006:$AQ$1006,0)))),"Fix")))</f>
        <v>0</v>
      </c>
      <c r="P352" s="5">
        <f>IF(OR(INDEX($V$2:$V$1001,MATCH(ROWS($U$2:U352),$U$2:$U$1001,0),1)&gt;=100000,INDEX($AB$1005:$AQ$1005,1,MATCH(COLUMNS($AB$1006:AP1006),$AB$1006:$AQ$1006,0))&gt;=100000), " ",IF(INDEX($AB$2:$AQ$1001,MATCH(ROWS($U$2:U352),$U$2:$U$1001,0),MATCH(COLUMNS($AB$1006:AP1006),$AB$1006:$AQ$1006,0)), HYPERLINK("#",""), HYPERLINK(CONCATENATE("#Metadata!", ADDRESS(INDEX($W$2:$W$1001,MATCH(ROWS($U$2:U352),$U$2:$U$1001,0),0), INDEX($AB$1004:$AQ$1004,1,MATCH(COLUMNS($AB$1006:AP1006),$AB$1006:$AQ$1006,0)))),"Fix")))</f>
        <v>0</v>
      </c>
      <c r="Q352" s="5">
        <f>IF(OR(INDEX($V$2:$V$1001,MATCH(ROWS($U$2:U352),$U$2:$U$1001,0),1)&gt;=100000,INDEX($AB$1005:$AQ$1005,1,MATCH(COLUMNS($AB$1006:AQ1006),$AB$1006:$AQ$1006,0))&gt;=100000), " ",IF(INDEX($AB$2:$AQ$1001,MATCH(ROWS($U$2:U352),$U$2:$U$1001,0),MATCH(COLUMNS($AB$1006:AQ1006),$AB$1006:$AQ$1006,0)), HYPERLINK("#",""), HYPERLINK(CONCATENATE("#Metadata!", ADDRESS(INDEX($W$2:$W$1001,MATCH(ROWS($U$2:U352),$U$2:$U$1001,0),0), INDEX($AB$1004:$AQ$1004,1,MATCH(COLUMNS($AB$1006:AQ1006),$AB$1006:$AQ$1006,0)))),"Fix")))</f>
        <v>0</v>
      </c>
      <c r="U352">
        <v>0</v>
      </c>
      <c r="V352">
        <v>0</v>
      </c>
      <c r="W352">
        <v>0</v>
      </c>
      <c r="X352">
        <f>IF(Y352,TRUE,AND(AB352:AQ352))</f>
        <v>0</v>
      </c>
      <c r="Y352">
        <f>COUNTBLANK(Metadata!B352:Q352)=COLUMNS(Metadata!B352:Q352)</f>
        <v>0</v>
      </c>
      <c r="Z352">
        <v>0</v>
      </c>
      <c r="AB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AC352">
        <f>AND(IF(Metadata!C352="",FALSE,TRUE),exact(Metadata!C352,"urban biome"))</f>
        <v>0</v>
      </c>
      <c r="AD352">
        <f>AND(IF(Metadata!D352="",FALSE,TRUE),exact(Metadata!D352,"human-associated habitat"))</f>
        <v>0</v>
      </c>
      <c r="AE352">
        <f>AND(IF(Metadata!E352="",FALSE,TRUE),OR(exact(Metadata!E352,"human-associated"),exact(Metadata!E352,"human-skin"),exact(Metadata!E352,"human-oral"),exact(Metadata!E352,"human-gut"),exact(Metadata!E352,"human-vaginal")))</f>
        <v>0</v>
      </c>
      <c r="AF352">
        <f>AND(IF(Metadata!F352="",FALSE,ISNUMBER(VALUE(Metadata!F352))),Metadata!F352&gt;0)</f>
        <v>0</v>
      </c>
      <c r="AG352">
        <f>AND(IF(Metadata!G352="",FALSE,TRUE),exact(Metadata!G352,"years"))</f>
        <v>0</v>
      </c>
      <c r="AH352">
        <f>OR(AND(IF(Metadata!H352="",FALSE,TRUE),OR(exact(Metadata!H352,"not applicable"),exact(Metadata!H352,"not collected"),exact(Metadata!H352,"not provided"),exact(Metadata!H352,"restricted access"))),AND(IF(Metadata!H352="",FALSE,ISNUMBER(VALUE(Metadata!H352))),Metadata!H352&gt;0))</f>
        <v>0</v>
      </c>
      <c r="AI352">
        <f>AND(IF(Metadata!I352="",FALSE,TRUE),exact(Metadata!I352,"human"))</f>
        <v>0</v>
      </c>
      <c r="AJ352">
        <f>AND(IF(Metadata!J352="",FALSE,ISNUMBER(VALUE(Metadata!J352))),Metadata!J352&gt;0)</f>
        <v>0</v>
      </c>
      <c r="AK352">
        <f>AND(IF(Metadata!K352="",FALSE,TRUE),exact(Metadata!K352,"cm"))</f>
        <v>0</v>
      </c>
      <c r="AL352">
        <f>AND(IF(Metadata!L352="",FALSE,TRUE),exact(Metadata!L352,"Homo sapiens"))</f>
        <v>0</v>
      </c>
      <c r="AM352">
        <f>AND(IF(Metadata!M352="",FALSE,TRUE),exact(Metadata!M352,"9606"))</f>
        <v>0</v>
      </c>
      <c r="AN352">
        <f>AND(IF(Metadata!N352="",FALSE,ISNUMBER(VALUE(Metadata!N352))),Metadata!N352&gt;0)</f>
        <v>0</v>
      </c>
      <c r="AO352">
        <f>AND(IF(Metadata!O352="",FALSE,TRUE),exact(Metadata!O352,"kg"))</f>
        <v>0</v>
      </c>
      <c r="AP352">
        <f>OR(AND(IF(Metadata!P352="",FALSE,TRUE),exact(Metadata!P352,"not provided")),IF(Metadata!P352="",FALSE,TRUE))</f>
        <v>0</v>
      </c>
      <c r="AQ352">
        <f>OR(AND(IF(Metadata!Q352="",FALSE,TRUE),exact(Metadata!Q352,"not provided")),IF(Metadata!Q352="",FALSE,TRUE))</f>
        <v>0</v>
      </c>
    </row>
    <row r="353" spans="1:43">
      <c r="A353" s="4">
        <f>IF(B353=" "," ",HYPERLINK(CONCATENATE("#metadata!",ADDRESS(INDEX($W$2:$W$1001,MATCH(ROWS($U$2:U353),$U$2:$U$1001,0),0),2)),INDEX($Z$2:$Z$1001,MATCH(ROWS($U$2:U353),$U$2:$U$1001,0),0)))</f>
        <v>0</v>
      </c>
      <c r="B353" s="5">
        <f>IF(OR(INDEX($V$2:$V$1001,MATCH(ROWS($U$2:U353),$U$2:$U$1001,0),1)&gt;=100000,INDEX($AB$1005:$AQ$1005,1,MATCH(COLUMNS($AB$1006:AB1006),$AB$1006:$AQ$1006,0))&gt;=100000), " ",IF(INDEX($AB$2:$AQ$1001,MATCH(ROWS($U$2:U353),$U$2:$U$1001,0),MATCH(COLUMNS($AB$1006:AB1006),$AB$1006:$AQ$1006,0)), HYPERLINK("#",""), HYPERLINK(CONCATENATE("#Metadata!", ADDRESS(INDEX($W$2:$W$1001,MATCH(ROWS($U$2:U353),$U$2:$U$1001,0),0), INDEX($AB$1004:$AQ$1004,1,MATCH(COLUMNS($AB$1006:AB1006),$AB$1006:$AQ$1006,0)))),"Fix")))</f>
        <v>0</v>
      </c>
      <c r="C353" s="5">
        <f>IF(OR(INDEX($V$2:$V$1001,MATCH(ROWS($U$2:U353),$U$2:$U$1001,0),1)&gt;=100000,INDEX($AB$1005:$AQ$1005,1,MATCH(COLUMNS($AB$1006:AC1006),$AB$1006:$AQ$1006,0))&gt;=100000), " ",IF(INDEX($AB$2:$AQ$1001,MATCH(ROWS($U$2:U353),$U$2:$U$1001,0),MATCH(COLUMNS($AB$1006:AC1006),$AB$1006:$AQ$1006,0)), HYPERLINK("#",""), HYPERLINK(CONCATENATE("#Metadata!", ADDRESS(INDEX($W$2:$W$1001,MATCH(ROWS($U$2:U353),$U$2:$U$1001,0),0), INDEX($AB$1004:$AQ$1004,1,MATCH(COLUMNS($AB$1006:AC1006),$AB$1006:$AQ$1006,0)))),"Fix")))</f>
        <v>0</v>
      </c>
      <c r="D353" s="5">
        <f>IF(OR(INDEX($V$2:$V$1001,MATCH(ROWS($U$2:U353),$U$2:$U$1001,0),1)&gt;=100000,INDEX($AB$1005:$AQ$1005,1,MATCH(COLUMNS($AB$1006:AD1006),$AB$1006:$AQ$1006,0))&gt;=100000), " ",IF(INDEX($AB$2:$AQ$1001,MATCH(ROWS($U$2:U353),$U$2:$U$1001,0),MATCH(COLUMNS($AB$1006:AD1006),$AB$1006:$AQ$1006,0)), HYPERLINK("#",""), HYPERLINK(CONCATENATE("#Metadata!", ADDRESS(INDEX($W$2:$W$1001,MATCH(ROWS($U$2:U353),$U$2:$U$1001,0),0), INDEX($AB$1004:$AQ$1004,1,MATCH(COLUMNS($AB$1006:AD1006),$AB$1006:$AQ$1006,0)))),"Fix")))</f>
        <v>0</v>
      </c>
      <c r="E353" s="5">
        <f>IF(OR(INDEX($V$2:$V$1001,MATCH(ROWS($U$2:U353),$U$2:$U$1001,0),1)&gt;=100000,INDEX($AB$1005:$AQ$1005,1,MATCH(COLUMNS($AB$1006:AE1006),$AB$1006:$AQ$1006,0))&gt;=100000), " ",IF(INDEX($AB$2:$AQ$1001,MATCH(ROWS($U$2:U353),$U$2:$U$1001,0),MATCH(COLUMNS($AB$1006:AE1006),$AB$1006:$AQ$1006,0)), HYPERLINK("#",""), HYPERLINK(CONCATENATE("#Metadata!", ADDRESS(INDEX($W$2:$W$1001,MATCH(ROWS($U$2:U353),$U$2:$U$1001,0),0), INDEX($AB$1004:$AQ$1004,1,MATCH(COLUMNS($AB$1006:AE1006),$AB$1006:$AQ$1006,0)))),"Fix")))</f>
        <v>0</v>
      </c>
      <c r="F353" s="5">
        <f>IF(OR(INDEX($V$2:$V$1001,MATCH(ROWS($U$2:U353),$U$2:$U$1001,0),1)&gt;=100000,INDEX($AB$1005:$AQ$1005,1,MATCH(COLUMNS($AB$1006:AF1006),$AB$1006:$AQ$1006,0))&gt;=100000), " ",IF(INDEX($AB$2:$AQ$1001,MATCH(ROWS($U$2:U353),$U$2:$U$1001,0),MATCH(COLUMNS($AB$1006:AF1006),$AB$1006:$AQ$1006,0)), HYPERLINK("#",""), HYPERLINK(CONCATENATE("#Metadata!", ADDRESS(INDEX($W$2:$W$1001,MATCH(ROWS($U$2:U353),$U$2:$U$1001,0),0), INDEX($AB$1004:$AQ$1004,1,MATCH(COLUMNS($AB$1006:AF1006),$AB$1006:$AQ$1006,0)))),"Fix")))</f>
        <v>0</v>
      </c>
      <c r="G353" s="5">
        <f>IF(OR(INDEX($V$2:$V$1001,MATCH(ROWS($U$2:U353),$U$2:$U$1001,0),1)&gt;=100000,INDEX($AB$1005:$AQ$1005,1,MATCH(COLUMNS($AB$1006:AG1006),$AB$1006:$AQ$1006,0))&gt;=100000), " ",IF(INDEX($AB$2:$AQ$1001,MATCH(ROWS($U$2:U353),$U$2:$U$1001,0),MATCH(COLUMNS($AB$1006:AG1006),$AB$1006:$AQ$1006,0)), HYPERLINK("#",""), HYPERLINK(CONCATENATE("#Metadata!", ADDRESS(INDEX($W$2:$W$1001,MATCH(ROWS($U$2:U353),$U$2:$U$1001,0),0), INDEX($AB$1004:$AQ$1004,1,MATCH(COLUMNS($AB$1006:AG1006),$AB$1006:$AQ$1006,0)))),"Fix")))</f>
        <v>0</v>
      </c>
      <c r="H353" s="5">
        <f>IF(OR(INDEX($V$2:$V$1001,MATCH(ROWS($U$2:U353),$U$2:$U$1001,0),1)&gt;=100000,INDEX($AB$1005:$AQ$1005,1,MATCH(COLUMNS($AB$1006:AH1006),$AB$1006:$AQ$1006,0))&gt;=100000), " ",IF(INDEX($AB$2:$AQ$1001,MATCH(ROWS($U$2:U353),$U$2:$U$1001,0),MATCH(COLUMNS($AB$1006:AH1006),$AB$1006:$AQ$1006,0)), HYPERLINK("#",""), HYPERLINK(CONCATENATE("#Metadata!", ADDRESS(INDEX($W$2:$W$1001,MATCH(ROWS($U$2:U353),$U$2:$U$1001,0),0), INDEX($AB$1004:$AQ$1004,1,MATCH(COLUMNS($AB$1006:AH1006),$AB$1006:$AQ$1006,0)))),"Fix")))</f>
        <v>0</v>
      </c>
      <c r="I353" s="5">
        <f>IF(OR(INDEX($V$2:$V$1001,MATCH(ROWS($U$2:U353),$U$2:$U$1001,0),1)&gt;=100000,INDEX($AB$1005:$AQ$1005,1,MATCH(COLUMNS($AB$1006:AI1006),$AB$1006:$AQ$1006,0))&gt;=100000), " ",IF(INDEX($AB$2:$AQ$1001,MATCH(ROWS($U$2:U353),$U$2:$U$1001,0),MATCH(COLUMNS($AB$1006:AI1006),$AB$1006:$AQ$1006,0)), HYPERLINK("#",""), HYPERLINK(CONCATENATE("#Metadata!", ADDRESS(INDEX($W$2:$W$1001,MATCH(ROWS($U$2:U353),$U$2:$U$1001,0),0), INDEX($AB$1004:$AQ$1004,1,MATCH(COLUMNS($AB$1006:AI1006),$AB$1006:$AQ$1006,0)))),"Fix")))</f>
        <v>0</v>
      </c>
      <c r="J353" s="5">
        <f>IF(OR(INDEX($V$2:$V$1001,MATCH(ROWS($U$2:U353),$U$2:$U$1001,0),1)&gt;=100000,INDEX($AB$1005:$AQ$1005,1,MATCH(COLUMNS($AB$1006:AJ1006),$AB$1006:$AQ$1006,0))&gt;=100000), " ",IF(INDEX($AB$2:$AQ$1001,MATCH(ROWS($U$2:U353),$U$2:$U$1001,0),MATCH(COLUMNS($AB$1006:AJ1006),$AB$1006:$AQ$1006,0)), HYPERLINK("#",""), HYPERLINK(CONCATENATE("#Metadata!", ADDRESS(INDEX($W$2:$W$1001,MATCH(ROWS($U$2:U353),$U$2:$U$1001,0),0), INDEX($AB$1004:$AQ$1004,1,MATCH(COLUMNS($AB$1006:AJ1006),$AB$1006:$AQ$1006,0)))),"Fix")))</f>
        <v>0</v>
      </c>
      <c r="K353" s="5">
        <f>IF(OR(INDEX($V$2:$V$1001,MATCH(ROWS($U$2:U353),$U$2:$U$1001,0),1)&gt;=100000,INDEX($AB$1005:$AQ$1005,1,MATCH(COLUMNS($AB$1006:AK1006),$AB$1006:$AQ$1006,0))&gt;=100000), " ",IF(INDEX($AB$2:$AQ$1001,MATCH(ROWS($U$2:U353),$U$2:$U$1001,0),MATCH(COLUMNS($AB$1006:AK1006),$AB$1006:$AQ$1006,0)), HYPERLINK("#",""), HYPERLINK(CONCATENATE("#Metadata!", ADDRESS(INDEX($W$2:$W$1001,MATCH(ROWS($U$2:U353),$U$2:$U$1001,0),0), INDEX($AB$1004:$AQ$1004,1,MATCH(COLUMNS($AB$1006:AK1006),$AB$1006:$AQ$1006,0)))),"Fix")))</f>
        <v>0</v>
      </c>
      <c r="L353" s="5">
        <f>IF(OR(INDEX($V$2:$V$1001,MATCH(ROWS($U$2:U353),$U$2:$U$1001,0),1)&gt;=100000,INDEX($AB$1005:$AQ$1005,1,MATCH(COLUMNS($AB$1006:AL1006),$AB$1006:$AQ$1006,0))&gt;=100000), " ",IF(INDEX($AB$2:$AQ$1001,MATCH(ROWS($U$2:U353),$U$2:$U$1001,0),MATCH(COLUMNS($AB$1006:AL1006),$AB$1006:$AQ$1006,0)), HYPERLINK("#",""), HYPERLINK(CONCATENATE("#Metadata!", ADDRESS(INDEX($W$2:$W$1001,MATCH(ROWS($U$2:U353),$U$2:$U$1001,0),0), INDEX($AB$1004:$AQ$1004,1,MATCH(COLUMNS($AB$1006:AL1006),$AB$1006:$AQ$1006,0)))),"Fix")))</f>
        <v>0</v>
      </c>
      <c r="M353" s="5">
        <f>IF(OR(INDEX($V$2:$V$1001,MATCH(ROWS($U$2:U353),$U$2:$U$1001,0),1)&gt;=100000,INDEX($AB$1005:$AQ$1005,1,MATCH(COLUMNS($AB$1006:AM1006),$AB$1006:$AQ$1006,0))&gt;=100000), " ",IF(INDEX($AB$2:$AQ$1001,MATCH(ROWS($U$2:U353),$U$2:$U$1001,0),MATCH(COLUMNS($AB$1006:AM1006),$AB$1006:$AQ$1006,0)), HYPERLINK("#",""), HYPERLINK(CONCATENATE("#Metadata!", ADDRESS(INDEX($W$2:$W$1001,MATCH(ROWS($U$2:U353),$U$2:$U$1001,0),0), INDEX($AB$1004:$AQ$1004,1,MATCH(COLUMNS($AB$1006:AM1006),$AB$1006:$AQ$1006,0)))),"Fix")))</f>
        <v>0</v>
      </c>
      <c r="N353" s="5">
        <f>IF(OR(INDEX($V$2:$V$1001,MATCH(ROWS($U$2:U353),$U$2:$U$1001,0),1)&gt;=100000,INDEX($AB$1005:$AQ$1005,1,MATCH(COLUMNS($AB$1006:AN1006),$AB$1006:$AQ$1006,0))&gt;=100000), " ",IF(INDEX($AB$2:$AQ$1001,MATCH(ROWS($U$2:U353),$U$2:$U$1001,0),MATCH(COLUMNS($AB$1006:AN1006),$AB$1006:$AQ$1006,0)), HYPERLINK("#",""), HYPERLINK(CONCATENATE("#Metadata!", ADDRESS(INDEX($W$2:$W$1001,MATCH(ROWS($U$2:U353),$U$2:$U$1001,0),0), INDEX($AB$1004:$AQ$1004,1,MATCH(COLUMNS($AB$1006:AN1006),$AB$1006:$AQ$1006,0)))),"Fix")))</f>
        <v>0</v>
      </c>
      <c r="O353" s="5">
        <f>IF(OR(INDEX($V$2:$V$1001,MATCH(ROWS($U$2:U353),$U$2:$U$1001,0),1)&gt;=100000,INDEX($AB$1005:$AQ$1005,1,MATCH(COLUMNS($AB$1006:AO1006),$AB$1006:$AQ$1006,0))&gt;=100000), " ",IF(INDEX($AB$2:$AQ$1001,MATCH(ROWS($U$2:U353),$U$2:$U$1001,0),MATCH(COLUMNS($AB$1006:AO1006),$AB$1006:$AQ$1006,0)), HYPERLINK("#",""), HYPERLINK(CONCATENATE("#Metadata!", ADDRESS(INDEX($W$2:$W$1001,MATCH(ROWS($U$2:U353),$U$2:$U$1001,0),0), INDEX($AB$1004:$AQ$1004,1,MATCH(COLUMNS($AB$1006:AO1006),$AB$1006:$AQ$1006,0)))),"Fix")))</f>
        <v>0</v>
      </c>
      <c r="P353" s="5">
        <f>IF(OR(INDEX($V$2:$V$1001,MATCH(ROWS($U$2:U353),$U$2:$U$1001,0),1)&gt;=100000,INDEX($AB$1005:$AQ$1005,1,MATCH(COLUMNS($AB$1006:AP1006),$AB$1006:$AQ$1006,0))&gt;=100000), " ",IF(INDEX($AB$2:$AQ$1001,MATCH(ROWS($U$2:U353),$U$2:$U$1001,0),MATCH(COLUMNS($AB$1006:AP1006),$AB$1006:$AQ$1006,0)), HYPERLINK("#",""), HYPERLINK(CONCATENATE("#Metadata!", ADDRESS(INDEX($W$2:$W$1001,MATCH(ROWS($U$2:U353),$U$2:$U$1001,0),0), INDEX($AB$1004:$AQ$1004,1,MATCH(COLUMNS($AB$1006:AP1006),$AB$1006:$AQ$1006,0)))),"Fix")))</f>
        <v>0</v>
      </c>
      <c r="Q353" s="5">
        <f>IF(OR(INDEX($V$2:$V$1001,MATCH(ROWS($U$2:U353),$U$2:$U$1001,0),1)&gt;=100000,INDEX($AB$1005:$AQ$1005,1,MATCH(COLUMNS($AB$1006:AQ1006),$AB$1006:$AQ$1006,0))&gt;=100000), " ",IF(INDEX($AB$2:$AQ$1001,MATCH(ROWS($U$2:U353),$U$2:$U$1001,0),MATCH(COLUMNS($AB$1006:AQ1006),$AB$1006:$AQ$1006,0)), HYPERLINK("#",""), HYPERLINK(CONCATENATE("#Metadata!", ADDRESS(INDEX($W$2:$W$1001,MATCH(ROWS($U$2:U353),$U$2:$U$1001,0),0), INDEX($AB$1004:$AQ$1004,1,MATCH(COLUMNS($AB$1006:AQ1006),$AB$1006:$AQ$1006,0)))),"Fix")))</f>
        <v>0</v>
      </c>
      <c r="U353">
        <v>0</v>
      </c>
      <c r="V353">
        <v>0</v>
      </c>
      <c r="W353">
        <v>0</v>
      </c>
      <c r="X353">
        <f>IF(Y353,TRUE,AND(AB353:AQ353))</f>
        <v>0</v>
      </c>
      <c r="Y353">
        <f>COUNTBLANK(Metadata!B353:Q353)=COLUMNS(Metadata!B353:Q353)</f>
        <v>0</v>
      </c>
      <c r="Z353">
        <v>0</v>
      </c>
      <c r="AB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AC353">
        <f>AND(IF(Metadata!C353="",FALSE,TRUE),exact(Metadata!C353,"urban biome"))</f>
        <v>0</v>
      </c>
      <c r="AD353">
        <f>AND(IF(Metadata!D353="",FALSE,TRUE),exact(Metadata!D353,"human-associated habitat"))</f>
        <v>0</v>
      </c>
      <c r="AE353">
        <f>AND(IF(Metadata!E353="",FALSE,TRUE),OR(exact(Metadata!E353,"human-associated"),exact(Metadata!E353,"human-skin"),exact(Metadata!E353,"human-oral"),exact(Metadata!E353,"human-gut"),exact(Metadata!E353,"human-vaginal")))</f>
        <v>0</v>
      </c>
      <c r="AF353">
        <f>AND(IF(Metadata!F353="",FALSE,ISNUMBER(VALUE(Metadata!F353))),Metadata!F353&gt;0)</f>
        <v>0</v>
      </c>
      <c r="AG353">
        <f>AND(IF(Metadata!G353="",FALSE,TRUE),exact(Metadata!G353,"years"))</f>
        <v>0</v>
      </c>
      <c r="AH353">
        <f>OR(AND(IF(Metadata!H353="",FALSE,TRUE),OR(exact(Metadata!H353,"not applicable"),exact(Metadata!H353,"not collected"),exact(Metadata!H353,"not provided"),exact(Metadata!H353,"restricted access"))),AND(IF(Metadata!H353="",FALSE,ISNUMBER(VALUE(Metadata!H353))),Metadata!H353&gt;0))</f>
        <v>0</v>
      </c>
      <c r="AI353">
        <f>AND(IF(Metadata!I353="",FALSE,TRUE),exact(Metadata!I353,"human"))</f>
        <v>0</v>
      </c>
      <c r="AJ353">
        <f>AND(IF(Metadata!J353="",FALSE,ISNUMBER(VALUE(Metadata!J353))),Metadata!J353&gt;0)</f>
        <v>0</v>
      </c>
      <c r="AK353">
        <f>AND(IF(Metadata!K353="",FALSE,TRUE),exact(Metadata!K353,"cm"))</f>
        <v>0</v>
      </c>
      <c r="AL353">
        <f>AND(IF(Metadata!L353="",FALSE,TRUE),exact(Metadata!L353,"Homo sapiens"))</f>
        <v>0</v>
      </c>
      <c r="AM353">
        <f>AND(IF(Metadata!M353="",FALSE,TRUE),exact(Metadata!M353,"9606"))</f>
        <v>0</v>
      </c>
      <c r="AN353">
        <f>AND(IF(Metadata!N353="",FALSE,ISNUMBER(VALUE(Metadata!N353))),Metadata!N353&gt;0)</f>
        <v>0</v>
      </c>
      <c r="AO353">
        <f>AND(IF(Metadata!O353="",FALSE,TRUE),exact(Metadata!O353,"kg"))</f>
        <v>0</v>
      </c>
      <c r="AP353">
        <f>OR(AND(IF(Metadata!P353="",FALSE,TRUE),exact(Metadata!P353,"not provided")),IF(Metadata!P353="",FALSE,TRUE))</f>
        <v>0</v>
      </c>
      <c r="AQ353">
        <f>OR(AND(IF(Metadata!Q353="",FALSE,TRUE),exact(Metadata!Q353,"not provided")),IF(Metadata!Q353="",FALSE,TRUE))</f>
        <v>0</v>
      </c>
    </row>
    <row r="354" spans="1:43">
      <c r="A354" s="4">
        <f>IF(B354=" "," ",HYPERLINK(CONCATENATE("#metadata!",ADDRESS(INDEX($W$2:$W$1001,MATCH(ROWS($U$2:U354),$U$2:$U$1001,0),0),2)),INDEX($Z$2:$Z$1001,MATCH(ROWS($U$2:U354),$U$2:$U$1001,0),0)))</f>
        <v>0</v>
      </c>
      <c r="B354" s="5">
        <f>IF(OR(INDEX($V$2:$V$1001,MATCH(ROWS($U$2:U354),$U$2:$U$1001,0),1)&gt;=100000,INDEX($AB$1005:$AQ$1005,1,MATCH(COLUMNS($AB$1006:AB1006),$AB$1006:$AQ$1006,0))&gt;=100000), " ",IF(INDEX($AB$2:$AQ$1001,MATCH(ROWS($U$2:U354),$U$2:$U$1001,0),MATCH(COLUMNS($AB$1006:AB1006),$AB$1006:$AQ$1006,0)), HYPERLINK("#",""), HYPERLINK(CONCATENATE("#Metadata!", ADDRESS(INDEX($W$2:$W$1001,MATCH(ROWS($U$2:U354),$U$2:$U$1001,0),0), INDEX($AB$1004:$AQ$1004,1,MATCH(COLUMNS($AB$1006:AB1006),$AB$1006:$AQ$1006,0)))),"Fix")))</f>
        <v>0</v>
      </c>
      <c r="C354" s="5">
        <f>IF(OR(INDEX($V$2:$V$1001,MATCH(ROWS($U$2:U354),$U$2:$U$1001,0),1)&gt;=100000,INDEX($AB$1005:$AQ$1005,1,MATCH(COLUMNS($AB$1006:AC1006),$AB$1006:$AQ$1006,0))&gt;=100000), " ",IF(INDEX($AB$2:$AQ$1001,MATCH(ROWS($U$2:U354),$U$2:$U$1001,0),MATCH(COLUMNS($AB$1006:AC1006),$AB$1006:$AQ$1006,0)), HYPERLINK("#",""), HYPERLINK(CONCATENATE("#Metadata!", ADDRESS(INDEX($W$2:$W$1001,MATCH(ROWS($U$2:U354),$U$2:$U$1001,0),0), INDEX($AB$1004:$AQ$1004,1,MATCH(COLUMNS($AB$1006:AC1006),$AB$1006:$AQ$1006,0)))),"Fix")))</f>
        <v>0</v>
      </c>
      <c r="D354" s="5">
        <f>IF(OR(INDEX($V$2:$V$1001,MATCH(ROWS($U$2:U354),$U$2:$U$1001,0),1)&gt;=100000,INDEX($AB$1005:$AQ$1005,1,MATCH(COLUMNS($AB$1006:AD1006),$AB$1006:$AQ$1006,0))&gt;=100000), " ",IF(INDEX($AB$2:$AQ$1001,MATCH(ROWS($U$2:U354),$U$2:$U$1001,0),MATCH(COLUMNS($AB$1006:AD1006),$AB$1006:$AQ$1006,0)), HYPERLINK("#",""), HYPERLINK(CONCATENATE("#Metadata!", ADDRESS(INDEX($W$2:$W$1001,MATCH(ROWS($U$2:U354),$U$2:$U$1001,0),0), INDEX($AB$1004:$AQ$1004,1,MATCH(COLUMNS($AB$1006:AD1006),$AB$1006:$AQ$1006,0)))),"Fix")))</f>
        <v>0</v>
      </c>
      <c r="E354" s="5">
        <f>IF(OR(INDEX($V$2:$V$1001,MATCH(ROWS($U$2:U354),$U$2:$U$1001,0),1)&gt;=100000,INDEX($AB$1005:$AQ$1005,1,MATCH(COLUMNS($AB$1006:AE1006),$AB$1006:$AQ$1006,0))&gt;=100000), " ",IF(INDEX($AB$2:$AQ$1001,MATCH(ROWS($U$2:U354),$U$2:$U$1001,0),MATCH(COLUMNS($AB$1006:AE1006),$AB$1006:$AQ$1006,0)), HYPERLINK("#",""), HYPERLINK(CONCATENATE("#Metadata!", ADDRESS(INDEX($W$2:$W$1001,MATCH(ROWS($U$2:U354),$U$2:$U$1001,0),0), INDEX($AB$1004:$AQ$1004,1,MATCH(COLUMNS($AB$1006:AE1006),$AB$1006:$AQ$1006,0)))),"Fix")))</f>
        <v>0</v>
      </c>
      <c r="F354" s="5">
        <f>IF(OR(INDEX($V$2:$V$1001,MATCH(ROWS($U$2:U354),$U$2:$U$1001,0),1)&gt;=100000,INDEX($AB$1005:$AQ$1005,1,MATCH(COLUMNS($AB$1006:AF1006),$AB$1006:$AQ$1006,0))&gt;=100000), " ",IF(INDEX($AB$2:$AQ$1001,MATCH(ROWS($U$2:U354),$U$2:$U$1001,0),MATCH(COLUMNS($AB$1006:AF1006),$AB$1006:$AQ$1006,0)), HYPERLINK("#",""), HYPERLINK(CONCATENATE("#Metadata!", ADDRESS(INDEX($W$2:$W$1001,MATCH(ROWS($U$2:U354),$U$2:$U$1001,0),0), INDEX($AB$1004:$AQ$1004,1,MATCH(COLUMNS($AB$1006:AF1006),$AB$1006:$AQ$1006,0)))),"Fix")))</f>
        <v>0</v>
      </c>
      <c r="G354" s="5">
        <f>IF(OR(INDEX($V$2:$V$1001,MATCH(ROWS($U$2:U354),$U$2:$U$1001,0),1)&gt;=100000,INDEX($AB$1005:$AQ$1005,1,MATCH(COLUMNS($AB$1006:AG1006),$AB$1006:$AQ$1006,0))&gt;=100000), " ",IF(INDEX($AB$2:$AQ$1001,MATCH(ROWS($U$2:U354),$U$2:$U$1001,0),MATCH(COLUMNS($AB$1006:AG1006),$AB$1006:$AQ$1006,0)), HYPERLINK("#",""), HYPERLINK(CONCATENATE("#Metadata!", ADDRESS(INDEX($W$2:$W$1001,MATCH(ROWS($U$2:U354),$U$2:$U$1001,0),0), INDEX($AB$1004:$AQ$1004,1,MATCH(COLUMNS($AB$1006:AG1006),$AB$1006:$AQ$1006,0)))),"Fix")))</f>
        <v>0</v>
      </c>
      <c r="H354" s="5">
        <f>IF(OR(INDEX($V$2:$V$1001,MATCH(ROWS($U$2:U354),$U$2:$U$1001,0),1)&gt;=100000,INDEX($AB$1005:$AQ$1005,1,MATCH(COLUMNS($AB$1006:AH1006),$AB$1006:$AQ$1006,0))&gt;=100000), " ",IF(INDEX($AB$2:$AQ$1001,MATCH(ROWS($U$2:U354),$U$2:$U$1001,0),MATCH(COLUMNS($AB$1006:AH1006),$AB$1006:$AQ$1006,0)), HYPERLINK("#",""), HYPERLINK(CONCATENATE("#Metadata!", ADDRESS(INDEX($W$2:$W$1001,MATCH(ROWS($U$2:U354),$U$2:$U$1001,0),0), INDEX($AB$1004:$AQ$1004,1,MATCH(COLUMNS($AB$1006:AH1006),$AB$1006:$AQ$1006,0)))),"Fix")))</f>
        <v>0</v>
      </c>
      <c r="I354" s="5">
        <f>IF(OR(INDEX($V$2:$V$1001,MATCH(ROWS($U$2:U354),$U$2:$U$1001,0),1)&gt;=100000,INDEX($AB$1005:$AQ$1005,1,MATCH(COLUMNS($AB$1006:AI1006),$AB$1006:$AQ$1006,0))&gt;=100000), " ",IF(INDEX($AB$2:$AQ$1001,MATCH(ROWS($U$2:U354),$U$2:$U$1001,0),MATCH(COLUMNS($AB$1006:AI1006),$AB$1006:$AQ$1006,0)), HYPERLINK("#",""), HYPERLINK(CONCATENATE("#Metadata!", ADDRESS(INDEX($W$2:$W$1001,MATCH(ROWS($U$2:U354),$U$2:$U$1001,0),0), INDEX($AB$1004:$AQ$1004,1,MATCH(COLUMNS($AB$1006:AI1006),$AB$1006:$AQ$1006,0)))),"Fix")))</f>
        <v>0</v>
      </c>
      <c r="J354" s="5">
        <f>IF(OR(INDEX($V$2:$V$1001,MATCH(ROWS($U$2:U354),$U$2:$U$1001,0),1)&gt;=100000,INDEX($AB$1005:$AQ$1005,1,MATCH(COLUMNS($AB$1006:AJ1006),$AB$1006:$AQ$1006,0))&gt;=100000), " ",IF(INDEX($AB$2:$AQ$1001,MATCH(ROWS($U$2:U354),$U$2:$U$1001,0),MATCH(COLUMNS($AB$1006:AJ1006),$AB$1006:$AQ$1006,0)), HYPERLINK("#",""), HYPERLINK(CONCATENATE("#Metadata!", ADDRESS(INDEX($W$2:$W$1001,MATCH(ROWS($U$2:U354),$U$2:$U$1001,0),0), INDEX($AB$1004:$AQ$1004,1,MATCH(COLUMNS($AB$1006:AJ1006),$AB$1006:$AQ$1006,0)))),"Fix")))</f>
        <v>0</v>
      </c>
      <c r="K354" s="5">
        <f>IF(OR(INDEX($V$2:$V$1001,MATCH(ROWS($U$2:U354),$U$2:$U$1001,0),1)&gt;=100000,INDEX($AB$1005:$AQ$1005,1,MATCH(COLUMNS($AB$1006:AK1006),$AB$1006:$AQ$1006,0))&gt;=100000), " ",IF(INDEX($AB$2:$AQ$1001,MATCH(ROWS($U$2:U354),$U$2:$U$1001,0),MATCH(COLUMNS($AB$1006:AK1006),$AB$1006:$AQ$1006,0)), HYPERLINK("#",""), HYPERLINK(CONCATENATE("#Metadata!", ADDRESS(INDEX($W$2:$W$1001,MATCH(ROWS($U$2:U354),$U$2:$U$1001,0),0), INDEX($AB$1004:$AQ$1004,1,MATCH(COLUMNS($AB$1006:AK1006),$AB$1006:$AQ$1006,0)))),"Fix")))</f>
        <v>0</v>
      </c>
      <c r="L354" s="5">
        <f>IF(OR(INDEX($V$2:$V$1001,MATCH(ROWS($U$2:U354),$U$2:$U$1001,0),1)&gt;=100000,INDEX($AB$1005:$AQ$1005,1,MATCH(COLUMNS($AB$1006:AL1006),$AB$1006:$AQ$1006,0))&gt;=100000), " ",IF(INDEX($AB$2:$AQ$1001,MATCH(ROWS($U$2:U354),$U$2:$U$1001,0),MATCH(COLUMNS($AB$1006:AL1006),$AB$1006:$AQ$1006,0)), HYPERLINK("#",""), HYPERLINK(CONCATENATE("#Metadata!", ADDRESS(INDEX($W$2:$W$1001,MATCH(ROWS($U$2:U354),$U$2:$U$1001,0),0), INDEX($AB$1004:$AQ$1004,1,MATCH(COLUMNS($AB$1006:AL1006),$AB$1006:$AQ$1006,0)))),"Fix")))</f>
        <v>0</v>
      </c>
      <c r="M354" s="5">
        <f>IF(OR(INDEX($V$2:$V$1001,MATCH(ROWS($U$2:U354),$U$2:$U$1001,0),1)&gt;=100000,INDEX($AB$1005:$AQ$1005,1,MATCH(COLUMNS($AB$1006:AM1006),$AB$1006:$AQ$1006,0))&gt;=100000), " ",IF(INDEX($AB$2:$AQ$1001,MATCH(ROWS($U$2:U354),$U$2:$U$1001,0),MATCH(COLUMNS($AB$1006:AM1006),$AB$1006:$AQ$1006,0)), HYPERLINK("#",""), HYPERLINK(CONCATENATE("#Metadata!", ADDRESS(INDEX($W$2:$W$1001,MATCH(ROWS($U$2:U354),$U$2:$U$1001,0),0), INDEX($AB$1004:$AQ$1004,1,MATCH(COLUMNS($AB$1006:AM1006),$AB$1006:$AQ$1006,0)))),"Fix")))</f>
        <v>0</v>
      </c>
      <c r="N354" s="5">
        <f>IF(OR(INDEX($V$2:$V$1001,MATCH(ROWS($U$2:U354),$U$2:$U$1001,0),1)&gt;=100000,INDEX($AB$1005:$AQ$1005,1,MATCH(COLUMNS($AB$1006:AN1006),$AB$1006:$AQ$1006,0))&gt;=100000), " ",IF(INDEX($AB$2:$AQ$1001,MATCH(ROWS($U$2:U354),$U$2:$U$1001,0),MATCH(COLUMNS($AB$1006:AN1006),$AB$1006:$AQ$1006,0)), HYPERLINK("#",""), HYPERLINK(CONCATENATE("#Metadata!", ADDRESS(INDEX($W$2:$W$1001,MATCH(ROWS($U$2:U354),$U$2:$U$1001,0),0), INDEX($AB$1004:$AQ$1004,1,MATCH(COLUMNS($AB$1006:AN1006),$AB$1006:$AQ$1006,0)))),"Fix")))</f>
        <v>0</v>
      </c>
      <c r="O354" s="5">
        <f>IF(OR(INDEX($V$2:$V$1001,MATCH(ROWS($U$2:U354),$U$2:$U$1001,0),1)&gt;=100000,INDEX($AB$1005:$AQ$1005,1,MATCH(COLUMNS($AB$1006:AO1006),$AB$1006:$AQ$1006,0))&gt;=100000), " ",IF(INDEX($AB$2:$AQ$1001,MATCH(ROWS($U$2:U354),$U$2:$U$1001,0),MATCH(COLUMNS($AB$1006:AO1006),$AB$1006:$AQ$1006,0)), HYPERLINK("#",""), HYPERLINK(CONCATENATE("#Metadata!", ADDRESS(INDEX($W$2:$W$1001,MATCH(ROWS($U$2:U354),$U$2:$U$1001,0),0), INDEX($AB$1004:$AQ$1004,1,MATCH(COLUMNS($AB$1006:AO1006),$AB$1006:$AQ$1006,0)))),"Fix")))</f>
        <v>0</v>
      </c>
      <c r="P354" s="5">
        <f>IF(OR(INDEX($V$2:$V$1001,MATCH(ROWS($U$2:U354),$U$2:$U$1001,0),1)&gt;=100000,INDEX($AB$1005:$AQ$1005,1,MATCH(COLUMNS($AB$1006:AP1006),$AB$1006:$AQ$1006,0))&gt;=100000), " ",IF(INDEX($AB$2:$AQ$1001,MATCH(ROWS($U$2:U354),$U$2:$U$1001,0),MATCH(COLUMNS($AB$1006:AP1006),$AB$1006:$AQ$1006,0)), HYPERLINK("#",""), HYPERLINK(CONCATENATE("#Metadata!", ADDRESS(INDEX($W$2:$W$1001,MATCH(ROWS($U$2:U354),$U$2:$U$1001,0),0), INDEX($AB$1004:$AQ$1004,1,MATCH(COLUMNS($AB$1006:AP1006),$AB$1006:$AQ$1006,0)))),"Fix")))</f>
        <v>0</v>
      </c>
      <c r="Q354" s="5">
        <f>IF(OR(INDEX($V$2:$V$1001,MATCH(ROWS($U$2:U354),$U$2:$U$1001,0),1)&gt;=100000,INDEX($AB$1005:$AQ$1005,1,MATCH(COLUMNS($AB$1006:AQ1006),$AB$1006:$AQ$1006,0))&gt;=100000), " ",IF(INDEX($AB$2:$AQ$1001,MATCH(ROWS($U$2:U354),$U$2:$U$1001,0),MATCH(COLUMNS($AB$1006:AQ1006),$AB$1006:$AQ$1006,0)), HYPERLINK("#",""), HYPERLINK(CONCATENATE("#Metadata!", ADDRESS(INDEX($W$2:$W$1001,MATCH(ROWS($U$2:U354),$U$2:$U$1001,0),0), INDEX($AB$1004:$AQ$1004,1,MATCH(COLUMNS($AB$1006:AQ1006),$AB$1006:$AQ$1006,0)))),"Fix")))</f>
        <v>0</v>
      </c>
      <c r="U354">
        <v>0</v>
      </c>
      <c r="V354">
        <v>0</v>
      </c>
      <c r="W354">
        <v>0</v>
      </c>
      <c r="X354">
        <f>IF(Y354,TRUE,AND(AB354:AQ354))</f>
        <v>0</v>
      </c>
      <c r="Y354">
        <f>COUNTBLANK(Metadata!B354:Q354)=COLUMNS(Metadata!B354:Q354)</f>
        <v>0</v>
      </c>
      <c r="Z354">
        <v>0</v>
      </c>
      <c r="AB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AC354">
        <f>AND(IF(Metadata!C354="",FALSE,TRUE),exact(Metadata!C354,"urban biome"))</f>
        <v>0</v>
      </c>
      <c r="AD354">
        <f>AND(IF(Metadata!D354="",FALSE,TRUE),exact(Metadata!D354,"human-associated habitat"))</f>
        <v>0</v>
      </c>
      <c r="AE354">
        <f>AND(IF(Metadata!E354="",FALSE,TRUE),OR(exact(Metadata!E354,"human-associated"),exact(Metadata!E354,"human-skin"),exact(Metadata!E354,"human-oral"),exact(Metadata!E354,"human-gut"),exact(Metadata!E354,"human-vaginal")))</f>
        <v>0</v>
      </c>
      <c r="AF354">
        <f>AND(IF(Metadata!F354="",FALSE,ISNUMBER(VALUE(Metadata!F354))),Metadata!F354&gt;0)</f>
        <v>0</v>
      </c>
      <c r="AG354">
        <f>AND(IF(Metadata!G354="",FALSE,TRUE),exact(Metadata!G354,"years"))</f>
        <v>0</v>
      </c>
      <c r="AH354">
        <f>OR(AND(IF(Metadata!H354="",FALSE,TRUE),OR(exact(Metadata!H354,"not applicable"),exact(Metadata!H354,"not collected"),exact(Metadata!H354,"not provided"),exact(Metadata!H354,"restricted access"))),AND(IF(Metadata!H354="",FALSE,ISNUMBER(VALUE(Metadata!H354))),Metadata!H354&gt;0))</f>
        <v>0</v>
      </c>
      <c r="AI354">
        <f>AND(IF(Metadata!I354="",FALSE,TRUE),exact(Metadata!I354,"human"))</f>
        <v>0</v>
      </c>
      <c r="AJ354">
        <f>AND(IF(Metadata!J354="",FALSE,ISNUMBER(VALUE(Metadata!J354))),Metadata!J354&gt;0)</f>
        <v>0</v>
      </c>
      <c r="AK354">
        <f>AND(IF(Metadata!K354="",FALSE,TRUE),exact(Metadata!K354,"cm"))</f>
        <v>0</v>
      </c>
      <c r="AL354">
        <f>AND(IF(Metadata!L354="",FALSE,TRUE),exact(Metadata!L354,"Homo sapiens"))</f>
        <v>0</v>
      </c>
      <c r="AM354">
        <f>AND(IF(Metadata!M354="",FALSE,TRUE),exact(Metadata!M354,"9606"))</f>
        <v>0</v>
      </c>
      <c r="AN354">
        <f>AND(IF(Metadata!N354="",FALSE,ISNUMBER(VALUE(Metadata!N354))),Metadata!N354&gt;0)</f>
        <v>0</v>
      </c>
      <c r="AO354">
        <f>AND(IF(Metadata!O354="",FALSE,TRUE),exact(Metadata!O354,"kg"))</f>
        <v>0</v>
      </c>
      <c r="AP354">
        <f>OR(AND(IF(Metadata!P354="",FALSE,TRUE),exact(Metadata!P354,"not provided")),IF(Metadata!P354="",FALSE,TRUE))</f>
        <v>0</v>
      </c>
      <c r="AQ354">
        <f>OR(AND(IF(Metadata!Q354="",FALSE,TRUE),exact(Metadata!Q354,"not provided")),IF(Metadata!Q354="",FALSE,TRUE))</f>
        <v>0</v>
      </c>
    </row>
    <row r="355" spans="1:43">
      <c r="A355" s="4">
        <f>IF(B355=" "," ",HYPERLINK(CONCATENATE("#metadata!",ADDRESS(INDEX($W$2:$W$1001,MATCH(ROWS($U$2:U355),$U$2:$U$1001,0),0),2)),INDEX($Z$2:$Z$1001,MATCH(ROWS($U$2:U355),$U$2:$U$1001,0),0)))</f>
        <v>0</v>
      </c>
      <c r="B355" s="5">
        <f>IF(OR(INDEX($V$2:$V$1001,MATCH(ROWS($U$2:U355),$U$2:$U$1001,0),1)&gt;=100000,INDEX($AB$1005:$AQ$1005,1,MATCH(COLUMNS($AB$1006:AB1006),$AB$1006:$AQ$1006,0))&gt;=100000), " ",IF(INDEX($AB$2:$AQ$1001,MATCH(ROWS($U$2:U355),$U$2:$U$1001,0),MATCH(COLUMNS($AB$1006:AB1006),$AB$1006:$AQ$1006,0)), HYPERLINK("#",""), HYPERLINK(CONCATENATE("#Metadata!", ADDRESS(INDEX($W$2:$W$1001,MATCH(ROWS($U$2:U355),$U$2:$U$1001,0),0), INDEX($AB$1004:$AQ$1004,1,MATCH(COLUMNS($AB$1006:AB1006),$AB$1006:$AQ$1006,0)))),"Fix")))</f>
        <v>0</v>
      </c>
      <c r="C355" s="5">
        <f>IF(OR(INDEX($V$2:$V$1001,MATCH(ROWS($U$2:U355),$U$2:$U$1001,0),1)&gt;=100000,INDEX($AB$1005:$AQ$1005,1,MATCH(COLUMNS($AB$1006:AC1006),$AB$1006:$AQ$1006,0))&gt;=100000), " ",IF(INDEX($AB$2:$AQ$1001,MATCH(ROWS($U$2:U355),$U$2:$U$1001,0),MATCH(COLUMNS($AB$1006:AC1006),$AB$1006:$AQ$1006,0)), HYPERLINK("#",""), HYPERLINK(CONCATENATE("#Metadata!", ADDRESS(INDEX($W$2:$W$1001,MATCH(ROWS($U$2:U355),$U$2:$U$1001,0),0), INDEX($AB$1004:$AQ$1004,1,MATCH(COLUMNS($AB$1006:AC1006),$AB$1006:$AQ$1006,0)))),"Fix")))</f>
        <v>0</v>
      </c>
      <c r="D355" s="5">
        <f>IF(OR(INDEX($V$2:$V$1001,MATCH(ROWS($U$2:U355),$U$2:$U$1001,0),1)&gt;=100000,INDEX($AB$1005:$AQ$1005,1,MATCH(COLUMNS($AB$1006:AD1006),$AB$1006:$AQ$1006,0))&gt;=100000), " ",IF(INDEX($AB$2:$AQ$1001,MATCH(ROWS($U$2:U355),$U$2:$U$1001,0),MATCH(COLUMNS($AB$1006:AD1006),$AB$1006:$AQ$1006,0)), HYPERLINK("#",""), HYPERLINK(CONCATENATE("#Metadata!", ADDRESS(INDEX($W$2:$W$1001,MATCH(ROWS($U$2:U355),$U$2:$U$1001,0),0), INDEX($AB$1004:$AQ$1004,1,MATCH(COLUMNS($AB$1006:AD1006),$AB$1006:$AQ$1006,0)))),"Fix")))</f>
        <v>0</v>
      </c>
      <c r="E355" s="5">
        <f>IF(OR(INDEX($V$2:$V$1001,MATCH(ROWS($U$2:U355),$U$2:$U$1001,0),1)&gt;=100000,INDEX($AB$1005:$AQ$1005,1,MATCH(COLUMNS($AB$1006:AE1006),$AB$1006:$AQ$1006,0))&gt;=100000), " ",IF(INDEX($AB$2:$AQ$1001,MATCH(ROWS($U$2:U355),$U$2:$U$1001,0),MATCH(COLUMNS($AB$1006:AE1006),$AB$1006:$AQ$1006,0)), HYPERLINK("#",""), HYPERLINK(CONCATENATE("#Metadata!", ADDRESS(INDEX($W$2:$W$1001,MATCH(ROWS($U$2:U355),$U$2:$U$1001,0),0), INDEX($AB$1004:$AQ$1004,1,MATCH(COLUMNS($AB$1006:AE1006),$AB$1006:$AQ$1006,0)))),"Fix")))</f>
        <v>0</v>
      </c>
      <c r="F355" s="5">
        <f>IF(OR(INDEX($V$2:$V$1001,MATCH(ROWS($U$2:U355),$U$2:$U$1001,0),1)&gt;=100000,INDEX($AB$1005:$AQ$1005,1,MATCH(COLUMNS($AB$1006:AF1006),$AB$1006:$AQ$1006,0))&gt;=100000), " ",IF(INDEX($AB$2:$AQ$1001,MATCH(ROWS($U$2:U355),$U$2:$U$1001,0),MATCH(COLUMNS($AB$1006:AF1006),$AB$1006:$AQ$1006,0)), HYPERLINK("#",""), HYPERLINK(CONCATENATE("#Metadata!", ADDRESS(INDEX($W$2:$W$1001,MATCH(ROWS($U$2:U355),$U$2:$U$1001,0),0), INDEX($AB$1004:$AQ$1004,1,MATCH(COLUMNS($AB$1006:AF1006),$AB$1006:$AQ$1006,0)))),"Fix")))</f>
        <v>0</v>
      </c>
      <c r="G355" s="5">
        <f>IF(OR(INDEX($V$2:$V$1001,MATCH(ROWS($U$2:U355),$U$2:$U$1001,0),1)&gt;=100000,INDEX($AB$1005:$AQ$1005,1,MATCH(COLUMNS($AB$1006:AG1006),$AB$1006:$AQ$1006,0))&gt;=100000), " ",IF(INDEX($AB$2:$AQ$1001,MATCH(ROWS($U$2:U355),$U$2:$U$1001,0),MATCH(COLUMNS($AB$1006:AG1006),$AB$1006:$AQ$1006,0)), HYPERLINK("#",""), HYPERLINK(CONCATENATE("#Metadata!", ADDRESS(INDEX($W$2:$W$1001,MATCH(ROWS($U$2:U355),$U$2:$U$1001,0),0), INDEX($AB$1004:$AQ$1004,1,MATCH(COLUMNS($AB$1006:AG1006),$AB$1006:$AQ$1006,0)))),"Fix")))</f>
        <v>0</v>
      </c>
      <c r="H355" s="5">
        <f>IF(OR(INDEX($V$2:$V$1001,MATCH(ROWS($U$2:U355),$U$2:$U$1001,0),1)&gt;=100000,INDEX($AB$1005:$AQ$1005,1,MATCH(COLUMNS($AB$1006:AH1006),$AB$1006:$AQ$1006,0))&gt;=100000), " ",IF(INDEX($AB$2:$AQ$1001,MATCH(ROWS($U$2:U355),$U$2:$U$1001,0),MATCH(COLUMNS($AB$1006:AH1006),$AB$1006:$AQ$1006,0)), HYPERLINK("#",""), HYPERLINK(CONCATENATE("#Metadata!", ADDRESS(INDEX($W$2:$W$1001,MATCH(ROWS($U$2:U355),$U$2:$U$1001,0),0), INDEX($AB$1004:$AQ$1004,1,MATCH(COLUMNS($AB$1006:AH1006),$AB$1006:$AQ$1006,0)))),"Fix")))</f>
        <v>0</v>
      </c>
      <c r="I355" s="5">
        <f>IF(OR(INDEX($V$2:$V$1001,MATCH(ROWS($U$2:U355),$U$2:$U$1001,0),1)&gt;=100000,INDEX($AB$1005:$AQ$1005,1,MATCH(COLUMNS($AB$1006:AI1006),$AB$1006:$AQ$1006,0))&gt;=100000), " ",IF(INDEX($AB$2:$AQ$1001,MATCH(ROWS($U$2:U355),$U$2:$U$1001,0),MATCH(COLUMNS($AB$1006:AI1006),$AB$1006:$AQ$1006,0)), HYPERLINK("#",""), HYPERLINK(CONCATENATE("#Metadata!", ADDRESS(INDEX($W$2:$W$1001,MATCH(ROWS($U$2:U355),$U$2:$U$1001,0),0), INDEX($AB$1004:$AQ$1004,1,MATCH(COLUMNS($AB$1006:AI1006),$AB$1006:$AQ$1006,0)))),"Fix")))</f>
        <v>0</v>
      </c>
      <c r="J355" s="5">
        <f>IF(OR(INDEX($V$2:$V$1001,MATCH(ROWS($U$2:U355),$U$2:$U$1001,0),1)&gt;=100000,INDEX($AB$1005:$AQ$1005,1,MATCH(COLUMNS($AB$1006:AJ1006),$AB$1006:$AQ$1006,0))&gt;=100000), " ",IF(INDEX($AB$2:$AQ$1001,MATCH(ROWS($U$2:U355),$U$2:$U$1001,0),MATCH(COLUMNS($AB$1006:AJ1006),$AB$1006:$AQ$1006,0)), HYPERLINK("#",""), HYPERLINK(CONCATENATE("#Metadata!", ADDRESS(INDEX($W$2:$W$1001,MATCH(ROWS($U$2:U355),$U$2:$U$1001,0),0), INDEX($AB$1004:$AQ$1004,1,MATCH(COLUMNS($AB$1006:AJ1006),$AB$1006:$AQ$1006,0)))),"Fix")))</f>
        <v>0</v>
      </c>
      <c r="K355" s="5">
        <f>IF(OR(INDEX($V$2:$V$1001,MATCH(ROWS($U$2:U355),$U$2:$U$1001,0),1)&gt;=100000,INDEX($AB$1005:$AQ$1005,1,MATCH(COLUMNS($AB$1006:AK1006),$AB$1006:$AQ$1006,0))&gt;=100000), " ",IF(INDEX($AB$2:$AQ$1001,MATCH(ROWS($U$2:U355),$U$2:$U$1001,0),MATCH(COLUMNS($AB$1006:AK1006),$AB$1006:$AQ$1006,0)), HYPERLINK("#",""), HYPERLINK(CONCATENATE("#Metadata!", ADDRESS(INDEX($W$2:$W$1001,MATCH(ROWS($U$2:U355),$U$2:$U$1001,0),0), INDEX($AB$1004:$AQ$1004,1,MATCH(COLUMNS($AB$1006:AK1006),$AB$1006:$AQ$1006,0)))),"Fix")))</f>
        <v>0</v>
      </c>
      <c r="L355" s="5">
        <f>IF(OR(INDEX($V$2:$V$1001,MATCH(ROWS($U$2:U355),$U$2:$U$1001,0),1)&gt;=100000,INDEX($AB$1005:$AQ$1005,1,MATCH(COLUMNS($AB$1006:AL1006),$AB$1006:$AQ$1006,0))&gt;=100000), " ",IF(INDEX($AB$2:$AQ$1001,MATCH(ROWS($U$2:U355),$U$2:$U$1001,0),MATCH(COLUMNS($AB$1006:AL1006),$AB$1006:$AQ$1006,0)), HYPERLINK("#",""), HYPERLINK(CONCATENATE("#Metadata!", ADDRESS(INDEX($W$2:$W$1001,MATCH(ROWS($U$2:U355),$U$2:$U$1001,0),0), INDEX($AB$1004:$AQ$1004,1,MATCH(COLUMNS($AB$1006:AL1006),$AB$1006:$AQ$1006,0)))),"Fix")))</f>
        <v>0</v>
      </c>
      <c r="M355" s="5">
        <f>IF(OR(INDEX($V$2:$V$1001,MATCH(ROWS($U$2:U355),$U$2:$U$1001,0),1)&gt;=100000,INDEX($AB$1005:$AQ$1005,1,MATCH(COLUMNS($AB$1006:AM1006),$AB$1006:$AQ$1006,0))&gt;=100000), " ",IF(INDEX($AB$2:$AQ$1001,MATCH(ROWS($U$2:U355),$U$2:$U$1001,0),MATCH(COLUMNS($AB$1006:AM1006),$AB$1006:$AQ$1006,0)), HYPERLINK("#",""), HYPERLINK(CONCATENATE("#Metadata!", ADDRESS(INDEX($W$2:$W$1001,MATCH(ROWS($U$2:U355),$U$2:$U$1001,0),0), INDEX($AB$1004:$AQ$1004,1,MATCH(COLUMNS($AB$1006:AM1006),$AB$1006:$AQ$1006,0)))),"Fix")))</f>
        <v>0</v>
      </c>
      <c r="N355" s="5">
        <f>IF(OR(INDEX($V$2:$V$1001,MATCH(ROWS($U$2:U355),$U$2:$U$1001,0),1)&gt;=100000,INDEX($AB$1005:$AQ$1005,1,MATCH(COLUMNS($AB$1006:AN1006),$AB$1006:$AQ$1006,0))&gt;=100000), " ",IF(INDEX($AB$2:$AQ$1001,MATCH(ROWS($U$2:U355),$U$2:$U$1001,0),MATCH(COLUMNS($AB$1006:AN1006),$AB$1006:$AQ$1006,0)), HYPERLINK("#",""), HYPERLINK(CONCATENATE("#Metadata!", ADDRESS(INDEX($W$2:$W$1001,MATCH(ROWS($U$2:U355),$U$2:$U$1001,0),0), INDEX($AB$1004:$AQ$1004,1,MATCH(COLUMNS($AB$1006:AN1006),$AB$1006:$AQ$1006,0)))),"Fix")))</f>
        <v>0</v>
      </c>
      <c r="O355" s="5">
        <f>IF(OR(INDEX($V$2:$V$1001,MATCH(ROWS($U$2:U355),$U$2:$U$1001,0),1)&gt;=100000,INDEX($AB$1005:$AQ$1005,1,MATCH(COLUMNS($AB$1006:AO1006),$AB$1006:$AQ$1006,0))&gt;=100000), " ",IF(INDEX($AB$2:$AQ$1001,MATCH(ROWS($U$2:U355),$U$2:$U$1001,0),MATCH(COLUMNS($AB$1006:AO1006),$AB$1006:$AQ$1006,0)), HYPERLINK("#",""), HYPERLINK(CONCATENATE("#Metadata!", ADDRESS(INDEX($W$2:$W$1001,MATCH(ROWS($U$2:U355),$U$2:$U$1001,0),0), INDEX($AB$1004:$AQ$1004,1,MATCH(COLUMNS($AB$1006:AO1006),$AB$1006:$AQ$1006,0)))),"Fix")))</f>
        <v>0</v>
      </c>
      <c r="P355" s="5">
        <f>IF(OR(INDEX($V$2:$V$1001,MATCH(ROWS($U$2:U355),$U$2:$U$1001,0),1)&gt;=100000,INDEX($AB$1005:$AQ$1005,1,MATCH(COLUMNS($AB$1006:AP1006),$AB$1006:$AQ$1006,0))&gt;=100000), " ",IF(INDEX($AB$2:$AQ$1001,MATCH(ROWS($U$2:U355),$U$2:$U$1001,0),MATCH(COLUMNS($AB$1006:AP1006),$AB$1006:$AQ$1006,0)), HYPERLINK("#",""), HYPERLINK(CONCATENATE("#Metadata!", ADDRESS(INDEX($W$2:$W$1001,MATCH(ROWS($U$2:U355),$U$2:$U$1001,0),0), INDEX($AB$1004:$AQ$1004,1,MATCH(COLUMNS($AB$1006:AP1006),$AB$1006:$AQ$1006,0)))),"Fix")))</f>
        <v>0</v>
      </c>
      <c r="Q355" s="5">
        <f>IF(OR(INDEX($V$2:$V$1001,MATCH(ROWS($U$2:U355),$U$2:$U$1001,0),1)&gt;=100000,INDEX($AB$1005:$AQ$1005,1,MATCH(COLUMNS($AB$1006:AQ1006),$AB$1006:$AQ$1006,0))&gt;=100000), " ",IF(INDEX($AB$2:$AQ$1001,MATCH(ROWS($U$2:U355),$U$2:$U$1001,0),MATCH(COLUMNS($AB$1006:AQ1006),$AB$1006:$AQ$1006,0)), HYPERLINK("#",""), HYPERLINK(CONCATENATE("#Metadata!", ADDRESS(INDEX($W$2:$W$1001,MATCH(ROWS($U$2:U355),$U$2:$U$1001,0),0), INDEX($AB$1004:$AQ$1004,1,MATCH(COLUMNS($AB$1006:AQ1006),$AB$1006:$AQ$1006,0)))),"Fix")))</f>
        <v>0</v>
      </c>
      <c r="U355">
        <v>0</v>
      </c>
      <c r="V355">
        <v>0</v>
      </c>
      <c r="W355">
        <v>0</v>
      </c>
      <c r="X355">
        <f>IF(Y355,TRUE,AND(AB355:AQ355))</f>
        <v>0</v>
      </c>
      <c r="Y355">
        <f>COUNTBLANK(Metadata!B355:Q355)=COLUMNS(Metadata!B355:Q355)</f>
        <v>0</v>
      </c>
      <c r="Z355">
        <v>0</v>
      </c>
      <c r="AB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AC355">
        <f>AND(IF(Metadata!C355="",FALSE,TRUE),exact(Metadata!C355,"urban biome"))</f>
        <v>0</v>
      </c>
      <c r="AD355">
        <f>AND(IF(Metadata!D355="",FALSE,TRUE),exact(Metadata!D355,"human-associated habitat"))</f>
        <v>0</v>
      </c>
      <c r="AE355">
        <f>AND(IF(Metadata!E355="",FALSE,TRUE),OR(exact(Metadata!E355,"human-associated"),exact(Metadata!E355,"human-skin"),exact(Metadata!E355,"human-oral"),exact(Metadata!E355,"human-gut"),exact(Metadata!E355,"human-vaginal")))</f>
        <v>0</v>
      </c>
      <c r="AF355">
        <f>AND(IF(Metadata!F355="",FALSE,ISNUMBER(VALUE(Metadata!F355))),Metadata!F355&gt;0)</f>
        <v>0</v>
      </c>
      <c r="AG355">
        <f>AND(IF(Metadata!G355="",FALSE,TRUE),exact(Metadata!G355,"years"))</f>
        <v>0</v>
      </c>
      <c r="AH355">
        <f>OR(AND(IF(Metadata!H355="",FALSE,TRUE),OR(exact(Metadata!H355,"not applicable"),exact(Metadata!H355,"not collected"),exact(Metadata!H355,"not provided"),exact(Metadata!H355,"restricted access"))),AND(IF(Metadata!H355="",FALSE,ISNUMBER(VALUE(Metadata!H355))),Metadata!H355&gt;0))</f>
        <v>0</v>
      </c>
      <c r="AI355">
        <f>AND(IF(Metadata!I355="",FALSE,TRUE),exact(Metadata!I355,"human"))</f>
        <v>0</v>
      </c>
      <c r="AJ355">
        <f>AND(IF(Metadata!J355="",FALSE,ISNUMBER(VALUE(Metadata!J355))),Metadata!J355&gt;0)</f>
        <v>0</v>
      </c>
      <c r="AK355">
        <f>AND(IF(Metadata!K355="",FALSE,TRUE),exact(Metadata!K355,"cm"))</f>
        <v>0</v>
      </c>
      <c r="AL355">
        <f>AND(IF(Metadata!L355="",FALSE,TRUE),exact(Metadata!L355,"Homo sapiens"))</f>
        <v>0</v>
      </c>
      <c r="AM355">
        <f>AND(IF(Metadata!M355="",FALSE,TRUE),exact(Metadata!M355,"9606"))</f>
        <v>0</v>
      </c>
      <c r="AN355">
        <f>AND(IF(Metadata!N355="",FALSE,ISNUMBER(VALUE(Metadata!N355))),Metadata!N355&gt;0)</f>
        <v>0</v>
      </c>
      <c r="AO355">
        <f>AND(IF(Metadata!O355="",FALSE,TRUE),exact(Metadata!O355,"kg"))</f>
        <v>0</v>
      </c>
      <c r="AP355">
        <f>OR(AND(IF(Metadata!P355="",FALSE,TRUE),exact(Metadata!P355,"not provided")),IF(Metadata!P355="",FALSE,TRUE))</f>
        <v>0</v>
      </c>
      <c r="AQ355">
        <f>OR(AND(IF(Metadata!Q355="",FALSE,TRUE),exact(Metadata!Q355,"not provided")),IF(Metadata!Q355="",FALSE,TRUE))</f>
        <v>0</v>
      </c>
    </row>
    <row r="356" spans="1:43">
      <c r="A356" s="4">
        <f>IF(B356=" "," ",HYPERLINK(CONCATENATE("#metadata!",ADDRESS(INDEX($W$2:$W$1001,MATCH(ROWS($U$2:U356),$U$2:$U$1001,0),0),2)),INDEX($Z$2:$Z$1001,MATCH(ROWS($U$2:U356),$U$2:$U$1001,0),0)))</f>
        <v>0</v>
      </c>
      <c r="B356" s="5">
        <f>IF(OR(INDEX($V$2:$V$1001,MATCH(ROWS($U$2:U356),$U$2:$U$1001,0),1)&gt;=100000,INDEX($AB$1005:$AQ$1005,1,MATCH(COLUMNS($AB$1006:AB1006),$AB$1006:$AQ$1006,0))&gt;=100000), " ",IF(INDEX($AB$2:$AQ$1001,MATCH(ROWS($U$2:U356),$U$2:$U$1001,0),MATCH(COLUMNS($AB$1006:AB1006),$AB$1006:$AQ$1006,0)), HYPERLINK("#",""), HYPERLINK(CONCATENATE("#Metadata!", ADDRESS(INDEX($W$2:$W$1001,MATCH(ROWS($U$2:U356),$U$2:$U$1001,0),0), INDEX($AB$1004:$AQ$1004,1,MATCH(COLUMNS($AB$1006:AB1006),$AB$1006:$AQ$1006,0)))),"Fix")))</f>
        <v>0</v>
      </c>
      <c r="C356" s="5">
        <f>IF(OR(INDEX($V$2:$V$1001,MATCH(ROWS($U$2:U356),$U$2:$U$1001,0),1)&gt;=100000,INDEX($AB$1005:$AQ$1005,1,MATCH(COLUMNS($AB$1006:AC1006),$AB$1006:$AQ$1006,0))&gt;=100000), " ",IF(INDEX($AB$2:$AQ$1001,MATCH(ROWS($U$2:U356),$U$2:$U$1001,0),MATCH(COLUMNS($AB$1006:AC1006),$AB$1006:$AQ$1006,0)), HYPERLINK("#",""), HYPERLINK(CONCATENATE("#Metadata!", ADDRESS(INDEX($W$2:$W$1001,MATCH(ROWS($U$2:U356),$U$2:$U$1001,0),0), INDEX($AB$1004:$AQ$1004,1,MATCH(COLUMNS($AB$1006:AC1006),$AB$1006:$AQ$1006,0)))),"Fix")))</f>
        <v>0</v>
      </c>
      <c r="D356" s="5">
        <f>IF(OR(INDEX($V$2:$V$1001,MATCH(ROWS($U$2:U356),$U$2:$U$1001,0),1)&gt;=100000,INDEX($AB$1005:$AQ$1005,1,MATCH(COLUMNS($AB$1006:AD1006),$AB$1006:$AQ$1006,0))&gt;=100000), " ",IF(INDEX($AB$2:$AQ$1001,MATCH(ROWS($U$2:U356),$U$2:$U$1001,0),MATCH(COLUMNS($AB$1006:AD1006),$AB$1006:$AQ$1006,0)), HYPERLINK("#",""), HYPERLINK(CONCATENATE("#Metadata!", ADDRESS(INDEX($W$2:$W$1001,MATCH(ROWS($U$2:U356),$U$2:$U$1001,0),0), INDEX($AB$1004:$AQ$1004,1,MATCH(COLUMNS($AB$1006:AD1006),$AB$1006:$AQ$1006,0)))),"Fix")))</f>
        <v>0</v>
      </c>
      <c r="E356" s="5">
        <f>IF(OR(INDEX($V$2:$V$1001,MATCH(ROWS($U$2:U356),$U$2:$U$1001,0),1)&gt;=100000,INDEX($AB$1005:$AQ$1005,1,MATCH(COLUMNS($AB$1006:AE1006),$AB$1006:$AQ$1006,0))&gt;=100000), " ",IF(INDEX($AB$2:$AQ$1001,MATCH(ROWS($U$2:U356),$U$2:$U$1001,0),MATCH(COLUMNS($AB$1006:AE1006),$AB$1006:$AQ$1006,0)), HYPERLINK("#",""), HYPERLINK(CONCATENATE("#Metadata!", ADDRESS(INDEX($W$2:$W$1001,MATCH(ROWS($U$2:U356),$U$2:$U$1001,0),0), INDEX($AB$1004:$AQ$1004,1,MATCH(COLUMNS($AB$1006:AE1006),$AB$1006:$AQ$1006,0)))),"Fix")))</f>
        <v>0</v>
      </c>
      <c r="F356" s="5">
        <f>IF(OR(INDEX($V$2:$V$1001,MATCH(ROWS($U$2:U356),$U$2:$U$1001,0),1)&gt;=100000,INDEX($AB$1005:$AQ$1005,1,MATCH(COLUMNS($AB$1006:AF1006),$AB$1006:$AQ$1006,0))&gt;=100000), " ",IF(INDEX($AB$2:$AQ$1001,MATCH(ROWS($U$2:U356),$U$2:$U$1001,0),MATCH(COLUMNS($AB$1006:AF1006),$AB$1006:$AQ$1006,0)), HYPERLINK("#",""), HYPERLINK(CONCATENATE("#Metadata!", ADDRESS(INDEX($W$2:$W$1001,MATCH(ROWS($U$2:U356),$U$2:$U$1001,0),0), INDEX($AB$1004:$AQ$1004,1,MATCH(COLUMNS($AB$1006:AF1006),$AB$1006:$AQ$1006,0)))),"Fix")))</f>
        <v>0</v>
      </c>
      <c r="G356" s="5">
        <f>IF(OR(INDEX($V$2:$V$1001,MATCH(ROWS($U$2:U356),$U$2:$U$1001,0),1)&gt;=100000,INDEX($AB$1005:$AQ$1005,1,MATCH(COLUMNS($AB$1006:AG1006),$AB$1006:$AQ$1006,0))&gt;=100000), " ",IF(INDEX($AB$2:$AQ$1001,MATCH(ROWS($U$2:U356),$U$2:$U$1001,0),MATCH(COLUMNS($AB$1006:AG1006),$AB$1006:$AQ$1006,0)), HYPERLINK("#",""), HYPERLINK(CONCATENATE("#Metadata!", ADDRESS(INDEX($W$2:$W$1001,MATCH(ROWS($U$2:U356),$U$2:$U$1001,0),0), INDEX($AB$1004:$AQ$1004,1,MATCH(COLUMNS($AB$1006:AG1006),$AB$1006:$AQ$1006,0)))),"Fix")))</f>
        <v>0</v>
      </c>
      <c r="H356" s="5">
        <f>IF(OR(INDEX($V$2:$V$1001,MATCH(ROWS($U$2:U356),$U$2:$U$1001,0),1)&gt;=100000,INDEX($AB$1005:$AQ$1005,1,MATCH(COLUMNS($AB$1006:AH1006),$AB$1006:$AQ$1006,0))&gt;=100000), " ",IF(INDEX($AB$2:$AQ$1001,MATCH(ROWS($U$2:U356),$U$2:$U$1001,0),MATCH(COLUMNS($AB$1006:AH1006),$AB$1006:$AQ$1006,0)), HYPERLINK("#",""), HYPERLINK(CONCATENATE("#Metadata!", ADDRESS(INDEX($W$2:$W$1001,MATCH(ROWS($U$2:U356),$U$2:$U$1001,0),0), INDEX($AB$1004:$AQ$1004,1,MATCH(COLUMNS($AB$1006:AH1006),$AB$1006:$AQ$1006,0)))),"Fix")))</f>
        <v>0</v>
      </c>
      <c r="I356" s="5">
        <f>IF(OR(INDEX($V$2:$V$1001,MATCH(ROWS($U$2:U356),$U$2:$U$1001,0),1)&gt;=100000,INDEX($AB$1005:$AQ$1005,1,MATCH(COLUMNS($AB$1006:AI1006),$AB$1006:$AQ$1006,0))&gt;=100000), " ",IF(INDEX($AB$2:$AQ$1001,MATCH(ROWS($U$2:U356),$U$2:$U$1001,0),MATCH(COLUMNS($AB$1006:AI1006),$AB$1006:$AQ$1006,0)), HYPERLINK("#",""), HYPERLINK(CONCATENATE("#Metadata!", ADDRESS(INDEX($W$2:$W$1001,MATCH(ROWS($U$2:U356),$U$2:$U$1001,0),0), INDEX($AB$1004:$AQ$1004,1,MATCH(COLUMNS($AB$1006:AI1006),$AB$1006:$AQ$1006,0)))),"Fix")))</f>
        <v>0</v>
      </c>
      <c r="J356" s="5">
        <f>IF(OR(INDEX($V$2:$V$1001,MATCH(ROWS($U$2:U356),$U$2:$U$1001,0),1)&gt;=100000,INDEX($AB$1005:$AQ$1005,1,MATCH(COLUMNS($AB$1006:AJ1006),$AB$1006:$AQ$1006,0))&gt;=100000), " ",IF(INDEX($AB$2:$AQ$1001,MATCH(ROWS($U$2:U356),$U$2:$U$1001,0),MATCH(COLUMNS($AB$1006:AJ1006),$AB$1006:$AQ$1006,0)), HYPERLINK("#",""), HYPERLINK(CONCATENATE("#Metadata!", ADDRESS(INDEX($W$2:$W$1001,MATCH(ROWS($U$2:U356),$U$2:$U$1001,0),0), INDEX($AB$1004:$AQ$1004,1,MATCH(COLUMNS($AB$1006:AJ1006),$AB$1006:$AQ$1006,0)))),"Fix")))</f>
        <v>0</v>
      </c>
      <c r="K356" s="5">
        <f>IF(OR(INDEX($V$2:$V$1001,MATCH(ROWS($U$2:U356),$U$2:$U$1001,0),1)&gt;=100000,INDEX($AB$1005:$AQ$1005,1,MATCH(COLUMNS($AB$1006:AK1006),$AB$1006:$AQ$1006,0))&gt;=100000), " ",IF(INDEX($AB$2:$AQ$1001,MATCH(ROWS($U$2:U356),$U$2:$U$1001,0),MATCH(COLUMNS($AB$1006:AK1006),$AB$1006:$AQ$1006,0)), HYPERLINK("#",""), HYPERLINK(CONCATENATE("#Metadata!", ADDRESS(INDEX($W$2:$W$1001,MATCH(ROWS($U$2:U356),$U$2:$U$1001,0),0), INDEX($AB$1004:$AQ$1004,1,MATCH(COLUMNS($AB$1006:AK1006),$AB$1006:$AQ$1006,0)))),"Fix")))</f>
        <v>0</v>
      </c>
      <c r="L356" s="5">
        <f>IF(OR(INDEX($V$2:$V$1001,MATCH(ROWS($U$2:U356),$U$2:$U$1001,0),1)&gt;=100000,INDEX($AB$1005:$AQ$1005,1,MATCH(COLUMNS($AB$1006:AL1006),$AB$1006:$AQ$1006,0))&gt;=100000), " ",IF(INDEX($AB$2:$AQ$1001,MATCH(ROWS($U$2:U356),$U$2:$U$1001,0),MATCH(COLUMNS($AB$1006:AL1006),$AB$1006:$AQ$1006,0)), HYPERLINK("#",""), HYPERLINK(CONCATENATE("#Metadata!", ADDRESS(INDEX($W$2:$W$1001,MATCH(ROWS($U$2:U356),$U$2:$U$1001,0),0), INDEX($AB$1004:$AQ$1004,1,MATCH(COLUMNS($AB$1006:AL1006),$AB$1006:$AQ$1006,0)))),"Fix")))</f>
        <v>0</v>
      </c>
      <c r="M356" s="5">
        <f>IF(OR(INDEX($V$2:$V$1001,MATCH(ROWS($U$2:U356),$U$2:$U$1001,0),1)&gt;=100000,INDEX($AB$1005:$AQ$1005,1,MATCH(COLUMNS($AB$1006:AM1006),$AB$1006:$AQ$1006,0))&gt;=100000), " ",IF(INDEX($AB$2:$AQ$1001,MATCH(ROWS($U$2:U356),$U$2:$U$1001,0),MATCH(COLUMNS($AB$1006:AM1006),$AB$1006:$AQ$1006,0)), HYPERLINK("#",""), HYPERLINK(CONCATENATE("#Metadata!", ADDRESS(INDEX($W$2:$W$1001,MATCH(ROWS($U$2:U356),$U$2:$U$1001,0),0), INDEX($AB$1004:$AQ$1004,1,MATCH(COLUMNS($AB$1006:AM1006),$AB$1006:$AQ$1006,0)))),"Fix")))</f>
        <v>0</v>
      </c>
      <c r="N356" s="5">
        <f>IF(OR(INDEX($V$2:$V$1001,MATCH(ROWS($U$2:U356),$U$2:$U$1001,0),1)&gt;=100000,INDEX($AB$1005:$AQ$1005,1,MATCH(COLUMNS($AB$1006:AN1006),$AB$1006:$AQ$1006,0))&gt;=100000), " ",IF(INDEX($AB$2:$AQ$1001,MATCH(ROWS($U$2:U356),$U$2:$U$1001,0),MATCH(COLUMNS($AB$1006:AN1006),$AB$1006:$AQ$1006,0)), HYPERLINK("#",""), HYPERLINK(CONCATENATE("#Metadata!", ADDRESS(INDEX($W$2:$W$1001,MATCH(ROWS($U$2:U356),$U$2:$U$1001,0),0), INDEX($AB$1004:$AQ$1004,1,MATCH(COLUMNS($AB$1006:AN1006),$AB$1006:$AQ$1006,0)))),"Fix")))</f>
        <v>0</v>
      </c>
      <c r="O356" s="5">
        <f>IF(OR(INDEX($V$2:$V$1001,MATCH(ROWS($U$2:U356),$U$2:$U$1001,0),1)&gt;=100000,INDEX($AB$1005:$AQ$1005,1,MATCH(COLUMNS($AB$1006:AO1006),$AB$1006:$AQ$1006,0))&gt;=100000), " ",IF(INDEX($AB$2:$AQ$1001,MATCH(ROWS($U$2:U356),$U$2:$U$1001,0),MATCH(COLUMNS($AB$1006:AO1006),$AB$1006:$AQ$1006,0)), HYPERLINK("#",""), HYPERLINK(CONCATENATE("#Metadata!", ADDRESS(INDEX($W$2:$W$1001,MATCH(ROWS($U$2:U356),$U$2:$U$1001,0),0), INDEX($AB$1004:$AQ$1004,1,MATCH(COLUMNS($AB$1006:AO1006),$AB$1006:$AQ$1006,0)))),"Fix")))</f>
        <v>0</v>
      </c>
      <c r="P356" s="5">
        <f>IF(OR(INDEX($V$2:$V$1001,MATCH(ROWS($U$2:U356),$U$2:$U$1001,0),1)&gt;=100000,INDEX($AB$1005:$AQ$1005,1,MATCH(COLUMNS($AB$1006:AP1006),$AB$1006:$AQ$1006,0))&gt;=100000), " ",IF(INDEX($AB$2:$AQ$1001,MATCH(ROWS($U$2:U356),$U$2:$U$1001,0),MATCH(COLUMNS($AB$1006:AP1006),$AB$1006:$AQ$1006,0)), HYPERLINK("#",""), HYPERLINK(CONCATENATE("#Metadata!", ADDRESS(INDEX($W$2:$W$1001,MATCH(ROWS($U$2:U356),$U$2:$U$1001,0),0), INDEX($AB$1004:$AQ$1004,1,MATCH(COLUMNS($AB$1006:AP1006),$AB$1006:$AQ$1006,0)))),"Fix")))</f>
        <v>0</v>
      </c>
      <c r="Q356" s="5">
        <f>IF(OR(INDEX($V$2:$V$1001,MATCH(ROWS($U$2:U356),$U$2:$U$1001,0),1)&gt;=100000,INDEX($AB$1005:$AQ$1005,1,MATCH(COLUMNS($AB$1006:AQ1006),$AB$1006:$AQ$1006,0))&gt;=100000), " ",IF(INDEX($AB$2:$AQ$1001,MATCH(ROWS($U$2:U356),$U$2:$U$1001,0),MATCH(COLUMNS($AB$1006:AQ1006),$AB$1006:$AQ$1006,0)), HYPERLINK("#",""), HYPERLINK(CONCATENATE("#Metadata!", ADDRESS(INDEX($W$2:$W$1001,MATCH(ROWS($U$2:U356),$U$2:$U$1001,0),0), INDEX($AB$1004:$AQ$1004,1,MATCH(COLUMNS($AB$1006:AQ1006),$AB$1006:$AQ$1006,0)))),"Fix")))</f>
        <v>0</v>
      </c>
      <c r="U356">
        <v>0</v>
      </c>
      <c r="V356">
        <v>0</v>
      </c>
      <c r="W356">
        <v>0</v>
      </c>
      <c r="X356">
        <f>IF(Y356,TRUE,AND(AB356:AQ356))</f>
        <v>0</v>
      </c>
      <c r="Y356">
        <f>COUNTBLANK(Metadata!B356:Q356)=COLUMNS(Metadata!B356:Q356)</f>
        <v>0</v>
      </c>
      <c r="Z356">
        <v>0</v>
      </c>
      <c r="AB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AC356">
        <f>AND(IF(Metadata!C356="",FALSE,TRUE),exact(Metadata!C356,"urban biome"))</f>
        <v>0</v>
      </c>
      <c r="AD356">
        <f>AND(IF(Metadata!D356="",FALSE,TRUE),exact(Metadata!D356,"human-associated habitat"))</f>
        <v>0</v>
      </c>
      <c r="AE356">
        <f>AND(IF(Metadata!E356="",FALSE,TRUE),OR(exact(Metadata!E356,"human-associated"),exact(Metadata!E356,"human-skin"),exact(Metadata!E356,"human-oral"),exact(Metadata!E356,"human-gut"),exact(Metadata!E356,"human-vaginal")))</f>
        <v>0</v>
      </c>
      <c r="AF356">
        <f>AND(IF(Metadata!F356="",FALSE,ISNUMBER(VALUE(Metadata!F356))),Metadata!F356&gt;0)</f>
        <v>0</v>
      </c>
      <c r="AG356">
        <f>AND(IF(Metadata!G356="",FALSE,TRUE),exact(Metadata!G356,"years"))</f>
        <v>0</v>
      </c>
      <c r="AH356">
        <f>OR(AND(IF(Metadata!H356="",FALSE,TRUE),OR(exact(Metadata!H356,"not applicable"),exact(Metadata!H356,"not collected"),exact(Metadata!H356,"not provided"),exact(Metadata!H356,"restricted access"))),AND(IF(Metadata!H356="",FALSE,ISNUMBER(VALUE(Metadata!H356))),Metadata!H356&gt;0))</f>
        <v>0</v>
      </c>
      <c r="AI356">
        <f>AND(IF(Metadata!I356="",FALSE,TRUE),exact(Metadata!I356,"human"))</f>
        <v>0</v>
      </c>
      <c r="AJ356">
        <f>AND(IF(Metadata!J356="",FALSE,ISNUMBER(VALUE(Metadata!J356))),Metadata!J356&gt;0)</f>
        <v>0</v>
      </c>
      <c r="AK356">
        <f>AND(IF(Metadata!K356="",FALSE,TRUE),exact(Metadata!K356,"cm"))</f>
        <v>0</v>
      </c>
      <c r="AL356">
        <f>AND(IF(Metadata!L356="",FALSE,TRUE),exact(Metadata!L356,"Homo sapiens"))</f>
        <v>0</v>
      </c>
      <c r="AM356">
        <f>AND(IF(Metadata!M356="",FALSE,TRUE),exact(Metadata!M356,"9606"))</f>
        <v>0</v>
      </c>
      <c r="AN356">
        <f>AND(IF(Metadata!N356="",FALSE,ISNUMBER(VALUE(Metadata!N356))),Metadata!N356&gt;0)</f>
        <v>0</v>
      </c>
      <c r="AO356">
        <f>AND(IF(Metadata!O356="",FALSE,TRUE),exact(Metadata!O356,"kg"))</f>
        <v>0</v>
      </c>
      <c r="AP356">
        <f>OR(AND(IF(Metadata!P356="",FALSE,TRUE),exact(Metadata!P356,"not provided")),IF(Metadata!P356="",FALSE,TRUE))</f>
        <v>0</v>
      </c>
      <c r="AQ356">
        <f>OR(AND(IF(Metadata!Q356="",FALSE,TRUE),exact(Metadata!Q356,"not provided")),IF(Metadata!Q356="",FALSE,TRUE))</f>
        <v>0</v>
      </c>
    </row>
    <row r="357" spans="1:43">
      <c r="A357" s="4">
        <f>IF(B357=" "," ",HYPERLINK(CONCATENATE("#metadata!",ADDRESS(INDEX($W$2:$W$1001,MATCH(ROWS($U$2:U357),$U$2:$U$1001,0),0),2)),INDEX($Z$2:$Z$1001,MATCH(ROWS($U$2:U357),$U$2:$U$1001,0),0)))</f>
        <v>0</v>
      </c>
      <c r="B357" s="5">
        <f>IF(OR(INDEX($V$2:$V$1001,MATCH(ROWS($U$2:U357),$U$2:$U$1001,0),1)&gt;=100000,INDEX($AB$1005:$AQ$1005,1,MATCH(COLUMNS($AB$1006:AB1006),$AB$1006:$AQ$1006,0))&gt;=100000), " ",IF(INDEX($AB$2:$AQ$1001,MATCH(ROWS($U$2:U357),$U$2:$U$1001,0),MATCH(COLUMNS($AB$1006:AB1006),$AB$1006:$AQ$1006,0)), HYPERLINK("#",""), HYPERLINK(CONCATENATE("#Metadata!", ADDRESS(INDEX($W$2:$W$1001,MATCH(ROWS($U$2:U357),$U$2:$U$1001,0),0), INDEX($AB$1004:$AQ$1004,1,MATCH(COLUMNS($AB$1006:AB1006),$AB$1006:$AQ$1006,0)))),"Fix")))</f>
        <v>0</v>
      </c>
      <c r="C357" s="5">
        <f>IF(OR(INDEX($V$2:$V$1001,MATCH(ROWS($U$2:U357),$U$2:$U$1001,0),1)&gt;=100000,INDEX($AB$1005:$AQ$1005,1,MATCH(COLUMNS($AB$1006:AC1006),$AB$1006:$AQ$1006,0))&gt;=100000), " ",IF(INDEX($AB$2:$AQ$1001,MATCH(ROWS($U$2:U357),$U$2:$U$1001,0),MATCH(COLUMNS($AB$1006:AC1006),$AB$1006:$AQ$1006,0)), HYPERLINK("#",""), HYPERLINK(CONCATENATE("#Metadata!", ADDRESS(INDEX($W$2:$W$1001,MATCH(ROWS($U$2:U357),$U$2:$U$1001,0),0), INDEX($AB$1004:$AQ$1004,1,MATCH(COLUMNS($AB$1006:AC1006),$AB$1006:$AQ$1006,0)))),"Fix")))</f>
        <v>0</v>
      </c>
      <c r="D357" s="5">
        <f>IF(OR(INDEX($V$2:$V$1001,MATCH(ROWS($U$2:U357),$U$2:$U$1001,0),1)&gt;=100000,INDEX($AB$1005:$AQ$1005,1,MATCH(COLUMNS($AB$1006:AD1006),$AB$1006:$AQ$1006,0))&gt;=100000), " ",IF(INDEX($AB$2:$AQ$1001,MATCH(ROWS($U$2:U357),$U$2:$U$1001,0),MATCH(COLUMNS($AB$1006:AD1006),$AB$1006:$AQ$1006,0)), HYPERLINK("#",""), HYPERLINK(CONCATENATE("#Metadata!", ADDRESS(INDEX($W$2:$W$1001,MATCH(ROWS($U$2:U357),$U$2:$U$1001,0),0), INDEX($AB$1004:$AQ$1004,1,MATCH(COLUMNS($AB$1006:AD1006),$AB$1006:$AQ$1006,0)))),"Fix")))</f>
        <v>0</v>
      </c>
      <c r="E357" s="5">
        <f>IF(OR(INDEX($V$2:$V$1001,MATCH(ROWS($U$2:U357),$U$2:$U$1001,0),1)&gt;=100000,INDEX($AB$1005:$AQ$1005,1,MATCH(COLUMNS($AB$1006:AE1006),$AB$1006:$AQ$1006,0))&gt;=100000), " ",IF(INDEX($AB$2:$AQ$1001,MATCH(ROWS($U$2:U357),$U$2:$U$1001,0),MATCH(COLUMNS($AB$1006:AE1006),$AB$1006:$AQ$1006,0)), HYPERLINK("#",""), HYPERLINK(CONCATENATE("#Metadata!", ADDRESS(INDEX($W$2:$W$1001,MATCH(ROWS($U$2:U357),$U$2:$U$1001,0),0), INDEX($AB$1004:$AQ$1004,1,MATCH(COLUMNS($AB$1006:AE1006),$AB$1006:$AQ$1006,0)))),"Fix")))</f>
        <v>0</v>
      </c>
      <c r="F357" s="5">
        <f>IF(OR(INDEX($V$2:$V$1001,MATCH(ROWS($U$2:U357),$U$2:$U$1001,0),1)&gt;=100000,INDEX($AB$1005:$AQ$1005,1,MATCH(COLUMNS($AB$1006:AF1006),$AB$1006:$AQ$1006,0))&gt;=100000), " ",IF(INDEX($AB$2:$AQ$1001,MATCH(ROWS($U$2:U357),$U$2:$U$1001,0),MATCH(COLUMNS($AB$1006:AF1006),$AB$1006:$AQ$1006,0)), HYPERLINK("#",""), HYPERLINK(CONCATENATE("#Metadata!", ADDRESS(INDEX($W$2:$W$1001,MATCH(ROWS($U$2:U357),$U$2:$U$1001,0),0), INDEX($AB$1004:$AQ$1004,1,MATCH(COLUMNS($AB$1006:AF1006),$AB$1006:$AQ$1006,0)))),"Fix")))</f>
        <v>0</v>
      </c>
      <c r="G357" s="5">
        <f>IF(OR(INDEX($V$2:$V$1001,MATCH(ROWS($U$2:U357),$U$2:$U$1001,0),1)&gt;=100000,INDEX($AB$1005:$AQ$1005,1,MATCH(COLUMNS($AB$1006:AG1006),$AB$1006:$AQ$1006,0))&gt;=100000), " ",IF(INDEX($AB$2:$AQ$1001,MATCH(ROWS($U$2:U357),$U$2:$U$1001,0),MATCH(COLUMNS($AB$1006:AG1006),$AB$1006:$AQ$1006,0)), HYPERLINK("#",""), HYPERLINK(CONCATENATE("#Metadata!", ADDRESS(INDEX($W$2:$W$1001,MATCH(ROWS($U$2:U357),$U$2:$U$1001,0),0), INDEX($AB$1004:$AQ$1004,1,MATCH(COLUMNS($AB$1006:AG1006),$AB$1006:$AQ$1006,0)))),"Fix")))</f>
        <v>0</v>
      </c>
      <c r="H357" s="5">
        <f>IF(OR(INDEX($V$2:$V$1001,MATCH(ROWS($U$2:U357),$U$2:$U$1001,0),1)&gt;=100000,INDEX($AB$1005:$AQ$1005,1,MATCH(COLUMNS($AB$1006:AH1006),$AB$1006:$AQ$1006,0))&gt;=100000), " ",IF(INDEX($AB$2:$AQ$1001,MATCH(ROWS($U$2:U357),$U$2:$U$1001,0),MATCH(COLUMNS($AB$1006:AH1006),$AB$1006:$AQ$1006,0)), HYPERLINK("#",""), HYPERLINK(CONCATENATE("#Metadata!", ADDRESS(INDEX($W$2:$W$1001,MATCH(ROWS($U$2:U357),$U$2:$U$1001,0),0), INDEX($AB$1004:$AQ$1004,1,MATCH(COLUMNS($AB$1006:AH1006),$AB$1006:$AQ$1006,0)))),"Fix")))</f>
        <v>0</v>
      </c>
      <c r="I357" s="5">
        <f>IF(OR(INDEX($V$2:$V$1001,MATCH(ROWS($U$2:U357),$U$2:$U$1001,0),1)&gt;=100000,INDEX($AB$1005:$AQ$1005,1,MATCH(COLUMNS($AB$1006:AI1006),$AB$1006:$AQ$1006,0))&gt;=100000), " ",IF(INDEX($AB$2:$AQ$1001,MATCH(ROWS($U$2:U357),$U$2:$U$1001,0),MATCH(COLUMNS($AB$1006:AI1006),$AB$1006:$AQ$1006,0)), HYPERLINK("#",""), HYPERLINK(CONCATENATE("#Metadata!", ADDRESS(INDEX($W$2:$W$1001,MATCH(ROWS($U$2:U357),$U$2:$U$1001,0),0), INDEX($AB$1004:$AQ$1004,1,MATCH(COLUMNS($AB$1006:AI1006),$AB$1006:$AQ$1006,0)))),"Fix")))</f>
        <v>0</v>
      </c>
      <c r="J357" s="5">
        <f>IF(OR(INDEX($V$2:$V$1001,MATCH(ROWS($U$2:U357),$U$2:$U$1001,0),1)&gt;=100000,INDEX($AB$1005:$AQ$1005,1,MATCH(COLUMNS($AB$1006:AJ1006),$AB$1006:$AQ$1006,0))&gt;=100000), " ",IF(INDEX($AB$2:$AQ$1001,MATCH(ROWS($U$2:U357),$U$2:$U$1001,0),MATCH(COLUMNS($AB$1006:AJ1006),$AB$1006:$AQ$1006,0)), HYPERLINK("#",""), HYPERLINK(CONCATENATE("#Metadata!", ADDRESS(INDEX($W$2:$W$1001,MATCH(ROWS($U$2:U357),$U$2:$U$1001,0),0), INDEX($AB$1004:$AQ$1004,1,MATCH(COLUMNS($AB$1006:AJ1006),$AB$1006:$AQ$1006,0)))),"Fix")))</f>
        <v>0</v>
      </c>
      <c r="K357" s="5">
        <f>IF(OR(INDEX($V$2:$V$1001,MATCH(ROWS($U$2:U357),$U$2:$U$1001,0),1)&gt;=100000,INDEX($AB$1005:$AQ$1005,1,MATCH(COLUMNS($AB$1006:AK1006),$AB$1006:$AQ$1006,0))&gt;=100000), " ",IF(INDEX($AB$2:$AQ$1001,MATCH(ROWS($U$2:U357),$U$2:$U$1001,0),MATCH(COLUMNS($AB$1006:AK1006),$AB$1006:$AQ$1006,0)), HYPERLINK("#",""), HYPERLINK(CONCATENATE("#Metadata!", ADDRESS(INDEX($W$2:$W$1001,MATCH(ROWS($U$2:U357),$U$2:$U$1001,0),0), INDEX($AB$1004:$AQ$1004,1,MATCH(COLUMNS($AB$1006:AK1006),$AB$1006:$AQ$1006,0)))),"Fix")))</f>
        <v>0</v>
      </c>
      <c r="L357" s="5">
        <f>IF(OR(INDEX($V$2:$V$1001,MATCH(ROWS($U$2:U357),$U$2:$U$1001,0),1)&gt;=100000,INDEX($AB$1005:$AQ$1005,1,MATCH(COLUMNS($AB$1006:AL1006),$AB$1006:$AQ$1006,0))&gt;=100000), " ",IF(INDEX($AB$2:$AQ$1001,MATCH(ROWS($U$2:U357),$U$2:$U$1001,0),MATCH(COLUMNS($AB$1006:AL1006),$AB$1006:$AQ$1006,0)), HYPERLINK("#",""), HYPERLINK(CONCATENATE("#Metadata!", ADDRESS(INDEX($W$2:$W$1001,MATCH(ROWS($U$2:U357),$U$2:$U$1001,0),0), INDEX($AB$1004:$AQ$1004,1,MATCH(COLUMNS($AB$1006:AL1006),$AB$1006:$AQ$1006,0)))),"Fix")))</f>
        <v>0</v>
      </c>
      <c r="M357" s="5">
        <f>IF(OR(INDEX($V$2:$V$1001,MATCH(ROWS($U$2:U357),$U$2:$U$1001,0),1)&gt;=100000,INDEX($AB$1005:$AQ$1005,1,MATCH(COLUMNS($AB$1006:AM1006),$AB$1006:$AQ$1006,0))&gt;=100000), " ",IF(INDEX($AB$2:$AQ$1001,MATCH(ROWS($U$2:U357),$U$2:$U$1001,0),MATCH(COLUMNS($AB$1006:AM1006),$AB$1006:$AQ$1006,0)), HYPERLINK("#",""), HYPERLINK(CONCATENATE("#Metadata!", ADDRESS(INDEX($W$2:$W$1001,MATCH(ROWS($U$2:U357),$U$2:$U$1001,0),0), INDEX($AB$1004:$AQ$1004,1,MATCH(COLUMNS($AB$1006:AM1006),$AB$1006:$AQ$1006,0)))),"Fix")))</f>
        <v>0</v>
      </c>
      <c r="N357" s="5">
        <f>IF(OR(INDEX($V$2:$V$1001,MATCH(ROWS($U$2:U357),$U$2:$U$1001,0),1)&gt;=100000,INDEX($AB$1005:$AQ$1005,1,MATCH(COLUMNS($AB$1006:AN1006),$AB$1006:$AQ$1006,0))&gt;=100000), " ",IF(INDEX($AB$2:$AQ$1001,MATCH(ROWS($U$2:U357),$U$2:$U$1001,0),MATCH(COLUMNS($AB$1006:AN1006),$AB$1006:$AQ$1006,0)), HYPERLINK("#",""), HYPERLINK(CONCATENATE("#Metadata!", ADDRESS(INDEX($W$2:$W$1001,MATCH(ROWS($U$2:U357),$U$2:$U$1001,0),0), INDEX($AB$1004:$AQ$1004,1,MATCH(COLUMNS($AB$1006:AN1006),$AB$1006:$AQ$1006,0)))),"Fix")))</f>
        <v>0</v>
      </c>
      <c r="O357" s="5">
        <f>IF(OR(INDEX($V$2:$V$1001,MATCH(ROWS($U$2:U357),$U$2:$U$1001,0),1)&gt;=100000,INDEX($AB$1005:$AQ$1005,1,MATCH(COLUMNS($AB$1006:AO1006),$AB$1006:$AQ$1006,0))&gt;=100000), " ",IF(INDEX($AB$2:$AQ$1001,MATCH(ROWS($U$2:U357),$U$2:$U$1001,0),MATCH(COLUMNS($AB$1006:AO1006),$AB$1006:$AQ$1006,0)), HYPERLINK("#",""), HYPERLINK(CONCATENATE("#Metadata!", ADDRESS(INDEX($W$2:$W$1001,MATCH(ROWS($U$2:U357),$U$2:$U$1001,0),0), INDEX($AB$1004:$AQ$1004,1,MATCH(COLUMNS($AB$1006:AO1006),$AB$1006:$AQ$1006,0)))),"Fix")))</f>
        <v>0</v>
      </c>
      <c r="P357" s="5">
        <f>IF(OR(INDEX($V$2:$V$1001,MATCH(ROWS($U$2:U357),$U$2:$U$1001,0),1)&gt;=100000,INDEX($AB$1005:$AQ$1005,1,MATCH(COLUMNS($AB$1006:AP1006),$AB$1006:$AQ$1006,0))&gt;=100000), " ",IF(INDEX($AB$2:$AQ$1001,MATCH(ROWS($U$2:U357),$U$2:$U$1001,0),MATCH(COLUMNS($AB$1006:AP1006),$AB$1006:$AQ$1006,0)), HYPERLINK("#",""), HYPERLINK(CONCATENATE("#Metadata!", ADDRESS(INDEX($W$2:$W$1001,MATCH(ROWS($U$2:U357),$U$2:$U$1001,0),0), INDEX($AB$1004:$AQ$1004,1,MATCH(COLUMNS($AB$1006:AP1006),$AB$1006:$AQ$1006,0)))),"Fix")))</f>
        <v>0</v>
      </c>
      <c r="Q357" s="5">
        <f>IF(OR(INDEX($V$2:$V$1001,MATCH(ROWS($U$2:U357),$U$2:$U$1001,0),1)&gt;=100000,INDEX($AB$1005:$AQ$1005,1,MATCH(COLUMNS($AB$1006:AQ1006),$AB$1006:$AQ$1006,0))&gt;=100000), " ",IF(INDEX($AB$2:$AQ$1001,MATCH(ROWS($U$2:U357),$U$2:$U$1001,0),MATCH(COLUMNS($AB$1006:AQ1006),$AB$1006:$AQ$1006,0)), HYPERLINK("#",""), HYPERLINK(CONCATENATE("#Metadata!", ADDRESS(INDEX($W$2:$W$1001,MATCH(ROWS($U$2:U357),$U$2:$U$1001,0),0), INDEX($AB$1004:$AQ$1004,1,MATCH(COLUMNS($AB$1006:AQ1006),$AB$1006:$AQ$1006,0)))),"Fix")))</f>
        <v>0</v>
      </c>
      <c r="U357">
        <v>0</v>
      </c>
      <c r="V357">
        <v>0</v>
      </c>
      <c r="W357">
        <v>0</v>
      </c>
      <c r="X357">
        <f>IF(Y357,TRUE,AND(AB357:AQ357))</f>
        <v>0</v>
      </c>
      <c r="Y357">
        <f>COUNTBLANK(Metadata!B357:Q357)=COLUMNS(Metadata!B357:Q357)</f>
        <v>0</v>
      </c>
      <c r="Z357">
        <v>0</v>
      </c>
      <c r="AB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AC357">
        <f>AND(IF(Metadata!C357="",FALSE,TRUE),exact(Metadata!C357,"urban biome"))</f>
        <v>0</v>
      </c>
      <c r="AD357">
        <f>AND(IF(Metadata!D357="",FALSE,TRUE),exact(Metadata!D357,"human-associated habitat"))</f>
        <v>0</v>
      </c>
      <c r="AE357">
        <f>AND(IF(Metadata!E357="",FALSE,TRUE),OR(exact(Metadata!E357,"human-associated"),exact(Metadata!E357,"human-skin"),exact(Metadata!E357,"human-oral"),exact(Metadata!E357,"human-gut"),exact(Metadata!E357,"human-vaginal")))</f>
        <v>0</v>
      </c>
      <c r="AF357">
        <f>AND(IF(Metadata!F357="",FALSE,ISNUMBER(VALUE(Metadata!F357))),Metadata!F357&gt;0)</f>
        <v>0</v>
      </c>
      <c r="AG357">
        <f>AND(IF(Metadata!G357="",FALSE,TRUE),exact(Metadata!G357,"years"))</f>
        <v>0</v>
      </c>
      <c r="AH357">
        <f>OR(AND(IF(Metadata!H357="",FALSE,TRUE),OR(exact(Metadata!H357,"not applicable"),exact(Metadata!H357,"not collected"),exact(Metadata!H357,"not provided"),exact(Metadata!H357,"restricted access"))),AND(IF(Metadata!H357="",FALSE,ISNUMBER(VALUE(Metadata!H357))),Metadata!H357&gt;0))</f>
        <v>0</v>
      </c>
      <c r="AI357">
        <f>AND(IF(Metadata!I357="",FALSE,TRUE),exact(Metadata!I357,"human"))</f>
        <v>0</v>
      </c>
      <c r="AJ357">
        <f>AND(IF(Metadata!J357="",FALSE,ISNUMBER(VALUE(Metadata!J357))),Metadata!J357&gt;0)</f>
        <v>0</v>
      </c>
      <c r="AK357">
        <f>AND(IF(Metadata!K357="",FALSE,TRUE),exact(Metadata!K357,"cm"))</f>
        <v>0</v>
      </c>
      <c r="AL357">
        <f>AND(IF(Metadata!L357="",FALSE,TRUE),exact(Metadata!L357,"Homo sapiens"))</f>
        <v>0</v>
      </c>
      <c r="AM357">
        <f>AND(IF(Metadata!M357="",FALSE,TRUE),exact(Metadata!M357,"9606"))</f>
        <v>0</v>
      </c>
      <c r="AN357">
        <f>AND(IF(Metadata!N357="",FALSE,ISNUMBER(VALUE(Metadata!N357))),Metadata!N357&gt;0)</f>
        <v>0</v>
      </c>
      <c r="AO357">
        <f>AND(IF(Metadata!O357="",FALSE,TRUE),exact(Metadata!O357,"kg"))</f>
        <v>0</v>
      </c>
      <c r="AP357">
        <f>OR(AND(IF(Metadata!P357="",FALSE,TRUE),exact(Metadata!P357,"not provided")),IF(Metadata!P357="",FALSE,TRUE))</f>
        <v>0</v>
      </c>
      <c r="AQ357">
        <f>OR(AND(IF(Metadata!Q357="",FALSE,TRUE),exact(Metadata!Q357,"not provided")),IF(Metadata!Q357="",FALSE,TRUE))</f>
        <v>0</v>
      </c>
    </row>
    <row r="358" spans="1:43">
      <c r="A358" s="4">
        <f>IF(B358=" "," ",HYPERLINK(CONCATENATE("#metadata!",ADDRESS(INDEX($W$2:$W$1001,MATCH(ROWS($U$2:U358),$U$2:$U$1001,0),0),2)),INDEX($Z$2:$Z$1001,MATCH(ROWS($U$2:U358),$U$2:$U$1001,0),0)))</f>
        <v>0</v>
      </c>
      <c r="B358" s="5">
        <f>IF(OR(INDEX($V$2:$V$1001,MATCH(ROWS($U$2:U358),$U$2:$U$1001,0),1)&gt;=100000,INDEX($AB$1005:$AQ$1005,1,MATCH(COLUMNS($AB$1006:AB1006),$AB$1006:$AQ$1006,0))&gt;=100000), " ",IF(INDEX($AB$2:$AQ$1001,MATCH(ROWS($U$2:U358),$U$2:$U$1001,0),MATCH(COLUMNS($AB$1006:AB1006),$AB$1006:$AQ$1006,0)), HYPERLINK("#",""), HYPERLINK(CONCATENATE("#Metadata!", ADDRESS(INDEX($W$2:$W$1001,MATCH(ROWS($U$2:U358),$U$2:$U$1001,0),0), INDEX($AB$1004:$AQ$1004,1,MATCH(COLUMNS($AB$1006:AB1006),$AB$1006:$AQ$1006,0)))),"Fix")))</f>
        <v>0</v>
      </c>
      <c r="C358" s="5">
        <f>IF(OR(INDEX($V$2:$V$1001,MATCH(ROWS($U$2:U358),$U$2:$U$1001,0),1)&gt;=100000,INDEX($AB$1005:$AQ$1005,1,MATCH(COLUMNS($AB$1006:AC1006),$AB$1006:$AQ$1006,0))&gt;=100000), " ",IF(INDEX($AB$2:$AQ$1001,MATCH(ROWS($U$2:U358),$U$2:$U$1001,0),MATCH(COLUMNS($AB$1006:AC1006),$AB$1006:$AQ$1006,0)), HYPERLINK("#",""), HYPERLINK(CONCATENATE("#Metadata!", ADDRESS(INDEX($W$2:$W$1001,MATCH(ROWS($U$2:U358),$U$2:$U$1001,0),0), INDEX($AB$1004:$AQ$1004,1,MATCH(COLUMNS($AB$1006:AC1006),$AB$1006:$AQ$1006,0)))),"Fix")))</f>
        <v>0</v>
      </c>
      <c r="D358" s="5">
        <f>IF(OR(INDEX($V$2:$V$1001,MATCH(ROWS($U$2:U358),$U$2:$U$1001,0),1)&gt;=100000,INDEX($AB$1005:$AQ$1005,1,MATCH(COLUMNS($AB$1006:AD1006),$AB$1006:$AQ$1006,0))&gt;=100000), " ",IF(INDEX($AB$2:$AQ$1001,MATCH(ROWS($U$2:U358),$U$2:$U$1001,0),MATCH(COLUMNS($AB$1006:AD1006),$AB$1006:$AQ$1006,0)), HYPERLINK("#",""), HYPERLINK(CONCATENATE("#Metadata!", ADDRESS(INDEX($W$2:$W$1001,MATCH(ROWS($U$2:U358),$U$2:$U$1001,0),0), INDEX($AB$1004:$AQ$1004,1,MATCH(COLUMNS($AB$1006:AD1006),$AB$1006:$AQ$1006,0)))),"Fix")))</f>
        <v>0</v>
      </c>
      <c r="E358" s="5">
        <f>IF(OR(INDEX($V$2:$V$1001,MATCH(ROWS($U$2:U358),$U$2:$U$1001,0),1)&gt;=100000,INDEX($AB$1005:$AQ$1005,1,MATCH(COLUMNS($AB$1006:AE1006),$AB$1006:$AQ$1006,0))&gt;=100000), " ",IF(INDEX($AB$2:$AQ$1001,MATCH(ROWS($U$2:U358),$U$2:$U$1001,0),MATCH(COLUMNS($AB$1006:AE1006),$AB$1006:$AQ$1006,0)), HYPERLINK("#",""), HYPERLINK(CONCATENATE("#Metadata!", ADDRESS(INDEX($W$2:$W$1001,MATCH(ROWS($U$2:U358),$U$2:$U$1001,0),0), INDEX($AB$1004:$AQ$1004,1,MATCH(COLUMNS($AB$1006:AE1006),$AB$1006:$AQ$1006,0)))),"Fix")))</f>
        <v>0</v>
      </c>
      <c r="F358" s="5">
        <f>IF(OR(INDEX($V$2:$V$1001,MATCH(ROWS($U$2:U358),$U$2:$U$1001,0),1)&gt;=100000,INDEX($AB$1005:$AQ$1005,1,MATCH(COLUMNS($AB$1006:AF1006),$AB$1006:$AQ$1006,0))&gt;=100000), " ",IF(INDEX($AB$2:$AQ$1001,MATCH(ROWS($U$2:U358),$U$2:$U$1001,0),MATCH(COLUMNS($AB$1006:AF1006),$AB$1006:$AQ$1006,0)), HYPERLINK("#",""), HYPERLINK(CONCATENATE("#Metadata!", ADDRESS(INDEX($W$2:$W$1001,MATCH(ROWS($U$2:U358),$U$2:$U$1001,0),0), INDEX($AB$1004:$AQ$1004,1,MATCH(COLUMNS($AB$1006:AF1006),$AB$1006:$AQ$1006,0)))),"Fix")))</f>
        <v>0</v>
      </c>
      <c r="G358" s="5">
        <f>IF(OR(INDEX($V$2:$V$1001,MATCH(ROWS($U$2:U358),$U$2:$U$1001,0),1)&gt;=100000,INDEX($AB$1005:$AQ$1005,1,MATCH(COLUMNS($AB$1006:AG1006),$AB$1006:$AQ$1006,0))&gt;=100000), " ",IF(INDEX($AB$2:$AQ$1001,MATCH(ROWS($U$2:U358),$U$2:$U$1001,0),MATCH(COLUMNS($AB$1006:AG1006),$AB$1006:$AQ$1006,0)), HYPERLINK("#",""), HYPERLINK(CONCATENATE("#Metadata!", ADDRESS(INDEX($W$2:$W$1001,MATCH(ROWS($U$2:U358),$U$2:$U$1001,0),0), INDEX($AB$1004:$AQ$1004,1,MATCH(COLUMNS($AB$1006:AG1006),$AB$1006:$AQ$1006,0)))),"Fix")))</f>
        <v>0</v>
      </c>
      <c r="H358" s="5">
        <f>IF(OR(INDEX($V$2:$V$1001,MATCH(ROWS($U$2:U358),$U$2:$U$1001,0),1)&gt;=100000,INDEX($AB$1005:$AQ$1005,1,MATCH(COLUMNS($AB$1006:AH1006),$AB$1006:$AQ$1006,0))&gt;=100000), " ",IF(INDEX($AB$2:$AQ$1001,MATCH(ROWS($U$2:U358),$U$2:$U$1001,0),MATCH(COLUMNS($AB$1006:AH1006),$AB$1006:$AQ$1006,0)), HYPERLINK("#",""), HYPERLINK(CONCATENATE("#Metadata!", ADDRESS(INDEX($W$2:$W$1001,MATCH(ROWS($U$2:U358),$U$2:$U$1001,0),0), INDEX($AB$1004:$AQ$1004,1,MATCH(COLUMNS($AB$1006:AH1006),$AB$1006:$AQ$1006,0)))),"Fix")))</f>
        <v>0</v>
      </c>
      <c r="I358" s="5">
        <f>IF(OR(INDEX($V$2:$V$1001,MATCH(ROWS($U$2:U358),$U$2:$U$1001,0),1)&gt;=100000,INDEX($AB$1005:$AQ$1005,1,MATCH(COLUMNS($AB$1006:AI1006),$AB$1006:$AQ$1006,0))&gt;=100000), " ",IF(INDEX($AB$2:$AQ$1001,MATCH(ROWS($U$2:U358),$U$2:$U$1001,0),MATCH(COLUMNS($AB$1006:AI1006),$AB$1006:$AQ$1006,0)), HYPERLINK("#",""), HYPERLINK(CONCATENATE("#Metadata!", ADDRESS(INDEX($W$2:$W$1001,MATCH(ROWS($U$2:U358),$U$2:$U$1001,0),0), INDEX($AB$1004:$AQ$1004,1,MATCH(COLUMNS($AB$1006:AI1006),$AB$1006:$AQ$1006,0)))),"Fix")))</f>
        <v>0</v>
      </c>
      <c r="J358" s="5">
        <f>IF(OR(INDEX($V$2:$V$1001,MATCH(ROWS($U$2:U358),$U$2:$U$1001,0),1)&gt;=100000,INDEX($AB$1005:$AQ$1005,1,MATCH(COLUMNS($AB$1006:AJ1006),$AB$1006:$AQ$1006,0))&gt;=100000), " ",IF(INDEX($AB$2:$AQ$1001,MATCH(ROWS($U$2:U358),$U$2:$U$1001,0),MATCH(COLUMNS($AB$1006:AJ1006),$AB$1006:$AQ$1006,0)), HYPERLINK("#",""), HYPERLINK(CONCATENATE("#Metadata!", ADDRESS(INDEX($W$2:$W$1001,MATCH(ROWS($U$2:U358),$U$2:$U$1001,0),0), INDEX($AB$1004:$AQ$1004,1,MATCH(COLUMNS($AB$1006:AJ1006),$AB$1006:$AQ$1006,0)))),"Fix")))</f>
        <v>0</v>
      </c>
      <c r="K358" s="5">
        <f>IF(OR(INDEX($V$2:$V$1001,MATCH(ROWS($U$2:U358),$U$2:$U$1001,0),1)&gt;=100000,INDEX($AB$1005:$AQ$1005,1,MATCH(COLUMNS($AB$1006:AK1006),$AB$1006:$AQ$1006,0))&gt;=100000), " ",IF(INDEX($AB$2:$AQ$1001,MATCH(ROWS($U$2:U358),$U$2:$U$1001,0),MATCH(COLUMNS($AB$1006:AK1006),$AB$1006:$AQ$1006,0)), HYPERLINK("#",""), HYPERLINK(CONCATENATE("#Metadata!", ADDRESS(INDEX($W$2:$W$1001,MATCH(ROWS($U$2:U358),$U$2:$U$1001,0),0), INDEX($AB$1004:$AQ$1004,1,MATCH(COLUMNS($AB$1006:AK1006),$AB$1006:$AQ$1006,0)))),"Fix")))</f>
        <v>0</v>
      </c>
      <c r="L358" s="5">
        <f>IF(OR(INDEX($V$2:$V$1001,MATCH(ROWS($U$2:U358),$U$2:$U$1001,0),1)&gt;=100000,INDEX($AB$1005:$AQ$1005,1,MATCH(COLUMNS($AB$1006:AL1006),$AB$1006:$AQ$1006,0))&gt;=100000), " ",IF(INDEX($AB$2:$AQ$1001,MATCH(ROWS($U$2:U358),$U$2:$U$1001,0),MATCH(COLUMNS($AB$1006:AL1006),$AB$1006:$AQ$1006,0)), HYPERLINK("#",""), HYPERLINK(CONCATENATE("#Metadata!", ADDRESS(INDEX($W$2:$W$1001,MATCH(ROWS($U$2:U358),$U$2:$U$1001,0),0), INDEX($AB$1004:$AQ$1004,1,MATCH(COLUMNS($AB$1006:AL1006),$AB$1006:$AQ$1006,0)))),"Fix")))</f>
        <v>0</v>
      </c>
      <c r="M358" s="5">
        <f>IF(OR(INDEX($V$2:$V$1001,MATCH(ROWS($U$2:U358),$U$2:$U$1001,0),1)&gt;=100000,INDEX($AB$1005:$AQ$1005,1,MATCH(COLUMNS($AB$1006:AM1006),$AB$1006:$AQ$1006,0))&gt;=100000), " ",IF(INDEX($AB$2:$AQ$1001,MATCH(ROWS($U$2:U358),$U$2:$U$1001,0),MATCH(COLUMNS($AB$1006:AM1006),$AB$1006:$AQ$1006,0)), HYPERLINK("#",""), HYPERLINK(CONCATENATE("#Metadata!", ADDRESS(INDEX($W$2:$W$1001,MATCH(ROWS($U$2:U358),$U$2:$U$1001,0),0), INDEX($AB$1004:$AQ$1004,1,MATCH(COLUMNS($AB$1006:AM1006),$AB$1006:$AQ$1006,0)))),"Fix")))</f>
        <v>0</v>
      </c>
      <c r="N358" s="5">
        <f>IF(OR(INDEX($V$2:$V$1001,MATCH(ROWS($U$2:U358),$U$2:$U$1001,0),1)&gt;=100000,INDEX($AB$1005:$AQ$1005,1,MATCH(COLUMNS($AB$1006:AN1006),$AB$1006:$AQ$1006,0))&gt;=100000), " ",IF(INDEX($AB$2:$AQ$1001,MATCH(ROWS($U$2:U358),$U$2:$U$1001,0),MATCH(COLUMNS($AB$1006:AN1006),$AB$1006:$AQ$1006,0)), HYPERLINK("#",""), HYPERLINK(CONCATENATE("#Metadata!", ADDRESS(INDEX($W$2:$W$1001,MATCH(ROWS($U$2:U358),$U$2:$U$1001,0),0), INDEX($AB$1004:$AQ$1004,1,MATCH(COLUMNS($AB$1006:AN1006),$AB$1006:$AQ$1006,0)))),"Fix")))</f>
        <v>0</v>
      </c>
      <c r="O358" s="5">
        <f>IF(OR(INDEX($V$2:$V$1001,MATCH(ROWS($U$2:U358),$U$2:$U$1001,0),1)&gt;=100000,INDEX($AB$1005:$AQ$1005,1,MATCH(COLUMNS($AB$1006:AO1006),$AB$1006:$AQ$1006,0))&gt;=100000), " ",IF(INDEX($AB$2:$AQ$1001,MATCH(ROWS($U$2:U358),$U$2:$U$1001,0),MATCH(COLUMNS($AB$1006:AO1006),$AB$1006:$AQ$1006,0)), HYPERLINK("#",""), HYPERLINK(CONCATENATE("#Metadata!", ADDRESS(INDEX($W$2:$W$1001,MATCH(ROWS($U$2:U358),$U$2:$U$1001,0),0), INDEX($AB$1004:$AQ$1004,1,MATCH(COLUMNS($AB$1006:AO1006),$AB$1006:$AQ$1006,0)))),"Fix")))</f>
        <v>0</v>
      </c>
      <c r="P358" s="5">
        <f>IF(OR(INDEX($V$2:$V$1001,MATCH(ROWS($U$2:U358),$U$2:$U$1001,0),1)&gt;=100000,INDEX($AB$1005:$AQ$1005,1,MATCH(COLUMNS($AB$1006:AP1006),$AB$1006:$AQ$1006,0))&gt;=100000), " ",IF(INDEX($AB$2:$AQ$1001,MATCH(ROWS($U$2:U358),$U$2:$U$1001,0),MATCH(COLUMNS($AB$1006:AP1006),$AB$1006:$AQ$1006,0)), HYPERLINK("#",""), HYPERLINK(CONCATENATE("#Metadata!", ADDRESS(INDEX($W$2:$W$1001,MATCH(ROWS($U$2:U358),$U$2:$U$1001,0),0), INDEX($AB$1004:$AQ$1004,1,MATCH(COLUMNS($AB$1006:AP1006),$AB$1006:$AQ$1006,0)))),"Fix")))</f>
        <v>0</v>
      </c>
      <c r="Q358" s="5">
        <f>IF(OR(INDEX($V$2:$V$1001,MATCH(ROWS($U$2:U358),$U$2:$U$1001,0),1)&gt;=100000,INDEX($AB$1005:$AQ$1005,1,MATCH(COLUMNS($AB$1006:AQ1006),$AB$1006:$AQ$1006,0))&gt;=100000), " ",IF(INDEX($AB$2:$AQ$1001,MATCH(ROWS($U$2:U358),$U$2:$U$1001,0),MATCH(COLUMNS($AB$1006:AQ1006),$AB$1006:$AQ$1006,0)), HYPERLINK("#",""), HYPERLINK(CONCATENATE("#Metadata!", ADDRESS(INDEX($W$2:$W$1001,MATCH(ROWS($U$2:U358),$U$2:$U$1001,0),0), INDEX($AB$1004:$AQ$1004,1,MATCH(COLUMNS($AB$1006:AQ1006),$AB$1006:$AQ$1006,0)))),"Fix")))</f>
        <v>0</v>
      </c>
      <c r="U358">
        <v>0</v>
      </c>
      <c r="V358">
        <v>0</v>
      </c>
      <c r="W358">
        <v>0</v>
      </c>
      <c r="X358">
        <f>IF(Y358,TRUE,AND(AB358:AQ358))</f>
        <v>0</v>
      </c>
      <c r="Y358">
        <f>COUNTBLANK(Metadata!B358:Q358)=COLUMNS(Metadata!B358:Q358)</f>
        <v>0</v>
      </c>
      <c r="Z358">
        <v>0</v>
      </c>
      <c r="AB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AC358">
        <f>AND(IF(Metadata!C358="",FALSE,TRUE),exact(Metadata!C358,"urban biome"))</f>
        <v>0</v>
      </c>
      <c r="AD358">
        <f>AND(IF(Metadata!D358="",FALSE,TRUE),exact(Metadata!D358,"human-associated habitat"))</f>
        <v>0</v>
      </c>
      <c r="AE358">
        <f>AND(IF(Metadata!E358="",FALSE,TRUE),OR(exact(Metadata!E358,"human-associated"),exact(Metadata!E358,"human-skin"),exact(Metadata!E358,"human-oral"),exact(Metadata!E358,"human-gut"),exact(Metadata!E358,"human-vaginal")))</f>
        <v>0</v>
      </c>
      <c r="AF358">
        <f>AND(IF(Metadata!F358="",FALSE,ISNUMBER(VALUE(Metadata!F358))),Metadata!F358&gt;0)</f>
        <v>0</v>
      </c>
      <c r="AG358">
        <f>AND(IF(Metadata!G358="",FALSE,TRUE),exact(Metadata!G358,"years"))</f>
        <v>0</v>
      </c>
      <c r="AH358">
        <f>OR(AND(IF(Metadata!H358="",FALSE,TRUE),OR(exact(Metadata!H358,"not applicable"),exact(Metadata!H358,"not collected"),exact(Metadata!H358,"not provided"),exact(Metadata!H358,"restricted access"))),AND(IF(Metadata!H358="",FALSE,ISNUMBER(VALUE(Metadata!H358))),Metadata!H358&gt;0))</f>
        <v>0</v>
      </c>
      <c r="AI358">
        <f>AND(IF(Metadata!I358="",FALSE,TRUE),exact(Metadata!I358,"human"))</f>
        <v>0</v>
      </c>
      <c r="AJ358">
        <f>AND(IF(Metadata!J358="",FALSE,ISNUMBER(VALUE(Metadata!J358))),Metadata!J358&gt;0)</f>
        <v>0</v>
      </c>
      <c r="AK358">
        <f>AND(IF(Metadata!K358="",FALSE,TRUE),exact(Metadata!K358,"cm"))</f>
        <v>0</v>
      </c>
      <c r="AL358">
        <f>AND(IF(Metadata!L358="",FALSE,TRUE),exact(Metadata!L358,"Homo sapiens"))</f>
        <v>0</v>
      </c>
      <c r="AM358">
        <f>AND(IF(Metadata!M358="",FALSE,TRUE),exact(Metadata!M358,"9606"))</f>
        <v>0</v>
      </c>
      <c r="AN358">
        <f>AND(IF(Metadata!N358="",FALSE,ISNUMBER(VALUE(Metadata!N358))),Metadata!N358&gt;0)</f>
        <v>0</v>
      </c>
      <c r="AO358">
        <f>AND(IF(Metadata!O358="",FALSE,TRUE),exact(Metadata!O358,"kg"))</f>
        <v>0</v>
      </c>
      <c r="AP358">
        <f>OR(AND(IF(Metadata!P358="",FALSE,TRUE),exact(Metadata!P358,"not provided")),IF(Metadata!P358="",FALSE,TRUE))</f>
        <v>0</v>
      </c>
      <c r="AQ358">
        <f>OR(AND(IF(Metadata!Q358="",FALSE,TRUE),exact(Metadata!Q358,"not provided")),IF(Metadata!Q358="",FALSE,TRUE))</f>
        <v>0</v>
      </c>
    </row>
    <row r="359" spans="1:43">
      <c r="A359" s="4">
        <f>IF(B359=" "," ",HYPERLINK(CONCATENATE("#metadata!",ADDRESS(INDEX($W$2:$W$1001,MATCH(ROWS($U$2:U359),$U$2:$U$1001,0),0),2)),INDEX($Z$2:$Z$1001,MATCH(ROWS($U$2:U359),$U$2:$U$1001,0),0)))</f>
        <v>0</v>
      </c>
      <c r="B359" s="5">
        <f>IF(OR(INDEX($V$2:$V$1001,MATCH(ROWS($U$2:U359),$U$2:$U$1001,0),1)&gt;=100000,INDEX($AB$1005:$AQ$1005,1,MATCH(COLUMNS($AB$1006:AB1006),$AB$1006:$AQ$1006,0))&gt;=100000), " ",IF(INDEX($AB$2:$AQ$1001,MATCH(ROWS($U$2:U359),$U$2:$U$1001,0),MATCH(COLUMNS($AB$1006:AB1006),$AB$1006:$AQ$1006,0)), HYPERLINK("#",""), HYPERLINK(CONCATENATE("#Metadata!", ADDRESS(INDEX($W$2:$W$1001,MATCH(ROWS($U$2:U359),$U$2:$U$1001,0),0), INDEX($AB$1004:$AQ$1004,1,MATCH(COLUMNS($AB$1006:AB1006),$AB$1006:$AQ$1006,0)))),"Fix")))</f>
        <v>0</v>
      </c>
      <c r="C359" s="5">
        <f>IF(OR(INDEX($V$2:$V$1001,MATCH(ROWS($U$2:U359),$U$2:$U$1001,0),1)&gt;=100000,INDEX($AB$1005:$AQ$1005,1,MATCH(COLUMNS($AB$1006:AC1006),$AB$1006:$AQ$1006,0))&gt;=100000), " ",IF(INDEX($AB$2:$AQ$1001,MATCH(ROWS($U$2:U359),$U$2:$U$1001,0),MATCH(COLUMNS($AB$1006:AC1006),$AB$1006:$AQ$1006,0)), HYPERLINK("#",""), HYPERLINK(CONCATENATE("#Metadata!", ADDRESS(INDEX($W$2:$W$1001,MATCH(ROWS($U$2:U359),$U$2:$U$1001,0),0), INDEX($AB$1004:$AQ$1004,1,MATCH(COLUMNS($AB$1006:AC1006),$AB$1006:$AQ$1006,0)))),"Fix")))</f>
        <v>0</v>
      </c>
      <c r="D359" s="5">
        <f>IF(OR(INDEX($V$2:$V$1001,MATCH(ROWS($U$2:U359),$U$2:$U$1001,0),1)&gt;=100000,INDEX($AB$1005:$AQ$1005,1,MATCH(COLUMNS($AB$1006:AD1006),$AB$1006:$AQ$1006,0))&gt;=100000), " ",IF(INDEX($AB$2:$AQ$1001,MATCH(ROWS($U$2:U359),$U$2:$U$1001,0),MATCH(COLUMNS($AB$1006:AD1006),$AB$1006:$AQ$1006,0)), HYPERLINK("#",""), HYPERLINK(CONCATENATE("#Metadata!", ADDRESS(INDEX($W$2:$W$1001,MATCH(ROWS($U$2:U359),$U$2:$U$1001,0),0), INDEX($AB$1004:$AQ$1004,1,MATCH(COLUMNS($AB$1006:AD1006),$AB$1006:$AQ$1006,0)))),"Fix")))</f>
        <v>0</v>
      </c>
      <c r="E359" s="5">
        <f>IF(OR(INDEX($V$2:$V$1001,MATCH(ROWS($U$2:U359),$U$2:$U$1001,0),1)&gt;=100000,INDEX($AB$1005:$AQ$1005,1,MATCH(COLUMNS($AB$1006:AE1006),$AB$1006:$AQ$1006,0))&gt;=100000), " ",IF(INDEX($AB$2:$AQ$1001,MATCH(ROWS($U$2:U359),$U$2:$U$1001,0),MATCH(COLUMNS($AB$1006:AE1006),$AB$1006:$AQ$1006,0)), HYPERLINK("#",""), HYPERLINK(CONCATENATE("#Metadata!", ADDRESS(INDEX($W$2:$W$1001,MATCH(ROWS($U$2:U359),$U$2:$U$1001,0),0), INDEX($AB$1004:$AQ$1004,1,MATCH(COLUMNS($AB$1006:AE1006),$AB$1006:$AQ$1006,0)))),"Fix")))</f>
        <v>0</v>
      </c>
      <c r="F359" s="5">
        <f>IF(OR(INDEX($V$2:$V$1001,MATCH(ROWS($U$2:U359),$U$2:$U$1001,0),1)&gt;=100000,INDEX($AB$1005:$AQ$1005,1,MATCH(COLUMNS($AB$1006:AF1006),$AB$1006:$AQ$1006,0))&gt;=100000), " ",IF(INDEX($AB$2:$AQ$1001,MATCH(ROWS($U$2:U359),$U$2:$U$1001,0),MATCH(COLUMNS($AB$1006:AF1006),$AB$1006:$AQ$1006,0)), HYPERLINK("#",""), HYPERLINK(CONCATENATE("#Metadata!", ADDRESS(INDEX($W$2:$W$1001,MATCH(ROWS($U$2:U359),$U$2:$U$1001,0),0), INDEX($AB$1004:$AQ$1004,1,MATCH(COLUMNS($AB$1006:AF1006),$AB$1006:$AQ$1006,0)))),"Fix")))</f>
        <v>0</v>
      </c>
      <c r="G359" s="5">
        <f>IF(OR(INDEX($V$2:$V$1001,MATCH(ROWS($U$2:U359),$U$2:$U$1001,0),1)&gt;=100000,INDEX($AB$1005:$AQ$1005,1,MATCH(COLUMNS($AB$1006:AG1006),$AB$1006:$AQ$1006,0))&gt;=100000), " ",IF(INDEX($AB$2:$AQ$1001,MATCH(ROWS($U$2:U359),$U$2:$U$1001,0),MATCH(COLUMNS($AB$1006:AG1006),$AB$1006:$AQ$1006,0)), HYPERLINK("#",""), HYPERLINK(CONCATENATE("#Metadata!", ADDRESS(INDEX($W$2:$W$1001,MATCH(ROWS($U$2:U359),$U$2:$U$1001,0),0), INDEX($AB$1004:$AQ$1004,1,MATCH(COLUMNS($AB$1006:AG1006),$AB$1006:$AQ$1006,0)))),"Fix")))</f>
        <v>0</v>
      </c>
      <c r="H359" s="5">
        <f>IF(OR(INDEX($V$2:$V$1001,MATCH(ROWS($U$2:U359),$U$2:$U$1001,0),1)&gt;=100000,INDEX($AB$1005:$AQ$1005,1,MATCH(COLUMNS($AB$1006:AH1006),$AB$1006:$AQ$1006,0))&gt;=100000), " ",IF(INDEX($AB$2:$AQ$1001,MATCH(ROWS($U$2:U359),$U$2:$U$1001,0),MATCH(COLUMNS($AB$1006:AH1006),$AB$1006:$AQ$1006,0)), HYPERLINK("#",""), HYPERLINK(CONCATENATE("#Metadata!", ADDRESS(INDEX($W$2:$W$1001,MATCH(ROWS($U$2:U359),$U$2:$U$1001,0),0), INDEX($AB$1004:$AQ$1004,1,MATCH(COLUMNS($AB$1006:AH1006),$AB$1006:$AQ$1006,0)))),"Fix")))</f>
        <v>0</v>
      </c>
      <c r="I359" s="5">
        <f>IF(OR(INDEX($V$2:$V$1001,MATCH(ROWS($U$2:U359),$U$2:$U$1001,0),1)&gt;=100000,INDEX($AB$1005:$AQ$1005,1,MATCH(COLUMNS($AB$1006:AI1006),$AB$1006:$AQ$1006,0))&gt;=100000), " ",IF(INDEX($AB$2:$AQ$1001,MATCH(ROWS($U$2:U359),$U$2:$U$1001,0),MATCH(COLUMNS($AB$1006:AI1006),$AB$1006:$AQ$1006,0)), HYPERLINK("#",""), HYPERLINK(CONCATENATE("#Metadata!", ADDRESS(INDEX($W$2:$W$1001,MATCH(ROWS($U$2:U359),$U$2:$U$1001,0),0), INDEX($AB$1004:$AQ$1004,1,MATCH(COLUMNS($AB$1006:AI1006),$AB$1006:$AQ$1006,0)))),"Fix")))</f>
        <v>0</v>
      </c>
      <c r="J359" s="5">
        <f>IF(OR(INDEX($V$2:$V$1001,MATCH(ROWS($U$2:U359),$U$2:$U$1001,0),1)&gt;=100000,INDEX($AB$1005:$AQ$1005,1,MATCH(COLUMNS($AB$1006:AJ1006),$AB$1006:$AQ$1006,0))&gt;=100000), " ",IF(INDEX($AB$2:$AQ$1001,MATCH(ROWS($U$2:U359),$U$2:$U$1001,0),MATCH(COLUMNS($AB$1006:AJ1006),$AB$1006:$AQ$1006,0)), HYPERLINK("#",""), HYPERLINK(CONCATENATE("#Metadata!", ADDRESS(INDEX($W$2:$W$1001,MATCH(ROWS($U$2:U359),$U$2:$U$1001,0),0), INDEX($AB$1004:$AQ$1004,1,MATCH(COLUMNS($AB$1006:AJ1006),$AB$1006:$AQ$1006,0)))),"Fix")))</f>
        <v>0</v>
      </c>
      <c r="K359" s="5">
        <f>IF(OR(INDEX($V$2:$V$1001,MATCH(ROWS($U$2:U359),$U$2:$U$1001,0),1)&gt;=100000,INDEX($AB$1005:$AQ$1005,1,MATCH(COLUMNS($AB$1006:AK1006),$AB$1006:$AQ$1006,0))&gt;=100000), " ",IF(INDEX($AB$2:$AQ$1001,MATCH(ROWS($U$2:U359),$U$2:$U$1001,0),MATCH(COLUMNS($AB$1006:AK1006),$AB$1006:$AQ$1006,0)), HYPERLINK("#",""), HYPERLINK(CONCATENATE("#Metadata!", ADDRESS(INDEX($W$2:$W$1001,MATCH(ROWS($U$2:U359),$U$2:$U$1001,0),0), INDEX($AB$1004:$AQ$1004,1,MATCH(COLUMNS($AB$1006:AK1006),$AB$1006:$AQ$1006,0)))),"Fix")))</f>
        <v>0</v>
      </c>
      <c r="L359" s="5">
        <f>IF(OR(INDEX($V$2:$V$1001,MATCH(ROWS($U$2:U359),$U$2:$U$1001,0),1)&gt;=100000,INDEX($AB$1005:$AQ$1005,1,MATCH(COLUMNS($AB$1006:AL1006),$AB$1006:$AQ$1006,0))&gt;=100000), " ",IF(INDEX($AB$2:$AQ$1001,MATCH(ROWS($U$2:U359),$U$2:$U$1001,0),MATCH(COLUMNS($AB$1006:AL1006),$AB$1006:$AQ$1006,0)), HYPERLINK("#",""), HYPERLINK(CONCATENATE("#Metadata!", ADDRESS(INDEX($W$2:$W$1001,MATCH(ROWS($U$2:U359),$U$2:$U$1001,0),0), INDEX($AB$1004:$AQ$1004,1,MATCH(COLUMNS($AB$1006:AL1006),$AB$1006:$AQ$1006,0)))),"Fix")))</f>
        <v>0</v>
      </c>
      <c r="M359" s="5">
        <f>IF(OR(INDEX($V$2:$V$1001,MATCH(ROWS($U$2:U359),$U$2:$U$1001,0),1)&gt;=100000,INDEX($AB$1005:$AQ$1005,1,MATCH(COLUMNS($AB$1006:AM1006),$AB$1006:$AQ$1006,0))&gt;=100000), " ",IF(INDEX($AB$2:$AQ$1001,MATCH(ROWS($U$2:U359),$U$2:$U$1001,0),MATCH(COLUMNS($AB$1006:AM1006),$AB$1006:$AQ$1006,0)), HYPERLINK("#",""), HYPERLINK(CONCATENATE("#Metadata!", ADDRESS(INDEX($W$2:$W$1001,MATCH(ROWS($U$2:U359),$U$2:$U$1001,0),0), INDEX($AB$1004:$AQ$1004,1,MATCH(COLUMNS($AB$1006:AM1006),$AB$1006:$AQ$1006,0)))),"Fix")))</f>
        <v>0</v>
      </c>
      <c r="N359" s="5">
        <f>IF(OR(INDEX($V$2:$V$1001,MATCH(ROWS($U$2:U359),$U$2:$U$1001,0),1)&gt;=100000,INDEX($AB$1005:$AQ$1005,1,MATCH(COLUMNS($AB$1006:AN1006),$AB$1006:$AQ$1006,0))&gt;=100000), " ",IF(INDEX($AB$2:$AQ$1001,MATCH(ROWS($U$2:U359),$U$2:$U$1001,0),MATCH(COLUMNS($AB$1006:AN1006),$AB$1006:$AQ$1006,0)), HYPERLINK("#",""), HYPERLINK(CONCATENATE("#Metadata!", ADDRESS(INDEX($W$2:$W$1001,MATCH(ROWS($U$2:U359),$U$2:$U$1001,0),0), INDEX($AB$1004:$AQ$1004,1,MATCH(COLUMNS($AB$1006:AN1006),$AB$1006:$AQ$1006,0)))),"Fix")))</f>
        <v>0</v>
      </c>
      <c r="O359" s="5">
        <f>IF(OR(INDEX($V$2:$V$1001,MATCH(ROWS($U$2:U359),$U$2:$U$1001,0),1)&gt;=100000,INDEX($AB$1005:$AQ$1005,1,MATCH(COLUMNS($AB$1006:AO1006),$AB$1006:$AQ$1006,0))&gt;=100000), " ",IF(INDEX($AB$2:$AQ$1001,MATCH(ROWS($U$2:U359),$U$2:$U$1001,0),MATCH(COLUMNS($AB$1006:AO1006),$AB$1006:$AQ$1006,0)), HYPERLINK("#",""), HYPERLINK(CONCATENATE("#Metadata!", ADDRESS(INDEX($W$2:$W$1001,MATCH(ROWS($U$2:U359),$U$2:$U$1001,0),0), INDEX($AB$1004:$AQ$1004,1,MATCH(COLUMNS($AB$1006:AO1006),$AB$1006:$AQ$1006,0)))),"Fix")))</f>
        <v>0</v>
      </c>
      <c r="P359" s="5">
        <f>IF(OR(INDEX($V$2:$V$1001,MATCH(ROWS($U$2:U359),$U$2:$U$1001,0),1)&gt;=100000,INDEX($AB$1005:$AQ$1005,1,MATCH(COLUMNS($AB$1006:AP1006),$AB$1006:$AQ$1006,0))&gt;=100000), " ",IF(INDEX($AB$2:$AQ$1001,MATCH(ROWS($U$2:U359),$U$2:$U$1001,0),MATCH(COLUMNS($AB$1006:AP1006),$AB$1006:$AQ$1006,0)), HYPERLINK("#",""), HYPERLINK(CONCATENATE("#Metadata!", ADDRESS(INDEX($W$2:$W$1001,MATCH(ROWS($U$2:U359),$U$2:$U$1001,0),0), INDEX($AB$1004:$AQ$1004,1,MATCH(COLUMNS($AB$1006:AP1006),$AB$1006:$AQ$1006,0)))),"Fix")))</f>
        <v>0</v>
      </c>
      <c r="Q359" s="5">
        <f>IF(OR(INDEX($V$2:$V$1001,MATCH(ROWS($U$2:U359),$U$2:$U$1001,0),1)&gt;=100000,INDEX($AB$1005:$AQ$1005,1,MATCH(COLUMNS($AB$1006:AQ1006),$AB$1006:$AQ$1006,0))&gt;=100000), " ",IF(INDEX($AB$2:$AQ$1001,MATCH(ROWS($U$2:U359),$U$2:$U$1001,0),MATCH(COLUMNS($AB$1006:AQ1006),$AB$1006:$AQ$1006,0)), HYPERLINK("#",""), HYPERLINK(CONCATENATE("#Metadata!", ADDRESS(INDEX($W$2:$W$1001,MATCH(ROWS($U$2:U359),$U$2:$U$1001,0),0), INDEX($AB$1004:$AQ$1004,1,MATCH(COLUMNS($AB$1006:AQ1006),$AB$1006:$AQ$1006,0)))),"Fix")))</f>
        <v>0</v>
      </c>
      <c r="U359">
        <v>0</v>
      </c>
      <c r="V359">
        <v>0</v>
      </c>
      <c r="W359">
        <v>0</v>
      </c>
      <c r="X359">
        <f>IF(Y359,TRUE,AND(AB359:AQ359))</f>
        <v>0</v>
      </c>
      <c r="Y359">
        <f>COUNTBLANK(Metadata!B359:Q359)=COLUMNS(Metadata!B359:Q359)</f>
        <v>0</v>
      </c>
      <c r="Z359">
        <v>0</v>
      </c>
      <c r="AB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AC359">
        <f>AND(IF(Metadata!C359="",FALSE,TRUE),exact(Metadata!C359,"urban biome"))</f>
        <v>0</v>
      </c>
      <c r="AD359">
        <f>AND(IF(Metadata!D359="",FALSE,TRUE),exact(Metadata!D359,"human-associated habitat"))</f>
        <v>0</v>
      </c>
      <c r="AE359">
        <f>AND(IF(Metadata!E359="",FALSE,TRUE),OR(exact(Metadata!E359,"human-associated"),exact(Metadata!E359,"human-skin"),exact(Metadata!E359,"human-oral"),exact(Metadata!E359,"human-gut"),exact(Metadata!E359,"human-vaginal")))</f>
        <v>0</v>
      </c>
      <c r="AF359">
        <f>AND(IF(Metadata!F359="",FALSE,ISNUMBER(VALUE(Metadata!F359))),Metadata!F359&gt;0)</f>
        <v>0</v>
      </c>
      <c r="AG359">
        <f>AND(IF(Metadata!G359="",FALSE,TRUE),exact(Metadata!G359,"years"))</f>
        <v>0</v>
      </c>
      <c r="AH359">
        <f>OR(AND(IF(Metadata!H359="",FALSE,TRUE),OR(exact(Metadata!H359,"not applicable"),exact(Metadata!H359,"not collected"),exact(Metadata!H359,"not provided"),exact(Metadata!H359,"restricted access"))),AND(IF(Metadata!H359="",FALSE,ISNUMBER(VALUE(Metadata!H359))),Metadata!H359&gt;0))</f>
        <v>0</v>
      </c>
      <c r="AI359">
        <f>AND(IF(Metadata!I359="",FALSE,TRUE),exact(Metadata!I359,"human"))</f>
        <v>0</v>
      </c>
      <c r="AJ359">
        <f>AND(IF(Metadata!J359="",FALSE,ISNUMBER(VALUE(Metadata!J359))),Metadata!J359&gt;0)</f>
        <v>0</v>
      </c>
      <c r="AK359">
        <f>AND(IF(Metadata!K359="",FALSE,TRUE),exact(Metadata!K359,"cm"))</f>
        <v>0</v>
      </c>
      <c r="AL359">
        <f>AND(IF(Metadata!L359="",FALSE,TRUE),exact(Metadata!L359,"Homo sapiens"))</f>
        <v>0</v>
      </c>
      <c r="AM359">
        <f>AND(IF(Metadata!M359="",FALSE,TRUE),exact(Metadata!M359,"9606"))</f>
        <v>0</v>
      </c>
      <c r="AN359">
        <f>AND(IF(Metadata!N359="",FALSE,ISNUMBER(VALUE(Metadata!N359))),Metadata!N359&gt;0)</f>
        <v>0</v>
      </c>
      <c r="AO359">
        <f>AND(IF(Metadata!O359="",FALSE,TRUE),exact(Metadata!O359,"kg"))</f>
        <v>0</v>
      </c>
      <c r="AP359">
        <f>OR(AND(IF(Metadata!P359="",FALSE,TRUE),exact(Metadata!P359,"not provided")),IF(Metadata!P359="",FALSE,TRUE))</f>
        <v>0</v>
      </c>
      <c r="AQ359">
        <f>OR(AND(IF(Metadata!Q359="",FALSE,TRUE),exact(Metadata!Q359,"not provided")),IF(Metadata!Q359="",FALSE,TRUE))</f>
        <v>0</v>
      </c>
    </row>
    <row r="360" spans="1:43">
      <c r="A360" s="4">
        <f>IF(B360=" "," ",HYPERLINK(CONCATENATE("#metadata!",ADDRESS(INDEX($W$2:$W$1001,MATCH(ROWS($U$2:U360),$U$2:$U$1001,0),0),2)),INDEX($Z$2:$Z$1001,MATCH(ROWS($U$2:U360),$U$2:$U$1001,0),0)))</f>
        <v>0</v>
      </c>
      <c r="B360" s="5">
        <f>IF(OR(INDEX($V$2:$V$1001,MATCH(ROWS($U$2:U360),$U$2:$U$1001,0),1)&gt;=100000,INDEX($AB$1005:$AQ$1005,1,MATCH(COLUMNS($AB$1006:AB1006),$AB$1006:$AQ$1006,0))&gt;=100000), " ",IF(INDEX($AB$2:$AQ$1001,MATCH(ROWS($U$2:U360),$U$2:$U$1001,0),MATCH(COLUMNS($AB$1006:AB1006),$AB$1006:$AQ$1006,0)), HYPERLINK("#",""), HYPERLINK(CONCATENATE("#Metadata!", ADDRESS(INDEX($W$2:$W$1001,MATCH(ROWS($U$2:U360),$U$2:$U$1001,0),0), INDEX($AB$1004:$AQ$1004,1,MATCH(COLUMNS($AB$1006:AB1006),$AB$1006:$AQ$1006,0)))),"Fix")))</f>
        <v>0</v>
      </c>
      <c r="C360" s="5">
        <f>IF(OR(INDEX($V$2:$V$1001,MATCH(ROWS($U$2:U360),$U$2:$U$1001,0),1)&gt;=100000,INDEX($AB$1005:$AQ$1005,1,MATCH(COLUMNS($AB$1006:AC1006),$AB$1006:$AQ$1006,0))&gt;=100000), " ",IF(INDEX($AB$2:$AQ$1001,MATCH(ROWS($U$2:U360),$U$2:$U$1001,0),MATCH(COLUMNS($AB$1006:AC1006),$AB$1006:$AQ$1006,0)), HYPERLINK("#",""), HYPERLINK(CONCATENATE("#Metadata!", ADDRESS(INDEX($W$2:$W$1001,MATCH(ROWS($U$2:U360),$U$2:$U$1001,0),0), INDEX($AB$1004:$AQ$1004,1,MATCH(COLUMNS($AB$1006:AC1006),$AB$1006:$AQ$1006,0)))),"Fix")))</f>
        <v>0</v>
      </c>
      <c r="D360" s="5">
        <f>IF(OR(INDEX($V$2:$V$1001,MATCH(ROWS($U$2:U360),$U$2:$U$1001,0),1)&gt;=100000,INDEX($AB$1005:$AQ$1005,1,MATCH(COLUMNS($AB$1006:AD1006),$AB$1006:$AQ$1006,0))&gt;=100000), " ",IF(INDEX($AB$2:$AQ$1001,MATCH(ROWS($U$2:U360),$U$2:$U$1001,0),MATCH(COLUMNS($AB$1006:AD1006),$AB$1006:$AQ$1006,0)), HYPERLINK("#",""), HYPERLINK(CONCATENATE("#Metadata!", ADDRESS(INDEX($W$2:$W$1001,MATCH(ROWS($U$2:U360),$U$2:$U$1001,0),0), INDEX($AB$1004:$AQ$1004,1,MATCH(COLUMNS($AB$1006:AD1006),$AB$1006:$AQ$1006,0)))),"Fix")))</f>
        <v>0</v>
      </c>
      <c r="E360" s="5">
        <f>IF(OR(INDEX($V$2:$V$1001,MATCH(ROWS($U$2:U360),$U$2:$U$1001,0),1)&gt;=100000,INDEX($AB$1005:$AQ$1005,1,MATCH(COLUMNS($AB$1006:AE1006),$AB$1006:$AQ$1006,0))&gt;=100000), " ",IF(INDEX($AB$2:$AQ$1001,MATCH(ROWS($U$2:U360),$U$2:$U$1001,0),MATCH(COLUMNS($AB$1006:AE1006),$AB$1006:$AQ$1006,0)), HYPERLINK("#",""), HYPERLINK(CONCATENATE("#Metadata!", ADDRESS(INDEX($W$2:$W$1001,MATCH(ROWS($U$2:U360),$U$2:$U$1001,0),0), INDEX($AB$1004:$AQ$1004,1,MATCH(COLUMNS($AB$1006:AE1006),$AB$1006:$AQ$1006,0)))),"Fix")))</f>
        <v>0</v>
      </c>
      <c r="F360" s="5">
        <f>IF(OR(INDEX($V$2:$V$1001,MATCH(ROWS($U$2:U360),$U$2:$U$1001,0),1)&gt;=100000,INDEX($AB$1005:$AQ$1005,1,MATCH(COLUMNS($AB$1006:AF1006),$AB$1006:$AQ$1006,0))&gt;=100000), " ",IF(INDEX($AB$2:$AQ$1001,MATCH(ROWS($U$2:U360),$U$2:$U$1001,0),MATCH(COLUMNS($AB$1006:AF1006),$AB$1006:$AQ$1006,0)), HYPERLINK("#",""), HYPERLINK(CONCATENATE("#Metadata!", ADDRESS(INDEX($W$2:$W$1001,MATCH(ROWS($U$2:U360),$U$2:$U$1001,0),0), INDEX($AB$1004:$AQ$1004,1,MATCH(COLUMNS($AB$1006:AF1006),$AB$1006:$AQ$1006,0)))),"Fix")))</f>
        <v>0</v>
      </c>
      <c r="G360" s="5">
        <f>IF(OR(INDEX($V$2:$V$1001,MATCH(ROWS($U$2:U360),$U$2:$U$1001,0),1)&gt;=100000,INDEX($AB$1005:$AQ$1005,1,MATCH(COLUMNS($AB$1006:AG1006),$AB$1006:$AQ$1006,0))&gt;=100000), " ",IF(INDEX($AB$2:$AQ$1001,MATCH(ROWS($U$2:U360),$U$2:$U$1001,0),MATCH(COLUMNS($AB$1006:AG1006),$AB$1006:$AQ$1006,0)), HYPERLINK("#",""), HYPERLINK(CONCATENATE("#Metadata!", ADDRESS(INDEX($W$2:$W$1001,MATCH(ROWS($U$2:U360),$U$2:$U$1001,0),0), INDEX($AB$1004:$AQ$1004,1,MATCH(COLUMNS($AB$1006:AG1006),$AB$1006:$AQ$1006,0)))),"Fix")))</f>
        <v>0</v>
      </c>
      <c r="H360" s="5">
        <f>IF(OR(INDEX($V$2:$V$1001,MATCH(ROWS($U$2:U360),$U$2:$U$1001,0),1)&gt;=100000,INDEX($AB$1005:$AQ$1005,1,MATCH(COLUMNS($AB$1006:AH1006),$AB$1006:$AQ$1006,0))&gt;=100000), " ",IF(INDEX($AB$2:$AQ$1001,MATCH(ROWS($U$2:U360),$U$2:$U$1001,0),MATCH(COLUMNS($AB$1006:AH1006),$AB$1006:$AQ$1006,0)), HYPERLINK("#",""), HYPERLINK(CONCATENATE("#Metadata!", ADDRESS(INDEX($W$2:$W$1001,MATCH(ROWS($U$2:U360),$U$2:$U$1001,0),0), INDEX($AB$1004:$AQ$1004,1,MATCH(COLUMNS($AB$1006:AH1006),$AB$1006:$AQ$1006,0)))),"Fix")))</f>
        <v>0</v>
      </c>
      <c r="I360" s="5">
        <f>IF(OR(INDEX($V$2:$V$1001,MATCH(ROWS($U$2:U360),$U$2:$U$1001,0),1)&gt;=100000,INDEX($AB$1005:$AQ$1005,1,MATCH(COLUMNS($AB$1006:AI1006),$AB$1006:$AQ$1006,0))&gt;=100000), " ",IF(INDEX($AB$2:$AQ$1001,MATCH(ROWS($U$2:U360),$U$2:$U$1001,0),MATCH(COLUMNS($AB$1006:AI1006),$AB$1006:$AQ$1006,0)), HYPERLINK("#",""), HYPERLINK(CONCATENATE("#Metadata!", ADDRESS(INDEX($W$2:$W$1001,MATCH(ROWS($U$2:U360),$U$2:$U$1001,0),0), INDEX($AB$1004:$AQ$1004,1,MATCH(COLUMNS($AB$1006:AI1006),$AB$1006:$AQ$1006,0)))),"Fix")))</f>
        <v>0</v>
      </c>
      <c r="J360" s="5">
        <f>IF(OR(INDEX($V$2:$V$1001,MATCH(ROWS($U$2:U360),$U$2:$U$1001,0),1)&gt;=100000,INDEX($AB$1005:$AQ$1005,1,MATCH(COLUMNS($AB$1006:AJ1006),$AB$1006:$AQ$1006,0))&gt;=100000), " ",IF(INDEX($AB$2:$AQ$1001,MATCH(ROWS($U$2:U360),$U$2:$U$1001,0),MATCH(COLUMNS($AB$1006:AJ1006),$AB$1006:$AQ$1006,0)), HYPERLINK("#",""), HYPERLINK(CONCATENATE("#Metadata!", ADDRESS(INDEX($W$2:$W$1001,MATCH(ROWS($U$2:U360),$U$2:$U$1001,0),0), INDEX($AB$1004:$AQ$1004,1,MATCH(COLUMNS($AB$1006:AJ1006),$AB$1006:$AQ$1006,0)))),"Fix")))</f>
        <v>0</v>
      </c>
      <c r="K360" s="5">
        <f>IF(OR(INDEX($V$2:$V$1001,MATCH(ROWS($U$2:U360),$U$2:$U$1001,0),1)&gt;=100000,INDEX($AB$1005:$AQ$1005,1,MATCH(COLUMNS($AB$1006:AK1006),$AB$1006:$AQ$1006,0))&gt;=100000), " ",IF(INDEX($AB$2:$AQ$1001,MATCH(ROWS($U$2:U360),$U$2:$U$1001,0),MATCH(COLUMNS($AB$1006:AK1006),$AB$1006:$AQ$1006,0)), HYPERLINK("#",""), HYPERLINK(CONCATENATE("#Metadata!", ADDRESS(INDEX($W$2:$W$1001,MATCH(ROWS($U$2:U360),$U$2:$U$1001,0),0), INDEX($AB$1004:$AQ$1004,1,MATCH(COLUMNS($AB$1006:AK1006),$AB$1006:$AQ$1006,0)))),"Fix")))</f>
        <v>0</v>
      </c>
      <c r="L360" s="5">
        <f>IF(OR(INDEX($V$2:$V$1001,MATCH(ROWS($U$2:U360),$U$2:$U$1001,0),1)&gt;=100000,INDEX($AB$1005:$AQ$1005,1,MATCH(COLUMNS($AB$1006:AL1006),$AB$1006:$AQ$1006,0))&gt;=100000), " ",IF(INDEX($AB$2:$AQ$1001,MATCH(ROWS($U$2:U360),$U$2:$U$1001,0),MATCH(COLUMNS($AB$1006:AL1006),$AB$1006:$AQ$1006,0)), HYPERLINK("#",""), HYPERLINK(CONCATENATE("#Metadata!", ADDRESS(INDEX($W$2:$W$1001,MATCH(ROWS($U$2:U360),$U$2:$U$1001,0),0), INDEX($AB$1004:$AQ$1004,1,MATCH(COLUMNS($AB$1006:AL1006),$AB$1006:$AQ$1006,0)))),"Fix")))</f>
        <v>0</v>
      </c>
      <c r="M360" s="5">
        <f>IF(OR(INDEX($V$2:$V$1001,MATCH(ROWS($U$2:U360),$U$2:$U$1001,0),1)&gt;=100000,INDEX($AB$1005:$AQ$1005,1,MATCH(COLUMNS($AB$1006:AM1006),$AB$1006:$AQ$1006,0))&gt;=100000), " ",IF(INDEX($AB$2:$AQ$1001,MATCH(ROWS($U$2:U360),$U$2:$U$1001,0),MATCH(COLUMNS($AB$1006:AM1006),$AB$1006:$AQ$1006,0)), HYPERLINK("#",""), HYPERLINK(CONCATENATE("#Metadata!", ADDRESS(INDEX($W$2:$W$1001,MATCH(ROWS($U$2:U360),$U$2:$U$1001,0),0), INDEX($AB$1004:$AQ$1004,1,MATCH(COLUMNS($AB$1006:AM1006),$AB$1006:$AQ$1006,0)))),"Fix")))</f>
        <v>0</v>
      </c>
      <c r="N360" s="5">
        <f>IF(OR(INDEX($V$2:$V$1001,MATCH(ROWS($U$2:U360),$U$2:$U$1001,0),1)&gt;=100000,INDEX($AB$1005:$AQ$1005,1,MATCH(COLUMNS($AB$1006:AN1006),$AB$1006:$AQ$1006,0))&gt;=100000), " ",IF(INDEX($AB$2:$AQ$1001,MATCH(ROWS($U$2:U360),$U$2:$U$1001,0),MATCH(COLUMNS($AB$1006:AN1006),$AB$1006:$AQ$1006,0)), HYPERLINK("#",""), HYPERLINK(CONCATENATE("#Metadata!", ADDRESS(INDEX($W$2:$W$1001,MATCH(ROWS($U$2:U360),$U$2:$U$1001,0),0), INDEX($AB$1004:$AQ$1004,1,MATCH(COLUMNS($AB$1006:AN1006),$AB$1006:$AQ$1006,0)))),"Fix")))</f>
        <v>0</v>
      </c>
      <c r="O360" s="5">
        <f>IF(OR(INDEX($V$2:$V$1001,MATCH(ROWS($U$2:U360),$U$2:$U$1001,0),1)&gt;=100000,INDEX($AB$1005:$AQ$1005,1,MATCH(COLUMNS($AB$1006:AO1006),$AB$1006:$AQ$1006,0))&gt;=100000), " ",IF(INDEX($AB$2:$AQ$1001,MATCH(ROWS($U$2:U360),$U$2:$U$1001,0),MATCH(COLUMNS($AB$1006:AO1006),$AB$1006:$AQ$1006,0)), HYPERLINK("#",""), HYPERLINK(CONCATENATE("#Metadata!", ADDRESS(INDEX($W$2:$W$1001,MATCH(ROWS($U$2:U360),$U$2:$U$1001,0),0), INDEX($AB$1004:$AQ$1004,1,MATCH(COLUMNS($AB$1006:AO1006),$AB$1006:$AQ$1006,0)))),"Fix")))</f>
        <v>0</v>
      </c>
      <c r="P360" s="5">
        <f>IF(OR(INDEX($V$2:$V$1001,MATCH(ROWS($U$2:U360),$U$2:$U$1001,0),1)&gt;=100000,INDEX($AB$1005:$AQ$1005,1,MATCH(COLUMNS($AB$1006:AP1006),$AB$1006:$AQ$1006,0))&gt;=100000), " ",IF(INDEX($AB$2:$AQ$1001,MATCH(ROWS($U$2:U360),$U$2:$U$1001,0),MATCH(COLUMNS($AB$1006:AP1006),$AB$1006:$AQ$1006,0)), HYPERLINK("#",""), HYPERLINK(CONCATENATE("#Metadata!", ADDRESS(INDEX($W$2:$W$1001,MATCH(ROWS($U$2:U360),$U$2:$U$1001,0),0), INDEX($AB$1004:$AQ$1004,1,MATCH(COLUMNS($AB$1006:AP1006),$AB$1006:$AQ$1006,0)))),"Fix")))</f>
        <v>0</v>
      </c>
      <c r="Q360" s="5">
        <f>IF(OR(INDEX($V$2:$V$1001,MATCH(ROWS($U$2:U360),$U$2:$U$1001,0),1)&gt;=100000,INDEX($AB$1005:$AQ$1005,1,MATCH(COLUMNS($AB$1006:AQ1006),$AB$1006:$AQ$1006,0))&gt;=100000), " ",IF(INDEX($AB$2:$AQ$1001,MATCH(ROWS($U$2:U360),$U$2:$U$1001,0),MATCH(COLUMNS($AB$1006:AQ1006),$AB$1006:$AQ$1006,0)), HYPERLINK("#",""), HYPERLINK(CONCATENATE("#Metadata!", ADDRESS(INDEX($W$2:$W$1001,MATCH(ROWS($U$2:U360),$U$2:$U$1001,0),0), INDEX($AB$1004:$AQ$1004,1,MATCH(COLUMNS($AB$1006:AQ1006),$AB$1006:$AQ$1006,0)))),"Fix")))</f>
        <v>0</v>
      </c>
      <c r="U360">
        <v>0</v>
      </c>
      <c r="V360">
        <v>0</v>
      </c>
      <c r="W360">
        <v>0</v>
      </c>
      <c r="X360">
        <f>IF(Y360,TRUE,AND(AB360:AQ360))</f>
        <v>0</v>
      </c>
      <c r="Y360">
        <f>COUNTBLANK(Metadata!B360:Q360)=COLUMNS(Metadata!B360:Q360)</f>
        <v>0</v>
      </c>
      <c r="Z360">
        <v>0</v>
      </c>
      <c r="AB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AC360">
        <f>AND(IF(Metadata!C360="",FALSE,TRUE),exact(Metadata!C360,"urban biome"))</f>
        <v>0</v>
      </c>
      <c r="AD360">
        <f>AND(IF(Metadata!D360="",FALSE,TRUE),exact(Metadata!D360,"human-associated habitat"))</f>
        <v>0</v>
      </c>
      <c r="AE360">
        <f>AND(IF(Metadata!E360="",FALSE,TRUE),OR(exact(Metadata!E360,"human-associated"),exact(Metadata!E360,"human-skin"),exact(Metadata!E360,"human-oral"),exact(Metadata!E360,"human-gut"),exact(Metadata!E360,"human-vaginal")))</f>
        <v>0</v>
      </c>
      <c r="AF360">
        <f>AND(IF(Metadata!F360="",FALSE,ISNUMBER(VALUE(Metadata!F360))),Metadata!F360&gt;0)</f>
        <v>0</v>
      </c>
      <c r="AG360">
        <f>AND(IF(Metadata!G360="",FALSE,TRUE),exact(Metadata!G360,"years"))</f>
        <v>0</v>
      </c>
      <c r="AH360">
        <f>OR(AND(IF(Metadata!H360="",FALSE,TRUE),OR(exact(Metadata!H360,"not applicable"),exact(Metadata!H360,"not collected"),exact(Metadata!H360,"not provided"),exact(Metadata!H360,"restricted access"))),AND(IF(Metadata!H360="",FALSE,ISNUMBER(VALUE(Metadata!H360))),Metadata!H360&gt;0))</f>
        <v>0</v>
      </c>
      <c r="AI360">
        <f>AND(IF(Metadata!I360="",FALSE,TRUE),exact(Metadata!I360,"human"))</f>
        <v>0</v>
      </c>
      <c r="AJ360">
        <f>AND(IF(Metadata!J360="",FALSE,ISNUMBER(VALUE(Metadata!J360))),Metadata!J360&gt;0)</f>
        <v>0</v>
      </c>
      <c r="AK360">
        <f>AND(IF(Metadata!K360="",FALSE,TRUE),exact(Metadata!K360,"cm"))</f>
        <v>0</v>
      </c>
      <c r="AL360">
        <f>AND(IF(Metadata!L360="",FALSE,TRUE),exact(Metadata!L360,"Homo sapiens"))</f>
        <v>0</v>
      </c>
      <c r="AM360">
        <f>AND(IF(Metadata!M360="",FALSE,TRUE),exact(Metadata!M360,"9606"))</f>
        <v>0</v>
      </c>
      <c r="AN360">
        <f>AND(IF(Metadata!N360="",FALSE,ISNUMBER(VALUE(Metadata!N360))),Metadata!N360&gt;0)</f>
        <v>0</v>
      </c>
      <c r="AO360">
        <f>AND(IF(Metadata!O360="",FALSE,TRUE),exact(Metadata!O360,"kg"))</f>
        <v>0</v>
      </c>
      <c r="AP360">
        <f>OR(AND(IF(Metadata!P360="",FALSE,TRUE),exact(Metadata!P360,"not provided")),IF(Metadata!P360="",FALSE,TRUE))</f>
        <v>0</v>
      </c>
      <c r="AQ360">
        <f>OR(AND(IF(Metadata!Q360="",FALSE,TRUE),exact(Metadata!Q360,"not provided")),IF(Metadata!Q360="",FALSE,TRUE))</f>
        <v>0</v>
      </c>
    </row>
    <row r="361" spans="1:43">
      <c r="A361" s="4">
        <f>IF(B361=" "," ",HYPERLINK(CONCATENATE("#metadata!",ADDRESS(INDEX($W$2:$W$1001,MATCH(ROWS($U$2:U361),$U$2:$U$1001,0),0),2)),INDEX($Z$2:$Z$1001,MATCH(ROWS($U$2:U361),$U$2:$U$1001,0),0)))</f>
        <v>0</v>
      </c>
      <c r="B361" s="5">
        <f>IF(OR(INDEX($V$2:$V$1001,MATCH(ROWS($U$2:U361),$U$2:$U$1001,0),1)&gt;=100000,INDEX($AB$1005:$AQ$1005,1,MATCH(COLUMNS($AB$1006:AB1006),$AB$1006:$AQ$1006,0))&gt;=100000), " ",IF(INDEX($AB$2:$AQ$1001,MATCH(ROWS($U$2:U361),$U$2:$U$1001,0),MATCH(COLUMNS($AB$1006:AB1006),$AB$1006:$AQ$1006,0)), HYPERLINK("#",""), HYPERLINK(CONCATENATE("#Metadata!", ADDRESS(INDEX($W$2:$W$1001,MATCH(ROWS($U$2:U361),$U$2:$U$1001,0),0), INDEX($AB$1004:$AQ$1004,1,MATCH(COLUMNS($AB$1006:AB1006),$AB$1006:$AQ$1006,0)))),"Fix")))</f>
        <v>0</v>
      </c>
      <c r="C361" s="5">
        <f>IF(OR(INDEX($V$2:$V$1001,MATCH(ROWS($U$2:U361),$U$2:$U$1001,0),1)&gt;=100000,INDEX($AB$1005:$AQ$1005,1,MATCH(COLUMNS($AB$1006:AC1006),$AB$1006:$AQ$1006,0))&gt;=100000), " ",IF(INDEX($AB$2:$AQ$1001,MATCH(ROWS($U$2:U361),$U$2:$U$1001,0),MATCH(COLUMNS($AB$1006:AC1006),$AB$1006:$AQ$1006,0)), HYPERLINK("#",""), HYPERLINK(CONCATENATE("#Metadata!", ADDRESS(INDEX($W$2:$W$1001,MATCH(ROWS($U$2:U361),$U$2:$U$1001,0),0), INDEX($AB$1004:$AQ$1004,1,MATCH(COLUMNS($AB$1006:AC1006),$AB$1006:$AQ$1006,0)))),"Fix")))</f>
        <v>0</v>
      </c>
      <c r="D361" s="5">
        <f>IF(OR(INDEX($V$2:$V$1001,MATCH(ROWS($U$2:U361),$U$2:$U$1001,0),1)&gt;=100000,INDEX($AB$1005:$AQ$1005,1,MATCH(COLUMNS($AB$1006:AD1006),$AB$1006:$AQ$1006,0))&gt;=100000), " ",IF(INDEX($AB$2:$AQ$1001,MATCH(ROWS($U$2:U361),$U$2:$U$1001,0),MATCH(COLUMNS($AB$1006:AD1006),$AB$1006:$AQ$1006,0)), HYPERLINK("#",""), HYPERLINK(CONCATENATE("#Metadata!", ADDRESS(INDEX($W$2:$W$1001,MATCH(ROWS($U$2:U361),$U$2:$U$1001,0),0), INDEX($AB$1004:$AQ$1004,1,MATCH(COLUMNS($AB$1006:AD1006),$AB$1006:$AQ$1006,0)))),"Fix")))</f>
        <v>0</v>
      </c>
      <c r="E361" s="5">
        <f>IF(OR(INDEX($V$2:$V$1001,MATCH(ROWS($U$2:U361),$U$2:$U$1001,0),1)&gt;=100000,INDEX($AB$1005:$AQ$1005,1,MATCH(COLUMNS($AB$1006:AE1006),$AB$1006:$AQ$1006,0))&gt;=100000), " ",IF(INDEX($AB$2:$AQ$1001,MATCH(ROWS($U$2:U361),$U$2:$U$1001,0),MATCH(COLUMNS($AB$1006:AE1006),$AB$1006:$AQ$1006,0)), HYPERLINK("#",""), HYPERLINK(CONCATENATE("#Metadata!", ADDRESS(INDEX($W$2:$W$1001,MATCH(ROWS($U$2:U361),$U$2:$U$1001,0),0), INDEX($AB$1004:$AQ$1004,1,MATCH(COLUMNS($AB$1006:AE1006),$AB$1006:$AQ$1006,0)))),"Fix")))</f>
        <v>0</v>
      </c>
      <c r="F361" s="5">
        <f>IF(OR(INDEX($V$2:$V$1001,MATCH(ROWS($U$2:U361),$U$2:$U$1001,0),1)&gt;=100000,INDEX($AB$1005:$AQ$1005,1,MATCH(COLUMNS($AB$1006:AF1006),$AB$1006:$AQ$1006,0))&gt;=100000), " ",IF(INDEX($AB$2:$AQ$1001,MATCH(ROWS($U$2:U361),$U$2:$U$1001,0),MATCH(COLUMNS($AB$1006:AF1006),$AB$1006:$AQ$1006,0)), HYPERLINK("#",""), HYPERLINK(CONCATENATE("#Metadata!", ADDRESS(INDEX($W$2:$W$1001,MATCH(ROWS($U$2:U361),$U$2:$U$1001,0),0), INDEX($AB$1004:$AQ$1004,1,MATCH(COLUMNS($AB$1006:AF1006),$AB$1006:$AQ$1006,0)))),"Fix")))</f>
        <v>0</v>
      </c>
      <c r="G361" s="5">
        <f>IF(OR(INDEX($V$2:$V$1001,MATCH(ROWS($U$2:U361),$U$2:$U$1001,0),1)&gt;=100000,INDEX($AB$1005:$AQ$1005,1,MATCH(COLUMNS($AB$1006:AG1006),$AB$1006:$AQ$1006,0))&gt;=100000), " ",IF(INDEX($AB$2:$AQ$1001,MATCH(ROWS($U$2:U361),$U$2:$U$1001,0),MATCH(COLUMNS($AB$1006:AG1006),$AB$1006:$AQ$1006,0)), HYPERLINK("#",""), HYPERLINK(CONCATENATE("#Metadata!", ADDRESS(INDEX($W$2:$W$1001,MATCH(ROWS($U$2:U361),$U$2:$U$1001,0),0), INDEX($AB$1004:$AQ$1004,1,MATCH(COLUMNS($AB$1006:AG1006),$AB$1006:$AQ$1006,0)))),"Fix")))</f>
        <v>0</v>
      </c>
      <c r="H361" s="5">
        <f>IF(OR(INDEX($V$2:$V$1001,MATCH(ROWS($U$2:U361),$U$2:$U$1001,0),1)&gt;=100000,INDEX($AB$1005:$AQ$1005,1,MATCH(COLUMNS($AB$1006:AH1006),$AB$1006:$AQ$1006,0))&gt;=100000), " ",IF(INDEX($AB$2:$AQ$1001,MATCH(ROWS($U$2:U361),$U$2:$U$1001,0),MATCH(COLUMNS($AB$1006:AH1006),$AB$1006:$AQ$1006,0)), HYPERLINK("#",""), HYPERLINK(CONCATENATE("#Metadata!", ADDRESS(INDEX($W$2:$W$1001,MATCH(ROWS($U$2:U361),$U$2:$U$1001,0),0), INDEX($AB$1004:$AQ$1004,1,MATCH(COLUMNS($AB$1006:AH1006),$AB$1006:$AQ$1006,0)))),"Fix")))</f>
        <v>0</v>
      </c>
      <c r="I361" s="5">
        <f>IF(OR(INDEX($V$2:$V$1001,MATCH(ROWS($U$2:U361),$U$2:$U$1001,0),1)&gt;=100000,INDEX($AB$1005:$AQ$1005,1,MATCH(COLUMNS($AB$1006:AI1006),$AB$1006:$AQ$1006,0))&gt;=100000), " ",IF(INDEX($AB$2:$AQ$1001,MATCH(ROWS($U$2:U361),$U$2:$U$1001,0),MATCH(COLUMNS($AB$1006:AI1006),$AB$1006:$AQ$1006,0)), HYPERLINK("#",""), HYPERLINK(CONCATENATE("#Metadata!", ADDRESS(INDEX($W$2:$W$1001,MATCH(ROWS($U$2:U361),$U$2:$U$1001,0),0), INDEX($AB$1004:$AQ$1004,1,MATCH(COLUMNS($AB$1006:AI1006),$AB$1006:$AQ$1006,0)))),"Fix")))</f>
        <v>0</v>
      </c>
      <c r="J361" s="5">
        <f>IF(OR(INDEX($V$2:$V$1001,MATCH(ROWS($U$2:U361),$U$2:$U$1001,0),1)&gt;=100000,INDEX($AB$1005:$AQ$1005,1,MATCH(COLUMNS($AB$1006:AJ1006),$AB$1006:$AQ$1006,0))&gt;=100000), " ",IF(INDEX($AB$2:$AQ$1001,MATCH(ROWS($U$2:U361),$U$2:$U$1001,0),MATCH(COLUMNS($AB$1006:AJ1006),$AB$1006:$AQ$1006,0)), HYPERLINK("#",""), HYPERLINK(CONCATENATE("#Metadata!", ADDRESS(INDEX($W$2:$W$1001,MATCH(ROWS($U$2:U361),$U$2:$U$1001,0),0), INDEX($AB$1004:$AQ$1004,1,MATCH(COLUMNS($AB$1006:AJ1006),$AB$1006:$AQ$1006,0)))),"Fix")))</f>
        <v>0</v>
      </c>
      <c r="K361" s="5">
        <f>IF(OR(INDEX($V$2:$V$1001,MATCH(ROWS($U$2:U361),$U$2:$U$1001,0),1)&gt;=100000,INDEX($AB$1005:$AQ$1005,1,MATCH(COLUMNS($AB$1006:AK1006),$AB$1006:$AQ$1006,0))&gt;=100000), " ",IF(INDEX($AB$2:$AQ$1001,MATCH(ROWS($U$2:U361),$U$2:$U$1001,0),MATCH(COLUMNS($AB$1006:AK1006),$AB$1006:$AQ$1006,0)), HYPERLINK("#",""), HYPERLINK(CONCATENATE("#Metadata!", ADDRESS(INDEX($W$2:$W$1001,MATCH(ROWS($U$2:U361),$U$2:$U$1001,0),0), INDEX($AB$1004:$AQ$1004,1,MATCH(COLUMNS($AB$1006:AK1006),$AB$1006:$AQ$1006,0)))),"Fix")))</f>
        <v>0</v>
      </c>
      <c r="L361" s="5">
        <f>IF(OR(INDEX($V$2:$V$1001,MATCH(ROWS($U$2:U361),$U$2:$U$1001,0),1)&gt;=100000,INDEX($AB$1005:$AQ$1005,1,MATCH(COLUMNS($AB$1006:AL1006),$AB$1006:$AQ$1006,0))&gt;=100000), " ",IF(INDEX($AB$2:$AQ$1001,MATCH(ROWS($U$2:U361),$U$2:$U$1001,0),MATCH(COLUMNS($AB$1006:AL1006),$AB$1006:$AQ$1006,0)), HYPERLINK("#",""), HYPERLINK(CONCATENATE("#Metadata!", ADDRESS(INDEX($W$2:$W$1001,MATCH(ROWS($U$2:U361),$U$2:$U$1001,0),0), INDEX($AB$1004:$AQ$1004,1,MATCH(COLUMNS($AB$1006:AL1006),$AB$1006:$AQ$1006,0)))),"Fix")))</f>
        <v>0</v>
      </c>
      <c r="M361" s="5">
        <f>IF(OR(INDEX($V$2:$V$1001,MATCH(ROWS($U$2:U361),$U$2:$U$1001,0),1)&gt;=100000,INDEX($AB$1005:$AQ$1005,1,MATCH(COLUMNS($AB$1006:AM1006),$AB$1006:$AQ$1006,0))&gt;=100000), " ",IF(INDEX($AB$2:$AQ$1001,MATCH(ROWS($U$2:U361),$U$2:$U$1001,0),MATCH(COLUMNS($AB$1006:AM1006),$AB$1006:$AQ$1006,0)), HYPERLINK("#",""), HYPERLINK(CONCATENATE("#Metadata!", ADDRESS(INDEX($W$2:$W$1001,MATCH(ROWS($U$2:U361),$U$2:$U$1001,0),0), INDEX($AB$1004:$AQ$1004,1,MATCH(COLUMNS($AB$1006:AM1006),$AB$1006:$AQ$1006,0)))),"Fix")))</f>
        <v>0</v>
      </c>
      <c r="N361" s="5">
        <f>IF(OR(INDEX($V$2:$V$1001,MATCH(ROWS($U$2:U361),$U$2:$U$1001,0),1)&gt;=100000,INDEX($AB$1005:$AQ$1005,1,MATCH(COLUMNS($AB$1006:AN1006),$AB$1006:$AQ$1006,0))&gt;=100000), " ",IF(INDEX($AB$2:$AQ$1001,MATCH(ROWS($U$2:U361),$U$2:$U$1001,0),MATCH(COLUMNS($AB$1006:AN1006),$AB$1006:$AQ$1006,0)), HYPERLINK("#",""), HYPERLINK(CONCATENATE("#Metadata!", ADDRESS(INDEX($W$2:$W$1001,MATCH(ROWS($U$2:U361),$U$2:$U$1001,0),0), INDEX($AB$1004:$AQ$1004,1,MATCH(COLUMNS($AB$1006:AN1006),$AB$1006:$AQ$1006,0)))),"Fix")))</f>
        <v>0</v>
      </c>
      <c r="O361" s="5">
        <f>IF(OR(INDEX($V$2:$V$1001,MATCH(ROWS($U$2:U361),$U$2:$U$1001,0),1)&gt;=100000,INDEX($AB$1005:$AQ$1005,1,MATCH(COLUMNS($AB$1006:AO1006),$AB$1006:$AQ$1006,0))&gt;=100000), " ",IF(INDEX($AB$2:$AQ$1001,MATCH(ROWS($U$2:U361),$U$2:$U$1001,0),MATCH(COLUMNS($AB$1006:AO1006),$AB$1006:$AQ$1006,0)), HYPERLINK("#",""), HYPERLINK(CONCATENATE("#Metadata!", ADDRESS(INDEX($W$2:$W$1001,MATCH(ROWS($U$2:U361),$U$2:$U$1001,0),0), INDEX($AB$1004:$AQ$1004,1,MATCH(COLUMNS($AB$1006:AO1006),$AB$1006:$AQ$1006,0)))),"Fix")))</f>
        <v>0</v>
      </c>
      <c r="P361" s="5">
        <f>IF(OR(INDEX($V$2:$V$1001,MATCH(ROWS($U$2:U361),$U$2:$U$1001,0),1)&gt;=100000,INDEX($AB$1005:$AQ$1005,1,MATCH(COLUMNS($AB$1006:AP1006),$AB$1006:$AQ$1006,0))&gt;=100000), " ",IF(INDEX($AB$2:$AQ$1001,MATCH(ROWS($U$2:U361),$U$2:$U$1001,0),MATCH(COLUMNS($AB$1006:AP1006),$AB$1006:$AQ$1006,0)), HYPERLINK("#",""), HYPERLINK(CONCATENATE("#Metadata!", ADDRESS(INDEX($W$2:$W$1001,MATCH(ROWS($U$2:U361),$U$2:$U$1001,0),0), INDEX($AB$1004:$AQ$1004,1,MATCH(COLUMNS($AB$1006:AP1006),$AB$1006:$AQ$1006,0)))),"Fix")))</f>
        <v>0</v>
      </c>
      <c r="Q361" s="5">
        <f>IF(OR(INDEX($V$2:$V$1001,MATCH(ROWS($U$2:U361),$U$2:$U$1001,0),1)&gt;=100000,INDEX($AB$1005:$AQ$1005,1,MATCH(COLUMNS($AB$1006:AQ1006),$AB$1006:$AQ$1006,0))&gt;=100000), " ",IF(INDEX($AB$2:$AQ$1001,MATCH(ROWS($U$2:U361),$U$2:$U$1001,0),MATCH(COLUMNS($AB$1006:AQ1006),$AB$1006:$AQ$1006,0)), HYPERLINK("#",""), HYPERLINK(CONCATENATE("#Metadata!", ADDRESS(INDEX($W$2:$W$1001,MATCH(ROWS($U$2:U361),$U$2:$U$1001,0),0), INDEX($AB$1004:$AQ$1004,1,MATCH(COLUMNS($AB$1006:AQ1006),$AB$1006:$AQ$1006,0)))),"Fix")))</f>
        <v>0</v>
      </c>
      <c r="U361">
        <v>0</v>
      </c>
      <c r="V361">
        <v>0</v>
      </c>
      <c r="W361">
        <v>0</v>
      </c>
      <c r="X361">
        <f>IF(Y361,TRUE,AND(AB361:AQ361))</f>
        <v>0</v>
      </c>
      <c r="Y361">
        <f>COUNTBLANK(Metadata!B361:Q361)=COLUMNS(Metadata!B361:Q361)</f>
        <v>0</v>
      </c>
      <c r="Z361">
        <v>0</v>
      </c>
      <c r="AB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AC361">
        <f>AND(IF(Metadata!C361="",FALSE,TRUE),exact(Metadata!C361,"urban biome"))</f>
        <v>0</v>
      </c>
      <c r="AD361">
        <f>AND(IF(Metadata!D361="",FALSE,TRUE),exact(Metadata!D361,"human-associated habitat"))</f>
        <v>0</v>
      </c>
      <c r="AE361">
        <f>AND(IF(Metadata!E361="",FALSE,TRUE),OR(exact(Metadata!E361,"human-associated"),exact(Metadata!E361,"human-skin"),exact(Metadata!E361,"human-oral"),exact(Metadata!E361,"human-gut"),exact(Metadata!E361,"human-vaginal")))</f>
        <v>0</v>
      </c>
      <c r="AF361">
        <f>AND(IF(Metadata!F361="",FALSE,ISNUMBER(VALUE(Metadata!F361))),Metadata!F361&gt;0)</f>
        <v>0</v>
      </c>
      <c r="AG361">
        <f>AND(IF(Metadata!G361="",FALSE,TRUE),exact(Metadata!G361,"years"))</f>
        <v>0</v>
      </c>
      <c r="AH361">
        <f>OR(AND(IF(Metadata!H361="",FALSE,TRUE),OR(exact(Metadata!H361,"not applicable"),exact(Metadata!H361,"not collected"),exact(Metadata!H361,"not provided"),exact(Metadata!H361,"restricted access"))),AND(IF(Metadata!H361="",FALSE,ISNUMBER(VALUE(Metadata!H361))),Metadata!H361&gt;0))</f>
        <v>0</v>
      </c>
      <c r="AI361">
        <f>AND(IF(Metadata!I361="",FALSE,TRUE),exact(Metadata!I361,"human"))</f>
        <v>0</v>
      </c>
      <c r="AJ361">
        <f>AND(IF(Metadata!J361="",FALSE,ISNUMBER(VALUE(Metadata!J361))),Metadata!J361&gt;0)</f>
        <v>0</v>
      </c>
      <c r="AK361">
        <f>AND(IF(Metadata!K361="",FALSE,TRUE),exact(Metadata!K361,"cm"))</f>
        <v>0</v>
      </c>
      <c r="AL361">
        <f>AND(IF(Metadata!L361="",FALSE,TRUE),exact(Metadata!L361,"Homo sapiens"))</f>
        <v>0</v>
      </c>
      <c r="AM361">
        <f>AND(IF(Metadata!M361="",FALSE,TRUE),exact(Metadata!M361,"9606"))</f>
        <v>0</v>
      </c>
      <c r="AN361">
        <f>AND(IF(Metadata!N361="",FALSE,ISNUMBER(VALUE(Metadata!N361))),Metadata!N361&gt;0)</f>
        <v>0</v>
      </c>
      <c r="AO361">
        <f>AND(IF(Metadata!O361="",FALSE,TRUE),exact(Metadata!O361,"kg"))</f>
        <v>0</v>
      </c>
      <c r="AP361">
        <f>OR(AND(IF(Metadata!P361="",FALSE,TRUE),exact(Metadata!P361,"not provided")),IF(Metadata!P361="",FALSE,TRUE))</f>
        <v>0</v>
      </c>
      <c r="AQ361">
        <f>OR(AND(IF(Metadata!Q361="",FALSE,TRUE),exact(Metadata!Q361,"not provided")),IF(Metadata!Q361="",FALSE,TRUE))</f>
        <v>0</v>
      </c>
    </row>
    <row r="362" spans="1:43">
      <c r="A362" s="4">
        <f>IF(B362=" "," ",HYPERLINK(CONCATENATE("#metadata!",ADDRESS(INDEX($W$2:$W$1001,MATCH(ROWS($U$2:U362),$U$2:$U$1001,0),0),2)),INDEX($Z$2:$Z$1001,MATCH(ROWS($U$2:U362),$U$2:$U$1001,0),0)))</f>
        <v>0</v>
      </c>
      <c r="B362" s="5">
        <f>IF(OR(INDEX($V$2:$V$1001,MATCH(ROWS($U$2:U362),$U$2:$U$1001,0),1)&gt;=100000,INDEX($AB$1005:$AQ$1005,1,MATCH(COLUMNS($AB$1006:AB1006),$AB$1006:$AQ$1006,0))&gt;=100000), " ",IF(INDEX($AB$2:$AQ$1001,MATCH(ROWS($U$2:U362),$U$2:$U$1001,0),MATCH(COLUMNS($AB$1006:AB1006),$AB$1006:$AQ$1006,0)), HYPERLINK("#",""), HYPERLINK(CONCATENATE("#Metadata!", ADDRESS(INDEX($W$2:$W$1001,MATCH(ROWS($U$2:U362),$U$2:$U$1001,0),0), INDEX($AB$1004:$AQ$1004,1,MATCH(COLUMNS($AB$1006:AB1006),$AB$1006:$AQ$1006,0)))),"Fix")))</f>
        <v>0</v>
      </c>
      <c r="C362" s="5">
        <f>IF(OR(INDEX($V$2:$V$1001,MATCH(ROWS($U$2:U362),$U$2:$U$1001,0),1)&gt;=100000,INDEX($AB$1005:$AQ$1005,1,MATCH(COLUMNS($AB$1006:AC1006),$AB$1006:$AQ$1006,0))&gt;=100000), " ",IF(INDEX($AB$2:$AQ$1001,MATCH(ROWS($U$2:U362),$U$2:$U$1001,0),MATCH(COLUMNS($AB$1006:AC1006),$AB$1006:$AQ$1006,0)), HYPERLINK("#",""), HYPERLINK(CONCATENATE("#Metadata!", ADDRESS(INDEX($W$2:$W$1001,MATCH(ROWS($U$2:U362),$U$2:$U$1001,0),0), INDEX($AB$1004:$AQ$1004,1,MATCH(COLUMNS($AB$1006:AC1006),$AB$1006:$AQ$1006,0)))),"Fix")))</f>
        <v>0</v>
      </c>
      <c r="D362" s="5">
        <f>IF(OR(INDEX($V$2:$V$1001,MATCH(ROWS($U$2:U362),$U$2:$U$1001,0),1)&gt;=100000,INDEX($AB$1005:$AQ$1005,1,MATCH(COLUMNS($AB$1006:AD1006),$AB$1006:$AQ$1006,0))&gt;=100000), " ",IF(INDEX($AB$2:$AQ$1001,MATCH(ROWS($U$2:U362),$U$2:$U$1001,0),MATCH(COLUMNS($AB$1006:AD1006),$AB$1006:$AQ$1006,0)), HYPERLINK("#",""), HYPERLINK(CONCATENATE("#Metadata!", ADDRESS(INDEX($W$2:$W$1001,MATCH(ROWS($U$2:U362),$U$2:$U$1001,0),0), INDEX($AB$1004:$AQ$1004,1,MATCH(COLUMNS($AB$1006:AD1006),$AB$1006:$AQ$1006,0)))),"Fix")))</f>
        <v>0</v>
      </c>
      <c r="E362" s="5">
        <f>IF(OR(INDEX($V$2:$V$1001,MATCH(ROWS($U$2:U362),$U$2:$U$1001,0),1)&gt;=100000,INDEX($AB$1005:$AQ$1005,1,MATCH(COLUMNS($AB$1006:AE1006),$AB$1006:$AQ$1006,0))&gt;=100000), " ",IF(INDEX($AB$2:$AQ$1001,MATCH(ROWS($U$2:U362),$U$2:$U$1001,0),MATCH(COLUMNS($AB$1006:AE1006),$AB$1006:$AQ$1006,0)), HYPERLINK("#",""), HYPERLINK(CONCATENATE("#Metadata!", ADDRESS(INDEX($W$2:$W$1001,MATCH(ROWS($U$2:U362),$U$2:$U$1001,0),0), INDEX($AB$1004:$AQ$1004,1,MATCH(COLUMNS($AB$1006:AE1006),$AB$1006:$AQ$1006,0)))),"Fix")))</f>
        <v>0</v>
      </c>
      <c r="F362" s="5">
        <f>IF(OR(INDEX($V$2:$V$1001,MATCH(ROWS($U$2:U362),$U$2:$U$1001,0),1)&gt;=100000,INDEX($AB$1005:$AQ$1005,1,MATCH(COLUMNS($AB$1006:AF1006),$AB$1006:$AQ$1006,0))&gt;=100000), " ",IF(INDEX($AB$2:$AQ$1001,MATCH(ROWS($U$2:U362),$U$2:$U$1001,0),MATCH(COLUMNS($AB$1006:AF1006),$AB$1006:$AQ$1006,0)), HYPERLINK("#",""), HYPERLINK(CONCATENATE("#Metadata!", ADDRESS(INDEX($W$2:$W$1001,MATCH(ROWS($U$2:U362),$U$2:$U$1001,0),0), INDEX($AB$1004:$AQ$1004,1,MATCH(COLUMNS($AB$1006:AF1006),$AB$1006:$AQ$1006,0)))),"Fix")))</f>
        <v>0</v>
      </c>
      <c r="G362" s="5">
        <f>IF(OR(INDEX($V$2:$V$1001,MATCH(ROWS($U$2:U362),$U$2:$U$1001,0),1)&gt;=100000,INDEX($AB$1005:$AQ$1005,1,MATCH(COLUMNS($AB$1006:AG1006),$AB$1006:$AQ$1006,0))&gt;=100000), " ",IF(INDEX($AB$2:$AQ$1001,MATCH(ROWS($U$2:U362),$U$2:$U$1001,0),MATCH(COLUMNS($AB$1006:AG1006),$AB$1006:$AQ$1006,0)), HYPERLINK("#",""), HYPERLINK(CONCATENATE("#Metadata!", ADDRESS(INDEX($W$2:$W$1001,MATCH(ROWS($U$2:U362),$U$2:$U$1001,0),0), INDEX($AB$1004:$AQ$1004,1,MATCH(COLUMNS($AB$1006:AG1006),$AB$1006:$AQ$1006,0)))),"Fix")))</f>
        <v>0</v>
      </c>
      <c r="H362" s="5">
        <f>IF(OR(INDEX($V$2:$V$1001,MATCH(ROWS($U$2:U362),$U$2:$U$1001,0),1)&gt;=100000,INDEX($AB$1005:$AQ$1005,1,MATCH(COLUMNS($AB$1006:AH1006),$AB$1006:$AQ$1006,0))&gt;=100000), " ",IF(INDEX($AB$2:$AQ$1001,MATCH(ROWS($U$2:U362),$U$2:$U$1001,0),MATCH(COLUMNS($AB$1006:AH1006),$AB$1006:$AQ$1006,0)), HYPERLINK("#",""), HYPERLINK(CONCATENATE("#Metadata!", ADDRESS(INDEX($W$2:$W$1001,MATCH(ROWS($U$2:U362),$U$2:$U$1001,0),0), INDEX($AB$1004:$AQ$1004,1,MATCH(COLUMNS($AB$1006:AH1006),$AB$1006:$AQ$1006,0)))),"Fix")))</f>
        <v>0</v>
      </c>
      <c r="I362" s="5">
        <f>IF(OR(INDEX($V$2:$V$1001,MATCH(ROWS($U$2:U362),$U$2:$U$1001,0),1)&gt;=100000,INDEX($AB$1005:$AQ$1005,1,MATCH(COLUMNS($AB$1006:AI1006),$AB$1006:$AQ$1006,0))&gt;=100000), " ",IF(INDEX($AB$2:$AQ$1001,MATCH(ROWS($U$2:U362),$U$2:$U$1001,0),MATCH(COLUMNS($AB$1006:AI1006),$AB$1006:$AQ$1006,0)), HYPERLINK("#",""), HYPERLINK(CONCATENATE("#Metadata!", ADDRESS(INDEX($W$2:$W$1001,MATCH(ROWS($U$2:U362),$U$2:$U$1001,0),0), INDEX($AB$1004:$AQ$1004,1,MATCH(COLUMNS($AB$1006:AI1006),$AB$1006:$AQ$1006,0)))),"Fix")))</f>
        <v>0</v>
      </c>
      <c r="J362" s="5">
        <f>IF(OR(INDEX($V$2:$V$1001,MATCH(ROWS($U$2:U362),$U$2:$U$1001,0),1)&gt;=100000,INDEX($AB$1005:$AQ$1005,1,MATCH(COLUMNS($AB$1006:AJ1006),$AB$1006:$AQ$1006,0))&gt;=100000), " ",IF(INDEX($AB$2:$AQ$1001,MATCH(ROWS($U$2:U362),$U$2:$U$1001,0),MATCH(COLUMNS($AB$1006:AJ1006),$AB$1006:$AQ$1006,0)), HYPERLINK("#",""), HYPERLINK(CONCATENATE("#Metadata!", ADDRESS(INDEX($W$2:$W$1001,MATCH(ROWS($U$2:U362),$U$2:$U$1001,0),0), INDEX($AB$1004:$AQ$1004,1,MATCH(COLUMNS($AB$1006:AJ1006),$AB$1006:$AQ$1006,0)))),"Fix")))</f>
        <v>0</v>
      </c>
      <c r="K362" s="5">
        <f>IF(OR(INDEX($V$2:$V$1001,MATCH(ROWS($U$2:U362),$U$2:$U$1001,0),1)&gt;=100000,INDEX($AB$1005:$AQ$1005,1,MATCH(COLUMNS($AB$1006:AK1006),$AB$1006:$AQ$1006,0))&gt;=100000), " ",IF(INDEX($AB$2:$AQ$1001,MATCH(ROWS($U$2:U362),$U$2:$U$1001,0),MATCH(COLUMNS($AB$1006:AK1006),$AB$1006:$AQ$1006,0)), HYPERLINK("#",""), HYPERLINK(CONCATENATE("#Metadata!", ADDRESS(INDEX($W$2:$W$1001,MATCH(ROWS($U$2:U362),$U$2:$U$1001,0),0), INDEX($AB$1004:$AQ$1004,1,MATCH(COLUMNS($AB$1006:AK1006),$AB$1006:$AQ$1006,0)))),"Fix")))</f>
        <v>0</v>
      </c>
      <c r="L362" s="5">
        <f>IF(OR(INDEX($V$2:$V$1001,MATCH(ROWS($U$2:U362),$U$2:$U$1001,0),1)&gt;=100000,INDEX($AB$1005:$AQ$1005,1,MATCH(COLUMNS($AB$1006:AL1006),$AB$1006:$AQ$1006,0))&gt;=100000), " ",IF(INDEX($AB$2:$AQ$1001,MATCH(ROWS($U$2:U362),$U$2:$U$1001,0),MATCH(COLUMNS($AB$1006:AL1006),$AB$1006:$AQ$1006,0)), HYPERLINK("#",""), HYPERLINK(CONCATENATE("#Metadata!", ADDRESS(INDEX($W$2:$W$1001,MATCH(ROWS($U$2:U362),$U$2:$U$1001,0),0), INDEX($AB$1004:$AQ$1004,1,MATCH(COLUMNS($AB$1006:AL1006),$AB$1006:$AQ$1006,0)))),"Fix")))</f>
        <v>0</v>
      </c>
      <c r="M362" s="5">
        <f>IF(OR(INDEX($V$2:$V$1001,MATCH(ROWS($U$2:U362),$U$2:$U$1001,0),1)&gt;=100000,INDEX($AB$1005:$AQ$1005,1,MATCH(COLUMNS($AB$1006:AM1006),$AB$1006:$AQ$1006,0))&gt;=100000), " ",IF(INDEX($AB$2:$AQ$1001,MATCH(ROWS($U$2:U362),$U$2:$U$1001,0),MATCH(COLUMNS($AB$1006:AM1006),$AB$1006:$AQ$1006,0)), HYPERLINK("#",""), HYPERLINK(CONCATENATE("#Metadata!", ADDRESS(INDEX($W$2:$W$1001,MATCH(ROWS($U$2:U362),$U$2:$U$1001,0),0), INDEX($AB$1004:$AQ$1004,1,MATCH(COLUMNS($AB$1006:AM1006),$AB$1006:$AQ$1006,0)))),"Fix")))</f>
        <v>0</v>
      </c>
      <c r="N362" s="5">
        <f>IF(OR(INDEX($V$2:$V$1001,MATCH(ROWS($U$2:U362),$U$2:$U$1001,0),1)&gt;=100000,INDEX($AB$1005:$AQ$1005,1,MATCH(COLUMNS($AB$1006:AN1006),$AB$1006:$AQ$1006,0))&gt;=100000), " ",IF(INDEX($AB$2:$AQ$1001,MATCH(ROWS($U$2:U362),$U$2:$U$1001,0),MATCH(COLUMNS($AB$1006:AN1006),$AB$1006:$AQ$1006,0)), HYPERLINK("#",""), HYPERLINK(CONCATENATE("#Metadata!", ADDRESS(INDEX($W$2:$W$1001,MATCH(ROWS($U$2:U362),$U$2:$U$1001,0),0), INDEX($AB$1004:$AQ$1004,1,MATCH(COLUMNS($AB$1006:AN1006),$AB$1006:$AQ$1006,0)))),"Fix")))</f>
        <v>0</v>
      </c>
      <c r="O362" s="5">
        <f>IF(OR(INDEX($V$2:$V$1001,MATCH(ROWS($U$2:U362),$U$2:$U$1001,0),1)&gt;=100000,INDEX($AB$1005:$AQ$1005,1,MATCH(COLUMNS($AB$1006:AO1006),$AB$1006:$AQ$1006,0))&gt;=100000), " ",IF(INDEX($AB$2:$AQ$1001,MATCH(ROWS($U$2:U362),$U$2:$U$1001,0),MATCH(COLUMNS($AB$1006:AO1006),$AB$1006:$AQ$1006,0)), HYPERLINK("#",""), HYPERLINK(CONCATENATE("#Metadata!", ADDRESS(INDEX($W$2:$W$1001,MATCH(ROWS($U$2:U362),$U$2:$U$1001,0),0), INDEX($AB$1004:$AQ$1004,1,MATCH(COLUMNS($AB$1006:AO1006),$AB$1006:$AQ$1006,0)))),"Fix")))</f>
        <v>0</v>
      </c>
      <c r="P362" s="5">
        <f>IF(OR(INDEX($V$2:$V$1001,MATCH(ROWS($U$2:U362),$U$2:$U$1001,0),1)&gt;=100000,INDEX($AB$1005:$AQ$1005,1,MATCH(COLUMNS($AB$1006:AP1006),$AB$1006:$AQ$1006,0))&gt;=100000), " ",IF(INDEX($AB$2:$AQ$1001,MATCH(ROWS($U$2:U362),$U$2:$U$1001,0),MATCH(COLUMNS($AB$1006:AP1006),$AB$1006:$AQ$1006,0)), HYPERLINK("#",""), HYPERLINK(CONCATENATE("#Metadata!", ADDRESS(INDEX($W$2:$W$1001,MATCH(ROWS($U$2:U362),$U$2:$U$1001,0),0), INDEX($AB$1004:$AQ$1004,1,MATCH(COLUMNS($AB$1006:AP1006),$AB$1006:$AQ$1006,0)))),"Fix")))</f>
        <v>0</v>
      </c>
      <c r="Q362" s="5">
        <f>IF(OR(INDEX($V$2:$V$1001,MATCH(ROWS($U$2:U362),$U$2:$U$1001,0),1)&gt;=100000,INDEX($AB$1005:$AQ$1005,1,MATCH(COLUMNS($AB$1006:AQ1006),$AB$1006:$AQ$1006,0))&gt;=100000), " ",IF(INDEX($AB$2:$AQ$1001,MATCH(ROWS($U$2:U362),$U$2:$U$1001,0),MATCH(COLUMNS($AB$1006:AQ1006),$AB$1006:$AQ$1006,0)), HYPERLINK("#",""), HYPERLINK(CONCATENATE("#Metadata!", ADDRESS(INDEX($W$2:$W$1001,MATCH(ROWS($U$2:U362),$U$2:$U$1001,0),0), INDEX($AB$1004:$AQ$1004,1,MATCH(COLUMNS($AB$1006:AQ1006),$AB$1006:$AQ$1006,0)))),"Fix")))</f>
        <v>0</v>
      </c>
      <c r="U362">
        <v>0</v>
      </c>
      <c r="V362">
        <v>0</v>
      </c>
      <c r="W362">
        <v>0</v>
      </c>
      <c r="X362">
        <f>IF(Y362,TRUE,AND(AB362:AQ362))</f>
        <v>0</v>
      </c>
      <c r="Y362">
        <f>COUNTBLANK(Metadata!B362:Q362)=COLUMNS(Metadata!B362:Q362)</f>
        <v>0</v>
      </c>
      <c r="Z362">
        <v>0</v>
      </c>
      <c r="AB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AC362">
        <f>AND(IF(Metadata!C362="",FALSE,TRUE),exact(Metadata!C362,"urban biome"))</f>
        <v>0</v>
      </c>
      <c r="AD362">
        <f>AND(IF(Metadata!D362="",FALSE,TRUE),exact(Metadata!D362,"human-associated habitat"))</f>
        <v>0</v>
      </c>
      <c r="AE362">
        <f>AND(IF(Metadata!E362="",FALSE,TRUE),OR(exact(Metadata!E362,"human-associated"),exact(Metadata!E362,"human-skin"),exact(Metadata!E362,"human-oral"),exact(Metadata!E362,"human-gut"),exact(Metadata!E362,"human-vaginal")))</f>
        <v>0</v>
      </c>
      <c r="AF362">
        <f>AND(IF(Metadata!F362="",FALSE,ISNUMBER(VALUE(Metadata!F362))),Metadata!F362&gt;0)</f>
        <v>0</v>
      </c>
      <c r="AG362">
        <f>AND(IF(Metadata!G362="",FALSE,TRUE),exact(Metadata!G362,"years"))</f>
        <v>0</v>
      </c>
      <c r="AH362">
        <f>OR(AND(IF(Metadata!H362="",FALSE,TRUE),OR(exact(Metadata!H362,"not applicable"),exact(Metadata!H362,"not collected"),exact(Metadata!H362,"not provided"),exact(Metadata!H362,"restricted access"))),AND(IF(Metadata!H362="",FALSE,ISNUMBER(VALUE(Metadata!H362))),Metadata!H362&gt;0))</f>
        <v>0</v>
      </c>
      <c r="AI362">
        <f>AND(IF(Metadata!I362="",FALSE,TRUE),exact(Metadata!I362,"human"))</f>
        <v>0</v>
      </c>
      <c r="AJ362">
        <f>AND(IF(Metadata!J362="",FALSE,ISNUMBER(VALUE(Metadata!J362))),Metadata!J362&gt;0)</f>
        <v>0</v>
      </c>
      <c r="AK362">
        <f>AND(IF(Metadata!K362="",FALSE,TRUE),exact(Metadata!K362,"cm"))</f>
        <v>0</v>
      </c>
      <c r="AL362">
        <f>AND(IF(Metadata!L362="",FALSE,TRUE),exact(Metadata!L362,"Homo sapiens"))</f>
        <v>0</v>
      </c>
      <c r="AM362">
        <f>AND(IF(Metadata!M362="",FALSE,TRUE),exact(Metadata!M362,"9606"))</f>
        <v>0</v>
      </c>
      <c r="AN362">
        <f>AND(IF(Metadata!N362="",FALSE,ISNUMBER(VALUE(Metadata!N362))),Metadata!N362&gt;0)</f>
        <v>0</v>
      </c>
      <c r="AO362">
        <f>AND(IF(Metadata!O362="",FALSE,TRUE),exact(Metadata!O362,"kg"))</f>
        <v>0</v>
      </c>
      <c r="AP362">
        <f>OR(AND(IF(Metadata!P362="",FALSE,TRUE),exact(Metadata!P362,"not provided")),IF(Metadata!P362="",FALSE,TRUE))</f>
        <v>0</v>
      </c>
      <c r="AQ362">
        <f>OR(AND(IF(Metadata!Q362="",FALSE,TRUE),exact(Metadata!Q362,"not provided")),IF(Metadata!Q362="",FALSE,TRUE))</f>
        <v>0</v>
      </c>
    </row>
    <row r="363" spans="1:43">
      <c r="A363" s="4">
        <f>IF(B363=" "," ",HYPERLINK(CONCATENATE("#metadata!",ADDRESS(INDEX($W$2:$W$1001,MATCH(ROWS($U$2:U363),$U$2:$U$1001,0),0),2)),INDEX($Z$2:$Z$1001,MATCH(ROWS($U$2:U363),$U$2:$U$1001,0),0)))</f>
        <v>0</v>
      </c>
      <c r="B363" s="5">
        <f>IF(OR(INDEX($V$2:$V$1001,MATCH(ROWS($U$2:U363),$U$2:$U$1001,0),1)&gt;=100000,INDEX($AB$1005:$AQ$1005,1,MATCH(COLUMNS($AB$1006:AB1006),$AB$1006:$AQ$1006,0))&gt;=100000), " ",IF(INDEX($AB$2:$AQ$1001,MATCH(ROWS($U$2:U363),$U$2:$U$1001,0),MATCH(COLUMNS($AB$1006:AB1006),$AB$1006:$AQ$1006,0)), HYPERLINK("#",""), HYPERLINK(CONCATENATE("#Metadata!", ADDRESS(INDEX($W$2:$W$1001,MATCH(ROWS($U$2:U363),$U$2:$U$1001,0),0), INDEX($AB$1004:$AQ$1004,1,MATCH(COLUMNS($AB$1006:AB1006),$AB$1006:$AQ$1006,0)))),"Fix")))</f>
        <v>0</v>
      </c>
      <c r="C363" s="5">
        <f>IF(OR(INDEX($V$2:$V$1001,MATCH(ROWS($U$2:U363),$U$2:$U$1001,0),1)&gt;=100000,INDEX($AB$1005:$AQ$1005,1,MATCH(COLUMNS($AB$1006:AC1006),$AB$1006:$AQ$1006,0))&gt;=100000), " ",IF(INDEX($AB$2:$AQ$1001,MATCH(ROWS($U$2:U363),$U$2:$U$1001,0),MATCH(COLUMNS($AB$1006:AC1006),$AB$1006:$AQ$1006,0)), HYPERLINK("#",""), HYPERLINK(CONCATENATE("#Metadata!", ADDRESS(INDEX($W$2:$W$1001,MATCH(ROWS($U$2:U363),$U$2:$U$1001,0),0), INDEX($AB$1004:$AQ$1004,1,MATCH(COLUMNS($AB$1006:AC1006),$AB$1006:$AQ$1006,0)))),"Fix")))</f>
        <v>0</v>
      </c>
      <c r="D363" s="5">
        <f>IF(OR(INDEX($V$2:$V$1001,MATCH(ROWS($U$2:U363),$U$2:$U$1001,0),1)&gt;=100000,INDEX($AB$1005:$AQ$1005,1,MATCH(COLUMNS($AB$1006:AD1006),$AB$1006:$AQ$1006,0))&gt;=100000), " ",IF(INDEX($AB$2:$AQ$1001,MATCH(ROWS($U$2:U363),$U$2:$U$1001,0),MATCH(COLUMNS($AB$1006:AD1006),$AB$1006:$AQ$1006,0)), HYPERLINK("#",""), HYPERLINK(CONCATENATE("#Metadata!", ADDRESS(INDEX($W$2:$W$1001,MATCH(ROWS($U$2:U363),$U$2:$U$1001,0),0), INDEX($AB$1004:$AQ$1004,1,MATCH(COLUMNS($AB$1006:AD1006),$AB$1006:$AQ$1006,0)))),"Fix")))</f>
        <v>0</v>
      </c>
      <c r="E363" s="5">
        <f>IF(OR(INDEX($V$2:$V$1001,MATCH(ROWS($U$2:U363),$U$2:$U$1001,0),1)&gt;=100000,INDEX($AB$1005:$AQ$1005,1,MATCH(COLUMNS($AB$1006:AE1006),$AB$1006:$AQ$1006,0))&gt;=100000), " ",IF(INDEX($AB$2:$AQ$1001,MATCH(ROWS($U$2:U363),$U$2:$U$1001,0),MATCH(COLUMNS($AB$1006:AE1006),$AB$1006:$AQ$1006,0)), HYPERLINK("#",""), HYPERLINK(CONCATENATE("#Metadata!", ADDRESS(INDEX($W$2:$W$1001,MATCH(ROWS($U$2:U363),$U$2:$U$1001,0),0), INDEX($AB$1004:$AQ$1004,1,MATCH(COLUMNS($AB$1006:AE1006),$AB$1006:$AQ$1006,0)))),"Fix")))</f>
        <v>0</v>
      </c>
      <c r="F363" s="5">
        <f>IF(OR(INDEX($V$2:$V$1001,MATCH(ROWS($U$2:U363),$U$2:$U$1001,0),1)&gt;=100000,INDEX($AB$1005:$AQ$1005,1,MATCH(COLUMNS($AB$1006:AF1006),$AB$1006:$AQ$1006,0))&gt;=100000), " ",IF(INDEX($AB$2:$AQ$1001,MATCH(ROWS($U$2:U363),$U$2:$U$1001,0),MATCH(COLUMNS($AB$1006:AF1006),$AB$1006:$AQ$1006,0)), HYPERLINK("#",""), HYPERLINK(CONCATENATE("#Metadata!", ADDRESS(INDEX($W$2:$W$1001,MATCH(ROWS($U$2:U363),$U$2:$U$1001,0),0), INDEX($AB$1004:$AQ$1004,1,MATCH(COLUMNS($AB$1006:AF1006),$AB$1006:$AQ$1006,0)))),"Fix")))</f>
        <v>0</v>
      </c>
      <c r="G363" s="5">
        <f>IF(OR(INDEX($V$2:$V$1001,MATCH(ROWS($U$2:U363),$U$2:$U$1001,0),1)&gt;=100000,INDEX($AB$1005:$AQ$1005,1,MATCH(COLUMNS($AB$1006:AG1006),$AB$1006:$AQ$1006,0))&gt;=100000), " ",IF(INDEX($AB$2:$AQ$1001,MATCH(ROWS($U$2:U363),$U$2:$U$1001,0),MATCH(COLUMNS($AB$1006:AG1006),$AB$1006:$AQ$1006,0)), HYPERLINK("#",""), HYPERLINK(CONCATENATE("#Metadata!", ADDRESS(INDEX($W$2:$W$1001,MATCH(ROWS($U$2:U363),$U$2:$U$1001,0),0), INDEX($AB$1004:$AQ$1004,1,MATCH(COLUMNS($AB$1006:AG1006),$AB$1006:$AQ$1006,0)))),"Fix")))</f>
        <v>0</v>
      </c>
      <c r="H363" s="5">
        <f>IF(OR(INDEX($V$2:$V$1001,MATCH(ROWS($U$2:U363),$U$2:$U$1001,0),1)&gt;=100000,INDEX($AB$1005:$AQ$1005,1,MATCH(COLUMNS($AB$1006:AH1006),$AB$1006:$AQ$1006,0))&gt;=100000), " ",IF(INDEX($AB$2:$AQ$1001,MATCH(ROWS($U$2:U363),$U$2:$U$1001,0),MATCH(COLUMNS($AB$1006:AH1006),$AB$1006:$AQ$1006,0)), HYPERLINK("#",""), HYPERLINK(CONCATENATE("#Metadata!", ADDRESS(INDEX($W$2:$W$1001,MATCH(ROWS($U$2:U363),$U$2:$U$1001,0),0), INDEX($AB$1004:$AQ$1004,1,MATCH(COLUMNS($AB$1006:AH1006),$AB$1006:$AQ$1006,0)))),"Fix")))</f>
        <v>0</v>
      </c>
      <c r="I363" s="5">
        <f>IF(OR(INDEX($V$2:$V$1001,MATCH(ROWS($U$2:U363),$U$2:$U$1001,0),1)&gt;=100000,INDEX($AB$1005:$AQ$1005,1,MATCH(COLUMNS($AB$1006:AI1006),$AB$1006:$AQ$1006,0))&gt;=100000), " ",IF(INDEX($AB$2:$AQ$1001,MATCH(ROWS($U$2:U363),$U$2:$U$1001,0),MATCH(COLUMNS($AB$1006:AI1006),$AB$1006:$AQ$1006,0)), HYPERLINK("#",""), HYPERLINK(CONCATENATE("#Metadata!", ADDRESS(INDEX($W$2:$W$1001,MATCH(ROWS($U$2:U363),$U$2:$U$1001,0),0), INDEX($AB$1004:$AQ$1004,1,MATCH(COLUMNS($AB$1006:AI1006),$AB$1006:$AQ$1006,0)))),"Fix")))</f>
        <v>0</v>
      </c>
      <c r="J363" s="5">
        <f>IF(OR(INDEX($V$2:$V$1001,MATCH(ROWS($U$2:U363),$U$2:$U$1001,0),1)&gt;=100000,INDEX($AB$1005:$AQ$1005,1,MATCH(COLUMNS($AB$1006:AJ1006),$AB$1006:$AQ$1006,0))&gt;=100000), " ",IF(INDEX($AB$2:$AQ$1001,MATCH(ROWS($U$2:U363),$U$2:$U$1001,0),MATCH(COLUMNS($AB$1006:AJ1006),$AB$1006:$AQ$1006,0)), HYPERLINK("#",""), HYPERLINK(CONCATENATE("#Metadata!", ADDRESS(INDEX($W$2:$W$1001,MATCH(ROWS($U$2:U363),$U$2:$U$1001,0),0), INDEX($AB$1004:$AQ$1004,1,MATCH(COLUMNS($AB$1006:AJ1006),$AB$1006:$AQ$1006,0)))),"Fix")))</f>
        <v>0</v>
      </c>
      <c r="K363" s="5">
        <f>IF(OR(INDEX($V$2:$V$1001,MATCH(ROWS($U$2:U363),$U$2:$U$1001,0),1)&gt;=100000,INDEX($AB$1005:$AQ$1005,1,MATCH(COLUMNS($AB$1006:AK1006),$AB$1006:$AQ$1006,0))&gt;=100000), " ",IF(INDEX($AB$2:$AQ$1001,MATCH(ROWS($U$2:U363),$U$2:$U$1001,0),MATCH(COLUMNS($AB$1006:AK1006),$AB$1006:$AQ$1006,0)), HYPERLINK("#",""), HYPERLINK(CONCATENATE("#Metadata!", ADDRESS(INDEX($W$2:$W$1001,MATCH(ROWS($U$2:U363),$U$2:$U$1001,0),0), INDEX($AB$1004:$AQ$1004,1,MATCH(COLUMNS($AB$1006:AK1006),$AB$1006:$AQ$1006,0)))),"Fix")))</f>
        <v>0</v>
      </c>
      <c r="L363" s="5">
        <f>IF(OR(INDEX($V$2:$V$1001,MATCH(ROWS($U$2:U363),$U$2:$U$1001,0),1)&gt;=100000,INDEX($AB$1005:$AQ$1005,1,MATCH(COLUMNS($AB$1006:AL1006),$AB$1006:$AQ$1006,0))&gt;=100000), " ",IF(INDEX($AB$2:$AQ$1001,MATCH(ROWS($U$2:U363),$U$2:$U$1001,0),MATCH(COLUMNS($AB$1006:AL1006),$AB$1006:$AQ$1006,0)), HYPERLINK("#",""), HYPERLINK(CONCATENATE("#Metadata!", ADDRESS(INDEX($W$2:$W$1001,MATCH(ROWS($U$2:U363),$U$2:$U$1001,0),0), INDEX($AB$1004:$AQ$1004,1,MATCH(COLUMNS($AB$1006:AL1006),$AB$1006:$AQ$1006,0)))),"Fix")))</f>
        <v>0</v>
      </c>
      <c r="M363" s="5">
        <f>IF(OR(INDEX($V$2:$V$1001,MATCH(ROWS($U$2:U363),$U$2:$U$1001,0),1)&gt;=100000,INDEX($AB$1005:$AQ$1005,1,MATCH(COLUMNS($AB$1006:AM1006),$AB$1006:$AQ$1006,0))&gt;=100000), " ",IF(INDEX($AB$2:$AQ$1001,MATCH(ROWS($U$2:U363),$U$2:$U$1001,0),MATCH(COLUMNS($AB$1006:AM1006),$AB$1006:$AQ$1006,0)), HYPERLINK("#",""), HYPERLINK(CONCATENATE("#Metadata!", ADDRESS(INDEX($W$2:$W$1001,MATCH(ROWS($U$2:U363),$U$2:$U$1001,0),0), INDEX($AB$1004:$AQ$1004,1,MATCH(COLUMNS($AB$1006:AM1006),$AB$1006:$AQ$1006,0)))),"Fix")))</f>
        <v>0</v>
      </c>
      <c r="N363" s="5">
        <f>IF(OR(INDEX($V$2:$V$1001,MATCH(ROWS($U$2:U363),$U$2:$U$1001,0),1)&gt;=100000,INDEX($AB$1005:$AQ$1005,1,MATCH(COLUMNS($AB$1006:AN1006),$AB$1006:$AQ$1006,0))&gt;=100000), " ",IF(INDEX($AB$2:$AQ$1001,MATCH(ROWS($U$2:U363),$U$2:$U$1001,0),MATCH(COLUMNS($AB$1006:AN1006),$AB$1006:$AQ$1006,0)), HYPERLINK("#",""), HYPERLINK(CONCATENATE("#Metadata!", ADDRESS(INDEX($W$2:$W$1001,MATCH(ROWS($U$2:U363),$U$2:$U$1001,0),0), INDEX($AB$1004:$AQ$1004,1,MATCH(COLUMNS($AB$1006:AN1006),$AB$1006:$AQ$1006,0)))),"Fix")))</f>
        <v>0</v>
      </c>
      <c r="O363" s="5">
        <f>IF(OR(INDEX($V$2:$V$1001,MATCH(ROWS($U$2:U363),$U$2:$U$1001,0),1)&gt;=100000,INDEX($AB$1005:$AQ$1005,1,MATCH(COLUMNS($AB$1006:AO1006),$AB$1006:$AQ$1006,0))&gt;=100000), " ",IF(INDEX($AB$2:$AQ$1001,MATCH(ROWS($U$2:U363),$U$2:$U$1001,0),MATCH(COLUMNS($AB$1006:AO1006),$AB$1006:$AQ$1006,0)), HYPERLINK("#",""), HYPERLINK(CONCATENATE("#Metadata!", ADDRESS(INDEX($W$2:$W$1001,MATCH(ROWS($U$2:U363),$U$2:$U$1001,0),0), INDEX($AB$1004:$AQ$1004,1,MATCH(COLUMNS($AB$1006:AO1006),$AB$1006:$AQ$1006,0)))),"Fix")))</f>
        <v>0</v>
      </c>
      <c r="P363" s="5">
        <f>IF(OR(INDEX($V$2:$V$1001,MATCH(ROWS($U$2:U363),$U$2:$U$1001,0),1)&gt;=100000,INDEX($AB$1005:$AQ$1005,1,MATCH(COLUMNS($AB$1006:AP1006),$AB$1006:$AQ$1006,0))&gt;=100000), " ",IF(INDEX($AB$2:$AQ$1001,MATCH(ROWS($U$2:U363),$U$2:$U$1001,0),MATCH(COLUMNS($AB$1006:AP1006),$AB$1006:$AQ$1006,0)), HYPERLINK("#",""), HYPERLINK(CONCATENATE("#Metadata!", ADDRESS(INDEX($W$2:$W$1001,MATCH(ROWS($U$2:U363),$U$2:$U$1001,0),0), INDEX($AB$1004:$AQ$1004,1,MATCH(COLUMNS($AB$1006:AP1006),$AB$1006:$AQ$1006,0)))),"Fix")))</f>
        <v>0</v>
      </c>
      <c r="Q363" s="5">
        <f>IF(OR(INDEX($V$2:$V$1001,MATCH(ROWS($U$2:U363),$U$2:$U$1001,0),1)&gt;=100000,INDEX($AB$1005:$AQ$1005,1,MATCH(COLUMNS($AB$1006:AQ1006),$AB$1006:$AQ$1006,0))&gt;=100000), " ",IF(INDEX($AB$2:$AQ$1001,MATCH(ROWS($U$2:U363),$U$2:$U$1001,0),MATCH(COLUMNS($AB$1006:AQ1006),$AB$1006:$AQ$1006,0)), HYPERLINK("#",""), HYPERLINK(CONCATENATE("#Metadata!", ADDRESS(INDEX($W$2:$W$1001,MATCH(ROWS($U$2:U363),$U$2:$U$1001,0),0), INDEX($AB$1004:$AQ$1004,1,MATCH(COLUMNS($AB$1006:AQ1006),$AB$1006:$AQ$1006,0)))),"Fix")))</f>
        <v>0</v>
      </c>
      <c r="U363">
        <v>0</v>
      </c>
      <c r="V363">
        <v>0</v>
      </c>
      <c r="W363">
        <v>0</v>
      </c>
      <c r="X363">
        <f>IF(Y363,TRUE,AND(AB363:AQ363))</f>
        <v>0</v>
      </c>
      <c r="Y363">
        <f>COUNTBLANK(Metadata!B363:Q363)=COLUMNS(Metadata!B363:Q363)</f>
        <v>0</v>
      </c>
      <c r="Z363">
        <v>0</v>
      </c>
      <c r="AB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AC363">
        <f>AND(IF(Metadata!C363="",FALSE,TRUE),exact(Metadata!C363,"urban biome"))</f>
        <v>0</v>
      </c>
      <c r="AD363">
        <f>AND(IF(Metadata!D363="",FALSE,TRUE),exact(Metadata!D363,"human-associated habitat"))</f>
        <v>0</v>
      </c>
      <c r="AE363">
        <f>AND(IF(Metadata!E363="",FALSE,TRUE),OR(exact(Metadata!E363,"human-associated"),exact(Metadata!E363,"human-skin"),exact(Metadata!E363,"human-oral"),exact(Metadata!E363,"human-gut"),exact(Metadata!E363,"human-vaginal")))</f>
        <v>0</v>
      </c>
      <c r="AF363">
        <f>AND(IF(Metadata!F363="",FALSE,ISNUMBER(VALUE(Metadata!F363))),Metadata!F363&gt;0)</f>
        <v>0</v>
      </c>
      <c r="AG363">
        <f>AND(IF(Metadata!G363="",FALSE,TRUE),exact(Metadata!G363,"years"))</f>
        <v>0</v>
      </c>
      <c r="AH363">
        <f>OR(AND(IF(Metadata!H363="",FALSE,TRUE),OR(exact(Metadata!H363,"not applicable"),exact(Metadata!H363,"not collected"),exact(Metadata!H363,"not provided"),exact(Metadata!H363,"restricted access"))),AND(IF(Metadata!H363="",FALSE,ISNUMBER(VALUE(Metadata!H363))),Metadata!H363&gt;0))</f>
        <v>0</v>
      </c>
      <c r="AI363">
        <f>AND(IF(Metadata!I363="",FALSE,TRUE),exact(Metadata!I363,"human"))</f>
        <v>0</v>
      </c>
      <c r="AJ363">
        <f>AND(IF(Metadata!J363="",FALSE,ISNUMBER(VALUE(Metadata!J363))),Metadata!J363&gt;0)</f>
        <v>0</v>
      </c>
      <c r="AK363">
        <f>AND(IF(Metadata!K363="",FALSE,TRUE),exact(Metadata!K363,"cm"))</f>
        <v>0</v>
      </c>
      <c r="AL363">
        <f>AND(IF(Metadata!L363="",FALSE,TRUE),exact(Metadata!L363,"Homo sapiens"))</f>
        <v>0</v>
      </c>
      <c r="AM363">
        <f>AND(IF(Metadata!M363="",FALSE,TRUE),exact(Metadata!M363,"9606"))</f>
        <v>0</v>
      </c>
      <c r="AN363">
        <f>AND(IF(Metadata!N363="",FALSE,ISNUMBER(VALUE(Metadata!N363))),Metadata!N363&gt;0)</f>
        <v>0</v>
      </c>
      <c r="AO363">
        <f>AND(IF(Metadata!O363="",FALSE,TRUE),exact(Metadata!O363,"kg"))</f>
        <v>0</v>
      </c>
      <c r="AP363">
        <f>OR(AND(IF(Metadata!P363="",FALSE,TRUE),exact(Metadata!P363,"not provided")),IF(Metadata!P363="",FALSE,TRUE))</f>
        <v>0</v>
      </c>
      <c r="AQ363">
        <f>OR(AND(IF(Metadata!Q363="",FALSE,TRUE),exact(Metadata!Q363,"not provided")),IF(Metadata!Q363="",FALSE,TRUE))</f>
        <v>0</v>
      </c>
    </row>
    <row r="364" spans="1:43">
      <c r="A364" s="4">
        <f>IF(B364=" "," ",HYPERLINK(CONCATENATE("#metadata!",ADDRESS(INDEX($W$2:$W$1001,MATCH(ROWS($U$2:U364),$U$2:$U$1001,0),0),2)),INDEX($Z$2:$Z$1001,MATCH(ROWS($U$2:U364),$U$2:$U$1001,0),0)))</f>
        <v>0</v>
      </c>
      <c r="B364" s="5">
        <f>IF(OR(INDEX($V$2:$V$1001,MATCH(ROWS($U$2:U364),$U$2:$U$1001,0),1)&gt;=100000,INDEX($AB$1005:$AQ$1005,1,MATCH(COLUMNS($AB$1006:AB1006),$AB$1006:$AQ$1006,0))&gt;=100000), " ",IF(INDEX($AB$2:$AQ$1001,MATCH(ROWS($U$2:U364),$U$2:$U$1001,0),MATCH(COLUMNS($AB$1006:AB1006),$AB$1006:$AQ$1006,0)), HYPERLINK("#",""), HYPERLINK(CONCATENATE("#Metadata!", ADDRESS(INDEX($W$2:$W$1001,MATCH(ROWS($U$2:U364),$U$2:$U$1001,0),0), INDEX($AB$1004:$AQ$1004,1,MATCH(COLUMNS($AB$1006:AB1006),$AB$1006:$AQ$1006,0)))),"Fix")))</f>
        <v>0</v>
      </c>
      <c r="C364" s="5">
        <f>IF(OR(INDEX($V$2:$V$1001,MATCH(ROWS($U$2:U364),$U$2:$U$1001,0),1)&gt;=100000,INDEX($AB$1005:$AQ$1005,1,MATCH(COLUMNS($AB$1006:AC1006),$AB$1006:$AQ$1006,0))&gt;=100000), " ",IF(INDEX($AB$2:$AQ$1001,MATCH(ROWS($U$2:U364),$U$2:$U$1001,0),MATCH(COLUMNS($AB$1006:AC1006),$AB$1006:$AQ$1006,0)), HYPERLINK("#",""), HYPERLINK(CONCATENATE("#Metadata!", ADDRESS(INDEX($W$2:$W$1001,MATCH(ROWS($U$2:U364),$U$2:$U$1001,0),0), INDEX($AB$1004:$AQ$1004,1,MATCH(COLUMNS($AB$1006:AC1006),$AB$1006:$AQ$1006,0)))),"Fix")))</f>
        <v>0</v>
      </c>
      <c r="D364" s="5">
        <f>IF(OR(INDEX($V$2:$V$1001,MATCH(ROWS($U$2:U364),$U$2:$U$1001,0),1)&gt;=100000,INDEX($AB$1005:$AQ$1005,1,MATCH(COLUMNS($AB$1006:AD1006),$AB$1006:$AQ$1006,0))&gt;=100000), " ",IF(INDEX($AB$2:$AQ$1001,MATCH(ROWS($U$2:U364),$U$2:$U$1001,0),MATCH(COLUMNS($AB$1006:AD1006),$AB$1006:$AQ$1006,0)), HYPERLINK("#",""), HYPERLINK(CONCATENATE("#Metadata!", ADDRESS(INDEX($W$2:$W$1001,MATCH(ROWS($U$2:U364),$U$2:$U$1001,0),0), INDEX($AB$1004:$AQ$1004,1,MATCH(COLUMNS($AB$1006:AD1006),$AB$1006:$AQ$1006,0)))),"Fix")))</f>
        <v>0</v>
      </c>
      <c r="E364" s="5">
        <f>IF(OR(INDEX($V$2:$V$1001,MATCH(ROWS($U$2:U364),$U$2:$U$1001,0),1)&gt;=100000,INDEX($AB$1005:$AQ$1005,1,MATCH(COLUMNS($AB$1006:AE1006),$AB$1006:$AQ$1006,0))&gt;=100000), " ",IF(INDEX($AB$2:$AQ$1001,MATCH(ROWS($U$2:U364),$U$2:$U$1001,0),MATCH(COLUMNS($AB$1006:AE1006),$AB$1006:$AQ$1006,0)), HYPERLINK("#",""), HYPERLINK(CONCATENATE("#Metadata!", ADDRESS(INDEX($W$2:$W$1001,MATCH(ROWS($U$2:U364),$U$2:$U$1001,0),0), INDEX($AB$1004:$AQ$1004,1,MATCH(COLUMNS($AB$1006:AE1006),$AB$1006:$AQ$1006,0)))),"Fix")))</f>
        <v>0</v>
      </c>
      <c r="F364" s="5">
        <f>IF(OR(INDEX($V$2:$V$1001,MATCH(ROWS($U$2:U364),$U$2:$U$1001,0),1)&gt;=100000,INDEX($AB$1005:$AQ$1005,1,MATCH(COLUMNS($AB$1006:AF1006),$AB$1006:$AQ$1006,0))&gt;=100000), " ",IF(INDEX($AB$2:$AQ$1001,MATCH(ROWS($U$2:U364),$U$2:$U$1001,0),MATCH(COLUMNS($AB$1006:AF1006),$AB$1006:$AQ$1006,0)), HYPERLINK("#",""), HYPERLINK(CONCATENATE("#Metadata!", ADDRESS(INDEX($W$2:$W$1001,MATCH(ROWS($U$2:U364),$U$2:$U$1001,0),0), INDEX($AB$1004:$AQ$1004,1,MATCH(COLUMNS($AB$1006:AF1006),$AB$1006:$AQ$1006,0)))),"Fix")))</f>
        <v>0</v>
      </c>
      <c r="G364" s="5">
        <f>IF(OR(INDEX($V$2:$V$1001,MATCH(ROWS($U$2:U364),$U$2:$U$1001,0),1)&gt;=100000,INDEX($AB$1005:$AQ$1005,1,MATCH(COLUMNS($AB$1006:AG1006),$AB$1006:$AQ$1006,0))&gt;=100000), " ",IF(INDEX($AB$2:$AQ$1001,MATCH(ROWS($U$2:U364),$U$2:$U$1001,0),MATCH(COLUMNS($AB$1006:AG1006),$AB$1006:$AQ$1006,0)), HYPERLINK("#",""), HYPERLINK(CONCATENATE("#Metadata!", ADDRESS(INDEX($W$2:$W$1001,MATCH(ROWS($U$2:U364),$U$2:$U$1001,0),0), INDEX($AB$1004:$AQ$1004,1,MATCH(COLUMNS($AB$1006:AG1006),$AB$1006:$AQ$1006,0)))),"Fix")))</f>
        <v>0</v>
      </c>
      <c r="H364" s="5">
        <f>IF(OR(INDEX($V$2:$V$1001,MATCH(ROWS($U$2:U364),$U$2:$U$1001,0),1)&gt;=100000,INDEX($AB$1005:$AQ$1005,1,MATCH(COLUMNS($AB$1006:AH1006),$AB$1006:$AQ$1006,0))&gt;=100000), " ",IF(INDEX($AB$2:$AQ$1001,MATCH(ROWS($U$2:U364),$U$2:$U$1001,0),MATCH(COLUMNS($AB$1006:AH1006),$AB$1006:$AQ$1006,0)), HYPERLINK("#",""), HYPERLINK(CONCATENATE("#Metadata!", ADDRESS(INDEX($W$2:$W$1001,MATCH(ROWS($U$2:U364),$U$2:$U$1001,0),0), INDEX($AB$1004:$AQ$1004,1,MATCH(COLUMNS($AB$1006:AH1006),$AB$1006:$AQ$1006,0)))),"Fix")))</f>
        <v>0</v>
      </c>
      <c r="I364" s="5">
        <f>IF(OR(INDEX($V$2:$V$1001,MATCH(ROWS($U$2:U364),$U$2:$U$1001,0),1)&gt;=100000,INDEX($AB$1005:$AQ$1005,1,MATCH(COLUMNS($AB$1006:AI1006),$AB$1006:$AQ$1006,0))&gt;=100000), " ",IF(INDEX($AB$2:$AQ$1001,MATCH(ROWS($U$2:U364),$U$2:$U$1001,0),MATCH(COLUMNS($AB$1006:AI1006),$AB$1006:$AQ$1006,0)), HYPERLINK("#",""), HYPERLINK(CONCATENATE("#Metadata!", ADDRESS(INDEX($W$2:$W$1001,MATCH(ROWS($U$2:U364),$U$2:$U$1001,0),0), INDEX($AB$1004:$AQ$1004,1,MATCH(COLUMNS($AB$1006:AI1006),$AB$1006:$AQ$1006,0)))),"Fix")))</f>
        <v>0</v>
      </c>
      <c r="J364" s="5">
        <f>IF(OR(INDEX($V$2:$V$1001,MATCH(ROWS($U$2:U364),$U$2:$U$1001,0),1)&gt;=100000,INDEX($AB$1005:$AQ$1005,1,MATCH(COLUMNS($AB$1006:AJ1006),$AB$1006:$AQ$1006,0))&gt;=100000), " ",IF(INDEX($AB$2:$AQ$1001,MATCH(ROWS($U$2:U364),$U$2:$U$1001,0),MATCH(COLUMNS($AB$1006:AJ1006),$AB$1006:$AQ$1006,0)), HYPERLINK("#",""), HYPERLINK(CONCATENATE("#Metadata!", ADDRESS(INDEX($W$2:$W$1001,MATCH(ROWS($U$2:U364),$U$2:$U$1001,0),0), INDEX($AB$1004:$AQ$1004,1,MATCH(COLUMNS($AB$1006:AJ1006),$AB$1006:$AQ$1006,0)))),"Fix")))</f>
        <v>0</v>
      </c>
      <c r="K364" s="5">
        <f>IF(OR(INDEX($V$2:$V$1001,MATCH(ROWS($U$2:U364),$U$2:$U$1001,0),1)&gt;=100000,INDEX($AB$1005:$AQ$1005,1,MATCH(COLUMNS($AB$1006:AK1006),$AB$1006:$AQ$1006,0))&gt;=100000), " ",IF(INDEX($AB$2:$AQ$1001,MATCH(ROWS($U$2:U364),$U$2:$U$1001,0),MATCH(COLUMNS($AB$1006:AK1006),$AB$1006:$AQ$1006,0)), HYPERLINK("#",""), HYPERLINK(CONCATENATE("#Metadata!", ADDRESS(INDEX($W$2:$W$1001,MATCH(ROWS($U$2:U364),$U$2:$U$1001,0),0), INDEX($AB$1004:$AQ$1004,1,MATCH(COLUMNS($AB$1006:AK1006),$AB$1006:$AQ$1006,0)))),"Fix")))</f>
        <v>0</v>
      </c>
      <c r="L364" s="5">
        <f>IF(OR(INDEX($V$2:$V$1001,MATCH(ROWS($U$2:U364),$U$2:$U$1001,0),1)&gt;=100000,INDEX($AB$1005:$AQ$1005,1,MATCH(COLUMNS($AB$1006:AL1006),$AB$1006:$AQ$1006,0))&gt;=100000), " ",IF(INDEX($AB$2:$AQ$1001,MATCH(ROWS($U$2:U364),$U$2:$U$1001,0),MATCH(COLUMNS($AB$1006:AL1006),$AB$1006:$AQ$1006,0)), HYPERLINK("#",""), HYPERLINK(CONCATENATE("#Metadata!", ADDRESS(INDEX($W$2:$W$1001,MATCH(ROWS($U$2:U364),$U$2:$U$1001,0),0), INDEX($AB$1004:$AQ$1004,1,MATCH(COLUMNS($AB$1006:AL1006),$AB$1006:$AQ$1006,0)))),"Fix")))</f>
        <v>0</v>
      </c>
      <c r="M364" s="5">
        <f>IF(OR(INDEX($V$2:$V$1001,MATCH(ROWS($U$2:U364),$U$2:$U$1001,0),1)&gt;=100000,INDEX($AB$1005:$AQ$1005,1,MATCH(COLUMNS($AB$1006:AM1006),$AB$1006:$AQ$1006,0))&gt;=100000), " ",IF(INDEX($AB$2:$AQ$1001,MATCH(ROWS($U$2:U364),$U$2:$U$1001,0),MATCH(COLUMNS($AB$1006:AM1006),$AB$1006:$AQ$1006,0)), HYPERLINK("#",""), HYPERLINK(CONCATENATE("#Metadata!", ADDRESS(INDEX($W$2:$W$1001,MATCH(ROWS($U$2:U364),$U$2:$U$1001,0),0), INDEX($AB$1004:$AQ$1004,1,MATCH(COLUMNS($AB$1006:AM1006),$AB$1006:$AQ$1006,0)))),"Fix")))</f>
        <v>0</v>
      </c>
      <c r="N364" s="5">
        <f>IF(OR(INDEX($V$2:$V$1001,MATCH(ROWS($U$2:U364),$U$2:$U$1001,0),1)&gt;=100000,INDEX($AB$1005:$AQ$1005,1,MATCH(COLUMNS($AB$1006:AN1006),$AB$1006:$AQ$1006,0))&gt;=100000), " ",IF(INDEX($AB$2:$AQ$1001,MATCH(ROWS($U$2:U364),$U$2:$U$1001,0),MATCH(COLUMNS($AB$1006:AN1006),$AB$1006:$AQ$1006,0)), HYPERLINK("#",""), HYPERLINK(CONCATENATE("#Metadata!", ADDRESS(INDEX($W$2:$W$1001,MATCH(ROWS($U$2:U364),$U$2:$U$1001,0),0), INDEX($AB$1004:$AQ$1004,1,MATCH(COLUMNS($AB$1006:AN1006),$AB$1006:$AQ$1006,0)))),"Fix")))</f>
        <v>0</v>
      </c>
      <c r="O364" s="5">
        <f>IF(OR(INDEX($V$2:$V$1001,MATCH(ROWS($U$2:U364),$U$2:$U$1001,0),1)&gt;=100000,INDEX($AB$1005:$AQ$1005,1,MATCH(COLUMNS($AB$1006:AO1006),$AB$1006:$AQ$1006,0))&gt;=100000), " ",IF(INDEX($AB$2:$AQ$1001,MATCH(ROWS($U$2:U364),$U$2:$U$1001,0),MATCH(COLUMNS($AB$1006:AO1006),$AB$1006:$AQ$1006,0)), HYPERLINK("#",""), HYPERLINK(CONCATENATE("#Metadata!", ADDRESS(INDEX($W$2:$W$1001,MATCH(ROWS($U$2:U364),$U$2:$U$1001,0),0), INDEX($AB$1004:$AQ$1004,1,MATCH(COLUMNS($AB$1006:AO1006),$AB$1006:$AQ$1006,0)))),"Fix")))</f>
        <v>0</v>
      </c>
      <c r="P364" s="5">
        <f>IF(OR(INDEX($V$2:$V$1001,MATCH(ROWS($U$2:U364),$U$2:$U$1001,0),1)&gt;=100000,INDEX($AB$1005:$AQ$1005,1,MATCH(COLUMNS($AB$1006:AP1006),$AB$1006:$AQ$1006,0))&gt;=100000), " ",IF(INDEX($AB$2:$AQ$1001,MATCH(ROWS($U$2:U364),$U$2:$U$1001,0),MATCH(COLUMNS($AB$1006:AP1006),$AB$1006:$AQ$1006,0)), HYPERLINK("#",""), HYPERLINK(CONCATENATE("#Metadata!", ADDRESS(INDEX($W$2:$W$1001,MATCH(ROWS($U$2:U364),$U$2:$U$1001,0),0), INDEX($AB$1004:$AQ$1004,1,MATCH(COLUMNS($AB$1006:AP1006),$AB$1006:$AQ$1006,0)))),"Fix")))</f>
        <v>0</v>
      </c>
      <c r="Q364" s="5">
        <f>IF(OR(INDEX($V$2:$V$1001,MATCH(ROWS($U$2:U364),$U$2:$U$1001,0),1)&gt;=100000,INDEX($AB$1005:$AQ$1005,1,MATCH(COLUMNS($AB$1006:AQ1006),$AB$1006:$AQ$1006,0))&gt;=100000), " ",IF(INDEX($AB$2:$AQ$1001,MATCH(ROWS($U$2:U364),$U$2:$U$1001,0),MATCH(COLUMNS($AB$1006:AQ1006),$AB$1006:$AQ$1006,0)), HYPERLINK("#",""), HYPERLINK(CONCATENATE("#Metadata!", ADDRESS(INDEX($W$2:$W$1001,MATCH(ROWS($U$2:U364),$U$2:$U$1001,0),0), INDEX($AB$1004:$AQ$1004,1,MATCH(COLUMNS($AB$1006:AQ1006),$AB$1006:$AQ$1006,0)))),"Fix")))</f>
        <v>0</v>
      </c>
      <c r="U364">
        <v>0</v>
      </c>
      <c r="V364">
        <v>0</v>
      </c>
      <c r="W364">
        <v>0</v>
      </c>
      <c r="X364">
        <f>IF(Y364,TRUE,AND(AB364:AQ364))</f>
        <v>0</v>
      </c>
      <c r="Y364">
        <f>COUNTBLANK(Metadata!B364:Q364)=COLUMNS(Metadata!B364:Q364)</f>
        <v>0</v>
      </c>
      <c r="Z364">
        <v>0</v>
      </c>
      <c r="AB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AC364">
        <f>AND(IF(Metadata!C364="",FALSE,TRUE),exact(Metadata!C364,"urban biome"))</f>
        <v>0</v>
      </c>
      <c r="AD364">
        <f>AND(IF(Metadata!D364="",FALSE,TRUE),exact(Metadata!D364,"human-associated habitat"))</f>
        <v>0</v>
      </c>
      <c r="AE364">
        <f>AND(IF(Metadata!E364="",FALSE,TRUE),OR(exact(Metadata!E364,"human-associated"),exact(Metadata!E364,"human-skin"),exact(Metadata!E364,"human-oral"),exact(Metadata!E364,"human-gut"),exact(Metadata!E364,"human-vaginal")))</f>
        <v>0</v>
      </c>
      <c r="AF364">
        <f>AND(IF(Metadata!F364="",FALSE,ISNUMBER(VALUE(Metadata!F364))),Metadata!F364&gt;0)</f>
        <v>0</v>
      </c>
      <c r="AG364">
        <f>AND(IF(Metadata!G364="",FALSE,TRUE),exact(Metadata!G364,"years"))</f>
        <v>0</v>
      </c>
      <c r="AH364">
        <f>OR(AND(IF(Metadata!H364="",FALSE,TRUE),OR(exact(Metadata!H364,"not applicable"),exact(Metadata!H364,"not collected"),exact(Metadata!H364,"not provided"),exact(Metadata!H364,"restricted access"))),AND(IF(Metadata!H364="",FALSE,ISNUMBER(VALUE(Metadata!H364))),Metadata!H364&gt;0))</f>
        <v>0</v>
      </c>
      <c r="AI364">
        <f>AND(IF(Metadata!I364="",FALSE,TRUE),exact(Metadata!I364,"human"))</f>
        <v>0</v>
      </c>
      <c r="AJ364">
        <f>AND(IF(Metadata!J364="",FALSE,ISNUMBER(VALUE(Metadata!J364))),Metadata!J364&gt;0)</f>
        <v>0</v>
      </c>
      <c r="AK364">
        <f>AND(IF(Metadata!K364="",FALSE,TRUE),exact(Metadata!K364,"cm"))</f>
        <v>0</v>
      </c>
      <c r="AL364">
        <f>AND(IF(Metadata!L364="",FALSE,TRUE),exact(Metadata!L364,"Homo sapiens"))</f>
        <v>0</v>
      </c>
      <c r="AM364">
        <f>AND(IF(Metadata!M364="",FALSE,TRUE),exact(Metadata!M364,"9606"))</f>
        <v>0</v>
      </c>
      <c r="AN364">
        <f>AND(IF(Metadata!N364="",FALSE,ISNUMBER(VALUE(Metadata!N364))),Metadata!N364&gt;0)</f>
        <v>0</v>
      </c>
      <c r="AO364">
        <f>AND(IF(Metadata!O364="",FALSE,TRUE),exact(Metadata!O364,"kg"))</f>
        <v>0</v>
      </c>
      <c r="AP364">
        <f>OR(AND(IF(Metadata!P364="",FALSE,TRUE),exact(Metadata!P364,"not provided")),IF(Metadata!P364="",FALSE,TRUE))</f>
        <v>0</v>
      </c>
      <c r="AQ364">
        <f>OR(AND(IF(Metadata!Q364="",FALSE,TRUE),exact(Metadata!Q364,"not provided")),IF(Metadata!Q364="",FALSE,TRUE))</f>
        <v>0</v>
      </c>
    </row>
    <row r="365" spans="1:43">
      <c r="A365" s="4">
        <f>IF(B365=" "," ",HYPERLINK(CONCATENATE("#metadata!",ADDRESS(INDEX($W$2:$W$1001,MATCH(ROWS($U$2:U365),$U$2:$U$1001,0),0),2)),INDEX($Z$2:$Z$1001,MATCH(ROWS($U$2:U365),$U$2:$U$1001,0),0)))</f>
        <v>0</v>
      </c>
      <c r="B365" s="5">
        <f>IF(OR(INDEX($V$2:$V$1001,MATCH(ROWS($U$2:U365),$U$2:$U$1001,0),1)&gt;=100000,INDEX($AB$1005:$AQ$1005,1,MATCH(COLUMNS($AB$1006:AB1006),$AB$1006:$AQ$1006,0))&gt;=100000), " ",IF(INDEX($AB$2:$AQ$1001,MATCH(ROWS($U$2:U365),$U$2:$U$1001,0),MATCH(COLUMNS($AB$1006:AB1006),$AB$1006:$AQ$1006,0)), HYPERLINK("#",""), HYPERLINK(CONCATENATE("#Metadata!", ADDRESS(INDEX($W$2:$W$1001,MATCH(ROWS($U$2:U365),$U$2:$U$1001,0),0), INDEX($AB$1004:$AQ$1004,1,MATCH(COLUMNS($AB$1006:AB1006),$AB$1006:$AQ$1006,0)))),"Fix")))</f>
        <v>0</v>
      </c>
      <c r="C365" s="5">
        <f>IF(OR(INDEX($V$2:$V$1001,MATCH(ROWS($U$2:U365),$U$2:$U$1001,0),1)&gt;=100000,INDEX($AB$1005:$AQ$1005,1,MATCH(COLUMNS($AB$1006:AC1006),$AB$1006:$AQ$1006,0))&gt;=100000), " ",IF(INDEX($AB$2:$AQ$1001,MATCH(ROWS($U$2:U365),$U$2:$U$1001,0),MATCH(COLUMNS($AB$1006:AC1006),$AB$1006:$AQ$1006,0)), HYPERLINK("#",""), HYPERLINK(CONCATENATE("#Metadata!", ADDRESS(INDEX($W$2:$W$1001,MATCH(ROWS($U$2:U365),$U$2:$U$1001,0),0), INDEX($AB$1004:$AQ$1004,1,MATCH(COLUMNS($AB$1006:AC1006),$AB$1006:$AQ$1006,0)))),"Fix")))</f>
        <v>0</v>
      </c>
      <c r="D365" s="5">
        <f>IF(OR(INDEX($V$2:$V$1001,MATCH(ROWS($U$2:U365),$U$2:$U$1001,0),1)&gt;=100000,INDEX($AB$1005:$AQ$1005,1,MATCH(COLUMNS($AB$1006:AD1006),$AB$1006:$AQ$1006,0))&gt;=100000), " ",IF(INDEX($AB$2:$AQ$1001,MATCH(ROWS($U$2:U365),$U$2:$U$1001,0),MATCH(COLUMNS($AB$1006:AD1006),$AB$1006:$AQ$1006,0)), HYPERLINK("#",""), HYPERLINK(CONCATENATE("#Metadata!", ADDRESS(INDEX($W$2:$W$1001,MATCH(ROWS($U$2:U365),$U$2:$U$1001,0),0), INDEX($AB$1004:$AQ$1004,1,MATCH(COLUMNS($AB$1006:AD1006),$AB$1006:$AQ$1006,0)))),"Fix")))</f>
        <v>0</v>
      </c>
      <c r="E365" s="5">
        <f>IF(OR(INDEX($V$2:$V$1001,MATCH(ROWS($U$2:U365),$U$2:$U$1001,0),1)&gt;=100000,INDEX($AB$1005:$AQ$1005,1,MATCH(COLUMNS($AB$1006:AE1006),$AB$1006:$AQ$1006,0))&gt;=100000), " ",IF(INDEX($AB$2:$AQ$1001,MATCH(ROWS($U$2:U365),$U$2:$U$1001,0),MATCH(COLUMNS($AB$1006:AE1006),$AB$1006:$AQ$1006,0)), HYPERLINK("#",""), HYPERLINK(CONCATENATE("#Metadata!", ADDRESS(INDEX($W$2:$W$1001,MATCH(ROWS($U$2:U365),$U$2:$U$1001,0),0), INDEX($AB$1004:$AQ$1004,1,MATCH(COLUMNS($AB$1006:AE1006),$AB$1006:$AQ$1006,0)))),"Fix")))</f>
        <v>0</v>
      </c>
      <c r="F365" s="5">
        <f>IF(OR(INDEX($V$2:$V$1001,MATCH(ROWS($U$2:U365),$U$2:$U$1001,0),1)&gt;=100000,INDEX($AB$1005:$AQ$1005,1,MATCH(COLUMNS($AB$1006:AF1006),$AB$1006:$AQ$1006,0))&gt;=100000), " ",IF(INDEX($AB$2:$AQ$1001,MATCH(ROWS($U$2:U365),$U$2:$U$1001,0),MATCH(COLUMNS($AB$1006:AF1006),$AB$1006:$AQ$1006,0)), HYPERLINK("#",""), HYPERLINK(CONCATENATE("#Metadata!", ADDRESS(INDEX($W$2:$W$1001,MATCH(ROWS($U$2:U365),$U$2:$U$1001,0),0), INDEX($AB$1004:$AQ$1004,1,MATCH(COLUMNS($AB$1006:AF1006),$AB$1006:$AQ$1006,0)))),"Fix")))</f>
        <v>0</v>
      </c>
      <c r="G365" s="5">
        <f>IF(OR(INDEX($V$2:$V$1001,MATCH(ROWS($U$2:U365),$U$2:$U$1001,0),1)&gt;=100000,INDEX($AB$1005:$AQ$1005,1,MATCH(COLUMNS($AB$1006:AG1006),$AB$1006:$AQ$1006,0))&gt;=100000), " ",IF(INDEX($AB$2:$AQ$1001,MATCH(ROWS($U$2:U365),$U$2:$U$1001,0),MATCH(COLUMNS($AB$1006:AG1006),$AB$1006:$AQ$1006,0)), HYPERLINK("#",""), HYPERLINK(CONCATENATE("#Metadata!", ADDRESS(INDEX($W$2:$W$1001,MATCH(ROWS($U$2:U365),$U$2:$U$1001,0),0), INDEX($AB$1004:$AQ$1004,1,MATCH(COLUMNS($AB$1006:AG1006),$AB$1006:$AQ$1006,0)))),"Fix")))</f>
        <v>0</v>
      </c>
      <c r="H365" s="5">
        <f>IF(OR(INDEX($V$2:$V$1001,MATCH(ROWS($U$2:U365),$U$2:$U$1001,0),1)&gt;=100000,INDEX($AB$1005:$AQ$1005,1,MATCH(COLUMNS($AB$1006:AH1006),$AB$1006:$AQ$1006,0))&gt;=100000), " ",IF(INDEX($AB$2:$AQ$1001,MATCH(ROWS($U$2:U365),$U$2:$U$1001,0),MATCH(COLUMNS($AB$1006:AH1006),$AB$1006:$AQ$1006,0)), HYPERLINK("#",""), HYPERLINK(CONCATENATE("#Metadata!", ADDRESS(INDEX($W$2:$W$1001,MATCH(ROWS($U$2:U365),$U$2:$U$1001,0),0), INDEX($AB$1004:$AQ$1004,1,MATCH(COLUMNS($AB$1006:AH1006),$AB$1006:$AQ$1006,0)))),"Fix")))</f>
        <v>0</v>
      </c>
      <c r="I365" s="5">
        <f>IF(OR(INDEX($V$2:$V$1001,MATCH(ROWS($U$2:U365),$U$2:$U$1001,0),1)&gt;=100000,INDEX($AB$1005:$AQ$1005,1,MATCH(COLUMNS($AB$1006:AI1006),$AB$1006:$AQ$1006,0))&gt;=100000), " ",IF(INDEX($AB$2:$AQ$1001,MATCH(ROWS($U$2:U365),$U$2:$U$1001,0),MATCH(COLUMNS($AB$1006:AI1006),$AB$1006:$AQ$1006,0)), HYPERLINK("#",""), HYPERLINK(CONCATENATE("#Metadata!", ADDRESS(INDEX($W$2:$W$1001,MATCH(ROWS($U$2:U365),$U$2:$U$1001,0),0), INDEX($AB$1004:$AQ$1004,1,MATCH(COLUMNS($AB$1006:AI1006),$AB$1006:$AQ$1006,0)))),"Fix")))</f>
        <v>0</v>
      </c>
      <c r="J365" s="5">
        <f>IF(OR(INDEX($V$2:$V$1001,MATCH(ROWS($U$2:U365),$U$2:$U$1001,0),1)&gt;=100000,INDEX($AB$1005:$AQ$1005,1,MATCH(COLUMNS($AB$1006:AJ1006),$AB$1006:$AQ$1006,0))&gt;=100000), " ",IF(INDEX($AB$2:$AQ$1001,MATCH(ROWS($U$2:U365),$U$2:$U$1001,0),MATCH(COLUMNS($AB$1006:AJ1006),$AB$1006:$AQ$1006,0)), HYPERLINK("#",""), HYPERLINK(CONCATENATE("#Metadata!", ADDRESS(INDEX($W$2:$W$1001,MATCH(ROWS($U$2:U365),$U$2:$U$1001,0),0), INDEX($AB$1004:$AQ$1004,1,MATCH(COLUMNS($AB$1006:AJ1006),$AB$1006:$AQ$1006,0)))),"Fix")))</f>
        <v>0</v>
      </c>
      <c r="K365" s="5">
        <f>IF(OR(INDEX($V$2:$V$1001,MATCH(ROWS($U$2:U365),$U$2:$U$1001,0),1)&gt;=100000,INDEX($AB$1005:$AQ$1005,1,MATCH(COLUMNS($AB$1006:AK1006),$AB$1006:$AQ$1006,0))&gt;=100000), " ",IF(INDEX($AB$2:$AQ$1001,MATCH(ROWS($U$2:U365),$U$2:$U$1001,0),MATCH(COLUMNS($AB$1006:AK1006),$AB$1006:$AQ$1006,0)), HYPERLINK("#",""), HYPERLINK(CONCATENATE("#Metadata!", ADDRESS(INDEX($W$2:$W$1001,MATCH(ROWS($U$2:U365),$U$2:$U$1001,0),0), INDEX($AB$1004:$AQ$1004,1,MATCH(COLUMNS($AB$1006:AK1006),$AB$1006:$AQ$1006,0)))),"Fix")))</f>
        <v>0</v>
      </c>
      <c r="L365" s="5">
        <f>IF(OR(INDEX($V$2:$V$1001,MATCH(ROWS($U$2:U365),$U$2:$U$1001,0),1)&gt;=100000,INDEX($AB$1005:$AQ$1005,1,MATCH(COLUMNS($AB$1006:AL1006),$AB$1006:$AQ$1006,0))&gt;=100000), " ",IF(INDEX($AB$2:$AQ$1001,MATCH(ROWS($U$2:U365),$U$2:$U$1001,0),MATCH(COLUMNS($AB$1006:AL1006),$AB$1006:$AQ$1006,0)), HYPERLINK("#",""), HYPERLINK(CONCATENATE("#Metadata!", ADDRESS(INDEX($W$2:$W$1001,MATCH(ROWS($U$2:U365),$U$2:$U$1001,0),0), INDEX($AB$1004:$AQ$1004,1,MATCH(COLUMNS($AB$1006:AL1006),$AB$1006:$AQ$1006,0)))),"Fix")))</f>
        <v>0</v>
      </c>
      <c r="M365" s="5">
        <f>IF(OR(INDEX($V$2:$V$1001,MATCH(ROWS($U$2:U365),$U$2:$U$1001,0),1)&gt;=100000,INDEX($AB$1005:$AQ$1005,1,MATCH(COLUMNS($AB$1006:AM1006),$AB$1006:$AQ$1006,0))&gt;=100000), " ",IF(INDEX($AB$2:$AQ$1001,MATCH(ROWS($U$2:U365),$U$2:$U$1001,0),MATCH(COLUMNS($AB$1006:AM1006),$AB$1006:$AQ$1006,0)), HYPERLINK("#",""), HYPERLINK(CONCATENATE("#Metadata!", ADDRESS(INDEX($W$2:$W$1001,MATCH(ROWS($U$2:U365),$U$2:$U$1001,0),0), INDEX($AB$1004:$AQ$1004,1,MATCH(COLUMNS($AB$1006:AM1006),$AB$1006:$AQ$1006,0)))),"Fix")))</f>
        <v>0</v>
      </c>
      <c r="N365" s="5">
        <f>IF(OR(INDEX($V$2:$V$1001,MATCH(ROWS($U$2:U365),$U$2:$U$1001,0),1)&gt;=100000,INDEX($AB$1005:$AQ$1005,1,MATCH(COLUMNS($AB$1006:AN1006),$AB$1006:$AQ$1006,0))&gt;=100000), " ",IF(INDEX($AB$2:$AQ$1001,MATCH(ROWS($U$2:U365),$U$2:$U$1001,0),MATCH(COLUMNS($AB$1006:AN1006),$AB$1006:$AQ$1006,0)), HYPERLINK("#",""), HYPERLINK(CONCATENATE("#Metadata!", ADDRESS(INDEX($W$2:$W$1001,MATCH(ROWS($U$2:U365),$U$2:$U$1001,0),0), INDEX($AB$1004:$AQ$1004,1,MATCH(COLUMNS($AB$1006:AN1006),$AB$1006:$AQ$1006,0)))),"Fix")))</f>
        <v>0</v>
      </c>
      <c r="O365" s="5">
        <f>IF(OR(INDEX($V$2:$V$1001,MATCH(ROWS($U$2:U365),$U$2:$U$1001,0),1)&gt;=100000,INDEX($AB$1005:$AQ$1005,1,MATCH(COLUMNS($AB$1006:AO1006),$AB$1006:$AQ$1006,0))&gt;=100000), " ",IF(INDEX($AB$2:$AQ$1001,MATCH(ROWS($U$2:U365),$U$2:$U$1001,0),MATCH(COLUMNS($AB$1006:AO1006),$AB$1006:$AQ$1006,0)), HYPERLINK("#",""), HYPERLINK(CONCATENATE("#Metadata!", ADDRESS(INDEX($W$2:$W$1001,MATCH(ROWS($U$2:U365),$U$2:$U$1001,0),0), INDEX($AB$1004:$AQ$1004,1,MATCH(COLUMNS($AB$1006:AO1006),$AB$1006:$AQ$1006,0)))),"Fix")))</f>
        <v>0</v>
      </c>
      <c r="P365" s="5">
        <f>IF(OR(INDEX($V$2:$V$1001,MATCH(ROWS($U$2:U365),$U$2:$U$1001,0),1)&gt;=100000,INDEX($AB$1005:$AQ$1005,1,MATCH(COLUMNS($AB$1006:AP1006),$AB$1006:$AQ$1006,0))&gt;=100000), " ",IF(INDEX($AB$2:$AQ$1001,MATCH(ROWS($U$2:U365),$U$2:$U$1001,0),MATCH(COLUMNS($AB$1006:AP1006),$AB$1006:$AQ$1006,0)), HYPERLINK("#",""), HYPERLINK(CONCATENATE("#Metadata!", ADDRESS(INDEX($W$2:$W$1001,MATCH(ROWS($U$2:U365),$U$2:$U$1001,0),0), INDEX($AB$1004:$AQ$1004,1,MATCH(COLUMNS($AB$1006:AP1006),$AB$1006:$AQ$1006,0)))),"Fix")))</f>
        <v>0</v>
      </c>
      <c r="Q365" s="5">
        <f>IF(OR(INDEX($V$2:$V$1001,MATCH(ROWS($U$2:U365),$U$2:$U$1001,0),1)&gt;=100000,INDEX($AB$1005:$AQ$1005,1,MATCH(COLUMNS($AB$1006:AQ1006),$AB$1006:$AQ$1006,0))&gt;=100000), " ",IF(INDEX($AB$2:$AQ$1001,MATCH(ROWS($U$2:U365),$U$2:$U$1001,0),MATCH(COLUMNS($AB$1006:AQ1006),$AB$1006:$AQ$1006,0)), HYPERLINK("#",""), HYPERLINK(CONCATENATE("#Metadata!", ADDRESS(INDEX($W$2:$W$1001,MATCH(ROWS($U$2:U365),$U$2:$U$1001,0),0), INDEX($AB$1004:$AQ$1004,1,MATCH(COLUMNS($AB$1006:AQ1006),$AB$1006:$AQ$1006,0)))),"Fix")))</f>
        <v>0</v>
      </c>
      <c r="U365">
        <v>0</v>
      </c>
      <c r="V365">
        <v>0</v>
      </c>
      <c r="W365">
        <v>0</v>
      </c>
      <c r="X365">
        <f>IF(Y365,TRUE,AND(AB365:AQ365))</f>
        <v>0</v>
      </c>
      <c r="Y365">
        <f>COUNTBLANK(Metadata!B365:Q365)=COLUMNS(Metadata!B365:Q365)</f>
        <v>0</v>
      </c>
      <c r="Z365">
        <v>0</v>
      </c>
      <c r="AB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AC365">
        <f>AND(IF(Metadata!C365="",FALSE,TRUE),exact(Metadata!C365,"urban biome"))</f>
        <v>0</v>
      </c>
      <c r="AD365">
        <f>AND(IF(Metadata!D365="",FALSE,TRUE),exact(Metadata!D365,"human-associated habitat"))</f>
        <v>0</v>
      </c>
      <c r="AE365">
        <f>AND(IF(Metadata!E365="",FALSE,TRUE),OR(exact(Metadata!E365,"human-associated"),exact(Metadata!E365,"human-skin"),exact(Metadata!E365,"human-oral"),exact(Metadata!E365,"human-gut"),exact(Metadata!E365,"human-vaginal")))</f>
        <v>0</v>
      </c>
      <c r="AF365">
        <f>AND(IF(Metadata!F365="",FALSE,ISNUMBER(VALUE(Metadata!F365))),Metadata!F365&gt;0)</f>
        <v>0</v>
      </c>
      <c r="AG365">
        <f>AND(IF(Metadata!G365="",FALSE,TRUE),exact(Metadata!G365,"years"))</f>
        <v>0</v>
      </c>
      <c r="AH365">
        <f>OR(AND(IF(Metadata!H365="",FALSE,TRUE),OR(exact(Metadata!H365,"not applicable"),exact(Metadata!H365,"not collected"),exact(Metadata!H365,"not provided"),exact(Metadata!H365,"restricted access"))),AND(IF(Metadata!H365="",FALSE,ISNUMBER(VALUE(Metadata!H365))),Metadata!H365&gt;0))</f>
        <v>0</v>
      </c>
      <c r="AI365">
        <f>AND(IF(Metadata!I365="",FALSE,TRUE),exact(Metadata!I365,"human"))</f>
        <v>0</v>
      </c>
      <c r="AJ365">
        <f>AND(IF(Metadata!J365="",FALSE,ISNUMBER(VALUE(Metadata!J365))),Metadata!J365&gt;0)</f>
        <v>0</v>
      </c>
      <c r="AK365">
        <f>AND(IF(Metadata!K365="",FALSE,TRUE),exact(Metadata!K365,"cm"))</f>
        <v>0</v>
      </c>
      <c r="AL365">
        <f>AND(IF(Metadata!L365="",FALSE,TRUE),exact(Metadata!L365,"Homo sapiens"))</f>
        <v>0</v>
      </c>
      <c r="AM365">
        <f>AND(IF(Metadata!M365="",FALSE,TRUE),exact(Metadata!M365,"9606"))</f>
        <v>0</v>
      </c>
      <c r="AN365">
        <f>AND(IF(Metadata!N365="",FALSE,ISNUMBER(VALUE(Metadata!N365))),Metadata!N365&gt;0)</f>
        <v>0</v>
      </c>
      <c r="AO365">
        <f>AND(IF(Metadata!O365="",FALSE,TRUE),exact(Metadata!O365,"kg"))</f>
        <v>0</v>
      </c>
      <c r="AP365">
        <f>OR(AND(IF(Metadata!P365="",FALSE,TRUE),exact(Metadata!P365,"not provided")),IF(Metadata!P365="",FALSE,TRUE))</f>
        <v>0</v>
      </c>
      <c r="AQ365">
        <f>OR(AND(IF(Metadata!Q365="",FALSE,TRUE),exact(Metadata!Q365,"not provided")),IF(Metadata!Q365="",FALSE,TRUE))</f>
        <v>0</v>
      </c>
    </row>
    <row r="366" spans="1:43">
      <c r="A366" s="4">
        <f>IF(B366=" "," ",HYPERLINK(CONCATENATE("#metadata!",ADDRESS(INDEX($W$2:$W$1001,MATCH(ROWS($U$2:U366),$U$2:$U$1001,0),0),2)),INDEX($Z$2:$Z$1001,MATCH(ROWS($U$2:U366),$U$2:$U$1001,0),0)))</f>
        <v>0</v>
      </c>
      <c r="B366" s="5">
        <f>IF(OR(INDEX($V$2:$V$1001,MATCH(ROWS($U$2:U366),$U$2:$U$1001,0),1)&gt;=100000,INDEX($AB$1005:$AQ$1005,1,MATCH(COLUMNS($AB$1006:AB1006),$AB$1006:$AQ$1006,0))&gt;=100000), " ",IF(INDEX($AB$2:$AQ$1001,MATCH(ROWS($U$2:U366),$U$2:$U$1001,0),MATCH(COLUMNS($AB$1006:AB1006),$AB$1006:$AQ$1006,0)), HYPERLINK("#",""), HYPERLINK(CONCATENATE("#Metadata!", ADDRESS(INDEX($W$2:$W$1001,MATCH(ROWS($U$2:U366),$U$2:$U$1001,0),0), INDEX($AB$1004:$AQ$1004,1,MATCH(COLUMNS($AB$1006:AB1006),$AB$1006:$AQ$1006,0)))),"Fix")))</f>
        <v>0</v>
      </c>
      <c r="C366" s="5">
        <f>IF(OR(INDEX($V$2:$V$1001,MATCH(ROWS($U$2:U366),$U$2:$U$1001,0),1)&gt;=100000,INDEX($AB$1005:$AQ$1005,1,MATCH(COLUMNS($AB$1006:AC1006),$AB$1006:$AQ$1006,0))&gt;=100000), " ",IF(INDEX($AB$2:$AQ$1001,MATCH(ROWS($U$2:U366),$U$2:$U$1001,0),MATCH(COLUMNS($AB$1006:AC1006),$AB$1006:$AQ$1006,0)), HYPERLINK("#",""), HYPERLINK(CONCATENATE("#Metadata!", ADDRESS(INDEX($W$2:$W$1001,MATCH(ROWS($U$2:U366),$U$2:$U$1001,0),0), INDEX($AB$1004:$AQ$1004,1,MATCH(COLUMNS($AB$1006:AC1006),$AB$1006:$AQ$1006,0)))),"Fix")))</f>
        <v>0</v>
      </c>
      <c r="D366" s="5">
        <f>IF(OR(INDEX($V$2:$V$1001,MATCH(ROWS($U$2:U366),$U$2:$U$1001,0),1)&gt;=100000,INDEX($AB$1005:$AQ$1005,1,MATCH(COLUMNS($AB$1006:AD1006),$AB$1006:$AQ$1006,0))&gt;=100000), " ",IF(INDEX($AB$2:$AQ$1001,MATCH(ROWS($U$2:U366),$U$2:$U$1001,0),MATCH(COLUMNS($AB$1006:AD1006),$AB$1006:$AQ$1006,0)), HYPERLINK("#",""), HYPERLINK(CONCATENATE("#Metadata!", ADDRESS(INDEX($W$2:$W$1001,MATCH(ROWS($U$2:U366),$U$2:$U$1001,0),0), INDEX($AB$1004:$AQ$1004,1,MATCH(COLUMNS($AB$1006:AD1006),$AB$1006:$AQ$1006,0)))),"Fix")))</f>
        <v>0</v>
      </c>
      <c r="E366" s="5">
        <f>IF(OR(INDEX($V$2:$V$1001,MATCH(ROWS($U$2:U366),$U$2:$U$1001,0),1)&gt;=100000,INDEX($AB$1005:$AQ$1005,1,MATCH(COLUMNS($AB$1006:AE1006),$AB$1006:$AQ$1006,0))&gt;=100000), " ",IF(INDEX($AB$2:$AQ$1001,MATCH(ROWS($U$2:U366),$U$2:$U$1001,0),MATCH(COLUMNS($AB$1006:AE1006),$AB$1006:$AQ$1006,0)), HYPERLINK("#",""), HYPERLINK(CONCATENATE("#Metadata!", ADDRESS(INDEX($W$2:$W$1001,MATCH(ROWS($U$2:U366),$U$2:$U$1001,0),0), INDEX($AB$1004:$AQ$1004,1,MATCH(COLUMNS($AB$1006:AE1006),$AB$1006:$AQ$1006,0)))),"Fix")))</f>
        <v>0</v>
      </c>
      <c r="F366" s="5">
        <f>IF(OR(INDEX($V$2:$V$1001,MATCH(ROWS($U$2:U366),$U$2:$U$1001,0),1)&gt;=100000,INDEX($AB$1005:$AQ$1005,1,MATCH(COLUMNS($AB$1006:AF1006),$AB$1006:$AQ$1006,0))&gt;=100000), " ",IF(INDEX($AB$2:$AQ$1001,MATCH(ROWS($U$2:U366),$U$2:$U$1001,0),MATCH(COLUMNS($AB$1006:AF1006),$AB$1006:$AQ$1006,0)), HYPERLINK("#",""), HYPERLINK(CONCATENATE("#Metadata!", ADDRESS(INDEX($W$2:$W$1001,MATCH(ROWS($U$2:U366),$U$2:$U$1001,0),0), INDEX($AB$1004:$AQ$1004,1,MATCH(COLUMNS($AB$1006:AF1006),$AB$1006:$AQ$1006,0)))),"Fix")))</f>
        <v>0</v>
      </c>
      <c r="G366" s="5">
        <f>IF(OR(INDEX($V$2:$V$1001,MATCH(ROWS($U$2:U366),$U$2:$U$1001,0),1)&gt;=100000,INDEX($AB$1005:$AQ$1005,1,MATCH(COLUMNS($AB$1006:AG1006),$AB$1006:$AQ$1006,0))&gt;=100000), " ",IF(INDEX($AB$2:$AQ$1001,MATCH(ROWS($U$2:U366),$U$2:$U$1001,0),MATCH(COLUMNS($AB$1006:AG1006),$AB$1006:$AQ$1006,0)), HYPERLINK("#",""), HYPERLINK(CONCATENATE("#Metadata!", ADDRESS(INDEX($W$2:$W$1001,MATCH(ROWS($U$2:U366),$U$2:$U$1001,0),0), INDEX($AB$1004:$AQ$1004,1,MATCH(COLUMNS($AB$1006:AG1006),$AB$1006:$AQ$1006,0)))),"Fix")))</f>
        <v>0</v>
      </c>
      <c r="H366" s="5">
        <f>IF(OR(INDEX($V$2:$V$1001,MATCH(ROWS($U$2:U366),$U$2:$U$1001,0),1)&gt;=100000,INDEX($AB$1005:$AQ$1005,1,MATCH(COLUMNS($AB$1006:AH1006),$AB$1006:$AQ$1006,0))&gt;=100000), " ",IF(INDEX($AB$2:$AQ$1001,MATCH(ROWS($U$2:U366),$U$2:$U$1001,0),MATCH(COLUMNS($AB$1006:AH1006),$AB$1006:$AQ$1006,0)), HYPERLINK("#",""), HYPERLINK(CONCATENATE("#Metadata!", ADDRESS(INDEX($W$2:$W$1001,MATCH(ROWS($U$2:U366),$U$2:$U$1001,0),0), INDEX($AB$1004:$AQ$1004,1,MATCH(COLUMNS($AB$1006:AH1006),$AB$1006:$AQ$1006,0)))),"Fix")))</f>
        <v>0</v>
      </c>
      <c r="I366" s="5">
        <f>IF(OR(INDEX($V$2:$V$1001,MATCH(ROWS($U$2:U366),$U$2:$U$1001,0),1)&gt;=100000,INDEX($AB$1005:$AQ$1005,1,MATCH(COLUMNS($AB$1006:AI1006),$AB$1006:$AQ$1006,0))&gt;=100000), " ",IF(INDEX($AB$2:$AQ$1001,MATCH(ROWS($U$2:U366),$U$2:$U$1001,0),MATCH(COLUMNS($AB$1006:AI1006),$AB$1006:$AQ$1006,0)), HYPERLINK("#",""), HYPERLINK(CONCATENATE("#Metadata!", ADDRESS(INDEX($W$2:$W$1001,MATCH(ROWS($U$2:U366),$U$2:$U$1001,0),0), INDEX($AB$1004:$AQ$1004,1,MATCH(COLUMNS($AB$1006:AI1006),$AB$1006:$AQ$1006,0)))),"Fix")))</f>
        <v>0</v>
      </c>
      <c r="J366" s="5">
        <f>IF(OR(INDEX($V$2:$V$1001,MATCH(ROWS($U$2:U366),$U$2:$U$1001,0),1)&gt;=100000,INDEX($AB$1005:$AQ$1005,1,MATCH(COLUMNS($AB$1006:AJ1006),$AB$1006:$AQ$1006,0))&gt;=100000), " ",IF(INDEX($AB$2:$AQ$1001,MATCH(ROWS($U$2:U366),$U$2:$U$1001,0),MATCH(COLUMNS($AB$1006:AJ1006),$AB$1006:$AQ$1006,0)), HYPERLINK("#",""), HYPERLINK(CONCATENATE("#Metadata!", ADDRESS(INDEX($W$2:$W$1001,MATCH(ROWS($U$2:U366),$U$2:$U$1001,0),0), INDEX($AB$1004:$AQ$1004,1,MATCH(COLUMNS($AB$1006:AJ1006),$AB$1006:$AQ$1006,0)))),"Fix")))</f>
        <v>0</v>
      </c>
      <c r="K366" s="5">
        <f>IF(OR(INDEX($V$2:$V$1001,MATCH(ROWS($U$2:U366),$U$2:$U$1001,0),1)&gt;=100000,INDEX($AB$1005:$AQ$1005,1,MATCH(COLUMNS($AB$1006:AK1006),$AB$1006:$AQ$1006,0))&gt;=100000), " ",IF(INDEX($AB$2:$AQ$1001,MATCH(ROWS($U$2:U366),$U$2:$U$1001,0),MATCH(COLUMNS($AB$1006:AK1006),$AB$1006:$AQ$1006,0)), HYPERLINK("#",""), HYPERLINK(CONCATENATE("#Metadata!", ADDRESS(INDEX($W$2:$W$1001,MATCH(ROWS($U$2:U366),$U$2:$U$1001,0),0), INDEX($AB$1004:$AQ$1004,1,MATCH(COLUMNS($AB$1006:AK1006),$AB$1006:$AQ$1006,0)))),"Fix")))</f>
        <v>0</v>
      </c>
      <c r="L366" s="5">
        <f>IF(OR(INDEX($V$2:$V$1001,MATCH(ROWS($U$2:U366),$U$2:$U$1001,0),1)&gt;=100000,INDEX($AB$1005:$AQ$1005,1,MATCH(COLUMNS($AB$1006:AL1006),$AB$1006:$AQ$1006,0))&gt;=100000), " ",IF(INDEX($AB$2:$AQ$1001,MATCH(ROWS($U$2:U366),$U$2:$U$1001,0),MATCH(COLUMNS($AB$1006:AL1006),$AB$1006:$AQ$1006,0)), HYPERLINK("#",""), HYPERLINK(CONCATENATE("#Metadata!", ADDRESS(INDEX($W$2:$W$1001,MATCH(ROWS($U$2:U366),$U$2:$U$1001,0),0), INDEX($AB$1004:$AQ$1004,1,MATCH(COLUMNS($AB$1006:AL1006),$AB$1006:$AQ$1006,0)))),"Fix")))</f>
        <v>0</v>
      </c>
      <c r="M366" s="5">
        <f>IF(OR(INDEX($V$2:$V$1001,MATCH(ROWS($U$2:U366),$U$2:$U$1001,0),1)&gt;=100000,INDEX($AB$1005:$AQ$1005,1,MATCH(COLUMNS($AB$1006:AM1006),$AB$1006:$AQ$1006,0))&gt;=100000), " ",IF(INDEX($AB$2:$AQ$1001,MATCH(ROWS($U$2:U366),$U$2:$U$1001,0),MATCH(COLUMNS($AB$1006:AM1006),$AB$1006:$AQ$1006,0)), HYPERLINK("#",""), HYPERLINK(CONCATENATE("#Metadata!", ADDRESS(INDEX($W$2:$W$1001,MATCH(ROWS($U$2:U366),$U$2:$U$1001,0),0), INDEX($AB$1004:$AQ$1004,1,MATCH(COLUMNS($AB$1006:AM1006),$AB$1006:$AQ$1006,0)))),"Fix")))</f>
        <v>0</v>
      </c>
      <c r="N366" s="5">
        <f>IF(OR(INDEX($V$2:$V$1001,MATCH(ROWS($U$2:U366),$U$2:$U$1001,0),1)&gt;=100000,INDEX($AB$1005:$AQ$1005,1,MATCH(COLUMNS($AB$1006:AN1006),$AB$1006:$AQ$1006,0))&gt;=100000), " ",IF(INDEX($AB$2:$AQ$1001,MATCH(ROWS($U$2:U366),$U$2:$U$1001,0),MATCH(COLUMNS($AB$1006:AN1006),$AB$1006:$AQ$1006,0)), HYPERLINK("#",""), HYPERLINK(CONCATENATE("#Metadata!", ADDRESS(INDEX($W$2:$W$1001,MATCH(ROWS($U$2:U366),$U$2:$U$1001,0),0), INDEX($AB$1004:$AQ$1004,1,MATCH(COLUMNS($AB$1006:AN1006),$AB$1006:$AQ$1006,0)))),"Fix")))</f>
        <v>0</v>
      </c>
      <c r="O366" s="5">
        <f>IF(OR(INDEX($V$2:$V$1001,MATCH(ROWS($U$2:U366),$U$2:$U$1001,0),1)&gt;=100000,INDEX($AB$1005:$AQ$1005,1,MATCH(COLUMNS($AB$1006:AO1006),$AB$1006:$AQ$1006,0))&gt;=100000), " ",IF(INDEX($AB$2:$AQ$1001,MATCH(ROWS($U$2:U366),$U$2:$U$1001,0),MATCH(COLUMNS($AB$1006:AO1006),$AB$1006:$AQ$1006,0)), HYPERLINK("#",""), HYPERLINK(CONCATENATE("#Metadata!", ADDRESS(INDEX($W$2:$W$1001,MATCH(ROWS($U$2:U366),$U$2:$U$1001,0),0), INDEX($AB$1004:$AQ$1004,1,MATCH(COLUMNS($AB$1006:AO1006),$AB$1006:$AQ$1006,0)))),"Fix")))</f>
        <v>0</v>
      </c>
      <c r="P366" s="5">
        <f>IF(OR(INDEX($V$2:$V$1001,MATCH(ROWS($U$2:U366),$U$2:$U$1001,0),1)&gt;=100000,INDEX($AB$1005:$AQ$1005,1,MATCH(COLUMNS($AB$1006:AP1006),$AB$1006:$AQ$1006,0))&gt;=100000), " ",IF(INDEX($AB$2:$AQ$1001,MATCH(ROWS($U$2:U366),$U$2:$U$1001,0),MATCH(COLUMNS($AB$1006:AP1006),$AB$1006:$AQ$1006,0)), HYPERLINK("#",""), HYPERLINK(CONCATENATE("#Metadata!", ADDRESS(INDEX($W$2:$W$1001,MATCH(ROWS($U$2:U366),$U$2:$U$1001,0),0), INDEX($AB$1004:$AQ$1004,1,MATCH(COLUMNS($AB$1006:AP1006),$AB$1006:$AQ$1006,0)))),"Fix")))</f>
        <v>0</v>
      </c>
      <c r="Q366" s="5">
        <f>IF(OR(INDEX($V$2:$V$1001,MATCH(ROWS($U$2:U366),$U$2:$U$1001,0),1)&gt;=100000,INDEX($AB$1005:$AQ$1005,1,MATCH(COLUMNS($AB$1006:AQ1006),$AB$1006:$AQ$1006,0))&gt;=100000), " ",IF(INDEX($AB$2:$AQ$1001,MATCH(ROWS($U$2:U366),$U$2:$U$1001,0),MATCH(COLUMNS($AB$1006:AQ1006),$AB$1006:$AQ$1006,0)), HYPERLINK("#",""), HYPERLINK(CONCATENATE("#Metadata!", ADDRESS(INDEX($W$2:$W$1001,MATCH(ROWS($U$2:U366),$U$2:$U$1001,0),0), INDEX($AB$1004:$AQ$1004,1,MATCH(COLUMNS($AB$1006:AQ1006),$AB$1006:$AQ$1006,0)))),"Fix")))</f>
        <v>0</v>
      </c>
      <c r="U366">
        <v>0</v>
      </c>
      <c r="V366">
        <v>0</v>
      </c>
      <c r="W366">
        <v>0</v>
      </c>
      <c r="X366">
        <f>IF(Y366,TRUE,AND(AB366:AQ366))</f>
        <v>0</v>
      </c>
      <c r="Y366">
        <f>COUNTBLANK(Metadata!B366:Q366)=COLUMNS(Metadata!B366:Q366)</f>
        <v>0</v>
      </c>
      <c r="Z366">
        <v>0</v>
      </c>
      <c r="AB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AC366">
        <f>AND(IF(Metadata!C366="",FALSE,TRUE),exact(Metadata!C366,"urban biome"))</f>
        <v>0</v>
      </c>
      <c r="AD366">
        <f>AND(IF(Metadata!D366="",FALSE,TRUE),exact(Metadata!D366,"human-associated habitat"))</f>
        <v>0</v>
      </c>
      <c r="AE366">
        <f>AND(IF(Metadata!E366="",FALSE,TRUE),OR(exact(Metadata!E366,"human-associated"),exact(Metadata!E366,"human-skin"),exact(Metadata!E366,"human-oral"),exact(Metadata!E366,"human-gut"),exact(Metadata!E366,"human-vaginal")))</f>
        <v>0</v>
      </c>
      <c r="AF366">
        <f>AND(IF(Metadata!F366="",FALSE,ISNUMBER(VALUE(Metadata!F366))),Metadata!F366&gt;0)</f>
        <v>0</v>
      </c>
      <c r="AG366">
        <f>AND(IF(Metadata!G366="",FALSE,TRUE),exact(Metadata!G366,"years"))</f>
        <v>0</v>
      </c>
      <c r="AH366">
        <f>OR(AND(IF(Metadata!H366="",FALSE,TRUE),OR(exact(Metadata!H366,"not applicable"),exact(Metadata!H366,"not collected"),exact(Metadata!H366,"not provided"),exact(Metadata!H366,"restricted access"))),AND(IF(Metadata!H366="",FALSE,ISNUMBER(VALUE(Metadata!H366))),Metadata!H366&gt;0))</f>
        <v>0</v>
      </c>
      <c r="AI366">
        <f>AND(IF(Metadata!I366="",FALSE,TRUE),exact(Metadata!I366,"human"))</f>
        <v>0</v>
      </c>
      <c r="AJ366">
        <f>AND(IF(Metadata!J366="",FALSE,ISNUMBER(VALUE(Metadata!J366))),Metadata!J366&gt;0)</f>
        <v>0</v>
      </c>
      <c r="AK366">
        <f>AND(IF(Metadata!K366="",FALSE,TRUE),exact(Metadata!K366,"cm"))</f>
        <v>0</v>
      </c>
      <c r="AL366">
        <f>AND(IF(Metadata!L366="",FALSE,TRUE),exact(Metadata!L366,"Homo sapiens"))</f>
        <v>0</v>
      </c>
      <c r="AM366">
        <f>AND(IF(Metadata!M366="",FALSE,TRUE),exact(Metadata!M366,"9606"))</f>
        <v>0</v>
      </c>
      <c r="AN366">
        <f>AND(IF(Metadata!N366="",FALSE,ISNUMBER(VALUE(Metadata!N366))),Metadata!N366&gt;0)</f>
        <v>0</v>
      </c>
      <c r="AO366">
        <f>AND(IF(Metadata!O366="",FALSE,TRUE),exact(Metadata!O366,"kg"))</f>
        <v>0</v>
      </c>
      <c r="AP366">
        <f>OR(AND(IF(Metadata!P366="",FALSE,TRUE),exact(Metadata!P366,"not provided")),IF(Metadata!P366="",FALSE,TRUE))</f>
        <v>0</v>
      </c>
      <c r="AQ366">
        <f>OR(AND(IF(Metadata!Q366="",FALSE,TRUE),exact(Metadata!Q366,"not provided")),IF(Metadata!Q366="",FALSE,TRUE))</f>
        <v>0</v>
      </c>
    </row>
    <row r="367" spans="1:43">
      <c r="A367" s="4">
        <f>IF(B367=" "," ",HYPERLINK(CONCATENATE("#metadata!",ADDRESS(INDEX($W$2:$W$1001,MATCH(ROWS($U$2:U367),$U$2:$U$1001,0),0),2)),INDEX($Z$2:$Z$1001,MATCH(ROWS($U$2:U367),$U$2:$U$1001,0),0)))</f>
        <v>0</v>
      </c>
      <c r="B367" s="5">
        <f>IF(OR(INDEX($V$2:$V$1001,MATCH(ROWS($U$2:U367),$U$2:$U$1001,0),1)&gt;=100000,INDEX($AB$1005:$AQ$1005,1,MATCH(COLUMNS($AB$1006:AB1006),$AB$1006:$AQ$1006,0))&gt;=100000), " ",IF(INDEX($AB$2:$AQ$1001,MATCH(ROWS($U$2:U367),$U$2:$U$1001,0),MATCH(COLUMNS($AB$1006:AB1006),$AB$1006:$AQ$1006,0)), HYPERLINK("#",""), HYPERLINK(CONCATENATE("#Metadata!", ADDRESS(INDEX($W$2:$W$1001,MATCH(ROWS($U$2:U367),$U$2:$U$1001,0),0), INDEX($AB$1004:$AQ$1004,1,MATCH(COLUMNS($AB$1006:AB1006),$AB$1006:$AQ$1006,0)))),"Fix")))</f>
        <v>0</v>
      </c>
      <c r="C367" s="5">
        <f>IF(OR(INDEX($V$2:$V$1001,MATCH(ROWS($U$2:U367),$U$2:$U$1001,0),1)&gt;=100000,INDEX($AB$1005:$AQ$1005,1,MATCH(COLUMNS($AB$1006:AC1006),$AB$1006:$AQ$1006,0))&gt;=100000), " ",IF(INDEX($AB$2:$AQ$1001,MATCH(ROWS($U$2:U367),$U$2:$U$1001,0),MATCH(COLUMNS($AB$1006:AC1006),$AB$1006:$AQ$1006,0)), HYPERLINK("#",""), HYPERLINK(CONCATENATE("#Metadata!", ADDRESS(INDEX($W$2:$W$1001,MATCH(ROWS($U$2:U367),$U$2:$U$1001,0),0), INDEX($AB$1004:$AQ$1004,1,MATCH(COLUMNS($AB$1006:AC1006),$AB$1006:$AQ$1006,0)))),"Fix")))</f>
        <v>0</v>
      </c>
      <c r="D367" s="5">
        <f>IF(OR(INDEX($V$2:$V$1001,MATCH(ROWS($U$2:U367),$U$2:$U$1001,0),1)&gt;=100000,INDEX($AB$1005:$AQ$1005,1,MATCH(COLUMNS($AB$1006:AD1006),$AB$1006:$AQ$1006,0))&gt;=100000), " ",IF(INDEX($AB$2:$AQ$1001,MATCH(ROWS($U$2:U367),$U$2:$U$1001,0),MATCH(COLUMNS($AB$1006:AD1006),$AB$1006:$AQ$1006,0)), HYPERLINK("#",""), HYPERLINK(CONCATENATE("#Metadata!", ADDRESS(INDEX($W$2:$W$1001,MATCH(ROWS($U$2:U367),$U$2:$U$1001,0),0), INDEX($AB$1004:$AQ$1004,1,MATCH(COLUMNS($AB$1006:AD1006),$AB$1006:$AQ$1006,0)))),"Fix")))</f>
        <v>0</v>
      </c>
      <c r="E367" s="5">
        <f>IF(OR(INDEX($V$2:$V$1001,MATCH(ROWS($U$2:U367),$U$2:$U$1001,0),1)&gt;=100000,INDEX($AB$1005:$AQ$1005,1,MATCH(COLUMNS($AB$1006:AE1006),$AB$1006:$AQ$1006,0))&gt;=100000), " ",IF(INDEX($AB$2:$AQ$1001,MATCH(ROWS($U$2:U367),$U$2:$U$1001,0),MATCH(COLUMNS($AB$1006:AE1006),$AB$1006:$AQ$1006,0)), HYPERLINK("#",""), HYPERLINK(CONCATENATE("#Metadata!", ADDRESS(INDEX($W$2:$W$1001,MATCH(ROWS($U$2:U367),$U$2:$U$1001,0),0), INDEX($AB$1004:$AQ$1004,1,MATCH(COLUMNS($AB$1006:AE1006),$AB$1006:$AQ$1006,0)))),"Fix")))</f>
        <v>0</v>
      </c>
      <c r="F367" s="5">
        <f>IF(OR(INDEX($V$2:$V$1001,MATCH(ROWS($U$2:U367),$U$2:$U$1001,0),1)&gt;=100000,INDEX($AB$1005:$AQ$1005,1,MATCH(COLUMNS($AB$1006:AF1006),$AB$1006:$AQ$1006,0))&gt;=100000), " ",IF(INDEX($AB$2:$AQ$1001,MATCH(ROWS($U$2:U367),$U$2:$U$1001,0),MATCH(COLUMNS($AB$1006:AF1006),$AB$1006:$AQ$1006,0)), HYPERLINK("#",""), HYPERLINK(CONCATENATE("#Metadata!", ADDRESS(INDEX($W$2:$W$1001,MATCH(ROWS($U$2:U367),$U$2:$U$1001,0),0), INDEX($AB$1004:$AQ$1004,1,MATCH(COLUMNS($AB$1006:AF1006),$AB$1006:$AQ$1006,0)))),"Fix")))</f>
        <v>0</v>
      </c>
      <c r="G367" s="5">
        <f>IF(OR(INDEX($V$2:$V$1001,MATCH(ROWS($U$2:U367),$U$2:$U$1001,0),1)&gt;=100000,INDEX($AB$1005:$AQ$1005,1,MATCH(COLUMNS($AB$1006:AG1006),$AB$1006:$AQ$1006,0))&gt;=100000), " ",IF(INDEX($AB$2:$AQ$1001,MATCH(ROWS($U$2:U367),$U$2:$U$1001,0),MATCH(COLUMNS($AB$1006:AG1006),$AB$1006:$AQ$1006,0)), HYPERLINK("#",""), HYPERLINK(CONCATENATE("#Metadata!", ADDRESS(INDEX($W$2:$W$1001,MATCH(ROWS($U$2:U367),$U$2:$U$1001,0),0), INDEX($AB$1004:$AQ$1004,1,MATCH(COLUMNS($AB$1006:AG1006),$AB$1006:$AQ$1006,0)))),"Fix")))</f>
        <v>0</v>
      </c>
      <c r="H367" s="5">
        <f>IF(OR(INDEX($V$2:$V$1001,MATCH(ROWS($U$2:U367),$U$2:$U$1001,0),1)&gt;=100000,INDEX($AB$1005:$AQ$1005,1,MATCH(COLUMNS($AB$1006:AH1006),$AB$1006:$AQ$1006,0))&gt;=100000), " ",IF(INDEX($AB$2:$AQ$1001,MATCH(ROWS($U$2:U367),$U$2:$U$1001,0),MATCH(COLUMNS($AB$1006:AH1006),$AB$1006:$AQ$1006,0)), HYPERLINK("#",""), HYPERLINK(CONCATENATE("#Metadata!", ADDRESS(INDEX($W$2:$W$1001,MATCH(ROWS($U$2:U367),$U$2:$U$1001,0),0), INDEX($AB$1004:$AQ$1004,1,MATCH(COLUMNS($AB$1006:AH1006),$AB$1006:$AQ$1006,0)))),"Fix")))</f>
        <v>0</v>
      </c>
      <c r="I367" s="5">
        <f>IF(OR(INDEX($V$2:$V$1001,MATCH(ROWS($U$2:U367),$U$2:$U$1001,0),1)&gt;=100000,INDEX($AB$1005:$AQ$1005,1,MATCH(COLUMNS($AB$1006:AI1006),$AB$1006:$AQ$1006,0))&gt;=100000), " ",IF(INDEX($AB$2:$AQ$1001,MATCH(ROWS($U$2:U367),$U$2:$U$1001,0),MATCH(COLUMNS($AB$1006:AI1006),$AB$1006:$AQ$1006,0)), HYPERLINK("#",""), HYPERLINK(CONCATENATE("#Metadata!", ADDRESS(INDEX($W$2:$W$1001,MATCH(ROWS($U$2:U367),$U$2:$U$1001,0),0), INDEX($AB$1004:$AQ$1004,1,MATCH(COLUMNS($AB$1006:AI1006),$AB$1006:$AQ$1006,0)))),"Fix")))</f>
        <v>0</v>
      </c>
      <c r="J367" s="5">
        <f>IF(OR(INDEX($V$2:$V$1001,MATCH(ROWS($U$2:U367),$U$2:$U$1001,0),1)&gt;=100000,INDEX($AB$1005:$AQ$1005,1,MATCH(COLUMNS($AB$1006:AJ1006),$AB$1006:$AQ$1006,0))&gt;=100000), " ",IF(INDEX($AB$2:$AQ$1001,MATCH(ROWS($U$2:U367),$U$2:$U$1001,0),MATCH(COLUMNS($AB$1006:AJ1006),$AB$1006:$AQ$1006,0)), HYPERLINK("#",""), HYPERLINK(CONCATENATE("#Metadata!", ADDRESS(INDEX($W$2:$W$1001,MATCH(ROWS($U$2:U367),$U$2:$U$1001,0),0), INDEX($AB$1004:$AQ$1004,1,MATCH(COLUMNS($AB$1006:AJ1006),$AB$1006:$AQ$1006,0)))),"Fix")))</f>
        <v>0</v>
      </c>
      <c r="K367" s="5">
        <f>IF(OR(INDEX($V$2:$V$1001,MATCH(ROWS($U$2:U367),$U$2:$U$1001,0),1)&gt;=100000,INDEX($AB$1005:$AQ$1005,1,MATCH(COLUMNS($AB$1006:AK1006),$AB$1006:$AQ$1006,0))&gt;=100000), " ",IF(INDEX($AB$2:$AQ$1001,MATCH(ROWS($U$2:U367),$U$2:$U$1001,0),MATCH(COLUMNS($AB$1006:AK1006),$AB$1006:$AQ$1006,0)), HYPERLINK("#",""), HYPERLINK(CONCATENATE("#Metadata!", ADDRESS(INDEX($W$2:$W$1001,MATCH(ROWS($U$2:U367),$U$2:$U$1001,0),0), INDEX($AB$1004:$AQ$1004,1,MATCH(COLUMNS($AB$1006:AK1006),$AB$1006:$AQ$1006,0)))),"Fix")))</f>
        <v>0</v>
      </c>
      <c r="L367" s="5">
        <f>IF(OR(INDEX($V$2:$V$1001,MATCH(ROWS($U$2:U367),$U$2:$U$1001,0),1)&gt;=100000,INDEX($AB$1005:$AQ$1005,1,MATCH(COLUMNS($AB$1006:AL1006),$AB$1006:$AQ$1006,0))&gt;=100000), " ",IF(INDEX($AB$2:$AQ$1001,MATCH(ROWS($U$2:U367),$U$2:$U$1001,0),MATCH(COLUMNS($AB$1006:AL1006),$AB$1006:$AQ$1006,0)), HYPERLINK("#",""), HYPERLINK(CONCATENATE("#Metadata!", ADDRESS(INDEX($W$2:$W$1001,MATCH(ROWS($U$2:U367),$U$2:$U$1001,0),0), INDEX($AB$1004:$AQ$1004,1,MATCH(COLUMNS($AB$1006:AL1006),$AB$1006:$AQ$1006,0)))),"Fix")))</f>
        <v>0</v>
      </c>
      <c r="M367" s="5">
        <f>IF(OR(INDEX($V$2:$V$1001,MATCH(ROWS($U$2:U367),$U$2:$U$1001,0),1)&gt;=100000,INDEX($AB$1005:$AQ$1005,1,MATCH(COLUMNS($AB$1006:AM1006),$AB$1006:$AQ$1006,0))&gt;=100000), " ",IF(INDEX($AB$2:$AQ$1001,MATCH(ROWS($U$2:U367),$U$2:$U$1001,0),MATCH(COLUMNS($AB$1006:AM1006),$AB$1006:$AQ$1006,0)), HYPERLINK("#",""), HYPERLINK(CONCATENATE("#Metadata!", ADDRESS(INDEX($W$2:$W$1001,MATCH(ROWS($U$2:U367),$U$2:$U$1001,0),0), INDEX($AB$1004:$AQ$1004,1,MATCH(COLUMNS($AB$1006:AM1006),$AB$1006:$AQ$1006,0)))),"Fix")))</f>
        <v>0</v>
      </c>
      <c r="N367" s="5">
        <f>IF(OR(INDEX($V$2:$V$1001,MATCH(ROWS($U$2:U367),$U$2:$U$1001,0),1)&gt;=100000,INDEX($AB$1005:$AQ$1005,1,MATCH(COLUMNS($AB$1006:AN1006),$AB$1006:$AQ$1006,0))&gt;=100000), " ",IF(INDEX($AB$2:$AQ$1001,MATCH(ROWS($U$2:U367),$U$2:$U$1001,0),MATCH(COLUMNS($AB$1006:AN1006),$AB$1006:$AQ$1006,0)), HYPERLINK("#",""), HYPERLINK(CONCATENATE("#Metadata!", ADDRESS(INDEX($W$2:$W$1001,MATCH(ROWS($U$2:U367),$U$2:$U$1001,0),0), INDEX($AB$1004:$AQ$1004,1,MATCH(COLUMNS($AB$1006:AN1006),$AB$1006:$AQ$1006,0)))),"Fix")))</f>
        <v>0</v>
      </c>
      <c r="O367" s="5">
        <f>IF(OR(INDEX($V$2:$V$1001,MATCH(ROWS($U$2:U367),$U$2:$U$1001,0),1)&gt;=100000,INDEX($AB$1005:$AQ$1005,1,MATCH(COLUMNS($AB$1006:AO1006),$AB$1006:$AQ$1006,0))&gt;=100000), " ",IF(INDEX($AB$2:$AQ$1001,MATCH(ROWS($U$2:U367),$U$2:$U$1001,0),MATCH(COLUMNS($AB$1006:AO1006),$AB$1006:$AQ$1006,0)), HYPERLINK("#",""), HYPERLINK(CONCATENATE("#Metadata!", ADDRESS(INDEX($W$2:$W$1001,MATCH(ROWS($U$2:U367),$U$2:$U$1001,0),0), INDEX($AB$1004:$AQ$1004,1,MATCH(COLUMNS($AB$1006:AO1006),$AB$1006:$AQ$1006,0)))),"Fix")))</f>
        <v>0</v>
      </c>
      <c r="P367" s="5">
        <f>IF(OR(INDEX($V$2:$V$1001,MATCH(ROWS($U$2:U367),$U$2:$U$1001,0),1)&gt;=100000,INDEX($AB$1005:$AQ$1005,1,MATCH(COLUMNS($AB$1006:AP1006),$AB$1006:$AQ$1006,0))&gt;=100000), " ",IF(INDEX($AB$2:$AQ$1001,MATCH(ROWS($U$2:U367),$U$2:$U$1001,0),MATCH(COLUMNS($AB$1006:AP1006),$AB$1006:$AQ$1006,0)), HYPERLINK("#",""), HYPERLINK(CONCATENATE("#Metadata!", ADDRESS(INDEX($W$2:$W$1001,MATCH(ROWS($U$2:U367),$U$2:$U$1001,0),0), INDEX($AB$1004:$AQ$1004,1,MATCH(COLUMNS($AB$1006:AP1006),$AB$1006:$AQ$1006,0)))),"Fix")))</f>
        <v>0</v>
      </c>
      <c r="Q367" s="5">
        <f>IF(OR(INDEX($V$2:$V$1001,MATCH(ROWS($U$2:U367),$U$2:$U$1001,0),1)&gt;=100000,INDEX($AB$1005:$AQ$1005,1,MATCH(COLUMNS($AB$1006:AQ1006),$AB$1006:$AQ$1006,0))&gt;=100000), " ",IF(INDEX($AB$2:$AQ$1001,MATCH(ROWS($U$2:U367),$U$2:$U$1001,0),MATCH(COLUMNS($AB$1006:AQ1006),$AB$1006:$AQ$1006,0)), HYPERLINK("#",""), HYPERLINK(CONCATENATE("#Metadata!", ADDRESS(INDEX($W$2:$W$1001,MATCH(ROWS($U$2:U367),$U$2:$U$1001,0),0), INDEX($AB$1004:$AQ$1004,1,MATCH(COLUMNS($AB$1006:AQ1006),$AB$1006:$AQ$1006,0)))),"Fix")))</f>
        <v>0</v>
      </c>
      <c r="U367">
        <v>0</v>
      </c>
      <c r="V367">
        <v>0</v>
      </c>
      <c r="W367">
        <v>0</v>
      </c>
      <c r="X367">
        <f>IF(Y367,TRUE,AND(AB367:AQ367))</f>
        <v>0</v>
      </c>
      <c r="Y367">
        <f>COUNTBLANK(Metadata!B367:Q367)=COLUMNS(Metadata!B367:Q367)</f>
        <v>0</v>
      </c>
      <c r="Z367">
        <v>0</v>
      </c>
      <c r="AB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AC367">
        <f>AND(IF(Metadata!C367="",FALSE,TRUE),exact(Metadata!C367,"urban biome"))</f>
        <v>0</v>
      </c>
      <c r="AD367">
        <f>AND(IF(Metadata!D367="",FALSE,TRUE),exact(Metadata!D367,"human-associated habitat"))</f>
        <v>0</v>
      </c>
      <c r="AE367">
        <f>AND(IF(Metadata!E367="",FALSE,TRUE),OR(exact(Metadata!E367,"human-associated"),exact(Metadata!E367,"human-skin"),exact(Metadata!E367,"human-oral"),exact(Metadata!E367,"human-gut"),exact(Metadata!E367,"human-vaginal")))</f>
        <v>0</v>
      </c>
      <c r="AF367">
        <f>AND(IF(Metadata!F367="",FALSE,ISNUMBER(VALUE(Metadata!F367))),Metadata!F367&gt;0)</f>
        <v>0</v>
      </c>
      <c r="AG367">
        <f>AND(IF(Metadata!G367="",FALSE,TRUE),exact(Metadata!G367,"years"))</f>
        <v>0</v>
      </c>
      <c r="AH367">
        <f>OR(AND(IF(Metadata!H367="",FALSE,TRUE),OR(exact(Metadata!H367,"not applicable"),exact(Metadata!H367,"not collected"),exact(Metadata!H367,"not provided"),exact(Metadata!H367,"restricted access"))),AND(IF(Metadata!H367="",FALSE,ISNUMBER(VALUE(Metadata!H367))),Metadata!H367&gt;0))</f>
        <v>0</v>
      </c>
      <c r="AI367">
        <f>AND(IF(Metadata!I367="",FALSE,TRUE),exact(Metadata!I367,"human"))</f>
        <v>0</v>
      </c>
      <c r="AJ367">
        <f>AND(IF(Metadata!J367="",FALSE,ISNUMBER(VALUE(Metadata!J367))),Metadata!J367&gt;0)</f>
        <v>0</v>
      </c>
      <c r="AK367">
        <f>AND(IF(Metadata!K367="",FALSE,TRUE),exact(Metadata!K367,"cm"))</f>
        <v>0</v>
      </c>
      <c r="AL367">
        <f>AND(IF(Metadata!L367="",FALSE,TRUE),exact(Metadata!L367,"Homo sapiens"))</f>
        <v>0</v>
      </c>
      <c r="AM367">
        <f>AND(IF(Metadata!M367="",FALSE,TRUE),exact(Metadata!M367,"9606"))</f>
        <v>0</v>
      </c>
      <c r="AN367">
        <f>AND(IF(Metadata!N367="",FALSE,ISNUMBER(VALUE(Metadata!N367))),Metadata!N367&gt;0)</f>
        <v>0</v>
      </c>
      <c r="AO367">
        <f>AND(IF(Metadata!O367="",FALSE,TRUE),exact(Metadata!O367,"kg"))</f>
        <v>0</v>
      </c>
      <c r="AP367">
        <f>OR(AND(IF(Metadata!P367="",FALSE,TRUE),exact(Metadata!P367,"not provided")),IF(Metadata!P367="",FALSE,TRUE))</f>
        <v>0</v>
      </c>
      <c r="AQ367">
        <f>OR(AND(IF(Metadata!Q367="",FALSE,TRUE),exact(Metadata!Q367,"not provided")),IF(Metadata!Q367="",FALSE,TRUE))</f>
        <v>0</v>
      </c>
    </row>
    <row r="368" spans="1:43">
      <c r="A368" s="4">
        <f>IF(B368=" "," ",HYPERLINK(CONCATENATE("#metadata!",ADDRESS(INDEX($W$2:$W$1001,MATCH(ROWS($U$2:U368),$U$2:$U$1001,0),0),2)),INDEX($Z$2:$Z$1001,MATCH(ROWS($U$2:U368),$U$2:$U$1001,0),0)))</f>
        <v>0</v>
      </c>
      <c r="B368" s="5">
        <f>IF(OR(INDEX($V$2:$V$1001,MATCH(ROWS($U$2:U368),$U$2:$U$1001,0),1)&gt;=100000,INDEX($AB$1005:$AQ$1005,1,MATCH(COLUMNS($AB$1006:AB1006),$AB$1006:$AQ$1006,0))&gt;=100000), " ",IF(INDEX($AB$2:$AQ$1001,MATCH(ROWS($U$2:U368),$U$2:$U$1001,0),MATCH(COLUMNS($AB$1006:AB1006),$AB$1006:$AQ$1006,0)), HYPERLINK("#",""), HYPERLINK(CONCATENATE("#Metadata!", ADDRESS(INDEX($W$2:$W$1001,MATCH(ROWS($U$2:U368),$U$2:$U$1001,0),0), INDEX($AB$1004:$AQ$1004,1,MATCH(COLUMNS($AB$1006:AB1006),$AB$1006:$AQ$1006,0)))),"Fix")))</f>
        <v>0</v>
      </c>
      <c r="C368" s="5">
        <f>IF(OR(INDEX($V$2:$V$1001,MATCH(ROWS($U$2:U368),$U$2:$U$1001,0),1)&gt;=100000,INDEX($AB$1005:$AQ$1005,1,MATCH(COLUMNS($AB$1006:AC1006),$AB$1006:$AQ$1006,0))&gt;=100000), " ",IF(INDEX($AB$2:$AQ$1001,MATCH(ROWS($U$2:U368),$U$2:$U$1001,0),MATCH(COLUMNS($AB$1006:AC1006),$AB$1006:$AQ$1006,0)), HYPERLINK("#",""), HYPERLINK(CONCATENATE("#Metadata!", ADDRESS(INDEX($W$2:$W$1001,MATCH(ROWS($U$2:U368),$U$2:$U$1001,0),0), INDEX($AB$1004:$AQ$1004,1,MATCH(COLUMNS($AB$1006:AC1006),$AB$1006:$AQ$1006,0)))),"Fix")))</f>
        <v>0</v>
      </c>
      <c r="D368" s="5">
        <f>IF(OR(INDEX($V$2:$V$1001,MATCH(ROWS($U$2:U368),$U$2:$U$1001,0),1)&gt;=100000,INDEX($AB$1005:$AQ$1005,1,MATCH(COLUMNS($AB$1006:AD1006),$AB$1006:$AQ$1006,0))&gt;=100000), " ",IF(INDEX($AB$2:$AQ$1001,MATCH(ROWS($U$2:U368),$U$2:$U$1001,0),MATCH(COLUMNS($AB$1006:AD1006),$AB$1006:$AQ$1006,0)), HYPERLINK("#",""), HYPERLINK(CONCATENATE("#Metadata!", ADDRESS(INDEX($W$2:$W$1001,MATCH(ROWS($U$2:U368),$U$2:$U$1001,0),0), INDEX($AB$1004:$AQ$1004,1,MATCH(COLUMNS($AB$1006:AD1006),$AB$1006:$AQ$1006,0)))),"Fix")))</f>
        <v>0</v>
      </c>
      <c r="E368" s="5">
        <f>IF(OR(INDEX($V$2:$V$1001,MATCH(ROWS($U$2:U368),$U$2:$U$1001,0),1)&gt;=100000,INDEX($AB$1005:$AQ$1005,1,MATCH(COLUMNS($AB$1006:AE1006),$AB$1006:$AQ$1006,0))&gt;=100000), " ",IF(INDEX($AB$2:$AQ$1001,MATCH(ROWS($U$2:U368),$U$2:$U$1001,0),MATCH(COLUMNS($AB$1006:AE1006),$AB$1006:$AQ$1006,0)), HYPERLINK("#",""), HYPERLINK(CONCATENATE("#Metadata!", ADDRESS(INDEX($W$2:$W$1001,MATCH(ROWS($U$2:U368),$U$2:$U$1001,0),0), INDEX($AB$1004:$AQ$1004,1,MATCH(COLUMNS($AB$1006:AE1006),$AB$1006:$AQ$1006,0)))),"Fix")))</f>
        <v>0</v>
      </c>
      <c r="F368" s="5">
        <f>IF(OR(INDEX($V$2:$V$1001,MATCH(ROWS($U$2:U368),$U$2:$U$1001,0),1)&gt;=100000,INDEX($AB$1005:$AQ$1005,1,MATCH(COLUMNS($AB$1006:AF1006),$AB$1006:$AQ$1006,0))&gt;=100000), " ",IF(INDEX($AB$2:$AQ$1001,MATCH(ROWS($U$2:U368),$U$2:$U$1001,0),MATCH(COLUMNS($AB$1006:AF1006),$AB$1006:$AQ$1006,0)), HYPERLINK("#",""), HYPERLINK(CONCATENATE("#Metadata!", ADDRESS(INDEX($W$2:$W$1001,MATCH(ROWS($U$2:U368),$U$2:$U$1001,0),0), INDEX($AB$1004:$AQ$1004,1,MATCH(COLUMNS($AB$1006:AF1006),$AB$1006:$AQ$1006,0)))),"Fix")))</f>
        <v>0</v>
      </c>
      <c r="G368" s="5">
        <f>IF(OR(INDEX($V$2:$V$1001,MATCH(ROWS($U$2:U368),$U$2:$U$1001,0),1)&gt;=100000,INDEX($AB$1005:$AQ$1005,1,MATCH(COLUMNS($AB$1006:AG1006),$AB$1006:$AQ$1006,0))&gt;=100000), " ",IF(INDEX($AB$2:$AQ$1001,MATCH(ROWS($U$2:U368),$U$2:$U$1001,0),MATCH(COLUMNS($AB$1006:AG1006),$AB$1006:$AQ$1006,0)), HYPERLINK("#",""), HYPERLINK(CONCATENATE("#Metadata!", ADDRESS(INDEX($W$2:$W$1001,MATCH(ROWS($U$2:U368),$U$2:$U$1001,0),0), INDEX($AB$1004:$AQ$1004,1,MATCH(COLUMNS($AB$1006:AG1006),$AB$1006:$AQ$1006,0)))),"Fix")))</f>
        <v>0</v>
      </c>
      <c r="H368" s="5">
        <f>IF(OR(INDEX($V$2:$V$1001,MATCH(ROWS($U$2:U368),$U$2:$U$1001,0),1)&gt;=100000,INDEX($AB$1005:$AQ$1005,1,MATCH(COLUMNS($AB$1006:AH1006),$AB$1006:$AQ$1006,0))&gt;=100000), " ",IF(INDEX($AB$2:$AQ$1001,MATCH(ROWS($U$2:U368),$U$2:$U$1001,0),MATCH(COLUMNS($AB$1006:AH1006),$AB$1006:$AQ$1006,0)), HYPERLINK("#",""), HYPERLINK(CONCATENATE("#Metadata!", ADDRESS(INDEX($W$2:$W$1001,MATCH(ROWS($U$2:U368),$U$2:$U$1001,0),0), INDEX($AB$1004:$AQ$1004,1,MATCH(COLUMNS($AB$1006:AH1006),$AB$1006:$AQ$1006,0)))),"Fix")))</f>
        <v>0</v>
      </c>
      <c r="I368" s="5">
        <f>IF(OR(INDEX($V$2:$V$1001,MATCH(ROWS($U$2:U368),$U$2:$U$1001,0),1)&gt;=100000,INDEX($AB$1005:$AQ$1005,1,MATCH(COLUMNS($AB$1006:AI1006),$AB$1006:$AQ$1006,0))&gt;=100000), " ",IF(INDEX($AB$2:$AQ$1001,MATCH(ROWS($U$2:U368),$U$2:$U$1001,0),MATCH(COLUMNS($AB$1006:AI1006),$AB$1006:$AQ$1006,0)), HYPERLINK("#",""), HYPERLINK(CONCATENATE("#Metadata!", ADDRESS(INDEX($W$2:$W$1001,MATCH(ROWS($U$2:U368),$U$2:$U$1001,0),0), INDEX($AB$1004:$AQ$1004,1,MATCH(COLUMNS($AB$1006:AI1006),$AB$1006:$AQ$1006,0)))),"Fix")))</f>
        <v>0</v>
      </c>
      <c r="J368" s="5">
        <f>IF(OR(INDEX($V$2:$V$1001,MATCH(ROWS($U$2:U368),$U$2:$U$1001,0),1)&gt;=100000,INDEX($AB$1005:$AQ$1005,1,MATCH(COLUMNS($AB$1006:AJ1006),$AB$1006:$AQ$1006,0))&gt;=100000), " ",IF(INDEX($AB$2:$AQ$1001,MATCH(ROWS($U$2:U368),$U$2:$U$1001,0),MATCH(COLUMNS($AB$1006:AJ1006),$AB$1006:$AQ$1006,0)), HYPERLINK("#",""), HYPERLINK(CONCATENATE("#Metadata!", ADDRESS(INDEX($W$2:$W$1001,MATCH(ROWS($U$2:U368),$U$2:$U$1001,0),0), INDEX($AB$1004:$AQ$1004,1,MATCH(COLUMNS($AB$1006:AJ1006),$AB$1006:$AQ$1006,0)))),"Fix")))</f>
        <v>0</v>
      </c>
      <c r="K368" s="5">
        <f>IF(OR(INDEX($V$2:$V$1001,MATCH(ROWS($U$2:U368),$U$2:$U$1001,0),1)&gt;=100000,INDEX($AB$1005:$AQ$1005,1,MATCH(COLUMNS($AB$1006:AK1006),$AB$1006:$AQ$1006,0))&gt;=100000), " ",IF(INDEX($AB$2:$AQ$1001,MATCH(ROWS($U$2:U368),$U$2:$U$1001,0),MATCH(COLUMNS($AB$1006:AK1006),$AB$1006:$AQ$1006,0)), HYPERLINK("#",""), HYPERLINK(CONCATENATE("#Metadata!", ADDRESS(INDEX($W$2:$W$1001,MATCH(ROWS($U$2:U368),$U$2:$U$1001,0),0), INDEX($AB$1004:$AQ$1004,1,MATCH(COLUMNS($AB$1006:AK1006),$AB$1006:$AQ$1006,0)))),"Fix")))</f>
        <v>0</v>
      </c>
      <c r="L368" s="5">
        <f>IF(OR(INDEX($V$2:$V$1001,MATCH(ROWS($U$2:U368),$U$2:$U$1001,0),1)&gt;=100000,INDEX($AB$1005:$AQ$1005,1,MATCH(COLUMNS($AB$1006:AL1006),$AB$1006:$AQ$1006,0))&gt;=100000), " ",IF(INDEX($AB$2:$AQ$1001,MATCH(ROWS($U$2:U368),$U$2:$U$1001,0),MATCH(COLUMNS($AB$1006:AL1006),$AB$1006:$AQ$1006,0)), HYPERLINK("#",""), HYPERLINK(CONCATENATE("#Metadata!", ADDRESS(INDEX($W$2:$W$1001,MATCH(ROWS($U$2:U368),$U$2:$U$1001,0),0), INDEX($AB$1004:$AQ$1004,1,MATCH(COLUMNS($AB$1006:AL1006),$AB$1006:$AQ$1006,0)))),"Fix")))</f>
        <v>0</v>
      </c>
      <c r="M368" s="5">
        <f>IF(OR(INDEX($V$2:$V$1001,MATCH(ROWS($U$2:U368),$U$2:$U$1001,0),1)&gt;=100000,INDEX($AB$1005:$AQ$1005,1,MATCH(COLUMNS($AB$1006:AM1006),$AB$1006:$AQ$1006,0))&gt;=100000), " ",IF(INDEX($AB$2:$AQ$1001,MATCH(ROWS($U$2:U368),$U$2:$U$1001,0),MATCH(COLUMNS($AB$1006:AM1006),$AB$1006:$AQ$1006,0)), HYPERLINK("#",""), HYPERLINK(CONCATENATE("#Metadata!", ADDRESS(INDEX($W$2:$W$1001,MATCH(ROWS($U$2:U368),$U$2:$U$1001,0),0), INDEX($AB$1004:$AQ$1004,1,MATCH(COLUMNS($AB$1006:AM1006),$AB$1006:$AQ$1006,0)))),"Fix")))</f>
        <v>0</v>
      </c>
      <c r="N368" s="5">
        <f>IF(OR(INDEX($V$2:$V$1001,MATCH(ROWS($U$2:U368),$U$2:$U$1001,0),1)&gt;=100000,INDEX($AB$1005:$AQ$1005,1,MATCH(COLUMNS($AB$1006:AN1006),$AB$1006:$AQ$1006,0))&gt;=100000), " ",IF(INDEX($AB$2:$AQ$1001,MATCH(ROWS($U$2:U368),$U$2:$U$1001,0),MATCH(COLUMNS($AB$1006:AN1006),$AB$1006:$AQ$1006,0)), HYPERLINK("#",""), HYPERLINK(CONCATENATE("#Metadata!", ADDRESS(INDEX($W$2:$W$1001,MATCH(ROWS($U$2:U368),$U$2:$U$1001,0),0), INDEX($AB$1004:$AQ$1004,1,MATCH(COLUMNS($AB$1006:AN1006),$AB$1006:$AQ$1006,0)))),"Fix")))</f>
        <v>0</v>
      </c>
      <c r="O368" s="5">
        <f>IF(OR(INDEX($V$2:$V$1001,MATCH(ROWS($U$2:U368),$U$2:$U$1001,0),1)&gt;=100000,INDEX($AB$1005:$AQ$1005,1,MATCH(COLUMNS($AB$1006:AO1006),$AB$1006:$AQ$1006,0))&gt;=100000), " ",IF(INDEX($AB$2:$AQ$1001,MATCH(ROWS($U$2:U368),$U$2:$U$1001,0),MATCH(COLUMNS($AB$1006:AO1006),$AB$1006:$AQ$1006,0)), HYPERLINK("#",""), HYPERLINK(CONCATENATE("#Metadata!", ADDRESS(INDEX($W$2:$W$1001,MATCH(ROWS($U$2:U368),$U$2:$U$1001,0),0), INDEX($AB$1004:$AQ$1004,1,MATCH(COLUMNS($AB$1006:AO1006),$AB$1006:$AQ$1006,0)))),"Fix")))</f>
        <v>0</v>
      </c>
      <c r="P368" s="5">
        <f>IF(OR(INDEX($V$2:$V$1001,MATCH(ROWS($U$2:U368),$U$2:$U$1001,0),1)&gt;=100000,INDEX($AB$1005:$AQ$1005,1,MATCH(COLUMNS($AB$1006:AP1006),$AB$1006:$AQ$1006,0))&gt;=100000), " ",IF(INDEX($AB$2:$AQ$1001,MATCH(ROWS($U$2:U368),$U$2:$U$1001,0),MATCH(COLUMNS($AB$1006:AP1006),$AB$1006:$AQ$1006,0)), HYPERLINK("#",""), HYPERLINK(CONCATENATE("#Metadata!", ADDRESS(INDEX($W$2:$W$1001,MATCH(ROWS($U$2:U368),$U$2:$U$1001,0),0), INDEX($AB$1004:$AQ$1004,1,MATCH(COLUMNS($AB$1006:AP1006),$AB$1006:$AQ$1006,0)))),"Fix")))</f>
        <v>0</v>
      </c>
      <c r="Q368" s="5">
        <f>IF(OR(INDEX($V$2:$V$1001,MATCH(ROWS($U$2:U368),$U$2:$U$1001,0),1)&gt;=100000,INDEX($AB$1005:$AQ$1005,1,MATCH(COLUMNS($AB$1006:AQ1006),$AB$1006:$AQ$1006,0))&gt;=100000), " ",IF(INDEX($AB$2:$AQ$1001,MATCH(ROWS($U$2:U368),$U$2:$U$1001,0),MATCH(COLUMNS($AB$1006:AQ1006),$AB$1006:$AQ$1006,0)), HYPERLINK("#",""), HYPERLINK(CONCATENATE("#Metadata!", ADDRESS(INDEX($W$2:$W$1001,MATCH(ROWS($U$2:U368),$U$2:$U$1001,0),0), INDEX($AB$1004:$AQ$1004,1,MATCH(COLUMNS($AB$1006:AQ1006),$AB$1006:$AQ$1006,0)))),"Fix")))</f>
        <v>0</v>
      </c>
      <c r="U368">
        <v>0</v>
      </c>
      <c r="V368">
        <v>0</v>
      </c>
      <c r="W368">
        <v>0</v>
      </c>
      <c r="X368">
        <f>IF(Y368,TRUE,AND(AB368:AQ368))</f>
        <v>0</v>
      </c>
      <c r="Y368">
        <f>COUNTBLANK(Metadata!B368:Q368)=COLUMNS(Metadata!B368:Q368)</f>
        <v>0</v>
      </c>
      <c r="Z368">
        <v>0</v>
      </c>
      <c r="AB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AC368">
        <f>AND(IF(Metadata!C368="",FALSE,TRUE),exact(Metadata!C368,"urban biome"))</f>
        <v>0</v>
      </c>
      <c r="AD368">
        <f>AND(IF(Metadata!D368="",FALSE,TRUE),exact(Metadata!D368,"human-associated habitat"))</f>
        <v>0</v>
      </c>
      <c r="AE368">
        <f>AND(IF(Metadata!E368="",FALSE,TRUE),OR(exact(Metadata!E368,"human-associated"),exact(Metadata!E368,"human-skin"),exact(Metadata!E368,"human-oral"),exact(Metadata!E368,"human-gut"),exact(Metadata!E368,"human-vaginal")))</f>
        <v>0</v>
      </c>
      <c r="AF368">
        <f>AND(IF(Metadata!F368="",FALSE,ISNUMBER(VALUE(Metadata!F368))),Metadata!F368&gt;0)</f>
        <v>0</v>
      </c>
      <c r="AG368">
        <f>AND(IF(Metadata!G368="",FALSE,TRUE),exact(Metadata!G368,"years"))</f>
        <v>0</v>
      </c>
      <c r="AH368">
        <f>OR(AND(IF(Metadata!H368="",FALSE,TRUE),OR(exact(Metadata!H368,"not applicable"),exact(Metadata!H368,"not collected"),exact(Metadata!H368,"not provided"),exact(Metadata!H368,"restricted access"))),AND(IF(Metadata!H368="",FALSE,ISNUMBER(VALUE(Metadata!H368))),Metadata!H368&gt;0))</f>
        <v>0</v>
      </c>
      <c r="AI368">
        <f>AND(IF(Metadata!I368="",FALSE,TRUE),exact(Metadata!I368,"human"))</f>
        <v>0</v>
      </c>
      <c r="AJ368">
        <f>AND(IF(Metadata!J368="",FALSE,ISNUMBER(VALUE(Metadata!J368))),Metadata!J368&gt;0)</f>
        <v>0</v>
      </c>
      <c r="AK368">
        <f>AND(IF(Metadata!K368="",FALSE,TRUE),exact(Metadata!K368,"cm"))</f>
        <v>0</v>
      </c>
      <c r="AL368">
        <f>AND(IF(Metadata!L368="",FALSE,TRUE),exact(Metadata!L368,"Homo sapiens"))</f>
        <v>0</v>
      </c>
      <c r="AM368">
        <f>AND(IF(Metadata!M368="",FALSE,TRUE),exact(Metadata!M368,"9606"))</f>
        <v>0</v>
      </c>
      <c r="AN368">
        <f>AND(IF(Metadata!N368="",FALSE,ISNUMBER(VALUE(Metadata!N368))),Metadata!N368&gt;0)</f>
        <v>0</v>
      </c>
      <c r="AO368">
        <f>AND(IF(Metadata!O368="",FALSE,TRUE),exact(Metadata!O368,"kg"))</f>
        <v>0</v>
      </c>
      <c r="AP368">
        <f>OR(AND(IF(Metadata!P368="",FALSE,TRUE),exact(Metadata!P368,"not provided")),IF(Metadata!P368="",FALSE,TRUE))</f>
        <v>0</v>
      </c>
      <c r="AQ368">
        <f>OR(AND(IF(Metadata!Q368="",FALSE,TRUE),exact(Metadata!Q368,"not provided")),IF(Metadata!Q368="",FALSE,TRUE))</f>
        <v>0</v>
      </c>
    </row>
    <row r="369" spans="1:43">
      <c r="A369" s="4">
        <f>IF(B369=" "," ",HYPERLINK(CONCATENATE("#metadata!",ADDRESS(INDEX($W$2:$W$1001,MATCH(ROWS($U$2:U369),$U$2:$U$1001,0),0),2)),INDEX($Z$2:$Z$1001,MATCH(ROWS($U$2:U369),$U$2:$U$1001,0),0)))</f>
        <v>0</v>
      </c>
      <c r="B369" s="5">
        <f>IF(OR(INDEX($V$2:$V$1001,MATCH(ROWS($U$2:U369),$U$2:$U$1001,0),1)&gt;=100000,INDEX($AB$1005:$AQ$1005,1,MATCH(COLUMNS($AB$1006:AB1006),$AB$1006:$AQ$1006,0))&gt;=100000), " ",IF(INDEX($AB$2:$AQ$1001,MATCH(ROWS($U$2:U369),$U$2:$U$1001,0),MATCH(COLUMNS($AB$1006:AB1006),$AB$1006:$AQ$1006,0)), HYPERLINK("#",""), HYPERLINK(CONCATENATE("#Metadata!", ADDRESS(INDEX($W$2:$W$1001,MATCH(ROWS($U$2:U369),$U$2:$U$1001,0),0), INDEX($AB$1004:$AQ$1004,1,MATCH(COLUMNS($AB$1006:AB1006),$AB$1006:$AQ$1006,0)))),"Fix")))</f>
        <v>0</v>
      </c>
      <c r="C369" s="5">
        <f>IF(OR(INDEX($V$2:$V$1001,MATCH(ROWS($U$2:U369),$U$2:$U$1001,0),1)&gt;=100000,INDEX($AB$1005:$AQ$1005,1,MATCH(COLUMNS($AB$1006:AC1006),$AB$1006:$AQ$1006,0))&gt;=100000), " ",IF(INDEX($AB$2:$AQ$1001,MATCH(ROWS($U$2:U369),$U$2:$U$1001,0),MATCH(COLUMNS($AB$1006:AC1006),$AB$1006:$AQ$1006,0)), HYPERLINK("#",""), HYPERLINK(CONCATENATE("#Metadata!", ADDRESS(INDEX($W$2:$W$1001,MATCH(ROWS($U$2:U369),$U$2:$U$1001,0),0), INDEX($AB$1004:$AQ$1004,1,MATCH(COLUMNS($AB$1006:AC1006),$AB$1006:$AQ$1006,0)))),"Fix")))</f>
        <v>0</v>
      </c>
      <c r="D369" s="5">
        <f>IF(OR(INDEX($V$2:$V$1001,MATCH(ROWS($U$2:U369),$U$2:$U$1001,0),1)&gt;=100000,INDEX($AB$1005:$AQ$1005,1,MATCH(COLUMNS($AB$1006:AD1006),$AB$1006:$AQ$1006,0))&gt;=100000), " ",IF(INDEX($AB$2:$AQ$1001,MATCH(ROWS($U$2:U369),$U$2:$U$1001,0),MATCH(COLUMNS($AB$1006:AD1006),$AB$1006:$AQ$1006,0)), HYPERLINK("#",""), HYPERLINK(CONCATENATE("#Metadata!", ADDRESS(INDEX($W$2:$W$1001,MATCH(ROWS($U$2:U369),$U$2:$U$1001,0),0), INDEX($AB$1004:$AQ$1004,1,MATCH(COLUMNS($AB$1006:AD1006),$AB$1006:$AQ$1006,0)))),"Fix")))</f>
        <v>0</v>
      </c>
      <c r="E369" s="5">
        <f>IF(OR(INDEX($V$2:$V$1001,MATCH(ROWS($U$2:U369),$U$2:$U$1001,0),1)&gt;=100000,INDEX($AB$1005:$AQ$1005,1,MATCH(COLUMNS($AB$1006:AE1006),$AB$1006:$AQ$1006,0))&gt;=100000), " ",IF(INDEX($AB$2:$AQ$1001,MATCH(ROWS($U$2:U369),$U$2:$U$1001,0),MATCH(COLUMNS($AB$1006:AE1006),$AB$1006:$AQ$1006,0)), HYPERLINK("#",""), HYPERLINK(CONCATENATE("#Metadata!", ADDRESS(INDEX($W$2:$W$1001,MATCH(ROWS($U$2:U369),$U$2:$U$1001,0),0), INDEX($AB$1004:$AQ$1004,1,MATCH(COLUMNS($AB$1006:AE1006),$AB$1006:$AQ$1006,0)))),"Fix")))</f>
        <v>0</v>
      </c>
      <c r="F369" s="5">
        <f>IF(OR(INDEX($V$2:$V$1001,MATCH(ROWS($U$2:U369),$U$2:$U$1001,0),1)&gt;=100000,INDEX($AB$1005:$AQ$1005,1,MATCH(COLUMNS($AB$1006:AF1006),$AB$1006:$AQ$1006,0))&gt;=100000), " ",IF(INDEX($AB$2:$AQ$1001,MATCH(ROWS($U$2:U369),$U$2:$U$1001,0),MATCH(COLUMNS($AB$1006:AF1006),$AB$1006:$AQ$1006,0)), HYPERLINK("#",""), HYPERLINK(CONCATENATE("#Metadata!", ADDRESS(INDEX($W$2:$W$1001,MATCH(ROWS($U$2:U369),$U$2:$U$1001,0),0), INDEX($AB$1004:$AQ$1004,1,MATCH(COLUMNS($AB$1006:AF1006),$AB$1006:$AQ$1006,0)))),"Fix")))</f>
        <v>0</v>
      </c>
      <c r="G369" s="5">
        <f>IF(OR(INDEX($V$2:$V$1001,MATCH(ROWS($U$2:U369),$U$2:$U$1001,0),1)&gt;=100000,INDEX($AB$1005:$AQ$1005,1,MATCH(COLUMNS($AB$1006:AG1006),$AB$1006:$AQ$1006,0))&gt;=100000), " ",IF(INDEX($AB$2:$AQ$1001,MATCH(ROWS($U$2:U369),$U$2:$U$1001,0),MATCH(COLUMNS($AB$1006:AG1006),$AB$1006:$AQ$1006,0)), HYPERLINK("#",""), HYPERLINK(CONCATENATE("#Metadata!", ADDRESS(INDEX($W$2:$W$1001,MATCH(ROWS($U$2:U369),$U$2:$U$1001,0),0), INDEX($AB$1004:$AQ$1004,1,MATCH(COLUMNS($AB$1006:AG1006),$AB$1006:$AQ$1006,0)))),"Fix")))</f>
        <v>0</v>
      </c>
      <c r="H369" s="5">
        <f>IF(OR(INDEX($V$2:$V$1001,MATCH(ROWS($U$2:U369),$U$2:$U$1001,0),1)&gt;=100000,INDEX($AB$1005:$AQ$1005,1,MATCH(COLUMNS($AB$1006:AH1006),$AB$1006:$AQ$1006,0))&gt;=100000), " ",IF(INDEX($AB$2:$AQ$1001,MATCH(ROWS($U$2:U369),$U$2:$U$1001,0),MATCH(COLUMNS($AB$1006:AH1006),$AB$1006:$AQ$1006,0)), HYPERLINK("#",""), HYPERLINK(CONCATENATE("#Metadata!", ADDRESS(INDEX($W$2:$W$1001,MATCH(ROWS($U$2:U369),$U$2:$U$1001,0),0), INDEX($AB$1004:$AQ$1004,1,MATCH(COLUMNS($AB$1006:AH1006),$AB$1006:$AQ$1006,0)))),"Fix")))</f>
        <v>0</v>
      </c>
      <c r="I369" s="5">
        <f>IF(OR(INDEX($V$2:$V$1001,MATCH(ROWS($U$2:U369),$U$2:$U$1001,0),1)&gt;=100000,INDEX($AB$1005:$AQ$1005,1,MATCH(COLUMNS($AB$1006:AI1006),$AB$1006:$AQ$1006,0))&gt;=100000), " ",IF(INDEX($AB$2:$AQ$1001,MATCH(ROWS($U$2:U369),$U$2:$U$1001,0),MATCH(COLUMNS($AB$1006:AI1006),$AB$1006:$AQ$1006,0)), HYPERLINK("#",""), HYPERLINK(CONCATENATE("#Metadata!", ADDRESS(INDEX($W$2:$W$1001,MATCH(ROWS($U$2:U369),$U$2:$U$1001,0),0), INDEX($AB$1004:$AQ$1004,1,MATCH(COLUMNS($AB$1006:AI1006),$AB$1006:$AQ$1006,0)))),"Fix")))</f>
        <v>0</v>
      </c>
      <c r="J369" s="5">
        <f>IF(OR(INDEX($V$2:$V$1001,MATCH(ROWS($U$2:U369),$U$2:$U$1001,0),1)&gt;=100000,INDEX($AB$1005:$AQ$1005,1,MATCH(COLUMNS($AB$1006:AJ1006),$AB$1006:$AQ$1006,0))&gt;=100000), " ",IF(INDEX($AB$2:$AQ$1001,MATCH(ROWS($U$2:U369),$U$2:$U$1001,0),MATCH(COLUMNS($AB$1006:AJ1006),$AB$1006:$AQ$1006,0)), HYPERLINK("#",""), HYPERLINK(CONCATENATE("#Metadata!", ADDRESS(INDEX($W$2:$W$1001,MATCH(ROWS($U$2:U369),$U$2:$U$1001,0),0), INDEX($AB$1004:$AQ$1004,1,MATCH(COLUMNS($AB$1006:AJ1006),$AB$1006:$AQ$1006,0)))),"Fix")))</f>
        <v>0</v>
      </c>
      <c r="K369" s="5">
        <f>IF(OR(INDEX($V$2:$V$1001,MATCH(ROWS($U$2:U369),$U$2:$U$1001,0),1)&gt;=100000,INDEX($AB$1005:$AQ$1005,1,MATCH(COLUMNS($AB$1006:AK1006),$AB$1006:$AQ$1006,0))&gt;=100000), " ",IF(INDEX($AB$2:$AQ$1001,MATCH(ROWS($U$2:U369),$U$2:$U$1001,0),MATCH(COLUMNS($AB$1006:AK1006),$AB$1006:$AQ$1006,0)), HYPERLINK("#",""), HYPERLINK(CONCATENATE("#Metadata!", ADDRESS(INDEX($W$2:$W$1001,MATCH(ROWS($U$2:U369),$U$2:$U$1001,0),0), INDEX($AB$1004:$AQ$1004,1,MATCH(COLUMNS($AB$1006:AK1006),$AB$1006:$AQ$1006,0)))),"Fix")))</f>
        <v>0</v>
      </c>
      <c r="L369" s="5">
        <f>IF(OR(INDEX($V$2:$V$1001,MATCH(ROWS($U$2:U369),$U$2:$U$1001,0),1)&gt;=100000,INDEX($AB$1005:$AQ$1005,1,MATCH(COLUMNS($AB$1006:AL1006),$AB$1006:$AQ$1006,0))&gt;=100000), " ",IF(INDEX($AB$2:$AQ$1001,MATCH(ROWS($U$2:U369),$U$2:$U$1001,0),MATCH(COLUMNS($AB$1006:AL1006),$AB$1006:$AQ$1006,0)), HYPERLINK("#",""), HYPERLINK(CONCATENATE("#Metadata!", ADDRESS(INDEX($W$2:$W$1001,MATCH(ROWS($U$2:U369),$U$2:$U$1001,0),0), INDEX($AB$1004:$AQ$1004,1,MATCH(COLUMNS($AB$1006:AL1006),$AB$1006:$AQ$1006,0)))),"Fix")))</f>
        <v>0</v>
      </c>
      <c r="M369" s="5">
        <f>IF(OR(INDEX($V$2:$V$1001,MATCH(ROWS($U$2:U369),$U$2:$U$1001,0),1)&gt;=100000,INDEX($AB$1005:$AQ$1005,1,MATCH(COLUMNS($AB$1006:AM1006),$AB$1006:$AQ$1006,0))&gt;=100000), " ",IF(INDEX($AB$2:$AQ$1001,MATCH(ROWS($U$2:U369),$U$2:$U$1001,0),MATCH(COLUMNS($AB$1006:AM1006),$AB$1006:$AQ$1006,0)), HYPERLINK("#",""), HYPERLINK(CONCATENATE("#Metadata!", ADDRESS(INDEX($W$2:$W$1001,MATCH(ROWS($U$2:U369),$U$2:$U$1001,0),0), INDEX($AB$1004:$AQ$1004,1,MATCH(COLUMNS($AB$1006:AM1006),$AB$1006:$AQ$1006,0)))),"Fix")))</f>
        <v>0</v>
      </c>
      <c r="N369" s="5">
        <f>IF(OR(INDEX($V$2:$V$1001,MATCH(ROWS($U$2:U369),$U$2:$U$1001,0),1)&gt;=100000,INDEX($AB$1005:$AQ$1005,1,MATCH(COLUMNS($AB$1006:AN1006),$AB$1006:$AQ$1006,0))&gt;=100000), " ",IF(INDEX($AB$2:$AQ$1001,MATCH(ROWS($U$2:U369),$U$2:$U$1001,0),MATCH(COLUMNS($AB$1006:AN1006),$AB$1006:$AQ$1006,0)), HYPERLINK("#",""), HYPERLINK(CONCATENATE("#Metadata!", ADDRESS(INDEX($W$2:$W$1001,MATCH(ROWS($U$2:U369),$U$2:$U$1001,0),0), INDEX($AB$1004:$AQ$1004,1,MATCH(COLUMNS($AB$1006:AN1006),$AB$1006:$AQ$1006,0)))),"Fix")))</f>
        <v>0</v>
      </c>
      <c r="O369" s="5">
        <f>IF(OR(INDEX($V$2:$V$1001,MATCH(ROWS($U$2:U369),$U$2:$U$1001,0),1)&gt;=100000,INDEX($AB$1005:$AQ$1005,1,MATCH(COLUMNS($AB$1006:AO1006),$AB$1006:$AQ$1006,0))&gt;=100000), " ",IF(INDEX($AB$2:$AQ$1001,MATCH(ROWS($U$2:U369),$U$2:$U$1001,0),MATCH(COLUMNS($AB$1006:AO1006),$AB$1006:$AQ$1006,0)), HYPERLINK("#",""), HYPERLINK(CONCATENATE("#Metadata!", ADDRESS(INDEX($W$2:$W$1001,MATCH(ROWS($U$2:U369),$U$2:$U$1001,0),0), INDEX($AB$1004:$AQ$1004,1,MATCH(COLUMNS($AB$1006:AO1006),$AB$1006:$AQ$1006,0)))),"Fix")))</f>
        <v>0</v>
      </c>
      <c r="P369" s="5">
        <f>IF(OR(INDEX($V$2:$V$1001,MATCH(ROWS($U$2:U369),$U$2:$U$1001,0),1)&gt;=100000,INDEX($AB$1005:$AQ$1005,1,MATCH(COLUMNS($AB$1006:AP1006),$AB$1006:$AQ$1006,0))&gt;=100000), " ",IF(INDEX($AB$2:$AQ$1001,MATCH(ROWS($U$2:U369),$U$2:$U$1001,0),MATCH(COLUMNS($AB$1006:AP1006),$AB$1006:$AQ$1006,0)), HYPERLINK("#",""), HYPERLINK(CONCATENATE("#Metadata!", ADDRESS(INDEX($W$2:$W$1001,MATCH(ROWS($U$2:U369),$U$2:$U$1001,0),0), INDEX($AB$1004:$AQ$1004,1,MATCH(COLUMNS($AB$1006:AP1006),$AB$1006:$AQ$1006,0)))),"Fix")))</f>
        <v>0</v>
      </c>
      <c r="Q369" s="5">
        <f>IF(OR(INDEX($V$2:$V$1001,MATCH(ROWS($U$2:U369),$U$2:$U$1001,0),1)&gt;=100000,INDEX($AB$1005:$AQ$1005,1,MATCH(COLUMNS($AB$1006:AQ1006),$AB$1006:$AQ$1006,0))&gt;=100000), " ",IF(INDEX($AB$2:$AQ$1001,MATCH(ROWS($U$2:U369),$U$2:$U$1001,0),MATCH(COLUMNS($AB$1006:AQ1006),$AB$1006:$AQ$1006,0)), HYPERLINK("#",""), HYPERLINK(CONCATENATE("#Metadata!", ADDRESS(INDEX($W$2:$W$1001,MATCH(ROWS($U$2:U369),$U$2:$U$1001,0),0), INDEX($AB$1004:$AQ$1004,1,MATCH(COLUMNS($AB$1006:AQ1006),$AB$1006:$AQ$1006,0)))),"Fix")))</f>
        <v>0</v>
      </c>
      <c r="U369">
        <v>0</v>
      </c>
      <c r="V369">
        <v>0</v>
      </c>
      <c r="W369">
        <v>0</v>
      </c>
      <c r="X369">
        <f>IF(Y369,TRUE,AND(AB369:AQ369))</f>
        <v>0</v>
      </c>
      <c r="Y369">
        <f>COUNTBLANK(Metadata!B369:Q369)=COLUMNS(Metadata!B369:Q369)</f>
        <v>0</v>
      </c>
      <c r="Z369">
        <v>0</v>
      </c>
      <c r="AB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AC369">
        <f>AND(IF(Metadata!C369="",FALSE,TRUE),exact(Metadata!C369,"urban biome"))</f>
        <v>0</v>
      </c>
      <c r="AD369">
        <f>AND(IF(Metadata!D369="",FALSE,TRUE),exact(Metadata!D369,"human-associated habitat"))</f>
        <v>0</v>
      </c>
      <c r="AE369">
        <f>AND(IF(Metadata!E369="",FALSE,TRUE),OR(exact(Metadata!E369,"human-associated"),exact(Metadata!E369,"human-skin"),exact(Metadata!E369,"human-oral"),exact(Metadata!E369,"human-gut"),exact(Metadata!E369,"human-vaginal")))</f>
        <v>0</v>
      </c>
      <c r="AF369">
        <f>AND(IF(Metadata!F369="",FALSE,ISNUMBER(VALUE(Metadata!F369))),Metadata!F369&gt;0)</f>
        <v>0</v>
      </c>
      <c r="AG369">
        <f>AND(IF(Metadata!G369="",FALSE,TRUE),exact(Metadata!G369,"years"))</f>
        <v>0</v>
      </c>
      <c r="AH369">
        <f>OR(AND(IF(Metadata!H369="",FALSE,TRUE),OR(exact(Metadata!H369,"not applicable"),exact(Metadata!H369,"not collected"),exact(Metadata!H369,"not provided"),exact(Metadata!H369,"restricted access"))),AND(IF(Metadata!H369="",FALSE,ISNUMBER(VALUE(Metadata!H369))),Metadata!H369&gt;0))</f>
        <v>0</v>
      </c>
      <c r="AI369">
        <f>AND(IF(Metadata!I369="",FALSE,TRUE),exact(Metadata!I369,"human"))</f>
        <v>0</v>
      </c>
      <c r="AJ369">
        <f>AND(IF(Metadata!J369="",FALSE,ISNUMBER(VALUE(Metadata!J369))),Metadata!J369&gt;0)</f>
        <v>0</v>
      </c>
      <c r="AK369">
        <f>AND(IF(Metadata!K369="",FALSE,TRUE),exact(Metadata!K369,"cm"))</f>
        <v>0</v>
      </c>
      <c r="AL369">
        <f>AND(IF(Metadata!L369="",FALSE,TRUE),exact(Metadata!L369,"Homo sapiens"))</f>
        <v>0</v>
      </c>
      <c r="AM369">
        <f>AND(IF(Metadata!M369="",FALSE,TRUE),exact(Metadata!M369,"9606"))</f>
        <v>0</v>
      </c>
      <c r="AN369">
        <f>AND(IF(Metadata!N369="",FALSE,ISNUMBER(VALUE(Metadata!N369))),Metadata!N369&gt;0)</f>
        <v>0</v>
      </c>
      <c r="AO369">
        <f>AND(IF(Metadata!O369="",FALSE,TRUE),exact(Metadata!O369,"kg"))</f>
        <v>0</v>
      </c>
      <c r="AP369">
        <f>OR(AND(IF(Metadata!P369="",FALSE,TRUE),exact(Metadata!P369,"not provided")),IF(Metadata!P369="",FALSE,TRUE))</f>
        <v>0</v>
      </c>
      <c r="AQ369">
        <f>OR(AND(IF(Metadata!Q369="",FALSE,TRUE),exact(Metadata!Q369,"not provided")),IF(Metadata!Q369="",FALSE,TRUE))</f>
        <v>0</v>
      </c>
    </row>
    <row r="370" spans="1:43">
      <c r="A370" s="4">
        <f>IF(B370=" "," ",HYPERLINK(CONCATENATE("#metadata!",ADDRESS(INDEX($W$2:$W$1001,MATCH(ROWS($U$2:U370),$U$2:$U$1001,0),0),2)),INDEX($Z$2:$Z$1001,MATCH(ROWS($U$2:U370),$U$2:$U$1001,0),0)))</f>
        <v>0</v>
      </c>
      <c r="B370" s="5">
        <f>IF(OR(INDEX($V$2:$V$1001,MATCH(ROWS($U$2:U370),$U$2:$U$1001,0),1)&gt;=100000,INDEX($AB$1005:$AQ$1005,1,MATCH(COLUMNS($AB$1006:AB1006),$AB$1006:$AQ$1006,0))&gt;=100000), " ",IF(INDEX($AB$2:$AQ$1001,MATCH(ROWS($U$2:U370),$U$2:$U$1001,0),MATCH(COLUMNS($AB$1006:AB1006),$AB$1006:$AQ$1006,0)), HYPERLINK("#",""), HYPERLINK(CONCATENATE("#Metadata!", ADDRESS(INDEX($W$2:$W$1001,MATCH(ROWS($U$2:U370),$U$2:$U$1001,0),0), INDEX($AB$1004:$AQ$1004,1,MATCH(COLUMNS($AB$1006:AB1006),$AB$1006:$AQ$1006,0)))),"Fix")))</f>
        <v>0</v>
      </c>
      <c r="C370" s="5">
        <f>IF(OR(INDEX($V$2:$V$1001,MATCH(ROWS($U$2:U370),$U$2:$U$1001,0),1)&gt;=100000,INDEX($AB$1005:$AQ$1005,1,MATCH(COLUMNS($AB$1006:AC1006),$AB$1006:$AQ$1006,0))&gt;=100000), " ",IF(INDEX($AB$2:$AQ$1001,MATCH(ROWS($U$2:U370),$U$2:$U$1001,0),MATCH(COLUMNS($AB$1006:AC1006),$AB$1006:$AQ$1006,0)), HYPERLINK("#",""), HYPERLINK(CONCATENATE("#Metadata!", ADDRESS(INDEX($W$2:$W$1001,MATCH(ROWS($U$2:U370),$U$2:$U$1001,0),0), INDEX($AB$1004:$AQ$1004,1,MATCH(COLUMNS($AB$1006:AC1006),$AB$1006:$AQ$1006,0)))),"Fix")))</f>
        <v>0</v>
      </c>
      <c r="D370" s="5">
        <f>IF(OR(INDEX($V$2:$V$1001,MATCH(ROWS($U$2:U370),$U$2:$U$1001,0),1)&gt;=100000,INDEX($AB$1005:$AQ$1005,1,MATCH(COLUMNS($AB$1006:AD1006),$AB$1006:$AQ$1006,0))&gt;=100000), " ",IF(INDEX($AB$2:$AQ$1001,MATCH(ROWS($U$2:U370),$U$2:$U$1001,0),MATCH(COLUMNS($AB$1006:AD1006),$AB$1006:$AQ$1006,0)), HYPERLINK("#",""), HYPERLINK(CONCATENATE("#Metadata!", ADDRESS(INDEX($W$2:$W$1001,MATCH(ROWS($U$2:U370),$U$2:$U$1001,0),0), INDEX($AB$1004:$AQ$1004,1,MATCH(COLUMNS($AB$1006:AD1006),$AB$1006:$AQ$1006,0)))),"Fix")))</f>
        <v>0</v>
      </c>
      <c r="E370" s="5">
        <f>IF(OR(INDEX($V$2:$V$1001,MATCH(ROWS($U$2:U370),$U$2:$U$1001,0),1)&gt;=100000,INDEX($AB$1005:$AQ$1005,1,MATCH(COLUMNS($AB$1006:AE1006),$AB$1006:$AQ$1006,0))&gt;=100000), " ",IF(INDEX($AB$2:$AQ$1001,MATCH(ROWS($U$2:U370),$U$2:$U$1001,0),MATCH(COLUMNS($AB$1006:AE1006),$AB$1006:$AQ$1006,0)), HYPERLINK("#",""), HYPERLINK(CONCATENATE("#Metadata!", ADDRESS(INDEX($W$2:$W$1001,MATCH(ROWS($U$2:U370),$U$2:$U$1001,0),0), INDEX($AB$1004:$AQ$1004,1,MATCH(COLUMNS($AB$1006:AE1006),$AB$1006:$AQ$1006,0)))),"Fix")))</f>
        <v>0</v>
      </c>
      <c r="F370" s="5">
        <f>IF(OR(INDEX($V$2:$V$1001,MATCH(ROWS($U$2:U370),$U$2:$U$1001,0),1)&gt;=100000,INDEX($AB$1005:$AQ$1005,1,MATCH(COLUMNS($AB$1006:AF1006),$AB$1006:$AQ$1006,0))&gt;=100000), " ",IF(INDEX($AB$2:$AQ$1001,MATCH(ROWS($U$2:U370),$U$2:$U$1001,0),MATCH(COLUMNS($AB$1006:AF1006),$AB$1006:$AQ$1006,0)), HYPERLINK("#",""), HYPERLINK(CONCATENATE("#Metadata!", ADDRESS(INDEX($W$2:$W$1001,MATCH(ROWS($U$2:U370),$U$2:$U$1001,0),0), INDEX($AB$1004:$AQ$1004,1,MATCH(COLUMNS($AB$1006:AF1006),$AB$1006:$AQ$1006,0)))),"Fix")))</f>
        <v>0</v>
      </c>
      <c r="G370" s="5">
        <f>IF(OR(INDEX($V$2:$V$1001,MATCH(ROWS($U$2:U370),$U$2:$U$1001,0),1)&gt;=100000,INDEX($AB$1005:$AQ$1005,1,MATCH(COLUMNS($AB$1006:AG1006),$AB$1006:$AQ$1006,0))&gt;=100000), " ",IF(INDEX($AB$2:$AQ$1001,MATCH(ROWS($U$2:U370),$U$2:$U$1001,0),MATCH(COLUMNS($AB$1006:AG1006),$AB$1006:$AQ$1006,0)), HYPERLINK("#",""), HYPERLINK(CONCATENATE("#Metadata!", ADDRESS(INDEX($W$2:$W$1001,MATCH(ROWS($U$2:U370),$U$2:$U$1001,0),0), INDEX($AB$1004:$AQ$1004,1,MATCH(COLUMNS($AB$1006:AG1006),$AB$1006:$AQ$1006,0)))),"Fix")))</f>
        <v>0</v>
      </c>
      <c r="H370" s="5">
        <f>IF(OR(INDEX($V$2:$V$1001,MATCH(ROWS($U$2:U370),$U$2:$U$1001,0),1)&gt;=100000,INDEX($AB$1005:$AQ$1005,1,MATCH(COLUMNS($AB$1006:AH1006),$AB$1006:$AQ$1006,0))&gt;=100000), " ",IF(INDEX($AB$2:$AQ$1001,MATCH(ROWS($U$2:U370),$U$2:$U$1001,0),MATCH(COLUMNS($AB$1006:AH1006),$AB$1006:$AQ$1006,0)), HYPERLINK("#",""), HYPERLINK(CONCATENATE("#Metadata!", ADDRESS(INDEX($W$2:$W$1001,MATCH(ROWS($U$2:U370),$U$2:$U$1001,0),0), INDEX($AB$1004:$AQ$1004,1,MATCH(COLUMNS($AB$1006:AH1006),$AB$1006:$AQ$1006,0)))),"Fix")))</f>
        <v>0</v>
      </c>
      <c r="I370" s="5">
        <f>IF(OR(INDEX($V$2:$V$1001,MATCH(ROWS($U$2:U370),$U$2:$U$1001,0),1)&gt;=100000,INDEX($AB$1005:$AQ$1005,1,MATCH(COLUMNS($AB$1006:AI1006),$AB$1006:$AQ$1006,0))&gt;=100000), " ",IF(INDEX($AB$2:$AQ$1001,MATCH(ROWS($U$2:U370),$U$2:$U$1001,0),MATCH(COLUMNS($AB$1006:AI1006),$AB$1006:$AQ$1006,0)), HYPERLINK("#",""), HYPERLINK(CONCATENATE("#Metadata!", ADDRESS(INDEX($W$2:$W$1001,MATCH(ROWS($U$2:U370),$U$2:$U$1001,0),0), INDEX($AB$1004:$AQ$1004,1,MATCH(COLUMNS($AB$1006:AI1006),$AB$1006:$AQ$1006,0)))),"Fix")))</f>
        <v>0</v>
      </c>
      <c r="J370" s="5">
        <f>IF(OR(INDEX($V$2:$V$1001,MATCH(ROWS($U$2:U370),$U$2:$U$1001,0),1)&gt;=100000,INDEX($AB$1005:$AQ$1005,1,MATCH(COLUMNS($AB$1006:AJ1006),$AB$1006:$AQ$1006,0))&gt;=100000), " ",IF(INDEX($AB$2:$AQ$1001,MATCH(ROWS($U$2:U370),$U$2:$U$1001,0),MATCH(COLUMNS($AB$1006:AJ1006),$AB$1006:$AQ$1006,0)), HYPERLINK("#",""), HYPERLINK(CONCATENATE("#Metadata!", ADDRESS(INDEX($W$2:$W$1001,MATCH(ROWS($U$2:U370),$U$2:$U$1001,0),0), INDEX($AB$1004:$AQ$1004,1,MATCH(COLUMNS($AB$1006:AJ1006),$AB$1006:$AQ$1006,0)))),"Fix")))</f>
        <v>0</v>
      </c>
      <c r="K370" s="5">
        <f>IF(OR(INDEX($V$2:$V$1001,MATCH(ROWS($U$2:U370),$U$2:$U$1001,0),1)&gt;=100000,INDEX($AB$1005:$AQ$1005,1,MATCH(COLUMNS($AB$1006:AK1006),$AB$1006:$AQ$1006,0))&gt;=100000), " ",IF(INDEX($AB$2:$AQ$1001,MATCH(ROWS($U$2:U370),$U$2:$U$1001,0),MATCH(COLUMNS($AB$1006:AK1006),$AB$1006:$AQ$1006,0)), HYPERLINK("#",""), HYPERLINK(CONCATENATE("#Metadata!", ADDRESS(INDEX($W$2:$W$1001,MATCH(ROWS($U$2:U370),$U$2:$U$1001,0),0), INDEX($AB$1004:$AQ$1004,1,MATCH(COLUMNS($AB$1006:AK1006),$AB$1006:$AQ$1006,0)))),"Fix")))</f>
        <v>0</v>
      </c>
      <c r="L370" s="5">
        <f>IF(OR(INDEX($V$2:$V$1001,MATCH(ROWS($U$2:U370),$U$2:$U$1001,0),1)&gt;=100000,INDEX($AB$1005:$AQ$1005,1,MATCH(COLUMNS($AB$1006:AL1006),$AB$1006:$AQ$1006,0))&gt;=100000), " ",IF(INDEX($AB$2:$AQ$1001,MATCH(ROWS($U$2:U370),$U$2:$U$1001,0),MATCH(COLUMNS($AB$1006:AL1006),$AB$1006:$AQ$1006,0)), HYPERLINK("#",""), HYPERLINK(CONCATENATE("#Metadata!", ADDRESS(INDEX($W$2:$W$1001,MATCH(ROWS($U$2:U370),$U$2:$U$1001,0),0), INDEX($AB$1004:$AQ$1004,1,MATCH(COLUMNS($AB$1006:AL1006),$AB$1006:$AQ$1006,0)))),"Fix")))</f>
        <v>0</v>
      </c>
      <c r="M370" s="5">
        <f>IF(OR(INDEX($V$2:$V$1001,MATCH(ROWS($U$2:U370),$U$2:$U$1001,0),1)&gt;=100000,INDEX($AB$1005:$AQ$1005,1,MATCH(COLUMNS($AB$1006:AM1006),$AB$1006:$AQ$1006,0))&gt;=100000), " ",IF(INDEX($AB$2:$AQ$1001,MATCH(ROWS($U$2:U370),$U$2:$U$1001,0),MATCH(COLUMNS($AB$1006:AM1006),$AB$1006:$AQ$1006,0)), HYPERLINK("#",""), HYPERLINK(CONCATENATE("#Metadata!", ADDRESS(INDEX($W$2:$W$1001,MATCH(ROWS($U$2:U370),$U$2:$U$1001,0),0), INDEX($AB$1004:$AQ$1004,1,MATCH(COLUMNS($AB$1006:AM1006),$AB$1006:$AQ$1006,0)))),"Fix")))</f>
        <v>0</v>
      </c>
      <c r="N370" s="5">
        <f>IF(OR(INDEX($V$2:$V$1001,MATCH(ROWS($U$2:U370),$U$2:$U$1001,0),1)&gt;=100000,INDEX($AB$1005:$AQ$1005,1,MATCH(COLUMNS($AB$1006:AN1006),$AB$1006:$AQ$1006,0))&gt;=100000), " ",IF(INDEX($AB$2:$AQ$1001,MATCH(ROWS($U$2:U370),$U$2:$U$1001,0),MATCH(COLUMNS($AB$1006:AN1006),$AB$1006:$AQ$1006,0)), HYPERLINK("#",""), HYPERLINK(CONCATENATE("#Metadata!", ADDRESS(INDEX($W$2:$W$1001,MATCH(ROWS($U$2:U370),$U$2:$U$1001,0),0), INDEX($AB$1004:$AQ$1004,1,MATCH(COLUMNS($AB$1006:AN1006),$AB$1006:$AQ$1006,0)))),"Fix")))</f>
        <v>0</v>
      </c>
      <c r="O370" s="5">
        <f>IF(OR(INDEX($V$2:$V$1001,MATCH(ROWS($U$2:U370),$U$2:$U$1001,0),1)&gt;=100000,INDEX($AB$1005:$AQ$1005,1,MATCH(COLUMNS($AB$1006:AO1006),$AB$1006:$AQ$1006,0))&gt;=100000), " ",IF(INDEX($AB$2:$AQ$1001,MATCH(ROWS($U$2:U370),$U$2:$U$1001,0),MATCH(COLUMNS($AB$1006:AO1006),$AB$1006:$AQ$1006,0)), HYPERLINK("#",""), HYPERLINK(CONCATENATE("#Metadata!", ADDRESS(INDEX($W$2:$W$1001,MATCH(ROWS($U$2:U370),$U$2:$U$1001,0),0), INDEX($AB$1004:$AQ$1004,1,MATCH(COLUMNS($AB$1006:AO1006),$AB$1006:$AQ$1006,0)))),"Fix")))</f>
        <v>0</v>
      </c>
      <c r="P370" s="5">
        <f>IF(OR(INDEX($V$2:$V$1001,MATCH(ROWS($U$2:U370),$U$2:$U$1001,0),1)&gt;=100000,INDEX($AB$1005:$AQ$1005,1,MATCH(COLUMNS($AB$1006:AP1006),$AB$1006:$AQ$1006,0))&gt;=100000), " ",IF(INDEX($AB$2:$AQ$1001,MATCH(ROWS($U$2:U370),$U$2:$U$1001,0),MATCH(COLUMNS($AB$1006:AP1006),$AB$1006:$AQ$1006,0)), HYPERLINK("#",""), HYPERLINK(CONCATENATE("#Metadata!", ADDRESS(INDEX($W$2:$W$1001,MATCH(ROWS($U$2:U370),$U$2:$U$1001,0),0), INDEX($AB$1004:$AQ$1004,1,MATCH(COLUMNS($AB$1006:AP1006),$AB$1006:$AQ$1006,0)))),"Fix")))</f>
        <v>0</v>
      </c>
      <c r="Q370" s="5">
        <f>IF(OR(INDEX($V$2:$V$1001,MATCH(ROWS($U$2:U370),$U$2:$U$1001,0),1)&gt;=100000,INDEX($AB$1005:$AQ$1005,1,MATCH(COLUMNS($AB$1006:AQ1006),$AB$1006:$AQ$1006,0))&gt;=100000), " ",IF(INDEX($AB$2:$AQ$1001,MATCH(ROWS($U$2:U370),$U$2:$U$1001,0),MATCH(COLUMNS($AB$1006:AQ1006),$AB$1006:$AQ$1006,0)), HYPERLINK("#",""), HYPERLINK(CONCATENATE("#Metadata!", ADDRESS(INDEX($W$2:$W$1001,MATCH(ROWS($U$2:U370),$U$2:$U$1001,0),0), INDEX($AB$1004:$AQ$1004,1,MATCH(COLUMNS($AB$1006:AQ1006),$AB$1006:$AQ$1006,0)))),"Fix")))</f>
        <v>0</v>
      </c>
      <c r="U370">
        <v>0</v>
      </c>
      <c r="V370">
        <v>0</v>
      </c>
      <c r="W370">
        <v>0</v>
      </c>
      <c r="X370">
        <f>IF(Y370,TRUE,AND(AB370:AQ370))</f>
        <v>0</v>
      </c>
      <c r="Y370">
        <f>COUNTBLANK(Metadata!B370:Q370)=COLUMNS(Metadata!B370:Q370)</f>
        <v>0</v>
      </c>
      <c r="Z370">
        <v>0</v>
      </c>
      <c r="AB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AC370">
        <f>AND(IF(Metadata!C370="",FALSE,TRUE),exact(Metadata!C370,"urban biome"))</f>
        <v>0</v>
      </c>
      <c r="AD370">
        <f>AND(IF(Metadata!D370="",FALSE,TRUE),exact(Metadata!D370,"human-associated habitat"))</f>
        <v>0</v>
      </c>
      <c r="AE370">
        <f>AND(IF(Metadata!E370="",FALSE,TRUE),OR(exact(Metadata!E370,"human-associated"),exact(Metadata!E370,"human-skin"),exact(Metadata!E370,"human-oral"),exact(Metadata!E370,"human-gut"),exact(Metadata!E370,"human-vaginal")))</f>
        <v>0</v>
      </c>
      <c r="AF370">
        <f>AND(IF(Metadata!F370="",FALSE,ISNUMBER(VALUE(Metadata!F370))),Metadata!F370&gt;0)</f>
        <v>0</v>
      </c>
      <c r="AG370">
        <f>AND(IF(Metadata!G370="",FALSE,TRUE),exact(Metadata!G370,"years"))</f>
        <v>0</v>
      </c>
      <c r="AH370">
        <f>OR(AND(IF(Metadata!H370="",FALSE,TRUE),OR(exact(Metadata!H370,"not applicable"),exact(Metadata!H370,"not collected"),exact(Metadata!H370,"not provided"),exact(Metadata!H370,"restricted access"))),AND(IF(Metadata!H370="",FALSE,ISNUMBER(VALUE(Metadata!H370))),Metadata!H370&gt;0))</f>
        <v>0</v>
      </c>
      <c r="AI370">
        <f>AND(IF(Metadata!I370="",FALSE,TRUE),exact(Metadata!I370,"human"))</f>
        <v>0</v>
      </c>
      <c r="AJ370">
        <f>AND(IF(Metadata!J370="",FALSE,ISNUMBER(VALUE(Metadata!J370))),Metadata!J370&gt;0)</f>
        <v>0</v>
      </c>
      <c r="AK370">
        <f>AND(IF(Metadata!K370="",FALSE,TRUE),exact(Metadata!K370,"cm"))</f>
        <v>0</v>
      </c>
      <c r="AL370">
        <f>AND(IF(Metadata!L370="",FALSE,TRUE),exact(Metadata!L370,"Homo sapiens"))</f>
        <v>0</v>
      </c>
      <c r="AM370">
        <f>AND(IF(Metadata!M370="",FALSE,TRUE),exact(Metadata!M370,"9606"))</f>
        <v>0</v>
      </c>
      <c r="AN370">
        <f>AND(IF(Metadata!N370="",FALSE,ISNUMBER(VALUE(Metadata!N370))),Metadata!N370&gt;0)</f>
        <v>0</v>
      </c>
      <c r="AO370">
        <f>AND(IF(Metadata!O370="",FALSE,TRUE),exact(Metadata!O370,"kg"))</f>
        <v>0</v>
      </c>
      <c r="AP370">
        <f>OR(AND(IF(Metadata!P370="",FALSE,TRUE),exact(Metadata!P370,"not provided")),IF(Metadata!P370="",FALSE,TRUE))</f>
        <v>0</v>
      </c>
      <c r="AQ370">
        <f>OR(AND(IF(Metadata!Q370="",FALSE,TRUE),exact(Metadata!Q370,"not provided")),IF(Metadata!Q370="",FALSE,TRUE))</f>
        <v>0</v>
      </c>
    </row>
    <row r="371" spans="1:43">
      <c r="A371" s="4">
        <f>IF(B371=" "," ",HYPERLINK(CONCATENATE("#metadata!",ADDRESS(INDEX($W$2:$W$1001,MATCH(ROWS($U$2:U371),$U$2:$U$1001,0),0),2)),INDEX($Z$2:$Z$1001,MATCH(ROWS($U$2:U371),$U$2:$U$1001,0),0)))</f>
        <v>0</v>
      </c>
      <c r="B371" s="5">
        <f>IF(OR(INDEX($V$2:$V$1001,MATCH(ROWS($U$2:U371),$U$2:$U$1001,0),1)&gt;=100000,INDEX($AB$1005:$AQ$1005,1,MATCH(COLUMNS($AB$1006:AB1006),$AB$1006:$AQ$1006,0))&gt;=100000), " ",IF(INDEX($AB$2:$AQ$1001,MATCH(ROWS($U$2:U371),$U$2:$U$1001,0),MATCH(COLUMNS($AB$1006:AB1006),$AB$1006:$AQ$1006,0)), HYPERLINK("#",""), HYPERLINK(CONCATENATE("#Metadata!", ADDRESS(INDEX($W$2:$W$1001,MATCH(ROWS($U$2:U371),$U$2:$U$1001,0),0), INDEX($AB$1004:$AQ$1004,1,MATCH(COLUMNS($AB$1006:AB1006),$AB$1006:$AQ$1006,0)))),"Fix")))</f>
        <v>0</v>
      </c>
      <c r="C371" s="5">
        <f>IF(OR(INDEX($V$2:$V$1001,MATCH(ROWS($U$2:U371),$U$2:$U$1001,0),1)&gt;=100000,INDEX($AB$1005:$AQ$1005,1,MATCH(COLUMNS($AB$1006:AC1006),$AB$1006:$AQ$1006,0))&gt;=100000), " ",IF(INDEX($AB$2:$AQ$1001,MATCH(ROWS($U$2:U371),$U$2:$U$1001,0),MATCH(COLUMNS($AB$1006:AC1006),$AB$1006:$AQ$1006,0)), HYPERLINK("#",""), HYPERLINK(CONCATENATE("#Metadata!", ADDRESS(INDEX($W$2:$W$1001,MATCH(ROWS($U$2:U371),$U$2:$U$1001,0),0), INDEX($AB$1004:$AQ$1004,1,MATCH(COLUMNS($AB$1006:AC1006),$AB$1006:$AQ$1006,0)))),"Fix")))</f>
        <v>0</v>
      </c>
      <c r="D371" s="5">
        <f>IF(OR(INDEX($V$2:$V$1001,MATCH(ROWS($U$2:U371),$U$2:$U$1001,0),1)&gt;=100000,INDEX($AB$1005:$AQ$1005,1,MATCH(COLUMNS($AB$1006:AD1006),$AB$1006:$AQ$1006,0))&gt;=100000), " ",IF(INDEX($AB$2:$AQ$1001,MATCH(ROWS($U$2:U371),$U$2:$U$1001,0),MATCH(COLUMNS($AB$1006:AD1006),$AB$1006:$AQ$1006,0)), HYPERLINK("#",""), HYPERLINK(CONCATENATE("#Metadata!", ADDRESS(INDEX($W$2:$W$1001,MATCH(ROWS($U$2:U371),$U$2:$U$1001,0),0), INDEX($AB$1004:$AQ$1004,1,MATCH(COLUMNS($AB$1006:AD1006),$AB$1006:$AQ$1006,0)))),"Fix")))</f>
        <v>0</v>
      </c>
      <c r="E371" s="5">
        <f>IF(OR(INDEX($V$2:$V$1001,MATCH(ROWS($U$2:U371),$U$2:$U$1001,0),1)&gt;=100000,INDEX($AB$1005:$AQ$1005,1,MATCH(COLUMNS($AB$1006:AE1006),$AB$1006:$AQ$1006,0))&gt;=100000), " ",IF(INDEX($AB$2:$AQ$1001,MATCH(ROWS($U$2:U371),$U$2:$U$1001,0),MATCH(COLUMNS($AB$1006:AE1006),$AB$1006:$AQ$1006,0)), HYPERLINK("#",""), HYPERLINK(CONCATENATE("#Metadata!", ADDRESS(INDEX($W$2:$W$1001,MATCH(ROWS($U$2:U371),$U$2:$U$1001,0),0), INDEX($AB$1004:$AQ$1004,1,MATCH(COLUMNS($AB$1006:AE1006),$AB$1006:$AQ$1006,0)))),"Fix")))</f>
        <v>0</v>
      </c>
      <c r="F371" s="5">
        <f>IF(OR(INDEX($V$2:$V$1001,MATCH(ROWS($U$2:U371),$U$2:$U$1001,0),1)&gt;=100000,INDEX($AB$1005:$AQ$1005,1,MATCH(COLUMNS($AB$1006:AF1006),$AB$1006:$AQ$1006,0))&gt;=100000), " ",IF(INDEX($AB$2:$AQ$1001,MATCH(ROWS($U$2:U371),$U$2:$U$1001,0),MATCH(COLUMNS($AB$1006:AF1006),$AB$1006:$AQ$1006,0)), HYPERLINK("#",""), HYPERLINK(CONCATENATE("#Metadata!", ADDRESS(INDEX($W$2:$W$1001,MATCH(ROWS($U$2:U371),$U$2:$U$1001,0),0), INDEX($AB$1004:$AQ$1004,1,MATCH(COLUMNS($AB$1006:AF1006),$AB$1006:$AQ$1006,0)))),"Fix")))</f>
        <v>0</v>
      </c>
      <c r="G371" s="5">
        <f>IF(OR(INDEX($V$2:$V$1001,MATCH(ROWS($U$2:U371),$U$2:$U$1001,0),1)&gt;=100000,INDEX($AB$1005:$AQ$1005,1,MATCH(COLUMNS($AB$1006:AG1006),$AB$1006:$AQ$1006,0))&gt;=100000), " ",IF(INDEX($AB$2:$AQ$1001,MATCH(ROWS($U$2:U371),$U$2:$U$1001,0),MATCH(COLUMNS($AB$1006:AG1006),$AB$1006:$AQ$1006,0)), HYPERLINK("#",""), HYPERLINK(CONCATENATE("#Metadata!", ADDRESS(INDEX($W$2:$W$1001,MATCH(ROWS($U$2:U371),$U$2:$U$1001,0),0), INDEX($AB$1004:$AQ$1004,1,MATCH(COLUMNS($AB$1006:AG1006),$AB$1006:$AQ$1006,0)))),"Fix")))</f>
        <v>0</v>
      </c>
      <c r="H371" s="5">
        <f>IF(OR(INDEX($V$2:$V$1001,MATCH(ROWS($U$2:U371),$U$2:$U$1001,0),1)&gt;=100000,INDEX($AB$1005:$AQ$1005,1,MATCH(COLUMNS($AB$1006:AH1006),$AB$1006:$AQ$1006,0))&gt;=100000), " ",IF(INDEX($AB$2:$AQ$1001,MATCH(ROWS($U$2:U371),$U$2:$U$1001,0),MATCH(COLUMNS($AB$1006:AH1006),$AB$1006:$AQ$1006,0)), HYPERLINK("#",""), HYPERLINK(CONCATENATE("#Metadata!", ADDRESS(INDEX($W$2:$W$1001,MATCH(ROWS($U$2:U371),$U$2:$U$1001,0),0), INDEX($AB$1004:$AQ$1004,1,MATCH(COLUMNS($AB$1006:AH1006),$AB$1006:$AQ$1006,0)))),"Fix")))</f>
        <v>0</v>
      </c>
      <c r="I371" s="5">
        <f>IF(OR(INDEX($V$2:$V$1001,MATCH(ROWS($U$2:U371),$U$2:$U$1001,0),1)&gt;=100000,INDEX($AB$1005:$AQ$1005,1,MATCH(COLUMNS($AB$1006:AI1006),$AB$1006:$AQ$1006,0))&gt;=100000), " ",IF(INDEX($AB$2:$AQ$1001,MATCH(ROWS($U$2:U371),$U$2:$U$1001,0),MATCH(COLUMNS($AB$1006:AI1006),$AB$1006:$AQ$1006,0)), HYPERLINK("#",""), HYPERLINK(CONCATENATE("#Metadata!", ADDRESS(INDEX($W$2:$W$1001,MATCH(ROWS($U$2:U371),$U$2:$U$1001,0),0), INDEX($AB$1004:$AQ$1004,1,MATCH(COLUMNS($AB$1006:AI1006),$AB$1006:$AQ$1006,0)))),"Fix")))</f>
        <v>0</v>
      </c>
      <c r="J371" s="5">
        <f>IF(OR(INDEX($V$2:$V$1001,MATCH(ROWS($U$2:U371),$U$2:$U$1001,0),1)&gt;=100000,INDEX($AB$1005:$AQ$1005,1,MATCH(COLUMNS($AB$1006:AJ1006),$AB$1006:$AQ$1006,0))&gt;=100000), " ",IF(INDEX($AB$2:$AQ$1001,MATCH(ROWS($U$2:U371),$U$2:$U$1001,0),MATCH(COLUMNS($AB$1006:AJ1006),$AB$1006:$AQ$1006,0)), HYPERLINK("#",""), HYPERLINK(CONCATENATE("#Metadata!", ADDRESS(INDEX($W$2:$W$1001,MATCH(ROWS($U$2:U371),$U$2:$U$1001,0),0), INDEX($AB$1004:$AQ$1004,1,MATCH(COLUMNS($AB$1006:AJ1006),$AB$1006:$AQ$1006,0)))),"Fix")))</f>
        <v>0</v>
      </c>
      <c r="K371" s="5">
        <f>IF(OR(INDEX($V$2:$V$1001,MATCH(ROWS($U$2:U371),$U$2:$U$1001,0),1)&gt;=100000,INDEX($AB$1005:$AQ$1005,1,MATCH(COLUMNS($AB$1006:AK1006),$AB$1006:$AQ$1006,0))&gt;=100000), " ",IF(INDEX($AB$2:$AQ$1001,MATCH(ROWS($U$2:U371),$U$2:$U$1001,0),MATCH(COLUMNS($AB$1006:AK1006),$AB$1006:$AQ$1006,0)), HYPERLINK("#",""), HYPERLINK(CONCATENATE("#Metadata!", ADDRESS(INDEX($W$2:$W$1001,MATCH(ROWS($U$2:U371),$U$2:$U$1001,0),0), INDEX($AB$1004:$AQ$1004,1,MATCH(COLUMNS($AB$1006:AK1006),$AB$1006:$AQ$1006,0)))),"Fix")))</f>
        <v>0</v>
      </c>
      <c r="L371" s="5">
        <f>IF(OR(INDEX($V$2:$V$1001,MATCH(ROWS($U$2:U371),$U$2:$U$1001,0),1)&gt;=100000,INDEX($AB$1005:$AQ$1005,1,MATCH(COLUMNS($AB$1006:AL1006),$AB$1006:$AQ$1006,0))&gt;=100000), " ",IF(INDEX($AB$2:$AQ$1001,MATCH(ROWS($U$2:U371),$U$2:$U$1001,0),MATCH(COLUMNS($AB$1006:AL1006),$AB$1006:$AQ$1006,0)), HYPERLINK("#",""), HYPERLINK(CONCATENATE("#Metadata!", ADDRESS(INDEX($W$2:$W$1001,MATCH(ROWS($U$2:U371),$U$2:$U$1001,0),0), INDEX($AB$1004:$AQ$1004,1,MATCH(COLUMNS($AB$1006:AL1006),$AB$1006:$AQ$1006,0)))),"Fix")))</f>
        <v>0</v>
      </c>
      <c r="M371" s="5">
        <f>IF(OR(INDEX($V$2:$V$1001,MATCH(ROWS($U$2:U371),$U$2:$U$1001,0),1)&gt;=100000,INDEX($AB$1005:$AQ$1005,1,MATCH(COLUMNS($AB$1006:AM1006),$AB$1006:$AQ$1006,0))&gt;=100000), " ",IF(INDEX($AB$2:$AQ$1001,MATCH(ROWS($U$2:U371),$U$2:$U$1001,0),MATCH(COLUMNS($AB$1006:AM1006),$AB$1006:$AQ$1006,0)), HYPERLINK("#",""), HYPERLINK(CONCATENATE("#Metadata!", ADDRESS(INDEX($W$2:$W$1001,MATCH(ROWS($U$2:U371),$U$2:$U$1001,0),0), INDEX($AB$1004:$AQ$1004,1,MATCH(COLUMNS($AB$1006:AM1006),$AB$1006:$AQ$1006,0)))),"Fix")))</f>
        <v>0</v>
      </c>
      <c r="N371" s="5">
        <f>IF(OR(INDEX($V$2:$V$1001,MATCH(ROWS($U$2:U371),$U$2:$U$1001,0),1)&gt;=100000,INDEX($AB$1005:$AQ$1005,1,MATCH(COLUMNS($AB$1006:AN1006),$AB$1006:$AQ$1006,0))&gt;=100000), " ",IF(INDEX($AB$2:$AQ$1001,MATCH(ROWS($U$2:U371),$U$2:$U$1001,0),MATCH(COLUMNS($AB$1006:AN1006),$AB$1006:$AQ$1006,0)), HYPERLINK("#",""), HYPERLINK(CONCATENATE("#Metadata!", ADDRESS(INDEX($W$2:$W$1001,MATCH(ROWS($U$2:U371),$U$2:$U$1001,0),0), INDEX($AB$1004:$AQ$1004,1,MATCH(COLUMNS($AB$1006:AN1006),$AB$1006:$AQ$1006,0)))),"Fix")))</f>
        <v>0</v>
      </c>
      <c r="O371" s="5">
        <f>IF(OR(INDEX($V$2:$V$1001,MATCH(ROWS($U$2:U371),$U$2:$U$1001,0),1)&gt;=100000,INDEX($AB$1005:$AQ$1005,1,MATCH(COLUMNS($AB$1006:AO1006),$AB$1006:$AQ$1006,0))&gt;=100000), " ",IF(INDEX($AB$2:$AQ$1001,MATCH(ROWS($U$2:U371),$U$2:$U$1001,0),MATCH(COLUMNS($AB$1006:AO1006),$AB$1006:$AQ$1006,0)), HYPERLINK("#",""), HYPERLINK(CONCATENATE("#Metadata!", ADDRESS(INDEX($W$2:$W$1001,MATCH(ROWS($U$2:U371),$U$2:$U$1001,0),0), INDEX($AB$1004:$AQ$1004,1,MATCH(COLUMNS($AB$1006:AO1006),$AB$1006:$AQ$1006,0)))),"Fix")))</f>
        <v>0</v>
      </c>
      <c r="P371" s="5">
        <f>IF(OR(INDEX($V$2:$V$1001,MATCH(ROWS($U$2:U371),$U$2:$U$1001,0),1)&gt;=100000,INDEX($AB$1005:$AQ$1005,1,MATCH(COLUMNS($AB$1006:AP1006),$AB$1006:$AQ$1006,0))&gt;=100000), " ",IF(INDEX($AB$2:$AQ$1001,MATCH(ROWS($U$2:U371),$U$2:$U$1001,0),MATCH(COLUMNS($AB$1006:AP1006),$AB$1006:$AQ$1006,0)), HYPERLINK("#",""), HYPERLINK(CONCATENATE("#Metadata!", ADDRESS(INDEX($W$2:$W$1001,MATCH(ROWS($U$2:U371),$U$2:$U$1001,0),0), INDEX($AB$1004:$AQ$1004,1,MATCH(COLUMNS($AB$1006:AP1006),$AB$1006:$AQ$1006,0)))),"Fix")))</f>
        <v>0</v>
      </c>
      <c r="Q371" s="5">
        <f>IF(OR(INDEX($V$2:$V$1001,MATCH(ROWS($U$2:U371),$U$2:$U$1001,0),1)&gt;=100000,INDEX($AB$1005:$AQ$1005,1,MATCH(COLUMNS($AB$1006:AQ1006),$AB$1006:$AQ$1006,0))&gt;=100000), " ",IF(INDEX($AB$2:$AQ$1001,MATCH(ROWS($U$2:U371),$U$2:$U$1001,0),MATCH(COLUMNS($AB$1006:AQ1006),$AB$1006:$AQ$1006,0)), HYPERLINK("#",""), HYPERLINK(CONCATENATE("#Metadata!", ADDRESS(INDEX($W$2:$W$1001,MATCH(ROWS($U$2:U371),$U$2:$U$1001,0),0), INDEX($AB$1004:$AQ$1004,1,MATCH(COLUMNS($AB$1006:AQ1006),$AB$1006:$AQ$1006,0)))),"Fix")))</f>
        <v>0</v>
      </c>
      <c r="U371">
        <v>0</v>
      </c>
      <c r="V371">
        <v>0</v>
      </c>
      <c r="W371">
        <v>0</v>
      </c>
      <c r="X371">
        <f>IF(Y371,TRUE,AND(AB371:AQ371))</f>
        <v>0</v>
      </c>
      <c r="Y371">
        <f>COUNTBLANK(Metadata!B371:Q371)=COLUMNS(Metadata!B371:Q371)</f>
        <v>0</v>
      </c>
      <c r="Z371">
        <v>0</v>
      </c>
      <c r="AB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AC371">
        <f>AND(IF(Metadata!C371="",FALSE,TRUE),exact(Metadata!C371,"urban biome"))</f>
        <v>0</v>
      </c>
      <c r="AD371">
        <f>AND(IF(Metadata!D371="",FALSE,TRUE),exact(Metadata!D371,"human-associated habitat"))</f>
        <v>0</v>
      </c>
      <c r="AE371">
        <f>AND(IF(Metadata!E371="",FALSE,TRUE),OR(exact(Metadata!E371,"human-associated"),exact(Metadata!E371,"human-skin"),exact(Metadata!E371,"human-oral"),exact(Metadata!E371,"human-gut"),exact(Metadata!E371,"human-vaginal")))</f>
        <v>0</v>
      </c>
      <c r="AF371">
        <f>AND(IF(Metadata!F371="",FALSE,ISNUMBER(VALUE(Metadata!F371))),Metadata!F371&gt;0)</f>
        <v>0</v>
      </c>
      <c r="AG371">
        <f>AND(IF(Metadata!G371="",FALSE,TRUE),exact(Metadata!G371,"years"))</f>
        <v>0</v>
      </c>
      <c r="AH371">
        <f>OR(AND(IF(Metadata!H371="",FALSE,TRUE),OR(exact(Metadata!H371,"not applicable"),exact(Metadata!H371,"not collected"),exact(Metadata!H371,"not provided"),exact(Metadata!H371,"restricted access"))),AND(IF(Metadata!H371="",FALSE,ISNUMBER(VALUE(Metadata!H371))),Metadata!H371&gt;0))</f>
        <v>0</v>
      </c>
      <c r="AI371">
        <f>AND(IF(Metadata!I371="",FALSE,TRUE),exact(Metadata!I371,"human"))</f>
        <v>0</v>
      </c>
      <c r="AJ371">
        <f>AND(IF(Metadata!J371="",FALSE,ISNUMBER(VALUE(Metadata!J371))),Metadata!J371&gt;0)</f>
        <v>0</v>
      </c>
      <c r="AK371">
        <f>AND(IF(Metadata!K371="",FALSE,TRUE),exact(Metadata!K371,"cm"))</f>
        <v>0</v>
      </c>
      <c r="AL371">
        <f>AND(IF(Metadata!L371="",FALSE,TRUE),exact(Metadata!L371,"Homo sapiens"))</f>
        <v>0</v>
      </c>
      <c r="AM371">
        <f>AND(IF(Metadata!M371="",FALSE,TRUE),exact(Metadata!M371,"9606"))</f>
        <v>0</v>
      </c>
      <c r="AN371">
        <f>AND(IF(Metadata!N371="",FALSE,ISNUMBER(VALUE(Metadata!N371))),Metadata!N371&gt;0)</f>
        <v>0</v>
      </c>
      <c r="AO371">
        <f>AND(IF(Metadata!O371="",FALSE,TRUE),exact(Metadata!O371,"kg"))</f>
        <v>0</v>
      </c>
      <c r="AP371">
        <f>OR(AND(IF(Metadata!P371="",FALSE,TRUE),exact(Metadata!P371,"not provided")),IF(Metadata!P371="",FALSE,TRUE))</f>
        <v>0</v>
      </c>
      <c r="AQ371">
        <f>OR(AND(IF(Metadata!Q371="",FALSE,TRUE),exact(Metadata!Q371,"not provided")),IF(Metadata!Q371="",FALSE,TRUE))</f>
        <v>0</v>
      </c>
    </row>
    <row r="372" spans="1:43">
      <c r="A372" s="4">
        <f>IF(B372=" "," ",HYPERLINK(CONCATENATE("#metadata!",ADDRESS(INDEX($W$2:$W$1001,MATCH(ROWS($U$2:U372),$U$2:$U$1001,0),0),2)),INDEX($Z$2:$Z$1001,MATCH(ROWS($U$2:U372),$U$2:$U$1001,0),0)))</f>
        <v>0</v>
      </c>
      <c r="B372" s="5">
        <f>IF(OR(INDEX($V$2:$V$1001,MATCH(ROWS($U$2:U372),$U$2:$U$1001,0),1)&gt;=100000,INDEX($AB$1005:$AQ$1005,1,MATCH(COLUMNS($AB$1006:AB1006),$AB$1006:$AQ$1006,0))&gt;=100000), " ",IF(INDEX($AB$2:$AQ$1001,MATCH(ROWS($U$2:U372),$U$2:$U$1001,0),MATCH(COLUMNS($AB$1006:AB1006),$AB$1006:$AQ$1006,0)), HYPERLINK("#",""), HYPERLINK(CONCATENATE("#Metadata!", ADDRESS(INDEX($W$2:$W$1001,MATCH(ROWS($U$2:U372),$U$2:$U$1001,0),0), INDEX($AB$1004:$AQ$1004,1,MATCH(COLUMNS($AB$1006:AB1006),$AB$1006:$AQ$1006,0)))),"Fix")))</f>
        <v>0</v>
      </c>
      <c r="C372" s="5">
        <f>IF(OR(INDEX($V$2:$V$1001,MATCH(ROWS($U$2:U372),$U$2:$U$1001,0),1)&gt;=100000,INDEX($AB$1005:$AQ$1005,1,MATCH(COLUMNS($AB$1006:AC1006),$AB$1006:$AQ$1006,0))&gt;=100000), " ",IF(INDEX($AB$2:$AQ$1001,MATCH(ROWS($U$2:U372),$U$2:$U$1001,0),MATCH(COLUMNS($AB$1006:AC1006),$AB$1006:$AQ$1006,0)), HYPERLINK("#",""), HYPERLINK(CONCATENATE("#Metadata!", ADDRESS(INDEX($W$2:$W$1001,MATCH(ROWS($U$2:U372),$U$2:$U$1001,0),0), INDEX($AB$1004:$AQ$1004,1,MATCH(COLUMNS($AB$1006:AC1006),$AB$1006:$AQ$1006,0)))),"Fix")))</f>
        <v>0</v>
      </c>
      <c r="D372" s="5">
        <f>IF(OR(INDEX($V$2:$V$1001,MATCH(ROWS($U$2:U372),$U$2:$U$1001,0),1)&gt;=100000,INDEX($AB$1005:$AQ$1005,1,MATCH(COLUMNS($AB$1006:AD1006),$AB$1006:$AQ$1006,0))&gt;=100000), " ",IF(INDEX($AB$2:$AQ$1001,MATCH(ROWS($U$2:U372),$U$2:$U$1001,0),MATCH(COLUMNS($AB$1006:AD1006),$AB$1006:$AQ$1006,0)), HYPERLINK("#",""), HYPERLINK(CONCATENATE("#Metadata!", ADDRESS(INDEX($W$2:$W$1001,MATCH(ROWS($U$2:U372),$U$2:$U$1001,0),0), INDEX($AB$1004:$AQ$1004,1,MATCH(COLUMNS($AB$1006:AD1006),$AB$1006:$AQ$1006,0)))),"Fix")))</f>
        <v>0</v>
      </c>
      <c r="E372" s="5">
        <f>IF(OR(INDEX($V$2:$V$1001,MATCH(ROWS($U$2:U372),$U$2:$U$1001,0),1)&gt;=100000,INDEX($AB$1005:$AQ$1005,1,MATCH(COLUMNS($AB$1006:AE1006),$AB$1006:$AQ$1006,0))&gt;=100000), " ",IF(INDEX($AB$2:$AQ$1001,MATCH(ROWS($U$2:U372),$U$2:$U$1001,0),MATCH(COLUMNS($AB$1006:AE1006),$AB$1006:$AQ$1006,0)), HYPERLINK("#",""), HYPERLINK(CONCATENATE("#Metadata!", ADDRESS(INDEX($W$2:$W$1001,MATCH(ROWS($U$2:U372),$U$2:$U$1001,0),0), INDEX($AB$1004:$AQ$1004,1,MATCH(COLUMNS($AB$1006:AE1006),$AB$1006:$AQ$1006,0)))),"Fix")))</f>
        <v>0</v>
      </c>
      <c r="F372" s="5">
        <f>IF(OR(INDEX($V$2:$V$1001,MATCH(ROWS($U$2:U372),$U$2:$U$1001,0),1)&gt;=100000,INDEX($AB$1005:$AQ$1005,1,MATCH(COLUMNS($AB$1006:AF1006),$AB$1006:$AQ$1006,0))&gt;=100000), " ",IF(INDEX($AB$2:$AQ$1001,MATCH(ROWS($U$2:U372),$U$2:$U$1001,0),MATCH(COLUMNS($AB$1006:AF1006),$AB$1006:$AQ$1006,0)), HYPERLINK("#",""), HYPERLINK(CONCATENATE("#Metadata!", ADDRESS(INDEX($W$2:$W$1001,MATCH(ROWS($U$2:U372),$U$2:$U$1001,0),0), INDEX($AB$1004:$AQ$1004,1,MATCH(COLUMNS($AB$1006:AF1006),$AB$1006:$AQ$1006,0)))),"Fix")))</f>
        <v>0</v>
      </c>
      <c r="G372" s="5">
        <f>IF(OR(INDEX($V$2:$V$1001,MATCH(ROWS($U$2:U372),$U$2:$U$1001,0),1)&gt;=100000,INDEX($AB$1005:$AQ$1005,1,MATCH(COLUMNS($AB$1006:AG1006),$AB$1006:$AQ$1006,0))&gt;=100000), " ",IF(INDEX($AB$2:$AQ$1001,MATCH(ROWS($U$2:U372),$U$2:$U$1001,0),MATCH(COLUMNS($AB$1006:AG1006),$AB$1006:$AQ$1006,0)), HYPERLINK("#",""), HYPERLINK(CONCATENATE("#Metadata!", ADDRESS(INDEX($W$2:$W$1001,MATCH(ROWS($U$2:U372),$U$2:$U$1001,0),0), INDEX($AB$1004:$AQ$1004,1,MATCH(COLUMNS($AB$1006:AG1006),$AB$1006:$AQ$1006,0)))),"Fix")))</f>
        <v>0</v>
      </c>
      <c r="H372" s="5">
        <f>IF(OR(INDEX($V$2:$V$1001,MATCH(ROWS($U$2:U372),$U$2:$U$1001,0),1)&gt;=100000,INDEX($AB$1005:$AQ$1005,1,MATCH(COLUMNS($AB$1006:AH1006),$AB$1006:$AQ$1006,0))&gt;=100000), " ",IF(INDEX($AB$2:$AQ$1001,MATCH(ROWS($U$2:U372),$U$2:$U$1001,0),MATCH(COLUMNS($AB$1006:AH1006),$AB$1006:$AQ$1006,0)), HYPERLINK("#",""), HYPERLINK(CONCATENATE("#Metadata!", ADDRESS(INDEX($W$2:$W$1001,MATCH(ROWS($U$2:U372),$U$2:$U$1001,0),0), INDEX($AB$1004:$AQ$1004,1,MATCH(COLUMNS($AB$1006:AH1006),$AB$1006:$AQ$1006,0)))),"Fix")))</f>
        <v>0</v>
      </c>
      <c r="I372" s="5">
        <f>IF(OR(INDEX($V$2:$V$1001,MATCH(ROWS($U$2:U372),$U$2:$U$1001,0),1)&gt;=100000,INDEX($AB$1005:$AQ$1005,1,MATCH(COLUMNS($AB$1006:AI1006),$AB$1006:$AQ$1006,0))&gt;=100000), " ",IF(INDEX($AB$2:$AQ$1001,MATCH(ROWS($U$2:U372),$U$2:$U$1001,0),MATCH(COLUMNS($AB$1006:AI1006),$AB$1006:$AQ$1006,0)), HYPERLINK("#",""), HYPERLINK(CONCATENATE("#Metadata!", ADDRESS(INDEX($W$2:$W$1001,MATCH(ROWS($U$2:U372),$U$2:$U$1001,0),0), INDEX($AB$1004:$AQ$1004,1,MATCH(COLUMNS($AB$1006:AI1006),$AB$1006:$AQ$1006,0)))),"Fix")))</f>
        <v>0</v>
      </c>
      <c r="J372" s="5">
        <f>IF(OR(INDEX($V$2:$V$1001,MATCH(ROWS($U$2:U372),$U$2:$U$1001,0),1)&gt;=100000,INDEX($AB$1005:$AQ$1005,1,MATCH(COLUMNS($AB$1006:AJ1006),$AB$1006:$AQ$1006,0))&gt;=100000), " ",IF(INDEX($AB$2:$AQ$1001,MATCH(ROWS($U$2:U372),$U$2:$U$1001,0),MATCH(COLUMNS($AB$1006:AJ1006),$AB$1006:$AQ$1006,0)), HYPERLINK("#",""), HYPERLINK(CONCATENATE("#Metadata!", ADDRESS(INDEX($W$2:$W$1001,MATCH(ROWS($U$2:U372),$U$2:$U$1001,0),0), INDEX($AB$1004:$AQ$1004,1,MATCH(COLUMNS($AB$1006:AJ1006),$AB$1006:$AQ$1006,0)))),"Fix")))</f>
        <v>0</v>
      </c>
      <c r="K372" s="5">
        <f>IF(OR(INDEX($V$2:$V$1001,MATCH(ROWS($U$2:U372),$U$2:$U$1001,0),1)&gt;=100000,INDEX($AB$1005:$AQ$1005,1,MATCH(COLUMNS($AB$1006:AK1006),$AB$1006:$AQ$1006,0))&gt;=100000), " ",IF(INDEX($AB$2:$AQ$1001,MATCH(ROWS($U$2:U372),$U$2:$U$1001,0),MATCH(COLUMNS($AB$1006:AK1006),$AB$1006:$AQ$1006,0)), HYPERLINK("#",""), HYPERLINK(CONCATENATE("#Metadata!", ADDRESS(INDEX($W$2:$W$1001,MATCH(ROWS($U$2:U372),$U$2:$U$1001,0),0), INDEX($AB$1004:$AQ$1004,1,MATCH(COLUMNS($AB$1006:AK1006),$AB$1006:$AQ$1006,0)))),"Fix")))</f>
        <v>0</v>
      </c>
      <c r="L372" s="5">
        <f>IF(OR(INDEX($V$2:$V$1001,MATCH(ROWS($U$2:U372),$U$2:$U$1001,0),1)&gt;=100000,INDEX($AB$1005:$AQ$1005,1,MATCH(COLUMNS($AB$1006:AL1006),$AB$1006:$AQ$1006,0))&gt;=100000), " ",IF(INDEX($AB$2:$AQ$1001,MATCH(ROWS($U$2:U372),$U$2:$U$1001,0),MATCH(COLUMNS($AB$1006:AL1006),$AB$1006:$AQ$1006,0)), HYPERLINK("#",""), HYPERLINK(CONCATENATE("#Metadata!", ADDRESS(INDEX($W$2:$W$1001,MATCH(ROWS($U$2:U372),$U$2:$U$1001,0),0), INDEX($AB$1004:$AQ$1004,1,MATCH(COLUMNS($AB$1006:AL1006),$AB$1006:$AQ$1006,0)))),"Fix")))</f>
        <v>0</v>
      </c>
      <c r="M372" s="5">
        <f>IF(OR(INDEX($V$2:$V$1001,MATCH(ROWS($U$2:U372),$U$2:$U$1001,0),1)&gt;=100000,INDEX($AB$1005:$AQ$1005,1,MATCH(COLUMNS($AB$1006:AM1006),$AB$1006:$AQ$1006,0))&gt;=100000), " ",IF(INDEX($AB$2:$AQ$1001,MATCH(ROWS($U$2:U372),$U$2:$U$1001,0),MATCH(COLUMNS($AB$1006:AM1006),$AB$1006:$AQ$1006,0)), HYPERLINK("#",""), HYPERLINK(CONCATENATE("#Metadata!", ADDRESS(INDEX($W$2:$W$1001,MATCH(ROWS($U$2:U372),$U$2:$U$1001,0),0), INDEX($AB$1004:$AQ$1004,1,MATCH(COLUMNS($AB$1006:AM1006),$AB$1006:$AQ$1006,0)))),"Fix")))</f>
        <v>0</v>
      </c>
      <c r="N372" s="5">
        <f>IF(OR(INDEX($V$2:$V$1001,MATCH(ROWS($U$2:U372),$U$2:$U$1001,0),1)&gt;=100000,INDEX($AB$1005:$AQ$1005,1,MATCH(COLUMNS($AB$1006:AN1006),$AB$1006:$AQ$1006,0))&gt;=100000), " ",IF(INDEX($AB$2:$AQ$1001,MATCH(ROWS($U$2:U372),$U$2:$U$1001,0),MATCH(COLUMNS($AB$1006:AN1006),$AB$1006:$AQ$1006,0)), HYPERLINK("#",""), HYPERLINK(CONCATENATE("#Metadata!", ADDRESS(INDEX($W$2:$W$1001,MATCH(ROWS($U$2:U372),$U$2:$U$1001,0),0), INDEX($AB$1004:$AQ$1004,1,MATCH(COLUMNS($AB$1006:AN1006),$AB$1006:$AQ$1006,0)))),"Fix")))</f>
        <v>0</v>
      </c>
      <c r="O372" s="5">
        <f>IF(OR(INDEX($V$2:$V$1001,MATCH(ROWS($U$2:U372),$U$2:$U$1001,0),1)&gt;=100000,INDEX($AB$1005:$AQ$1005,1,MATCH(COLUMNS($AB$1006:AO1006),$AB$1006:$AQ$1006,0))&gt;=100000), " ",IF(INDEX($AB$2:$AQ$1001,MATCH(ROWS($U$2:U372),$U$2:$U$1001,0),MATCH(COLUMNS($AB$1006:AO1006),$AB$1006:$AQ$1006,0)), HYPERLINK("#",""), HYPERLINK(CONCATENATE("#Metadata!", ADDRESS(INDEX($W$2:$W$1001,MATCH(ROWS($U$2:U372),$U$2:$U$1001,0),0), INDEX($AB$1004:$AQ$1004,1,MATCH(COLUMNS($AB$1006:AO1006),$AB$1006:$AQ$1006,0)))),"Fix")))</f>
        <v>0</v>
      </c>
      <c r="P372" s="5">
        <f>IF(OR(INDEX($V$2:$V$1001,MATCH(ROWS($U$2:U372),$U$2:$U$1001,0),1)&gt;=100000,INDEX($AB$1005:$AQ$1005,1,MATCH(COLUMNS($AB$1006:AP1006),$AB$1006:$AQ$1006,0))&gt;=100000), " ",IF(INDEX($AB$2:$AQ$1001,MATCH(ROWS($U$2:U372),$U$2:$U$1001,0),MATCH(COLUMNS($AB$1006:AP1006),$AB$1006:$AQ$1006,0)), HYPERLINK("#",""), HYPERLINK(CONCATENATE("#Metadata!", ADDRESS(INDEX($W$2:$W$1001,MATCH(ROWS($U$2:U372),$U$2:$U$1001,0),0), INDEX($AB$1004:$AQ$1004,1,MATCH(COLUMNS($AB$1006:AP1006),$AB$1006:$AQ$1006,0)))),"Fix")))</f>
        <v>0</v>
      </c>
      <c r="Q372" s="5">
        <f>IF(OR(INDEX($V$2:$V$1001,MATCH(ROWS($U$2:U372),$U$2:$U$1001,0),1)&gt;=100000,INDEX($AB$1005:$AQ$1005,1,MATCH(COLUMNS($AB$1006:AQ1006),$AB$1006:$AQ$1006,0))&gt;=100000), " ",IF(INDEX($AB$2:$AQ$1001,MATCH(ROWS($U$2:U372),$U$2:$U$1001,0),MATCH(COLUMNS($AB$1006:AQ1006),$AB$1006:$AQ$1006,0)), HYPERLINK("#",""), HYPERLINK(CONCATENATE("#Metadata!", ADDRESS(INDEX($W$2:$W$1001,MATCH(ROWS($U$2:U372),$U$2:$U$1001,0),0), INDEX($AB$1004:$AQ$1004,1,MATCH(COLUMNS($AB$1006:AQ1006),$AB$1006:$AQ$1006,0)))),"Fix")))</f>
        <v>0</v>
      </c>
      <c r="U372">
        <v>0</v>
      </c>
      <c r="V372">
        <v>0</v>
      </c>
      <c r="W372">
        <v>0</v>
      </c>
      <c r="X372">
        <f>IF(Y372,TRUE,AND(AB372:AQ372))</f>
        <v>0</v>
      </c>
      <c r="Y372">
        <f>COUNTBLANK(Metadata!B372:Q372)=COLUMNS(Metadata!B372:Q372)</f>
        <v>0</v>
      </c>
      <c r="Z372">
        <v>0</v>
      </c>
      <c r="AB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AC372">
        <f>AND(IF(Metadata!C372="",FALSE,TRUE),exact(Metadata!C372,"urban biome"))</f>
        <v>0</v>
      </c>
      <c r="AD372">
        <f>AND(IF(Metadata!D372="",FALSE,TRUE),exact(Metadata!D372,"human-associated habitat"))</f>
        <v>0</v>
      </c>
      <c r="AE372">
        <f>AND(IF(Metadata!E372="",FALSE,TRUE),OR(exact(Metadata!E372,"human-associated"),exact(Metadata!E372,"human-skin"),exact(Metadata!E372,"human-oral"),exact(Metadata!E372,"human-gut"),exact(Metadata!E372,"human-vaginal")))</f>
        <v>0</v>
      </c>
      <c r="AF372">
        <f>AND(IF(Metadata!F372="",FALSE,ISNUMBER(VALUE(Metadata!F372))),Metadata!F372&gt;0)</f>
        <v>0</v>
      </c>
      <c r="AG372">
        <f>AND(IF(Metadata!G372="",FALSE,TRUE),exact(Metadata!G372,"years"))</f>
        <v>0</v>
      </c>
      <c r="AH372">
        <f>OR(AND(IF(Metadata!H372="",FALSE,TRUE),OR(exact(Metadata!H372,"not applicable"),exact(Metadata!H372,"not collected"),exact(Metadata!H372,"not provided"),exact(Metadata!H372,"restricted access"))),AND(IF(Metadata!H372="",FALSE,ISNUMBER(VALUE(Metadata!H372))),Metadata!H372&gt;0))</f>
        <v>0</v>
      </c>
      <c r="AI372">
        <f>AND(IF(Metadata!I372="",FALSE,TRUE),exact(Metadata!I372,"human"))</f>
        <v>0</v>
      </c>
      <c r="AJ372">
        <f>AND(IF(Metadata!J372="",FALSE,ISNUMBER(VALUE(Metadata!J372))),Metadata!J372&gt;0)</f>
        <v>0</v>
      </c>
      <c r="AK372">
        <f>AND(IF(Metadata!K372="",FALSE,TRUE),exact(Metadata!K372,"cm"))</f>
        <v>0</v>
      </c>
      <c r="AL372">
        <f>AND(IF(Metadata!L372="",FALSE,TRUE),exact(Metadata!L372,"Homo sapiens"))</f>
        <v>0</v>
      </c>
      <c r="AM372">
        <f>AND(IF(Metadata!M372="",FALSE,TRUE),exact(Metadata!M372,"9606"))</f>
        <v>0</v>
      </c>
      <c r="AN372">
        <f>AND(IF(Metadata!N372="",FALSE,ISNUMBER(VALUE(Metadata!N372))),Metadata!N372&gt;0)</f>
        <v>0</v>
      </c>
      <c r="AO372">
        <f>AND(IF(Metadata!O372="",FALSE,TRUE),exact(Metadata!O372,"kg"))</f>
        <v>0</v>
      </c>
      <c r="AP372">
        <f>OR(AND(IF(Metadata!P372="",FALSE,TRUE),exact(Metadata!P372,"not provided")),IF(Metadata!P372="",FALSE,TRUE))</f>
        <v>0</v>
      </c>
      <c r="AQ372">
        <f>OR(AND(IF(Metadata!Q372="",FALSE,TRUE),exact(Metadata!Q372,"not provided")),IF(Metadata!Q372="",FALSE,TRUE))</f>
        <v>0</v>
      </c>
    </row>
    <row r="373" spans="1:43">
      <c r="A373" s="4">
        <f>IF(B373=" "," ",HYPERLINK(CONCATENATE("#metadata!",ADDRESS(INDEX($W$2:$W$1001,MATCH(ROWS($U$2:U373),$U$2:$U$1001,0),0),2)),INDEX($Z$2:$Z$1001,MATCH(ROWS($U$2:U373),$U$2:$U$1001,0),0)))</f>
        <v>0</v>
      </c>
      <c r="B373" s="5">
        <f>IF(OR(INDEX($V$2:$V$1001,MATCH(ROWS($U$2:U373),$U$2:$U$1001,0),1)&gt;=100000,INDEX($AB$1005:$AQ$1005,1,MATCH(COLUMNS($AB$1006:AB1006),$AB$1006:$AQ$1006,0))&gt;=100000), " ",IF(INDEX($AB$2:$AQ$1001,MATCH(ROWS($U$2:U373),$U$2:$U$1001,0),MATCH(COLUMNS($AB$1006:AB1006),$AB$1006:$AQ$1006,0)), HYPERLINK("#",""), HYPERLINK(CONCATENATE("#Metadata!", ADDRESS(INDEX($W$2:$W$1001,MATCH(ROWS($U$2:U373),$U$2:$U$1001,0),0), INDEX($AB$1004:$AQ$1004,1,MATCH(COLUMNS($AB$1006:AB1006),$AB$1006:$AQ$1006,0)))),"Fix")))</f>
        <v>0</v>
      </c>
      <c r="C373" s="5">
        <f>IF(OR(INDEX($V$2:$V$1001,MATCH(ROWS($U$2:U373),$U$2:$U$1001,0),1)&gt;=100000,INDEX($AB$1005:$AQ$1005,1,MATCH(COLUMNS($AB$1006:AC1006),$AB$1006:$AQ$1006,0))&gt;=100000), " ",IF(INDEX($AB$2:$AQ$1001,MATCH(ROWS($U$2:U373),$U$2:$U$1001,0),MATCH(COLUMNS($AB$1006:AC1006),$AB$1006:$AQ$1006,0)), HYPERLINK("#",""), HYPERLINK(CONCATENATE("#Metadata!", ADDRESS(INDEX($W$2:$W$1001,MATCH(ROWS($U$2:U373),$U$2:$U$1001,0),0), INDEX($AB$1004:$AQ$1004,1,MATCH(COLUMNS($AB$1006:AC1006),$AB$1006:$AQ$1006,0)))),"Fix")))</f>
        <v>0</v>
      </c>
      <c r="D373" s="5">
        <f>IF(OR(INDEX($V$2:$V$1001,MATCH(ROWS($U$2:U373),$U$2:$U$1001,0),1)&gt;=100000,INDEX($AB$1005:$AQ$1005,1,MATCH(COLUMNS($AB$1006:AD1006),$AB$1006:$AQ$1006,0))&gt;=100000), " ",IF(INDEX($AB$2:$AQ$1001,MATCH(ROWS($U$2:U373),$U$2:$U$1001,0),MATCH(COLUMNS($AB$1006:AD1006),$AB$1006:$AQ$1006,0)), HYPERLINK("#",""), HYPERLINK(CONCATENATE("#Metadata!", ADDRESS(INDEX($W$2:$W$1001,MATCH(ROWS($U$2:U373),$U$2:$U$1001,0),0), INDEX($AB$1004:$AQ$1004,1,MATCH(COLUMNS($AB$1006:AD1006),$AB$1006:$AQ$1006,0)))),"Fix")))</f>
        <v>0</v>
      </c>
      <c r="E373" s="5">
        <f>IF(OR(INDEX($V$2:$V$1001,MATCH(ROWS($U$2:U373),$U$2:$U$1001,0),1)&gt;=100000,INDEX($AB$1005:$AQ$1005,1,MATCH(COLUMNS($AB$1006:AE1006),$AB$1006:$AQ$1006,0))&gt;=100000), " ",IF(INDEX($AB$2:$AQ$1001,MATCH(ROWS($U$2:U373),$U$2:$U$1001,0),MATCH(COLUMNS($AB$1006:AE1006),$AB$1006:$AQ$1006,0)), HYPERLINK("#",""), HYPERLINK(CONCATENATE("#Metadata!", ADDRESS(INDEX($W$2:$W$1001,MATCH(ROWS($U$2:U373),$U$2:$U$1001,0),0), INDEX($AB$1004:$AQ$1004,1,MATCH(COLUMNS($AB$1006:AE1006),$AB$1006:$AQ$1006,0)))),"Fix")))</f>
        <v>0</v>
      </c>
      <c r="F373" s="5">
        <f>IF(OR(INDEX($V$2:$V$1001,MATCH(ROWS($U$2:U373),$U$2:$U$1001,0),1)&gt;=100000,INDEX($AB$1005:$AQ$1005,1,MATCH(COLUMNS($AB$1006:AF1006),$AB$1006:$AQ$1006,0))&gt;=100000), " ",IF(INDEX($AB$2:$AQ$1001,MATCH(ROWS($U$2:U373),$U$2:$U$1001,0),MATCH(COLUMNS($AB$1006:AF1006),$AB$1006:$AQ$1006,0)), HYPERLINK("#",""), HYPERLINK(CONCATENATE("#Metadata!", ADDRESS(INDEX($W$2:$W$1001,MATCH(ROWS($U$2:U373),$U$2:$U$1001,0),0), INDEX($AB$1004:$AQ$1004,1,MATCH(COLUMNS($AB$1006:AF1006),$AB$1006:$AQ$1006,0)))),"Fix")))</f>
        <v>0</v>
      </c>
      <c r="G373" s="5">
        <f>IF(OR(INDEX($V$2:$V$1001,MATCH(ROWS($U$2:U373),$U$2:$U$1001,0),1)&gt;=100000,INDEX($AB$1005:$AQ$1005,1,MATCH(COLUMNS($AB$1006:AG1006),$AB$1006:$AQ$1006,0))&gt;=100000), " ",IF(INDEX($AB$2:$AQ$1001,MATCH(ROWS($U$2:U373),$U$2:$U$1001,0),MATCH(COLUMNS($AB$1006:AG1006),$AB$1006:$AQ$1006,0)), HYPERLINK("#",""), HYPERLINK(CONCATENATE("#Metadata!", ADDRESS(INDEX($W$2:$W$1001,MATCH(ROWS($U$2:U373),$U$2:$U$1001,0),0), INDEX($AB$1004:$AQ$1004,1,MATCH(COLUMNS($AB$1006:AG1006),$AB$1006:$AQ$1006,0)))),"Fix")))</f>
        <v>0</v>
      </c>
      <c r="H373" s="5">
        <f>IF(OR(INDEX($V$2:$V$1001,MATCH(ROWS($U$2:U373),$U$2:$U$1001,0),1)&gt;=100000,INDEX($AB$1005:$AQ$1005,1,MATCH(COLUMNS($AB$1006:AH1006),$AB$1006:$AQ$1006,0))&gt;=100000), " ",IF(INDEX($AB$2:$AQ$1001,MATCH(ROWS($U$2:U373),$U$2:$U$1001,0),MATCH(COLUMNS($AB$1006:AH1006),$AB$1006:$AQ$1006,0)), HYPERLINK("#",""), HYPERLINK(CONCATENATE("#Metadata!", ADDRESS(INDEX($W$2:$W$1001,MATCH(ROWS($U$2:U373),$U$2:$U$1001,0),0), INDEX($AB$1004:$AQ$1004,1,MATCH(COLUMNS($AB$1006:AH1006),$AB$1006:$AQ$1006,0)))),"Fix")))</f>
        <v>0</v>
      </c>
      <c r="I373" s="5">
        <f>IF(OR(INDEX($V$2:$V$1001,MATCH(ROWS($U$2:U373),$U$2:$U$1001,0),1)&gt;=100000,INDEX($AB$1005:$AQ$1005,1,MATCH(COLUMNS($AB$1006:AI1006),$AB$1006:$AQ$1006,0))&gt;=100000), " ",IF(INDEX($AB$2:$AQ$1001,MATCH(ROWS($U$2:U373),$U$2:$U$1001,0),MATCH(COLUMNS($AB$1006:AI1006),$AB$1006:$AQ$1006,0)), HYPERLINK("#",""), HYPERLINK(CONCATENATE("#Metadata!", ADDRESS(INDEX($W$2:$W$1001,MATCH(ROWS($U$2:U373),$U$2:$U$1001,0),0), INDEX($AB$1004:$AQ$1004,1,MATCH(COLUMNS($AB$1006:AI1006),$AB$1006:$AQ$1006,0)))),"Fix")))</f>
        <v>0</v>
      </c>
      <c r="J373" s="5">
        <f>IF(OR(INDEX($V$2:$V$1001,MATCH(ROWS($U$2:U373),$U$2:$U$1001,0),1)&gt;=100000,INDEX($AB$1005:$AQ$1005,1,MATCH(COLUMNS($AB$1006:AJ1006),$AB$1006:$AQ$1006,0))&gt;=100000), " ",IF(INDEX($AB$2:$AQ$1001,MATCH(ROWS($U$2:U373),$U$2:$U$1001,0),MATCH(COLUMNS($AB$1006:AJ1006),$AB$1006:$AQ$1006,0)), HYPERLINK("#",""), HYPERLINK(CONCATENATE("#Metadata!", ADDRESS(INDEX($W$2:$W$1001,MATCH(ROWS($U$2:U373),$U$2:$U$1001,0),0), INDEX($AB$1004:$AQ$1004,1,MATCH(COLUMNS($AB$1006:AJ1006),$AB$1006:$AQ$1006,0)))),"Fix")))</f>
        <v>0</v>
      </c>
      <c r="K373" s="5">
        <f>IF(OR(INDEX($V$2:$V$1001,MATCH(ROWS($U$2:U373),$U$2:$U$1001,0),1)&gt;=100000,INDEX($AB$1005:$AQ$1005,1,MATCH(COLUMNS($AB$1006:AK1006),$AB$1006:$AQ$1006,0))&gt;=100000), " ",IF(INDEX($AB$2:$AQ$1001,MATCH(ROWS($U$2:U373),$U$2:$U$1001,0),MATCH(COLUMNS($AB$1006:AK1006),$AB$1006:$AQ$1006,0)), HYPERLINK("#",""), HYPERLINK(CONCATENATE("#Metadata!", ADDRESS(INDEX($W$2:$W$1001,MATCH(ROWS($U$2:U373),$U$2:$U$1001,0),0), INDEX($AB$1004:$AQ$1004,1,MATCH(COLUMNS($AB$1006:AK1006),$AB$1006:$AQ$1006,0)))),"Fix")))</f>
        <v>0</v>
      </c>
      <c r="L373" s="5">
        <f>IF(OR(INDEX($V$2:$V$1001,MATCH(ROWS($U$2:U373),$U$2:$U$1001,0),1)&gt;=100000,INDEX($AB$1005:$AQ$1005,1,MATCH(COLUMNS($AB$1006:AL1006),$AB$1006:$AQ$1006,0))&gt;=100000), " ",IF(INDEX($AB$2:$AQ$1001,MATCH(ROWS($U$2:U373),$U$2:$U$1001,0),MATCH(COLUMNS($AB$1006:AL1006),$AB$1006:$AQ$1006,0)), HYPERLINK("#",""), HYPERLINK(CONCATENATE("#Metadata!", ADDRESS(INDEX($W$2:$W$1001,MATCH(ROWS($U$2:U373),$U$2:$U$1001,0),0), INDEX($AB$1004:$AQ$1004,1,MATCH(COLUMNS($AB$1006:AL1006),$AB$1006:$AQ$1006,0)))),"Fix")))</f>
        <v>0</v>
      </c>
      <c r="M373" s="5">
        <f>IF(OR(INDEX($V$2:$V$1001,MATCH(ROWS($U$2:U373),$U$2:$U$1001,0),1)&gt;=100000,INDEX($AB$1005:$AQ$1005,1,MATCH(COLUMNS($AB$1006:AM1006),$AB$1006:$AQ$1006,0))&gt;=100000), " ",IF(INDEX($AB$2:$AQ$1001,MATCH(ROWS($U$2:U373),$U$2:$U$1001,0),MATCH(COLUMNS($AB$1006:AM1006),$AB$1006:$AQ$1006,0)), HYPERLINK("#",""), HYPERLINK(CONCATENATE("#Metadata!", ADDRESS(INDEX($W$2:$W$1001,MATCH(ROWS($U$2:U373),$U$2:$U$1001,0),0), INDEX($AB$1004:$AQ$1004,1,MATCH(COLUMNS($AB$1006:AM1006),$AB$1006:$AQ$1006,0)))),"Fix")))</f>
        <v>0</v>
      </c>
      <c r="N373" s="5">
        <f>IF(OR(INDEX($V$2:$V$1001,MATCH(ROWS($U$2:U373),$U$2:$U$1001,0),1)&gt;=100000,INDEX($AB$1005:$AQ$1005,1,MATCH(COLUMNS($AB$1006:AN1006),$AB$1006:$AQ$1006,0))&gt;=100000), " ",IF(INDEX($AB$2:$AQ$1001,MATCH(ROWS($U$2:U373),$U$2:$U$1001,0),MATCH(COLUMNS($AB$1006:AN1006),$AB$1006:$AQ$1006,0)), HYPERLINK("#",""), HYPERLINK(CONCATENATE("#Metadata!", ADDRESS(INDEX($W$2:$W$1001,MATCH(ROWS($U$2:U373),$U$2:$U$1001,0),0), INDEX($AB$1004:$AQ$1004,1,MATCH(COLUMNS($AB$1006:AN1006),$AB$1006:$AQ$1006,0)))),"Fix")))</f>
        <v>0</v>
      </c>
      <c r="O373" s="5">
        <f>IF(OR(INDEX($V$2:$V$1001,MATCH(ROWS($U$2:U373),$U$2:$U$1001,0),1)&gt;=100000,INDEX($AB$1005:$AQ$1005,1,MATCH(COLUMNS($AB$1006:AO1006),$AB$1006:$AQ$1006,0))&gt;=100000), " ",IF(INDEX($AB$2:$AQ$1001,MATCH(ROWS($U$2:U373),$U$2:$U$1001,0),MATCH(COLUMNS($AB$1006:AO1006),$AB$1006:$AQ$1006,0)), HYPERLINK("#",""), HYPERLINK(CONCATENATE("#Metadata!", ADDRESS(INDEX($W$2:$W$1001,MATCH(ROWS($U$2:U373),$U$2:$U$1001,0),0), INDEX($AB$1004:$AQ$1004,1,MATCH(COLUMNS($AB$1006:AO1006),$AB$1006:$AQ$1006,0)))),"Fix")))</f>
        <v>0</v>
      </c>
      <c r="P373" s="5">
        <f>IF(OR(INDEX($V$2:$V$1001,MATCH(ROWS($U$2:U373),$U$2:$U$1001,0),1)&gt;=100000,INDEX($AB$1005:$AQ$1005,1,MATCH(COLUMNS($AB$1006:AP1006),$AB$1006:$AQ$1006,0))&gt;=100000), " ",IF(INDEX($AB$2:$AQ$1001,MATCH(ROWS($U$2:U373),$U$2:$U$1001,0),MATCH(COLUMNS($AB$1006:AP1006),$AB$1006:$AQ$1006,0)), HYPERLINK("#",""), HYPERLINK(CONCATENATE("#Metadata!", ADDRESS(INDEX($W$2:$W$1001,MATCH(ROWS($U$2:U373),$U$2:$U$1001,0),0), INDEX($AB$1004:$AQ$1004,1,MATCH(COLUMNS($AB$1006:AP1006),$AB$1006:$AQ$1006,0)))),"Fix")))</f>
        <v>0</v>
      </c>
      <c r="Q373" s="5">
        <f>IF(OR(INDEX($V$2:$V$1001,MATCH(ROWS($U$2:U373),$U$2:$U$1001,0),1)&gt;=100000,INDEX($AB$1005:$AQ$1005,1,MATCH(COLUMNS($AB$1006:AQ1006),$AB$1006:$AQ$1006,0))&gt;=100000), " ",IF(INDEX($AB$2:$AQ$1001,MATCH(ROWS($U$2:U373),$U$2:$U$1001,0),MATCH(COLUMNS($AB$1006:AQ1006),$AB$1006:$AQ$1006,0)), HYPERLINK("#",""), HYPERLINK(CONCATENATE("#Metadata!", ADDRESS(INDEX($W$2:$W$1001,MATCH(ROWS($U$2:U373),$U$2:$U$1001,0),0), INDEX($AB$1004:$AQ$1004,1,MATCH(COLUMNS($AB$1006:AQ1006),$AB$1006:$AQ$1006,0)))),"Fix")))</f>
        <v>0</v>
      </c>
      <c r="U373">
        <v>0</v>
      </c>
      <c r="V373">
        <v>0</v>
      </c>
      <c r="W373">
        <v>0</v>
      </c>
      <c r="X373">
        <f>IF(Y373,TRUE,AND(AB373:AQ373))</f>
        <v>0</v>
      </c>
      <c r="Y373">
        <f>COUNTBLANK(Metadata!B373:Q373)=COLUMNS(Metadata!B373:Q373)</f>
        <v>0</v>
      </c>
      <c r="Z373">
        <v>0</v>
      </c>
      <c r="AB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AC373">
        <f>AND(IF(Metadata!C373="",FALSE,TRUE),exact(Metadata!C373,"urban biome"))</f>
        <v>0</v>
      </c>
      <c r="AD373">
        <f>AND(IF(Metadata!D373="",FALSE,TRUE),exact(Metadata!D373,"human-associated habitat"))</f>
        <v>0</v>
      </c>
      <c r="AE373">
        <f>AND(IF(Metadata!E373="",FALSE,TRUE),OR(exact(Metadata!E373,"human-associated"),exact(Metadata!E373,"human-skin"),exact(Metadata!E373,"human-oral"),exact(Metadata!E373,"human-gut"),exact(Metadata!E373,"human-vaginal")))</f>
        <v>0</v>
      </c>
      <c r="AF373">
        <f>AND(IF(Metadata!F373="",FALSE,ISNUMBER(VALUE(Metadata!F373))),Metadata!F373&gt;0)</f>
        <v>0</v>
      </c>
      <c r="AG373">
        <f>AND(IF(Metadata!G373="",FALSE,TRUE),exact(Metadata!G373,"years"))</f>
        <v>0</v>
      </c>
      <c r="AH373">
        <f>OR(AND(IF(Metadata!H373="",FALSE,TRUE),OR(exact(Metadata!H373,"not applicable"),exact(Metadata!H373,"not collected"),exact(Metadata!H373,"not provided"),exact(Metadata!H373,"restricted access"))),AND(IF(Metadata!H373="",FALSE,ISNUMBER(VALUE(Metadata!H373))),Metadata!H373&gt;0))</f>
        <v>0</v>
      </c>
      <c r="AI373">
        <f>AND(IF(Metadata!I373="",FALSE,TRUE),exact(Metadata!I373,"human"))</f>
        <v>0</v>
      </c>
      <c r="AJ373">
        <f>AND(IF(Metadata!J373="",FALSE,ISNUMBER(VALUE(Metadata!J373))),Metadata!J373&gt;0)</f>
        <v>0</v>
      </c>
      <c r="AK373">
        <f>AND(IF(Metadata!K373="",FALSE,TRUE),exact(Metadata!K373,"cm"))</f>
        <v>0</v>
      </c>
      <c r="AL373">
        <f>AND(IF(Metadata!L373="",FALSE,TRUE),exact(Metadata!L373,"Homo sapiens"))</f>
        <v>0</v>
      </c>
      <c r="AM373">
        <f>AND(IF(Metadata!M373="",FALSE,TRUE),exact(Metadata!M373,"9606"))</f>
        <v>0</v>
      </c>
      <c r="AN373">
        <f>AND(IF(Metadata!N373="",FALSE,ISNUMBER(VALUE(Metadata!N373))),Metadata!N373&gt;0)</f>
        <v>0</v>
      </c>
      <c r="AO373">
        <f>AND(IF(Metadata!O373="",FALSE,TRUE),exact(Metadata!O373,"kg"))</f>
        <v>0</v>
      </c>
      <c r="AP373">
        <f>OR(AND(IF(Metadata!P373="",FALSE,TRUE),exact(Metadata!P373,"not provided")),IF(Metadata!P373="",FALSE,TRUE))</f>
        <v>0</v>
      </c>
      <c r="AQ373">
        <f>OR(AND(IF(Metadata!Q373="",FALSE,TRUE),exact(Metadata!Q373,"not provided")),IF(Metadata!Q373="",FALSE,TRUE))</f>
        <v>0</v>
      </c>
    </row>
    <row r="374" spans="1:43">
      <c r="A374" s="4">
        <f>IF(B374=" "," ",HYPERLINK(CONCATENATE("#metadata!",ADDRESS(INDEX($W$2:$W$1001,MATCH(ROWS($U$2:U374),$U$2:$U$1001,0),0),2)),INDEX($Z$2:$Z$1001,MATCH(ROWS($U$2:U374),$U$2:$U$1001,0),0)))</f>
        <v>0</v>
      </c>
      <c r="B374" s="5">
        <f>IF(OR(INDEX($V$2:$V$1001,MATCH(ROWS($U$2:U374),$U$2:$U$1001,0),1)&gt;=100000,INDEX($AB$1005:$AQ$1005,1,MATCH(COLUMNS($AB$1006:AB1006),$AB$1006:$AQ$1006,0))&gt;=100000), " ",IF(INDEX($AB$2:$AQ$1001,MATCH(ROWS($U$2:U374),$U$2:$U$1001,0),MATCH(COLUMNS($AB$1006:AB1006),$AB$1006:$AQ$1006,0)), HYPERLINK("#",""), HYPERLINK(CONCATENATE("#Metadata!", ADDRESS(INDEX($W$2:$W$1001,MATCH(ROWS($U$2:U374),$U$2:$U$1001,0),0), INDEX($AB$1004:$AQ$1004,1,MATCH(COLUMNS($AB$1006:AB1006),$AB$1006:$AQ$1006,0)))),"Fix")))</f>
        <v>0</v>
      </c>
      <c r="C374" s="5">
        <f>IF(OR(INDEX($V$2:$V$1001,MATCH(ROWS($U$2:U374),$U$2:$U$1001,0),1)&gt;=100000,INDEX($AB$1005:$AQ$1005,1,MATCH(COLUMNS($AB$1006:AC1006),$AB$1006:$AQ$1006,0))&gt;=100000), " ",IF(INDEX($AB$2:$AQ$1001,MATCH(ROWS($U$2:U374),$U$2:$U$1001,0),MATCH(COLUMNS($AB$1006:AC1006),$AB$1006:$AQ$1006,0)), HYPERLINK("#",""), HYPERLINK(CONCATENATE("#Metadata!", ADDRESS(INDEX($W$2:$W$1001,MATCH(ROWS($U$2:U374),$U$2:$U$1001,0),0), INDEX($AB$1004:$AQ$1004,1,MATCH(COLUMNS($AB$1006:AC1006),$AB$1006:$AQ$1006,0)))),"Fix")))</f>
        <v>0</v>
      </c>
      <c r="D374" s="5">
        <f>IF(OR(INDEX($V$2:$V$1001,MATCH(ROWS($U$2:U374),$U$2:$U$1001,0),1)&gt;=100000,INDEX($AB$1005:$AQ$1005,1,MATCH(COLUMNS($AB$1006:AD1006),$AB$1006:$AQ$1006,0))&gt;=100000), " ",IF(INDEX($AB$2:$AQ$1001,MATCH(ROWS($U$2:U374),$U$2:$U$1001,0),MATCH(COLUMNS($AB$1006:AD1006),$AB$1006:$AQ$1006,0)), HYPERLINK("#",""), HYPERLINK(CONCATENATE("#Metadata!", ADDRESS(INDEX($W$2:$W$1001,MATCH(ROWS($U$2:U374),$U$2:$U$1001,0),0), INDEX($AB$1004:$AQ$1004,1,MATCH(COLUMNS($AB$1006:AD1006),$AB$1006:$AQ$1006,0)))),"Fix")))</f>
        <v>0</v>
      </c>
      <c r="E374" s="5">
        <f>IF(OR(INDEX($V$2:$V$1001,MATCH(ROWS($U$2:U374),$U$2:$U$1001,0),1)&gt;=100000,INDEX($AB$1005:$AQ$1005,1,MATCH(COLUMNS($AB$1006:AE1006),$AB$1006:$AQ$1006,0))&gt;=100000), " ",IF(INDEX($AB$2:$AQ$1001,MATCH(ROWS($U$2:U374),$U$2:$U$1001,0),MATCH(COLUMNS($AB$1006:AE1006),$AB$1006:$AQ$1006,0)), HYPERLINK("#",""), HYPERLINK(CONCATENATE("#Metadata!", ADDRESS(INDEX($W$2:$W$1001,MATCH(ROWS($U$2:U374),$U$2:$U$1001,0),0), INDEX($AB$1004:$AQ$1004,1,MATCH(COLUMNS($AB$1006:AE1006),$AB$1006:$AQ$1006,0)))),"Fix")))</f>
        <v>0</v>
      </c>
      <c r="F374" s="5">
        <f>IF(OR(INDEX($V$2:$V$1001,MATCH(ROWS($U$2:U374),$U$2:$U$1001,0),1)&gt;=100000,INDEX($AB$1005:$AQ$1005,1,MATCH(COLUMNS($AB$1006:AF1006),$AB$1006:$AQ$1006,0))&gt;=100000), " ",IF(INDEX($AB$2:$AQ$1001,MATCH(ROWS($U$2:U374),$U$2:$U$1001,0),MATCH(COLUMNS($AB$1006:AF1006),$AB$1006:$AQ$1006,0)), HYPERLINK("#",""), HYPERLINK(CONCATENATE("#Metadata!", ADDRESS(INDEX($W$2:$W$1001,MATCH(ROWS($U$2:U374),$U$2:$U$1001,0),0), INDEX($AB$1004:$AQ$1004,1,MATCH(COLUMNS($AB$1006:AF1006),$AB$1006:$AQ$1006,0)))),"Fix")))</f>
        <v>0</v>
      </c>
      <c r="G374" s="5">
        <f>IF(OR(INDEX($V$2:$V$1001,MATCH(ROWS($U$2:U374),$U$2:$U$1001,0),1)&gt;=100000,INDEX($AB$1005:$AQ$1005,1,MATCH(COLUMNS($AB$1006:AG1006),$AB$1006:$AQ$1006,0))&gt;=100000), " ",IF(INDEX($AB$2:$AQ$1001,MATCH(ROWS($U$2:U374),$U$2:$U$1001,0),MATCH(COLUMNS($AB$1006:AG1006),$AB$1006:$AQ$1006,0)), HYPERLINK("#",""), HYPERLINK(CONCATENATE("#Metadata!", ADDRESS(INDEX($W$2:$W$1001,MATCH(ROWS($U$2:U374),$U$2:$U$1001,0),0), INDEX($AB$1004:$AQ$1004,1,MATCH(COLUMNS($AB$1006:AG1006),$AB$1006:$AQ$1006,0)))),"Fix")))</f>
        <v>0</v>
      </c>
      <c r="H374" s="5">
        <f>IF(OR(INDEX($V$2:$V$1001,MATCH(ROWS($U$2:U374),$U$2:$U$1001,0),1)&gt;=100000,INDEX($AB$1005:$AQ$1005,1,MATCH(COLUMNS($AB$1006:AH1006),$AB$1006:$AQ$1006,0))&gt;=100000), " ",IF(INDEX($AB$2:$AQ$1001,MATCH(ROWS($U$2:U374),$U$2:$U$1001,0),MATCH(COLUMNS($AB$1006:AH1006),$AB$1006:$AQ$1006,0)), HYPERLINK("#",""), HYPERLINK(CONCATENATE("#Metadata!", ADDRESS(INDEX($W$2:$W$1001,MATCH(ROWS($U$2:U374),$U$2:$U$1001,0),0), INDEX($AB$1004:$AQ$1004,1,MATCH(COLUMNS($AB$1006:AH1006),$AB$1006:$AQ$1006,0)))),"Fix")))</f>
        <v>0</v>
      </c>
      <c r="I374" s="5">
        <f>IF(OR(INDEX($V$2:$V$1001,MATCH(ROWS($U$2:U374),$U$2:$U$1001,0),1)&gt;=100000,INDEX($AB$1005:$AQ$1005,1,MATCH(COLUMNS($AB$1006:AI1006),$AB$1006:$AQ$1006,0))&gt;=100000), " ",IF(INDEX($AB$2:$AQ$1001,MATCH(ROWS($U$2:U374),$U$2:$U$1001,0),MATCH(COLUMNS($AB$1006:AI1006),$AB$1006:$AQ$1006,0)), HYPERLINK("#",""), HYPERLINK(CONCATENATE("#Metadata!", ADDRESS(INDEX($W$2:$W$1001,MATCH(ROWS($U$2:U374),$U$2:$U$1001,0),0), INDEX($AB$1004:$AQ$1004,1,MATCH(COLUMNS($AB$1006:AI1006),$AB$1006:$AQ$1006,0)))),"Fix")))</f>
        <v>0</v>
      </c>
      <c r="J374" s="5">
        <f>IF(OR(INDEX($V$2:$V$1001,MATCH(ROWS($U$2:U374),$U$2:$U$1001,0),1)&gt;=100000,INDEX($AB$1005:$AQ$1005,1,MATCH(COLUMNS($AB$1006:AJ1006),$AB$1006:$AQ$1006,0))&gt;=100000), " ",IF(INDEX($AB$2:$AQ$1001,MATCH(ROWS($U$2:U374),$U$2:$U$1001,0),MATCH(COLUMNS($AB$1006:AJ1006),$AB$1006:$AQ$1006,0)), HYPERLINK("#",""), HYPERLINK(CONCATENATE("#Metadata!", ADDRESS(INDEX($W$2:$W$1001,MATCH(ROWS($U$2:U374),$U$2:$U$1001,0),0), INDEX($AB$1004:$AQ$1004,1,MATCH(COLUMNS($AB$1006:AJ1006),$AB$1006:$AQ$1006,0)))),"Fix")))</f>
        <v>0</v>
      </c>
      <c r="K374" s="5">
        <f>IF(OR(INDEX($V$2:$V$1001,MATCH(ROWS($U$2:U374),$U$2:$U$1001,0),1)&gt;=100000,INDEX($AB$1005:$AQ$1005,1,MATCH(COLUMNS($AB$1006:AK1006),$AB$1006:$AQ$1006,0))&gt;=100000), " ",IF(INDEX($AB$2:$AQ$1001,MATCH(ROWS($U$2:U374),$U$2:$U$1001,0),MATCH(COLUMNS($AB$1006:AK1006),$AB$1006:$AQ$1006,0)), HYPERLINK("#",""), HYPERLINK(CONCATENATE("#Metadata!", ADDRESS(INDEX($W$2:$W$1001,MATCH(ROWS($U$2:U374),$U$2:$U$1001,0),0), INDEX($AB$1004:$AQ$1004,1,MATCH(COLUMNS($AB$1006:AK1006),$AB$1006:$AQ$1006,0)))),"Fix")))</f>
        <v>0</v>
      </c>
      <c r="L374" s="5">
        <f>IF(OR(INDEX($V$2:$V$1001,MATCH(ROWS($U$2:U374),$U$2:$U$1001,0),1)&gt;=100000,INDEX($AB$1005:$AQ$1005,1,MATCH(COLUMNS($AB$1006:AL1006),$AB$1006:$AQ$1006,0))&gt;=100000), " ",IF(INDEX($AB$2:$AQ$1001,MATCH(ROWS($U$2:U374),$U$2:$U$1001,0),MATCH(COLUMNS($AB$1006:AL1006),$AB$1006:$AQ$1006,0)), HYPERLINK("#",""), HYPERLINK(CONCATENATE("#Metadata!", ADDRESS(INDEX($W$2:$W$1001,MATCH(ROWS($U$2:U374),$U$2:$U$1001,0),0), INDEX($AB$1004:$AQ$1004,1,MATCH(COLUMNS($AB$1006:AL1006),$AB$1006:$AQ$1006,0)))),"Fix")))</f>
        <v>0</v>
      </c>
      <c r="M374" s="5">
        <f>IF(OR(INDEX($V$2:$V$1001,MATCH(ROWS($U$2:U374),$U$2:$U$1001,0),1)&gt;=100000,INDEX($AB$1005:$AQ$1005,1,MATCH(COLUMNS($AB$1006:AM1006),$AB$1006:$AQ$1006,0))&gt;=100000), " ",IF(INDEX($AB$2:$AQ$1001,MATCH(ROWS($U$2:U374),$U$2:$U$1001,0),MATCH(COLUMNS($AB$1006:AM1006),$AB$1006:$AQ$1006,0)), HYPERLINK("#",""), HYPERLINK(CONCATENATE("#Metadata!", ADDRESS(INDEX($W$2:$W$1001,MATCH(ROWS($U$2:U374),$U$2:$U$1001,0),0), INDEX($AB$1004:$AQ$1004,1,MATCH(COLUMNS($AB$1006:AM1006),$AB$1006:$AQ$1006,0)))),"Fix")))</f>
        <v>0</v>
      </c>
      <c r="N374" s="5">
        <f>IF(OR(INDEX($V$2:$V$1001,MATCH(ROWS($U$2:U374),$U$2:$U$1001,0),1)&gt;=100000,INDEX($AB$1005:$AQ$1005,1,MATCH(COLUMNS($AB$1006:AN1006),$AB$1006:$AQ$1006,0))&gt;=100000), " ",IF(INDEX($AB$2:$AQ$1001,MATCH(ROWS($U$2:U374),$U$2:$U$1001,0),MATCH(COLUMNS($AB$1006:AN1006),$AB$1006:$AQ$1006,0)), HYPERLINK("#",""), HYPERLINK(CONCATENATE("#Metadata!", ADDRESS(INDEX($W$2:$W$1001,MATCH(ROWS($U$2:U374),$U$2:$U$1001,0),0), INDEX($AB$1004:$AQ$1004,1,MATCH(COLUMNS($AB$1006:AN1006),$AB$1006:$AQ$1006,0)))),"Fix")))</f>
        <v>0</v>
      </c>
      <c r="O374" s="5">
        <f>IF(OR(INDEX($V$2:$V$1001,MATCH(ROWS($U$2:U374),$U$2:$U$1001,0),1)&gt;=100000,INDEX($AB$1005:$AQ$1005,1,MATCH(COLUMNS($AB$1006:AO1006),$AB$1006:$AQ$1006,0))&gt;=100000), " ",IF(INDEX($AB$2:$AQ$1001,MATCH(ROWS($U$2:U374),$U$2:$U$1001,0),MATCH(COLUMNS($AB$1006:AO1006),$AB$1006:$AQ$1006,0)), HYPERLINK("#",""), HYPERLINK(CONCATENATE("#Metadata!", ADDRESS(INDEX($W$2:$W$1001,MATCH(ROWS($U$2:U374),$U$2:$U$1001,0),0), INDEX($AB$1004:$AQ$1004,1,MATCH(COLUMNS($AB$1006:AO1006),$AB$1006:$AQ$1006,0)))),"Fix")))</f>
        <v>0</v>
      </c>
      <c r="P374" s="5">
        <f>IF(OR(INDEX($V$2:$V$1001,MATCH(ROWS($U$2:U374),$U$2:$U$1001,0),1)&gt;=100000,INDEX($AB$1005:$AQ$1005,1,MATCH(COLUMNS($AB$1006:AP1006),$AB$1006:$AQ$1006,0))&gt;=100000), " ",IF(INDEX($AB$2:$AQ$1001,MATCH(ROWS($U$2:U374),$U$2:$U$1001,0),MATCH(COLUMNS($AB$1006:AP1006),$AB$1006:$AQ$1006,0)), HYPERLINK("#",""), HYPERLINK(CONCATENATE("#Metadata!", ADDRESS(INDEX($W$2:$W$1001,MATCH(ROWS($U$2:U374),$U$2:$U$1001,0),0), INDEX($AB$1004:$AQ$1004,1,MATCH(COLUMNS($AB$1006:AP1006),$AB$1006:$AQ$1006,0)))),"Fix")))</f>
        <v>0</v>
      </c>
      <c r="Q374" s="5">
        <f>IF(OR(INDEX($V$2:$V$1001,MATCH(ROWS($U$2:U374),$U$2:$U$1001,0),1)&gt;=100000,INDEX($AB$1005:$AQ$1005,1,MATCH(COLUMNS($AB$1006:AQ1006),$AB$1006:$AQ$1006,0))&gt;=100000), " ",IF(INDEX($AB$2:$AQ$1001,MATCH(ROWS($U$2:U374),$U$2:$U$1001,0),MATCH(COLUMNS($AB$1006:AQ1006),$AB$1006:$AQ$1006,0)), HYPERLINK("#",""), HYPERLINK(CONCATENATE("#Metadata!", ADDRESS(INDEX($W$2:$W$1001,MATCH(ROWS($U$2:U374),$U$2:$U$1001,0),0), INDEX($AB$1004:$AQ$1004,1,MATCH(COLUMNS($AB$1006:AQ1006),$AB$1006:$AQ$1006,0)))),"Fix")))</f>
        <v>0</v>
      </c>
      <c r="U374">
        <v>0</v>
      </c>
      <c r="V374">
        <v>0</v>
      </c>
      <c r="W374">
        <v>0</v>
      </c>
      <c r="X374">
        <f>IF(Y374,TRUE,AND(AB374:AQ374))</f>
        <v>0</v>
      </c>
      <c r="Y374">
        <f>COUNTBLANK(Metadata!B374:Q374)=COLUMNS(Metadata!B374:Q374)</f>
        <v>0</v>
      </c>
      <c r="Z374">
        <v>0</v>
      </c>
      <c r="AB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AC374">
        <f>AND(IF(Metadata!C374="",FALSE,TRUE),exact(Metadata!C374,"urban biome"))</f>
        <v>0</v>
      </c>
      <c r="AD374">
        <f>AND(IF(Metadata!D374="",FALSE,TRUE),exact(Metadata!D374,"human-associated habitat"))</f>
        <v>0</v>
      </c>
      <c r="AE374">
        <f>AND(IF(Metadata!E374="",FALSE,TRUE),OR(exact(Metadata!E374,"human-associated"),exact(Metadata!E374,"human-skin"),exact(Metadata!E374,"human-oral"),exact(Metadata!E374,"human-gut"),exact(Metadata!E374,"human-vaginal")))</f>
        <v>0</v>
      </c>
      <c r="AF374">
        <f>AND(IF(Metadata!F374="",FALSE,ISNUMBER(VALUE(Metadata!F374))),Metadata!F374&gt;0)</f>
        <v>0</v>
      </c>
      <c r="AG374">
        <f>AND(IF(Metadata!G374="",FALSE,TRUE),exact(Metadata!G374,"years"))</f>
        <v>0</v>
      </c>
      <c r="AH374">
        <f>OR(AND(IF(Metadata!H374="",FALSE,TRUE),OR(exact(Metadata!H374,"not applicable"),exact(Metadata!H374,"not collected"),exact(Metadata!H374,"not provided"),exact(Metadata!H374,"restricted access"))),AND(IF(Metadata!H374="",FALSE,ISNUMBER(VALUE(Metadata!H374))),Metadata!H374&gt;0))</f>
        <v>0</v>
      </c>
      <c r="AI374">
        <f>AND(IF(Metadata!I374="",FALSE,TRUE),exact(Metadata!I374,"human"))</f>
        <v>0</v>
      </c>
      <c r="AJ374">
        <f>AND(IF(Metadata!J374="",FALSE,ISNUMBER(VALUE(Metadata!J374))),Metadata!J374&gt;0)</f>
        <v>0</v>
      </c>
      <c r="AK374">
        <f>AND(IF(Metadata!K374="",FALSE,TRUE),exact(Metadata!K374,"cm"))</f>
        <v>0</v>
      </c>
      <c r="AL374">
        <f>AND(IF(Metadata!L374="",FALSE,TRUE),exact(Metadata!L374,"Homo sapiens"))</f>
        <v>0</v>
      </c>
      <c r="AM374">
        <f>AND(IF(Metadata!M374="",FALSE,TRUE),exact(Metadata!M374,"9606"))</f>
        <v>0</v>
      </c>
      <c r="AN374">
        <f>AND(IF(Metadata!N374="",FALSE,ISNUMBER(VALUE(Metadata!N374))),Metadata!N374&gt;0)</f>
        <v>0</v>
      </c>
      <c r="AO374">
        <f>AND(IF(Metadata!O374="",FALSE,TRUE),exact(Metadata!O374,"kg"))</f>
        <v>0</v>
      </c>
      <c r="AP374">
        <f>OR(AND(IF(Metadata!P374="",FALSE,TRUE),exact(Metadata!P374,"not provided")),IF(Metadata!P374="",FALSE,TRUE))</f>
        <v>0</v>
      </c>
      <c r="AQ374">
        <f>OR(AND(IF(Metadata!Q374="",FALSE,TRUE),exact(Metadata!Q374,"not provided")),IF(Metadata!Q374="",FALSE,TRUE))</f>
        <v>0</v>
      </c>
    </row>
    <row r="375" spans="1:43">
      <c r="A375" s="4">
        <f>IF(B375=" "," ",HYPERLINK(CONCATENATE("#metadata!",ADDRESS(INDEX($W$2:$W$1001,MATCH(ROWS($U$2:U375),$U$2:$U$1001,0),0),2)),INDEX($Z$2:$Z$1001,MATCH(ROWS($U$2:U375),$U$2:$U$1001,0),0)))</f>
        <v>0</v>
      </c>
      <c r="B375" s="5">
        <f>IF(OR(INDEX($V$2:$V$1001,MATCH(ROWS($U$2:U375),$U$2:$U$1001,0),1)&gt;=100000,INDEX($AB$1005:$AQ$1005,1,MATCH(COLUMNS($AB$1006:AB1006),$AB$1006:$AQ$1006,0))&gt;=100000), " ",IF(INDEX($AB$2:$AQ$1001,MATCH(ROWS($U$2:U375),$U$2:$U$1001,0),MATCH(COLUMNS($AB$1006:AB1006),$AB$1006:$AQ$1006,0)), HYPERLINK("#",""), HYPERLINK(CONCATENATE("#Metadata!", ADDRESS(INDEX($W$2:$W$1001,MATCH(ROWS($U$2:U375),$U$2:$U$1001,0),0), INDEX($AB$1004:$AQ$1004,1,MATCH(COLUMNS($AB$1006:AB1006),$AB$1006:$AQ$1006,0)))),"Fix")))</f>
        <v>0</v>
      </c>
      <c r="C375" s="5">
        <f>IF(OR(INDEX($V$2:$V$1001,MATCH(ROWS($U$2:U375),$U$2:$U$1001,0),1)&gt;=100000,INDEX($AB$1005:$AQ$1005,1,MATCH(COLUMNS($AB$1006:AC1006),$AB$1006:$AQ$1006,0))&gt;=100000), " ",IF(INDEX($AB$2:$AQ$1001,MATCH(ROWS($U$2:U375),$U$2:$U$1001,0),MATCH(COLUMNS($AB$1006:AC1006),$AB$1006:$AQ$1006,0)), HYPERLINK("#",""), HYPERLINK(CONCATENATE("#Metadata!", ADDRESS(INDEX($W$2:$W$1001,MATCH(ROWS($U$2:U375),$U$2:$U$1001,0),0), INDEX($AB$1004:$AQ$1004,1,MATCH(COLUMNS($AB$1006:AC1006),$AB$1006:$AQ$1006,0)))),"Fix")))</f>
        <v>0</v>
      </c>
      <c r="D375" s="5">
        <f>IF(OR(INDEX($V$2:$V$1001,MATCH(ROWS($U$2:U375),$U$2:$U$1001,0),1)&gt;=100000,INDEX($AB$1005:$AQ$1005,1,MATCH(COLUMNS($AB$1006:AD1006),$AB$1006:$AQ$1006,0))&gt;=100000), " ",IF(INDEX($AB$2:$AQ$1001,MATCH(ROWS($U$2:U375),$U$2:$U$1001,0),MATCH(COLUMNS($AB$1006:AD1006),$AB$1006:$AQ$1006,0)), HYPERLINK("#",""), HYPERLINK(CONCATENATE("#Metadata!", ADDRESS(INDEX($W$2:$W$1001,MATCH(ROWS($U$2:U375),$U$2:$U$1001,0),0), INDEX($AB$1004:$AQ$1004,1,MATCH(COLUMNS($AB$1006:AD1006),$AB$1006:$AQ$1006,0)))),"Fix")))</f>
        <v>0</v>
      </c>
      <c r="E375" s="5">
        <f>IF(OR(INDEX($V$2:$V$1001,MATCH(ROWS($U$2:U375),$U$2:$U$1001,0),1)&gt;=100000,INDEX($AB$1005:$AQ$1005,1,MATCH(COLUMNS($AB$1006:AE1006),$AB$1006:$AQ$1006,0))&gt;=100000), " ",IF(INDEX($AB$2:$AQ$1001,MATCH(ROWS($U$2:U375),$U$2:$U$1001,0),MATCH(COLUMNS($AB$1006:AE1006),$AB$1006:$AQ$1006,0)), HYPERLINK("#",""), HYPERLINK(CONCATENATE("#Metadata!", ADDRESS(INDEX($W$2:$W$1001,MATCH(ROWS($U$2:U375),$U$2:$U$1001,0),0), INDEX($AB$1004:$AQ$1004,1,MATCH(COLUMNS($AB$1006:AE1006),$AB$1006:$AQ$1006,0)))),"Fix")))</f>
        <v>0</v>
      </c>
      <c r="F375" s="5">
        <f>IF(OR(INDEX($V$2:$V$1001,MATCH(ROWS($U$2:U375),$U$2:$U$1001,0),1)&gt;=100000,INDEX($AB$1005:$AQ$1005,1,MATCH(COLUMNS($AB$1006:AF1006),$AB$1006:$AQ$1006,0))&gt;=100000), " ",IF(INDEX($AB$2:$AQ$1001,MATCH(ROWS($U$2:U375),$U$2:$U$1001,0),MATCH(COLUMNS($AB$1006:AF1006),$AB$1006:$AQ$1006,0)), HYPERLINK("#",""), HYPERLINK(CONCATENATE("#Metadata!", ADDRESS(INDEX($W$2:$W$1001,MATCH(ROWS($U$2:U375),$U$2:$U$1001,0),0), INDEX($AB$1004:$AQ$1004,1,MATCH(COLUMNS($AB$1006:AF1006),$AB$1006:$AQ$1006,0)))),"Fix")))</f>
        <v>0</v>
      </c>
      <c r="G375" s="5">
        <f>IF(OR(INDEX($V$2:$V$1001,MATCH(ROWS($U$2:U375),$U$2:$U$1001,0),1)&gt;=100000,INDEX($AB$1005:$AQ$1005,1,MATCH(COLUMNS($AB$1006:AG1006),$AB$1006:$AQ$1006,0))&gt;=100000), " ",IF(INDEX($AB$2:$AQ$1001,MATCH(ROWS($U$2:U375),$U$2:$U$1001,0),MATCH(COLUMNS($AB$1006:AG1006),$AB$1006:$AQ$1006,0)), HYPERLINK("#",""), HYPERLINK(CONCATENATE("#Metadata!", ADDRESS(INDEX($W$2:$W$1001,MATCH(ROWS($U$2:U375),$U$2:$U$1001,0),0), INDEX($AB$1004:$AQ$1004,1,MATCH(COLUMNS($AB$1006:AG1006),$AB$1006:$AQ$1006,0)))),"Fix")))</f>
        <v>0</v>
      </c>
      <c r="H375" s="5">
        <f>IF(OR(INDEX($V$2:$V$1001,MATCH(ROWS($U$2:U375),$U$2:$U$1001,0),1)&gt;=100000,INDEX($AB$1005:$AQ$1005,1,MATCH(COLUMNS($AB$1006:AH1006),$AB$1006:$AQ$1006,0))&gt;=100000), " ",IF(INDEX($AB$2:$AQ$1001,MATCH(ROWS($U$2:U375),$U$2:$U$1001,0),MATCH(COLUMNS($AB$1006:AH1006),$AB$1006:$AQ$1006,0)), HYPERLINK("#",""), HYPERLINK(CONCATENATE("#Metadata!", ADDRESS(INDEX($W$2:$W$1001,MATCH(ROWS($U$2:U375),$U$2:$U$1001,0),0), INDEX($AB$1004:$AQ$1004,1,MATCH(COLUMNS($AB$1006:AH1006),$AB$1006:$AQ$1006,0)))),"Fix")))</f>
        <v>0</v>
      </c>
      <c r="I375" s="5">
        <f>IF(OR(INDEX($V$2:$V$1001,MATCH(ROWS($U$2:U375),$U$2:$U$1001,0),1)&gt;=100000,INDEX($AB$1005:$AQ$1005,1,MATCH(COLUMNS($AB$1006:AI1006),$AB$1006:$AQ$1006,0))&gt;=100000), " ",IF(INDEX($AB$2:$AQ$1001,MATCH(ROWS($U$2:U375),$U$2:$U$1001,0),MATCH(COLUMNS($AB$1006:AI1006),$AB$1006:$AQ$1006,0)), HYPERLINK("#",""), HYPERLINK(CONCATENATE("#Metadata!", ADDRESS(INDEX($W$2:$W$1001,MATCH(ROWS($U$2:U375),$U$2:$U$1001,0),0), INDEX($AB$1004:$AQ$1004,1,MATCH(COLUMNS($AB$1006:AI1006),$AB$1006:$AQ$1006,0)))),"Fix")))</f>
        <v>0</v>
      </c>
      <c r="J375" s="5">
        <f>IF(OR(INDEX($V$2:$V$1001,MATCH(ROWS($U$2:U375),$U$2:$U$1001,0),1)&gt;=100000,INDEX($AB$1005:$AQ$1005,1,MATCH(COLUMNS($AB$1006:AJ1006),$AB$1006:$AQ$1006,0))&gt;=100000), " ",IF(INDEX($AB$2:$AQ$1001,MATCH(ROWS($U$2:U375),$U$2:$U$1001,0),MATCH(COLUMNS($AB$1006:AJ1006),$AB$1006:$AQ$1006,0)), HYPERLINK("#",""), HYPERLINK(CONCATENATE("#Metadata!", ADDRESS(INDEX($W$2:$W$1001,MATCH(ROWS($U$2:U375),$U$2:$U$1001,0),0), INDEX($AB$1004:$AQ$1004,1,MATCH(COLUMNS($AB$1006:AJ1006),$AB$1006:$AQ$1006,0)))),"Fix")))</f>
        <v>0</v>
      </c>
      <c r="K375" s="5">
        <f>IF(OR(INDEX($V$2:$V$1001,MATCH(ROWS($U$2:U375),$U$2:$U$1001,0),1)&gt;=100000,INDEX($AB$1005:$AQ$1005,1,MATCH(COLUMNS($AB$1006:AK1006),$AB$1006:$AQ$1006,0))&gt;=100000), " ",IF(INDEX($AB$2:$AQ$1001,MATCH(ROWS($U$2:U375),$U$2:$U$1001,0),MATCH(COLUMNS($AB$1006:AK1006),$AB$1006:$AQ$1006,0)), HYPERLINK("#",""), HYPERLINK(CONCATENATE("#Metadata!", ADDRESS(INDEX($W$2:$W$1001,MATCH(ROWS($U$2:U375),$U$2:$U$1001,0),0), INDEX($AB$1004:$AQ$1004,1,MATCH(COLUMNS($AB$1006:AK1006),$AB$1006:$AQ$1006,0)))),"Fix")))</f>
        <v>0</v>
      </c>
      <c r="L375" s="5">
        <f>IF(OR(INDEX($V$2:$V$1001,MATCH(ROWS($U$2:U375),$U$2:$U$1001,0),1)&gt;=100000,INDEX($AB$1005:$AQ$1005,1,MATCH(COLUMNS($AB$1006:AL1006),$AB$1006:$AQ$1006,0))&gt;=100000), " ",IF(INDEX($AB$2:$AQ$1001,MATCH(ROWS($U$2:U375),$U$2:$U$1001,0),MATCH(COLUMNS($AB$1006:AL1006),$AB$1006:$AQ$1006,0)), HYPERLINK("#",""), HYPERLINK(CONCATENATE("#Metadata!", ADDRESS(INDEX($W$2:$W$1001,MATCH(ROWS($U$2:U375),$U$2:$U$1001,0),0), INDEX($AB$1004:$AQ$1004,1,MATCH(COLUMNS($AB$1006:AL1006),$AB$1006:$AQ$1006,0)))),"Fix")))</f>
        <v>0</v>
      </c>
      <c r="M375" s="5">
        <f>IF(OR(INDEX($V$2:$V$1001,MATCH(ROWS($U$2:U375),$U$2:$U$1001,0),1)&gt;=100000,INDEX($AB$1005:$AQ$1005,1,MATCH(COLUMNS($AB$1006:AM1006),$AB$1006:$AQ$1006,0))&gt;=100000), " ",IF(INDEX($AB$2:$AQ$1001,MATCH(ROWS($U$2:U375),$U$2:$U$1001,0),MATCH(COLUMNS($AB$1006:AM1006),$AB$1006:$AQ$1006,0)), HYPERLINK("#",""), HYPERLINK(CONCATENATE("#Metadata!", ADDRESS(INDEX($W$2:$W$1001,MATCH(ROWS($U$2:U375),$U$2:$U$1001,0),0), INDEX($AB$1004:$AQ$1004,1,MATCH(COLUMNS($AB$1006:AM1006),$AB$1006:$AQ$1006,0)))),"Fix")))</f>
        <v>0</v>
      </c>
      <c r="N375" s="5">
        <f>IF(OR(INDEX($V$2:$V$1001,MATCH(ROWS($U$2:U375),$U$2:$U$1001,0),1)&gt;=100000,INDEX($AB$1005:$AQ$1005,1,MATCH(COLUMNS($AB$1006:AN1006),$AB$1006:$AQ$1006,0))&gt;=100000), " ",IF(INDEX($AB$2:$AQ$1001,MATCH(ROWS($U$2:U375),$U$2:$U$1001,0),MATCH(COLUMNS($AB$1006:AN1006),$AB$1006:$AQ$1006,0)), HYPERLINK("#",""), HYPERLINK(CONCATENATE("#Metadata!", ADDRESS(INDEX($W$2:$W$1001,MATCH(ROWS($U$2:U375),$U$2:$U$1001,0),0), INDEX($AB$1004:$AQ$1004,1,MATCH(COLUMNS($AB$1006:AN1006),$AB$1006:$AQ$1006,0)))),"Fix")))</f>
        <v>0</v>
      </c>
      <c r="O375" s="5">
        <f>IF(OR(INDEX($V$2:$V$1001,MATCH(ROWS($U$2:U375),$U$2:$U$1001,0),1)&gt;=100000,INDEX($AB$1005:$AQ$1005,1,MATCH(COLUMNS($AB$1006:AO1006),$AB$1006:$AQ$1006,0))&gt;=100000), " ",IF(INDEX($AB$2:$AQ$1001,MATCH(ROWS($U$2:U375),$U$2:$U$1001,0),MATCH(COLUMNS($AB$1006:AO1006),$AB$1006:$AQ$1006,0)), HYPERLINK("#",""), HYPERLINK(CONCATENATE("#Metadata!", ADDRESS(INDEX($W$2:$W$1001,MATCH(ROWS($U$2:U375),$U$2:$U$1001,0),0), INDEX($AB$1004:$AQ$1004,1,MATCH(COLUMNS($AB$1006:AO1006),$AB$1006:$AQ$1006,0)))),"Fix")))</f>
        <v>0</v>
      </c>
      <c r="P375" s="5">
        <f>IF(OR(INDEX($V$2:$V$1001,MATCH(ROWS($U$2:U375),$U$2:$U$1001,0),1)&gt;=100000,INDEX($AB$1005:$AQ$1005,1,MATCH(COLUMNS($AB$1006:AP1006),$AB$1006:$AQ$1006,0))&gt;=100000), " ",IF(INDEX($AB$2:$AQ$1001,MATCH(ROWS($U$2:U375),$U$2:$U$1001,0),MATCH(COLUMNS($AB$1006:AP1006),$AB$1006:$AQ$1006,0)), HYPERLINK("#",""), HYPERLINK(CONCATENATE("#Metadata!", ADDRESS(INDEX($W$2:$W$1001,MATCH(ROWS($U$2:U375),$U$2:$U$1001,0),0), INDEX($AB$1004:$AQ$1004,1,MATCH(COLUMNS($AB$1006:AP1006),$AB$1006:$AQ$1006,0)))),"Fix")))</f>
        <v>0</v>
      </c>
      <c r="Q375" s="5">
        <f>IF(OR(INDEX($V$2:$V$1001,MATCH(ROWS($U$2:U375),$U$2:$U$1001,0),1)&gt;=100000,INDEX($AB$1005:$AQ$1005,1,MATCH(COLUMNS($AB$1006:AQ1006),$AB$1006:$AQ$1006,0))&gt;=100000), " ",IF(INDEX($AB$2:$AQ$1001,MATCH(ROWS($U$2:U375),$U$2:$U$1001,0),MATCH(COLUMNS($AB$1006:AQ1006),$AB$1006:$AQ$1006,0)), HYPERLINK("#",""), HYPERLINK(CONCATENATE("#Metadata!", ADDRESS(INDEX($W$2:$W$1001,MATCH(ROWS($U$2:U375),$U$2:$U$1001,0),0), INDEX($AB$1004:$AQ$1004,1,MATCH(COLUMNS($AB$1006:AQ1006),$AB$1006:$AQ$1006,0)))),"Fix")))</f>
        <v>0</v>
      </c>
      <c r="U375">
        <v>0</v>
      </c>
      <c r="V375">
        <v>0</v>
      </c>
      <c r="W375">
        <v>0</v>
      </c>
      <c r="X375">
        <f>IF(Y375,TRUE,AND(AB375:AQ375))</f>
        <v>0</v>
      </c>
      <c r="Y375">
        <f>COUNTBLANK(Metadata!B375:Q375)=COLUMNS(Metadata!B375:Q375)</f>
        <v>0</v>
      </c>
      <c r="Z375">
        <v>0</v>
      </c>
      <c r="AB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AC375">
        <f>AND(IF(Metadata!C375="",FALSE,TRUE),exact(Metadata!C375,"urban biome"))</f>
        <v>0</v>
      </c>
      <c r="AD375">
        <f>AND(IF(Metadata!D375="",FALSE,TRUE),exact(Metadata!D375,"human-associated habitat"))</f>
        <v>0</v>
      </c>
      <c r="AE375">
        <f>AND(IF(Metadata!E375="",FALSE,TRUE),OR(exact(Metadata!E375,"human-associated"),exact(Metadata!E375,"human-skin"),exact(Metadata!E375,"human-oral"),exact(Metadata!E375,"human-gut"),exact(Metadata!E375,"human-vaginal")))</f>
        <v>0</v>
      </c>
      <c r="AF375">
        <f>AND(IF(Metadata!F375="",FALSE,ISNUMBER(VALUE(Metadata!F375))),Metadata!F375&gt;0)</f>
        <v>0</v>
      </c>
      <c r="AG375">
        <f>AND(IF(Metadata!G375="",FALSE,TRUE),exact(Metadata!G375,"years"))</f>
        <v>0</v>
      </c>
      <c r="AH375">
        <f>OR(AND(IF(Metadata!H375="",FALSE,TRUE),OR(exact(Metadata!H375,"not applicable"),exact(Metadata!H375,"not collected"),exact(Metadata!H375,"not provided"),exact(Metadata!H375,"restricted access"))),AND(IF(Metadata!H375="",FALSE,ISNUMBER(VALUE(Metadata!H375))),Metadata!H375&gt;0))</f>
        <v>0</v>
      </c>
      <c r="AI375">
        <f>AND(IF(Metadata!I375="",FALSE,TRUE),exact(Metadata!I375,"human"))</f>
        <v>0</v>
      </c>
      <c r="AJ375">
        <f>AND(IF(Metadata!J375="",FALSE,ISNUMBER(VALUE(Metadata!J375))),Metadata!J375&gt;0)</f>
        <v>0</v>
      </c>
      <c r="AK375">
        <f>AND(IF(Metadata!K375="",FALSE,TRUE),exact(Metadata!K375,"cm"))</f>
        <v>0</v>
      </c>
      <c r="AL375">
        <f>AND(IF(Metadata!L375="",FALSE,TRUE),exact(Metadata!L375,"Homo sapiens"))</f>
        <v>0</v>
      </c>
      <c r="AM375">
        <f>AND(IF(Metadata!M375="",FALSE,TRUE),exact(Metadata!M375,"9606"))</f>
        <v>0</v>
      </c>
      <c r="AN375">
        <f>AND(IF(Metadata!N375="",FALSE,ISNUMBER(VALUE(Metadata!N375))),Metadata!N375&gt;0)</f>
        <v>0</v>
      </c>
      <c r="AO375">
        <f>AND(IF(Metadata!O375="",FALSE,TRUE),exact(Metadata!O375,"kg"))</f>
        <v>0</v>
      </c>
      <c r="AP375">
        <f>OR(AND(IF(Metadata!P375="",FALSE,TRUE),exact(Metadata!P375,"not provided")),IF(Metadata!P375="",FALSE,TRUE))</f>
        <v>0</v>
      </c>
      <c r="AQ375">
        <f>OR(AND(IF(Metadata!Q375="",FALSE,TRUE),exact(Metadata!Q375,"not provided")),IF(Metadata!Q375="",FALSE,TRUE))</f>
        <v>0</v>
      </c>
    </row>
    <row r="376" spans="1:43">
      <c r="A376" s="4">
        <f>IF(B376=" "," ",HYPERLINK(CONCATENATE("#metadata!",ADDRESS(INDEX($W$2:$W$1001,MATCH(ROWS($U$2:U376),$U$2:$U$1001,0),0),2)),INDEX($Z$2:$Z$1001,MATCH(ROWS($U$2:U376),$U$2:$U$1001,0),0)))</f>
        <v>0</v>
      </c>
      <c r="B376" s="5">
        <f>IF(OR(INDEX($V$2:$V$1001,MATCH(ROWS($U$2:U376),$U$2:$U$1001,0),1)&gt;=100000,INDEX($AB$1005:$AQ$1005,1,MATCH(COLUMNS($AB$1006:AB1006),$AB$1006:$AQ$1006,0))&gt;=100000), " ",IF(INDEX($AB$2:$AQ$1001,MATCH(ROWS($U$2:U376),$U$2:$U$1001,0),MATCH(COLUMNS($AB$1006:AB1006),$AB$1006:$AQ$1006,0)), HYPERLINK("#",""), HYPERLINK(CONCATENATE("#Metadata!", ADDRESS(INDEX($W$2:$W$1001,MATCH(ROWS($U$2:U376),$U$2:$U$1001,0),0), INDEX($AB$1004:$AQ$1004,1,MATCH(COLUMNS($AB$1006:AB1006),$AB$1006:$AQ$1006,0)))),"Fix")))</f>
        <v>0</v>
      </c>
      <c r="C376" s="5">
        <f>IF(OR(INDEX($V$2:$V$1001,MATCH(ROWS($U$2:U376),$U$2:$U$1001,0),1)&gt;=100000,INDEX($AB$1005:$AQ$1005,1,MATCH(COLUMNS($AB$1006:AC1006),$AB$1006:$AQ$1006,0))&gt;=100000), " ",IF(INDEX($AB$2:$AQ$1001,MATCH(ROWS($U$2:U376),$U$2:$U$1001,0),MATCH(COLUMNS($AB$1006:AC1006),$AB$1006:$AQ$1006,0)), HYPERLINK("#",""), HYPERLINK(CONCATENATE("#Metadata!", ADDRESS(INDEX($W$2:$W$1001,MATCH(ROWS($U$2:U376),$U$2:$U$1001,0),0), INDEX($AB$1004:$AQ$1004,1,MATCH(COLUMNS($AB$1006:AC1006),$AB$1006:$AQ$1006,0)))),"Fix")))</f>
        <v>0</v>
      </c>
      <c r="D376" s="5">
        <f>IF(OR(INDEX($V$2:$V$1001,MATCH(ROWS($U$2:U376),$U$2:$U$1001,0),1)&gt;=100000,INDEX($AB$1005:$AQ$1005,1,MATCH(COLUMNS($AB$1006:AD1006),$AB$1006:$AQ$1006,0))&gt;=100000), " ",IF(INDEX($AB$2:$AQ$1001,MATCH(ROWS($U$2:U376),$U$2:$U$1001,0),MATCH(COLUMNS($AB$1006:AD1006),$AB$1006:$AQ$1006,0)), HYPERLINK("#",""), HYPERLINK(CONCATENATE("#Metadata!", ADDRESS(INDEX($W$2:$W$1001,MATCH(ROWS($U$2:U376),$U$2:$U$1001,0),0), INDEX($AB$1004:$AQ$1004,1,MATCH(COLUMNS($AB$1006:AD1006),$AB$1006:$AQ$1006,0)))),"Fix")))</f>
        <v>0</v>
      </c>
      <c r="E376" s="5">
        <f>IF(OR(INDEX($V$2:$V$1001,MATCH(ROWS($U$2:U376),$U$2:$U$1001,0),1)&gt;=100000,INDEX($AB$1005:$AQ$1005,1,MATCH(COLUMNS($AB$1006:AE1006),$AB$1006:$AQ$1006,0))&gt;=100000), " ",IF(INDEX($AB$2:$AQ$1001,MATCH(ROWS($U$2:U376),$U$2:$U$1001,0),MATCH(COLUMNS($AB$1006:AE1006),$AB$1006:$AQ$1006,0)), HYPERLINK("#",""), HYPERLINK(CONCATENATE("#Metadata!", ADDRESS(INDEX($W$2:$W$1001,MATCH(ROWS($U$2:U376),$U$2:$U$1001,0),0), INDEX($AB$1004:$AQ$1004,1,MATCH(COLUMNS($AB$1006:AE1006),$AB$1006:$AQ$1006,0)))),"Fix")))</f>
        <v>0</v>
      </c>
      <c r="F376" s="5">
        <f>IF(OR(INDEX($V$2:$V$1001,MATCH(ROWS($U$2:U376),$U$2:$U$1001,0),1)&gt;=100000,INDEX($AB$1005:$AQ$1005,1,MATCH(COLUMNS($AB$1006:AF1006),$AB$1006:$AQ$1006,0))&gt;=100000), " ",IF(INDEX($AB$2:$AQ$1001,MATCH(ROWS($U$2:U376),$U$2:$U$1001,0),MATCH(COLUMNS($AB$1006:AF1006),$AB$1006:$AQ$1006,0)), HYPERLINK("#",""), HYPERLINK(CONCATENATE("#Metadata!", ADDRESS(INDEX($W$2:$W$1001,MATCH(ROWS($U$2:U376),$U$2:$U$1001,0),0), INDEX($AB$1004:$AQ$1004,1,MATCH(COLUMNS($AB$1006:AF1006),$AB$1006:$AQ$1006,0)))),"Fix")))</f>
        <v>0</v>
      </c>
      <c r="G376" s="5">
        <f>IF(OR(INDEX($V$2:$V$1001,MATCH(ROWS($U$2:U376),$U$2:$U$1001,0),1)&gt;=100000,INDEX($AB$1005:$AQ$1005,1,MATCH(COLUMNS($AB$1006:AG1006),$AB$1006:$AQ$1006,0))&gt;=100000), " ",IF(INDEX($AB$2:$AQ$1001,MATCH(ROWS($U$2:U376),$U$2:$U$1001,0),MATCH(COLUMNS($AB$1006:AG1006),$AB$1006:$AQ$1006,0)), HYPERLINK("#",""), HYPERLINK(CONCATENATE("#Metadata!", ADDRESS(INDEX($W$2:$W$1001,MATCH(ROWS($U$2:U376),$U$2:$U$1001,0),0), INDEX($AB$1004:$AQ$1004,1,MATCH(COLUMNS($AB$1006:AG1006),$AB$1006:$AQ$1006,0)))),"Fix")))</f>
        <v>0</v>
      </c>
      <c r="H376" s="5">
        <f>IF(OR(INDEX($V$2:$V$1001,MATCH(ROWS($U$2:U376),$U$2:$U$1001,0),1)&gt;=100000,INDEX($AB$1005:$AQ$1005,1,MATCH(COLUMNS($AB$1006:AH1006),$AB$1006:$AQ$1006,0))&gt;=100000), " ",IF(INDEX($AB$2:$AQ$1001,MATCH(ROWS($U$2:U376),$U$2:$U$1001,0),MATCH(COLUMNS($AB$1006:AH1006),$AB$1006:$AQ$1006,0)), HYPERLINK("#",""), HYPERLINK(CONCATENATE("#Metadata!", ADDRESS(INDEX($W$2:$W$1001,MATCH(ROWS($U$2:U376),$U$2:$U$1001,0),0), INDEX($AB$1004:$AQ$1004,1,MATCH(COLUMNS($AB$1006:AH1006),$AB$1006:$AQ$1006,0)))),"Fix")))</f>
        <v>0</v>
      </c>
      <c r="I376" s="5">
        <f>IF(OR(INDEX($V$2:$V$1001,MATCH(ROWS($U$2:U376),$U$2:$U$1001,0),1)&gt;=100000,INDEX($AB$1005:$AQ$1005,1,MATCH(COLUMNS($AB$1006:AI1006),$AB$1006:$AQ$1006,0))&gt;=100000), " ",IF(INDEX($AB$2:$AQ$1001,MATCH(ROWS($U$2:U376),$U$2:$U$1001,0),MATCH(COLUMNS($AB$1006:AI1006),$AB$1006:$AQ$1006,0)), HYPERLINK("#",""), HYPERLINK(CONCATENATE("#Metadata!", ADDRESS(INDEX($W$2:$W$1001,MATCH(ROWS($U$2:U376),$U$2:$U$1001,0),0), INDEX($AB$1004:$AQ$1004,1,MATCH(COLUMNS($AB$1006:AI1006),$AB$1006:$AQ$1006,0)))),"Fix")))</f>
        <v>0</v>
      </c>
      <c r="J376" s="5">
        <f>IF(OR(INDEX($V$2:$V$1001,MATCH(ROWS($U$2:U376),$U$2:$U$1001,0),1)&gt;=100000,INDEX($AB$1005:$AQ$1005,1,MATCH(COLUMNS($AB$1006:AJ1006),$AB$1006:$AQ$1006,0))&gt;=100000), " ",IF(INDEX($AB$2:$AQ$1001,MATCH(ROWS($U$2:U376),$U$2:$U$1001,0),MATCH(COLUMNS($AB$1006:AJ1006),$AB$1006:$AQ$1006,0)), HYPERLINK("#",""), HYPERLINK(CONCATENATE("#Metadata!", ADDRESS(INDEX($W$2:$W$1001,MATCH(ROWS($U$2:U376),$U$2:$U$1001,0),0), INDEX($AB$1004:$AQ$1004,1,MATCH(COLUMNS($AB$1006:AJ1006),$AB$1006:$AQ$1006,0)))),"Fix")))</f>
        <v>0</v>
      </c>
      <c r="K376" s="5">
        <f>IF(OR(INDEX($V$2:$V$1001,MATCH(ROWS($U$2:U376),$U$2:$U$1001,0),1)&gt;=100000,INDEX($AB$1005:$AQ$1005,1,MATCH(COLUMNS($AB$1006:AK1006),$AB$1006:$AQ$1006,0))&gt;=100000), " ",IF(INDEX($AB$2:$AQ$1001,MATCH(ROWS($U$2:U376),$U$2:$U$1001,0),MATCH(COLUMNS($AB$1006:AK1006),$AB$1006:$AQ$1006,0)), HYPERLINK("#",""), HYPERLINK(CONCATENATE("#Metadata!", ADDRESS(INDEX($W$2:$W$1001,MATCH(ROWS($U$2:U376),$U$2:$U$1001,0),0), INDEX($AB$1004:$AQ$1004,1,MATCH(COLUMNS($AB$1006:AK1006),$AB$1006:$AQ$1006,0)))),"Fix")))</f>
        <v>0</v>
      </c>
      <c r="L376" s="5">
        <f>IF(OR(INDEX($V$2:$V$1001,MATCH(ROWS($U$2:U376),$U$2:$U$1001,0),1)&gt;=100000,INDEX($AB$1005:$AQ$1005,1,MATCH(COLUMNS($AB$1006:AL1006),$AB$1006:$AQ$1006,0))&gt;=100000), " ",IF(INDEX($AB$2:$AQ$1001,MATCH(ROWS($U$2:U376),$U$2:$U$1001,0),MATCH(COLUMNS($AB$1006:AL1006),$AB$1006:$AQ$1006,0)), HYPERLINK("#",""), HYPERLINK(CONCATENATE("#Metadata!", ADDRESS(INDEX($W$2:$W$1001,MATCH(ROWS($U$2:U376),$U$2:$U$1001,0),0), INDEX($AB$1004:$AQ$1004,1,MATCH(COLUMNS($AB$1006:AL1006),$AB$1006:$AQ$1006,0)))),"Fix")))</f>
        <v>0</v>
      </c>
      <c r="M376" s="5">
        <f>IF(OR(INDEX($V$2:$V$1001,MATCH(ROWS($U$2:U376),$U$2:$U$1001,0),1)&gt;=100000,INDEX($AB$1005:$AQ$1005,1,MATCH(COLUMNS($AB$1006:AM1006),$AB$1006:$AQ$1006,0))&gt;=100000), " ",IF(INDEX($AB$2:$AQ$1001,MATCH(ROWS($U$2:U376),$U$2:$U$1001,0),MATCH(COLUMNS($AB$1006:AM1006),$AB$1006:$AQ$1006,0)), HYPERLINK("#",""), HYPERLINK(CONCATENATE("#Metadata!", ADDRESS(INDEX($W$2:$W$1001,MATCH(ROWS($U$2:U376),$U$2:$U$1001,0),0), INDEX($AB$1004:$AQ$1004,1,MATCH(COLUMNS($AB$1006:AM1006),$AB$1006:$AQ$1006,0)))),"Fix")))</f>
        <v>0</v>
      </c>
      <c r="N376" s="5">
        <f>IF(OR(INDEX($V$2:$V$1001,MATCH(ROWS($U$2:U376),$U$2:$U$1001,0),1)&gt;=100000,INDEX($AB$1005:$AQ$1005,1,MATCH(COLUMNS($AB$1006:AN1006),$AB$1006:$AQ$1006,0))&gt;=100000), " ",IF(INDEX($AB$2:$AQ$1001,MATCH(ROWS($U$2:U376),$U$2:$U$1001,0),MATCH(COLUMNS($AB$1006:AN1006),$AB$1006:$AQ$1006,0)), HYPERLINK("#",""), HYPERLINK(CONCATENATE("#Metadata!", ADDRESS(INDEX($W$2:$W$1001,MATCH(ROWS($U$2:U376),$U$2:$U$1001,0),0), INDEX($AB$1004:$AQ$1004,1,MATCH(COLUMNS($AB$1006:AN1006),$AB$1006:$AQ$1006,0)))),"Fix")))</f>
        <v>0</v>
      </c>
      <c r="O376" s="5">
        <f>IF(OR(INDEX($V$2:$V$1001,MATCH(ROWS($U$2:U376),$U$2:$U$1001,0),1)&gt;=100000,INDEX($AB$1005:$AQ$1005,1,MATCH(COLUMNS($AB$1006:AO1006),$AB$1006:$AQ$1006,0))&gt;=100000), " ",IF(INDEX($AB$2:$AQ$1001,MATCH(ROWS($U$2:U376),$U$2:$U$1001,0),MATCH(COLUMNS($AB$1006:AO1006),$AB$1006:$AQ$1006,0)), HYPERLINK("#",""), HYPERLINK(CONCATENATE("#Metadata!", ADDRESS(INDEX($W$2:$W$1001,MATCH(ROWS($U$2:U376),$U$2:$U$1001,0),0), INDEX($AB$1004:$AQ$1004,1,MATCH(COLUMNS($AB$1006:AO1006),$AB$1006:$AQ$1006,0)))),"Fix")))</f>
        <v>0</v>
      </c>
      <c r="P376" s="5">
        <f>IF(OR(INDEX($V$2:$V$1001,MATCH(ROWS($U$2:U376),$U$2:$U$1001,0),1)&gt;=100000,INDEX($AB$1005:$AQ$1005,1,MATCH(COLUMNS($AB$1006:AP1006),$AB$1006:$AQ$1006,0))&gt;=100000), " ",IF(INDEX($AB$2:$AQ$1001,MATCH(ROWS($U$2:U376),$U$2:$U$1001,0),MATCH(COLUMNS($AB$1006:AP1006),$AB$1006:$AQ$1006,0)), HYPERLINK("#",""), HYPERLINK(CONCATENATE("#Metadata!", ADDRESS(INDEX($W$2:$W$1001,MATCH(ROWS($U$2:U376),$U$2:$U$1001,0),0), INDEX($AB$1004:$AQ$1004,1,MATCH(COLUMNS($AB$1006:AP1006),$AB$1006:$AQ$1006,0)))),"Fix")))</f>
        <v>0</v>
      </c>
      <c r="Q376" s="5">
        <f>IF(OR(INDEX($V$2:$V$1001,MATCH(ROWS($U$2:U376),$U$2:$U$1001,0),1)&gt;=100000,INDEX($AB$1005:$AQ$1005,1,MATCH(COLUMNS($AB$1006:AQ1006),$AB$1006:$AQ$1006,0))&gt;=100000), " ",IF(INDEX($AB$2:$AQ$1001,MATCH(ROWS($U$2:U376),$U$2:$U$1001,0),MATCH(COLUMNS($AB$1006:AQ1006),$AB$1006:$AQ$1006,0)), HYPERLINK("#",""), HYPERLINK(CONCATENATE("#Metadata!", ADDRESS(INDEX($W$2:$W$1001,MATCH(ROWS($U$2:U376),$U$2:$U$1001,0),0), INDEX($AB$1004:$AQ$1004,1,MATCH(COLUMNS($AB$1006:AQ1006),$AB$1006:$AQ$1006,0)))),"Fix")))</f>
        <v>0</v>
      </c>
      <c r="U376">
        <v>0</v>
      </c>
      <c r="V376">
        <v>0</v>
      </c>
      <c r="W376">
        <v>0</v>
      </c>
      <c r="X376">
        <f>IF(Y376,TRUE,AND(AB376:AQ376))</f>
        <v>0</v>
      </c>
      <c r="Y376">
        <f>COUNTBLANK(Metadata!B376:Q376)=COLUMNS(Metadata!B376:Q376)</f>
        <v>0</v>
      </c>
      <c r="Z376">
        <v>0</v>
      </c>
      <c r="AB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AC376">
        <f>AND(IF(Metadata!C376="",FALSE,TRUE),exact(Metadata!C376,"urban biome"))</f>
        <v>0</v>
      </c>
      <c r="AD376">
        <f>AND(IF(Metadata!D376="",FALSE,TRUE),exact(Metadata!D376,"human-associated habitat"))</f>
        <v>0</v>
      </c>
      <c r="AE376">
        <f>AND(IF(Metadata!E376="",FALSE,TRUE),OR(exact(Metadata!E376,"human-associated"),exact(Metadata!E376,"human-skin"),exact(Metadata!E376,"human-oral"),exact(Metadata!E376,"human-gut"),exact(Metadata!E376,"human-vaginal")))</f>
        <v>0</v>
      </c>
      <c r="AF376">
        <f>AND(IF(Metadata!F376="",FALSE,ISNUMBER(VALUE(Metadata!F376))),Metadata!F376&gt;0)</f>
        <v>0</v>
      </c>
      <c r="AG376">
        <f>AND(IF(Metadata!G376="",FALSE,TRUE),exact(Metadata!G376,"years"))</f>
        <v>0</v>
      </c>
      <c r="AH376">
        <f>OR(AND(IF(Metadata!H376="",FALSE,TRUE),OR(exact(Metadata!H376,"not applicable"),exact(Metadata!H376,"not collected"),exact(Metadata!H376,"not provided"),exact(Metadata!H376,"restricted access"))),AND(IF(Metadata!H376="",FALSE,ISNUMBER(VALUE(Metadata!H376))),Metadata!H376&gt;0))</f>
        <v>0</v>
      </c>
      <c r="AI376">
        <f>AND(IF(Metadata!I376="",FALSE,TRUE),exact(Metadata!I376,"human"))</f>
        <v>0</v>
      </c>
      <c r="AJ376">
        <f>AND(IF(Metadata!J376="",FALSE,ISNUMBER(VALUE(Metadata!J376))),Metadata!J376&gt;0)</f>
        <v>0</v>
      </c>
      <c r="AK376">
        <f>AND(IF(Metadata!K376="",FALSE,TRUE),exact(Metadata!K376,"cm"))</f>
        <v>0</v>
      </c>
      <c r="AL376">
        <f>AND(IF(Metadata!L376="",FALSE,TRUE),exact(Metadata!L376,"Homo sapiens"))</f>
        <v>0</v>
      </c>
      <c r="AM376">
        <f>AND(IF(Metadata!M376="",FALSE,TRUE),exact(Metadata!M376,"9606"))</f>
        <v>0</v>
      </c>
      <c r="AN376">
        <f>AND(IF(Metadata!N376="",FALSE,ISNUMBER(VALUE(Metadata!N376))),Metadata!N376&gt;0)</f>
        <v>0</v>
      </c>
      <c r="AO376">
        <f>AND(IF(Metadata!O376="",FALSE,TRUE),exact(Metadata!O376,"kg"))</f>
        <v>0</v>
      </c>
      <c r="AP376">
        <f>OR(AND(IF(Metadata!P376="",FALSE,TRUE),exact(Metadata!P376,"not provided")),IF(Metadata!P376="",FALSE,TRUE))</f>
        <v>0</v>
      </c>
      <c r="AQ376">
        <f>OR(AND(IF(Metadata!Q376="",FALSE,TRUE),exact(Metadata!Q376,"not provided")),IF(Metadata!Q376="",FALSE,TRUE))</f>
        <v>0</v>
      </c>
    </row>
    <row r="377" spans="1:43">
      <c r="A377" s="4">
        <f>IF(B377=" "," ",HYPERLINK(CONCATENATE("#metadata!",ADDRESS(INDEX($W$2:$W$1001,MATCH(ROWS($U$2:U377),$U$2:$U$1001,0),0),2)),INDEX($Z$2:$Z$1001,MATCH(ROWS($U$2:U377),$U$2:$U$1001,0),0)))</f>
        <v>0</v>
      </c>
      <c r="B377" s="5">
        <f>IF(OR(INDEX($V$2:$V$1001,MATCH(ROWS($U$2:U377),$U$2:$U$1001,0),1)&gt;=100000,INDEX($AB$1005:$AQ$1005,1,MATCH(COLUMNS($AB$1006:AB1006),$AB$1006:$AQ$1006,0))&gt;=100000), " ",IF(INDEX($AB$2:$AQ$1001,MATCH(ROWS($U$2:U377),$U$2:$U$1001,0),MATCH(COLUMNS($AB$1006:AB1006),$AB$1006:$AQ$1006,0)), HYPERLINK("#",""), HYPERLINK(CONCATENATE("#Metadata!", ADDRESS(INDEX($W$2:$W$1001,MATCH(ROWS($U$2:U377),$U$2:$U$1001,0),0), INDEX($AB$1004:$AQ$1004,1,MATCH(COLUMNS($AB$1006:AB1006),$AB$1006:$AQ$1006,0)))),"Fix")))</f>
        <v>0</v>
      </c>
      <c r="C377" s="5">
        <f>IF(OR(INDEX($V$2:$V$1001,MATCH(ROWS($U$2:U377),$U$2:$U$1001,0),1)&gt;=100000,INDEX($AB$1005:$AQ$1005,1,MATCH(COLUMNS($AB$1006:AC1006),$AB$1006:$AQ$1006,0))&gt;=100000), " ",IF(INDEX($AB$2:$AQ$1001,MATCH(ROWS($U$2:U377),$U$2:$U$1001,0),MATCH(COLUMNS($AB$1006:AC1006),$AB$1006:$AQ$1006,0)), HYPERLINK("#",""), HYPERLINK(CONCATENATE("#Metadata!", ADDRESS(INDEX($W$2:$W$1001,MATCH(ROWS($U$2:U377),$U$2:$U$1001,0),0), INDEX($AB$1004:$AQ$1004,1,MATCH(COLUMNS($AB$1006:AC1006),$AB$1006:$AQ$1006,0)))),"Fix")))</f>
        <v>0</v>
      </c>
      <c r="D377" s="5">
        <f>IF(OR(INDEX($V$2:$V$1001,MATCH(ROWS($U$2:U377),$U$2:$U$1001,0),1)&gt;=100000,INDEX($AB$1005:$AQ$1005,1,MATCH(COLUMNS($AB$1006:AD1006),$AB$1006:$AQ$1006,0))&gt;=100000), " ",IF(INDEX($AB$2:$AQ$1001,MATCH(ROWS($U$2:U377),$U$2:$U$1001,0),MATCH(COLUMNS($AB$1006:AD1006),$AB$1006:$AQ$1006,0)), HYPERLINK("#",""), HYPERLINK(CONCATENATE("#Metadata!", ADDRESS(INDEX($W$2:$W$1001,MATCH(ROWS($U$2:U377),$U$2:$U$1001,0),0), INDEX($AB$1004:$AQ$1004,1,MATCH(COLUMNS($AB$1006:AD1006),$AB$1006:$AQ$1006,0)))),"Fix")))</f>
        <v>0</v>
      </c>
      <c r="E377" s="5">
        <f>IF(OR(INDEX($V$2:$V$1001,MATCH(ROWS($U$2:U377),$U$2:$U$1001,0),1)&gt;=100000,INDEX($AB$1005:$AQ$1005,1,MATCH(COLUMNS($AB$1006:AE1006),$AB$1006:$AQ$1006,0))&gt;=100000), " ",IF(INDEX($AB$2:$AQ$1001,MATCH(ROWS($U$2:U377),$U$2:$U$1001,0),MATCH(COLUMNS($AB$1006:AE1006),$AB$1006:$AQ$1006,0)), HYPERLINK("#",""), HYPERLINK(CONCATENATE("#Metadata!", ADDRESS(INDEX($W$2:$W$1001,MATCH(ROWS($U$2:U377),$U$2:$U$1001,0),0), INDEX($AB$1004:$AQ$1004,1,MATCH(COLUMNS($AB$1006:AE1006),$AB$1006:$AQ$1006,0)))),"Fix")))</f>
        <v>0</v>
      </c>
      <c r="F377" s="5">
        <f>IF(OR(INDEX($V$2:$V$1001,MATCH(ROWS($U$2:U377),$U$2:$U$1001,0),1)&gt;=100000,INDEX($AB$1005:$AQ$1005,1,MATCH(COLUMNS($AB$1006:AF1006),$AB$1006:$AQ$1006,0))&gt;=100000), " ",IF(INDEX($AB$2:$AQ$1001,MATCH(ROWS($U$2:U377),$U$2:$U$1001,0),MATCH(COLUMNS($AB$1006:AF1006),$AB$1006:$AQ$1006,0)), HYPERLINK("#",""), HYPERLINK(CONCATENATE("#Metadata!", ADDRESS(INDEX($W$2:$W$1001,MATCH(ROWS($U$2:U377),$U$2:$U$1001,0),0), INDEX($AB$1004:$AQ$1004,1,MATCH(COLUMNS($AB$1006:AF1006),$AB$1006:$AQ$1006,0)))),"Fix")))</f>
        <v>0</v>
      </c>
      <c r="G377" s="5">
        <f>IF(OR(INDEX($V$2:$V$1001,MATCH(ROWS($U$2:U377),$U$2:$U$1001,0),1)&gt;=100000,INDEX($AB$1005:$AQ$1005,1,MATCH(COLUMNS($AB$1006:AG1006),$AB$1006:$AQ$1006,0))&gt;=100000), " ",IF(INDEX($AB$2:$AQ$1001,MATCH(ROWS($U$2:U377),$U$2:$U$1001,0),MATCH(COLUMNS($AB$1006:AG1006),$AB$1006:$AQ$1006,0)), HYPERLINK("#",""), HYPERLINK(CONCATENATE("#Metadata!", ADDRESS(INDEX($W$2:$W$1001,MATCH(ROWS($U$2:U377),$U$2:$U$1001,0),0), INDEX($AB$1004:$AQ$1004,1,MATCH(COLUMNS($AB$1006:AG1006),$AB$1006:$AQ$1006,0)))),"Fix")))</f>
        <v>0</v>
      </c>
      <c r="H377" s="5">
        <f>IF(OR(INDEX($V$2:$V$1001,MATCH(ROWS($U$2:U377),$U$2:$U$1001,0),1)&gt;=100000,INDEX($AB$1005:$AQ$1005,1,MATCH(COLUMNS($AB$1006:AH1006),$AB$1006:$AQ$1006,0))&gt;=100000), " ",IF(INDEX($AB$2:$AQ$1001,MATCH(ROWS($U$2:U377),$U$2:$U$1001,0),MATCH(COLUMNS($AB$1006:AH1006),$AB$1006:$AQ$1006,0)), HYPERLINK("#",""), HYPERLINK(CONCATENATE("#Metadata!", ADDRESS(INDEX($W$2:$W$1001,MATCH(ROWS($U$2:U377),$U$2:$U$1001,0),0), INDEX($AB$1004:$AQ$1004,1,MATCH(COLUMNS($AB$1006:AH1006),$AB$1006:$AQ$1006,0)))),"Fix")))</f>
        <v>0</v>
      </c>
      <c r="I377" s="5">
        <f>IF(OR(INDEX($V$2:$V$1001,MATCH(ROWS($U$2:U377),$U$2:$U$1001,0),1)&gt;=100000,INDEX($AB$1005:$AQ$1005,1,MATCH(COLUMNS($AB$1006:AI1006),$AB$1006:$AQ$1006,0))&gt;=100000), " ",IF(INDEX($AB$2:$AQ$1001,MATCH(ROWS($U$2:U377),$U$2:$U$1001,0),MATCH(COLUMNS($AB$1006:AI1006),$AB$1006:$AQ$1006,0)), HYPERLINK("#",""), HYPERLINK(CONCATENATE("#Metadata!", ADDRESS(INDEX($W$2:$W$1001,MATCH(ROWS($U$2:U377),$U$2:$U$1001,0),0), INDEX($AB$1004:$AQ$1004,1,MATCH(COLUMNS($AB$1006:AI1006),$AB$1006:$AQ$1006,0)))),"Fix")))</f>
        <v>0</v>
      </c>
      <c r="J377" s="5">
        <f>IF(OR(INDEX($V$2:$V$1001,MATCH(ROWS($U$2:U377),$U$2:$U$1001,0),1)&gt;=100000,INDEX($AB$1005:$AQ$1005,1,MATCH(COLUMNS($AB$1006:AJ1006),$AB$1006:$AQ$1006,0))&gt;=100000), " ",IF(INDEX($AB$2:$AQ$1001,MATCH(ROWS($U$2:U377),$U$2:$U$1001,0),MATCH(COLUMNS($AB$1006:AJ1006),$AB$1006:$AQ$1006,0)), HYPERLINK("#",""), HYPERLINK(CONCATENATE("#Metadata!", ADDRESS(INDEX($W$2:$W$1001,MATCH(ROWS($U$2:U377),$U$2:$U$1001,0),0), INDEX($AB$1004:$AQ$1004,1,MATCH(COLUMNS($AB$1006:AJ1006),$AB$1006:$AQ$1006,0)))),"Fix")))</f>
        <v>0</v>
      </c>
      <c r="K377" s="5">
        <f>IF(OR(INDEX($V$2:$V$1001,MATCH(ROWS($U$2:U377),$U$2:$U$1001,0),1)&gt;=100000,INDEX($AB$1005:$AQ$1005,1,MATCH(COLUMNS($AB$1006:AK1006),$AB$1006:$AQ$1006,0))&gt;=100000), " ",IF(INDEX($AB$2:$AQ$1001,MATCH(ROWS($U$2:U377),$U$2:$U$1001,0),MATCH(COLUMNS($AB$1006:AK1006),$AB$1006:$AQ$1006,0)), HYPERLINK("#",""), HYPERLINK(CONCATENATE("#Metadata!", ADDRESS(INDEX($W$2:$W$1001,MATCH(ROWS($U$2:U377),$U$2:$U$1001,0),0), INDEX($AB$1004:$AQ$1004,1,MATCH(COLUMNS($AB$1006:AK1006),$AB$1006:$AQ$1006,0)))),"Fix")))</f>
        <v>0</v>
      </c>
      <c r="L377" s="5">
        <f>IF(OR(INDEX($V$2:$V$1001,MATCH(ROWS($U$2:U377),$U$2:$U$1001,0),1)&gt;=100000,INDEX($AB$1005:$AQ$1005,1,MATCH(COLUMNS($AB$1006:AL1006),$AB$1006:$AQ$1006,0))&gt;=100000), " ",IF(INDEX($AB$2:$AQ$1001,MATCH(ROWS($U$2:U377),$U$2:$U$1001,0),MATCH(COLUMNS($AB$1006:AL1006),$AB$1006:$AQ$1006,0)), HYPERLINK("#",""), HYPERLINK(CONCATENATE("#Metadata!", ADDRESS(INDEX($W$2:$W$1001,MATCH(ROWS($U$2:U377),$U$2:$U$1001,0),0), INDEX($AB$1004:$AQ$1004,1,MATCH(COLUMNS($AB$1006:AL1006),$AB$1006:$AQ$1006,0)))),"Fix")))</f>
        <v>0</v>
      </c>
      <c r="M377" s="5">
        <f>IF(OR(INDEX($V$2:$V$1001,MATCH(ROWS($U$2:U377),$U$2:$U$1001,0),1)&gt;=100000,INDEX($AB$1005:$AQ$1005,1,MATCH(COLUMNS($AB$1006:AM1006),$AB$1006:$AQ$1006,0))&gt;=100000), " ",IF(INDEX($AB$2:$AQ$1001,MATCH(ROWS($U$2:U377),$U$2:$U$1001,0),MATCH(COLUMNS($AB$1006:AM1006),$AB$1006:$AQ$1006,0)), HYPERLINK("#",""), HYPERLINK(CONCATENATE("#Metadata!", ADDRESS(INDEX($W$2:$W$1001,MATCH(ROWS($U$2:U377),$U$2:$U$1001,0),0), INDEX($AB$1004:$AQ$1004,1,MATCH(COLUMNS($AB$1006:AM1006),$AB$1006:$AQ$1006,0)))),"Fix")))</f>
        <v>0</v>
      </c>
      <c r="N377" s="5">
        <f>IF(OR(INDEX($V$2:$V$1001,MATCH(ROWS($U$2:U377),$U$2:$U$1001,0),1)&gt;=100000,INDEX($AB$1005:$AQ$1005,1,MATCH(COLUMNS($AB$1006:AN1006),$AB$1006:$AQ$1006,0))&gt;=100000), " ",IF(INDEX($AB$2:$AQ$1001,MATCH(ROWS($U$2:U377),$U$2:$U$1001,0),MATCH(COLUMNS($AB$1006:AN1006),$AB$1006:$AQ$1006,0)), HYPERLINK("#",""), HYPERLINK(CONCATENATE("#Metadata!", ADDRESS(INDEX($W$2:$W$1001,MATCH(ROWS($U$2:U377),$U$2:$U$1001,0),0), INDEX($AB$1004:$AQ$1004,1,MATCH(COLUMNS($AB$1006:AN1006),$AB$1006:$AQ$1006,0)))),"Fix")))</f>
        <v>0</v>
      </c>
      <c r="O377" s="5">
        <f>IF(OR(INDEX($V$2:$V$1001,MATCH(ROWS($U$2:U377),$U$2:$U$1001,0),1)&gt;=100000,INDEX($AB$1005:$AQ$1005,1,MATCH(COLUMNS($AB$1006:AO1006),$AB$1006:$AQ$1006,0))&gt;=100000), " ",IF(INDEX($AB$2:$AQ$1001,MATCH(ROWS($U$2:U377),$U$2:$U$1001,0),MATCH(COLUMNS($AB$1006:AO1006),$AB$1006:$AQ$1006,0)), HYPERLINK("#",""), HYPERLINK(CONCATENATE("#Metadata!", ADDRESS(INDEX($W$2:$W$1001,MATCH(ROWS($U$2:U377),$U$2:$U$1001,0),0), INDEX($AB$1004:$AQ$1004,1,MATCH(COLUMNS($AB$1006:AO1006),$AB$1006:$AQ$1006,0)))),"Fix")))</f>
        <v>0</v>
      </c>
      <c r="P377" s="5">
        <f>IF(OR(INDEX($V$2:$V$1001,MATCH(ROWS($U$2:U377),$U$2:$U$1001,0),1)&gt;=100000,INDEX($AB$1005:$AQ$1005,1,MATCH(COLUMNS($AB$1006:AP1006),$AB$1006:$AQ$1006,0))&gt;=100000), " ",IF(INDEX($AB$2:$AQ$1001,MATCH(ROWS($U$2:U377),$U$2:$U$1001,0),MATCH(COLUMNS($AB$1006:AP1006),$AB$1006:$AQ$1006,0)), HYPERLINK("#",""), HYPERLINK(CONCATENATE("#Metadata!", ADDRESS(INDEX($W$2:$W$1001,MATCH(ROWS($U$2:U377),$U$2:$U$1001,0),0), INDEX($AB$1004:$AQ$1004,1,MATCH(COLUMNS($AB$1006:AP1006),$AB$1006:$AQ$1006,0)))),"Fix")))</f>
        <v>0</v>
      </c>
      <c r="Q377" s="5">
        <f>IF(OR(INDEX($V$2:$V$1001,MATCH(ROWS($U$2:U377),$U$2:$U$1001,0),1)&gt;=100000,INDEX($AB$1005:$AQ$1005,1,MATCH(COLUMNS($AB$1006:AQ1006),$AB$1006:$AQ$1006,0))&gt;=100000), " ",IF(INDEX($AB$2:$AQ$1001,MATCH(ROWS($U$2:U377),$U$2:$U$1001,0),MATCH(COLUMNS($AB$1006:AQ1006),$AB$1006:$AQ$1006,0)), HYPERLINK("#",""), HYPERLINK(CONCATENATE("#Metadata!", ADDRESS(INDEX($W$2:$W$1001,MATCH(ROWS($U$2:U377),$U$2:$U$1001,0),0), INDEX($AB$1004:$AQ$1004,1,MATCH(COLUMNS($AB$1006:AQ1006),$AB$1006:$AQ$1006,0)))),"Fix")))</f>
        <v>0</v>
      </c>
      <c r="U377">
        <v>0</v>
      </c>
      <c r="V377">
        <v>0</v>
      </c>
      <c r="W377">
        <v>0</v>
      </c>
      <c r="X377">
        <f>IF(Y377,TRUE,AND(AB377:AQ377))</f>
        <v>0</v>
      </c>
      <c r="Y377">
        <f>COUNTBLANK(Metadata!B377:Q377)=COLUMNS(Metadata!B377:Q377)</f>
        <v>0</v>
      </c>
      <c r="Z377">
        <v>0</v>
      </c>
      <c r="AB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AC377">
        <f>AND(IF(Metadata!C377="",FALSE,TRUE),exact(Metadata!C377,"urban biome"))</f>
        <v>0</v>
      </c>
      <c r="AD377">
        <f>AND(IF(Metadata!D377="",FALSE,TRUE),exact(Metadata!D377,"human-associated habitat"))</f>
        <v>0</v>
      </c>
      <c r="AE377">
        <f>AND(IF(Metadata!E377="",FALSE,TRUE),OR(exact(Metadata!E377,"human-associated"),exact(Metadata!E377,"human-skin"),exact(Metadata!E377,"human-oral"),exact(Metadata!E377,"human-gut"),exact(Metadata!E377,"human-vaginal")))</f>
        <v>0</v>
      </c>
      <c r="AF377">
        <f>AND(IF(Metadata!F377="",FALSE,ISNUMBER(VALUE(Metadata!F377))),Metadata!F377&gt;0)</f>
        <v>0</v>
      </c>
      <c r="AG377">
        <f>AND(IF(Metadata!G377="",FALSE,TRUE),exact(Metadata!G377,"years"))</f>
        <v>0</v>
      </c>
      <c r="AH377">
        <f>OR(AND(IF(Metadata!H377="",FALSE,TRUE),OR(exact(Metadata!H377,"not applicable"),exact(Metadata!H377,"not collected"),exact(Metadata!H377,"not provided"),exact(Metadata!H377,"restricted access"))),AND(IF(Metadata!H377="",FALSE,ISNUMBER(VALUE(Metadata!H377))),Metadata!H377&gt;0))</f>
        <v>0</v>
      </c>
      <c r="AI377">
        <f>AND(IF(Metadata!I377="",FALSE,TRUE),exact(Metadata!I377,"human"))</f>
        <v>0</v>
      </c>
      <c r="AJ377">
        <f>AND(IF(Metadata!J377="",FALSE,ISNUMBER(VALUE(Metadata!J377))),Metadata!J377&gt;0)</f>
        <v>0</v>
      </c>
      <c r="AK377">
        <f>AND(IF(Metadata!K377="",FALSE,TRUE),exact(Metadata!K377,"cm"))</f>
        <v>0</v>
      </c>
      <c r="AL377">
        <f>AND(IF(Metadata!L377="",FALSE,TRUE),exact(Metadata!L377,"Homo sapiens"))</f>
        <v>0</v>
      </c>
      <c r="AM377">
        <f>AND(IF(Metadata!M377="",FALSE,TRUE),exact(Metadata!M377,"9606"))</f>
        <v>0</v>
      </c>
      <c r="AN377">
        <f>AND(IF(Metadata!N377="",FALSE,ISNUMBER(VALUE(Metadata!N377))),Metadata!N377&gt;0)</f>
        <v>0</v>
      </c>
      <c r="AO377">
        <f>AND(IF(Metadata!O377="",FALSE,TRUE),exact(Metadata!O377,"kg"))</f>
        <v>0</v>
      </c>
      <c r="AP377">
        <f>OR(AND(IF(Metadata!P377="",FALSE,TRUE),exact(Metadata!P377,"not provided")),IF(Metadata!P377="",FALSE,TRUE))</f>
        <v>0</v>
      </c>
      <c r="AQ377">
        <f>OR(AND(IF(Metadata!Q377="",FALSE,TRUE),exact(Metadata!Q377,"not provided")),IF(Metadata!Q377="",FALSE,TRUE))</f>
        <v>0</v>
      </c>
    </row>
    <row r="378" spans="1:43">
      <c r="A378" s="4">
        <f>IF(B378=" "," ",HYPERLINK(CONCATENATE("#metadata!",ADDRESS(INDEX($W$2:$W$1001,MATCH(ROWS($U$2:U378),$U$2:$U$1001,0),0),2)),INDEX($Z$2:$Z$1001,MATCH(ROWS($U$2:U378),$U$2:$U$1001,0),0)))</f>
        <v>0</v>
      </c>
      <c r="B378" s="5">
        <f>IF(OR(INDEX($V$2:$V$1001,MATCH(ROWS($U$2:U378),$U$2:$U$1001,0),1)&gt;=100000,INDEX($AB$1005:$AQ$1005,1,MATCH(COLUMNS($AB$1006:AB1006),$AB$1006:$AQ$1006,0))&gt;=100000), " ",IF(INDEX($AB$2:$AQ$1001,MATCH(ROWS($U$2:U378),$U$2:$U$1001,0),MATCH(COLUMNS($AB$1006:AB1006),$AB$1006:$AQ$1006,0)), HYPERLINK("#",""), HYPERLINK(CONCATENATE("#Metadata!", ADDRESS(INDEX($W$2:$W$1001,MATCH(ROWS($U$2:U378),$U$2:$U$1001,0),0), INDEX($AB$1004:$AQ$1004,1,MATCH(COLUMNS($AB$1006:AB1006),$AB$1006:$AQ$1006,0)))),"Fix")))</f>
        <v>0</v>
      </c>
      <c r="C378" s="5">
        <f>IF(OR(INDEX($V$2:$V$1001,MATCH(ROWS($U$2:U378),$U$2:$U$1001,0),1)&gt;=100000,INDEX($AB$1005:$AQ$1005,1,MATCH(COLUMNS($AB$1006:AC1006),$AB$1006:$AQ$1006,0))&gt;=100000), " ",IF(INDEX($AB$2:$AQ$1001,MATCH(ROWS($U$2:U378),$U$2:$U$1001,0),MATCH(COLUMNS($AB$1006:AC1006),$AB$1006:$AQ$1006,0)), HYPERLINK("#",""), HYPERLINK(CONCATENATE("#Metadata!", ADDRESS(INDEX($W$2:$W$1001,MATCH(ROWS($U$2:U378),$U$2:$U$1001,0),0), INDEX($AB$1004:$AQ$1004,1,MATCH(COLUMNS($AB$1006:AC1006),$AB$1006:$AQ$1006,0)))),"Fix")))</f>
        <v>0</v>
      </c>
      <c r="D378" s="5">
        <f>IF(OR(INDEX($V$2:$V$1001,MATCH(ROWS($U$2:U378),$U$2:$U$1001,0),1)&gt;=100000,INDEX($AB$1005:$AQ$1005,1,MATCH(COLUMNS($AB$1006:AD1006),$AB$1006:$AQ$1006,0))&gt;=100000), " ",IF(INDEX($AB$2:$AQ$1001,MATCH(ROWS($U$2:U378),$U$2:$U$1001,0),MATCH(COLUMNS($AB$1006:AD1006),$AB$1006:$AQ$1006,0)), HYPERLINK("#",""), HYPERLINK(CONCATENATE("#Metadata!", ADDRESS(INDEX($W$2:$W$1001,MATCH(ROWS($U$2:U378),$U$2:$U$1001,0),0), INDEX($AB$1004:$AQ$1004,1,MATCH(COLUMNS($AB$1006:AD1006),$AB$1006:$AQ$1006,0)))),"Fix")))</f>
        <v>0</v>
      </c>
      <c r="E378" s="5">
        <f>IF(OR(INDEX($V$2:$V$1001,MATCH(ROWS($U$2:U378),$U$2:$U$1001,0),1)&gt;=100000,INDEX($AB$1005:$AQ$1005,1,MATCH(COLUMNS($AB$1006:AE1006),$AB$1006:$AQ$1006,0))&gt;=100000), " ",IF(INDEX($AB$2:$AQ$1001,MATCH(ROWS($U$2:U378),$U$2:$U$1001,0),MATCH(COLUMNS($AB$1006:AE1006),$AB$1006:$AQ$1006,0)), HYPERLINK("#",""), HYPERLINK(CONCATENATE("#Metadata!", ADDRESS(INDEX($W$2:$W$1001,MATCH(ROWS($U$2:U378),$U$2:$U$1001,0),0), INDEX($AB$1004:$AQ$1004,1,MATCH(COLUMNS($AB$1006:AE1006),$AB$1006:$AQ$1006,0)))),"Fix")))</f>
        <v>0</v>
      </c>
      <c r="F378" s="5">
        <f>IF(OR(INDEX($V$2:$V$1001,MATCH(ROWS($U$2:U378),$U$2:$U$1001,0),1)&gt;=100000,INDEX($AB$1005:$AQ$1005,1,MATCH(COLUMNS($AB$1006:AF1006),$AB$1006:$AQ$1006,0))&gt;=100000), " ",IF(INDEX($AB$2:$AQ$1001,MATCH(ROWS($U$2:U378),$U$2:$U$1001,0),MATCH(COLUMNS($AB$1006:AF1006),$AB$1006:$AQ$1006,0)), HYPERLINK("#",""), HYPERLINK(CONCATENATE("#Metadata!", ADDRESS(INDEX($W$2:$W$1001,MATCH(ROWS($U$2:U378),$U$2:$U$1001,0),0), INDEX($AB$1004:$AQ$1004,1,MATCH(COLUMNS($AB$1006:AF1006),$AB$1006:$AQ$1006,0)))),"Fix")))</f>
        <v>0</v>
      </c>
      <c r="G378" s="5">
        <f>IF(OR(INDEX($V$2:$V$1001,MATCH(ROWS($U$2:U378),$U$2:$U$1001,0),1)&gt;=100000,INDEX($AB$1005:$AQ$1005,1,MATCH(COLUMNS($AB$1006:AG1006),$AB$1006:$AQ$1006,0))&gt;=100000), " ",IF(INDEX($AB$2:$AQ$1001,MATCH(ROWS($U$2:U378),$U$2:$U$1001,0),MATCH(COLUMNS($AB$1006:AG1006),$AB$1006:$AQ$1006,0)), HYPERLINK("#",""), HYPERLINK(CONCATENATE("#Metadata!", ADDRESS(INDEX($W$2:$W$1001,MATCH(ROWS($U$2:U378),$U$2:$U$1001,0),0), INDEX($AB$1004:$AQ$1004,1,MATCH(COLUMNS($AB$1006:AG1006),$AB$1006:$AQ$1006,0)))),"Fix")))</f>
        <v>0</v>
      </c>
      <c r="H378" s="5">
        <f>IF(OR(INDEX($V$2:$V$1001,MATCH(ROWS($U$2:U378),$U$2:$U$1001,0),1)&gt;=100000,INDEX($AB$1005:$AQ$1005,1,MATCH(COLUMNS($AB$1006:AH1006),$AB$1006:$AQ$1006,0))&gt;=100000), " ",IF(INDEX($AB$2:$AQ$1001,MATCH(ROWS($U$2:U378),$U$2:$U$1001,0),MATCH(COLUMNS($AB$1006:AH1006),$AB$1006:$AQ$1006,0)), HYPERLINK("#",""), HYPERLINK(CONCATENATE("#Metadata!", ADDRESS(INDEX($W$2:$W$1001,MATCH(ROWS($U$2:U378),$U$2:$U$1001,0),0), INDEX($AB$1004:$AQ$1004,1,MATCH(COLUMNS($AB$1006:AH1006),$AB$1006:$AQ$1006,0)))),"Fix")))</f>
        <v>0</v>
      </c>
      <c r="I378" s="5">
        <f>IF(OR(INDEX($V$2:$V$1001,MATCH(ROWS($U$2:U378),$U$2:$U$1001,0),1)&gt;=100000,INDEX($AB$1005:$AQ$1005,1,MATCH(COLUMNS($AB$1006:AI1006),$AB$1006:$AQ$1006,0))&gt;=100000), " ",IF(INDEX($AB$2:$AQ$1001,MATCH(ROWS($U$2:U378),$U$2:$U$1001,0),MATCH(COLUMNS($AB$1006:AI1006),$AB$1006:$AQ$1006,0)), HYPERLINK("#",""), HYPERLINK(CONCATENATE("#Metadata!", ADDRESS(INDEX($W$2:$W$1001,MATCH(ROWS($U$2:U378),$U$2:$U$1001,0),0), INDEX($AB$1004:$AQ$1004,1,MATCH(COLUMNS($AB$1006:AI1006),$AB$1006:$AQ$1006,0)))),"Fix")))</f>
        <v>0</v>
      </c>
      <c r="J378" s="5">
        <f>IF(OR(INDEX($V$2:$V$1001,MATCH(ROWS($U$2:U378),$U$2:$U$1001,0),1)&gt;=100000,INDEX($AB$1005:$AQ$1005,1,MATCH(COLUMNS($AB$1006:AJ1006),$AB$1006:$AQ$1006,0))&gt;=100000), " ",IF(INDEX($AB$2:$AQ$1001,MATCH(ROWS($U$2:U378),$U$2:$U$1001,0),MATCH(COLUMNS($AB$1006:AJ1006),$AB$1006:$AQ$1006,0)), HYPERLINK("#",""), HYPERLINK(CONCATENATE("#Metadata!", ADDRESS(INDEX($W$2:$W$1001,MATCH(ROWS($U$2:U378),$U$2:$U$1001,0),0), INDEX($AB$1004:$AQ$1004,1,MATCH(COLUMNS($AB$1006:AJ1006),$AB$1006:$AQ$1006,0)))),"Fix")))</f>
        <v>0</v>
      </c>
      <c r="K378" s="5">
        <f>IF(OR(INDEX($V$2:$V$1001,MATCH(ROWS($U$2:U378),$U$2:$U$1001,0),1)&gt;=100000,INDEX($AB$1005:$AQ$1005,1,MATCH(COLUMNS($AB$1006:AK1006),$AB$1006:$AQ$1006,0))&gt;=100000), " ",IF(INDEX($AB$2:$AQ$1001,MATCH(ROWS($U$2:U378),$U$2:$U$1001,0),MATCH(COLUMNS($AB$1006:AK1006),$AB$1006:$AQ$1006,0)), HYPERLINK("#",""), HYPERLINK(CONCATENATE("#Metadata!", ADDRESS(INDEX($W$2:$W$1001,MATCH(ROWS($U$2:U378),$U$2:$U$1001,0),0), INDEX($AB$1004:$AQ$1004,1,MATCH(COLUMNS($AB$1006:AK1006),$AB$1006:$AQ$1006,0)))),"Fix")))</f>
        <v>0</v>
      </c>
      <c r="L378" s="5">
        <f>IF(OR(INDEX($V$2:$V$1001,MATCH(ROWS($U$2:U378),$U$2:$U$1001,0),1)&gt;=100000,INDEX($AB$1005:$AQ$1005,1,MATCH(COLUMNS($AB$1006:AL1006),$AB$1006:$AQ$1006,0))&gt;=100000), " ",IF(INDEX($AB$2:$AQ$1001,MATCH(ROWS($U$2:U378),$U$2:$U$1001,0),MATCH(COLUMNS($AB$1006:AL1006),$AB$1006:$AQ$1006,0)), HYPERLINK("#",""), HYPERLINK(CONCATENATE("#Metadata!", ADDRESS(INDEX($W$2:$W$1001,MATCH(ROWS($U$2:U378),$U$2:$U$1001,0),0), INDEX($AB$1004:$AQ$1004,1,MATCH(COLUMNS($AB$1006:AL1006),$AB$1006:$AQ$1006,0)))),"Fix")))</f>
        <v>0</v>
      </c>
      <c r="M378" s="5">
        <f>IF(OR(INDEX($V$2:$V$1001,MATCH(ROWS($U$2:U378),$U$2:$U$1001,0),1)&gt;=100000,INDEX($AB$1005:$AQ$1005,1,MATCH(COLUMNS($AB$1006:AM1006),$AB$1006:$AQ$1006,0))&gt;=100000), " ",IF(INDEX($AB$2:$AQ$1001,MATCH(ROWS($U$2:U378),$U$2:$U$1001,0),MATCH(COLUMNS($AB$1006:AM1006),$AB$1006:$AQ$1006,0)), HYPERLINK("#",""), HYPERLINK(CONCATENATE("#Metadata!", ADDRESS(INDEX($W$2:$W$1001,MATCH(ROWS($U$2:U378),$U$2:$U$1001,0),0), INDEX($AB$1004:$AQ$1004,1,MATCH(COLUMNS($AB$1006:AM1006),$AB$1006:$AQ$1006,0)))),"Fix")))</f>
        <v>0</v>
      </c>
      <c r="N378" s="5">
        <f>IF(OR(INDEX($V$2:$V$1001,MATCH(ROWS($U$2:U378),$U$2:$U$1001,0),1)&gt;=100000,INDEX($AB$1005:$AQ$1005,1,MATCH(COLUMNS($AB$1006:AN1006),$AB$1006:$AQ$1006,0))&gt;=100000), " ",IF(INDEX($AB$2:$AQ$1001,MATCH(ROWS($U$2:U378),$U$2:$U$1001,0),MATCH(COLUMNS($AB$1006:AN1006),$AB$1006:$AQ$1006,0)), HYPERLINK("#",""), HYPERLINK(CONCATENATE("#Metadata!", ADDRESS(INDEX($W$2:$W$1001,MATCH(ROWS($U$2:U378),$U$2:$U$1001,0),0), INDEX($AB$1004:$AQ$1004,1,MATCH(COLUMNS($AB$1006:AN1006),$AB$1006:$AQ$1006,0)))),"Fix")))</f>
        <v>0</v>
      </c>
      <c r="O378" s="5">
        <f>IF(OR(INDEX($V$2:$V$1001,MATCH(ROWS($U$2:U378),$U$2:$U$1001,0),1)&gt;=100000,INDEX($AB$1005:$AQ$1005,1,MATCH(COLUMNS($AB$1006:AO1006),$AB$1006:$AQ$1006,0))&gt;=100000), " ",IF(INDEX($AB$2:$AQ$1001,MATCH(ROWS($U$2:U378),$U$2:$U$1001,0),MATCH(COLUMNS($AB$1006:AO1006),$AB$1006:$AQ$1006,0)), HYPERLINK("#",""), HYPERLINK(CONCATENATE("#Metadata!", ADDRESS(INDEX($W$2:$W$1001,MATCH(ROWS($U$2:U378),$U$2:$U$1001,0),0), INDEX($AB$1004:$AQ$1004,1,MATCH(COLUMNS($AB$1006:AO1006),$AB$1006:$AQ$1006,0)))),"Fix")))</f>
        <v>0</v>
      </c>
      <c r="P378" s="5">
        <f>IF(OR(INDEX($V$2:$V$1001,MATCH(ROWS($U$2:U378),$U$2:$U$1001,0),1)&gt;=100000,INDEX($AB$1005:$AQ$1005,1,MATCH(COLUMNS($AB$1006:AP1006),$AB$1006:$AQ$1006,0))&gt;=100000), " ",IF(INDEX($AB$2:$AQ$1001,MATCH(ROWS($U$2:U378),$U$2:$U$1001,0),MATCH(COLUMNS($AB$1006:AP1006),$AB$1006:$AQ$1006,0)), HYPERLINK("#",""), HYPERLINK(CONCATENATE("#Metadata!", ADDRESS(INDEX($W$2:$W$1001,MATCH(ROWS($U$2:U378),$U$2:$U$1001,0),0), INDEX($AB$1004:$AQ$1004,1,MATCH(COLUMNS($AB$1006:AP1006),$AB$1006:$AQ$1006,0)))),"Fix")))</f>
        <v>0</v>
      </c>
      <c r="Q378" s="5">
        <f>IF(OR(INDEX($V$2:$V$1001,MATCH(ROWS($U$2:U378),$U$2:$U$1001,0),1)&gt;=100000,INDEX($AB$1005:$AQ$1005,1,MATCH(COLUMNS($AB$1006:AQ1006),$AB$1006:$AQ$1006,0))&gt;=100000), " ",IF(INDEX($AB$2:$AQ$1001,MATCH(ROWS($U$2:U378),$U$2:$U$1001,0),MATCH(COLUMNS($AB$1006:AQ1006),$AB$1006:$AQ$1006,0)), HYPERLINK("#",""), HYPERLINK(CONCATENATE("#Metadata!", ADDRESS(INDEX($W$2:$W$1001,MATCH(ROWS($U$2:U378),$U$2:$U$1001,0),0), INDEX($AB$1004:$AQ$1004,1,MATCH(COLUMNS($AB$1006:AQ1006),$AB$1006:$AQ$1006,0)))),"Fix")))</f>
        <v>0</v>
      </c>
      <c r="U378">
        <v>0</v>
      </c>
      <c r="V378">
        <v>0</v>
      </c>
      <c r="W378">
        <v>0</v>
      </c>
      <c r="X378">
        <f>IF(Y378,TRUE,AND(AB378:AQ378))</f>
        <v>0</v>
      </c>
      <c r="Y378">
        <f>COUNTBLANK(Metadata!B378:Q378)=COLUMNS(Metadata!B378:Q378)</f>
        <v>0</v>
      </c>
      <c r="Z378">
        <v>0</v>
      </c>
      <c r="AB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AC378">
        <f>AND(IF(Metadata!C378="",FALSE,TRUE),exact(Metadata!C378,"urban biome"))</f>
        <v>0</v>
      </c>
      <c r="AD378">
        <f>AND(IF(Metadata!D378="",FALSE,TRUE),exact(Metadata!D378,"human-associated habitat"))</f>
        <v>0</v>
      </c>
      <c r="AE378">
        <f>AND(IF(Metadata!E378="",FALSE,TRUE),OR(exact(Metadata!E378,"human-associated"),exact(Metadata!E378,"human-skin"),exact(Metadata!E378,"human-oral"),exact(Metadata!E378,"human-gut"),exact(Metadata!E378,"human-vaginal")))</f>
        <v>0</v>
      </c>
      <c r="AF378">
        <f>AND(IF(Metadata!F378="",FALSE,ISNUMBER(VALUE(Metadata!F378))),Metadata!F378&gt;0)</f>
        <v>0</v>
      </c>
      <c r="AG378">
        <f>AND(IF(Metadata!G378="",FALSE,TRUE),exact(Metadata!G378,"years"))</f>
        <v>0</v>
      </c>
      <c r="AH378">
        <f>OR(AND(IF(Metadata!H378="",FALSE,TRUE),OR(exact(Metadata!H378,"not applicable"),exact(Metadata!H378,"not collected"),exact(Metadata!H378,"not provided"),exact(Metadata!H378,"restricted access"))),AND(IF(Metadata!H378="",FALSE,ISNUMBER(VALUE(Metadata!H378))),Metadata!H378&gt;0))</f>
        <v>0</v>
      </c>
      <c r="AI378">
        <f>AND(IF(Metadata!I378="",FALSE,TRUE),exact(Metadata!I378,"human"))</f>
        <v>0</v>
      </c>
      <c r="AJ378">
        <f>AND(IF(Metadata!J378="",FALSE,ISNUMBER(VALUE(Metadata!J378))),Metadata!J378&gt;0)</f>
        <v>0</v>
      </c>
      <c r="AK378">
        <f>AND(IF(Metadata!K378="",FALSE,TRUE),exact(Metadata!K378,"cm"))</f>
        <v>0</v>
      </c>
      <c r="AL378">
        <f>AND(IF(Metadata!L378="",FALSE,TRUE),exact(Metadata!L378,"Homo sapiens"))</f>
        <v>0</v>
      </c>
      <c r="AM378">
        <f>AND(IF(Metadata!M378="",FALSE,TRUE),exact(Metadata!M378,"9606"))</f>
        <v>0</v>
      </c>
      <c r="AN378">
        <f>AND(IF(Metadata!N378="",FALSE,ISNUMBER(VALUE(Metadata!N378))),Metadata!N378&gt;0)</f>
        <v>0</v>
      </c>
      <c r="AO378">
        <f>AND(IF(Metadata!O378="",FALSE,TRUE),exact(Metadata!O378,"kg"))</f>
        <v>0</v>
      </c>
      <c r="AP378">
        <f>OR(AND(IF(Metadata!P378="",FALSE,TRUE),exact(Metadata!P378,"not provided")),IF(Metadata!P378="",FALSE,TRUE))</f>
        <v>0</v>
      </c>
      <c r="AQ378">
        <f>OR(AND(IF(Metadata!Q378="",FALSE,TRUE),exact(Metadata!Q378,"not provided")),IF(Metadata!Q378="",FALSE,TRUE))</f>
        <v>0</v>
      </c>
    </row>
    <row r="379" spans="1:43">
      <c r="A379" s="4">
        <f>IF(B379=" "," ",HYPERLINK(CONCATENATE("#metadata!",ADDRESS(INDEX($W$2:$W$1001,MATCH(ROWS($U$2:U379),$U$2:$U$1001,0),0),2)),INDEX($Z$2:$Z$1001,MATCH(ROWS($U$2:U379),$U$2:$U$1001,0),0)))</f>
        <v>0</v>
      </c>
      <c r="B379" s="5">
        <f>IF(OR(INDEX($V$2:$V$1001,MATCH(ROWS($U$2:U379),$U$2:$U$1001,0),1)&gt;=100000,INDEX($AB$1005:$AQ$1005,1,MATCH(COLUMNS($AB$1006:AB1006),$AB$1006:$AQ$1006,0))&gt;=100000), " ",IF(INDEX($AB$2:$AQ$1001,MATCH(ROWS($U$2:U379),$U$2:$U$1001,0),MATCH(COLUMNS($AB$1006:AB1006),$AB$1006:$AQ$1006,0)), HYPERLINK("#",""), HYPERLINK(CONCATENATE("#Metadata!", ADDRESS(INDEX($W$2:$W$1001,MATCH(ROWS($U$2:U379),$U$2:$U$1001,0),0), INDEX($AB$1004:$AQ$1004,1,MATCH(COLUMNS($AB$1006:AB1006),$AB$1006:$AQ$1006,0)))),"Fix")))</f>
        <v>0</v>
      </c>
      <c r="C379" s="5">
        <f>IF(OR(INDEX($V$2:$V$1001,MATCH(ROWS($U$2:U379),$U$2:$U$1001,0),1)&gt;=100000,INDEX($AB$1005:$AQ$1005,1,MATCH(COLUMNS($AB$1006:AC1006),$AB$1006:$AQ$1006,0))&gt;=100000), " ",IF(INDEX($AB$2:$AQ$1001,MATCH(ROWS($U$2:U379),$U$2:$U$1001,0),MATCH(COLUMNS($AB$1006:AC1006),$AB$1006:$AQ$1006,0)), HYPERLINK("#",""), HYPERLINK(CONCATENATE("#Metadata!", ADDRESS(INDEX($W$2:$W$1001,MATCH(ROWS($U$2:U379),$U$2:$U$1001,0),0), INDEX($AB$1004:$AQ$1004,1,MATCH(COLUMNS($AB$1006:AC1006),$AB$1006:$AQ$1006,0)))),"Fix")))</f>
        <v>0</v>
      </c>
      <c r="D379" s="5">
        <f>IF(OR(INDEX($V$2:$V$1001,MATCH(ROWS($U$2:U379),$U$2:$U$1001,0),1)&gt;=100000,INDEX($AB$1005:$AQ$1005,1,MATCH(COLUMNS($AB$1006:AD1006),$AB$1006:$AQ$1006,0))&gt;=100000), " ",IF(INDEX($AB$2:$AQ$1001,MATCH(ROWS($U$2:U379),$U$2:$U$1001,0),MATCH(COLUMNS($AB$1006:AD1006),$AB$1006:$AQ$1006,0)), HYPERLINK("#",""), HYPERLINK(CONCATENATE("#Metadata!", ADDRESS(INDEX($W$2:$W$1001,MATCH(ROWS($U$2:U379),$U$2:$U$1001,0),0), INDEX($AB$1004:$AQ$1004,1,MATCH(COLUMNS($AB$1006:AD1006),$AB$1006:$AQ$1006,0)))),"Fix")))</f>
        <v>0</v>
      </c>
      <c r="E379" s="5">
        <f>IF(OR(INDEX($V$2:$V$1001,MATCH(ROWS($U$2:U379),$U$2:$U$1001,0),1)&gt;=100000,INDEX($AB$1005:$AQ$1005,1,MATCH(COLUMNS($AB$1006:AE1006),$AB$1006:$AQ$1006,0))&gt;=100000), " ",IF(INDEX($AB$2:$AQ$1001,MATCH(ROWS($U$2:U379),$U$2:$U$1001,0),MATCH(COLUMNS($AB$1006:AE1006),$AB$1006:$AQ$1006,0)), HYPERLINK("#",""), HYPERLINK(CONCATENATE("#Metadata!", ADDRESS(INDEX($W$2:$W$1001,MATCH(ROWS($U$2:U379),$U$2:$U$1001,0),0), INDEX($AB$1004:$AQ$1004,1,MATCH(COLUMNS($AB$1006:AE1006),$AB$1006:$AQ$1006,0)))),"Fix")))</f>
        <v>0</v>
      </c>
      <c r="F379" s="5">
        <f>IF(OR(INDEX($V$2:$V$1001,MATCH(ROWS($U$2:U379),$U$2:$U$1001,0),1)&gt;=100000,INDEX($AB$1005:$AQ$1005,1,MATCH(COLUMNS($AB$1006:AF1006),$AB$1006:$AQ$1006,0))&gt;=100000), " ",IF(INDEX($AB$2:$AQ$1001,MATCH(ROWS($U$2:U379),$U$2:$U$1001,0),MATCH(COLUMNS($AB$1006:AF1006),$AB$1006:$AQ$1006,0)), HYPERLINK("#",""), HYPERLINK(CONCATENATE("#Metadata!", ADDRESS(INDEX($W$2:$W$1001,MATCH(ROWS($U$2:U379),$U$2:$U$1001,0),0), INDEX($AB$1004:$AQ$1004,1,MATCH(COLUMNS($AB$1006:AF1006),$AB$1006:$AQ$1006,0)))),"Fix")))</f>
        <v>0</v>
      </c>
      <c r="G379" s="5">
        <f>IF(OR(INDEX($V$2:$V$1001,MATCH(ROWS($U$2:U379),$U$2:$U$1001,0),1)&gt;=100000,INDEX($AB$1005:$AQ$1005,1,MATCH(COLUMNS($AB$1006:AG1006),$AB$1006:$AQ$1006,0))&gt;=100000), " ",IF(INDEX($AB$2:$AQ$1001,MATCH(ROWS($U$2:U379),$U$2:$U$1001,0),MATCH(COLUMNS($AB$1006:AG1006),$AB$1006:$AQ$1006,0)), HYPERLINK("#",""), HYPERLINK(CONCATENATE("#Metadata!", ADDRESS(INDEX($W$2:$W$1001,MATCH(ROWS($U$2:U379),$U$2:$U$1001,0),0), INDEX($AB$1004:$AQ$1004,1,MATCH(COLUMNS($AB$1006:AG1006),$AB$1006:$AQ$1006,0)))),"Fix")))</f>
        <v>0</v>
      </c>
      <c r="H379" s="5">
        <f>IF(OR(INDEX($V$2:$V$1001,MATCH(ROWS($U$2:U379),$U$2:$U$1001,0),1)&gt;=100000,INDEX($AB$1005:$AQ$1005,1,MATCH(COLUMNS($AB$1006:AH1006),$AB$1006:$AQ$1006,0))&gt;=100000), " ",IF(INDEX($AB$2:$AQ$1001,MATCH(ROWS($U$2:U379),$U$2:$U$1001,0),MATCH(COLUMNS($AB$1006:AH1006),$AB$1006:$AQ$1006,0)), HYPERLINK("#",""), HYPERLINK(CONCATENATE("#Metadata!", ADDRESS(INDEX($W$2:$W$1001,MATCH(ROWS($U$2:U379),$U$2:$U$1001,0),0), INDEX($AB$1004:$AQ$1004,1,MATCH(COLUMNS($AB$1006:AH1006),$AB$1006:$AQ$1006,0)))),"Fix")))</f>
        <v>0</v>
      </c>
      <c r="I379" s="5">
        <f>IF(OR(INDEX($V$2:$V$1001,MATCH(ROWS($U$2:U379),$U$2:$U$1001,0),1)&gt;=100000,INDEX($AB$1005:$AQ$1005,1,MATCH(COLUMNS($AB$1006:AI1006),$AB$1006:$AQ$1006,0))&gt;=100000), " ",IF(INDEX($AB$2:$AQ$1001,MATCH(ROWS($U$2:U379),$U$2:$U$1001,0),MATCH(COLUMNS($AB$1006:AI1006),$AB$1006:$AQ$1006,0)), HYPERLINK("#",""), HYPERLINK(CONCATENATE("#Metadata!", ADDRESS(INDEX($W$2:$W$1001,MATCH(ROWS($U$2:U379),$U$2:$U$1001,0),0), INDEX($AB$1004:$AQ$1004,1,MATCH(COLUMNS($AB$1006:AI1006),$AB$1006:$AQ$1006,0)))),"Fix")))</f>
        <v>0</v>
      </c>
      <c r="J379" s="5">
        <f>IF(OR(INDEX($V$2:$V$1001,MATCH(ROWS($U$2:U379),$U$2:$U$1001,0),1)&gt;=100000,INDEX($AB$1005:$AQ$1005,1,MATCH(COLUMNS($AB$1006:AJ1006),$AB$1006:$AQ$1006,0))&gt;=100000), " ",IF(INDEX($AB$2:$AQ$1001,MATCH(ROWS($U$2:U379),$U$2:$U$1001,0),MATCH(COLUMNS($AB$1006:AJ1006),$AB$1006:$AQ$1006,0)), HYPERLINK("#",""), HYPERLINK(CONCATENATE("#Metadata!", ADDRESS(INDEX($W$2:$W$1001,MATCH(ROWS($U$2:U379),$U$2:$U$1001,0),0), INDEX($AB$1004:$AQ$1004,1,MATCH(COLUMNS($AB$1006:AJ1006),$AB$1006:$AQ$1006,0)))),"Fix")))</f>
        <v>0</v>
      </c>
      <c r="K379" s="5">
        <f>IF(OR(INDEX($V$2:$V$1001,MATCH(ROWS($U$2:U379),$U$2:$U$1001,0),1)&gt;=100000,INDEX($AB$1005:$AQ$1005,1,MATCH(COLUMNS($AB$1006:AK1006),$AB$1006:$AQ$1006,0))&gt;=100000), " ",IF(INDEX($AB$2:$AQ$1001,MATCH(ROWS($U$2:U379),$U$2:$U$1001,0),MATCH(COLUMNS($AB$1006:AK1006),$AB$1006:$AQ$1006,0)), HYPERLINK("#",""), HYPERLINK(CONCATENATE("#Metadata!", ADDRESS(INDEX($W$2:$W$1001,MATCH(ROWS($U$2:U379),$U$2:$U$1001,0),0), INDEX($AB$1004:$AQ$1004,1,MATCH(COLUMNS($AB$1006:AK1006),$AB$1006:$AQ$1006,0)))),"Fix")))</f>
        <v>0</v>
      </c>
      <c r="L379" s="5">
        <f>IF(OR(INDEX($V$2:$V$1001,MATCH(ROWS($U$2:U379),$U$2:$U$1001,0),1)&gt;=100000,INDEX($AB$1005:$AQ$1005,1,MATCH(COLUMNS($AB$1006:AL1006),$AB$1006:$AQ$1006,0))&gt;=100000), " ",IF(INDEX($AB$2:$AQ$1001,MATCH(ROWS($U$2:U379),$U$2:$U$1001,0),MATCH(COLUMNS($AB$1006:AL1006),$AB$1006:$AQ$1006,0)), HYPERLINK("#",""), HYPERLINK(CONCATENATE("#Metadata!", ADDRESS(INDEX($W$2:$W$1001,MATCH(ROWS($U$2:U379),$U$2:$U$1001,0),0), INDEX($AB$1004:$AQ$1004,1,MATCH(COLUMNS($AB$1006:AL1006),$AB$1006:$AQ$1006,0)))),"Fix")))</f>
        <v>0</v>
      </c>
      <c r="M379" s="5">
        <f>IF(OR(INDEX($V$2:$V$1001,MATCH(ROWS($U$2:U379),$U$2:$U$1001,0),1)&gt;=100000,INDEX($AB$1005:$AQ$1005,1,MATCH(COLUMNS($AB$1006:AM1006),$AB$1006:$AQ$1006,0))&gt;=100000), " ",IF(INDEX($AB$2:$AQ$1001,MATCH(ROWS($U$2:U379),$U$2:$U$1001,0),MATCH(COLUMNS($AB$1006:AM1006),$AB$1006:$AQ$1006,0)), HYPERLINK("#",""), HYPERLINK(CONCATENATE("#Metadata!", ADDRESS(INDEX($W$2:$W$1001,MATCH(ROWS($U$2:U379),$U$2:$U$1001,0),0), INDEX($AB$1004:$AQ$1004,1,MATCH(COLUMNS($AB$1006:AM1006),$AB$1006:$AQ$1006,0)))),"Fix")))</f>
        <v>0</v>
      </c>
      <c r="N379" s="5">
        <f>IF(OR(INDEX($V$2:$V$1001,MATCH(ROWS($U$2:U379),$U$2:$U$1001,0),1)&gt;=100000,INDEX($AB$1005:$AQ$1005,1,MATCH(COLUMNS($AB$1006:AN1006),$AB$1006:$AQ$1006,0))&gt;=100000), " ",IF(INDEX($AB$2:$AQ$1001,MATCH(ROWS($U$2:U379),$U$2:$U$1001,0),MATCH(COLUMNS($AB$1006:AN1006),$AB$1006:$AQ$1006,0)), HYPERLINK("#",""), HYPERLINK(CONCATENATE("#Metadata!", ADDRESS(INDEX($W$2:$W$1001,MATCH(ROWS($U$2:U379),$U$2:$U$1001,0),0), INDEX($AB$1004:$AQ$1004,1,MATCH(COLUMNS($AB$1006:AN1006),$AB$1006:$AQ$1006,0)))),"Fix")))</f>
        <v>0</v>
      </c>
      <c r="O379" s="5">
        <f>IF(OR(INDEX($V$2:$V$1001,MATCH(ROWS($U$2:U379),$U$2:$U$1001,0),1)&gt;=100000,INDEX($AB$1005:$AQ$1005,1,MATCH(COLUMNS($AB$1006:AO1006),$AB$1006:$AQ$1006,0))&gt;=100000), " ",IF(INDEX($AB$2:$AQ$1001,MATCH(ROWS($U$2:U379),$U$2:$U$1001,0),MATCH(COLUMNS($AB$1006:AO1006),$AB$1006:$AQ$1006,0)), HYPERLINK("#",""), HYPERLINK(CONCATENATE("#Metadata!", ADDRESS(INDEX($W$2:$W$1001,MATCH(ROWS($U$2:U379),$U$2:$U$1001,0),0), INDEX($AB$1004:$AQ$1004,1,MATCH(COLUMNS($AB$1006:AO1006),$AB$1006:$AQ$1006,0)))),"Fix")))</f>
        <v>0</v>
      </c>
      <c r="P379" s="5">
        <f>IF(OR(INDEX($V$2:$V$1001,MATCH(ROWS($U$2:U379),$U$2:$U$1001,0),1)&gt;=100000,INDEX($AB$1005:$AQ$1005,1,MATCH(COLUMNS($AB$1006:AP1006),$AB$1006:$AQ$1006,0))&gt;=100000), " ",IF(INDEX($AB$2:$AQ$1001,MATCH(ROWS($U$2:U379),$U$2:$U$1001,0),MATCH(COLUMNS($AB$1006:AP1006),$AB$1006:$AQ$1006,0)), HYPERLINK("#",""), HYPERLINK(CONCATENATE("#Metadata!", ADDRESS(INDEX($W$2:$W$1001,MATCH(ROWS($U$2:U379),$U$2:$U$1001,0),0), INDEX($AB$1004:$AQ$1004,1,MATCH(COLUMNS($AB$1006:AP1006),$AB$1006:$AQ$1006,0)))),"Fix")))</f>
        <v>0</v>
      </c>
      <c r="Q379" s="5">
        <f>IF(OR(INDEX($V$2:$V$1001,MATCH(ROWS($U$2:U379),$U$2:$U$1001,0),1)&gt;=100000,INDEX($AB$1005:$AQ$1005,1,MATCH(COLUMNS($AB$1006:AQ1006),$AB$1006:$AQ$1006,0))&gt;=100000), " ",IF(INDEX($AB$2:$AQ$1001,MATCH(ROWS($U$2:U379),$U$2:$U$1001,0),MATCH(COLUMNS($AB$1006:AQ1006),$AB$1006:$AQ$1006,0)), HYPERLINK("#",""), HYPERLINK(CONCATENATE("#Metadata!", ADDRESS(INDEX($W$2:$W$1001,MATCH(ROWS($U$2:U379),$U$2:$U$1001,0),0), INDEX($AB$1004:$AQ$1004,1,MATCH(COLUMNS($AB$1006:AQ1006),$AB$1006:$AQ$1006,0)))),"Fix")))</f>
        <v>0</v>
      </c>
      <c r="U379">
        <v>0</v>
      </c>
      <c r="V379">
        <v>0</v>
      </c>
      <c r="W379">
        <v>0</v>
      </c>
      <c r="X379">
        <f>IF(Y379,TRUE,AND(AB379:AQ379))</f>
        <v>0</v>
      </c>
      <c r="Y379">
        <f>COUNTBLANK(Metadata!B379:Q379)=COLUMNS(Metadata!B379:Q379)</f>
        <v>0</v>
      </c>
      <c r="Z379">
        <v>0</v>
      </c>
      <c r="AB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AC379">
        <f>AND(IF(Metadata!C379="",FALSE,TRUE),exact(Metadata!C379,"urban biome"))</f>
        <v>0</v>
      </c>
      <c r="AD379">
        <f>AND(IF(Metadata!D379="",FALSE,TRUE),exact(Metadata!D379,"human-associated habitat"))</f>
        <v>0</v>
      </c>
      <c r="AE379">
        <f>AND(IF(Metadata!E379="",FALSE,TRUE),OR(exact(Metadata!E379,"human-associated"),exact(Metadata!E379,"human-skin"),exact(Metadata!E379,"human-oral"),exact(Metadata!E379,"human-gut"),exact(Metadata!E379,"human-vaginal")))</f>
        <v>0</v>
      </c>
      <c r="AF379">
        <f>AND(IF(Metadata!F379="",FALSE,ISNUMBER(VALUE(Metadata!F379))),Metadata!F379&gt;0)</f>
        <v>0</v>
      </c>
      <c r="AG379">
        <f>AND(IF(Metadata!G379="",FALSE,TRUE),exact(Metadata!G379,"years"))</f>
        <v>0</v>
      </c>
      <c r="AH379">
        <f>OR(AND(IF(Metadata!H379="",FALSE,TRUE),OR(exact(Metadata!H379,"not applicable"),exact(Metadata!H379,"not collected"),exact(Metadata!H379,"not provided"),exact(Metadata!H379,"restricted access"))),AND(IF(Metadata!H379="",FALSE,ISNUMBER(VALUE(Metadata!H379))),Metadata!H379&gt;0))</f>
        <v>0</v>
      </c>
      <c r="AI379">
        <f>AND(IF(Metadata!I379="",FALSE,TRUE),exact(Metadata!I379,"human"))</f>
        <v>0</v>
      </c>
      <c r="AJ379">
        <f>AND(IF(Metadata!J379="",FALSE,ISNUMBER(VALUE(Metadata!J379))),Metadata!J379&gt;0)</f>
        <v>0</v>
      </c>
      <c r="AK379">
        <f>AND(IF(Metadata!K379="",FALSE,TRUE),exact(Metadata!K379,"cm"))</f>
        <v>0</v>
      </c>
      <c r="AL379">
        <f>AND(IF(Metadata!L379="",FALSE,TRUE),exact(Metadata!L379,"Homo sapiens"))</f>
        <v>0</v>
      </c>
      <c r="AM379">
        <f>AND(IF(Metadata!M379="",FALSE,TRUE),exact(Metadata!M379,"9606"))</f>
        <v>0</v>
      </c>
      <c r="AN379">
        <f>AND(IF(Metadata!N379="",FALSE,ISNUMBER(VALUE(Metadata!N379))),Metadata!N379&gt;0)</f>
        <v>0</v>
      </c>
      <c r="AO379">
        <f>AND(IF(Metadata!O379="",FALSE,TRUE),exact(Metadata!O379,"kg"))</f>
        <v>0</v>
      </c>
      <c r="AP379">
        <f>OR(AND(IF(Metadata!P379="",FALSE,TRUE),exact(Metadata!P379,"not provided")),IF(Metadata!P379="",FALSE,TRUE))</f>
        <v>0</v>
      </c>
      <c r="AQ379">
        <f>OR(AND(IF(Metadata!Q379="",FALSE,TRUE),exact(Metadata!Q379,"not provided")),IF(Metadata!Q379="",FALSE,TRUE))</f>
        <v>0</v>
      </c>
    </row>
    <row r="380" spans="1:43">
      <c r="A380" s="4">
        <f>IF(B380=" "," ",HYPERLINK(CONCATENATE("#metadata!",ADDRESS(INDEX($W$2:$W$1001,MATCH(ROWS($U$2:U380),$U$2:$U$1001,0),0),2)),INDEX($Z$2:$Z$1001,MATCH(ROWS($U$2:U380),$U$2:$U$1001,0),0)))</f>
        <v>0</v>
      </c>
      <c r="B380" s="5">
        <f>IF(OR(INDEX($V$2:$V$1001,MATCH(ROWS($U$2:U380),$U$2:$U$1001,0),1)&gt;=100000,INDEX($AB$1005:$AQ$1005,1,MATCH(COLUMNS($AB$1006:AB1006),$AB$1006:$AQ$1006,0))&gt;=100000), " ",IF(INDEX($AB$2:$AQ$1001,MATCH(ROWS($U$2:U380),$U$2:$U$1001,0),MATCH(COLUMNS($AB$1006:AB1006),$AB$1006:$AQ$1006,0)), HYPERLINK("#",""), HYPERLINK(CONCATENATE("#Metadata!", ADDRESS(INDEX($W$2:$W$1001,MATCH(ROWS($U$2:U380),$U$2:$U$1001,0),0), INDEX($AB$1004:$AQ$1004,1,MATCH(COLUMNS($AB$1006:AB1006),$AB$1006:$AQ$1006,0)))),"Fix")))</f>
        <v>0</v>
      </c>
      <c r="C380" s="5">
        <f>IF(OR(INDEX($V$2:$V$1001,MATCH(ROWS($U$2:U380),$U$2:$U$1001,0),1)&gt;=100000,INDEX($AB$1005:$AQ$1005,1,MATCH(COLUMNS($AB$1006:AC1006),$AB$1006:$AQ$1006,0))&gt;=100000), " ",IF(INDEX($AB$2:$AQ$1001,MATCH(ROWS($U$2:U380),$U$2:$U$1001,0),MATCH(COLUMNS($AB$1006:AC1006),$AB$1006:$AQ$1006,0)), HYPERLINK("#",""), HYPERLINK(CONCATENATE("#Metadata!", ADDRESS(INDEX($W$2:$W$1001,MATCH(ROWS($U$2:U380),$U$2:$U$1001,0),0), INDEX($AB$1004:$AQ$1004,1,MATCH(COLUMNS($AB$1006:AC1006),$AB$1006:$AQ$1006,0)))),"Fix")))</f>
        <v>0</v>
      </c>
      <c r="D380" s="5">
        <f>IF(OR(INDEX($V$2:$V$1001,MATCH(ROWS($U$2:U380),$U$2:$U$1001,0),1)&gt;=100000,INDEX($AB$1005:$AQ$1005,1,MATCH(COLUMNS($AB$1006:AD1006),$AB$1006:$AQ$1006,0))&gt;=100000), " ",IF(INDEX($AB$2:$AQ$1001,MATCH(ROWS($U$2:U380),$U$2:$U$1001,0),MATCH(COLUMNS($AB$1006:AD1006),$AB$1006:$AQ$1006,0)), HYPERLINK("#",""), HYPERLINK(CONCATENATE("#Metadata!", ADDRESS(INDEX($W$2:$W$1001,MATCH(ROWS($U$2:U380),$U$2:$U$1001,0),0), INDEX($AB$1004:$AQ$1004,1,MATCH(COLUMNS($AB$1006:AD1006),$AB$1006:$AQ$1006,0)))),"Fix")))</f>
        <v>0</v>
      </c>
      <c r="E380" s="5">
        <f>IF(OR(INDEX($V$2:$V$1001,MATCH(ROWS($U$2:U380),$U$2:$U$1001,0),1)&gt;=100000,INDEX($AB$1005:$AQ$1005,1,MATCH(COLUMNS($AB$1006:AE1006),$AB$1006:$AQ$1006,0))&gt;=100000), " ",IF(INDEX($AB$2:$AQ$1001,MATCH(ROWS($U$2:U380),$U$2:$U$1001,0),MATCH(COLUMNS($AB$1006:AE1006),$AB$1006:$AQ$1006,0)), HYPERLINK("#",""), HYPERLINK(CONCATENATE("#Metadata!", ADDRESS(INDEX($W$2:$W$1001,MATCH(ROWS($U$2:U380),$U$2:$U$1001,0),0), INDEX($AB$1004:$AQ$1004,1,MATCH(COLUMNS($AB$1006:AE1006),$AB$1006:$AQ$1006,0)))),"Fix")))</f>
        <v>0</v>
      </c>
      <c r="F380" s="5">
        <f>IF(OR(INDEX($V$2:$V$1001,MATCH(ROWS($U$2:U380),$U$2:$U$1001,0),1)&gt;=100000,INDEX($AB$1005:$AQ$1005,1,MATCH(COLUMNS($AB$1006:AF1006),$AB$1006:$AQ$1006,0))&gt;=100000), " ",IF(INDEX($AB$2:$AQ$1001,MATCH(ROWS($U$2:U380),$U$2:$U$1001,0),MATCH(COLUMNS($AB$1006:AF1006),$AB$1006:$AQ$1006,0)), HYPERLINK("#",""), HYPERLINK(CONCATENATE("#Metadata!", ADDRESS(INDEX($W$2:$W$1001,MATCH(ROWS($U$2:U380),$U$2:$U$1001,0),0), INDEX($AB$1004:$AQ$1004,1,MATCH(COLUMNS($AB$1006:AF1006),$AB$1006:$AQ$1006,0)))),"Fix")))</f>
        <v>0</v>
      </c>
      <c r="G380" s="5">
        <f>IF(OR(INDEX($V$2:$V$1001,MATCH(ROWS($U$2:U380),$U$2:$U$1001,0),1)&gt;=100000,INDEX($AB$1005:$AQ$1005,1,MATCH(COLUMNS($AB$1006:AG1006),$AB$1006:$AQ$1006,0))&gt;=100000), " ",IF(INDEX($AB$2:$AQ$1001,MATCH(ROWS($U$2:U380),$U$2:$U$1001,0),MATCH(COLUMNS($AB$1006:AG1006),$AB$1006:$AQ$1006,0)), HYPERLINK("#",""), HYPERLINK(CONCATENATE("#Metadata!", ADDRESS(INDEX($W$2:$W$1001,MATCH(ROWS($U$2:U380),$U$2:$U$1001,0),0), INDEX($AB$1004:$AQ$1004,1,MATCH(COLUMNS($AB$1006:AG1006),$AB$1006:$AQ$1006,0)))),"Fix")))</f>
        <v>0</v>
      </c>
      <c r="H380" s="5">
        <f>IF(OR(INDEX($V$2:$V$1001,MATCH(ROWS($U$2:U380),$U$2:$U$1001,0),1)&gt;=100000,INDEX($AB$1005:$AQ$1005,1,MATCH(COLUMNS($AB$1006:AH1006),$AB$1006:$AQ$1006,0))&gt;=100000), " ",IF(INDEX($AB$2:$AQ$1001,MATCH(ROWS($U$2:U380),$U$2:$U$1001,0),MATCH(COLUMNS($AB$1006:AH1006),$AB$1006:$AQ$1006,0)), HYPERLINK("#",""), HYPERLINK(CONCATENATE("#Metadata!", ADDRESS(INDEX($W$2:$W$1001,MATCH(ROWS($U$2:U380),$U$2:$U$1001,0),0), INDEX($AB$1004:$AQ$1004,1,MATCH(COLUMNS($AB$1006:AH1006),$AB$1006:$AQ$1006,0)))),"Fix")))</f>
        <v>0</v>
      </c>
      <c r="I380" s="5">
        <f>IF(OR(INDEX($V$2:$V$1001,MATCH(ROWS($U$2:U380),$U$2:$U$1001,0),1)&gt;=100000,INDEX($AB$1005:$AQ$1005,1,MATCH(COLUMNS($AB$1006:AI1006),$AB$1006:$AQ$1006,0))&gt;=100000), " ",IF(INDEX($AB$2:$AQ$1001,MATCH(ROWS($U$2:U380),$U$2:$U$1001,0),MATCH(COLUMNS($AB$1006:AI1006),$AB$1006:$AQ$1006,0)), HYPERLINK("#",""), HYPERLINK(CONCATENATE("#Metadata!", ADDRESS(INDEX($W$2:$W$1001,MATCH(ROWS($U$2:U380),$U$2:$U$1001,0),0), INDEX($AB$1004:$AQ$1004,1,MATCH(COLUMNS($AB$1006:AI1006),$AB$1006:$AQ$1006,0)))),"Fix")))</f>
        <v>0</v>
      </c>
      <c r="J380" s="5">
        <f>IF(OR(INDEX($V$2:$V$1001,MATCH(ROWS($U$2:U380),$U$2:$U$1001,0),1)&gt;=100000,INDEX($AB$1005:$AQ$1005,1,MATCH(COLUMNS($AB$1006:AJ1006),$AB$1006:$AQ$1006,0))&gt;=100000), " ",IF(INDEX($AB$2:$AQ$1001,MATCH(ROWS($U$2:U380),$U$2:$U$1001,0),MATCH(COLUMNS($AB$1006:AJ1006),$AB$1006:$AQ$1006,0)), HYPERLINK("#",""), HYPERLINK(CONCATENATE("#Metadata!", ADDRESS(INDEX($W$2:$W$1001,MATCH(ROWS($U$2:U380),$U$2:$U$1001,0),0), INDEX($AB$1004:$AQ$1004,1,MATCH(COLUMNS($AB$1006:AJ1006),$AB$1006:$AQ$1006,0)))),"Fix")))</f>
        <v>0</v>
      </c>
      <c r="K380" s="5">
        <f>IF(OR(INDEX($V$2:$V$1001,MATCH(ROWS($U$2:U380),$U$2:$U$1001,0),1)&gt;=100000,INDEX($AB$1005:$AQ$1005,1,MATCH(COLUMNS($AB$1006:AK1006),$AB$1006:$AQ$1006,0))&gt;=100000), " ",IF(INDEX($AB$2:$AQ$1001,MATCH(ROWS($U$2:U380),$U$2:$U$1001,0),MATCH(COLUMNS($AB$1006:AK1006),$AB$1006:$AQ$1006,0)), HYPERLINK("#",""), HYPERLINK(CONCATENATE("#Metadata!", ADDRESS(INDEX($W$2:$W$1001,MATCH(ROWS($U$2:U380),$U$2:$U$1001,0),0), INDEX($AB$1004:$AQ$1004,1,MATCH(COLUMNS($AB$1006:AK1006),$AB$1006:$AQ$1006,0)))),"Fix")))</f>
        <v>0</v>
      </c>
      <c r="L380" s="5">
        <f>IF(OR(INDEX($V$2:$V$1001,MATCH(ROWS($U$2:U380),$U$2:$U$1001,0),1)&gt;=100000,INDEX($AB$1005:$AQ$1005,1,MATCH(COLUMNS($AB$1006:AL1006),$AB$1006:$AQ$1006,0))&gt;=100000), " ",IF(INDEX($AB$2:$AQ$1001,MATCH(ROWS($U$2:U380),$U$2:$U$1001,0),MATCH(COLUMNS($AB$1006:AL1006),$AB$1006:$AQ$1006,0)), HYPERLINK("#",""), HYPERLINK(CONCATENATE("#Metadata!", ADDRESS(INDEX($W$2:$W$1001,MATCH(ROWS($U$2:U380),$U$2:$U$1001,0),0), INDEX($AB$1004:$AQ$1004,1,MATCH(COLUMNS($AB$1006:AL1006),$AB$1006:$AQ$1006,0)))),"Fix")))</f>
        <v>0</v>
      </c>
      <c r="M380" s="5">
        <f>IF(OR(INDEX($V$2:$V$1001,MATCH(ROWS($U$2:U380),$U$2:$U$1001,0),1)&gt;=100000,INDEX($AB$1005:$AQ$1005,1,MATCH(COLUMNS($AB$1006:AM1006),$AB$1006:$AQ$1006,0))&gt;=100000), " ",IF(INDEX($AB$2:$AQ$1001,MATCH(ROWS($U$2:U380),$U$2:$U$1001,0),MATCH(COLUMNS($AB$1006:AM1006),$AB$1006:$AQ$1006,0)), HYPERLINK("#",""), HYPERLINK(CONCATENATE("#Metadata!", ADDRESS(INDEX($W$2:$W$1001,MATCH(ROWS($U$2:U380),$U$2:$U$1001,0),0), INDEX($AB$1004:$AQ$1004,1,MATCH(COLUMNS($AB$1006:AM1006),$AB$1006:$AQ$1006,0)))),"Fix")))</f>
        <v>0</v>
      </c>
      <c r="N380" s="5">
        <f>IF(OR(INDEX($V$2:$V$1001,MATCH(ROWS($U$2:U380),$U$2:$U$1001,0),1)&gt;=100000,INDEX($AB$1005:$AQ$1005,1,MATCH(COLUMNS($AB$1006:AN1006),$AB$1006:$AQ$1006,0))&gt;=100000), " ",IF(INDEX($AB$2:$AQ$1001,MATCH(ROWS($U$2:U380),$U$2:$U$1001,0),MATCH(COLUMNS($AB$1006:AN1006),$AB$1006:$AQ$1006,0)), HYPERLINK("#",""), HYPERLINK(CONCATENATE("#Metadata!", ADDRESS(INDEX($W$2:$W$1001,MATCH(ROWS($U$2:U380),$U$2:$U$1001,0),0), INDEX($AB$1004:$AQ$1004,1,MATCH(COLUMNS($AB$1006:AN1006),$AB$1006:$AQ$1006,0)))),"Fix")))</f>
        <v>0</v>
      </c>
      <c r="O380" s="5">
        <f>IF(OR(INDEX($V$2:$V$1001,MATCH(ROWS($U$2:U380),$U$2:$U$1001,0),1)&gt;=100000,INDEX($AB$1005:$AQ$1005,1,MATCH(COLUMNS($AB$1006:AO1006),$AB$1006:$AQ$1006,0))&gt;=100000), " ",IF(INDEX($AB$2:$AQ$1001,MATCH(ROWS($U$2:U380),$U$2:$U$1001,0),MATCH(COLUMNS($AB$1006:AO1006),$AB$1006:$AQ$1006,0)), HYPERLINK("#",""), HYPERLINK(CONCATENATE("#Metadata!", ADDRESS(INDEX($W$2:$W$1001,MATCH(ROWS($U$2:U380),$U$2:$U$1001,0),0), INDEX($AB$1004:$AQ$1004,1,MATCH(COLUMNS($AB$1006:AO1006),$AB$1006:$AQ$1006,0)))),"Fix")))</f>
        <v>0</v>
      </c>
      <c r="P380" s="5">
        <f>IF(OR(INDEX($V$2:$V$1001,MATCH(ROWS($U$2:U380),$U$2:$U$1001,0),1)&gt;=100000,INDEX($AB$1005:$AQ$1005,1,MATCH(COLUMNS($AB$1006:AP1006),$AB$1006:$AQ$1006,0))&gt;=100000), " ",IF(INDEX($AB$2:$AQ$1001,MATCH(ROWS($U$2:U380),$U$2:$U$1001,0),MATCH(COLUMNS($AB$1006:AP1006),$AB$1006:$AQ$1006,0)), HYPERLINK("#",""), HYPERLINK(CONCATENATE("#Metadata!", ADDRESS(INDEX($W$2:$W$1001,MATCH(ROWS($U$2:U380),$U$2:$U$1001,0),0), INDEX($AB$1004:$AQ$1004,1,MATCH(COLUMNS($AB$1006:AP1006),$AB$1006:$AQ$1006,0)))),"Fix")))</f>
        <v>0</v>
      </c>
      <c r="Q380" s="5">
        <f>IF(OR(INDEX($V$2:$V$1001,MATCH(ROWS($U$2:U380),$U$2:$U$1001,0),1)&gt;=100000,INDEX($AB$1005:$AQ$1005,1,MATCH(COLUMNS($AB$1006:AQ1006),$AB$1006:$AQ$1006,0))&gt;=100000), " ",IF(INDEX($AB$2:$AQ$1001,MATCH(ROWS($U$2:U380),$U$2:$U$1001,0),MATCH(COLUMNS($AB$1006:AQ1006),$AB$1006:$AQ$1006,0)), HYPERLINK("#",""), HYPERLINK(CONCATENATE("#Metadata!", ADDRESS(INDEX($W$2:$W$1001,MATCH(ROWS($U$2:U380),$U$2:$U$1001,0),0), INDEX($AB$1004:$AQ$1004,1,MATCH(COLUMNS($AB$1006:AQ1006),$AB$1006:$AQ$1006,0)))),"Fix")))</f>
        <v>0</v>
      </c>
      <c r="U380">
        <v>0</v>
      </c>
      <c r="V380">
        <v>0</v>
      </c>
      <c r="W380">
        <v>0</v>
      </c>
      <c r="X380">
        <f>IF(Y380,TRUE,AND(AB380:AQ380))</f>
        <v>0</v>
      </c>
      <c r="Y380">
        <f>COUNTBLANK(Metadata!B380:Q380)=COLUMNS(Metadata!B380:Q380)</f>
        <v>0</v>
      </c>
      <c r="Z380">
        <v>0</v>
      </c>
      <c r="AB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AC380">
        <f>AND(IF(Metadata!C380="",FALSE,TRUE),exact(Metadata!C380,"urban biome"))</f>
        <v>0</v>
      </c>
      <c r="AD380">
        <f>AND(IF(Metadata!D380="",FALSE,TRUE),exact(Metadata!D380,"human-associated habitat"))</f>
        <v>0</v>
      </c>
      <c r="AE380">
        <f>AND(IF(Metadata!E380="",FALSE,TRUE),OR(exact(Metadata!E380,"human-associated"),exact(Metadata!E380,"human-skin"),exact(Metadata!E380,"human-oral"),exact(Metadata!E380,"human-gut"),exact(Metadata!E380,"human-vaginal")))</f>
        <v>0</v>
      </c>
      <c r="AF380">
        <f>AND(IF(Metadata!F380="",FALSE,ISNUMBER(VALUE(Metadata!F380))),Metadata!F380&gt;0)</f>
        <v>0</v>
      </c>
      <c r="AG380">
        <f>AND(IF(Metadata!G380="",FALSE,TRUE),exact(Metadata!G380,"years"))</f>
        <v>0</v>
      </c>
      <c r="AH380">
        <f>OR(AND(IF(Metadata!H380="",FALSE,TRUE),OR(exact(Metadata!H380,"not applicable"),exact(Metadata!H380,"not collected"),exact(Metadata!H380,"not provided"),exact(Metadata!H380,"restricted access"))),AND(IF(Metadata!H380="",FALSE,ISNUMBER(VALUE(Metadata!H380))),Metadata!H380&gt;0))</f>
        <v>0</v>
      </c>
      <c r="AI380">
        <f>AND(IF(Metadata!I380="",FALSE,TRUE),exact(Metadata!I380,"human"))</f>
        <v>0</v>
      </c>
      <c r="AJ380">
        <f>AND(IF(Metadata!J380="",FALSE,ISNUMBER(VALUE(Metadata!J380))),Metadata!J380&gt;0)</f>
        <v>0</v>
      </c>
      <c r="AK380">
        <f>AND(IF(Metadata!K380="",FALSE,TRUE),exact(Metadata!K380,"cm"))</f>
        <v>0</v>
      </c>
      <c r="AL380">
        <f>AND(IF(Metadata!L380="",FALSE,TRUE),exact(Metadata!L380,"Homo sapiens"))</f>
        <v>0</v>
      </c>
      <c r="AM380">
        <f>AND(IF(Metadata!M380="",FALSE,TRUE),exact(Metadata!M380,"9606"))</f>
        <v>0</v>
      </c>
      <c r="AN380">
        <f>AND(IF(Metadata!N380="",FALSE,ISNUMBER(VALUE(Metadata!N380))),Metadata!N380&gt;0)</f>
        <v>0</v>
      </c>
      <c r="AO380">
        <f>AND(IF(Metadata!O380="",FALSE,TRUE),exact(Metadata!O380,"kg"))</f>
        <v>0</v>
      </c>
      <c r="AP380">
        <f>OR(AND(IF(Metadata!P380="",FALSE,TRUE),exact(Metadata!P380,"not provided")),IF(Metadata!P380="",FALSE,TRUE))</f>
        <v>0</v>
      </c>
      <c r="AQ380">
        <f>OR(AND(IF(Metadata!Q380="",FALSE,TRUE),exact(Metadata!Q380,"not provided")),IF(Metadata!Q380="",FALSE,TRUE))</f>
        <v>0</v>
      </c>
    </row>
    <row r="381" spans="1:43">
      <c r="A381" s="4">
        <f>IF(B381=" "," ",HYPERLINK(CONCATENATE("#metadata!",ADDRESS(INDEX($W$2:$W$1001,MATCH(ROWS($U$2:U381),$U$2:$U$1001,0),0),2)),INDEX($Z$2:$Z$1001,MATCH(ROWS($U$2:U381),$U$2:$U$1001,0),0)))</f>
        <v>0</v>
      </c>
      <c r="B381" s="5">
        <f>IF(OR(INDEX($V$2:$V$1001,MATCH(ROWS($U$2:U381),$U$2:$U$1001,0),1)&gt;=100000,INDEX($AB$1005:$AQ$1005,1,MATCH(COLUMNS($AB$1006:AB1006),$AB$1006:$AQ$1006,0))&gt;=100000), " ",IF(INDEX($AB$2:$AQ$1001,MATCH(ROWS($U$2:U381),$U$2:$U$1001,0),MATCH(COLUMNS($AB$1006:AB1006),$AB$1006:$AQ$1006,0)), HYPERLINK("#",""), HYPERLINK(CONCATENATE("#Metadata!", ADDRESS(INDEX($W$2:$W$1001,MATCH(ROWS($U$2:U381),$U$2:$U$1001,0),0), INDEX($AB$1004:$AQ$1004,1,MATCH(COLUMNS($AB$1006:AB1006),$AB$1006:$AQ$1006,0)))),"Fix")))</f>
        <v>0</v>
      </c>
      <c r="C381" s="5">
        <f>IF(OR(INDEX($V$2:$V$1001,MATCH(ROWS($U$2:U381),$U$2:$U$1001,0),1)&gt;=100000,INDEX($AB$1005:$AQ$1005,1,MATCH(COLUMNS($AB$1006:AC1006),$AB$1006:$AQ$1006,0))&gt;=100000), " ",IF(INDEX($AB$2:$AQ$1001,MATCH(ROWS($U$2:U381),$U$2:$U$1001,0),MATCH(COLUMNS($AB$1006:AC1006),$AB$1006:$AQ$1006,0)), HYPERLINK("#",""), HYPERLINK(CONCATENATE("#Metadata!", ADDRESS(INDEX($W$2:$W$1001,MATCH(ROWS($U$2:U381),$U$2:$U$1001,0),0), INDEX($AB$1004:$AQ$1004,1,MATCH(COLUMNS($AB$1006:AC1006),$AB$1006:$AQ$1006,0)))),"Fix")))</f>
        <v>0</v>
      </c>
      <c r="D381" s="5">
        <f>IF(OR(INDEX($V$2:$V$1001,MATCH(ROWS($U$2:U381),$U$2:$U$1001,0),1)&gt;=100000,INDEX($AB$1005:$AQ$1005,1,MATCH(COLUMNS($AB$1006:AD1006),$AB$1006:$AQ$1006,0))&gt;=100000), " ",IF(INDEX($AB$2:$AQ$1001,MATCH(ROWS($U$2:U381),$U$2:$U$1001,0),MATCH(COLUMNS($AB$1006:AD1006),$AB$1006:$AQ$1006,0)), HYPERLINK("#",""), HYPERLINK(CONCATENATE("#Metadata!", ADDRESS(INDEX($W$2:$W$1001,MATCH(ROWS($U$2:U381),$U$2:$U$1001,0),0), INDEX($AB$1004:$AQ$1004,1,MATCH(COLUMNS($AB$1006:AD1006),$AB$1006:$AQ$1006,0)))),"Fix")))</f>
        <v>0</v>
      </c>
      <c r="E381" s="5">
        <f>IF(OR(INDEX($V$2:$V$1001,MATCH(ROWS($U$2:U381),$U$2:$U$1001,0),1)&gt;=100000,INDEX($AB$1005:$AQ$1005,1,MATCH(COLUMNS($AB$1006:AE1006),$AB$1006:$AQ$1006,0))&gt;=100000), " ",IF(INDEX($AB$2:$AQ$1001,MATCH(ROWS($U$2:U381),$U$2:$U$1001,0),MATCH(COLUMNS($AB$1006:AE1006),$AB$1006:$AQ$1006,0)), HYPERLINK("#",""), HYPERLINK(CONCATENATE("#Metadata!", ADDRESS(INDEX($W$2:$W$1001,MATCH(ROWS($U$2:U381),$U$2:$U$1001,0),0), INDEX($AB$1004:$AQ$1004,1,MATCH(COLUMNS($AB$1006:AE1006),$AB$1006:$AQ$1006,0)))),"Fix")))</f>
        <v>0</v>
      </c>
      <c r="F381" s="5">
        <f>IF(OR(INDEX($V$2:$V$1001,MATCH(ROWS($U$2:U381),$U$2:$U$1001,0),1)&gt;=100000,INDEX($AB$1005:$AQ$1005,1,MATCH(COLUMNS($AB$1006:AF1006),$AB$1006:$AQ$1006,0))&gt;=100000), " ",IF(INDEX($AB$2:$AQ$1001,MATCH(ROWS($U$2:U381),$U$2:$U$1001,0),MATCH(COLUMNS($AB$1006:AF1006),$AB$1006:$AQ$1006,0)), HYPERLINK("#",""), HYPERLINK(CONCATENATE("#Metadata!", ADDRESS(INDEX($W$2:$W$1001,MATCH(ROWS($U$2:U381),$U$2:$U$1001,0),0), INDEX($AB$1004:$AQ$1004,1,MATCH(COLUMNS($AB$1006:AF1006),$AB$1006:$AQ$1006,0)))),"Fix")))</f>
        <v>0</v>
      </c>
      <c r="G381" s="5">
        <f>IF(OR(INDEX($V$2:$V$1001,MATCH(ROWS($U$2:U381),$U$2:$U$1001,0),1)&gt;=100000,INDEX($AB$1005:$AQ$1005,1,MATCH(COLUMNS($AB$1006:AG1006),$AB$1006:$AQ$1006,0))&gt;=100000), " ",IF(INDEX($AB$2:$AQ$1001,MATCH(ROWS($U$2:U381),$U$2:$U$1001,0),MATCH(COLUMNS($AB$1006:AG1006),$AB$1006:$AQ$1006,0)), HYPERLINK("#",""), HYPERLINK(CONCATENATE("#Metadata!", ADDRESS(INDEX($W$2:$W$1001,MATCH(ROWS($U$2:U381),$U$2:$U$1001,0),0), INDEX($AB$1004:$AQ$1004,1,MATCH(COLUMNS($AB$1006:AG1006),$AB$1006:$AQ$1006,0)))),"Fix")))</f>
        <v>0</v>
      </c>
      <c r="H381" s="5">
        <f>IF(OR(INDEX($V$2:$V$1001,MATCH(ROWS($U$2:U381),$U$2:$U$1001,0),1)&gt;=100000,INDEX($AB$1005:$AQ$1005,1,MATCH(COLUMNS($AB$1006:AH1006),$AB$1006:$AQ$1006,0))&gt;=100000), " ",IF(INDEX($AB$2:$AQ$1001,MATCH(ROWS($U$2:U381),$U$2:$U$1001,0),MATCH(COLUMNS($AB$1006:AH1006),$AB$1006:$AQ$1006,0)), HYPERLINK("#",""), HYPERLINK(CONCATENATE("#Metadata!", ADDRESS(INDEX($W$2:$W$1001,MATCH(ROWS($U$2:U381),$U$2:$U$1001,0),0), INDEX($AB$1004:$AQ$1004,1,MATCH(COLUMNS($AB$1006:AH1006),$AB$1006:$AQ$1006,0)))),"Fix")))</f>
        <v>0</v>
      </c>
      <c r="I381" s="5">
        <f>IF(OR(INDEX($V$2:$V$1001,MATCH(ROWS($U$2:U381),$U$2:$U$1001,0),1)&gt;=100000,INDEX($AB$1005:$AQ$1005,1,MATCH(COLUMNS($AB$1006:AI1006),$AB$1006:$AQ$1006,0))&gt;=100000), " ",IF(INDEX($AB$2:$AQ$1001,MATCH(ROWS($U$2:U381),$U$2:$U$1001,0),MATCH(COLUMNS($AB$1006:AI1006),$AB$1006:$AQ$1006,0)), HYPERLINK("#",""), HYPERLINK(CONCATENATE("#Metadata!", ADDRESS(INDEX($W$2:$W$1001,MATCH(ROWS($U$2:U381),$U$2:$U$1001,0),0), INDEX($AB$1004:$AQ$1004,1,MATCH(COLUMNS($AB$1006:AI1006),$AB$1006:$AQ$1006,0)))),"Fix")))</f>
        <v>0</v>
      </c>
      <c r="J381" s="5">
        <f>IF(OR(INDEX($V$2:$V$1001,MATCH(ROWS($U$2:U381),$U$2:$U$1001,0),1)&gt;=100000,INDEX($AB$1005:$AQ$1005,1,MATCH(COLUMNS($AB$1006:AJ1006),$AB$1006:$AQ$1006,0))&gt;=100000), " ",IF(INDEX($AB$2:$AQ$1001,MATCH(ROWS($U$2:U381),$U$2:$U$1001,0),MATCH(COLUMNS($AB$1006:AJ1006),$AB$1006:$AQ$1006,0)), HYPERLINK("#",""), HYPERLINK(CONCATENATE("#Metadata!", ADDRESS(INDEX($W$2:$W$1001,MATCH(ROWS($U$2:U381),$U$2:$U$1001,0),0), INDEX($AB$1004:$AQ$1004,1,MATCH(COLUMNS($AB$1006:AJ1006),$AB$1006:$AQ$1006,0)))),"Fix")))</f>
        <v>0</v>
      </c>
      <c r="K381" s="5">
        <f>IF(OR(INDEX($V$2:$V$1001,MATCH(ROWS($U$2:U381),$U$2:$U$1001,0),1)&gt;=100000,INDEX($AB$1005:$AQ$1005,1,MATCH(COLUMNS($AB$1006:AK1006),$AB$1006:$AQ$1006,0))&gt;=100000), " ",IF(INDEX($AB$2:$AQ$1001,MATCH(ROWS($U$2:U381),$U$2:$U$1001,0),MATCH(COLUMNS($AB$1006:AK1006),$AB$1006:$AQ$1006,0)), HYPERLINK("#",""), HYPERLINK(CONCATENATE("#Metadata!", ADDRESS(INDEX($W$2:$W$1001,MATCH(ROWS($U$2:U381),$U$2:$U$1001,0),0), INDEX($AB$1004:$AQ$1004,1,MATCH(COLUMNS($AB$1006:AK1006),$AB$1006:$AQ$1006,0)))),"Fix")))</f>
        <v>0</v>
      </c>
      <c r="L381" s="5">
        <f>IF(OR(INDEX($V$2:$V$1001,MATCH(ROWS($U$2:U381),$U$2:$U$1001,0),1)&gt;=100000,INDEX($AB$1005:$AQ$1005,1,MATCH(COLUMNS($AB$1006:AL1006),$AB$1006:$AQ$1006,0))&gt;=100000), " ",IF(INDEX($AB$2:$AQ$1001,MATCH(ROWS($U$2:U381),$U$2:$U$1001,0),MATCH(COLUMNS($AB$1006:AL1006),$AB$1006:$AQ$1006,0)), HYPERLINK("#",""), HYPERLINK(CONCATENATE("#Metadata!", ADDRESS(INDEX($W$2:$W$1001,MATCH(ROWS($U$2:U381),$U$2:$U$1001,0),0), INDEX($AB$1004:$AQ$1004,1,MATCH(COLUMNS($AB$1006:AL1006),$AB$1006:$AQ$1006,0)))),"Fix")))</f>
        <v>0</v>
      </c>
      <c r="M381" s="5">
        <f>IF(OR(INDEX($V$2:$V$1001,MATCH(ROWS($U$2:U381),$U$2:$U$1001,0),1)&gt;=100000,INDEX($AB$1005:$AQ$1005,1,MATCH(COLUMNS($AB$1006:AM1006),$AB$1006:$AQ$1006,0))&gt;=100000), " ",IF(INDEX($AB$2:$AQ$1001,MATCH(ROWS($U$2:U381),$U$2:$U$1001,0),MATCH(COLUMNS($AB$1006:AM1006),$AB$1006:$AQ$1006,0)), HYPERLINK("#",""), HYPERLINK(CONCATENATE("#Metadata!", ADDRESS(INDEX($W$2:$W$1001,MATCH(ROWS($U$2:U381),$U$2:$U$1001,0),0), INDEX($AB$1004:$AQ$1004,1,MATCH(COLUMNS($AB$1006:AM1006),$AB$1006:$AQ$1006,0)))),"Fix")))</f>
        <v>0</v>
      </c>
      <c r="N381" s="5">
        <f>IF(OR(INDEX($V$2:$V$1001,MATCH(ROWS($U$2:U381),$U$2:$U$1001,0),1)&gt;=100000,INDEX($AB$1005:$AQ$1005,1,MATCH(COLUMNS($AB$1006:AN1006),$AB$1006:$AQ$1006,0))&gt;=100000), " ",IF(INDEX($AB$2:$AQ$1001,MATCH(ROWS($U$2:U381),$U$2:$U$1001,0),MATCH(COLUMNS($AB$1006:AN1006),$AB$1006:$AQ$1006,0)), HYPERLINK("#",""), HYPERLINK(CONCATENATE("#Metadata!", ADDRESS(INDEX($W$2:$W$1001,MATCH(ROWS($U$2:U381),$U$2:$U$1001,0),0), INDEX($AB$1004:$AQ$1004,1,MATCH(COLUMNS($AB$1006:AN1006),$AB$1006:$AQ$1006,0)))),"Fix")))</f>
        <v>0</v>
      </c>
      <c r="O381" s="5">
        <f>IF(OR(INDEX($V$2:$V$1001,MATCH(ROWS($U$2:U381),$U$2:$U$1001,0),1)&gt;=100000,INDEX($AB$1005:$AQ$1005,1,MATCH(COLUMNS($AB$1006:AO1006),$AB$1006:$AQ$1006,0))&gt;=100000), " ",IF(INDEX($AB$2:$AQ$1001,MATCH(ROWS($U$2:U381),$U$2:$U$1001,0),MATCH(COLUMNS($AB$1006:AO1006),$AB$1006:$AQ$1006,0)), HYPERLINK("#",""), HYPERLINK(CONCATENATE("#Metadata!", ADDRESS(INDEX($W$2:$W$1001,MATCH(ROWS($U$2:U381),$U$2:$U$1001,0),0), INDEX($AB$1004:$AQ$1004,1,MATCH(COLUMNS($AB$1006:AO1006),$AB$1006:$AQ$1006,0)))),"Fix")))</f>
        <v>0</v>
      </c>
      <c r="P381" s="5">
        <f>IF(OR(INDEX($V$2:$V$1001,MATCH(ROWS($U$2:U381),$U$2:$U$1001,0),1)&gt;=100000,INDEX($AB$1005:$AQ$1005,1,MATCH(COLUMNS($AB$1006:AP1006),$AB$1006:$AQ$1006,0))&gt;=100000), " ",IF(INDEX($AB$2:$AQ$1001,MATCH(ROWS($U$2:U381),$U$2:$U$1001,0),MATCH(COLUMNS($AB$1006:AP1006),$AB$1006:$AQ$1006,0)), HYPERLINK("#",""), HYPERLINK(CONCATENATE("#Metadata!", ADDRESS(INDEX($W$2:$W$1001,MATCH(ROWS($U$2:U381),$U$2:$U$1001,0),0), INDEX($AB$1004:$AQ$1004,1,MATCH(COLUMNS($AB$1006:AP1006),$AB$1006:$AQ$1006,0)))),"Fix")))</f>
        <v>0</v>
      </c>
      <c r="Q381" s="5">
        <f>IF(OR(INDEX($V$2:$V$1001,MATCH(ROWS($U$2:U381),$U$2:$U$1001,0),1)&gt;=100000,INDEX($AB$1005:$AQ$1005,1,MATCH(COLUMNS($AB$1006:AQ1006),$AB$1006:$AQ$1006,0))&gt;=100000), " ",IF(INDEX($AB$2:$AQ$1001,MATCH(ROWS($U$2:U381),$U$2:$U$1001,0),MATCH(COLUMNS($AB$1006:AQ1006),$AB$1006:$AQ$1006,0)), HYPERLINK("#",""), HYPERLINK(CONCATENATE("#Metadata!", ADDRESS(INDEX($W$2:$W$1001,MATCH(ROWS($U$2:U381),$U$2:$U$1001,0),0), INDEX($AB$1004:$AQ$1004,1,MATCH(COLUMNS($AB$1006:AQ1006),$AB$1006:$AQ$1006,0)))),"Fix")))</f>
        <v>0</v>
      </c>
      <c r="U381">
        <v>0</v>
      </c>
      <c r="V381">
        <v>0</v>
      </c>
      <c r="W381">
        <v>0</v>
      </c>
      <c r="X381">
        <f>IF(Y381,TRUE,AND(AB381:AQ381))</f>
        <v>0</v>
      </c>
      <c r="Y381">
        <f>COUNTBLANK(Metadata!B381:Q381)=COLUMNS(Metadata!B381:Q381)</f>
        <v>0</v>
      </c>
      <c r="Z381">
        <v>0</v>
      </c>
      <c r="AB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AC381">
        <f>AND(IF(Metadata!C381="",FALSE,TRUE),exact(Metadata!C381,"urban biome"))</f>
        <v>0</v>
      </c>
      <c r="AD381">
        <f>AND(IF(Metadata!D381="",FALSE,TRUE),exact(Metadata!D381,"human-associated habitat"))</f>
        <v>0</v>
      </c>
      <c r="AE381">
        <f>AND(IF(Metadata!E381="",FALSE,TRUE),OR(exact(Metadata!E381,"human-associated"),exact(Metadata!E381,"human-skin"),exact(Metadata!E381,"human-oral"),exact(Metadata!E381,"human-gut"),exact(Metadata!E381,"human-vaginal")))</f>
        <v>0</v>
      </c>
      <c r="AF381">
        <f>AND(IF(Metadata!F381="",FALSE,ISNUMBER(VALUE(Metadata!F381))),Metadata!F381&gt;0)</f>
        <v>0</v>
      </c>
      <c r="AG381">
        <f>AND(IF(Metadata!G381="",FALSE,TRUE),exact(Metadata!G381,"years"))</f>
        <v>0</v>
      </c>
      <c r="AH381">
        <f>OR(AND(IF(Metadata!H381="",FALSE,TRUE),OR(exact(Metadata!H381,"not applicable"),exact(Metadata!H381,"not collected"),exact(Metadata!H381,"not provided"),exact(Metadata!H381,"restricted access"))),AND(IF(Metadata!H381="",FALSE,ISNUMBER(VALUE(Metadata!H381))),Metadata!H381&gt;0))</f>
        <v>0</v>
      </c>
      <c r="AI381">
        <f>AND(IF(Metadata!I381="",FALSE,TRUE),exact(Metadata!I381,"human"))</f>
        <v>0</v>
      </c>
      <c r="AJ381">
        <f>AND(IF(Metadata!J381="",FALSE,ISNUMBER(VALUE(Metadata!J381))),Metadata!J381&gt;0)</f>
        <v>0</v>
      </c>
      <c r="AK381">
        <f>AND(IF(Metadata!K381="",FALSE,TRUE),exact(Metadata!K381,"cm"))</f>
        <v>0</v>
      </c>
      <c r="AL381">
        <f>AND(IF(Metadata!L381="",FALSE,TRUE),exact(Metadata!L381,"Homo sapiens"))</f>
        <v>0</v>
      </c>
      <c r="AM381">
        <f>AND(IF(Metadata!M381="",FALSE,TRUE),exact(Metadata!M381,"9606"))</f>
        <v>0</v>
      </c>
      <c r="AN381">
        <f>AND(IF(Metadata!N381="",FALSE,ISNUMBER(VALUE(Metadata!N381))),Metadata!N381&gt;0)</f>
        <v>0</v>
      </c>
      <c r="AO381">
        <f>AND(IF(Metadata!O381="",FALSE,TRUE),exact(Metadata!O381,"kg"))</f>
        <v>0</v>
      </c>
      <c r="AP381">
        <f>OR(AND(IF(Metadata!P381="",FALSE,TRUE),exact(Metadata!P381,"not provided")),IF(Metadata!P381="",FALSE,TRUE))</f>
        <v>0</v>
      </c>
      <c r="AQ381">
        <f>OR(AND(IF(Metadata!Q381="",FALSE,TRUE),exact(Metadata!Q381,"not provided")),IF(Metadata!Q381="",FALSE,TRUE))</f>
        <v>0</v>
      </c>
    </row>
    <row r="382" spans="1:43">
      <c r="A382" s="4">
        <f>IF(B382=" "," ",HYPERLINK(CONCATENATE("#metadata!",ADDRESS(INDEX($W$2:$W$1001,MATCH(ROWS($U$2:U382),$U$2:$U$1001,0),0),2)),INDEX($Z$2:$Z$1001,MATCH(ROWS($U$2:U382),$U$2:$U$1001,0),0)))</f>
        <v>0</v>
      </c>
      <c r="B382" s="5">
        <f>IF(OR(INDEX($V$2:$V$1001,MATCH(ROWS($U$2:U382),$U$2:$U$1001,0),1)&gt;=100000,INDEX($AB$1005:$AQ$1005,1,MATCH(COLUMNS($AB$1006:AB1006),$AB$1006:$AQ$1006,0))&gt;=100000), " ",IF(INDEX($AB$2:$AQ$1001,MATCH(ROWS($U$2:U382),$U$2:$U$1001,0),MATCH(COLUMNS($AB$1006:AB1006),$AB$1006:$AQ$1006,0)), HYPERLINK("#",""), HYPERLINK(CONCATENATE("#Metadata!", ADDRESS(INDEX($W$2:$W$1001,MATCH(ROWS($U$2:U382),$U$2:$U$1001,0),0), INDEX($AB$1004:$AQ$1004,1,MATCH(COLUMNS($AB$1006:AB1006),$AB$1006:$AQ$1006,0)))),"Fix")))</f>
        <v>0</v>
      </c>
      <c r="C382" s="5">
        <f>IF(OR(INDEX($V$2:$V$1001,MATCH(ROWS($U$2:U382),$U$2:$U$1001,0),1)&gt;=100000,INDEX($AB$1005:$AQ$1005,1,MATCH(COLUMNS($AB$1006:AC1006),$AB$1006:$AQ$1006,0))&gt;=100000), " ",IF(INDEX($AB$2:$AQ$1001,MATCH(ROWS($U$2:U382),$U$2:$U$1001,0),MATCH(COLUMNS($AB$1006:AC1006),$AB$1006:$AQ$1006,0)), HYPERLINK("#",""), HYPERLINK(CONCATENATE("#Metadata!", ADDRESS(INDEX($W$2:$W$1001,MATCH(ROWS($U$2:U382),$U$2:$U$1001,0),0), INDEX($AB$1004:$AQ$1004,1,MATCH(COLUMNS($AB$1006:AC1006),$AB$1006:$AQ$1006,0)))),"Fix")))</f>
        <v>0</v>
      </c>
      <c r="D382" s="5">
        <f>IF(OR(INDEX($V$2:$V$1001,MATCH(ROWS($U$2:U382),$U$2:$U$1001,0),1)&gt;=100000,INDEX($AB$1005:$AQ$1005,1,MATCH(COLUMNS($AB$1006:AD1006),$AB$1006:$AQ$1006,0))&gt;=100000), " ",IF(INDEX($AB$2:$AQ$1001,MATCH(ROWS($U$2:U382),$U$2:$U$1001,0),MATCH(COLUMNS($AB$1006:AD1006),$AB$1006:$AQ$1006,0)), HYPERLINK("#",""), HYPERLINK(CONCATENATE("#Metadata!", ADDRESS(INDEX($W$2:$W$1001,MATCH(ROWS($U$2:U382),$U$2:$U$1001,0),0), INDEX($AB$1004:$AQ$1004,1,MATCH(COLUMNS($AB$1006:AD1006),$AB$1006:$AQ$1006,0)))),"Fix")))</f>
        <v>0</v>
      </c>
      <c r="E382" s="5">
        <f>IF(OR(INDEX($V$2:$V$1001,MATCH(ROWS($U$2:U382),$U$2:$U$1001,0),1)&gt;=100000,INDEX($AB$1005:$AQ$1005,1,MATCH(COLUMNS($AB$1006:AE1006),$AB$1006:$AQ$1006,0))&gt;=100000), " ",IF(INDEX($AB$2:$AQ$1001,MATCH(ROWS($U$2:U382),$U$2:$U$1001,0),MATCH(COLUMNS($AB$1006:AE1006),$AB$1006:$AQ$1006,0)), HYPERLINK("#",""), HYPERLINK(CONCATENATE("#Metadata!", ADDRESS(INDEX($W$2:$W$1001,MATCH(ROWS($U$2:U382),$U$2:$U$1001,0),0), INDEX($AB$1004:$AQ$1004,1,MATCH(COLUMNS($AB$1006:AE1006),$AB$1006:$AQ$1006,0)))),"Fix")))</f>
        <v>0</v>
      </c>
      <c r="F382" s="5">
        <f>IF(OR(INDEX($V$2:$V$1001,MATCH(ROWS($U$2:U382),$U$2:$U$1001,0),1)&gt;=100000,INDEX($AB$1005:$AQ$1005,1,MATCH(COLUMNS($AB$1006:AF1006),$AB$1006:$AQ$1006,0))&gt;=100000), " ",IF(INDEX($AB$2:$AQ$1001,MATCH(ROWS($U$2:U382),$U$2:$U$1001,0),MATCH(COLUMNS($AB$1006:AF1006),$AB$1006:$AQ$1006,0)), HYPERLINK("#",""), HYPERLINK(CONCATENATE("#Metadata!", ADDRESS(INDEX($W$2:$W$1001,MATCH(ROWS($U$2:U382),$U$2:$U$1001,0),0), INDEX($AB$1004:$AQ$1004,1,MATCH(COLUMNS($AB$1006:AF1006),$AB$1006:$AQ$1006,0)))),"Fix")))</f>
        <v>0</v>
      </c>
      <c r="G382" s="5">
        <f>IF(OR(INDEX($V$2:$V$1001,MATCH(ROWS($U$2:U382),$U$2:$U$1001,0),1)&gt;=100000,INDEX($AB$1005:$AQ$1005,1,MATCH(COLUMNS($AB$1006:AG1006),$AB$1006:$AQ$1006,0))&gt;=100000), " ",IF(INDEX($AB$2:$AQ$1001,MATCH(ROWS($U$2:U382),$U$2:$U$1001,0),MATCH(COLUMNS($AB$1006:AG1006),$AB$1006:$AQ$1006,0)), HYPERLINK("#",""), HYPERLINK(CONCATENATE("#Metadata!", ADDRESS(INDEX($W$2:$W$1001,MATCH(ROWS($U$2:U382),$U$2:$U$1001,0),0), INDEX($AB$1004:$AQ$1004,1,MATCH(COLUMNS($AB$1006:AG1006),$AB$1006:$AQ$1006,0)))),"Fix")))</f>
        <v>0</v>
      </c>
      <c r="H382" s="5">
        <f>IF(OR(INDEX($V$2:$V$1001,MATCH(ROWS($U$2:U382),$U$2:$U$1001,0),1)&gt;=100000,INDEX($AB$1005:$AQ$1005,1,MATCH(COLUMNS($AB$1006:AH1006),$AB$1006:$AQ$1006,0))&gt;=100000), " ",IF(INDEX($AB$2:$AQ$1001,MATCH(ROWS($U$2:U382),$U$2:$U$1001,0),MATCH(COLUMNS($AB$1006:AH1006),$AB$1006:$AQ$1006,0)), HYPERLINK("#",""), HYPERLINK(CONCATENATE("#Metadata!", ADDRESS(INDEX($W$2:$W$1001,MATCH(ROWS($U$2:U382),$U$2:$U$1001,0),0), INDEX($AB$1004:$AQ$1004,1,MATCH(COLUMNS($AB$1006:AH1006),$AB$1006:$AQ$1006,0)))),"Fix")))</f>
        <v>0</v>
      </c>
      <c r="I382" s="5">
        <f>IF(OR(INDEX($V$2:$V$1001,MATCH(ROWS($U$2:U382),$U$2:$U$1001,0),1)&gt;=100000,INDEX($AB$1005:$AQ$1005,1,MATCH(COLUMNS($AB$1006:AI1006),$AB$1006:$AQ$1006,0))&gt;=100000), " ",IF(INDEX($AB$2:$AQ$1001,MATCH(ROWS($U$2:U382),$U$2:$U$1001,0),MATCH(COLUMNS($AB$1006:AI1006),$AB$1006:$AQ$1006,0)), HYPERLINK("#",""), HYPERLINK(CONCATENATE("#Metadata!", ADDRESS(INDEX($W$2:$W$1001,MATCH(ROWS($U$2:U382),$U$2:$U$1001,0),0), INDEX($AB$1004:$AQ$1004,1,MATCH(COLUMNS($AB$1006:AI1006),$AB$1006:$AQ$1006,0)))),"Fix")))</f>
        <v>0</v>
      </c>
      <c r="J382" s="5">
        <f>IF(OR(INDEX($V$2:$V$1001,MATCH(ROWS($U$2:U382),$U$2:$U$1001,0),1)&gt;=100000,INDEX($AB$1005:$AQ$1005,1,MATCH(COLUMNS($AB$1006:AJ1006),$AB$1006:$AQ$1006,0))&gt;=100000), " ",IF(INDEX($AB$2:$AQ$1001,MATCH(ROWS($U$2:U382),$U$2:$U$1001,0),MATCH(COLUMNS($AB$1006:AJ1006),$AB$1006:$AQ$1006,0)), HYPERLINK("#",""), HYPERLINK(CONCATENATE("#Metadata!", ADDRESS(INDEX($W$2:$W$1001,MATCH(ROWS($U$2:U382),$U$2:$U$1001,0),0), INDEX($AB$1004:$AQ$1004,1,MATCH(COLUMNS($AB$1006:AJ1006),$AB$1006:$AQ$1006,0)))),"Fix")))</f>
        <v>0</v>
      </c>
      <c r="K382" s="5">
        <f>IF(OR(INDEX($V$2:$V$1001,MATCH(ROWS($U$2:U382),$U$2:$U$1001,0),1)&gt;=100000,INDEX($AB$1005:$AQ$1005,1,MATCH(COLUMNS($AB$1006:AK1006),$AB$1006:$AQ$1006,0))&gt;=100000), " ",IF(INDEX($AB$2:$AQ$1001,MATCH(ROWS($U$2:U382),$U$2:$U$1001,0),MATCH(COLUMNS($AB$1006:AK1006),$AB$1006:$AQ$1006,0)), HYPERLINK("#",""), HYPERLINK(CONCATENATE("#Metadata!", ADDRESS(INDEX($W$2:$W$1001,MATCH(ROWS($U$2:U382),$U$2:$U$1001,0),0), INDEX($AB$1004:$AQ$1004,1,MATCH(COLUMNS($AB$1006:AK1006),$AB$1006:$AQ$1006,0)))),"Fix")))</f>
        <v>0</v>
      </c>
      <c r="L382" s="5">
        <f>IF(OR(INDEX($V$2:$V$1001,MATCH(ROWS($U$2:U382),$U$2:$U$1001,0),1)&gt;=100000,INDEX($AB$1005:$AQ$1005,1,MATCH(COLUMNS($AB$1006:AL1006),$AB$1006:$AQ$1006,0))&gt;=100000), " ",IF(INDEX($AB$2:$AQ$1001,MATCH(ROWS($U$2:U382),$U$2:$U$1001,0),MATCH(COLUMNS($AB$1006:AL1006),$AB$1006:$AQ$1006,0)), HYPERLINK("#",""), HYPERLINK(CONCATENATE("#Metadata!", ADDRESS(INDEX($W$2:$W$1001,MATCH(ROWS($U$2:U382),$U$2:$U$1001,0),0), INDEX($AB$1004:$AQ$1004,1,MATCH(COLUMNS($AB$1006:AL1006),$AB$1006:$AQ$1006,0)))),"Fix")))</f>
        <v>0</v>
      </c>
      <c r="M382" s="5">
        <f>IF(OR(INDEX($V$2:$V$1001,MATCH(ROWS($U$2:U382),$U$2:$U$1001,0),1)&gt;=100000,INDEX($AB$1005:$AQ$1005,1,MATCH(COLUMNS($AB$1006:AM1006),$AB$1006:$AQ$1006,0))&gt;=100000), " ",IF(INDEX($AB$2:$AQ$1001,MATCH(ROWS($U$2:U382),$U$2:$U$1001,0),MATCH(COLUMNS($AB$1006:AM1006),$AB$1006:$AQ$1006,0)), HYPERLINK("#",""), HYPERLINK(CONCATENATE("#Metadata!", ADDRESS(INDEX($W$2:$W$1001,MATCH(ROWS($U$2:U382),$U$2:$U$1001,0),0), INDEX($AB$1004:$AQ$1004,1,MATCH(COLUMNS($AB$1006:AM1006),$AB$1006:$AQ$1006,0)))),"Fix")))</f>
        <v>0</v>
      </c>
      <c r="N382" s="5">
        <f>IF(OR(INDEX($V$2:$V$1001,MATCH(ROWS($U$2:U382),$U$2:$U$1001,0),1)&gt;=100000,INDEX($AB$1005:$AQ$1005,1,MATCH(COLUMNS($AB$1006:AN1006),$AB$1006:$AQ$1006,0))&gt;=100000), " ",IF(INDEX($AB$2:$AQ$1001,MATCH(ROWS($U$2:U382),$U$2:$U$1001,0),MATCH(COLUMNS($AB$1006:AN1006),$AB$1006:$AQ$1006,0)), HYPERLINK("#",""), HYPERLINK(CONCATENATE("#Metadata!", ADDRESS(INDEX($W$2:$W$1001,MATCH(ROWS($U$2:U382),$U$2:$U$1001,0),0), INDEX($AB$1004:$AQ$1004,1,MATCH(COLUMNS($AB$1006:AN1006),$AB$1006:$AQ$1006,0)))),"Fix")))</f>
        <v>0</v>
      </c>
      <c r="O382" s="5">
        <f>IF(OR(INDEX($V$2:$V$1001,MATCH(ROWS($U$2:U382),$U$2:$U$1001,0),1)&gt;=100000,INDEX($AB$1005:$AQ$1005,1,MATCH(COLUMNS($AB$1006:AO1006),$AB$1006:$AQ$1006,0))&gt;=100000), " ",IF(INDEX($AB$2:$AQ$1001,MATCH(ROWS($U$2:U382),$U$2:$U$1001,0),MATCH(COLUMNS($AB$1006:AO1006),$AB$1006:$AQ$1006,0)), HYPERLINK("#",""), HYPERLINK(CONCATENATE("#Metadata!", ADDRESS(INDEX($W$2:$W$1001,MATCH(ROWS($U$2:U382),$U$2:$U$1001,0),0), INDEX($AB$1004:$AQ$1004,1,MATCH(COLUMNS($AB$1006:AO1006),$AB$1006:$AQ$1006,0)))),"Fix")))</f>
        <v>0</v>
      </c>
      <c r="P382" s="5">
        <f>IF(OR(INDEX($V$2:$V$1001,MATCH(ROWS($U$2:U382),$U$2:$U$1001,0),1)&gt;=100000,INDEX($AB$1005:$AQ$1005,1,MATCH(COLUMNS($AB$1006:AP1006),$AB$1006:$AQ$1006,0))&gt;=100000), " ",IF(INDEX($AB$2:$AQ$1001,MATCH(ROWS($U$2:U382),$U$2:$U$1001,0),MATCH(COLUMNS($AB$1006:AP1006),$AB$1006:$AQ$1006,0)), HYPERLINK("#",""), HYPERLINK(CONCATENATE("#Metadata!", ADDRESS(INDEX($W$2:$W$1001,MATCH(ROWS($U$2:U382),$U$2:$U$1001,0),0), INDEX($AB$1004:$AQ$1004,1,MATCH(COLUMNS($AB$1006:AP1006),$AB$1006:$AQ$1006,0)))),"Fix")))</f>
        <v>0</v>
      </c>
      <c r="Q382" s="5">
        <f>IF(OR(INDEX($V$2:$V$1001,MATCH(ROWS($U$2:U382),$U$2:$U$1001,0),1)&gt;=100000,INDEX($AB$1005:$AQ$1005,1,MATCH(COLUMNS($AB$1006:AQ1006),$AB$1006:$AQ$1006,0))&gt;=100000), " ",IF(INDEX($AB$2:$AQ$1001,MATCH(ROWS($U$2:U382),$U$2:$U$1001,0),MATCH(COLUMNS($AB$1006:AQ1006),$AB$1006:$AQ$1006,0)), HYPERLINK("#",""), HYPERLINK(CONCATENATE("#Metadata!", ADDRESS(INDEX($W$2:$W$1001,MATCH(ROWS($U$2:U382),$U$2:$U$1001,0),0), INDEX($AB$1004:$AQ$1004,1,MATCH(COLUMNS($AB$1006:AQ1006),$AB$1006:$AQ$1006,0)))),"Fix")))</f>
        <v>0</v>
      </c>
      <c r="U382">
        <v>0</v>
      </c>
      <c r="V382">
        <v>0</v>
      </c>
      <c r="W382">
        <v>0</v>
      </c>
      <c r="X382">
        <f>IF(Y382,TRUE,AND(AB382:AQ382))</f>
        <v>0</v>
      </c>
      <c r="Y382">
        <f>COUNTBLANK(Metadata!B382:Q382)=COLUMNS(Metadata!B382:Q382)</f>
        <v>0</v>
      </c>
      <c r="Z382">
        <v>0</v>
      </c>
      <c r="AB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AC382">
        <f>AND(IF(Metadata!C382="",FALSE,TRUE),exact(Metadata!C382,"urban biome"))</f>
        <v>0</v>
      </c>
      <c r="AD382">
        <f>AND(IF(Metadata!D382="",FALSE,TRUE),exact(Metadata!D382,"human-associated habitat"))</f>
        <v>0</v>
      </c>
      <c r="AE382">
        <f>AND(IF(Metadata!E382="",FALSE,TRUE),OR(exact(Metadata!E382,"human-associated"),exact(Metadata!E382,"human-skin"),exact(Metadata!E382,"human-oral"),exact(Metadata!E382,"human-gut"),exact(Metadata!E382,"human-vaginal")))</f>
        <v>0</v>
      </c>
      <c r="AF382">
        <f>AND(IF(Metadata!F382="",FALSE,ISNUMBER(VALUE(Metadata!F382))),Metadata!F382&gt;0)</f>
        <v>0</v>
      </c>
      <c r="AG382">
        <f>AND(IF(Metadata!G382="",FALSE,TRUE),exact(Metadata!G382,"years"))</f>
        <v>0</v>
      </c>
      <c r="AH382">
        <f>OR(AND(IF(Metadata!H382="",FALSE,TRUE),OR(exact(Metadata!H382,"not applicable"),exact(Metadata!H382,"not collected"),exact(Metadata!H382,"not provided"),exact(Metadata!H382,"restricted access"))),AND(IF(Metadata!H382="",FALSE,ISNUMBER(VALUE(Metadata!H382))),Metadata!H382&gt;0))</f>
        <v>0</v>
      </c>
      <c r="AI382">
        <f>AND(IF(Metadata!I382="",FALSE,TRUE),exact(Metadata!I382,"human"))</f>
        <v>0</v>
      </c>
      <c r="AJ382">
        <f>AND(IF(Metadata!J382="",FALSE,ISNUMBER(VALUE(Metadata!J382))),Metadata!J382&gt;0)</f>
        <v>0</v>
      </c>
      <c r="AK382">
        <f>AND(IF(Metadata!K382="",FALSE,TRUE),exact(Metadata!K382,"cm"))</f>
        <v>0</v>
      </c>
      <c r="AL382">
        <f>AND(IF(Metadata!L382="",FALSE,TRUE),exact(Metadata!L382,"Homo sapiens"))</f>
        <v>0</v>
      </c>
      <c r="AM382">
        <f>AND(IF(Metadata!M382="",FALSE,TRUE),exact(Metadata!M382,"9606"))</f>
        <v>0</v>
      </c>
      <c r="AN382">
        <f>AND(IF(Metadata!N382="",FALSE,ISNUMBER(VALUE(Metadata!N382))),Metadata!N382&gt;0)</f>
        <v>0</v>
      </c>
      <c r="AO382">
        <f>AND(IF(Metadata!O382="",FALSE,TRUE),exact(Metadata!O382,"kg"))</f>
        <v>0</v>
      </c>
      <c r="AP382">
        <f>OR(AND(IF(Metadata!P382="",FALSE,TRUE),exact(Metadata!P382,"not provided")),IF(Metadata!P382="",FALSE,TRUE))</f>
        <v>0</v>
      </c>
      <c r="AQ382">
        <f>OR(AND(IF(Metadata!Q382="",FALSE,TRUE),exact(Metadata!Q382,"not provided")),IF(Metadata!Q382="",FALSE,TRUE))</f>
        <v>0</v>
      </c>
    </row>
    <row r="383" spans="1:43">
      <c r="A383" s="4">
        <f>IF(B383=" "," ",HYPERLINK(CONCATENATE("#metadata!",ADDRESS(INDEX($W$2:$W$1001,MATCH(ROWS($U$2:U383),$U$2:$U$1001,0),0),2)),INDEX($Z$2:$Z$1001,MATCH(ROWS($U$2:U383),$U$2:$U$1001,0),0)))</f>
        <v>0</v>
      </c>
      <c r="B383" s="5">
        <f>IF(OR(INDEX($V$2:$V$1001,MATCH(ROWS($U$2:U383),$U$2:$U$1001,0),1)&gt;=100000,INDEX($AB$1005:$AQ$1005,1,MATCH(COLUMNS($AB$1006:AB1006),$AB$1006:$AQ$1006,0))&gt;=100000), " ",IF(INDEX($AB$2:$AQ$1001,MATCH(ROWS($U$2:U383),$U$2:$U$1001,0),MATCH(COLUMNS($AB$1006:AB1006),$AB$1006:$AQ$1006,0)), HYPERLINK("#",""), HYPERLINK(CONCATENATE("#Metadata!", ADDRESS(INDEX($W$2:$W$1001,MATCH(ROWS($U$2:U383),$U$2:$U$1001,0),0), INDEX($AB$1004:$AQ$1004,1,MATCH(COLUMNS($AB$1006:AB1006),$AB$1006:$AQ$1006,0)))),"Fix")))</f>
        <v>0</v>
      </c>
      <c r="C383" s="5">
        <f>IF(OR(INDEX($V$2:$V$1001,MATCH(ROWS($U$2:U383),$U$2:$U$1001,0),1)&gt;=100000,INDEX($AB$1005:$AQ$1005,1,MATCH(COLUMNS($AB$1006:AC1006),$AB$1006:$AQ$1006,0))&gt;=100000), " ",IF(INDEX($AB$2:$AQ$1001,MATCH(ROWS($U$2:U383),$U$2:$U$1001,0),MATCH(COLUMNS($AB$1006:AC1006),$AB$1006:$AQ$1006,0)), HYPERLINK("#",""), HYPERLINK(CONCATENATE("#Metadata!", ADDRESS(INDEX($W$2:$W$1001,MATCH(ROWS($U$2:U383),$U$2:$U$1001,0),0), INDEX($AB$1004:$AQ$1004,1,MATCH(COLUMNS($AB$1006:AC1006),$AB$1006:$AQ$1006,0)))),"Fix")))</f>
        <v>0</v>
      </c>
      <c r="D383" s="5">
        <f>IF(OR(INDEX($V$2:$V$1001,MATCH(ROWS($U$2:U383),$U$2:$U$1001,0),1)&gt;=100000,INDEX($AB$1005:$AQ$1005,1,MATCH(COLUMNS($AB$1006:AD1006),$AB$1006:$AQ$1006,0))&gt;=100000), " ",IF(INDEX($AB$2:$AQ$1001,MATCH(ROWS($U$2:U383),$U$2:$U$1001,0),MATCH(COLUMNS($AB$1006:AD1006),$AB$1006:$AQ$1006,0)), HYPERLINK("#",""), HYPERLINK(CONCATENATE("#Metadata!", ADDRESS(INDEX($W$2:$W$1001,MATCH(ROWS($U$2:U383),$U$2:$U$1001,0),0), INDEX($AB$1004:$AQ$1004,1,MATCH(COLUMNS($AB$1006:AD1006),$AB$1006:$AQ$1006,0)))),"Fix")))</f>
        <v>0</v>
      </c>
      <c r="E383" s="5">
        <f>IF(OR(INDEX($V$2:$V$1001,MATCH(ROWS($U$2:U383),$U$2:$U$1001,0),1)&gt;=100000,INDEX($AB$1005:$AQ$1005,1,MATCH(COLUMNS($AB$1006:AE1006),$AB$1006:$AQ$1006,0))&gt;=100000), " ",IF(INDEX($AB$2:$AQ$1001,MATCH(ROWS($U$2:U383),$U$2:$U$1001,0),MATCH(COLUMNS($AB$1006:AE1006),$AB$1006:$AQ$1006,0)), HYPERLINK("#",""), HYPERLINK(CONCATENATE("#Metadata!", ADDRESS(INDEX($W$2:$W$1001,MATCH(ROWS($U$2:U383),$U$2:$U$1001,0),0), INDEX($AB$1004:$AQ$1004,1,MATCH(COLUMNS($AB$1006:AE1006),$AB$1006:$AQ$1006,0)))),"Fix")))</f>
        <v>0</v>
      </c>
      <c r="F383" s="5">
        <f>IF(OR(INDEX($V$2:$V$1001,MATCH(ROWS($U$2:U383),$U$2:$U$1001,0),1)&gt;=100000,INDEX($AB$1005:$AQ$1005,1,MATCH(COLUMNS($AB$1006:AF1006),$AB$1006:$AQ$1006,0))&gt;=100000), " ",IF(INDEX($AB$2:$AQ$1001,MATCH(ROWS($U$2:U383),$U$2:$U$1001,0),MATCH(COLUMNS($AB$1006:AF1006),$AB$1006:$AQ$1006,0)), HYPERLINK("#",""), HYPERLINK(CONCATENATE("#Metadata!", ADDRESS(INDEX($W$2:$W$1001,MATCH(ROWS($U$2:U383),$U$2:$U$1001,0),0), INDEX($AB$1004:$AQ$1004,1,MATCH(COLUMNS($AB$1006:AF1006),$AB$1006:$AQ$1006,0)))),"Fix")))</f>
        <v>0</v>
      </c>
      <c r="G383" s="5">
        <f>IF(OR(INDEX($V$2:$V$1001,MATCH(ROWS($U$2:U383),$U$2:$U$1001,0),1)&gt;=100000,INDEX($AB$1005:$AQ$1005,1,MATCH(COLUMNS($AB$1006:AG1006),$AB$1006:$AQ$1006,0))&gt;=100000), " ",IF(INDEX($AB$2:$AQ$1001,MATCH(ROWS($U$2:U383),$U$2:$U$1001,0),MATCH(COLUMNS($AB$1006:AG1006),$AB$1006:$AQ$1006,0)), HYPERLINK("#",""), HYPERLINK(CONCATENATE("#Metadata!", ADDRESS(INDEX($W$2:$W$1001,MATCH(ROWS($U$2:U383),$U$2:$U$1001,0),0), INDEX($AB$1004:$AQ$1004,1,MATCH(COLUMNS($AB$1006:AG1006),$AB$1006:$AQ$1006,0)))),"Fix")))</f>
        <v>0</v>
      </c>
      <c r="H383" s="5">
        <f>IF(OR(INDEX($V$2:$V$1001,MATCH(ROWS($U$2:U383),$U$2:$U$1001,0),1)&gt;=100000,INDEX($AB$1005:$AQ$1005,1,MATCH(COLUMNS($AB$1006:AH1006),$AB$1006:$AQ$1006,0))&gt;=100000), " ",IF(INDEX($AB$2:$AQ$1001,MATCH(ROWS($U$2:U383),$U$2:$U$1001,0),MATCH(COLUMNS($AB$1006:AH1006),$AB$1006:$AQ$1006,0)), HYPERLINK("#",""), HYPERLINK(CONCATENATE("#Metadata!", ADDRESS(INDEX($W$2:$W$1001,MATCH(ROWS($U$2:U383),$U$2:$U$1001,0),0), INDEX($AB$1004:$AQ$1004,1,MATCH(COLUMNS($AB$1006:AH1006),$AB$1006:$AQ$1006,0)))),"Fix")))</f>
        <v>0</v>
      </c>
      <c r="I383" s="5">
        <f>IF(OR(INDEX($V$2:$V$1001,MATCH(ROWS($U$2:U383),$U$2:$U$1001,0),1)&gt;=100000,INDEX($AB$1005:$AQ$1005,1,MATCH(COLUMNS($AB$1006:AI1006),$AB$1006:$AQ$1006,0))&gt;=100000), " ",IF(INDEX($AB$2:$AQ$1001,MATCH(ROWS($U$2:U383),$U$2:$U$1001,0),MATCH(COLUMNS($AB$1006:AI1006),$AB$1006:$AQ$1006,0)), HYPERLINK("#",""), HYPERLINK(CONCATENATE("#Metadata!", ADDRESS(INDEX($W$2:$W$1001,MATCH(ROWS($U$2:U383),$U$2:$U$1001,0),0), INDEX($AB$1004:$AQ$1004,1,MATCH(COLUMNS($AB$1006:AI1006),$AB$1006:$AQ$1006,0)))),"Fix")))</f>
        <v>0</v>
      </c>
      <c r="J383" s="5">
        <f>IF(OR(INDEX($V$2:$V$1001,MATCH(ROWS($U$2:U383),$U$2:$U$1001,0),1)&gt;=100000,INDEX($AB$1005:$AQ$1005,1,MATCH(COLUMNS($AB$1006:AJ1006),$AB$1006:$AQ$1006,0))&gt;=100000), " ",IF(INDEX($AB$2:$AQ$1001,MATCH(ROWS($U$2:U383),$U$2:$U$1001,0),MATCH(COLUMNS($AB$1006:AJ1006),$AB$1006:$AQ$1006,0)), HYPERLINK("#",""), HYPERLINK(CONCATENATE("#Metadata!", ADDRESS(INDEX($W$2:$W$1001,MATCH(ROWS($U$2:U383),$U$2:$U$1001,0),0), INDEX($AB$1004:$AQ$1004,1,MATCH(COLUMNS($AB$1006:AJ1006),$AB$1006:$AQ$1006,0)))),"Fix")))</f>
        <v>0</v>
      </c>
      <c r="K383" s="5">
        <f>IF(OR(INDEX($V$2:$V$1001,MATCH(ROWS($U$2:U383),$U$2:$U$1001,0),1)&gt;=100000,INDEX($AB$1005:$AQ$1005,1,MATCH(COLUMNS($AB$1006:AK1006),$AB$1006:$AQ$1006,0))&gt;=100000), " ",IF(INDEX($AB$2:$AQ$1001,MATCH(ROWS($U$2:U383),$U$2:$U$1001,0),MATCH(COLUMNS($AB$1006:AK1006),$AB$1006:$AQ$1006,0)), HYPERLINK("#",""), HYPERLINK(CONCATENATE("#Metadata!", ADDRESS(INDEX($W$2:$W$1001,MATCH(ROWS($U$2:U383),$U$2:$U$1001,0),0), INDEX($AB$1004:$AQ$1004,1,MATCH(COLUMNS($AB$1006:AK1006),$AB$1006:$AQ$1006,0)))),"Fix")))</f>
        <v>0</v>
      </c>
      <c r="L383" s="5">
        <f>IF(OR(INDEX($V$2:$V$1001,MATCH(ROWS($U$2:U383),$U$2:$U$1001,0),1)&gt;=100000,INDEX($AB$1005:$AQ$1005,1,MATCH(COLUMNS($AB$1006:AL1006),$AB$1006:$AQ$1006,0))&gt;=100000), " ",IF(INDEX($AB$2:$AQ$1001,MATCH(ROWS($U$2:U383),$U$2:$U$1001,0),MATCH(COLUMNS($AB$1006:AL1006),$AB$1006:$AQ$1006,0)), HYPERLINK("#",""), HYPERLINK(CONCATENATE("#Metadata!", ADDRESS(INDEX($W$2:$W$1001,MATCH(ROWS($U$2:U383),$U$2:$U$1001,0),0), INDEX($AB$1004:$AQ$1004,1,MATCH(COLUMNS($AB$1006:AL1006),$AB$1006:$AQ$1006,0)))),"Fix")))</f>
        <v>0</v>
      </c>
      <c r="M383" s="5">
        <f>IF(OR(INDEX($V$2:$V$1001,MATCH(ROWS($U$2:U383),$U$2:$U$1001,0),1)&gt;=100000,INDEX($AB$1005:$AQ$1005,1,MATCH(COLUMNS($AB$1006:AM1006),$AB$1006:$AQ$1006,0))&gt;=100000), " ",IF(INDEX($AB$2:$AQ$1001,MATCH(ROWS($U$2:U383),$U$2:$U$1001,0),MATCH(COLUMNS($AB$1006:AM1006),$AB$1006:$AQ$1006,0)), HYPERLINK("#",""), HYPERLINK(CONCATENATE("#Metadata!", ADDRESS(INDEX($W$2:$W$1001,MATCH(ROWS($U$2:U383),$U$2:$U$1001,0),0), INDEX($AB$1004:$AQ$1004,1,MATCH(COLUMNS($AB$1006:AM1006),$AB$1006:$AQ$1006,0)))),"Fix")))</f>
        <v>0</v>
      </c>
      <c r="N383" s="5">
        <f>IF(OR(INDEX($V$2:$V$1001,MATCH(ROWS($U$2:U383),$U$2:$U$1001,0),1)&gt;=100000,INDEX($AB$1005:$AQ$1005,1,MATCH(COLUMNS($AB$1006:AN1006),$AB$1006:$AQ$1006,0))&gt;=100000), " ",IF(INDEX($AB$2:$AQ$1001,MATCH(ROWS($U$2:U383),$U$2:$U$1001,0),MATCH(COLUMNS($AB$1006:AN1006),$AB$1006:$AQ$1006,0)), HYPERLINK("#",""), HYPERLINK(CONCATENATE("#Metadata!", ADDRESS(INDEX($W$2:$W$1001,MATCH(ROWS($U$2:U383),$U$2:$U$1001,0),0), INDEX($AB$1004:$AQ$1004,1,MATCH(COLUMNS($AB$1006:AN1006),$AB$1006:$AQ$1006,0)))),"Fix")))</f>
        <v>0</v>
      </c>
      <c r="O383" s="5">
        <f>IF(OR(INDEX($V$2:$V$1001,MATCH(ROWS($U$2:U383),$U$2:$U$1001,0),1)&gt;=100000,INDEX($AB$1005:$AQ$1005,1,MATCH(COLUMNS($AB$1006:AO1006),$AB$1006:$AQ$1006,0))&gt;=100000), " ",IF(INDEX($AB$2:$AQ$1001,MATCH(ROWS($U$2:U383),$U$2:$U$1001,0),MATCH(COLUMNS($AB$1006:AO1006),$AB$1006:$AQ$1006,0)), HYPERLINK("#",""), HYPERLINK(CONCATENATE("#Metadata!", ADDRESS(INDEX($W$2:$W$1001,MATCH(ROWS($U$2:U383),$U$2:$U$1001,0),0), INDEX($AB$1004:$AQ$1004,1,MATCH(COLUMNS($AB$1006:AO1006),$AB$1006:$AQ$1006,0)))),"Fix")))</f>
        <v>0</v>
      </c>
      <c r="P383" s="5">
        <f>IF(OR(INDEX($V$2:$V$1001,MATCH(ROWS($U$2:U383),$U$2:$U$1001,0),1)&gt;=100000,INDEX($AB$1005:$AQ$1005,1,MATCH(COLUMNS($AB$1006:AP1006),$AB$1006:$AQ$1006,0))&gt;=100000), " ",IF(INDEX($AB$2:$AQ$1001,MATCH(ROWS($U$2:U383),$U$2:$U$1001,0),MATCH(COLUMNS($AB$1006:AP1006),$AB$1006:$AQ$1006,0)), HYPERLINK("#",""), HYPERLINK(CONCATENATE("#Metadata!", ADDRESS(INDEX($W$2:$W$1001,MATCH(ROWS($U$2:U383),$U$2:$U$1001,0),0), INDEX($AB$1004:$AQ$1004,1,MATCH(COLUMNS($AB$1006:AP1006),$AB$1006:$AQ$1006,0)))),"Fix")))</f>
        <v>0</v>
      </c>
      <c r="Q383" s="5">
        <f>IF(OR(INDEX($V$2:$V$1001,MATCH(ROWS($U$2:U383),$U$2:$U$1001,0),1)&gt;=100000,INDEX($AB$1005:$AQ$1005,1,MATCH(COLUMNS($AB$1006:AQ1006),$AB$1006:$AQ$1006,0))&gt;=100000), " ",IF(INDEX($AB$2:$AQ$1001,MATCH(ROWS($U$2:U383),$U$2:$U$1001,0),MATCH(COLUMNS($AB$1006:AQ1006),$AB$1006:$AQ$1006,0)), HYPERLINK("#",""), HYPERLINK(CONCATENATE("#Metadata!", ADDRESS(INDEX($W$2:$W$1001,MATCH(ROWS($U$2:U383),$U$2:$U$1001,0),0), INDEX($AB$1004:$AQ$1004,1,MATCH(COLUMNS($AB$1006:AQ1006),$AB$1006:$AQ$1006,0)))),"Fix")))</f>
        <v>0</v>
      </c>
      <c r="U383">
        <v>0</v>
      </c>
      <c r="V383">
        <v>0</v>
      </c>
      <c r="W383">
        <v>0</v>
      </c>
      <c r="X383">
        <f>IF(Y383,TRUE,AND(AB383:AQ383))</f>
        <v>0</v>
      </c>
      <c r="Y383">
        <f>COUNTBLANK(Metadata!B383:Q383)=COLUMNS(Metadata!B383:Q383)</f>
        <v>0</v>
      </c>
      <c r="Z383">
        <v>0</v>
      </c>
      <c r="AB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AC383">
        <f>AND(IF(Metadata!C383="",FALSE,TRUE),exact(Metadata!C383,"urban biome"))</f>
        <v>0</v>
      </c>
      <c r="AD383">
        <f>AND(IF(Metadata!D383="",FALSE,TRUE),exact(Metadata!D383,"human-associated habitat"))</f>
        <v>0</v>
      </c>
      <c r="AE383">
        <f>AND(IF(Metadata!E383="",FALSE,TRUE),OR(exact(Metadata!E383,"human-associated"),exact(Metadata!E383,"human-skin"),exact(Metadata!E383,"human-oral"),exact(Metadata!E383,"human-gut"),exact(Metadata!E383,"human-vaginal")))</f>
        <v>0</v>
      </c>
      <c r="AF383">
        <f>AND(IF(Metadata!F383="",FALSE,ISNUMBER(VALUE(Metadata!F383))),Metadata!F383&gt;0)</f>
        <v>0</v>
      </c>
      <c r="AG383">
        <f>AND(IF(Metadata!G383="",FALSE,TRUE),exact(Metadata!G383,"years"))</f>
        <v>0</v>
      </c>
      <c r="AH383">
        <f>OR(AND(IF(Metadata!H383="",FALSE,TRUE),OR(exact(Metadata!H383,"not applicable"),exact(Metadata!H383,"not collected"),exact(Metadata!H383,"not provided"),exact(Metadata!H383,"restricted access"))),AND(IF(Metadata!H383="",FALSE,ISNUMBER(VALUE(Metadata!H383))),Metadata!H383&gt;0))</f>
        <v>0</v>
      </c>
      <c r="AI383">
        <f>AND(IF(Metadata!I383="",FALSE,TRUE),exact(Metadata!I383,"human"))</f>
        <v>0</v>
      </c>
      <c r="AJ383">
        <f>AND(IF(Metadata!J383="",FALSE,ISNUMBER(VALUE(Metadata!J383))),Metadata!J383&gt;0)</f>
        <v>0</v>
      </c>
      <c r="AK383">
        <f>AND(IF(Metadata!K383="",FALSE,TRUE),exact(Metadata!K383,"cm"))</f>
        <v>0</v>
      </c>
      <c r="AL383">
        <f>AND(IF(Metadata!L383="",FALSE,TRUE),exact(Metadata!L383,"Homo sapiens"))</f>
        <v>0</v>
      </c>
      <c r="AM383">
        <f>AND(IF(Metadata!M383="",FALSE,TRUE),exact(Metadata!M383,"9606"))</f>
        <v>0</v>
      </c>
      <c r="AN383">
        <f>AND(IF(Metadata!N383="",FALSE,ISNUMBER(VALUE(Metadata!N383))),Metadata!N383&gt;0)</f>
        <v>0</v>
      </c>
      <c r="AO383">
        <f>AND(IF(Metadata!O383="",FALSE,TRUE),exact(Metadata!O383,"kg"))</f>
        <v>0</v>
      </c>
      <c r="AP383">
        <f>OR(AND(IF(Metadata!P383="",FALSE,TRUE),exact(Metadata!P383,"not provided")),IF(Metadata!P383="",FALSE,TRUE))</f>
        <v>0</v>
      </c>
      <c r="AQ383">
        <f>OR(AND(IF(Metadata!Q383="",FALSE,TRUE),exact(Metadata!Q383,"not provided")),IF(Metadata!Q383="",FALSE,TRUE))</f>
        <v>0</v>
      </c>
    </row>
    <row r="384" spans="1:43">
      <c r="A384" s="4">
        <f>IF(B384=" "," ",HYPERLINK(CONCATENATE("#metadata!",ADDRESS(INDEX($W$2:$W$1001,MATCH(ROWS($U$2:U384),$U$2:$U$1001,0),0),2)),INDEX($Z$2:$Z$1001,MATCH(ROWS($U$2:U384),$U$2:$U$1001,0),0)))</f>
        <v>0</v>
      </c>
      <c r="B384" s="5">
        <f>IF(OR(INDEX($V$2:$V$1001,MATCH(ROWS($U$2:U384),$U$2:$U$1001,0),1)&gt;=100000,INDEX($AB$1005:$AQ$1005,1,MATCH(COLUMNS($AB$1006:AB1006),$AB$1006:$AQ$1006,0))&gt;=100000), " ",IF(INDEX($AB$2:$AQ$1001,MATCH(ROWS($U$2:U384),$U$2:$U$1001,0),MATCH(COLUMNS($AB$1006:AB1006),$AB$1006:$AQ$1006,0)), HYPERLINK("#",""), HYPERLINK(CONCATENATE("#Metadata!", ADDRESS(INDEX($W$2:$W$1001,MATCH(ROWS($U$2:U384),$U$2:$U$1001,0),0), INDEX($AB$1004:$AQ$1004,1,MATCH(COLUMNS($AB$1006:AB1006),$AB$1006:$AQ$1006,0)))),"Fix")))</f>
        <v>0</v>
      </c>
      <c r="C384" s="5">
        <f>IF(OR(INDEX($V$2:$V$1001,MATCH(ROWS($U$2:U384),$U$2:$U$1001,0),1)&gt;=100000,INDEX($AB$1005:$AQ$1005,1,MATCH(COLUMNS($AB$1006:AC1006),$AB$1006:$AQ$1006,0))&gt;=100000), " ",IF(INDEX($AB$2:$AQ$1001,MATCH(ROWS($U$2:U384),$U$2:$U$1001,0),MATCH(COLUMNS($AB$1006:AC1006),$AB$1006:$AQ$1006,0)), HYPERLINK("#",""), HYPERLINK(CONCATENATE("#Metadata!", ADDRESS(INDEX($W$2:$W$1001,MATCH(ROWS($U$2:U384),$U$2:$U$1001,0),0), INDEX($AB$1004:$AQ$1004,1,MATCH(COLUMNS($AB$1006:AC1006),$AB$1006:$AQ$1006,0)))),"Fix")))</f>
        <v>0</v>
      </c>
      <c r="D384" s="5">
        <f>IF(OR(INDEX($V$2:$V$1001,MATCH(ROWS($U$2:U384),$U$2:$U$1001,0),1)&gt;=100000,INDEX($AB$1005:$AQ$1005,1,MATCH(COLUMNS($AB$1006:AD1006),$AB$1006:$AQ$1006,0))&gt;=100000), " ",IF(INDEX($AB$2:$AQ$1001,MATCH(ROWS($U$2:U384),$U$2:$U$1001,0),MATCH(COLUMNS($AB$1006:AD1006),$AB$1006:$AQ$1006,0)), HYPERLINK("#",""), HYPERLINK(CONCATENATE("#Metadata!", ADDRESS(INDEX($W$2:$W$1001,MATCH(ROWS($U$2:U384),$U$2:$U$1001,0),0), INDEX($AB$1004:$AQ$1004,1,MATCH(COLUMNS($AB$1006:AD1006),$AB$1006:$AQ$1006,0)))),"Fix")))</f>
        <v>0</v>
      </c>
      <c r="E384" s="5">
        <f>IF(OR(INDEX($V$2:$V$1001,MATCH(ROWS($U$2:U384),$U$2:$U$1001,0),1)&gt;=100000,INDEX($AB$1005:$AQ$1005,1,MATCH(COLUMNS($AB$1006:AE1006),$AB$1006:$AQ$1006,0))&gt;=100000), " ",IF(INDEX($AB$2:$AQ$1001,MATCH(ROWS($U$2:U384),$U$2:$U$1001,0),MATCH(COLUMNS($AB$1006:AE1006),$AB$1006:$AQ$1006,0)), HYPERLINK("#",""), HYPERLINK(CONCATENATE("#Metadata!", ADDRESS(INDEX($W$2:$W$1001,MATCH(ROWS($U$2:U384),$U$2:$U$1001,0),0), INDEX($AB$1004:$AQ$1004,1,MATCH(COLUMNS($AB$1006:AE1006),$AB$1006:$AQ$1006,0)))),"Fix")))</f>
        <v>0</v>
      </c>
      <c r="F384" s="5">
        <f>IF(OR(INDEX($V$2:$V$1001,MATCH(ROWS($U$2:U384),$U$2:$U$1001,0),1)&gt;=100000,INDEX($AB$1005:$AQ$1005,1,MATCH(COLUMNS($AB$1006:AF1006),$AB$1006:$AQ$1006,0))&gt;=100000), " ",IF(INDEX($AB$2:$AQ$1001,MATCH(ROWS($U$2:U384),$U$2:$U$1001,0),MATCH(COLUMNS($AB$1006:AF1006),$AB$1006:$AQ$1006,0)), HYPERLINK("#",""), HYPERLINK(CONCATENATE("#Metadata!", ADDRESS(INDEX($W$2:$W$1001,MATCH(ROWS($U$2:U384),$U$2:$U$1001,0),0), INDEX($AB$1004:$AQ$1004,1,MATCH(COLUMNS($AB$1006:AF1006),$AB$1006:$AQ$1006,0)))),"Fix")))</f>
        <v>0</v>
      </c>
      <c r="G384" s="5">
        <f>IF(OR(INDEX($V$2:$V$1001,MATCH(ROWS($U$2:U384),$U$2:$U$1001,0),1)&gt;=100000,INDEX($AB$1005:$AQ$1005,1,MATCH(COLUMNS($AB$1006:AG1006),$AB$1006:$AQ$1006,0))&gt;=100000), " ",IF(INDEX($AB$2:$AQ$1001,MATCH(ROWS($U$2:U384),$U$2:$U$1001,0),MATCH(COLUMNS($AB$1006:AG1006),$AB$1006:$AQ$1006,0)), HYPERLINK("#",""), HYPERLINK(CONCATENATE("#Metadata!", ADDRESS(INDEX($W$2:$W$1001,MATCH(ROWS($U$2:U384),$U$2:$U$1001,0),0), INDEX($AB$1004:$AQ$1004,1,MATCH(COLUMNS($AB$1006:AG1006),$AB$1006:$AQ$1006,0)))),"Fix")))</f>
        <v>0</v>
      </c>
      <c r="H384" s="5">
        <f>IF(OR(INDEX($V$2:$V$1001,MATCH(ROWS($U$2:U384),$U$2:$U$1001,0),1)&gt;=100000,INDEX($AB$1005:$AQ$1005,1,MATCH(COLUMNS($AB$1006:AH1006),$AB$1006:$AQ$1006,0))&gt;=100000), " ",IF(INDEX($AB$2:$AQ$1001,MATCH(ROWS($U$2:U384),$U$2:$U$1001,0),MATCH(COLUMNS($AB$1006:AH1006),$AB$1006:$AQ$1006,0)), HYPERLINK("#",""), HYPERLINK(CONCATENATE("#Metadata!", ADDRESS(INDEX($W$2:$W$1001,MATCH(ROWS($U$2:U384),$U$2:$U$1001,0),0), INDEX($AB$1004:$AQ$1004,1,MATCH(COLUMNS($AB$1006:AH1006),$AB$1006:$AQ$1006,0)))),"Fix")))</f>
        <v>0</v>
      </c>
      <c r="I384" s="5">
        <f>IF(OR(INDEX($V$2:$V$1001,MATCH(ROWS($U$2:U384),$U$2:$U$1001,0),1)&gt;=100000,INDEX($AB$1005:$AQ$1005,1,MATCH(COLUMNS($AB$1006:AI1006),$AB$1006:$AQ$1006,0))&gt;=100000), " ",IF(INDEX($AB$2:$AQ$1001,MATCH(ROWS($U$2:U384),$U$2:$U$1001,0),MATCH(COLUMNS($AB$1006:AI1006),$AB$1006:$AQ$1006,0)), HYPERLINK("#",""), HYPERLINK(CONCATENATE("#Metadata!", ADDRESS(INDEX($W$2:$W$1001,MATCH(ROWS($U$2:U384),$U$2:$U$1001,0),0), INDEX($AB$1004:$AQ$1004,1,MATCH(COLUMNS($AB$1006:AI1006),$AB$1006:$AQ$1006,0)))),"Fix")))</f>
        <v>0</v>
      </c>
      <c r="J384" s="5">
        <f>IF(OR(INDEX($V$2:$V$1001,MATCH(ROWS($U$2:U384),$U$2:$U$1001,0),1)&gt;=100000,INDEX($AB$1005:$AQ$1005,1,MATCH(COLUMNS($AB$1006:AJ1006),$AB$1006:$AQ$1006,0))&gt;=100000), " ",IF(INDEX($AB$2:$AQ$1001,MATCH(ROWS($U$2:U384),$U$2:$U$1001,0),MATCH(COLUMNS($AB$1006:AJ1006),$AB$1006:$AQ$1006,0)), HYPERLINK("#",""), HYPERLINK(CONCATENATE("#Metadata!", ADDRESS(INDEX($W$2:$W$1001,MATCH(ROWS($U$2:U384),$U$2:$U$1001,0),0), INDEX($AB$1004:$AQ$1004,1,MATCH(COLUMNS($AB$1006:AJ1006),$AB$1006:$AQ$1006,0)))),"Fix")))</f>
        <v>0</v>
      </c>
      <c r="K384" s="5">
        <f>IF(OR(INDEX($V$2:$V$1001,MATCH(ROWS($U$2:U384),$U$2:$U$1001,0),1)&gt;=100000,INDEX($AB$1005:$AQ$1005,1,MATCH(COLUMNS($AB$1006:AK1006),$AB$1006:$AQ$1006,0))&gt;=100000), " ",IF(INDEX($AB$2:$AQ$1001,MATCH(ROWS($U$2:U384),$U$2:$U$1001,0),MATCH(COLUMNS($AB$1006:AK1006),$AB$1006:$AQ$1006,0)), HYPERLINK("#",""), HYPERLINK(CONCATENATE("#Metadata!", ADDRESS(INDEX($W$2:$W$1001,MATCH(ROWS($U$2:U384),$U$2:$U$1001,0),0), INDEX($AB$1004:$AQ$1004,1,MATCH(COLUMNS($AB$1006:AK1006),$AB$1006:$AQ$1006,0)))),"Fix")))</f>
        <v>0</v>
      </c>
      <c r="L384" s="5">
        <f>IF(OR(INDEX($V$2:$V$1001,MATCH(ROWS($U$2:U384),$U$2:$U$1001,0),1)&gt;=100000,INDEX($AB$1005:$AQ$1005,1,MATCH(COLUMNS($AB$1006:AL1006),$AB$1006:$AQ$1006,0))&gt;=100000), " ",IF(INDEX($AB$2:$AQ$1001,MATCH(ROWS($U$2:U384),$U$2:$U$1001,0),MATCH(COLUMNS($AB$1006:AL1006),$AB$1006:$AQ$1006,0)), HYPERLINK("#",""), HYPERLINK(CONCATENATE("#Metadata!", ADDRESS(INDEX($W$2:$W$1001,MATCH(ROWS($U$2:U384),$U$2:$U$1001,0),0), INDEX($AB$1004:$AQ$1004,1,MATCH(COLUMNS($AB$1006:AL1006),$AB$1006:$AQ$1006,0)))),"Fix")))</f>
        <v>0</v>
      </c>
      <c r="M384" s="5">
        <f>IF(OR(INDEX($V$2:$V$1001,MATCH(ROWS($U$2:U384),$U$2:$U$1001,0),1)&gt;=100000,INDEX($AB$1005:$AQ$1005,1,MATCH(COLUMNS($AB$1006:AM1006),$AB$1006:$AQ$1006,0))&gt;=100000), " ",IF(INDEX($AB$2:$AQ$1001,MATCH(ROWS($U$2:U384),$U$2:$U$1001,0),MATCH(COLUMNS($AB$1006:AM1006),$AB$1006:$AQ$1006,0)), HYPERLINK("#",""), HYPERLINK(CONCATENATE("#Metadata!", ADDRESS(INDEX($W$2:$W$1001,MATCH(ROWS($U$2:U384),$U$2:$U$1001,0),0), INDEX($AB$1004:$AQ$1004,1,MATCH(COLUMNS($AB$1006:AM1006),$AB$1006:$AQ$1006,0)))),"Fix")))</f>
        <v>0</v>
      </c>
      <c r="N384" s="5">
        <f>IF(OR(INDEX($V$2:$V$1001,MATCH(ROWS($U$2:U384),$U$2:$U$1001,0),1)&gt;=100000,INDEX($AB$1005:$AQ$1005,1,MATCH(COLUMNS($AB$1006:AN1006),$AB$1006:$AQ$1006,0))&gt;=100000), " ",IF(INDEX($AB$2:$AQ$1001,MATCH(ROWS($U$2:U384),$U$2:$U$1001,0),MATCH(COLUMNS($AB$1006:AN1006),$AB$1006:$AQ$1006,0)), HYPERLINK("#",""), HYPERLINK(CONCATENATE("#Metadata!", ADDRESS(INDEX($W$2:$W$1001,MATCH(ROWS($U$2:U384),$U$2:$U$1001,0),0), INDEX($AB$1004:$AQ$1004,1,MATCH(COLUMNS($AB$1006:AN1006),$AB$1006:$AQ$1006,0)))),"Fix")))</f>
        <v>0</v>
      </c>
      <c r="O384" s="5">
        <f>IF(OR(INDEX($V$2:$V$1001,MATCH(ROWS($U$2:U384),$U$2:$U$1001,0),1)&gt;=100000,INDEX($AB$1005:$AQ$1005,1,MATCH(COLUMNS($AB$1006:AO1006),$AB$1006:$AQ$1006,0))&gt;=100000), " ",IF(INDEX($AB$2:$AQ$1001,MATCH(ROWS($U$2:U384),$U$2:$U$1001,0),MATCH(COLUMNS($AB$1006:AO1006),$AB$1006:$AQ$1006,0)), HYPERLINK("#",""), HYPERLINK(CONCATENATE("#Metadata!", ADDRESS(INDEX($W$2:$W$1001,MATCH(ROWS($U$2:U384),$U$2:$U$1001,0),0), INDEX($AB$1004:$AQ$1004,1,MATCH(COLUMNS($AB$1006:AO1006),$AB$1006:$AQ$1006,0)))),"Fix")))</f>
        <v>0</v>
      </c>
      <c r="P384" s="5">
        <f>IF(OR(INDEX($V$2:$V$1001,MATCH(ROWS($U$2:U384),$U$2:$U$1001,0),1)&gt;=100000,INDEX($AB$1005:$AQ$1005,1,MATCH(COLUMNS($AB$1006:AP1006),$AB$1006:$AQ$1006,0))&gt;=100000), " ",IF(INDEX($AB$2:$AQ$1001,MATCH(ROWS($U$2:U384),$U$2:$U$1001,0),MATCH(COLUMNS($AB$1006:AP1006),$AB$1006:$AQ$1006,0)), HYPERLINK("#",""), HYPERLINK(CONCATENATE("#Metadata!", ADDRESS(INDEX($W$2:$W$1001,MATCH(ROWS($U$2:U384),$U$2:$U$1001,0),0), INDEX($AB$1004:$AQ$1004,1,MATCH(COLUMNS($AB$1006:AP1006),$AB$1006:$AQ$1006,0)))),"Fix")))</f>
        <v>0</v>
      </c>
      <c r="Q384" s="5">
        <f>IF(OR(INDEX($V$2:$V$1001,MATCH(ROWS($U$2:U384),$U$2:$U$1001,0),1)&gt;=100000,INDEX($AB$1005:$AQ$1005,1,MATCH(COLUMNS($AB$1006:AQ1006),$AB$1006:$AQ$1006,0))&gt;=100000), " ",IF(INDEX($AB$2:$AQ$1001,MATCH(ROWS($U$2:U384),$U$2:$U$1001,0),MATCH(COLUMNS($AB$1006:AQ1006),$AB$1006:$AQ$1006,0)), HYPERLINK("#",""), HYPERLINK(CONCATENATE("#Metadata!", ADDRESS(INDEX($W$2:$W$1001,MATCH(ROWS($U$2:U384),$U$2:$U$1001,0),0), INDEX($AB$1004:$AQ$1004,1,MATCH(COLUMNS($AB$1006:AQ1006),$AB$1006:$AQ$1006,0)))),"Fix")))</f>
        <v>0</v>
      </c>
      <c r="U384">
        <v>0</v>
      </c>
      <c r="V384">
        <v>0</v>
      </c>
      <c r="W384">
        <v>0</v>
      </c>
      <c r="X384">
        <f>IF(Y384,TRUE,AND(AB384:AQ384))</f>
        <v>0</v>
      </c>
      <c r="Y384">
        <f>COUNTBLANK(Metadata!B384:Q384)=COLUMNS(Metadata!B384:Q384)</f>
        <v>0</v>
      </c>
      <c r="Z384">
        <v>0</v>
      </c>
      <c r="AB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AC384">
        <f>AND(IF(Metadata!C384="",FALSE,TRUE),exact(Metadata!C384,"urban biome"))</f>
        <v>0</v>
      </c>
      <c r="AD384">
        <f>AND(IF(Metadata!D384="",FALSE,TRUE),exact(Metadata!D384,"human-associated habitat"))</f>
        <v>0</v>
      </c>
      <c r="AE384">
        <f>AND(IF(Metadata!E384="",FALSE,TRUE),OR(exact(Metadata!E384,"human-associated"),exact(Metadata!E384,"human-skin"),exact(Metadata!E384,"human-oral"),exact(Metadata!E384,"human-gut"),exact(Metadata!E384,"human-vaginal")))</f>
        <v>0</v>
      </c>
      <c r="AF384">
        <f>AND(IF(Metadata!F384="",FALSE,ISNUMBER(VALUE(Metadata!F384))),Metadata!F384&gt;0)</f>
        <v>0</v>
      </c>
      <c r="AG384">
        <f>AND(IF(Metadata!G384="",FALSE,TRUE),exact(Metadata!G384,"years"))</f>
        <v>0</v>
      </c>
      <c r="AH384">
        <f>OR(AND(IF(Metadata!H384="",FALSE,TRUE),OR(exact(Metadata!H384,"not applicable"),exact(Metadata!H384,"not collected"),exact(Metadata!H384,"not provided"),exact(Metadata!H384,"restricted access"))),AND(IF(Metadata!H384="",FALSE,ISNUMBER(VALUE(Metadata!H384))),Metadata!H384&gt;0))</f>
        <v>0</v>
      </c>
      <c r="AI384">
        <f>AND(IF(Metadata!I384="",FALSE,TRUE),exact(Metadata!I384,"human"))</f>
        <v>0</v>
      </c>
      <c r="AJ384">
        <f>AND(IF(Metadata!J384="",FALSE,ISNUMBER(VALUE(Metadata!J384))),Metadata!J384&gt;0)</f>
        <v>0</v>
      </c>
      <c r="AK384">
        <f>AND(IF(Metadata!K384="",FALSE,TRUE),exact(Metadata!K384,"cm"))</f>
        <v>0</v>
      </c>
      <c r="AL384">
        <f>AND(IF(Metadata!L384="",FALSE,TRUE),exact(Metadata!L384,"Homo sapiens"))</f>
        <v>0</v>
      </c>
      <c r="AM384">
        <f>AND(IF(Metadata!M384="",FALSE,TRUE),exact(Metadata!M384,"9606"))</f>
        <v>0</v>
      </c>
      <c r="AN384">
        <f>AND(IF(Metadata!N384="",FALSE,ISNUMBER(VALUE(Metadata!N384))),Metadata!N384&gt;0)</f>
        <v>0</v>
      </c>
      <c r="AO384">
        <f>AND(IF(Metadata!O384="",FALSE,TRUE),exact(Metadata!O384,"kg"))</f>
        <v>0</v>
      </c>
      <c r="AP384">
        <f>OR(AND(IF(Metadata!P384="",FALSE,TRUE),exact(Metadata!P384,"not provided")),IF(Metadata!P384="",FALSE,TRUE))</f>
        <v>0</v>
      </c>
      <c r="AQ384">
        <f>OR(AND(IF(Metadata!Q384="",FALSE,TRUE),exact(Metadata!Q384,"not provided")),IF(Metadata!Q384="",FALSE,TRUE))</f>
        <v>0</v>
      </c>
    </row>
    <row r="385" spans="1:43">
      <c r="A385" s="4">
        <f>IF(B385=" "," ",HYPERLINK(CONCATENATE("#metadata!",ADDRESS(INDEX($W$2:$W$1001,MATCH(ROWS($U$2:U385),$U$2:$U$1001,0),0),2)),INDEX($Z$2:$Z$1001,MATCH(ROWS($U$2:U385),$U$2:$U$1001,0),0)))</f>
        <v>0</v>
      </c>
      <c r="B385" s="5">
        <f>IF(OR(INDEX($V$2:$V$1001,MATCH(ROWS($U$2:U385),$U$2:$U$1001,0),1)&gt;=100000,INDEX($AB$1005:$AQ$1005,1,MATCH(COLUMNS($AB$1006:AB1006),$AB$1006:$AQ$1006,0))&gt;=100000), " ",IF(INDEX($AB$2:$AQ$1001,MATCH(ROWS($U$2:U385),$U$2:$U$1001,0),MATCH(COLUMNS($AB$1006:AB1006),$AB$1006:$AQ$1006,0)), HYPERLINK("#",""), HYPERLINK(CONCATENATE("#Metadata!", ADDRESS(INDEX($W$2:$W$1001,MATCH(ROWS($U$2:U385),$U$2:$U$1001,0),0), INDEX($AB$1004:$AQ$1004,1,MATCH(COLUMNS($AB$1006:AB1006),$AB$1006:$AQ$1006,0)))),"Fix")))</f>
        <v>0</v>
      </c>
      <c r="C385" s="5">
        <f>IF(OR(INDEX($V$2:$V$1001,MATCH(ROWS($U$2:U385),$U$2:$U$1001,0),1)&gt;=100000,INDEX($AB$1005:$AQ$1005,1,MATCH(COLUMNS($AB$1006:AC1006),$AB$1006:$AQ$1006,0))&gt;=100000), " ",IF(INDEX($AB$2:$AQ$1001,MATCH(ROWS($U$2:U385),$U$2:$U$1001,0),MATCH(COLUMNS($AB$1006:AC1006),$AB$1006:$AQ$1006,0)), HYPERLINK("#",""), HYPERLINK(CONCATENATE("#Metadata!", ADDRESS(INDEX($W$2:$W$1001,MATCH(ROWS($U$2:U385),$U$2:$U$1001,0),0), INDEX($AB$1004:$AQ$1004,1,MATCH(COLUMNS($AB$1006:AC1006),$AB$1006:$AQ$1006,0)))),"Fix")))</f>
        <v>0</v>
      </c>
      <c r="D385" s="5">
        <f>IF(OR(INDEX($V$2:$V$1001,MATCH(ROWS($U$2:U385),$U$2:$U$1001,0),1)&gt;=100000,INDEX($AB$1005:$AQ$1005,1,MATCH(COLUMNS($AB$1006:AD1006),$AB$1006:$AQ$1006,0))&gt;=100000), " ",IF(INDEX($AB$2:$AQ$1001,MATCH(ROWS($U$2:U385),$U$2:$U$1001,0),MATCH(COLUMNS($AB$1006:AD1006),$AB$1006:$AQ$1006,0)), HYPERLINK("#",""), HYPERLINK(CONCATENATE("#Metadata!", ADDRESS(INDEX($W$2:$W$1001,MATCH(ROWS($U$2:U385),$U$2:$U$1001,0),0), INDEX($AB$1004:$AQ$1004,1,MATCH(COLUMNS($AB$1006:AD1006),$AB$1006:$AQ$1006,0)))),"Fix")))</f>
        <v>0</v>
      </c>
      <c r="E385" s="5">
        <f>IF(OR(INDEX($V$2:$V$1001,MATCH(ROWS($U$2:U385),$U$2:$U$1001,0),1)&gt;=100000,INDEX($AB$1005:$AQ$1005,1,MATCH(COLUMNS($AB$1006:AE1006),$AB$1006:$AQ$1006,0))&gt;=100000), " ",IF(INDEX($AB$2:$AQ$1001,MATCH(ROWS($U$2:U385),$U$2:$U$1001,0),MATCH(COLUMNS($AB$1006:AE1006),$AB$1006:$AQ$1006,0)), HYPERLINK("#",""), HYPERLINK(CONCATENATE("#Metadata!", ADDRESS(INDEX($W$2:$W$1001,MATCH(ROWS($U$2:U385),$U$2:$U$1001,0),0), INDEX($AB$1004:$AQ$1004,1,MATCH(COLUMNS($AB$1006:AE1006),$AB$1006:$AQ$1006,0)))),"Fix")))</f>
        <v>0</v>
      </c>
      <c r="F385" s="5">
        <f>IF(OR(INDEX($V$2:$V$1001,MATCH(ROWS($U$2:U385),$U$2:$U$1001,0),1)&gt;=100000,INDEX($AB$1005:$AQ$1005,1,MATCH(COLUMNS($AB$1006:AF1006),$AB$1006:$AQ$1006,0))&gt;=100000), " ",IF(INDEX($AB$2:$AQ$1001,MATCH(ROWS($U$2:U385),$U$2:$U$1001,0),MATCH(COLUMNS($AB$1006:AF1006),$AB$1006:$AQ$1006,0)), HYPERLINK("#",""), HYPERLINK(CONCATENATE("#Metadata!", ADDRESS(INDEX($W$2:$W$1001,MATCH(ROWS($U$2:U385),$U$2:$U$1001,0),0), INDEX($AB$1004:$AQ$1004,1,MATCH(COLUMNS($AB$1006:AF1006),$AB$1006:$AQ$1006,0)))),"Fix")))</f>
        <v>0</v>
      </c>
      <c r="G385" s="5">
        <f>IF(OR(INDEX($V$2:$V$1001,MATCH(ROWS($U$2:U385),$U$2:$U$1001,0),1)&gt;=100000,INDEX($AB$1005:$AQ$1005,1,MATCH(COLUMNS($AB$1006:AG1006),$AB$1006:$AQ$1006,0))&gt;=100000), " ",IF(INDEX($AB$2:$AQ$1001,MATCH(ROWS($U$2:U385),$U$2:$U$1001,0),MATCH(COLUMNS($AB$1006:AG1006),$AB$1006:$AQ$1006,0)), HYPERLINK("#",""), HYPERLINK(CONCATENATE("#Metadata!", ADDRESS(INDEX($W$2:$W$1001,MATCH(ROWS($U$2:U385),$U$2:$U$1001,0),0), INDEX($AB$1004:$AQ$1004,1,MATCH(COLUMNS($AB$1006:AG1006),$AB$1006:$AQ$1006,0)))),"Fix")))</f>
        <v>0</v>
      </c>
      <c r="H385" s="5">
        <f>IF(OR(INDEX($V$2:$V$1001,MATCH(ROWS($U$2:U385),$U$2:$U$1001,0),1)&gt;=100000,INDEX($AB$1005:$AQ$1005,1,MATCH(COLUMNS($AB$1006:AH1006),$AB$1006:$AQ$1006,0))&gt;=100000), " ",IF(INDEX($AB$2:$AQ$1001,MATCH(ROWS($U$2:U385),$U$2:$U$1001,0),MATCH(COLUMNS($AB$1006:AH1006),$AB$1006:$AQ$1006,0)), HYPERLINK("#",""), HYPERLINK(CONCATENATE("#Metadata!", ADDRESS(INDEX($W$2:$W$1001,MATCH(ROWS($U$2:U385),$U$2:$U$1001,0),0), INDEX($AB$1004:$AQ$1004,1,MATCH(COLUMNS($AB$1006:AH1006),$AB$1006:$AQ$1006,0)))),"Fix")))</f>
        <v>0</v>
      </c>
      <c r="I385" s="5">
        <f>IF(OR(INDEX($V$2:$V$1001,MATCH(ROWS($U$2:U385),$U$2:$U$1001,0),1)&gt;=100000,INDEX($AB$1005:$AQ$1005,1,MATCH(COLUMNS($AB$1006:AI1006),$AB$1006:$AQ$1006,0))&gt;=100000), " ",IF(INDEX($AB$2:$AQ$1001,MATCH(ROWS($U$2:U385),$U$2:$U$1001,0),MATCH(COLUMNS($AB$1006:AI1006),$AB$1006:$AQ$1006,0)), HYPERLINK("#",""), HYPERLINK(CONCATENATE("#Metadata!", ADDRESS(INDEX($W$2:$W$1001,MATCH(ROWS($U$2:U385),$U$2:$U$1001,0),0), INDEX($AB$1004:$AQ$1004,1,MATCH(COLUMNS($AB$1006:AI1006),$AB$1006:$AQ$1006,0)))),"Fix")))</f>
        <v>0</v>
      </c>
      <c r="J385" s="5">
        <f>IF(OR(INDEX($V$2:$V$1001,MATCH(ROWS($U$2:U385),$U$2:$U$1001,0),1)&gt;=100000,INDEX($AB$1005:$AQ$1005,1,MATCH(COLUMNS($AB$1006:AJ1006),$AB$1006:$AQ$1006,0))&gt;=100000), " ",IF(INDEX($AB$2:$AQ$1001,MATCH(ROWS($U$2:U385),$U$2:$U$1001,0),MATCH(COLUMNS($AB$1006:AJ1006),$AB$1006:$AQ$1006,0)), HYPERLINK("#",""), HYPERLINK(CONCATENATE("#Metadata!", ADDRESS(INDEX($W$2:$W$1001,MATCH(ROWS($U$2:U385),$U$2:$U$1001,0),0), INDEX($AB$1004:$AQ$1004,1,MATCH(COLUMNS($AB$1006:AJ1006),$AB$1006:$AQ$1006,0)))),"Fix")))</f>
        <v>0</v>
      </c>
      <c r="K385" s="5">
        <f>IF(OR(INDEX($V$2:$V$1001,MATCH(ROWS($U$2:U385),$U$2:$U$1001,0),1)&gt;=100000,INDEX($AB$1005:$AQ$1005,1,MATCH(COLUMNS($AB$1006:AK1006),$AB$1006:$AQ$1006,0))&gt;=100000), " ",IF(INDEX($AB$2:$AQ$1001,MATCH(ROWS($U$2:U385),$U$2:$U$1001,0),MATCH(COLUMNS($AB$1006:AK1006),$AB$1006:$AQ$1006,0)), HYPERLINK("#",""), HYPERLINK(CONCATENATE("#Metadata!", ADDRESS(INDEX($W$2:$W$1001,MATCH(ROWS($U$2:U385),$U$2:$U$1001,0),0), INDEX($AB$1004:$AQ$1004,1,MATCH(COLUMNS($AB$1006:AK1006),$AB$1006:$AQ$1006,0)))),"Fix")))</f>
        <v>0</v>
      </c>
      <c r="L385" s="5">
        <f>IF(OR(INDEX($V$2:$V$1001,MATCH(ROWS($U$2:U385),$U$2:$U$1001,0),1)&gt;=100000,INDEX($AB$1005:$AQ$1005,1,MATCH(COLUMNS($AB$1006:AL1006),$AB$1006:$AQ$1006,0))&gt;=100000), " ",IF(INDEX($AB$2:$AQ$1001,MATCH(ROWS($U$2:U385),$U$2:$U$1001,0),MATCH(COLUMNS($AB$1006:AL1006),$AB$1006:$AQ$1006,0)), HYPERLINK("#",""), HYPERLINK(CONCATENATE("#Metadata!", ADDRESS(INDEX($W$2:$W$1001,MATCH(ROWS($U$2:U385),$U$2:$U$1001,0),0), INDEX($AB$1004:$AQ$1004,1,MATCH(COLUMNS($AB$1006:AL1006),$AB$1006:$AQ$1006,0)))),"Fix")))</f>
        <v>0</v>
      </c>
      <c r="M385" s="5">
        <f>IF(OR(INDEX($V$2:$V$1001,MATCH(ROWS($U$2:U385),$U$2:$U$1001,0),1)&gt;=100000,INDEX($AB$1005:$AQ$1005,1,MATCH(COLUMNS($AB$1006:AM1006),$AB$1006:$AQ$1006,0))&gt;=100000), " ",IF(INDEX($AB$2:$AQ$1001,MATCH(ROWS($U$2:U385),$U$2:$U$1001,0),MATCH(COLUMNS($AB$1006:AM1006),$AB$1006:$AQ$1006,0)), HYPERLINK("#",""), HYPERLINK(CONCATENATE("#Metadata!", ADDRESS(INDEX($W$2:$W$1001,MATCH(ROWS($U$2:U385),$U$2:$U$1001,0),0), INDEX($AB$1004:$AQ$1004,1,MATCH(COLUMNS($AB$1006:AM1006),$AB$1006:$AQ$1006,0)))),"Fix")))</f>
        <v>0</v>
      </c>
      <c r="N385" s="5">
        <f>IF(OR(INDEX($V$2:$V$1001,MATCH(ROWS($U$2:U385),$U$2:$U$1001,0),1)&gt;=100000,INDEX($AB$1005:$AQ$1005,1,MATCH(COLUMNS($AB$1006:AN1006),$AB$1006:$AQ$1006,0))&gt;=100000), " ",IF(INDEX($AB$2:$AQ$1001,MATCH(ROWS($U$2:U385),$U$2:$U$1001,0),MATCH(COLUMNS($AB$1006:AN1006),$AB$1006:$AQ$1006,0)), HYPERLINK("#",""), HYPERLINK(CONCATENATE("#Metadata!", ADDRESS(INDEX($W$2:$W$1001,MATCH(ROWS($U$2:U385),$U$2:$U$1001,0),0), INDEX($AB$1004:$AQ$1004,1,MATCH(COLUMNS($AB$1006:AN1006),$AB$1006:$AQ$1006,0)))),"Fix")))</f>
        <v>0</v>
      </c>
      <c r="O385" s="5">
        <f>IF(OR(INDEX($V$2:$V$1001,MATCH(ROWS($U$2:U385),$U$2:$U$1001,0),1)&gt;=100000,INDEX($AB$1005:$AQ$1005,1,MATCH(COLUMNS($AB$1006:AO1006),$AB$1006:$AQ$1006,0))&gt;=100000), " ",IF(INDEX($AB$2:$AQ$1001,MATCH(ROWS($U$2:U385),$U$2:$U$1001,0),MATCH(COLUMNS($AB$1006:AO1006),$AB$1006:$AQ$1006,0)), HYPERLINK("#",""), HYPERLINK(CONCATENATE("#Metadata!", ADDRESS(INDEX($W$2:$W$1001,MATCH(ROWS($U$2:U385),$U$2:$U$1001,0),0), INDEX($AB$1004:$AQ$1004,1,MATCH(COLUMNS($AB$1006:AO1006),$AB$1006:$AQ$1006,0)))),"Fix")))</f>
        <v>0</v>
      </c>
      <c r="P385" s="5">
        <f>IF(OR(INDEX($V$2:$V$1001,MATCH(ROWS($U$2:U385),$U$2:$U$1001,0),1)&gt;=100000,INDEX($AB$1005:$AQ$1005,1,MATCH(COLUMNS($AB$1006:AP1006),$AB$1006:$AQ$1006,0))&gt;=100000), " ",IF(INDEX($AB$2:$AQ$1001,MATCH(ROWS($U$2:U385),$U$2:$U$1001,0),MATCH(COLUMNS($AB$1006:AP1006),$AB$1006:$AQ$1006,0)), HYPERLINK("#",""), HYPERLINK(CONCATENATE("#Metadata!", ADDRESS(INDEX($W$2:$W$1001,MATCH(ROWS($U$2:U385),$U$2:$U$1001,0),0), INDEX($AB$1004:$AQ$1004,1,MATCH(COLUMNS($AB$1006:AP1006),$AB$1006:$AQ$1006,0)))),"Fix")))</f>
        <v>0</v>
      </c>
      <c r="Q385" s="5">
        <f>IF(OR(INDEX($V$2:$V$1001,MATCH(ROWS($U$2:U385),$U$2:$U$1001,0),1)&gt;=100000,INDEX($AB$1005:$AQ$1005,1,MATCH(COLUMNS($AB$1006:AQ1006),$AB$1006:$AQ$1006,0))&gt;=100000), " ",IF(INDEX($AB$2:$AQ$1001,MATCH(ROWS($U$2:U385),$U$2:$U$1001,0),MATCH(COLUMNS($AB$1006:AQ1006),$AB$1006:$AQ$1006,0)), HYPERLINK("#",""), HYPERLINK(CONCATENATE("#Metadata!", ADDRESS(INDEX($W$2:$W$1001,MATCH(ROWS($U$2:U385),$U$2:$U$1001,0),0), INDEX($AB$1004:$AQ$1004,1,MATCH(COLUMNS($AB$1006:AQ1006),$AB$1006:$AQ$1006,0)))),"Fix")))</f>
        <v>0</v>
      </c>
      <c r="U385">
        <v>0</v>
      </c>
      <c r="V385">
        <v>0</v>
      </c>
      <c r="W385">
        <v>0</v>
      </c>
      <c r="X385">
        <f>IF(Y385,TRUE,AND(AB385:AQ385))</f>
        <v>0</v>
      </c>
      <c r="Y385">
        <f>COUNTBLANK(Metadata!B385:Q385)=COLUMNS(Metadata!B385:Q385)</f>
        <v>0</v>
      </c>
      <c r="Z385">
        <v>0</v>
      </c>
      <c r="AB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AC385">
        <f>AND(IF(Metadata!C385="",FALSE,TRUE),exact(Metadata!C385,"urban biome"))</f>
        <v>0</v>
      </c>
      <c r="AD385">
        <f>AND(IF(Metadata!D385="",FALSE,TRUE),exact(Metadata!D385,"human-associated habitat"))</f>
        <v>0</v>
      </c>
      <c r="AE385">
        <f>AND(IF(Metadata!E385="",FALSE,TRUE),OR(exact(Metadata!E385,"human-associated"),exact(Metadata!E385,"human-skin"),exact(Metadata!E385,"human-oral"),exact(Metadata!E385,"human-gut"),exact(Metadata!E385,"human-vaginal")))</f>
        <v>0</v>
      </c>
      <c r="AF385">
        <f>AND(IF(Metadata!F385="",FALSE,ISNUMBER(VALUE(Metadata!F385))),Metadata!F385&gt;0)</f>
        <v>0</v>
      </c>
      <c r="AG385">
        <f>AND(IF(Metadata!G385="",FALSE,TRUE),exact(Metadata!G385,"years"))</f>
        <v>0</v>
      </c>
      <c r="AH385">
        <f>OR(AND(IF(Metadata!H385="",FALSE,TRUE),OR(exact(Metadata!H385,"not applicable"),exact(Metadata!H385,"not collected"),exact(Metadata!H385,"not provided"),exact(Metadata!H385,"restricted access"))),AND(IF(Metadata!H385="",FALSE,ISNUMBER(VALUE(Metadata!H385))),Metadata!H385&gt;0))</f>
        <v>0</v>
      </c>
      <c r="AI385">
        <f>AND(IF(Metadata!I385="",FALSE,TRUE),exact(Metadata!I385,"human"))</f>
        <v>0</v>
      </c>
      <c r="AJ385">
        <f>AND(IF(Metadata!J385="",FALSE,ISNUMBER(VALUE(Metadata!J385))),Metadata!J385&gt;0)</f>
        <v>0</v>
      </c>
      <c r="AK385">
        <f>AND(IF(Metadata!K385="",FALSE,TRUE),exact(Metadata!K385,"cm"))</f>
        <v>0</v>
      </c>
      <c r="AL385">
        <f>AND(IF(Metadata!L385="",FALSE,TRUE),exact(Metadata!L385,"Homo sapiens"))</f>
        <v>0</v>
      </c>
      <c r="AM385">
        <f>AND(IF(Metadata!M385="",FALSE,TRUE),exact(Metadata!M385,"9606"))</f>
        <v>0</v>
      </c>
      <c r="AN385">
        <f>AND(IF(Metadata!N385="",FALSE,ISNUMBER(VALUE(Metadata!N385))),Metadata!N385&gt;0)</f>
        <v>0</v>
      </c>
      <c r="AO385">
        <f>AND(IF(Metadata!O385="",FALSE,TRUE),exact(Metadata!O385,"kg"))</f>
        <v>0</v>
      </c>
      <c r="AP385">
        <f>OR(AND(IF(Metadata!P385="",FALSE,TRUE),exact(Metadata!P385,"not provided")),IF(Metadata!P385="",FALSE,TRUE))</f>
        <v>0</v>
      </c>
      <c r="AQ385">
        <f>OR(AND(IF(Metadata!Q385="",FALSE,TRUE),exact(Metadata!Q385,"not provided")),IF(Metadata!Q385="",FALSE,TRUE))</f>
        <v>0</v>
      </c>
    </row>
    <row r="386" spans="1:43">
      <c r="A386" s="4">
        <f>IF(B386=" "," ",HYPERLINK(CONCATENATE("#metadata!",ADDRESS(INDEX($W$2:$W$1001,MATCH(ROWS($U$2:U386),$U$2:$U$1001,0),0),2)),INDEX($Z$2:$Z$1001,MATCH(ROWS($U$2:U386),$U$2:$U$1001,0),0)))</f>
        <v>0</v>
      </c>
      <c r="B386" s="5">
        <f>IF(OR(INDEX($V$2:$V$1001,MATCH(ROWS($U$2:U386),$U$2:$U$1001,0),1)&gt;=100000,INDEX($AB$1005:$AQ$1005,1,MATCH(COLUMNS($AB$1006:AB1006),$AB$1006:$AQ$1006,0))&gt;=100000), " ",IF(INDEX($AB$2:$AQ$1001,MATCH(ROWS($U$2:U386),$U$2:$U$1001,0),MATCH(COLUMNS($AB$1006:AB1006),$AB$1006:$AQ$1006,0)), HYPERLINK("#",""), HYPERLINK(CONCATENATE("#Metadata!", ADDRESS(INDEX($W$2:$W$1001,MATCH(ROWS($U$2:U386),$U$2:$U$1001,0),0), INDEX($AB$1004:$AQ$1004,1,MATCH(COLUMNS($AB$1006:AB1006),$AB$1006:$AQ$1006,0)))),"Fix")))</f>
        <v>0</v>
      </c>
      <c r="C386" s="5">
        <f>IF(OR(INDEX($V$2:$V$1001,MATCH(ROWS($U$2:U386),$U$2:$U$1001,0),1)&gt;=100000,INDEX($AB$1005:$AQ$1005,1,MATCH(COLUMNS($AB$1006:AC1006),$AB$1006:$AQ$1006,0))&gt;=100000), " ",IF(INDEX($AB$2:$AQ$1001,MATCH(ROWS($U$2:U386),$U$2:$U$1001,0),MATCH(COLUMNS($AB$1006:AC1006),$AB$1006:$AQ$1006,0)), HYPERLINK("#",""), HYPERLINK(CONCATENATE("#Metadata!", ADDRESS(INDEX($W$2:$W$1001,MATCH(ROWS($U$2:U386),$U$2:$U$1001,0),0), INDEX($AB$1004:$AQ$1004,1,MATCH(COLUMNS($AB$1006:AC1006),$AB$1006:$AQ$1006,0)))),"Fix")))</f>
        <v>0</v>
      </c>
      <c r="D386" s="5">
        <f>IF(OR(INDEX($V$2:$V$1001,MATCH(ROWS($U$2:U386),$U$2:$U$1001,0),1)&gt;=100000,INDEX($AB$1005:$AQ$1005,1,MATCH(COLUMNS($AB$1006:AD1006),$AB$1006:$AQ$1006,0))&gt;=100000), " ",IF(INDEX($AB$2:$AQ$1001,MATCH(ROWS($U$2:U386),$U$2:$U$1001,0),MATCH(COLUMNS($AB$1006:AD1006),$AB$1006:$AQ$1006,0)), HYPERLINK("#",""), HYPERLINK(CONCATENATE("#Metadata!", ADDRESS(INDEX($W$2:$W$1001,MATCH(ROWS($U$2:U386),$U$2:$U$1001,0),0), INDEX($AB$1004:$AQ$1004,1,MATCH(COLUMNS($AB$1006:AD1006),$AB$1006:$AQ$1006,0)))),"Fix")))</f>
        <v>0</v>
      </c>
      <c r="E386" s="5">
        <f>IF(OR(INDEX($V$2:$V$1001,MATCH(ROWS($U$2:U386),$U$2:$U$1001,0),1)&gt;=100000,INDEX($AB$1005:$AQ$1005,1,MATCH(COLUMNS($AB$1006:AE1006),$AB$1006:$AQ$1006,0))&gt;=100000), " ",IF(INDEX($AB$2:$AQ$1001,MATCH(ROWS($U$2:U386),$U$2:$U$1001,0),MATCH(COLUMNS($AB$1006:AE1006),$AB$1006:$AQ$1006,0)), HYPERLINK("#",""), HYPERLINK(CONCATENATE("#Metadata!", ADDRESS(INDEX($W$2:$W$1001,MATCH(ROWS($U$2:U386),$U$2:$U$1001,0),0), INDEX($AB$1004:$AQ$1004,1,MATCH(COLUMNS($AB$1006:AE1006),$AB$1006:$AQ$1006,0)))),"Fix")))</f>
        <v>0</v>
      </c>
      <c r="F386" s="5">
        <f>IF(OR(INDEX($V$2:$V$1001,MATCH(ROWS($U$2:U386),$U$2:$U$1001,0),1)&gt;=100000,INDEX($AB$1005:$AQ$1005,1,MATCH(COLUMNS($AB$1006:AF1006),$AB$1006:$AQ$1006,0))&gt;=100000), " ",IF(INDEX($AB$2:$AQ$1001,MATCH(ROWS($U$2:U386),$U$2:$U$1001,0),MATCH(COLUMNS($AB$1006:AF1006),$AB$1006:$AQ$1006,0)), HYPERLINK("#",""), HYPERLINK(CONCATENATE("#Metadata!", ADDRESS(INDEX($W$2:$W$1001,MATCH(ROWS($U$2:U386),$U$2:$U$1001,0),0), INDEX($AB$1004:$AQ$1004,1,MATCH(COLUMNS($AB$1006:AF1006),$AB$1006:$AQ$1006,0)))),"Fix")))</f>
        <v>0</v>
      </c>
      <c r="G386" s="5">
        <f>IF(OR(INDEX($V$2:$V$1001,MATCH(ROWS($U$2:U386),$U$2:$U$1001,0),1)&gt;=100000,INDEX($AB$1005:$AQ$1005,1,MATCH(COLUMNS($AB$1006:AG1006),$AB$1006:$AQ$1006,0))&gt;=100000), " ",IF(INDEX($AB$2:$AQ$1001,MATCH(ROWS($U$2:U386),$U$2:$U$1001,0),MATCH(COLUMNS($AB$1006:AG1006),$AB$1006:$AQ$1006,0)), HYPERLINK("#",""), HYPERLINK(CONCATENATE("#Metadata!", ADDRESS(INDEX($W$2:$W$1001,MATCH(ROWS($U$2:U386),$U$2:$U$1001,0),0), INDEX($AB$1004:$AQ$1004,1,MATCH(COLUMNS($AB$1006:AG1006),$AB$1006:$AQ$1006,0)))),"Fix")))</f>
        <v>0</v>
      </c>
      <c r="H386" s="5">
        <f>IF(OR(INDEX($V$2:$V$1001,MATCH(ROWS($U$2:U386),$U$2:$U$1001,0),1)&gt;=100000,INDEX($AB$1005:$AQ$1005,1,MATCH(COLUMNS($AB$1006:AH1006),$AB$1006:$AQ$1006,0))&gt;=100000), " ",IF(INDEX($AB$2:$AQ$1001,MATCH(ROWS($U$2:U386),$U$2:$U$1001,0),MATCH(COLUMNS($AB$1006:AH1006),$AB$1006:$AQ$1006,0)), HYPERLINK("#",""), HYPERLINK(CONCATENATE("#Metadata!", ADDRESS(INDEX($W$2:$W$1001,MATCH(ROWS($U$2:U386),$U$2:$U$1001,0),0), INDEX($AB$1004:$AQ$1004,1,MATCH(COLUMNS($AB$1006:AH1006),$AB$1006:$AQ$1006,0)))),"Fix")))</f>
        <v>0</v>
      </c>
      <c r="I386" s="5">
        <f>IF(OR(INDEX($V$2:$V$1001,MATCH(ROWS($U$2:U386),$U$2:$U$1001,0),1)&gt;=100000,INDEX($AB$1005:$AQ$1005,1,MATCH(COLUMNS($AB$1006:AI1006),$AB$1006:$AQ$1006,0))&gt;=100000), " ",IF(INDEX($AB$2:$AQ$1001,MATCH(ROWS($U$2:U386),$U$2:$U$1001,0),MATCH(COLUMNS($AB$1006:AI1006),$AB$1006:$AQ$1006,0)), HYPERLINK("#",""), HYPERLINK(CONCATENATE("#Metadata!", ADDRESS(INDEX($W$2:$W$1001,MATCH(ROWS($U$2:U386),$U$2:$U$1001,0),0), INDEX($AB$1004:$AQ$1004,1,MATCH(COLUMNS($AB$1006:AI1006),$AB$1006:$AQ$1006,0)))),"Fix")))</f>
        <v>0</v>
      </c>
      <c r="J386" s="5">
        <f>IF(OR(INDEX($V$2:$V$1001,MATCH(ROWS($U$2:U386),$U$2:$U$1001,0),1)&gt;=100000,INDEX($AB$1005:$AQ$1005,1,MATCH(COLUMNS($AB$1006:AJ1006),$AB$1006:$AQ$1006,0))&gt;=100000), " ",IF(INDEX($AB$2:$AQ$1001,MATCH(ROWS($U$2:U386),$U$2:$U$1001,0),MATCH(COLUMNS($AB$1006:AJ1006),$AB$1006:$AQ$1006,0)), HYPERLINK("#",""), HYPERLINK(CONCATENATE("#Metadata!", ADDRESS(INDEX($W$2:$W$1001,MATCH(ROWS($U$2:U386),$U$2:$U$1001,0),0), INDEX($AB$1004:$AQ$1004,1,MATCH(COLUMNS($AB$1006:AJ1006),$AB$1006:$AQ$1006,0)))),"Fix")))</f>
        <v>0</v>
      </c>
      <c r="K386" s="5">
        <f>IF(OR(INDEX($V$2:$V$1001,MATCH(ROWS($U$2:U386),$U$2:$U$1001,0),1)&gt;=100000,INDEX($AB$1005:$AQ$1005,1,MATCH(COLUMNS($AB$1006:AK1006),$AB$1006:$AQ$1006,0))&gt;=100000), " ",IF(INDEX($AB$2:$AQ$1001,MATCH(ROWS($U$2:U386),$U$2:$U$1001,0),MATCH(COLUMNS($AB$1006:AK1006),$AB$1006:$AQ$1006,0)), HYPERLINK("#",""), HYPERLINK(CONCATENATE("#Metadata!", ADDRESS(INDEX($W$2:$W$1001,MATCH(ROWS($U$2:U386),$U$2:$U$1001,0),0), INDEX($AB$1004:$AQ$1004,1,MATCH(COLUMNS($AB$1006:AK1006),$AB$1006:$AQ$1006,0)))),"Fix")))</f>
        <v>0</v>
      </c>
      <c r="L386" s="5">
        <f>IF(OR(INDEX($V$2:$V$1001,MATCH(ROWS($U$2:U386),$U$2:$U$1001,0),1)&gt;=100000,INDEX($AB$1005:$AQ$1005,1,MATCH(COLUMNS($AB$1006:AL1006),$AB$1006:$AQ$1006,0))&gt;=100000), " ",IF(INDEX($AB$2:$AQ$1001,MATCH(ROWS($U$2:U386),$U$2:$U$1001,0),MATCH(COLUMNS($AB$1006:AL1006),$AB$1006:$AQ$1006,0)), HYPERLINK("#",""), HYPERLINK(CONCATENATE("#Metadata!", ADDRESS(INDEX($W$2:$W$1001,MATCH(ROWS($U$2:U386),$U$2:$U$1001,0),0), INDEX($AB$1004:$AQ$1004,1,MATCH(COLUMNS($AB$1006:AL1006),$AB$1006:$AQ$1006,0)))),"Fix")))</f>
        <v>0</v>
      </c>
      <c r="M386" s="5">
        <f>IF(OR(INDEX($V$2:$V$1001,MATCH(ROWS($U$2:U386),$U$2:$U$1001,0),1)&gt;=100000,INDEX($AB$1005:$AQ$1005,1,MATCH(COLUMNS($AB$1006:AM1006),$AB$1006:$AQ$1006,0))&gt;=100000), " ",IF(INDEX($AB$2:$AQ$1001,MATCH(ROWS($U$2:U386),$U$2:$U$1001,0),MATCH(COLUMNS($AB$1006:AM1006),$AB$1006:$AQ$1006,0)), HYPERLINK("#",""), HYPERLINK(CONCATENATE("#Metadata!", ADDRESS(INDEX($W$2:$W$1001,MATCH(ROWS($U$2:U386),$U$2:$U$1001,0),0), INDEX($AB$1004:$AQ$1004,1,MATCH(COLUMNS($AB$1006:AM1006),$AB$1006:$AQ$1006,0)))),"Fix")))</f>
        <v>0</v>
      </c>
      <c r="N386" s="5">
        <f>IF(OR(INDEX($V$2:$V$1001,MATCH(ROWS($U$2:U386),$U$2:$U$1001,0),1)&gt;=100000,INDEX($AB$1005:$AQ$1005,1,MATCH(COLUMNS($AB$1006:AN1006),$AB$1006:$AQ$1006,0))&gt;=100000), " ",IF(INDEX($AB$2:$AQ$1001,MATCH(ROWS($U$2:U386),$U$2:$U$1001,0),MATCH(COLUMNS($AB$1006:AN1006),$AB$1006:$AQ$1006,0)), HYPERLINK("#",""), HYPERLINK(CONCATENATE("#Metadata!", ADDRESS(INDEX($W$2:$W$1001,MATCH(ROWS($U$2:U386),$U$2:$U$1001,0),0), INDEX($AB$1004:$AQ$1004,1,MATCH(COLUMNS($AB$1006:AN1006),$AB$1006:$AQ$1006,0)))),"Fix")))</f>
        <v>0</v>
      </c>
      <c r="O386" s="5">
        <f>IF(OR(INDEX($V$2:$V$1001,MATCH(ROWS($U$2:U386),$U$2:$U$1001,0),1)&gt;=100000,INDEX($AB$1005:$AQ$1005,1,MATCH(COLUMNS($AB$1006:AO1006),$AB$1006:$AQ$1006,0))&gt;=100000), " ",IF(INDEX($AB$2:$AQ$1001,MATCH(ROWS($U$2:U386),$U$2:$U$1001,0),MATCH(COLUMNS($AB$1006:AO1006),$AB$1006:$AQ$1006,0)), HYPERLINK("#",""), HYPERLINK(CONCATENATE("#Metadata!", ADDRESS(INDEX($W$2:$W$1001,MATCH(ROWS($U$2:U386),$U$2:$U$1001,0),0), INDEX($AB$1004:$AQ$1004,1,MATCH(COLUMNS($AB$1006:AO1006),$AB$1006:$AQ$1006,0)))),"Fix")))</f>
        <v>0</v>
      </c>
      <c r="P386" s="5">
        <f>IF(OR(INDEX($V$2:$V$1001,MATCH(ROWS($U$2:U386),$U$2:$U$1001,0),1)&gt;=100000,INDEX($AB$1005:$AQ$1005,1,MATCH(COLUMNS($AB$1006:AP1006),$AB$1006:$AQ$1006,0))&gt;=100000), " ",IF(INDEX($AB$2:$AQ$1001,MATCH(ROWS($U$2:U386),$U$2:$U$1001,0),MATCH(COLUMNS($AB$1006:AP1006),$AB$1006:$AQ$1006,0)), HYPERLINK("#",""), HYPERLINK(CONCATENATE("#Metadata!", ADDRESS(INDEX($W$2:$W$1001,MATCH(ROWS($U$2:U386),$U$2:$U$1001,0),0), INDEX($AB$1004:$AQ$1004,1,MATCH(COLUMNS($AB$1006:AP1006),$AB$1006:$AQ$1006,0)))),"Fix")))</f>
        <v>0</v>
      </c>
      <c r="Q386" s="5">
        <f>IF(OR(INDEX($V$2:$V$1001,MATCH(ROWS($U$2:U386),$U$2:$U$1001,0),1)&gt;=100000,INDEX($AB$1005:$AQ$1005,1,MATCH(COLUMNS($AB$1006:AQ1006),$AB$1006:$AQ$1006,0))&gt;=100000), " ",IF(INDEX($AB$2:$AQ$1001,MATCH(ROWS($U$2:U386),$U$2:$U$1001,0),MATCH(COLUMNS($AB$1006:AQ1006),$AB$1006:$AQ$1006,0)), HYPERLINK("#",""), HYPERLINK(CONCATENATE("#Metadata!", ADDRESS(INDEX($W$2:$W$1001,MATCH(ROWS($U$2:U386),$U$2:$U$1001,0),0), INDEX($AB$1004:$AQ$1004,1,MATCH(COLUMNS($AB$1006:AQ1006),$AB$1006:$AQ$1006,0)))),"Fix")))</f>
        <v>0</v>
      </c>
      <c r="U386">
        <v>0</v>
      </c>
      <c r="V386">
        <v>0</v>
      </c>
      <c r="W386">
        <v>0</v>
      </c>
      <c r="X386">
        <f>IF(Y386,TRUE,AND(AB386:AQ386))</f>
        <v>0</v>
      </c>
      <c r="Y386">
        <f>COUNTBLANK(Metadata!B386:Q386)=COLUMNS(Metadata!B386:Q386)</f>
        <v>0</v>
      </c>
      <c r="Z386">
        <v>0</v>
      </c>
      <c r="AB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AC386">
        <f>AND(IF(Metadata!C386="",FALSE,TRUE),exact(Metadata!C386,"urban biome"))</f>
        <v>0</v>
      </c>
      <c r="AD386">
        <f>AND(IF(Metadata!D386="",FALSE,TRUE),exact(Metadata!D386,"human-associated habitat"))</f>
        <v>0</v>
      </c>
      <c r="AE386">
        <f>AND(IF(Metadata!E386="",FALSE,TRUE),OR(exact(Metadata!E386,"human-associated"),exact(Metadata!E386,"human-skin"),exact(Metadata!E386,"human-oral"),exact(Metadata!E386,"human-gut"),exact(Metadata!E386,"human-vaginal")))</f>
        <v>0</v>
      </c>
      <c r="AF386">
        <f>AND(IF(Metadata!F386="",FALSE,ISNUMBER(VALUE(Metadata!F386))),Metadata!F386&gt;0)</f>
        <v>0</v>
      </c>
      <c r="AG386">
        <f>AND(IF(Metadata!G386="",FALSE,TRUE),exact(Metadata!G386,"years"))</f>
        <v>0</v>
      </c>
      <c r="AH386">
        <f>OR(AND(IF(Metadata!H386="",FALSE,TRUE),OR(exact(Metadata!H386,"not applicable"),exact(Metadata!H386,"not collected"),exact(Metadata!H386,"not provided"),exact(Metadata!H386,"restricted access"))),AND(IF(Metadata!H386="",FALSE,ISNUMBER(VALUE(Metadata!H386))),Metadata!H386&gt;0))</f>
        <v>0</v>
      </c>
      <c r="AI386">
        <f>AND(IF(Metadata!I386="",FALSE,TRUE),exact(Metadata!I386,"human"))</f>
        <v>0</v>
      </c>
      <c r="AJ386">
        <f>AND(IF(Metadata!J386="",FALSE,ISNUMBER(VALUE(Metadata!J386))),Metadata!J386&gt;0)</f>
        <v>0</v>
      </c>
      <c r="AK386">
        <f>AND(IF(Metadata!K386="",FALSE,TRUE),exact(Metadata!K386,"cm"))</f>
        <v>0</v>
      </c>
      <c r="AL386">
        <f>AND(IF(Metadata!L386="",FALSE,TRUE),exact(Metadata!L386,"Homo sapiens"))</f>
        <v>0</v>
      </c>
      <c r="AM386">
        <f>AND(IF(Metadata!M386="",FALSE,TRUE),exact(Metadata!M386,"9606"))</f>
        <v>0</v>
      </c>
      <c r="AN386">
        <f>AND(IF(Metadata!N386="",FALSE,ISNUMBER(VALUE(Metadata!N386))),Metadata!N386&gt;0)</f>
        <v>0</v>
      </c>
      <c r="AO386">
        <f>AND(IF(Metadata!O386="",FALSE,TRUE),exact(Metadata!O386,"kg"))</f>
        <v>0</v>
      </c>
      <c r="AP386">
        <f>OR(AND(IF(Metadata!P386="",FALSE,TRUE),exact(Metadata!P386,"not provided")),IF(Metadata!P386="",FALSE,TRUE))</f>
        <v>0</v>
      </c>
      <c r="AQ386">
        <f>OR(AND(IF(Metadata!Q386="",FALSE,TRUE),exact(Metadata!Q386,"not provided")),IF(Metadata!Q386="",FALSE,TRUE))</f>
        <v>0</v>
      </c>
    </row>
    <row r="387" spans="1:43">
      <c r="A387" s="4">
        <f>IF(B387=" "," ",HYPERLINK(CONCATENATE("#metadata!",ADDRESS(INDEX($W$2:$W$1001,MATCH(ROWS($U$2:U387),$U$2:$U$1001,0),0),2)),INDEX($Z$2:$Z$1001,MATCH(ROWS($U$2:U387),$U$2:$U$1001,0),0)))</f>
        <v>0</v>
      </c>
      <c r="B387" s="5">
        <f>IF(OR(INDEX($V$2:$V$1001,MATCH(ROWS($U$2:U387),$U$2:$U$1001,0),1)&gt;=100000,INDEX($AB$1005:$AQ$1005,1,MATCH(COLUMNS($AB$1006:AB1006),$AB$1006:$AQ$1006,0))&gt;=100000), " ",IF(INDEX($AB$2:$AQ$1001,MATCH(ROWS($U$2:U387),$U$2:$U$1001,0),MATCH(COLUMNS($AB$1006:AB1006),$AB$1006:$AQ$1006,0)), HYPERLINK("#",""), HYPERLINK(CONCATENATE("#Metadata!", ADDRESS(INDEX($W$2:$W$1001,MATCH(ROWS($U$2:U387),$U$2:$U$1001,0),0), INDEX($AB$1004:$AQ$1004,1,MATCH(COLUMNS($AB$1006:AB1006),$AB$1006:$AQ$1006,0)))),"Fix")))</f>
        <v>0</v>
      </c>
      <c r="C387" s="5">
        <f>IF(OR(INDEX($V$2:$V$1001,MATCH(ROWS($U$2:U387),$U$2:$U$1001,0),1)&gt;=100000,INDEX($AB$1005:$AQ$1005,1,MATCH(COLUMNS($AB$1006:AC1006),$AB$1006:$AQ$1006,0))&gt;=100000), " ",IF(INDEX($AB$2:$AQ$1001,MATCH(ROWS($U$2:U387),$U$2:$U$1001,0),MATCH(COLUMNS($AB$1006:AC1006),$AB$1006:$AQ$1006,0)), HYPERLINK("#",""), HYPERLINK(CONCATENATE("#Metadata!", ADDRESS(INDEX($W$2:$W$1001,MATCH(ROWS($U$2:U387),$U$2:$U$1001,0),0), INDEX($AB$1004:$AQ$1004,1,MATCH(COLUMNS($AB$1006:AC1006),$AB$1006:$AQ$1006,0)))),"Fix")))</f>
        <v>0</v>
      </c>
      <c r="D387" s="5">
        <f>IF(OR(INDEX($V$2:$V$1001,MATCH(ROWS($U$2:U387),$U$2:$U$1001,0),1)&gt;=100000,INDEX($AB$1005:$AQ$1005,1,MATCH(COLUMNS($AB$1006:AD1006),$AB$1006:$AQ$1006,0))&gt;=100000), " ",IF(INDEX($AB$2:$AQ$1001,MATCH(ROWS($U$2:U387),$U$2:$U$1001,0),MATCH(COLUMNS($AB$1006:AD1006),$AB$1006:$AQ$1006,0)), HYPERLINK("#",""), HYPERLINK(CONCATENATE("#Metadata!", ADDRESS(INDEX($W$2:$W$1001,MATCH(ROWS($U$2:U387),$U$2:$U$1001,0),0), INDEX($AB$1004:$AQ$1004,1,MATCH(COLUMNS($AB$1006:AD1006),$AB$1006:$AQ$1006,0)))),"Fix")))</f>
        <v>0</v>
      </c>
      <c r="E387" s="5">
        <f>IF(OR(INDEX($V$2:$V$1001,MATCH(ROWS($U$2:U387),$U$2:$U$1001,0),1)&gt;=100000,INDEX($AB$1005:$AQ$1005,1,MATCH(COLUMNS($AB$1006:AE1006),$AB$1006:$AQ$1006,0))&gt;=100000), " ",IF(INDEX($AB$2:$AQ$1001,MATCH(ROWS($U$2:U387),$U$2:$U$1001,0),MATCH(COLUMNS($AB$1006:AE1006),$AB$1006:$AQ$1006,0)), HYPERLINK("#",""), HYPERLINK(CONCATENATE("#Metadata!", ADDRESS(INDEX($W$2:$W$1001,MATCH(ROWS($U$2:U387),$U$2:$U$1001,0),0), INDEX($AB$1004:$AQ$1004,1,MATCH(COLUMNS($AB$1006:AE1006),$AB$1006:$AQ$1006,0)))),"Fix")))</f>
        <v>0</v>
      </c>
      <c r="F387" s="5">
        <f>IF(OR(INDEX($V$2:$V$1001,MATCH(ROWS($U$2:U387),$U$2:$U$1001,0),1)&gt;=100000,INDEX($AB$1005:$AQ$1005,1,MATCH(COLUMNS($AB$1006:AF1006),$AB$1006:$AQ$1006,0))&gt;=100000), " ",IF(INDEX($AB$2:$AQ$1001,MATCH(ROWS($U$2:U387),$U$2:$U$1001,0),MATCH(COLUMNS($AB$1006:AF1006),$AB$1006:$AQ$1006,0)), HYPERLINK("#",""), HYPERLINK(CONCATENATE("#Metadata!", ADDRESS(INDEX($W$2:$W$1001,MATCH(ROWS($U$2:U387),$U$2:$U$1001,0),0), INDEX($AB$1004:$AQ$1004,1,MATCH(COLUMNS($AB$1006:AF1006),$AB$1006:$AQ$1006,0)))),"Fix")))</f>
        <v>0</v>
      </c>
      <c r="G387" s="5">
        <f>IF(OR(INDEX($V$2:$V$1001,MATCH(ROWS($U$2:U387),$U$2:$U$1001,0),1)&gt;=100000,INDEX($AB$1005:$AQ$1005,1,MATCH(COLUMNS($AB$1006:AG1006),$AB$1006:$AQ$1006,0))&gt;=100000), " ",IF(INDEX($AB$2:$AQ$1001,MATCH(ROWS($U$2:U387),$U$2:$U$1001,0),MATCH(COLUMNS($AB$1006:AG1006),$AB$1006:$AQ$1006,0)), HYPERLINK("#",""), HYPERLINK(CONCATENATE("#Metadata!", ADDRESS(INDEX($W$2:$W$1001,MATCH(ROWS($U$2:U387),$U$2:$U$1001,0),0), INDEX($AB$1004:$AQ$1004,1,MATCH(COLUMNS($AB$1006:AG1006),$AB$1006:$AQ$1006,0)))),"Fix")))</f>
        <v>0</v>
      </c>
      <c r="H387" s="5">
        <f>IF(OR(INDEX($V$2:$V$1001,MATCH(ROWS($U$2:U387),$U$2:$U$1001,0),1)&gt;=100000,INDEX($AB$1005:$AQ$1005,1,MATCH(COLUMNS($AB$1006:AH1006),$AB$1006:$AQ$1006,0))&gt;=100000), " ",IF(INDEX($AB$2:$AQ$1001,MATCH(ROWS($U$2:U387),$U$2:$U$1001,0),MATCH(COLUMNS($AB$1006:AH1006),$AB$1006:$AQ$1006,0)), HYPERLINK("#",""), HYPERLINK(CONCATENATE("#Metadata!", ADDRESS(INDEX($W$2:$W$1001,MATCH(ROWS($U$2:U387),$U$2:$U$1001,0),0), INDEX($AB$1004:$AQ$1004,1,MATCH(COLUMNS($AB$1006:AH1006),$AB$1006:$AQ$1006,0)))),"Fix")))</f>
        <v>0</v>
      </c>
      <c r="I387" s="5">
        <f>IF(OR(INDEX($V$2:$V$1001,MATCH(ROWS($U$2:U387),$U$2:$U$1001,0),1)&gt;=100000,INDEX($AB$1005:$AQ$1005,1,MATCH(COLUMNS($AB$1006:AI1006),$AB$1006:$AQ$1006,0))&gt;=100000), " ",IF(INDEX($AB$2:$AQ$1001,MATCH(ROWS($U$2:U387),$U$2:$U$1001,0),MATCH(COLUMNS($AB$1006:AI1006),$AB$1006:$AQ$1006,0)), HYPERLINK("#",""), HYPERLINK(CONCATENATE("#Metadata!", ADDRESS(INDEX($W$2:$W$1001,MATCH(ROWS($U$2:U387),$U$2:$U$1001,0),0), INDEX($AB$1004:$AQ$1004,1,MATCH(COLUMNS($AB$1006:AI1006),$AB$1006:$AQ$1006,0)))),"Fix")))</f>
        <v>0</v>
      </c>
      <c r="J387" s="5">
        <f>IF(OR(INDEX($V$2:$V$1001,MATCH(ROWS($U$2:U387),$U$2:$U$1001,0),1)&gt;=100000,INDEX($AB$1005:$AQ$1005,1,MATCH(COLUMNS($AB$1006:AJ1006),$AB$1006:$AQ$1006,0))&gt;=100000), " ",IF(INDEX($AB$2:$AQ$1001,MATCH(ROWS($U$2:U387),$U$2:$U$1001,0),MATCH(COLUMNS($AB$1006:AJ1006),$AB$1006:$AQ$1006,0)), HYPERLINK("#",""), HYPERLINK(CONCATENATE("#Metadata!", ADDRESS(INDEX($W$2:$W$1001,MATCH(ROWS($U$2:U387),$U$2:$U$1001,0),0), INDEX($AB$1004:$AQ$1004,1,MATCH(COLUMNS($AB$1006:AJ1006),$AB$1006:$AQ$1006,0)))),"Fix")))</f>
        <v>0</v>
      </c>
      <c r="K387" s="5">
        <f>IF(OR(INDEX($V$2:$V$1001,MATCH(ROWS($U$2:U387),$U$2:$U$1001,0),1)&gt;=100000,INDEX($AB$1005:$AQ$1005,1,MATCH(COLUMNS($AB$1006:AK1006),$AB$1006:$AQ$1006,0))&gt;=100000), " ",IF(INDEX($AB$2:$AQ$1001,MATCH(ROWS($U$2:U387),$U$2:$U$1001,0),MATCH(COLUMNS($AB$1006:AK1006),$AB$1006:$AQ$1006,0)), HYPERLINK("#",""), HYPERLINK(CONCATENATE("#Metadata!", ADDRESS(INDEX($W$2:$W$1001,MATCH(ROWS($U$2:U387),$U$2:$U$1001,0),0), INDEX($AB$1004:$AQ$1004,1,MATCH(COLUMNS($AB$1006:AK1006),$AB$1006:$AQ$1006,0)))),"Fix")))</f>
        <v>0</v>
      </c>
      <c r="L387" s="5">
        <f>IF(OR(INDEX($V$2:$V$1001,MATCH(ROWS($U$2:U387),$U$2:$U$1001,0),1)&gt;=100000,INDEX($AB$1005:$AQ$1005,1,MATCH(COLUMNS($AB$1006:AL1006),$AB$1006:$AQ$1006,0))&gt;=100000), " ",IF(INDEX($AB$2:$AQ$1001,MATCH(ROWS($U$2:U387),$U$2:$U$1001,0),MATCH(COLUMNS($AB$1006:AL1006),$AB$1006:$AQ$1006,0)), HYPERLINK("#",""), HYPERLINK(CONCATENATE("#Metadata!", ADDRESS(INDEX($W$2:$W$1001,MATCH(ROWS($U$2:U387),$U$2:$U$1001,0),0), INDEX($AB$1004:$AQ$1004,1,MATCH(COLUMNS($AB$1006:AL1006),$AB$1006:$AQ$1006,0)))),"Fix")))</f>
        <v>0</v>
      </c>
      <c r="M387" s="5">
        <f>IF(OR(INDEX($V$2:$V$1001,MATCH(ROWS($U$2:U387),$U$2:$U$1001,0),1)&gt;=100000,INDEX($AB$1005:$AQ$1005,1,MATCH(COLUMNS($AB$1006:AM1006),$AB$1006:$AQ$1006,0))&gt;=100000), " ",IF(INDEX($AB$2:$AQ$1001,MATCH(ROWS($U$2:U387),$U$2:$U$1001,0),MATCH(COLUMNS($AB$1006:AM1006),$AB$1006:$AQ$1006,0)), HYPERLINK("#",""), HYPERLINK(CONCATENATE("#Metadata!", ADDRESS(INDEX($W$2:$W$1001,MATCH(ROWS($U$2:U387),$U$2:$U$1001,0),0), INDEX($AB$1004:$AQ$1004,1,MATCH(COLUMNS($AB$1006:AM1006),$AB$1006:$AQ$1006,0)))),"Fix")))</f>
        <v>0</v>
      </c>
      <c r="N387" s="5">
        <f>IF(OR(INDEX($V$2:$V$1001,MATCH(ROWS($U$2:U387),$U$2:$U$1001,0),1)&gt;=100000,INDEX($AB$1005:$AQ$1005,1,MATCH(COLUMNS($AB$1006:AN1006),$AB$1006:$AQ$1006,0))&gt;=100000), " ",IF(INDEX($AB$2:$AQ$1001,MATCH(ROWS($U$2:U387),$U$2:$U$1001,0),MATCH(COLUMNS($AB$1006:AN1006),$AB$1006:$AQ$1006,0)), HYPERLINK("#",""), HYPERLINK(CONCATENATE("#Metadata!", ADDRESS(INDEX($W$2:$W$1001,MATCH(ROWS($U$2:U387),$U$2:$U$1001,0),0), INDEX($AB$1004:$AQ$1004,1,MATCH(COLUMNS($AB$1006:AN1006),$AB$1006:$AQ$1006,0)))),"Fix")))</f>
        <v>0</v>
      </c>
      <c r="O387" s="5">
        <f>IF(OR(INDEX($V$2:$V$1001,MATCH(ROWS($U$2:U387),$U$2:$U$1001,0),1)&gt;=100000,INDEX($AB$1005:$AQ$1005,1,MATCH(COLUMNS($AB$1006:AO1006),$AB$1006:$AQ$1006,0))&gt;=100000), " ",IF(INDEX($AB$2:$AQ$1001,MATCH(ROWS($U$2:U387),$U$2:$U$1001,0),MATCH(COLUMNS($AB$1006:AO1006),$AB$1006:$AQ$1006,0)), HYPERLINK("#",""), HYPERLINK(CONCATENATE("#Metadata!", ADDRESS(INDEX($W$2:$W$1001,MATCH(ROWS($U$2:U387),$U$2:$U$1001,0),0), INDEX($AB$1004:$AQ$1004,1,MATCH(COLUMNS($AB$1006:AO1006),$AB$1006:$AQ$1006,0)))),"Fix")))</f>
        <v>0</v>
      </c>
      <c r="P387" s="5">
        <f>IF(OR(INDEX($V$2:$V$1001,MATCH(ROWS($U$2:U387),$U$2:$U$1001,0),1)&gt;=100000,INDEX($AB$1005:$AQ$1005,1,MATCH(COLUMNS($AB$1006:AP1006),$AB$1006:$AQ$1006,0))&gt;=100000), " ",IF(INDEX($AB$2:$AQ$1001,MATCH(ROWS($U$2:U387),$U$2:$U$1001,0),MATCH(COLUMNS($AB$1006:AP1006),$AB$1006:$AQ$1006,0)), HYPERLINK("#",""), HYPERLINK(CONCATENATE("#Metadata!", ADDRESS(INDEX($W$2:$W$1001,MATCH(ROWS($U$2:U387),$U$2:$U$1001,0),0), INDEX($AB$1004:$AQ$1004,1,MATCH(COLUMNS($AB$1006:AP1006),$AB$1006:$AQ$1006,0)))),"Fix")))</f>
        <v>0</v>
      </c>
      <c r="Q387" s="5">
        <f>IF(OR(INDEX($V$2:$V$1001,MATCH(ROWS($U$2:U387),$U$2:$U$1001,0),1)&gt;=100000,INDEX($AB$1005:$AQ$1005,1,MATCH(COLUMNS($AB$1006:AQ1006),$AB$1006:$AQ$1006,0))&gt;=100000), " ",IF(INDEX($AB$2:$AQ$1001,MATCH(ROWS($U$2:U387),$U$2:$U$1001,0),MATCH(COLUMNS($AB$1006:AQ1006),$AB$1006:$AQ$1006,0)), HYPERLINK("#",""), HYPERLINK(CONCATENATE("#Metadata!", ADDRESS(INDEX($W$2:$W$1001,MATCH(ROWS($U$2:U387),$U$2:$U$1001,0),0), INDEX($AB$1004:$AQ$1004,1,MATCH(COLUMNS($AB$1006:AQ1006),$AB$1006:$AQ$1006,0)))),"Fix")))</f>
        <v>0</v>
      </c>
      <c r="U387">
        <v>0</v>
      </c>
      <c r="V387">
        <v>0</v>
      </c>
      <c r="W387">
        <v>0</v>
      </c>
      <c r="X387">
        <f>IF(Y387,TRUE,AND(AB387:AQ387))</f>
        <v>0</v>
      </c>
      <c r="Y387">
        <f>COUNTBLANK(Metadata!B387:Q387)=COLUMNS(Metadata!B387:Q387)</f>
        <v>0</v>
      </c>
      <c r="Z387">
        <v>0</v>
      </c>
      <c r="AB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AC387">
        <f>AND(IF(Metadata!C387="",FALSE,TRUE),exact(Metadata!C387,"urban biome"))</f>
        <v>0</v>
      </c>
      <c r="AD387">
        <f>AND(IF(Metadata!D387="",FALSE,TRUE),exact(Metadata!D387,"human-associated habitat"))</f>
        <v>0</v>
      </c>
      <c r="AE387">
        <f>AND(IF(Metadata!E387="",FALSE,TRUE),OR(exact(Metadata!E387,"human-associated"),exact(Metadata!E387,"human-skin"),exact(Metadata!E387,"human-oral"),exact(Metadata!E387,"human-gut"),exact(Metadata!E387,"human-vaginal")))</f>
        <v>0</v>
      </c>
      <c r="AF387">
        <f>AND(IF(Metadata!F387="",FALSE,ISNUMBER(VALUE(Metadata!F387))),Metadata!F387&gt;0)</f>
        <v>0</v>
      </c>
      <c r="AG387">
        <f>AND(IF(Metadata!G387="",FALSE,TRUE),exact(Metadata!G387,"years"))</f>
        <v>0</v>
      </c>
      <c r="AH387">
        <f>OR(AND(IF(Metadata!H387="",FALSE,TRUE),OR(exact(Metadata!H387,"not applicable"),exact(Metadata!H387,"not collected"),exact(Metadata!H387,"not provided"),exact(Metadata!H387,"restricted access"))),AND(IF(Metadata!H387="",FALSE,ISNUMBER(VALUE(Metadata!H387))),Metadata!H387&gt;0))</f>
        <v>0</v>
      </c>
      <c r="AI387">
        <f>AND(IF(Metadata!I387="",FALSE,TRUE),exact(Metadata!I387,"human"))</f>
        <v>0</v>
      </c>
      <c r="AJ387">
        <f>AND(IF(Metadata!J387="",FALSE,ISNUMBER(VALUE(Metadata!J387))),Metadata!J387&gt;0)</f>
        <v>0</v>
      </c>
      <c r="AK387">
        <f>AND(IF(Metadata!K387="",FALSE,TRUE),exact(Metadata!K387,"cm"))</f>
        <v>0</v>
      </c>
      <c r="AL387">
        <f>AND(IF(Metadata!L387="",FALSE,TRUE),exact(Metadata!L387,"Homo sapiens"))</f>
        <v>0</v>
      </c>
      <c r="AM387">
        <f>AND(IF(Metadata!M387="",FALSE,TRUE),exact(Metadata!M387,"9606"))</f>
        <v>0</v>
      </c>
      <c r="AN387">
        <f>AND(IF(Metadata!N387="",FALSE,ISNUMBER(VALUE(Metadata!N387))),Metadata!N387&gt;0)</f>
        <v>0</v>
      </c>
      <c r="AO387">
        <f>AND(IF(Metadata!O387="",FALSE,TRUE),exact(Metadata!O387,"kg"))</f>
        <v>0</v>
      </c>
      <c r="AP387">
        <f>OR(AND(IF(Metadata!P387="",FALSE,TRUE),exact(Metadata!P387,"not provided")),IF(Metadata!P387="",FALSE,TRUE))</f>
        <v>0</v>
      </c>
      <c r="AQ387">
        <f>OR(AND(IF(Metadata!Q387="",FALSE,TRUE),exact(Metadata!Q387,"not provided")),IF(Metadata!Q387="",FALSE,TRUE))</f>
        <v>0</v>
      </c>
    </row>
    <row r="388" spans="1:43">
      <c r="A388" s="4">
        <f>IF(B388=" "," ",HYPERLINK(CONCATENATE("#metadata!",ADDRESS(INDEX($W$2:$W$1001,MATCH(ROWS($U$2:U388),$U$2:$U$1001,0),0),2)),INDEX($Z$2:$Z$1001,MATCH(ROWS($U$2:U388),$U$2:$U$1001,0),0)))</f>
        <v>0</v>
      </c>
      <c r="B388" s="5">
        <f>IF(OR(INDEX($V$2:$V$1001,MATCH(ROWS($U$2:U388),$U$2:$U$1001,0),1)&gt;=100000,INDEX($AB$1005:$AQ$1005,1,MATCH(COLUMNS($AB$1006:AB1006),$AB$1006:$AQ$1006,0))&gt;=100000), " ",IF(INDEX($AB$2:$AQ$1001,MATCH(ROWS($U$2:U388),$U$2:$U$1001,0),MATCH(COLUMNS($AB$1006:AB1006),$AB$1006:$AQ$1006,0)), HYPERLINK("#",""), HYPERLINK(CONCATENATE("#Metadata!", ADDRESS(INDEX($W$2:$W$1001,MATCH(ROWS($U$2:U388),$U$2:$U$1001,0),0), INDEX($AB$1004:$AQ$1004,1,MATCH(COLUMNS($AB$1006:AB1006),$AB$1006:$AQ$1006,0)))),"Fix")))</f>
        <v>0</v>
      </c>
      <c r="C388" s="5">
        <f>IF(OR(INDEX($V$2:$V$1001,MATCH(ROWS($U$2:U388),$U$2:$U$1001,0),1)&gt;=100000,INDEX($AB$1005:$AQ$1005,1,MATCH(COLUMNS($AB$1006:AC1006),$AB$1006:$AQ$1006,0))&gt;=100000), " ",IF(INDEX($AB$2:$AQ$1001,MATCH(ROWS($U$2:U388),$U$2:$U$1001,0),MATCH(COLUMNS($AB$1006:AC1006),$AB$1006:$AQ$1006,0)), HYPERLINK("#",""), HYPERLINK(CONCATENATE("#Metadata!", ADDRESS(INDEX($W$2:$W$1001,MATCH(ROWS($U$2:U388),$U$2:$U$1001,0),0), INDEX($AB$1004:$AQ$1004,1,MATCH(COLUMNS($AB$1006:AC1006),$AB$1006:$AQ$1006,0)))),"Fix")))</f>
        <v>0</v>
      </c>
      <c r="D388" s="5">
        <f>IF(OR(INDEX($V$2:$V$1001,MATCH(ROWS($U$2:U388),$U$2:$U$1001,0),1)&gt;=100000,INDEX($AB$1005:$AQ$1005,1,MATCH(COLUMNS($AB$1006:AD1006),$AB$1006:$AQ$1006,0))&gt;=100000), " ",IF(INDEX($AB$2:$AQ$1001,MATCH(ROWS($U$2:U388),$U$2:$U$1001,0),MATCH(COLUMNS($AB$1006:AD1006),$AB$1006:$AQ$1006,0)), HYPERLINK("#",""), HYPERLINK(CONCATENATE("#Metadata!", ADDRESS(INDEX($W$2:$W$1001,MATCH(ROWS($U$2:U388),$U$2:$U$1001,0),0), INDEX($AB$1004:$AQ$1004,1,MATCH(COLUMNS($AB$1006:AD1006),$AB$1006:$AQ$1006,0)))),"Fix")))</f>
        <v>0</v>
      </c>
      <c r="E388" s="5">
        <f>IF(OR(INDEX($V$2:$V$1001,MATCH(ROWS($U$2:U388),$U$2:$U$1001,0),1)&gt;=100000,INDEX($AB$1005:$AQ$1005,1,MATCH(COLUMNS($AB$1006:AE1006),$AB$1006:$AQ$1006,0))&gt;=100000), " ",IF(INDEX($AB$2:$AQ$1001,MATCH(ROWS($U$2:U388),$U$2:$U$1001,0),MATCH(COLUMNS($AB$1006:AE1006),$AB$1006:$AQ$1006,0)), HYPERLINK("#",""), HYPERLINK(CONCATENATE("#Metadata!", ADDRESS(INDEX($W$2:$W$1001,MATCH(ROWS($U$2:U388),$U$2:$U$1001,0),0), INDEX($AB$1004:$AQ$1004,1,MATCH(COLUMNS($AB$1006:AE1006),$AB$1006:$AQ$1006,0)))),"Fix")))</f>
        <v>0</v>
      </c>
      <c r="F388" s="5">
        <f>IF(OR(INDEX($V$2:$V$1001,MATCH(ROWS($U$2:U388),$U$2:$U$1001,0),1)&gt;=100000,INDEX($AB$1005:$AQ$1005,1,MATCH(COLUMNS($AB$1006:AF1006),$AB$1006:$AQ$1006,0))&gt;=100000), " ",IF(INDEX($AB$2:$AQ$1001,MATCH(ROWS($U$2:U388),$U$2:$U$1001,0),MATCH(COLUMNS($AB$1006:AF1006),$AB$1006:$AQ$1006,0)), HYPERLINK("#",""), HYPERLINK(CONCATENATE("#Metadata!", ADDRESS(INDEX($W$2:$W$1001,MATCH(ROWS($U$2:U388),$U$2:$U$1001,0),0), INDEX($AB$1004:$AQ$1004,1,MATCH(COLUMNS($AB$1006:AF1006),$AB$1006:$AQ$1006,0)))),"Fix")))</f>
        <v>0</v>
      </c>
      <c r="G388" s="5">
        <f>IF(OR(INDEX($V$2:$V$1001,MATCH(ROWS($U$2:U388),$U$2:$U$1001,0),1)&gt;=100000,INDEX($AB$1005:$AQ$1005,1,MATCH(COLUMNS($AB$1006:AG1006),$AB$1006:$AQ$1006,0))&gt;=100000), " ",IF(INDEX($AB$2:$AQ$1001,MATCH(ROWS($U$2:U388),$U$2:$U$1001,0),MATCH(COLUMNS($AB$1006:AG1006),$AB$1006:$AQ$1006,0)), HYPERLINK("#",""), HYPERLINK(CONCATENATE("#Metadata!", ADDRESS(INDEX($W$2:$W$1001,MATCH(ROWS($U$2:U388),$U$2:$U$1001,0),0), INDEX($AB$1004:$AQ$1004,1,MATCH(COLUMNS($AB$1006:AG1006),$AB$1006:$AQ$1006,0)))),"Fix")))</f>
        <v>0</v>
      </c>
      <c r="H388" s="5">
        <f>IF(OR(INDEX($V$2:$V$1001,MATCH(ROWS($U$2:U388),$U$2:$U$1001,0),1)&gt;=100000,INDEX($AB$1005:$AQ$1005,1,MATCH(COLUMNS($AB$1006:AH1006),$AB$1006:$AQ$1006,0))&gt;=100000), " ",IF(INDEX($AB$2:$AQ$1001,MATCH(ROWS($U$2:U388),$U$2:$U$1001,0),MATCH(COLUMNS($AB$1006:AH1006),$AB$1006:$AQ$1006,0)), HYPERLINK("#",""), HYPERLINK(CONCATENATE("#Metadata!", ADDRESS(INDEX($W$2:$W$1001,MATCH(ROWS($U$2:U388),$U$2:$U$1001,0),0), INDEX($AB$1004:$AQ$1004,1,MATCH(COLUMNS($AB$1006:AH1006),$AB$1006:$AQ$1006,0)))),"Fix")))</f>
        <v>0</v>
      </c>
      <c r="I388" s="5">
        <f>IF(OR(INDEX($V$2:$V$1001,MATCH(ROWS($U$2:U388),$U$2:$U$1001,0),1)&gt;=100000,INDEX($AB$1005:$AQ$1005,1,MATCH(COLUMNS($AB$1006:AI1006),$AB$1006:$AQ$1006,0))&gt;=100000), " ",IF(INDEX($AB$2:$AQ$1001,MATCH(ROWS($U$2:U388),$U$2:$U$1001,0),MATCH(COLUMNS($AB$1006:AI1006),$AB$1006:$AQ$1006,0)), HYPERLINK("#",""), HYPERLINK(CONCATENATE("#Metadata!", ADDRESS(INDEX($W$2:$W$1001,MATCH(ROWS($U$2:U388),$U$2:$U$1001,0),0), INDEX($AB$1004:$AQ$1004,1,MATCH(COLUMNS($AB$1006:AI1006),$AB$1006:$AQ$1006,0)))),"Fix")))</f>
        <v>0</v>
      </c>
      <c r="J388" s="5">
        <f>IF(OR(INDEX($V$2:$V$1001,MATCH(ROWS($U$2:U388),$U$2:$U$1001,0),1)&gt;=100000,INDEX($AB$1005:$AQ$1005,1,MATCH(COLUMNS($AB$1006:AJ1006),$AB$1006:$AQ$1006,0))&gt;=100000), " ",IF(INDEX($AB$2:$AQ$1001,MATCH(ROWS($U$2:U388),$U$2:$U$1001,0),MATCH(COLUMNS($AB$1006:AJ1006),$AB$1006:$AQ$1006,0)), HYPERLINK("#",""), HYPERLINK(CONCATENATE("#Metadata!", ADDRESS(INDEX($W$2:$W$1001,MATCH(ROWS($U$2:U388),$U$2:$U$1001,0),0), INDEX($AB$1004:$AQ$1004,1,MATCH(COLUMNS($AB$1006:AJ1006),$AB$1006:$AQ$1006,0)))),"Fix")))</f>
        <v>0</v>
      </c>
      <c r="K388" s="5">
        <f>IF(OR(INDEX($V$2:$V$1001,MATCH(ROWS($U$2:U388),$U$2:$U$1001,0),1)&gt;=100000,INDEX($AB$1005:$AQ$1005,1,MATCH(COLUMNS($AB$1006:AK1006),$AB$1006:$AQ$1006,0))&gt;=100000), " ",IF(INDEX($AB$2:$AQ$1001,MATCH(ROWS($U$2:U388),$U$2:$U$1001,0),MATCH(COLUMNS($AB$1006:AK1006),$AB$1006:$AQ$1006,0)), HYPERLINK("#",""), HYPERLINK(CONCATENATE("#Metadata!", ADDRESS(INDEX($W$2:$W$1001,MATCH(ROWS($U$2:U388),$U$2:$U$1001,0),0), INDEX($AB$1004:$AQ$1004,1,MATCH(COLUMNS($AB$1006:AK1006),$AB$1006:$AQ$1006,0)))),"Fix")))</f>
        <v>0</v>
      </c>
      <c r="L388" s="5">
        <f>IF(OR(INDEX($V$2:$V$1001,MATCH(ROWS($U$2:U388),$U$2:$U$1001,0),1)&gt;=100000,INDEX($AB$1005:$AQ$1005,1,MATCH(COLUMNS($AB$1006:AL1006),$AB$1006:$AQ$1006,0))&gt;=100000), " ",IF(INDEX($AB$2:$AQ$1001,MATCH(ROWS($U$2:U388),$U$2:$U$1001,0),MATCH(COLUMNS($AB$1006:AL1006),$AB$1006:$AQ$1006,0)), HYPERLINK("#",""), HYPERLINK(CONCATENATE("#Metadata!", ADDRESS(INDEX($W$2:$W$1001,MATCH(ROWS($U$2:U388),$U$2:$U$1001,0),0), INDEX($AB$1004:$AQ$1004,1,MATCH(COLUMNS($AB$1006:AL1006),$AB$1006:$AQ$1006,0)))),"Fix")))</f>
        <v>0</v>
      </c>
      <c r="M388" s="5">
        <f>IF(OR(INDEX($V$2:$V$1001,MATCH(ROWS($U$2:U388),$U$2:$U$1001,0),1)&gt;=100000,INDEX($AB$1005:$AQ$1005,1,MATCH(COLUMNS($AB$1006:AM1006),$AB$1006:$AQ$1006,0))&gt;=100000), " ",IF(INDEX($AB$2:$AQ$1001,MATCH(ROWS($U$2:U388),$U$2:$U$1001,0),MATCH(COLUMNS($AB$1006:AM1006),$AB$1006:$AQ$1006,0)), HYPERLINK("#",""), HYPERLINK(CONCATENATE("#Metadata!", ADDRESS(INDEX($W$2:$W$1001,MATCH(ROWS($U$2:U388),$U$2:$U$1001,0),0), INDEX($AB$1004:$AQ$1004,1,MATCH(COLUMNS($AB$1006:AM1006),$AB$1006:$AQ$1006,0)))),"Fix")))</f>
        <v>0</v>
      </c>
      <c r="N388" s="5">
        <f>IF(OR(INDEX($V$2:$V$1001,MATCH(ROWS($U$2:U388),$U$2:$U$1001,0),1)&gt;=100000,INDEX($AB$1005:$AQ$1005,1,MATCH(COLUMNS($AB$1006:AN1006),$AB$1006:$AQ$1006,0))&gt;=100000), " ",IF(INDEX($AB$2:$AQ$1001,MATCH(ROWS($U$2:U388),$U$2:$U$1001,0),MATCH(COLUMNS($AB$1006:AN1006),$AB$1006:$AQ$1006,0)), HYPERLINK("#",""), HYPERLINK(CONCATENATE("#Metadata!", ADDRESS(INDEX($W$2:$W$1001,MATCH(ROWS($U$2:U388),$U$2:$U$1001,0),0), INDEX($AB$1004:$AQ$1004,1,MATCH(COLUMNS($AB$1006:AN1006),$AB$1006:$AQ$1006,0)))),"Fix")))</f>
        <v>0</v>
      </c>
      <c r="O388" s="5">
        <f>IF(OR(INDEX($V$2:$V$1001,MATCH(ROWS($U$2:U388),$U$2:$U$1001,0),1)&gt;=100000,INDEX($AB$1005:$AQ$1005,1,MATCH(COLUMNS($AB$1006:AO1006),$AB$1006:$AQ$1006,0))&gt;=100000), " ",IF(INDEX($AB$2:$AQ$1001,MATCH(ROWS($U$2:U388),$U$2:$U$1001,0),MATCH(COLUMNS($AB$1006:AO1006),$AB$1006:$AQ$1006,0)), HYPERLINK("#",""), HYPERLINK(CONCATENATE("#Metadata!", ADDRESS(INDEX($W$2:$W$1001,MATCH(ROWS($U$2:U388),$U$2:$U$1001,0),0), INDEX($AB$1004:$AQ$1004,1,MATCH(COLUMNS($AB$1006:AO1006),$AB$1006:$AQ$1006,0)))),"Fix")))</f>
        <v>0</v>
      </c>
      <c r="P388" s="5">
        <f>IF(OR(INDEX($V$2:$V$1001,MATCH(ROWS($U$2:U388),$U$2:$U$1001,0),1)&gt;=100000,INDEX($AB$1005:$AQ$1005,1,MATCH(COLUMNS($AB$1006:AP1006),$AB$1006:$AQ$1006,0))&gt;=100000), " ",IF(INDEX($AB$2:$AQ$1001,MATCH(ROWS($U$2:U388),$U$2:$U$1001,0),MATCH(COLUMNS($AB$1006:AP1006),$AB$1006:$AQ$1006,0)), HYPERLINK("#",""), HYPERLINK(CONCATENATE("#Metadata!", ADDRESS(INDEX($W$2:$W$1001,MATCH(ROWS($U$2:U388),$U$2:$U$1001,0),0), INDEX($AB$1004:$AQ$1004,1,MATCH(COLUMNS($AB$1006:AP1006),$AB$1006:$AQ$1006,0)))),"Fix")))</f>
        <v>0</v>
      </c>
      <c r="Q388" s="5">
        <f>IF(OR(INDEX($V$2:$V$1001,MATCH(ROWS($U$2:U388),$U$2:$U$1001,0),1)&gt;=100000,INDEX($AB$1005:$AQ$1005,1,MATCH(COLUMNS($AB$1006:AQ1006),$AB$1006:$AQ$1006,0))&gt;=100000), " ",IF(INDEX($AB$2:$AQ$1001,MATCH(ROWS($U$2:U388),$U$2:$U$1001,0),MATCH(COLUMNS($AB$1006:AQ1006),$AB$1006:$AQ$1006,0)), HYPERLINK("#",""), HYPERLINK(CONCATENATE("#Metadata!", ADDRESS(INDEX($W$2:$W$1001,MATCH(ROWS($U$2:U388),$U$2:$U$1001,0),0), INDEX($AB$1004:$AQ$1004,1,MATCH(COLUMNS($AB$1006:AQ1006),$AB$1006:$AQ$1006,0)))),"Fix")))</f>
        <v>0</v>
      </c>
      <c r="U388">
        <v>0</v>
      </c>
      <c r="V388">
        <v>0</v>
      </c>
      <c r="W388">
        <v>0</v>
      </c>
      <c r="X388">
        <f>IF(Y388,TRUE,AND(AB388:AQ388))</f>
        <v>0</v>
      </c>
      <c r="Y388">
        <f>COUNTBLANK(Metadata!B388:Q388)=COLUMNS(Metadata!B388:Q388)</f>
        <v>0</v>
      </c>
      <c r="Z388">
        <v>0</v>
      </c>
      <c r="AB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AC388">
        <f>AND(IF(Metadata!C388="",FALSE,TRUE),exact(Metadata!C388,"urban biome"))</f>
        <v>0</v>
      </c>
      <c r="AD388">
        <f>AND(IF(Metadata!D388="",FALSE,TRUE),exact(Metadata!D388,"human-associated habitat"))</f>
        <v>0</v>
      </c>
      <c r="AE388">
        <f>AND(IF(Metadata!E388="",FALSE,TRUE),OR(exact(Metadata!E388,"human-associated"),exact(Metadata!E388,"human-skin"),exact(Metadata!E388,"human-oral"),exact(Metadata!E388,"human-gut"),exact(Metadata!E388,"human-vaginal")))</f>
        <v>0</v>
      </c>
      <c r="AF388">
        <f>AND(IF(Metadata!F388="",FALSE,ISNUMBER(VALUE(Metadata!F388))),Metadata!F388&gt;0)</f>
        <v>0</v>
      </c>
      <c r="AG388">
        <f>AND(IF(Metadata!G388="",FALSE,TRUE),exact(Metadata!G388,"years"))</f>
        <v>0</v>
      </c>
      <c r="AH388">
        <f>OR(AND(IF(Metadata!H388="",FALSE,TRUE),OR(exact(Metadata!H388,"not applicable"),exact(Metadata!H388,"not collected"),exact(Metadata!H388,"not provided"),exact(Metadata!H388,"restricted access"))),AND(IF(Metadata!H388="",FALSE,ISNUMBER(VALUE(Metadata!H388))),Metadata!H388&gt;0))</f>
        <v>0</v>
      </c>
      <c r="AI388">
        <f>AND(IF(Metadata!I388="",FALSE,TRUE),exact(Metadata!I388,"human"))</f>
        <v>0</v>
      </c>
      <c r="AJ388">
        <f>AND(IF(Metadata!J388="",FALSE,ISNUMBER(VALUE(Metadata!J388))),Metadata!J388&gt;0)</f>
        <v>0</v>
      </c>
      <c r="AK388">
        <f>AND(IF(Metadata!K388="",FALSE,TRUE),exact(Metadata!K388,"cm"))</f>
        <v>0</v>
      </c>
      <c r="AL388">
        <f>AND(IF(Metadata!L388="",FALSE,TRUE),exact(Metadata!L388,"Homo sapiens"))</f>
        <v>0</v>
      </c>
      <c r="AM388">
        <f>AND(IF(Metadata!M388="",FALSE,TRUE),exact(Metadata!M388,"9606"))</f>
        <v>0</v>
      </c>
      <c r="AN388">
        <f>AND(IF(Metadata!N388="",FALSE,ISNUMBER(VALUE(Metadata!N388))),Metadata!N388&gt;0)</f>
        <v>0</v>
      </c>
      <c r="AO388">
        <f>AND(IF(Metadata!O388="",FALSE,TRUE),exact(Metadata!O388,"kg"))</f>
        <v>0</v>
      </c>
      <c r="AP388">
        <f>OR(AND(IF(Metadata!P388="",FALSE,TRUE),exact(Metadata!P388,"not provided")),IF(Metadata!P388="",FALSE,TRUE))</f>
        <v>0</v>
      </c>
      <c r="AQ388">
        <f>OR(AND(IF(Metadata!Q388="",FALSE,TRUE),exact(Metadata!Q388,"not provided")),IF(Metadata!Q388="",FALSE,TRUE))</f>
        <v>0</v>
      </c>
    </row>
    <row r="389" spans="1:43">
      <c r="A389" s="4">
        <f>IF(B389=" "," ",HYPERLINK(CONCATENATE("#metadata!",ADDRESS(INDEX($W$2:$W$1001,MATCH(ROWS($U$2:U389),$U$2:$U$1001,0),0),2)),INDEX($Z$2:$Z$1001,MATCH(ROWS($U$2:U389),$U$2:$U$1001,0),0)))</f>
        <v>0</v>
      </c>
      <c r="B389" s="5">
        <f>IF(OR(INDEX($V$2:$V$1001,MATCH(ROWS($U$2:U389),$U$2:$U$1001,0),1)&gt;=100000,INDEX($AB$1005:$AQ$1005,1,MATCH(COLUMNS($AB$1006:AB1006),$AB$1006:$AQ$1006,0))&gt;=100000), " ",IF(INDEX($AB$2:$AQ$1001,MATCH(ROWS($U$2:U389),$U$2:$U$1001,0),MATCH(COLUMNS($AB$1006:AB1006),$AB$1006:$AQ$1006,0)), HYPERLINK("#",""), HYPERLINK(CONCATENATE("#Metadata!", ADDRESS(INDEX($W$2:$W$1001,MATCH(ROWS($U$2:U389),$U$2:$U$1001,0),0), INDEX($AB$1004:$AQ$1004,1,MATCH(COLUMNS($AB$1006:AB1006),$AB$1006:$AQ$1006,0)))),"Fix")))</f>
        <v>0</v>
      </c>
      <c r="C389" s="5">
        <f>IF(OR(INDEX($V$2:$V$1001,MATCH(ROWS($U$2:U389),$U$2:$U$1001,0),1)&gt;=100000,INDEX($AB$1005:$AQ$1005,1,MATCH(COLUMNS($AB$1006:AC1006),$AB$1006:$AQ$1006,0))&gt;=100000), " ",IF(INDEX($AB$2:$AQ$1001,MATCH(ROWS($U$2:U389),$U$2:$U$1001,0),MATCH(COLUMNS($AB$1006:AC1006),$AB$1006:$AQ$1006,0)), HYPERLINK("#",""), HYPERLINK(CONCATENATE("#Metadata!", ADDRESS(INDEX($W$2:$W$1001,MATCH(ROWS($U$2:U389),$U$2:$U$1001,0),0), INDEX($AB$1004:$AQ$1004,1,MATCH(COLUMNS($AB$1006:AC1006),$AB$1006:$AQ$1006,0)))),"Fix")))</f>
        <v>0</v>
      </c>
      <c r="D389" s="5">
        <f>IF(OR(INDEX($V$2:$V$1001,MATCH(ROWS($U$2:U389),$U$2:$U$1001,0),1)&gt;=100000,INDEX($AB$1005:$AQ$1005,1,MATCH(COLUMNS($AB$1006:AD1006),$AB$1006:$AQ$1006,0))&gt;=100000), " ",IF(INDEX($AB$2:$AQ$1001,MATCH(ROWS($U$2:U389),$U$2:$U$1001,0),MATCH(COLUMNS($AB$1006:AD1006),$AB$1006:$AQ$1006,0)), HYPERLINK("#",""), HYPERLINK(CONCATENATE("#Metadata!", ADDRESS(INDEX($W$2:$W$1001,MATCH(ROWS($U$2:U389),$U$2:$U$1001,0),0), INDEX($AB$1004:$AQ$1004,1,MATCH(COLUMNS($AB$1006:AD1006),$AB$1006:$AQ$1006,0)))),"Fix")))</f>
        <v>0</v>
      </c>
      <c r="E389" s="5">
        <f>IF(OR(INDEX($V$2:$V$1001,MATCH(ROWS($U$2:U389),$U$2:$U$1001,0),1)&gt;=100000,INDEX($AB$1005:$AQ$1005,1,MATCH(COLUMNS($AB$1006:AE1006),$AB$1006:$AQ$1006,0))&gt;=100000), " ",IF(INDEX($AB$2:$AQ$1001,MATCH(ROWS($U$2:U389),$U$2:$U$1001,0),MATCH(COLUMNS($AB$1006:AE1006),$AB$1006:$AQ$1006,0)), HYPERLINK("#",""), HYPERLINK(CONCATENATE("#Metadata!", ADDRESS(INDEX($W$2:$W$1001,MATCH(ROWS($U$2:U389),$U$2:$U$1001,0),0), INDEX($AB$1004:$AQ$1004,1,MATCH(COLUMNS($AB$1006:AE1006),$AB$1006:$AQ$1006,0)))),"Fix")))</f>
        <v>0</v>
      </c>
      <c r="F389" s="5">
        <f>IF(OR(INDEX($V$2:$V$1001,MATCH(ROWS($U$2:U389),$U$2:$U$1001,0),1)&gt;=100000,INDEX($AB$1005:$AQ$1005,1,MATCH(COLUMNS($AB$1006:AF1006),$AB$1006:$AQ$1006,0))&gt;=100000), " ",IF(INDEX($AB$2:$AQ$1001,MATCH(ROWS($U$2:U389),$U$2:$U$1001,0),MATCH(COLUMNS($AB$1006:AF1006),$AB$1006:$AQ$1006,0)), HYPERLINK("#",""), HYPERLINK(CONCATENATE("#Metadata!", ADDRESS(INDEX($W$2:$W$1001,MATCH(ROWS($U$2:U389),$U$2:$U$1001,0),0), INDEX($AB$1004:$AQ$1004,1,MATCH(COLUMNS($AB$1006:AF1006),$AB$1006:$AQ$1006,0)))),"Fix")))</f>
        <v>0</v>
      </c>
      <c r="G389" s="5">
        <f>IF(OR(INDEX($V$2:$V$1001,MATCH(ROWS($U$2:U389),$U$2:$U$1001,0),1)&gt;=100000,INDEX($AB$1005:$AQ$1005,1,MATCH(COLUMNS($AB$1006:AG1006),$AB$1006:$AQ$1006,0))&gt;=100000), " ",IF(INDEX($AB$2:$AQ$1001,MATCH(ROWS($U$2:U389),$U$2:$U$1001,0),MATCH(COLUMNS($AB$1006:AG1006),$AB$1006:$AQ$1006,0)), HYPERLINK("#",""), HYPERLINK(CONCATENATE("#Metadata!", ADDRESS(INDEX($W$2:$W$1001,MATCH(ROWS($U$2:U389),$U$2:$U$1001,0),0), INDEX($AB$1004:$AQ$1004,1,MATCH(COLUMNS($AB$1006:AG1006),$AB$1006:$AQ$1006,0)))),"Fix")))</f>
        <v>0</v>
      </c>
      <c r="H389" s="5">
        <f>IF(OR(INDEX($V$2:$V$1001,MATCH(ROWS($U$2:U389),$U$2:$U$1001,0),1)&gt;=100000,INDEX($AB$1005:$AQ$1005,1,MATCH(COLUMNS($AB$1006:AH1006),$AB$1006:$AQ$1006,0))&gt;=100000), " ",IF(INDEX($AB$2:$AQ$1001,MATCH(ROWS($U$2:U389),$U$2:$U$1001,0),MATCH(COLUMNS($AB$1006:AH1006),$AB$1006:$AQ$1006,0)), HYPERLINK("#",""), HYPERLINK(CONCATENATE("#Metadata!", ADDRESS(INDEX($W$2:$W$1001,MATCH(ROWS($U$2:U389),$U$2:$U$1001,0),0), INDEX($AB$1004:$AQ$1004,1,MATCH(COLUMNS($AB$1006:AH1006),$AB$1006:$AQ$1006,0)))),"Fix")))</f>
        <v>0</v>
      </c>
      <c r="I389" s="5">
        <f>IF(OR(INDEX($V$2:$V$1001,MATCH(ROWS($U$2:U389),$U$2:$U$1001,0),1)&gt;=100000,INDEX($AB$1005:$AQ$1005,1,MATCH(COLUMNS($AB$1006:AI1006),$AB$1006:$AQ$1006,0))&gt;=100000), " ",IF(INDEX($AB$2:$AQ$1001,MATCH(ROWS($U$2:U389),$U$2:$U$1001,0),MATCH(COLUMNS($AB$1006:AI1006),$AB$1006:$AQ$1006,0)), HYPERLINK("#",""), HYPERLINK(CONCATENATE("#Metadata!", ADDRESS(INDEX($W$2:$W$1001,MATCH(ROWS($U$2:U389),$U$2:$U$1001,0),0), INDEX($AB$1004:$AQ$1004,1,MATCH(COLUMNS($AB$1006:AI1006),$AB$1006:$AQ$1006,0)))),"Fix")))</f>
        <v>0</v>
      </c>
      <c r="J389" s="5">
        <f>IF(OR(INDEX($V$2:$V$1001,MATCH(ROWS($U$2:U389),$U$2:$U$1001,0),1)&gt;=100000,INDEX($AB$1005:$AQ$1005,1,MATCH(COLUMNS($AB$1006:AJ1006),$AB$1006:$AQ$1006,0))&gt;=100000), " ",IF(INDEX($AB$2:$AQ$1001,MATCH(ROWS($U$2:U389),$U$2:$U$1001,0),MATCH(COLUMNS($AB$1006:AJ1006),$AB$1006:$AQ$1006,0)), HYPERLINK("#",""), HYPERLINK(CONCATENATE("#Metadata!", ADDRESS(INDEX($W$2:$W$1001,MATCH(ROWS($U$2:U389),$U$2:$U$1001,0),0), INDEX($AB$1004:$AQ$1004,1,MATCH(COLUMNS($AB$1006:AJ1006),$AB$1006:$AQ$1006,0)))),"Fix")))</f>
        <v>0</v>
      </c>
      <c r="K389" s="5">
        <f>IF(OR(INDEX($V$2:$V$1001,MATCH(ROWS($U$2:U389),$U$2:$U$1001,0),1)&gt;=100000,INDEX($AB$1005:$AQ$1005,1,MATCH(COLUMNS($AB$1006:AK1006),$AB$1006:$AQ$1006,0))&gt;=100000), " ",IF(INDEX($AB$2:$AQ$1001,MATCH(ROWS($U$2:U389),$U$2:$U$1001,0),MATCH(COLUMNS($AB$1006:AK1006),$AB$1006:$AQ$1006,0)), HYPERLINK("#",""), HYPERLINK(CONCATENATE("#Metadata!", ADDRESS(INDEX($W$2:$W$1001,MATCH(ROWS($U$2:U389),$U$2:$U$1001,0),0), INDEX($AB$1004:$AQ$1004,1,MATCH(COLUMNS($AB$1006:AK1006),$AB$1006:$AQ$1006,0)))),"Fix")))</f>
        <v>0</v>
      </c>
      <c r="L389" s="5">
        <f>IF(OR(INDEX($V$2:$V$1001,MATCH(ROWS($U$2:U389),$U$2:$U$1001,0),1)&gt;=100000,INDEX($AB$1005:$AQ$1005,1,MATCH(COLUMNS($AB$1006:AL1006),$AB$1006:$AQ$1006,0))&gt;=100000), " ",IF(INDEX($AB$2:$AQ$1001,MATCH(ROWS($U$2:U389),$U$2:$U$1001,0),MATCH(COLUMNS($AB$1006:AL1006),$AB$1006:$AQ$1006,0)), HYPERLINK("#",""), HYPERLINK(CONCATENATE("#Metadata!", ADDRESS(INDEX($W$2:$W$1001,MATCH(ROWS($U$2:U389),$U$2:$U$1001,0),0), INDEX($AB$1004:$AQ$1004,1,MATCH(COLUMNS($AB$1006:AL1006),$AB$1006:$AQ$1006,0)))),"Fix")))</f>
        <v>0</v>
      </c>
      <c r="M389" s="5">
        <f>IF(OR(INDEX($V$2:$V$1001,MATCH(ROWS($U$2:U389),$U$2:$U$1001,0),1)&gt;=100000,INDEX($AB$1005:$AQ$1005,1,MATCH(COLUMNS($AB$1006:AM1006),$AB$1006:$AQ$1006,0))&gt;=100000), " ",IF(INDEX($AB$2:$AQ$1001,MATCH(ROWS($U$2:U389),$U$2:$U$1001,0),MATCH(COLUMNS($AB$1006:AM1006),$AB$1006:$AQ$1006,0)), HYPERLINK("#",""), HYPERLINK(CONCATENATE("#Metadata!", ADDRESS(INDEX($W$2:$W$1001,MATCH(ROWS($U$2:U389),$U$2:$U$1001,0),0), INDEX($AB$1004:$AQ$1004,1,MATCH(COLUMNS($AB$1006:AM1006),$AB$1006:$AQ$1006,0)))),"Fix")))</f>
        <v>0</v>
      </c>
      <c r="N389" s="5">
        <f>IF(OR(INDEX($V$2:$V$1001,MATCH(ROWS($U$2:U389),$U$2:$U$1001,0),1)&gt;=100000,INDEX($AB$1005:$AQ$1005,1,MATCH(COLUMNS($AB$1006:AN1006),$AB$1006:$AQ$1006,0))&gt;=100000), " ",IF(INDEX($AB$2:$AQ$1001,MATCH(ROWS($U$2:U389),$U$2:$U$1001,0),MATCH(COLUMNS($AB$1006:AN1006),$AB$1006:$AQ$1006,0)), HYPERLINK("#",""), HYPERLINK(CONCATENATE("#Metadata!", ADDRESS(INDEX($W$2:$W$1001,MATCH(ROWS($U$2:U389),$U$2:$U$1001,0),0), INDEX($AB$1004:$AQ$1004,1,MATCH(COLUMNS($AB$1006:AN1006),$AB$1006:$AQ$1006,0)))),"Fix")))</f>
        <v>0</v>
      </c>
      <c r="O389" s="5">
        <f>IF(OR(INDEX($V$2:$V$1001,MATCH(ROWS($U$2:U389),$U$2:$U$1001,0),1)&gt;=100000,INDEX($AB$1005:$AQ$1005,1,MATCH(COLUMNS($AB$1006:AO1006),$AB$1006:$AQ$1006,0))&gt;=100000), " ",IF(INDEX($AB$2:$AQ$1001,MATCH(ROWS($U$2:U389),$U$2:$U$1001,0),MATCH(COLUMNS($AB$1006:AO1006),$AB$1006:$AQ$1006,0)), HYPERLINK("#",""), HYPERLINK(CONCATENATE("#Metadata!", ADDRESS(INDEX($W$2:$W$1001,MATCH(ROWS($U$2:U389),$U$2:$U$1001,0),0), INDEX($AB$1004:$AQ$1004,1,MATCH(COLUMNS($AB$1006:AO1006),$AB$1006:$AQ$1006,0)))),"Fix")))</f>
        <v>0</v>
      </c>
      <c r="P389" s="5">
        <f>IF(OR(INDEX($V$2:$V$1001,MATCH(ROWS($U$2:U389),$U$2:$U$1001,0),1)&gt;=100000,INDEX($AB$1005:$AQ$1005,1,MATCH(COLUMNS($AB$1006:AP1006),$AB$1006:$AQ$1006,0))&gt;=100000), " ",IF(INDEX($AB$2:$AQ$1001,MATCH(ROWS($U$2:U389),$U$2:$U$1001,0),MATCH(COLUMNS($AB$1006:AP1006),$AB$1006:$AQ$1006,0)), HYPERLINK("#",""), HYPERLINK(CONCATENATE("#Metadata!", ADDRESS(INDEX($W$2:$W$1001,MATCH(ROWS($U$2:U389),$U$2:$U$1001,0),0), INDEX($AB$1004:$AQ$1004,1,MATCH(COLUMNS($AB$1006:AP1006),$AB$1006:$AQ$1006,0)))),"Fix")))</f>
        <v>0</v>
      </c>
      <c r="Q389" s="5">
        <f>IF(OR(INDEX($V$2:$V$1001,MATCH(ROWS($U$2:U389),$U$2:$U$1001,0),1)&gt;=100000,INDEX($AB$1005:$AQ$1005,1,MATCH(COLUMNS($AB$1006:AQ1006),$AB$1006:$AQ$1006,0))&gt;=100000), " ",IF(INDEX($AB$2:$AQ$1001,MATCH(ROWS($U$2:U389),$U$2:$U$1001,0),MATCH(COLUMNS($AB$1006:AQ1006),$AB$1006:$AQ$1006,0)), HYPERLINK("#",""), HYPERLINK(CONCATENATE("#Metadata!", ADDRESS(INDEX($W$2:$W$1001,MATCH(ROWS($U$2:U389),$U$2:$U$1001,0),0), INDEX($AB$1004:$AQ$1004,1,MATCH(COLUMNS($AB$1006:AQ1006),$AB$1006:$AQ$1006,0)))),"Fix")))</f>
        <v>0</v>
      </c>
      <c r="U389">
        <v>0</v>
      </c>
      <c r="V389">
        <v>0</v>
      </c>
      <c r="W389">
        <v>0</v>
      </c>
      <c r="X389">
        <f>IF(Y389,TRUE,AND(AB389:AQ389))</f>
        <v>0</v>
      </c>
      <c r="Y389">
        <f>COUNTBLANK(Metadata!B389:Q389)=COLUMNS(Metadata!B389:Q389)</f>
        <v>0</v>
      </c>
      <c r="Z389">
        <v>0</v>
      </c>
      <c r="AB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AC389">
        <f>AND(IF(Metadata!C389="",FALSE,TRUE),exact(Metadata!C389,"urban biome"))</f>
        <v>0</v>
      </c>
      <c r="AD389">
        <f>AND(IF(Metadata!D389="",FALSE,TRUE),exact(Metadata!D389,"human-associated habitat"))</f>
        <v>0</v>
      </c>
      <c r="AE389">
        <f>AND(IF(Metadata!E389="",FALSE,TRUE),OR(exact(Metadata!E389,"human-associated"),exact(Metadata!E389,"human-skin"),exact(Metadata!E389,"human-oral"),exact(Metadata!E389,"human-gut"),exact(Metadata!E389,"human-vaginal")))</f>
        <v>0</v>
      </c>
      <c r="AF389">
        <f>AND(IF(Metadata!F389="",FALSE,ISNUMBER(VALUE(Metadata!F389))),Metadata!F389&gt;0)</f>
        <v>0</v>
      </c>
      <c r="AG389">
        <f>AND(IF(Metadata!G389="",FALSE,TRUE),exact(Metadata!G389,"years"))</f>
        <v>0</v>
      </c>
      <c r="AH389">
        <f>OR(AND(IF(Metadata!H389="",FALSE,TRUE),OR(exact(Metadata!H389,"not applicable"),exact(Metadata!H389,"not collected"),exact(Metadata!H389,"not provided"),exact(Metadata!H389,"restricted access"))),AND(IF(Metadata!H389="",FALSE,ISNUMBER(VALUE(Metadata!H389))),Metadata!H389&gt;0))</f>
        <v>0</v>
      </c>
      <c r="AI389">
        <f>AND(IF(Metadata!I389="",FALSE,TRUE),exact(Metadata!I389,"human"))</f>
        <v>0</v>
      </c>
      <c r="AJ389">
        <f>AND(IF(Metadata!J389="",FALSE,ISNUMBER(VALUE(Metadata!J389))),Metadata!J389&gt;0)</f>
        <v>0</v>
      </c>
      <c r="AK389">
        <f>AND(IF(Metadata!K389="",FALSE,TRUE),exact(Metadata!K389,"cm"))</f>
        <v>0</v>
      </c>
      <c r="AL389">
        <f>AND(IF(Metadata!L389="",FALSE,TRUE),exact(Metadata!L389,"Homo sapiens"))</f>
        <v>0</v>
      </c>
      <c r="AM389">
        <f>AND(IF(Metadata!M389="",FALSE,TRUE),exact(Metadata!M389,"9606"))</f>
        <v>0</v>
      </c>
      <c r="AN389">
        <f>AND(IF(Metadata!N389="",FALSE,ISNUMBER(VALUE(Metadata!N389))),Metadata!N389&gt;0)</f>
        <v>0</v>
      </c>
      <c r="AO389">
        <f>AND(IF(Metadata!O389="",FALSE,TRUE),exact(Metadata!O389,"kg"))</f>
        <v>0</v>
      </c>
      <c r="AP389">
        <f>OR(AND(IF(Metadata!P389="",FALSE,TRUE),exact(Metadata!P389,"not provided")),IF(Metadata!P389="",FALSE,TRUE))</f>
        <v>0</v>
      </c>
      <c r="AQ389">
        <f>OR(AND(IF(Metadata!Q389="",FALSE,TRUE),exact(Metadata!Q389,"not provided")),IF(Metadata!Q389="",FALSE,TRUE))</f>
        <v>0</v>
      </c>
    </row>
    <row r="390" spans="1:43">
      <c r="A390" s="4">
        <f>IF(B390=" "," ",HYPERLINK(CONCATENATE("#metadata!",ADDRESS(INDEX($W$2:$W$1001,MATCH(ROWS($U$2:U390),$U$2:$U$1001,0),0),2)),INDEX($Z$2:$Z$1001,MATCH(ROWS($U$2:U390),$U$2:$U$1001,0),0)))</f>
        <v>0</v>
      </c>
      <c r="B390" s="5">
        <f>IF(OR(INDEX($V$2:$V$1001,MATCH(ROWS($U$2:U390),$U$2:$U$1001,0),1)&gt;=100000,INDEX($AB$1005:$AQ$1005,1,MATCH(COLUMNS($AB$1006:AB1006),$AB$1006:$AQ$1006,0))&gt;=100000), " ",IF(INDEX($AB$2:$AQ$1001,MATCH(ROWS($U$2:U390),$U$2:$U$1001,0),MATCH(COLUMNS($AB$1006:AB1006),$AB$1006:$AQ$1006,0)), HYPERLINK("#",""), HYPERLINK(CONCATENATE("#Metadata!", ADDRESS(INDEX($W$2:$W$1001,MATCH(ROWS($U$2:U390),$U$2:$U$1001,0),0), INDEX($AB$1004:$AQ$1004,1,MATCH(COLUMNS($AB$1006:AB1006),$AB$1006:$AQ$1006,0)))),"Fix")))</f>
        <v>0</v>
      </c>
      <c r="C390" s="5">
        <f>IF(OR(INDEX($V$2:$V$1001,MATCH(ROWS($U$2:U390),$U$2:$U$1001,0),1)&gt;=100000,INDEX($AB$1005:$AQ$1005,1,MATCH(COLUMNS($AB$1006:AC1006),$AB$1006:$AQ$1006,0))&gt;=100000), " ",IF(INDEX($AB$2:$AQ$1001,MATCH(ROWS($U$2:U390),$U$2:$U$1001,0),MATCH(COLUMNS($AB$1006:AC1006),$AB$1006:$AQ$1006,0)), HYPERLINK("#",""), HYPERLINK(CONCATENATE("#Metadata!", ADDRESS(INDEX($W$2:$W$1001,MATCH(ROWS($U$2:U390),$U$2:$U$1001,0),0), INDEX($AB$1004:$AQ$1004,1,MATCH(COLUMNS($AB$1006:AC1006),$AB$1006:$AQ$1006,0)))),"Fix")))</f>
        <v>0</v>
      </c>
      <c r="D390" s="5">
        <f>IF(OR(INDEX($V$2:$V$1001,MATCH(ROWS($U$2:U390),$U$2:$U$1001,0),1)&gt;=100000,INDEX($AB$1005:$AQ$1005,1,MATCH(COLUMNS($AB$1006:AD1006),$AB$1006:$AQ$1006,0))&gt;=100000), " ",IF(INDEX($AB$2:$AQ$1001,MATCH(ROWS($U$2:U390),$U$2:$U$1001,0),MATCH(COLUMNS($AB$1006:AD1006),$AB$1006:$AQ$1006,0)), HYPERLINK("#",""), HYPERLINK(CONCATENATE("#Metadata!", ADDRESS(INDEX($W$2:$W$1001,MATCH(ROWS($U$2:U390),$U$2:$U$1001,0),0), INDEX($AB$1004:$AQ$1004,1,MATCH(COLUMNS($AB$1006:AD1006),$AB$1006:$AQ$1006,0)))),"Fix")))</f>
        <v>0</v>
      </c>
      <c r="E390" s="5">
        <f>IF(OR(INDEX($V$2:$V$1001,MATCH(ROWS($U$2:U390),$U$2:$U$1001,0),1)&gt;=100000,INDEX($AB$1005:$AQ$1005,1,MATCH(COLUMNS($AB$1006:AE1006),$AB$1006:$AQ$1006,0))&gt;=100000), " ",IF(INDEX($AB$2:$AQ$1001,MATCH(ROWS($U$2:U390),$U$2:$U$1001,0),MATCH(COLUMNS($AB$1006:AE1006),$AB$1006:$AQ$1006,0)), HYPERLINK("#",""), HYPERLINK(CONCATENATE("#Metadata!", ADDRESS(INDEX($W$2:$W$1001,MATCH(ROWS($U$2:U390),$U$2:$U$1001,0),0), INDEX($AB$1004:$AQ$1004,1,MATCH(COLUMNS($AB$1006:AE1006),$AB$1006:$AQ$1006,0)))),"Fix")))</f>
        <v>0</v>
      </c>
      <c r="F390" s="5">
        <f>IF(OR(INDEX($V$2:$V$1001,MATCH(ROWS($U$2:U390),$U$2:$U$1001,0),1)&gt;=100000,INDEX($AB$1005:$AQ$1005,1,MATCH(COLUMNS($AB$1006:AF1006),$AB$1006:$AQ$1006,0))&gt;=100000), " ",IF(INDEX($AB$2:$AQ$1001,MATCH(ROWS($U$2:U390),$U$2:$U$1001,0),MATCH(COLUMNS($AB$1006:AF1006),$AB$1006:$AQ$1006,0)), HYPERLINK("#",""), HYPERLINK(CONCATENATE("#Metadata!", ADDRESS(INDEX($W$2:$W$1001,MATCH(ROWS($U$2:U390),$U$2:$U$1001,0),0), INDEX($AB$1004:$AQ$1004,1,MATCH(COLUMNS($AB$1006:AF1006),$AB$1006:$AQ$1006,0)))),"Fix")))</f>
        <v>0</v>
      </c>
      <c r="G390" s="5">
        <f>IF(OR(INDEX($V$2:$V$1001,MATCH(ROWS($U$2:U390),$U$2:$U$1001,0),1)&gt;=100000,INDEX($AB$1005:$AQ$1005,1,MATCH(COLUMNS($AB$1006:AG1006),$AB$1006:$AQ$1006,0))&gt;=100000), " ",IF(INDEX($AB$2:$AQ$1001,MATCH(ROWS($U$2:U390),$U$2:$U$1001,0),MATCH(COLUMNS($AB$1006:AG1006),$AB$1006:$AQ$1006,0)), HYPERLINK("#",""), HYPERLINK(CONCATENATE("#Metadata!", ADDRESS(INDEX($W$2:$W$1001,MATCH(ROWS($U$2:U390),$U$2:$U$1001,0),0), INDEX($AB$1004:$AQ$1004,1,MATCH(COLUMNS($AB$1006:AG1006),$AB$1006:$AQ$1006,0)))),"Fix")))</f>
        <v>0</v>
      </c>
      <c r="H390" s="5">
        <f>IF(OR(INDEX($V$2:$V$1001,MATCH(ROWS($U$2:U390),$U$2:$U$1001,0),1)&gt;=100000,INDEX($AB$1005:$AQ$1005,1,MATCH(COLUMNS($AB$1006:AH1006),$AB$1006:$AQ$1006,0))&gt;=100000), " ",IF(INDEX($AB$2:$AQ$1001,MATCH(ROWS($U$2:U390),$U$2:$U$1001,0),MATCH(COLUMNS($AB$1006:AH1006),$AB$1006:$AQ$1006,0)), HYPERLINK("#",""), HYPERLINK(CONCATENATE("#Metadata!", ADDRESS(INDEX($W$2:$W$1001,MATCH(ROWS($U$2:U390),$U$2:$U$1001,0),0), INDEX($AB$1004:$AQ$1004,1,MATCH(COLUMNS($AB$1006:AH1006),$AB$1006:$AQ$1006,0)))),"Fix")))</f>
        <v>0</v>
      </c>
      <c r="I390" s="5">
        <f>IF(OR(INDEX($V$2:$V$1001,MATCH(ROWS($U$2:U390),$U$2:$U$1001,0),1)&gt;=100000,INDEX($AB$1005:$AQ$1005,1,MATCH(COLUMNS($AB$1006:AI1006),$AB$1006:$AQ$1006,0))&gt;=100000), " ",IF(INDEX($AB$2:$AQ$1001,MATCH(ROWS($U$2:U390),$U$2:$U$1001,0),MATCH(COLUMNS($AB$1006:AI1006),$AB$1006:$AQ$1006,0)), HYPERLINK("#",""), HYPERLINK(CONCATENATE("#Metadata!", ADDRESS(INDEX($W$2:$W$1001,MATCH(ROWS($U$2:U390),$U$2:$U$1001,0),0), INDEX($AB$1004:$AQ$1004,1,MATCH(COLUMNS($AB$1006:AI1006),$AB$1006:$AQ$1006,0)))),"Fix")))</f>
        <v>0</v>
      </c>
      <c r="J390" s="5">
        <f>IF(OR(INDEX($V$2:$V$1001,MATCH(ROWS($U$2:U390),$U$2:$U$1001,0),1)&gt;=100000,INDEX($AB$1005:$AQ$1005,1,MATCH(COLUMNS($AB$1006:AJ1006),$AB$1006:$AQ$1006,0))&gt;=100000), " ",IF(INDEX($AB$2:$AQ$1001,MATCH(ROWS($U$2:U390),$U$2:$U$1001,0),MATCH(COLUMNS($AB$1006:AJ1006),$AB$1006:$AQ$1006,0)), HYPERLINK("#",""), HYPERLINK(CONCATENATE("#Metadata!", ADDRESS(INDEX($W$2:$W$1001,MATCH(ROWS($U$2:U390),$U$2:$U$1001,0),0), INDEX($AB$1004:$AQ$1004,1,MATCH(COLUMNS($AB$1006:AJ1006),$AB$1006:$AQ$1006,0)))),"Fix")))</f>
        <v>0</v>
      </c>
      <c r="K390" s="5">
        <f>IF(OR(INDEX($V$2:$V$1001,MATCH(ROWS($U$2:U390),$U$2:$U$1001,0),1)&gt;=100000,INDEX($AB$1005:$AQ$1005,1,MATCH(COLUMNS($AB$1006:AK1006),$AB$1006:$AQ$1006,0))&gt;=100000), " ",IF(INDEX($AB$2:$AQ$1001,MATCH(ROWS($U$2:U390),$U$2:$U$1001,0),MATCH(COLUMNS($AB$1006:AK1006),$AB$1006:$AQ$1006,0)), HYPERLINK("#",""), HYPERLINK(CONCATENATE("#Metadata!", ADDRESS(INDEX($W$2:$W$1001,MATCH(ROWS($U$2:U390),$U$2:$U$1001,0),0), INDEX($AB$1004:$AQ$1004,1,MATCH(COLUMNS($AB$1006:AK1006),$AB$1006:$AQ$1006,0)))),"Fix")))</f>
        <v>0</v>
      </c>
      <c r="L390" s="5">
        <f>IF(OR(INDEX($V$2:$V$1001,MATCH(ROWS($U$2:U390),$U$2:$U$1001,0),1)&gt;=100000,INDEX($AB$1005:$AQ$1005,1,MATCH(COLUMNS($AB$1006:AL1006),$AB$1006:$AQ$1006,0))&gt;=100000), " ",IF(INDEX($AB$2:$AQ$1001,MATCH(ROWS($U$2:U390),$U$2:$U$1001,0),MATCH(COLUMNS($AB$1006:AL1006),$AB$1006:$AQ$1006,0)), HYPERLINK("#",""), HYPERLINK(CONCATENATE("#Metadata!", ADDRESS(INDEX($W$2:$W$1001,MATCH(ROWS($U$2:U390),$U$2:$U$1001,0),0), INDEX($AB$1004:$AQ$1004,1,MATCH(COLUMNS($AB$1006:AL1006),$AB$1006:$AQ$1006,0)))),"Fix")))</f>
        <v>0</v>
      </c>
      <c r="M390" s="5">
        <f>IF(OR(INDEX($V$2:$V$1001,MATCH(ROWS($U$2:U390),$U$2:$U$1001,0),1)&gt;=100000,INDEX($AB$1005:$AQ$1005,1,MATCH(COLUMNS($AB$1006:AM1006),$AB$1006:$AQ$1006,0))&gt;=100000), " ",IF(INDEX($AB$2:$AQ$1001,MATCH(ROWS($U$2:U390),$U$2:$U$1001,0),MATCH(COLUMNS($AB$1006:AM1006),$AB$1006:$AQ$1006,0)), HYPERLINK("#",""), HYPERLINK(CONCATENATE("#Metadata!", ADDRESS(INDEX($W$2:$W$1001,MATCH(ROWS($U$2:U390),$U$2:$U$1001,0),0), INDEX($AB$1004:$AQ$1004,1,MATCH(COLUMNS($AB$1006:AM1006),$AB$1006:$AQ$1006,0)))),"Fix")))</f>
        <v>0</v>
      </c>
      <c r="N390" s="5">
        <f>IF(OR(INDEX($V$2:$V$1001,MATCH(ROWS($U$2:U390),$U$2:$U$1001,0),1)&gt;=100000,INDEX($AB$1005:$AQ$1005,1,MATCH(COLUMNS($AB$1006:AN1006),$AB$1006:$AQ$1006,0))&gt;=100000), " ",IF(INDEX($AB$2:$AQ$1001,MATCH(ROWS($U$2:U390),$U$2:$U$1001,0),MATCH(COLUMNS($AB$1006:AN1006),$AB$1006:$AQ$1006,0)), HYPERLINK("#",""), HYPERLINK(CONCATENATE("#Metadata!", ADDRESS(INDEX($W$2:$W$1001,MATCH(ROWS($U$2:U390),$U$2:$U$1001,0),0), INDEX($AB$1004:$AQ$1004,1,MATCH(COLUMNS($AB$1006:AN1006),$AB$1006:$AQ$1006,0)))),"Fix")))</f>
        <v>0</v>
      </c>
      <c r="O390" s="5">
        <f>IF(OR(INDEX($V$2:$V$1001,MATCH(ROWS($U$2:U390),$U$2:$U$1001,0),1)&gt;=100000,INDEX($AB$1005:$AQ$1005,1,MATCH(COLUMNS($AB$1006:AO1006),$AB$1006:$AQ$1006,0))&gt;=100000), " ",IF(INDEX($AB$2:$AQ$1001,MATCH(ROWS($U$2:U390),$U$2:$U$1001,0),MATCH(COLUMNS($AB$1006:AO1006),$AB$1006:$AQ$1006,0)), HYPERLINK("#",""), HYPERLINK(CONCATENATE("#Metadata!", ADDRESS(INDEX($W$2:$W$1001,MATCH(ROWS($U$2:U390),$U$2:$U$1001,0),0), INDEX($AB$1004:$AQ$1004,1,MATCH(COLUMNS($AB$1006:AO1006),$AB$1006:$AQ$1006,0)))),"Fix")))</f>
        <v>0</v>
      </c>
      <c r="P390" s="5">
        <f>IF(OR(INDEX($V$2:$V$1001,MATCH(ROWS($U$2:U390),$U$2:$U$1001,0),1)&gt;=100000,INDEX($AB$1005:$AQ$1005,1,MATCH(COLUMNS($AB$1006:AP1006),$AB$1006:$AQ$1006,0))&gt;=100000), " ",IF(INDEX($AB$2:$AQ$1001,MATCH(ROWS($U$2:U390),$U$2:$U$1001,0),MATCH(COLUMNS($AB$1006:AP1006),$AB$1006:$AQ$1006,0)), HYPERLINK("#",""), HYPERLINK(CONCATENATE("#Metadata!", ADDRESS(INDEX($W$2:$W$1001,MATCH(ROWS($U$2:U390),$U$2:$U$1001,0),0), INDEX($AB$1004:$AQ$1004,1,MATCH(COLUMNS($AB$1006:AP1006),$AB$1006:$AQ$1006,0)))),"Fix")))</f>
        <v>0</v>
      </c>
      <c r="Q390" s="5">
        <f>IF(OR(INDEX($V$2:$V$1001,MATCH(ROWS($U$2:U390),$U$2:$U$1001,0),1)&gt;=100000,INDEX($AB$1005:$AQ$1005,1,MATCH(COLUMNS($AB$1006:AQ1006),$AB$1006:$AQ$1006,0))&gt;=100000), " ",IF(INDEX($AB$2:$AQ$1001,MATCH(ROWS($U$2:U390),$U$2:$U$1001,0),MATCH(COLUMNS($AB$1006:AQ1006),$AB$1006:$AQ$1006,0)), HYPERLINK("#",""), HYPERLINK(CONCATENATE("#Metadata!", ADDRESS(INDEX($W$2:$W$1001,MATCH(ROWS($U$2:U390),$U$2:$U$1001,0),0), INDEX($AB$1004:$AQ$1004,1,MATCH(COLUMNS($AB$1006:AQ1006),$AB$1006:$AQ$1006,0)))),"Fix")))</f>
        <v>0</v>
      </c>
      <c r="U390">
        <v>0</v>
      </c>
      <c r="V390">
        <v>0</v>
      </c>
      <c r="W390">
        <v>0</v>
      </c>
      <c r="X390">
        <f>IF(Y390,TRUE,AND(AB390:AQ390))</f>
        <v>0</v>
      </c>
      <c r="Y390">
        <f>COUNTBLANK(Metadata!B390:Q390)=COLUMNS(Metadata!B390:Q390)</f>
        <v>0</v>
      </c>
      <c r="Z390">
        <v>0</v>
      </c>
      <c r="AB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AC390">
        <f>AND(IF(Metadata!C390="",FALSE,TRUE),exact(Metadata!C390,"urban biome"))</f>
        <v>0</v>
      </c>
      <c r="AD390">
        <f>AND(IF(Metadata!D390="",FALSE,TRUE),exact(Metadata!D390,"human-associated habitat"))</f>
        <v>0</v>
      </c>
      <c r="AE390">
        <f>AND(IF(Metadata!E390="",FALSE,TRUE),OR(exact(Metadata!E390,"human-associated"),exact(Metadata!E390,"human-skin"),exact(Metadata!E390,"human-oral"),exact(Metadata!E390,"human-gut"),exact(Metadata!E390,"human-vaginal")))</f>
        <v>0</v>
      </c>
      <c r="AF390">
        <f>AND(IF(Metadata!F390="",FALSE,ISNUMBER(VALUE(Metadata!F390))),Metadata!F390&gt;0)</f>
        <v>0</v>
      </c>
      <c r="AG390">
        <f>AND(IF(Metadata!G390="",FALSE,TRUE),exact(Metadata!G390,"years"))</f>
        <v>0</v>
      </c>
      <c r="AH390">
        <f>OR(AND(IF(Metadata!H390="",FALSE,TRUE),OR(exact(Metadata!H390,"not applicable"),exact(Metadata!H390,"not collected"),exact(Metadata!H390,"not provided"),exact(Metadata!H390,"restricted access"))),AND(IF(Metadata!H390="",FALSE,ISNUMBER(VALUE(Metadata!H390))),Metadata!H390&gt;0))</f>
        <v>0</v>
      </c>
      <c r="AI390">
        <f>AND(IF(Metadata!I390="",FALSE,TRUE),exact(Metadata!I390,"human"))</f>
        <v>0</v>
      </c>
      <c r="AJ390">
        <f>AND(IF(Metadata!J390="",FALSE,ISNUMBER(VALUE(Metadata!J390))),Metadata!J390&gt;0)</f>
        <v>0</v>
      </c>
      <c r="AK390">
        <f>AND(IF(Metadata!K390="",FALSE,TRUE),exact(Metadata!K390,"cm"))</f>
        <v>0</v>
      </c>
      <c r="AL390">
        <f>AND(IF(Metadata!L390="",FALSE,TRUE),exact(Metadata!L390,"Homo sapiens"))</f>
        <v>0</v>
      </c>
      <c r="AM390">
        <f>AND(IF(Metadata!M390="",FALSE,TRUE),exact(Metadata!M390,"9606"))</f>
        <v>0</v>
      </c>
      <c r="AN390">
        <f>AND(IF(Metadata!N390="",FALSE,ISNUMBER(VALUE(Metadata!N390))),Metadata!N390&gt;0)</f>
        <v>0</v>
      </c>
      <c r="AO390">
        <f>AND(IF(Metadata!O390="",FALSE,TRUE),exact(Metadata!O390,"kg"))</f>
        <v>0</v>
      </c>
      <c r="AP390">
        <f>OR(AND(IF(Metadata!P390="",FALSE,TRUE),exact(Metadata!P390,"not provided")),IF(Metadata!P390="",FALSE,TRUE))</f>
        <v>0</v>
      </c>
      <c r="AQ390">
        <f>OR(AND(IF(Metadata!Q390="",FALSE,TRUE),exact(Metadata!Q390,"not provided")),IF(Metadata!Q390="",FALSE,TRUE))</f>
        <v>0</v>
      </c>
    </row>
    <row r="391" spans="1:43">
      <c r="A391" s="4">
        <f>IF(B391=" "," ",HYPERLINK(CONCATENATE("#metadata!",ADDRESS(INDEX($W$2:$W$1001,MATCH(ROWS($U$2:U391),$U$2:$U$1001,0),0),2)),INDEX($Z$2:$Z$1001,MATCH(ROWS($U$2:U391),$U$2:$U$1001,0),0)))</f>
        <v>0</v>
      </c>
      <c r="B391" s="5">
        <f>IF(OR(INDEX($V$2:$V$1001,MATCH(ROWS($U$2:U391),$U$2:$U$1001,0),1)&gt;=100000,INDEX($AB$1005:$AQ$1005,1,MATCH(COLUMNS($AB$1006:AB1006),$AB$1006:$AQ$1006,0))&gt;=100000), " ",IF(INDEX($AB$2:$AQ$1001,MATCH(ROWS($U$2:U391),$U$2:$U$1001,0),MATCH(COLUMNS($AB$1006:AB1006),$AB$1006:$AQ$1006,0)), HYPERLINK("#",""), HYPERLINK(CONCATENATE("#Metadata!", ADDRESS(INDEX($W$2:$W$1001,MATCH(ROWS($U$2:U391),$U$2:$U$1001,0),0), INDEX($AB$1004:$AQ$1004,1,MATCH(COLUMNS($AB$1006:AB1006),$AB$1006:$AQ$1006,0)))),"Fix")))</f>
        <v>0</v>
      </c>
      <c r="C391" s="5">
        <f>IF(OR(INDEX($V$2:$V$1001,MATCH(ROWS($U$2:U391),$U$2:$U$1001,0),1)&gt;=100000,INDEX($AB$1005:$AQ$1005,1,MATCH(COLUMNS($AB$1006:AC1006),$AB$1006:$AQ$1006,0))&gt;=100000), " ",IF(INDEX($AB$2:$AQ$1001,MATCH(ROWS($U$2:U391),$U$2:$U$1001,0),MATCH(COLUMNS($AB$1006:AC1006),$AB$1006:$AQ$1006,0)), HYPERLINK("#",""), HYPERLINK(CONCATENATE("#Metadata!", ADDRESS(INDEX($W$2:$W$1001,MATCH(ROWS($U$2:U391),$U$2:$U$1001,0),0), INDEX($AB$1004:$AQ$1004,1,MATCH(COLUMNS($AB$1006:AC1006),$AB$1006:$AQ$1006,0)))),"Fix")))</f>
        <v>0</v>
      </c>
      <c r="D391" s="5">
        <f>IF(OR(INDEX($V$2:$V$1001,MATCH(ROWS($U$2:U391),$U$2:$U$1001,0),1)&gt;=100000,INDEX($AB$1005:$AQ$1005,1,MATCH(COLUMNS($AB$1006:AD1006),$AB$1006:$AQ$1006,0))&gt;=100000), " ",IF(INDEX($AB$2:$AQ$1001,MATCH(ROWS($U$2:U391),$U$2:$U$1001,0),MATCH(COLUMNS($AB$1006:AD1006),$AB$1006:$AQ$1006,0)), HYPERLINK("#",""), HYPERLINK(CONCATENATE("#Metadata!", ADDRESS(INDEX($W$2:$W$1001,MATCH(ROWS($U$2:U391),$U$2:$U$1001,0),0), INDEX($AB$1004:$AQ$1004,1,MATCH(COLUMNS($AB$1006:AD1006),$AB$1006:$AQ$1006,0)))),"Fix")))</f>
        <v>0</v>
      </c>
      <c r="E391" s="5">
        <f>IF(OR(INDEX($V$2:$V$1001,MATCH(ROWS($U$2:U391),$U$2:$U$1001,0),1)&gt;=100000,INDEX($AB$1005:$AQ$1005,1,MATCH(COLUMNS($AB$1006:AE1006),$AB$1006:$AQ$1006,0))&gt;=100000), " ",IF(INDEX($AB$2:$AQ$1001,MATCH(ROWS($U$2:U391),$U$2:$U$1001,0),MATCH(COLUMNS($AB$1006:AE1006),$AB$1006:$AQ$1006,0)), HYPERLINK("#",""), HYPERLINK(CONCATENATE("#Metadata!", ADDRESS(INDEX($W$2:$W$1001,MATCH(ROWS($U$2:U391),$U$2:$U$1001,0),0), INDEX($AB$1004:$AQ$1004,1,MATCH(COLUMNS($AB$1006:AE1006),$AB$1006:$AQ$1006,0)))),"Fix")))</f>
        <v>0</v>
      </c>
      <c r="F391" s="5">
        <f>IF(OR(INDEX($V$2:$V$1001,MATCH(ROWS($U$2:U391),$U$2:$U$1001,0),1)&gt;=100000,INDEX($AB$1005:$AQ$1005,1,MATCH(COLUMNS($AB$1006:AF1006),$AB$1006:$AQ$1006,0))&gt;=100000), " ",IF(INDEX($AB$2:$AQ$1001,MATCH(ROWS($U$2:U391),$U$2:$U$1001,0),MATCH(COLUMNS($AB$1006:AF1006),$AB$1006:$AQ$1006,0)), HYPERLINK("#",""), HYPERLINK(CONCATENATE("#Metadata!", ADDRESS(INDEX($W$2:$W$1001,MATCH(ROWS($U$2:U391),$U$2:$U$1001,0),0), INDEX($AB$1004:$AQ$1004,1,MATCH(COLUMNS($AB$1006:AF1006),$AB$1006:$AQ$1006,0)))),"Fix")))</f>
        <v>0</v>
      </c>
      <c r="G391" s="5">
        <f>IF(OR(INDEX($V$2:$V$1001,MATCH(ROWS($U$2:U391),$U$2:$U$1001,0),1)&gt;=100000,INDEX($AB$1005:$AQ$1005,1,MATCH(COLUMNS($AB$1006:AG1006),$AB$1006:$AQ$1006,0))&gt;=100000), " ",IF(INDEX($AB$2:$AQ$1001,MATCH(ROWS($U$2:U391),$U$2:$U$1001,0),MATCH(COLUMNS($AB$1006:AG1006),$AB$1006:$AQ$1006,0)), HYPERLINK("#",""), HYPERLINK(CONCATENATE("#Metadata!", ADDRESS(INDEX($W$2:$W$1001,MATCH(ROWS($U$2:U391),$U$2:$U$1001,0),0), INDEX($AB$1004:$AQ$1004,1,MATCH(COLUMNS($AB$1006:AG1006),$AB$1006:$AQ$1006,0)))),"Fix")))</f>
        <v>0</v>
      </c>
      <c r="H391" s="5">
        <f>IF(OR(INDEX($V$2:$V$1001,MATCH(ROWS($U$2:U391),$U$2:$U$1001,0),1)&gt;=100000,INDEX($AB$1005:$AQ$1005,1,MATCH(COLUMNS($AB$1006:AH1006),$AB$1006:$AQ$1006,0))&gt;=100000), " ",IF(INDEX($AB$2:$AQ$1001,MATCH(ROWS($U$2:U391),$U$2:$U$1001,0),MATCH(COLUMNS($AB$1006:AH1006),$AB$1006:$AQ$1006,0)), HYPERLINK("#",""), HYPERLINK(CONCATENATE("#Metadata!", ADDRESS(INDEX($W$2:$W$1001,MATCH(ROWS($U$2:U391),$U$2:$U$1001,0),0), INDEX($AB$1004:$AQ$1004,1,MATCH(COLUMNS($AB$1006:AH1006),$AB$1006:$AQ$1006,0)))),"Fix")))</f>
        <v>0</v>
      </c>
      <c r="I391" s="5">
        <f>IF(OR(INDEX($V$2:$V$1001,MATCH(ROWS($U$2:U391),$U$2:$U$1001,0),1)&gt;=100000,INDEX($AB$1005:$AQ$1005,1,MATCH(COLUMNS($AB$1006:AI1006),$AB$1006:$AQ$1006,0))&gt;=100000), " ",IF(INDEX($AB$2:$AQ$1001,MATCH(ROWS($U$2:U391),$U$2:$U$1001,0),MATCH(COLUMNS($AB$1006:AI1006),$AB$1006:$AQ$1006,0)), HYPERLINK("#",""), HYPERLINK(CONCATENATE("#Metadata!", ADDRESS(INDEX($W$2:$W$1001,MATCH(ROWS($U$2:U391),$U$2:$U$1001,0),0), INDEX($AB$1004:$AQ$1004,1,MATCH(COLUMNS($AB$1006:AI1006),$AB$1006:$AQ$1006,0)))),"Fix")))</f>
        <v>0</v>
      </c>
      <c r="J391" s="5">
        <f>IF(OR(INDEX($V$2:$V$1001,MATCH(ROWS($U$2:U391),$U$2:$U$1001,0),1)&gt;=100000,INDEX($AB$1005:$AQ$1005,1,MATCH(COLUMNS($AB$1006:AJ1006),$AB$1006:$AQ$1006,0))&gt;=100000), " ",IF(INDEX($AB$2:$AQ$1001,MATCH(ROWS($U$2:U391),$U$2:$U$1001,0),MATCH(COLUMNS($AB$1006:AJ1006),$AB$1006:$AQ$1006,0)), HYPERLINK("#",""), HYPERLINK(CONCATENATE("#Metadata!", ADDRESS(INDEX($W$2:$W$1001,MATCH(ROWS($U$2:U391),$U$2:$U$1001,0),0), INDEX($AB$1004:$AQ$1004,1,MATCH(COLUMNS($AB$1006:AJ1006),$AB$1006:$AQ$1006,0)))),"Fix")))</f>
        <v>0</v>
      </c>
      <c r="K391" s="5">
        <f>IF(OR(INDEX($V$2:$V$1001,MATCH(ROWS($U$2:U391),$U$2:$U$1001,0),1)&gt;=100000,INDEX($AB$1005:$AQ$1005,1,MATCH(COLUMNS($AB$1006:AK1006),$AB$1006:$AQ$1006,0))&gt;=100000), " ",IF(INDEX($AB$2:$AQ$1001,MATCH(ROWS($U$2:U391),$U$2:$U$1001,0),MATCH(COLUMNS($AB$1006:AK1006),$AB$1006:$AQ$1006,0)), HYPERLINK("#",""), HYPERLINK(CONCATENATE("#Metadata!", ADDRESS(INDEX($W$2:$W$1001,MATCH(ROWS($U$2:U391),$U$2:$U$1001,0),0), INDEX($AB$1004:$AQ$1004,1,MATCH(COLUMNS($AB$1006:AK1006),$AB$1006:$AQ$1006,0)))),"Fix")))</f>
        <v>0</v>
      </c>
      <c r="L391" s="5">
        <f>IF(OR(INDEX($V$2:$V$1001,MATCH(ROWS($U$2:U391),$U$2:$U$1001,0),1)&gt;=100000,INDEX($AB$1005:$AQ$1005,1,MATCH(COLUMNS($AB$1006:AL1006),$AB$1006:$AQ$1006,0))&gt;=100000), " ",IF(INDEX($AB$2:$AQ$1001,MATCH(ROWS($U$2:U391),$U$2:$U$1001,0),MATCH(COLUMNS($AB$1006:AL1006),$AB$1006:$AQ$1006,0)), HYPERLINK("#",""), HYPERLINK(CONCATENATE("#Metadata!", ADDRESS(INDEX($W$2:$W$1001,MATCH(ROWS($U$2:U391),$U$2:$U$1001,0),0), INDEX($AB$1004:$AQ$1004,1,MATCH(COLUMNS($AB$1006:AL1006),$AB$1006:$AQ$1006,0)))),"Fix")))</f>
        <v>0</v>
      </c>
      <c r="M391" s="5">
        <f>IF(OR(INDEX($V$2:$V$1001,MATCH(ROWS($U$2:U391),$U$2:$U$1001,0),1)&gt;=100000,INDEX($AB$1005:$AQ$1005,1,MATCH(COLUMNS($AB$1006:AM1006),$AB$1006:$AQ$1006,0))&gt;=100000), " ",IF(INDEX($AB$2:$AQ$1001,MATCH(ROWS($U$2:U391),$U$2:$U$1001,0),MATCH(COLUMNS($AB$1006:AM1006),$AB$1006:$AQ$1006,0)), HYPERLINK("#",""), HYPERLINK(CONCATENATE("#Metadata!", ADDRESS(INDEX($W$2:$W$1001,MATCH(ROWS($U$2:U391),$U$2:$U$1001,0),0), INDEX($AB$1004:$AQ$1004,1,MATCH(COLUMNS($AB$1006:AM1006),$AB$1006:$AQ$1006,0)))),"Fix")))</f>
        <v>0</v>
      </c>
      <c r="N391" s="5">
        <f>IF(OR(INDEX($V$2:$V$1001,MATCH(ROWS($U$2:U391),$U$2:$U$1001,0),1)&gt;=100000,INDEX($AB$1005:$AQ$1005,1,MATCH(COLUMNS($AB$1006:AN1006),$AB$1006:$AQ$1006,0))&gt;=100000), " ",IF(INDEX($AB$2:$AQ$1001,MATCH(ROWS($U$2:U391),$U$2:$U$1001,0),MATCH(COLUMNS($AB$1006:AN1006),$AB$1006:$AQ$1006,0)), HYPERLINK("#",""), HYPERLINK(CONCATENATE("#Metadata!", ADDRESS(INDEX($W$2:$W$1001,MATCH(ROWS($U$2:U391),$U$2:$U$1001,0),0), INDEX($AB$1004:$AQ$1004,1,MATCH(COLUMNS($AB$1006:AN1006),$AB$1006:$AQ$1006,0)))),"Fix")))</f>
        <v>0</v>
      </c>
      <c r="O391" s="5">
        <f>IF(OR(INDEX($V$2:$V$1001,MATCH(ROWS($U$2:U391),$U$2:$U$1001,0),1)&gt;=100000,INDEX($AB$1005:$AQ$1005,1,MATCH(COLUMNS($AB$1006:AO1006),$AB$1006:$AQ$1006,0))&gt;=100000), " ",IF(INDEX($AB$2:$AQ$1001,MATCH(ROWS($U$2:U391),$U$2:$U$1001,0),MATCH(COLUMNS($AB$1006:AO1006),$AB$1006:$AQ$1006,0)), HYPERLINK("#",""), HYPERLINK(CONCATENATE("#Metadata!", ADDRESS(INDEX($W$2:$W$1001,MATCH(ROWS($U$2:U391),$U$2:$U$1001,0),0), INDEX($AB$1004:$AQ$1004,1,MATCH(COLUMNS($AB$1006:AO1006),$AB$1006:$AQ$1006,0)))),"Fix")))</f>
        <v>0</v>
      </c>
      <c r="P391" s="5">
        <f>IF(OR(INDEX($V$2:$V$1001,MATCH(ROWS($U$2:U391),$U$2:$U$1001,0),1)&gt;=100000,INDEX($AB$1005:$AQ$1005,1,MATCH(COLUMNS($AB$1006:AP1006),$AB$1006:$AQ$1006,0))&gt;=100000), " ",IF(INDEX($AB$2:$AQ$1001,MATCH(ROWS($U$2:U391),$U$2:$U$1001,0),MATCH(COLUMNS($AB$1006:AP1006),$AB$1006:$AQ$1006,0)), HYPERLINK("#",""), HYPERLINK(CONCATENATE("#Metadata!", ADDRESS(INDEX($W$2:$W$1001,MATCH(ROWS($U$2:U391),$U$2:$U$1001,0),0), INDEX($AB$1004:$AQ$1004,1,MATCH(COLUMNS($AB$1006:AP1006),$AB$1006:$AQ$1006,0)))),"Fix")))</f>
        <v>0</v>
      </c>
      <c r="Q391" s="5">
        <f>IF(OR(INDEX($V$2:$V$1001,MATCH(ROWS($U$2:U391),$U$2:$U$1001,0),1)&gt;=100000,INDEX($AB$1005:$AQ$1005,1,MATCH(COLUMNS($AB$1006:AQ1006),$AB$1006:$AQ$1006,0))&gt;=100000), " ",IF(INDEX($AB$2:$AQ$1001,MATCH(ROWS($U$2:U391),$U$2:$U$1001,0),MATCH(COLUMNS($AB$1006:AQ1006),$AB$1006:$AQ$1006,0)), HYPERLINK("#",""), HYPERLINK(CONCATENATE("#Metadata!", ADDRESS(INDEX($W$2:$W$1001,MATCH(ROWS($U$2:U391),$U$2:$U$1001,0),0), INDEX($AB$1004:$AQ$1004,1,MATCH(COLUMNS($AB$1006:AQ1006),$AB$1006:$AQ$1006,0)))),"Fix")))</f>
        <v>0</v>
      </c>
      <c r="U391">
        <v>0</v>
      </c>
      <c r="V391">
        <v>0</v>
      </c>
      <c r="W391">
        <v>0</v>
      </c>
      <c r="X391">
        <f>IF(Y391,TRUE,AND(AB391:AQ391))</f>
        <v>0</v>
      </c>
      <c r="Y391">
        <f>COUNTBLANK(Metadata!B391:Q391)=COLUMNS(Metadata!B391:Q391)</f>
        <v>0</v>
      </c>
      <c r="Z391">
        <v>0</v>
      </c>
      <c r="AB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AC391">
        <f>AND(IF(Metadata!C391="",FALSE,TRUE),exact(Metadata!C391,"urban biome"))</f>
        <v>0</v>
      </c>
      <c r="AD391">
        <f>AND(IF(Metadata!D391="",FALSE,TRUE),exact(Metadata!D391,"human-associated habitat"))</f>
        <v>0</v>
      </c>
      <c r="AE391">
        <f>AND(IF(Metadata!E391="",FALSE,TRUE),OR(exact(Metadata!E391,"human-associated"),exact(Metadata!E391,"human-skin"),exact(Metadata!E391,"human-oral"),exact(Metadata!E391,"human-gut"),exact(Metadata!E391,"human-vaginal")))</f>
        <v>0</v>
      </c>
      <c r="AF391">
        <f>AND(IF(Metadata!F391="",FALSE,ISNUMBER(VALUE(Metadata!F391))),Metadata!F391&gt;0)</f>
        <v>0</v>
      </c>
      <c r="AG391">
        <f>AND(IF(Metadata!G391="",FALSE,TRUE),exact(Metadata!G391,"years"))</f>
        <v>0</v>
      </c>
      <c r="AH391">
        <f>OR(AND(IF(Metadata!H391="",FALSE,TRUE),OR(exact(Metadata!H391,"not applicable"),exact(Metadata!H391,"not collected"),exact(Metadata!H391,"not provided"),exact(Metadata!H391,"restricted access"))),AND(IF(Metadata!H391="",FALSE,ISNUMBER(VALUE(Metadata!H391))),Metadata!H391&gt;0))</f>
        <v>0</v>
      </c>
      <c r="AI391">
        <f>AND(IF(Metadata!I391="",FALSE,TRUE),exact(Metadata!I391,"human"))</f>
        <v>0</v>
      </c>
      <c r="AJ391">
        <f>AND(IF(Metadata!J391="",FALSE,ISNUMBER(VALUE(Metadata!J391))),Metadata!J391&gt;0)</f>
        <v>0</v>
      </c>
      <c r="AK391">
        <f>AND(IF(Metadata!K391="",FALSE,TRUE),exact(Metadata!K391,"cm"))</f>
        <v>0</v>
      </c>
      <c r="AL391">
        <f>AND(IF(Metadata!L391="",FALSE,TRUE),exact(Metadata!L391,"Homo sapiens"))</f>
        <v>0</v>
      </c>
      <c r="AM391">
        <f>AND(IF(Metadata!M391="",FALSE,TRUE),exact(Metadata!M391,"9606"))</f>
        <v>0</v>
      </c>
      <c r="AN391">
        <f>AND(IF(Metadata!N391="",FALSE,ISNUMBER(VALUE(Metadata!N391))),Metadata!N391&gt;0)</f>
        <v>0</v>
      </c>
      <c r="AO391">
        <f>AND(IF(Metadata!O391="",FALSE,TRUE),exact(Metadata!O391,"kg"))</f>
        <v>0</v>
      </c>
      <c r="AP391">
        <f>OR(AND(IF(Metadata!P391="",FALSE,TRUE),exact(Metadata!P391,"not provided")),IF(Metadata!P391="",FALSE,TRUE))</f>
        <v>0</v>
      </c>
      <c r="AQ391">
        <f>OR(AND(IF(Metadata!Q391="",FALSE,TRUE),exact(Metadata!Q391,"not provided")),IF(Metadata!Q391="",FALSE,TRUE))</f>
        <v>0</v>
      </c>
    </row>
    <row r="392" spans="1:43">
      <c r="A392" s="4">
        <f>IF(B392=" "," ",HYPERLINK(CONCATENATE("#metadata!",ADDRESS(INDEX($W$2:$W$1001,MATCH(ROWS($U$2:U392),$U$2:$U$1001,0),0),2)),INDEX($Z$2:$Z$1001,MATCH(ROWS($U$2:U392),$U$2:$U$1001,0),0)))</f>
        <v>0</v>
      </c>
      <c r="B392" s="5">
        <f>IF(OR(INDEX($V$2:$V$1001,MATCH(ROWS($U$2:U392),$U$2:$U$1001,0),1)&gt;=100000,INDEX($AB$1005:$AQ$1005,1,MATCH(COLUMNS($AB$1006:AB1006),$AB$1006:$AQ$1006,0))&gt;=100000), " ",IF(INDEX($AB$2:$AQ$1001,MATCH(ROWS($U$2:U392),$U$2:$U$1001,0),MATCH(COLUMNS($AB$1006:AB1006),$AB$1006:$AQ$1006,0)), HYPERLINK("#",""), HYPERLINK(CONCATENATE("#Metadata!", ADDRESS(INDEX($W$2:$W$1001,MATCH(ROWS($U$2:U392),$U$2:$U$1001,0),0), INDEX($AB$1004:$AQ$1004,1,MATCH(COLUMNS($AB$1006:AB1006),$AB$1006:$AQ$1006,0)))),"Fix")))</f>
        <v>0</v>
      </c>
      <c r="C392" s="5">
        <f>IF(OR(INDEX($V$2:$V$1001,MATCH(ROWS($U$2:U392),$U$2:$U$1001,0),1)&gt;=100000,INDEX($AB$1005:$AQ$1005,1,MATCH(COLUMNS($AB$1006:AC1006),$AB$1006:$AQ$1006,0))&gt;=100000), " ",IF(INDEX($AB$2:$AQ$1001,MATCH(ROWS($U$2:U392),$U$2:$U$1001,0),MATCH(COLUMNS($AB$1006:AC1006),$AB$1006:$AQ$1006,0)), HYPERLINK("#",""), HYPERLINK(CONCATENATE("#Metadata!", ADDRESS(INDEX($W$2:$W$1001,MATCH(ROWS($U$2:U392),$U$2:$U$1001,0),0), INDEX($AB$1004:$AQ$1004,1,MATCH(COLUMNS($AB$1006:AC1006),$AB$1006:$AQ$1006,0)))),"Fix")))</f>
        <v>0</v>
      </c>
      <c r="D392" s="5">
        <f>IF(OR(INDEX($V$2:$V$1001,MATCH(ROWS($U$2:U392),$U$2:$U$1001,0),1)&gt;=100000,INDEX($AB$1005:$AQ$1005,1,MATCH(COLUMNS($AB$1006:AD1006),$AB$1006:$AQ$1006,0))&gt;=100000), " ",IF(INDEX($AB$2:$AQ$1001,MATCH(ROWS($U$2:U392),$U$2:$U$1001,0),MATCH(COLUMNS($AB$1006:AD1006),$AB$1006:$AQ$1006,0)), HYPERLINK("#",""), HYPERLINK(CONCATENATE("#Metadata!", ADDRESS(INDEX($W$2:$W$1001,MATCH(ROWS($U$2:U392),$U$2:$U$1001,0),0), INDEX($AB$1004:$AQ$1004,1,MATCH(COLUMNS($AB$1006:AD1006),$AB$1006:$AQ$1006,0)))),"Fix")))</f>
        <v>0</v>
      </c>
      <c r="E392" s="5">
        <f>IF(OR(INDEX($V$2:$V$1001,MATCH(ROWS($U$2:U392),$U$2:$U$1001,0),1)&gt;=100000,INDEX($AB$1005:$AQ$1005,1,MATCH(COLUMNS($AB$1006:AE1006),$AB$1006:$AQ$1006,0))&gt;=100000), " ",IF(INDEX($AB$2:$AQ$1001,MATCH(ROWS($U$2:U392),$U$2:$U$1001,0),MATCH(COLUMNS($AB$1006:AE1006),$AB$1006:$AQ$1006,0)), HYPERLINK("#",""), HYPERLINK(CONCATENATE("#Metadata!", ADDRESS(INDEX($W$2:$W$1001,MATCH(ROWS($U$2:U392),$U$2:$U$1001,0),0), INDEX($AB$1004:$AQ$1004,1,MATCH(COLUMNS($AB$1006:AE1006),$AB$1006:$AQ$1006,0)))),"Fix")))</f>
        <v>0</v>
      </c>
      <c r="F392" s="5">
        <f>IF(OR(INDEX($V$2:$V$1001,MATCH(ROWS($U$2:U392),$U$2:$U$1001,0),1)&gt;=100000,INDEX($AB$1005:$AQ$1005,1,MATCH(COLUMNS($AB$1006:AF1006),$AB$1006:$AQ$1006,0))&gt;=100000), " ",IF(INDEX($AB$2:$AQ$1001,MATCH(ROWS($U$2:U392),$U$2:$U$1001,0),MATCH(COLUMNS($AB$1006:AF1006),$AB$1006:$AQ$1006,0)), HYPERLINK("#",""), HYPERLINK(CONCATENATE("#Metadata!", ADDRESS(INDEX($W$2:$W$1001,MATCH(ROWS($U$2:U392),$U$2:$U$1001,0),0), INDEX($AB$1004:$AQ$1004,1,MATCH(COLUMNS($AB$1006:AF1006),$AB$1006:$AQ$1006,0)))),"Fix")))</f>
        <v>0</v>
      </c>
      <c r="G392" s="5">
        <f>IF(OR(INDEX($V$2:$V$1001,MATCH(ROWS($U$2:U392),$U$2:$U$1001,0),1)&gt;=100000,INDEX($AB$1005:$AQ$1005,1,MATCH(COLUMNS($AB$1006:AG1006),$AB$1006:$AQ$1006,0))&gt;=100000), " ",IF(INDEX($AB$2:$AQ$1001,MATCH(ROWS($U$2:U392),$U$2:$U$1001,0),MATCH(COLUMNS($AB$1006:AG1006),$AB$1006:$AQ$1006,0)), HYPERLINK("#",""), HYPERLINK(CONCATENATE("#Metadata!", ADDRESS(INDEX($W$2:$W$1001,MATCH(ROWS($U$2:U392),$U$2:$U$1001,0),0), INDEX($AB$1004:$AQ$1004,1,MATCH(COLUMNS($AB$1006:AG1006),$AB$1006:$AQ$1006,0)))),"Fix")))</f>
        <v>0</v>
      </c>
      <c r="H392" s="5">
        <f>IF(OR(INDEX($V$2:$V$1001,MATCH(ROWS($U$2:U392),$U$2:$U$1001,0),1)&gt;=100000,INDEX($AB$1005:$AQ$1005,1,MATCH(COLUMNS($AB$1006:AH1006),$AB$1006:$AQ$1006,0))&gt;=100000), " ",IF(INDEX($AB$2:$AQ$1001,MATCH(ROWS($U$2:U392),$U$2:$U$1001,0),MATCH(COLUMNS($AB$1006:AH1006),$AB$1006:$AQ$1006,0)), HYPERLINK("#",""), HYPERLINK(CONCATENATE("#Metadata!", ADDRESS(INDEX($W$2:$W$1001,MATCH(ROWS($U$2:U392),$U$2:$U$1001,0),0), INDEX($AB$1004:$AQ$1004,1,MATCH(COLUMNS($AB$1006:AH1006),$AB$1006:$AQ$1006,0)))),"Fix")))</f>
        <v>0</v>
      </c>
      <c r="I392" s="5">
        <f>IF(OR(INDEX($V$2:$V$1001,MATCH(ROWS($U$2:U392),$U$2:$U$1001,0),1)&gt;=100000,INDEX($AB$1005:$AQ$1005,1,MATCH(COLUMNS($AB$1006:AI1006),$AB$1006:$AQ$1006,0))&gt;=100000), " ",IF(INDEX($AB$2:$AQ$1001,MATCH(ROWS($U$2:U392),$U$2:$U$1001,0),MATCH(COLUMNS($AB$1006:AI1006),$AB$1006:$AQ$1006,0)), HYPERLINK("#",""), HYPERLINK(CONCATENATE("#Metadata!", ADDRESS(INDEX($W$2:$W$1001,MATCH(ROWS($U$2:U392),$U$2:$U$1001,0),0), INDEX($AB$1004:$AQ$1004,1,MATCH(COLUMNS($AB$1006:AI1006),$AB$1006:$AQ$1006,0)))),"Fix")))</f>
        <v>0</v>
      </c>
      <c r="J392" s="5">
        <f>IF(OR(INDEX($V$2:$V$1001,MATCH(ROWS($U$2:U392),$U$2:$U$1001,0),1)&gt;=100000,INDEX($AB$1005:$AQ$1005,1,MATCH(COLUMNS($AB$1006:AJ1006),$AB$1006:$AQ$1006,0))&gt;=100000), " ",IF(INDEX($AB$2:$AQ$1001,MATCH(ROWS($U$2:U392),$U$2:$U$1001,0),MATCH(COLUMNS($AB$1006:AJ1006),$AB$1006:$AQ$1006,0)), HYPERLINK("#",""), HYPERLINK(CONCATENATE("#Metadata!", ADDRESS(INDEX($W$2:$W$1001,MATCH(ROWS($U$2:U392),$U$2:$U$1001,0),0), INDEX($AB$1004:$AQ$1004,1,MATCH(COLUMNS($AB$1006:AJ1006),$AB$1006:$AQ$1006,0)))),"Fix")))</f>
        <v>0</v>
      </c>
      <c r="K392" s="5">
        <f>IF(OR(INDEX($V$2:$V$1001,MATCH(ROWS($U$2:U392),$U$2:$U$1001,0),1)&gt;=100000,INDEX($AB$1005:$AQ$1005,1,MATCH(COLUMNS($AB$1006:AK1006),$AB$1006:$AQ$1006,0))&gt;=100000), " ",IF(INDEX($AB$2:$AQ$1001,MATCH(ROWS($U$2:U392),$U$2:$U$1001,0),MATCH(COLUMNS($AB$1006:AK1006),$AB$1006:$AQ$1006,0)), HYPERLINK("#",""), HYPERLINK(CONCATENATE("#Metadata!", ADDRESS(INDEX($W$2:$W$1001,MATCH(ROWS($U$2:U392),$U$2:$U$1001,0),0), INDEX($AB$1004:$AQ$1004,1,MATCH(COLUMNS($AB$1006:AK1006),$AB$1006:$AQ$1006,0)))),"Fix")))</f>
        <v>0</v>
      </c>
      <c r="L392" s="5">
        <f>IF(OR(INDEX($V$2:$V$1001,MATCH(ROWS($U$2:U392),$U$2:$U$1001,0),1)&gt;=100000,INDEX($AB$1005:$AQ$1005,1,MATCH(COLUMNS($AB$1006:AL1006),$AB$1006:$AQ$1006,0))&gt;=100000), " ",IF(INDEX($AB$2:$AQ$1001,MATCH(ROWS($U$2:U392),$U$2:$U$1001,0),MATCH(COLUMNS($AB$1006:AL1006),$AB$1006:$AQ$1006,0)), HYPERLINK("#",""), HYPERLINK(CONCATENATE("#Metadata!", ADDRESS(INDEX($W$2:$W$1001,MATCH(ROWS($U$2:U392),$U$2:$U$1001,0),0), INDEX($AB$1004:$AQ$1004,1,MATCH(COLUMNS($AB$1006:AL1006),$AB$1006:$AQ$1006,0)))),"Fix")))</f>
        <v>0</v>
      </c>
      <c r="M392" s="5">
        <f>IF(OR(INDEX($V$2:$V$1001,MATCH(ROWS($U$2:U392),$U$2:$U$1001,0),1)&gt;=100000,INDEX($AB$1005:$AQ$1005,1,MATCH(COLUMNS($AB$1006:AM1006),$AB$1006:$AQ$1006,0))&gt;=100000), " ",IF(INDEX($AB$2:$AQ$1001,MATCH(ROWS($U$2:U392),$U$2:$U$1001,0),MATCH(COLUMNS($AB$1006:AM1006),$AB$1006:$AQ$1006,0)), HYPERLINK("#",""), HYPERLINK(CONCATENATE("#Metadata!", ADDRESS(INDEX($W$2:$W$1001,MATCH(ROWS($U$2:U392),$U$2:$U$1001,0),0), INDEX($AB$1004:$AQ$1004,1,MATCH(COLUMNS($AB$1006:AM1006),$AB$1006:$AQ$1006,0)))),"Fix")))</f>
        <v>0</v>
      </c>
      <c r="N392" s="5">
        <f>IF(OR(INDEX($V$2:$V$1001,MATCH(ROWS($U$2:U392),$U$2:$U$1001,0),1)&gt;=100000,INDEX($AB$1005:$AQ$1005,1,MATCH(COLUMNS($AB$1006:AN1006),$AB$1006:$AQ$1006,0))&gt;=100000), " ",IF(INDEX($AB$2:$AQ$1001,MATCH(ROWS($U$2:U392),$U$2:$U$1001,0),MATCH(COLUMNS($AB$1006:AN1006),$AB$1006:$AQ$1006,0)), HYPERLINK("#",""), HYPERLINK(CONCATENATE("#Metadata!", ADDRESS(INDEX($W$2:$W$1001,MATCH(ROWS($U$2:U392),$U$2:$U$1001,0),0), INDEX($AB$1004:$AQ$1004,1,MATCH(COLUMNS($AB$1006:AN1006),$AB$1006:$AQ$1006,0)))),"Fix")))</f>
        <v>0</v>
      </c>
      <c r="O392" s="5">
        <f>IF(OR(INDEX($V$2:$V$1001,MATCH(ROWS($U$2:U392),$U$2:$U$1001,0),1)&gt;=100000,INDEX($AB$1005:$AQ$1005,1,MATCH(COLUMNS($AB$1006:AO1006),$AB$1006:$AQ$1006,0))&gt;=100000), " ",IF(INDEX($AB$2:$AQ$1001,MATCH(ROWS($U$2:U392),$U$2:$U$1001,0),MATCH(COLUMNS($AB$1006:AO1006),$AB$1006:$AQ$1006,0)), HYPERLINK("#",""), HYPERLINK(CONCATENATE("#Metadata!", ADDRESS(INDEX($W$2:$W$1001,MATCH(ROWS($U$2:U392),$U$2:$U$1001,0),0), INDEX($AB$1004:$AQ$1004,1,MATCH(COLUMNS($AB$1006:AO1006),$AB$1006:$AQ$1006,0)))),"Fix")))</f>
        <v>0</v>
      </c>
      <c r="P392" s="5">
        <f>IF(OR(INDEX($V$2:$V$1001,MATCH(ROWS($U$2:U392),$U$2:$U$1001,0),1)&gt;=100000,INDEX($AB$1005:$AQ$1005,1,MATCH(COLUMNS($AB$1006:AP1006),$AB$1006:$AQ$1006,0))&gt;=100000), " ",IF(INDEX($AB$2:$AQ$1001,MATCH(ROWS($U$2:U392),$U$2:$U$1001,0),MATCH(COLUMNS($AB$1006:AP1006),$AB$1006:$AQ$1006,0)), HYPERLINK("#",""), HYPERLINK(CONCATENATE("#Metadata!", ADDRESS(INDEX($W$2:$W$1001,MATCH(ROWS($U$2:U392),$U$2:$U$1001,0),0), INDEX($AB$1004:$AQ$1004,1,MATCH(COLUMNS($AB$1006:AP1006),$AB$1006:$AQ$1006,0)))),"Fix")))</f>
        <v>0</v>
      </c>
      <c r="Q392" s="5">
        <f>IF(OR(INDEX($V$2:$V$1001,MATCH(ROWS($U$2:U392),$U$2:$U$1001,0),1)&gt;=100000,INDEX($AB$1005:$AQ$1005,1,MATCH(COLUMNS($AB$1006:AQ1006),$AB$1006:$AQ$1006,0))&gt;=100000), " ",IF(INDEX($AB$2:$AQ$1001,MATCH(ROWS($U$2:U392),$U$2:$U$1001,0),MATCH(COLUMNS($AB$1006:AQ1006),$AB$1006:$AQ$1006,0)), HYPERLINK("#",""), HYPERLINK(CONCATENATE("#Metadata!", ADDRESS(INDEX($W$2:$W$1001,MATCH(ROWS($U$2:U392),$U$2:$U$1001,0),0), INDEX($AB$1004:$AQ$1004,1,MATCH(COLUMNS($AB$1006:AQ1006),$AB$1006:$AQ$1006,0)))),"Fix")))</f>
        <v>0</v>
      </c>
      <c r="U392">
        <v>0</v>
      </c>
      <c r="V392">
        <v>0</v>
      </c>
      <c r="W392">
        <v>0</v>
      </c>
      <c r="X392">
        <f>IF(Y392,TRUE,AND(AB392:AQ392))</f>
        <v>0</v>
      </c>
      <c r="Y392">
        <f>COUNTBLANK(Metadata!B392:Q392)=COLUMNS(Metadata!B392:Q392)</f>
        <v>0</v>
      </c>
      <c r="Z392">
        <v>0</v>
      </c>
      <c r="AB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AC392">
        <f>AND(IF(Metadata!C392="",FALSE,TRUE),exact(Metadata!C392,"urban biome"))</f>
        <v>0</v>
      </c>
      <c r="AD392">
        <f>AND(IF(Metadata!D392="",FALSE,TRUE),exact(Metadata!D392,"human-associated habitat"))</f>
        <v>0</v>
      </c>
      <c r="AE392">
        <f>AND(IF(Metadata!E392="",FALSE,TRUE),OR(exact(Metadata!E392,"human-associated"),exact(Metadata!E392,"human-skin"),exact(Metadata!E392,"human-oral"),exact(Metadata!E392,"human-gut"),exact(Metadata!E392,"human-vaginal")))</f>
        <v>0</v>
      </c>
      <c r="AF392">
        <f>AND(IF(Metadata!F392="",FALSE,ISNUMBER(VALUE(Metadata!F392))),Metadata!F392&gt;0)</f>
        <v>0</v>
      </c>
      <c r="AG392">
        <f>AND(IF(Metadata!G392="",FALSE,TRUE),exact(Metadata!G392,"years"))</f>
        <v>0</v>
      </c>
      <c r="AH392">
        <f>OR(AND(IF(Metadata!H392="",FALSE,TRUE),OR(exact(Metadata!H392,"not applicable"),exact(Metadata!H392,"not collected"),exact(Metadata!H392,"not provided"),exact(Metadata!H392,"restricted access"))),AND(IF(Metadata!H392="",FALSE,ISNUMBER(VALUE(Metadata!H392))),Metadata!H392&gt;0))</f>
        <v>0</v>
      </c>
      <c r="AI392">
        <f>AND(IF(Metadata!I392="",FALSE,TRUE),exact(Metadata!I392,"human"))</f>
        <v>0</v>
      </c>
      <c r="AJ392">
        <f>AND(IF(Metadata!J392="",FALSE,ISNUMBER(VALUE(Metadata!J392))),Metadata!J392&gt;0)</f>
        <v>0</v>
      </c>
      <c r="AK392">
        <f>AND(IF(Metadata!K392="",FALSE,TRUE),exact(Metadata!K392,"cm"))</f>
        <v>0</v>
      </c>
      <c r="AL392">
        <f>AND(IF(Metadata!L392="",FALSE,TRUE),exact(Metadata!L392,"Homo sapiens"))</f>
        <v>0</v>
      </c>
      <c r="AM392">
        <f>AND(IF(Metadata!M392="",FALSE,TRUE),exact(Metadata!M392,"9606"))</f>
        <v>0</v>
      </c>
      <c r="AN392">
        <f>AND(IF(Metadata!N392="",FALSE,ISNUMBER(VALUE(Metadata!N392))),Metadata!N392&gt;0)</f>
        <v>0</v>
      </c>
      <c r="AO392">
        <f>AND(IF(Metadata!O392="",FALSE,TRUE),exact(Metadata!O392,"kg"))</f>
        <v>0</v>
      </c>
      <c r="AP392">
        <f>OR(AND(IF(Metadata!P392="",FALSE,TRUE),exact(Metadata!P392,"not provided")),IF(Metadata!P392="",FALSE,TRUE))</f>
        <v>0</v>
      </c>
      <c r="AQ392">
        <f>OR(AND(IF(Metadata!Q392="",FALSE,TRUE),exact(Metadata!Q392,"not provided")),IF(Metadata!Q392="",FALSE,TRUE))</f>
        <v>0</v>
      </c>
    </row>
    <row r="393" spans="1:43">
      <c r="A393" s="4">
        <f>IF(B393=" "," ",HYPERLINK(CONCATENATE("#metadata!",ADDRESS(INDEX($W$2:$W$1001,MATCH(ROWS($U$2:U393),$U$2:$U$1001,0),0),2)),INDEX($Z$2:$Z$1001,MATCH(ROWS($U$2:U393),$U$2:$U$1001,0),0)))</f>
        <v>0</v>
      </c>
      <c r="B393" s="5">
        <f>IF(OR(INDEX($V$2:$V$1001,MATCH(ROWS($U$2:U393),$U$2:$U$1001,0),1)&gt;=100000,INDEX($AB$1005:$AQ$1005,1,MATCH(COLUMNS($AB$1006:AB1006),$AB$1006:$AQ$1006,0))&gt;=100000), " ",IF(INDEX($AB$2:$AQ$1001,MATCH(ROWS($U$2:U393),$U$2:$U$1001,0),MATCH(COLUMNS($AB$1006:AB1006),$AB$1006:$AQ$1006,0)), HYPERLINK("#",""), HYPERLINK(CONCATENATE("#Metadata!", ADDRESS(INDEX($W$2:$W$1001,MATCH(ROWS($U$2:U393),$U$2:$U$1001,0),0), INDEX($AB$1004:$AQ$1004,1,MATCH(COLUMNS($AB$1006:AB1006),$AB$1006:$AQ$1006,0)))),"Fix")))</f>
        <v>0</v>
      </c>
      <c r="C393" s="5">
        <f>IF(OR(INDEX($V$2:$V$1001,MATCH(ROWS($U$2:U393),$U$2:$U$1001,0),1)&gt;=100000,INDEX($AB$1005:$AQ$1005,1,MATCH(COLUMNS($AB$1006:AC1006),$AB$1006:$AQ$1006,0))&gt;=100000), " ",IF(INDEX($AB$2:$AQ$1001,MATCH(ROWS($U$2:U393),$U$2:$U$1001,0),MATCH(COLUMNS($AB$1006:AC1006),$AB$1006:$AQ$1006,0)), HYPERLINK("#",""), HYPERLINK(CONCATENATE("#Metadata!", ADDRESS(INDEX($W$2:$W$1001,MATCH(ROWS($U$2:U393),$U$2:$U$1001,0),0), INDEX($AB$1004:$AQ$1004,1,MATCH(COLUMNS($AB$1006:AC1006),$AB$1006:$AQ$1006,0)))),"Fix")))</f>
        <v>0</v>
      </c>
      <c r="D393" s="5">
        <f>IF(OR(INDEX($V$2:$V$1001,MATCH(ROWS($U$2:U393),$U$2:$U$1001,0),1)&gt;=100000,INDEX($AB$1005:$AQ$1005,1,MATCH(COLUMNS($AB$1006:AD1006),$AB$1006:$AQ$1006,0))&gt;=100000), " ",IF(INDEX($AB$2:$AQ$1001,MATCH(ROWS($U$2:U393),$U$2:$U$1001,0),MATCH(COLUMNS($AB$1006:AD1006),$AB$1006:$AQ$1006,0)), HYPERLINK("#",""), HYPERLINK(CONCATENATE("#Metadata!", ADDRESS(INDEX($W$2:$W$1001,MATCH(ROWS($U$2:U393),$U$2:$U$1001,0),0), INDEX($AB$1004:$AQ$1004,1,MATCH(COLUMNS($AB$1006:AD1006),$AB$1006:$AQ$1006,0)))),"Fix")))</f>
        <v>0</v>
      </c>
      <c r="E393" s="5">
        <f>IF(OR(INDEX($V$2:$V$1001,MATCH(ROWS($U$2:U393),$U$2:$U$1001,0),1)&gt;=100000,INDEX($AB$1005:$AQ$1005,1,MATCH(COLUMNS($AB$1006:AE1006),$AB$1006:$AQ$1006,0))&gt;=100000), " ",IF(INDEX($AB$2:$AQ$1001,MATCH(ROWS($U$2:U393),$U$2:$U$1001,0),MATCH(COLUMNS($AB$1006:AE1006),$AB$1006:$AQ$1006,0)), HYPERLINK("#",""), HYPERLINK(CONCATENATE("#Metadata!", ADDRESS(INDEX($W$2:$W$1001,MATCH(ROWS($U$2:U393),$U$2:$U$1001,0),0), INDEX($AB$1004:$AQ$1004,1,MATCH(COLUMNS($AB$1006:AE1006),$AB$1006:$AQ$1006,0)))),"Fix")))</f>
        <v>0</v>
      </c>
      <c r="F393" s="5">
        <f>IF(OR(INDEX($V$2:$V$1001,MATCH(ROWS($U$2:U393),$U$2:$U$1001,0),1)&gt;=100000,INDEX($AB$1005:$AQ$1005,1,MATCH(COLUMNS($AB$1006:AF1006),$AB$1006:$AQ$1006,0))&gt;=100000), " ",IF(INDEX($AB$2:$AQ$1001,MATCH(ROWS($U$2:U393),$U$2:$U$1001,0),MATCH(COLUMNS($AB$1006:AF1006),$AB$1006:$AQ$1006,0)), HYPERLINK("#",""), HYPERLINK(CONCATENATE("#Metadata!", ADDRESS(INDEX($W$2:$W$1001,MATCH(ROWS($U$2:U393),$U$2:$U$1001,0),0), INDEX($AB$1004:$AQ$1004,1,MATCH(COLUMNS($AB$1006:AF1006),$AB$1006:$AQ$1006,0)))),"Fix")))</f>
        <v>0</v>
      </c>
      <c r="G393" s="5">
        <f>IF(OR(INDEX($V$2:$V$1001,MATCH(ROWS($U$2:U393),$U$2:$U$1001,0),1)&gt;=100000,INDEX($AB$1005:$AQ$1005,1,MATCH(COLUMNS($AB$1006:AG1006),$AB$1006:$AQ$1006,0))&gt;=100000), " ",IF(INDEX($AB$2:$AQ$1001,MATCH(ROWS($U$2:U393),$U$2:$U$1001,0),MATCH(COLUMNS($AB$1006:AG1006),$AB$1006:$AQ$1006,0)), HYPERLINK("#",""), HYPERLINK(CONCATENATE("#Metadata!", ADDRESS(INDEX($W$2:$W$1001,MATCH(ROWS($U$2:U393),$U$2:$U$1001,0),0), INDEX($AB$1004:$AQ$1004,1,MATCH(COLUMNS($AB$1006:AG1006),$AB$1006:$AQ$1006,0)))),"Fix")))</f>
        <v>0</v>
      </c>
      <c r="H393" s="5">
        <f>IF(OR(INDEX($V$2:$V$1001,MATCH(ROWS($U$2:U393),$U$2:$U$1001,0),1)&gt;=100000,INDEX($AB$1005:$AQ$1005,1,MATCH(COLUMNS($AB$1006:AH1006),$AB$1006:$AQ$1006,0))&gt;=100000), " ",IF(INDEX($AB$2:$AQ$1001,MATCH(ROWS($U$2:U393),$U$2:$U$1001,0),MATCH(COLUMNS($AB$1006:AH1006),$AB$1006:$AQ$1006,0)), HYPERLINK("#",""), HYPERLINK(CONCATENATE("#Metadata!", ADDRESS(INDEX($W$2:$W$1001,MATCH(ROWS($U$2:U393),$U$2:$U$1001,0),0), INDEX($AB$1004:$AQ$1004,1,MATCH(COLUMNS($AB$1006:AH1006),$AB$1006:$AQ$1006,0)))),"Fix")))</f>
        <v>0</v>
      </c>
      <c r="I393" s="5">
        <f>IF(OR(INDEX($V$2:$V$1001,MATCH(ROWS($U$2:U393),$U$2:$U$1001,0),1)&gt;=100000,INDEX($AB$1005:$AQ$1005,1,MATCH(COLUMNS($AB$1006:AI1006),$AB$1006:$AQ$1006,0))&gt;=100000), " ",IF(INDEX($AB$2:$AQ$1001,MATCH(ROWS($U$2:U393),$U$2:$U$1001,0),MATCH(COLUMNS($AB$1006:AI1006),$AB$1006:$AQ$1006,0)), HYPERLINK("#",""), HYPERLINK(CONCATENATE("#Metadata!", ADDRESS(INDEX($W$2:$W$1001,MATCH(ROWS($U$2:U393),$U$2:$U$1001,0),0), INDEX($AB$1004:$AQ$1004,1,MATCH(COLUMNS($AB$1006:AI1006),$AB$1006:$AQ$1006,0)))),"Fix")))</f>
        <v>0</v>
      </c>
      <c r="J393" s="5">
        <f>IF(OR(INDEX($V$2:$V$1001,MATCH(ROWS($U$2:U393),$U$2:$U$1001,0),1)&gt;=100000,INDEX($AB$1005:$AQ$1005,1,MATCH(COLUMNS($AB$1006:AJ1006),$AB$1006:$AQ$1006,0))&gt;=100000), " ",IF(INDEX($AB$2:$AQ$1001,MATCH(ROWS($U$2:U393),$U$2:$U$1001,0),MATCH(COLUMNS($AB$1006:AJ1006),$AB$1006:$AQ$1006,0)), HYPERLINK("#",""), HYPERLINK(CONCATENATE("#Metadata!", ADDRESS(INDEX($W$2:$W$1001,MATCH(ROWS($U$2:U393),$U$2:$U$1001,0),0), INDEX($AB$1004:$AQ$1004,1,MATCH(COLUMNS($AB$1006:AJ1006),$AB$1006:$AQ$1006,0)))),"Fix")))</f>
        <v>0</v>
      </c>
      <c r="K393" s="5">
        <f>IF(OR(INDEX($V$2:$V$1001,MATCH(ROWS($U$2:U393),$U$2:$U$1001,0),1)&gt;=100000,INDEX($AB$1005:$AQ$1005,1,MATCH(COLUMNS($AB$1006:AK1006),$AB$1006:$AQ$1006,0))&gt;=100000), " ",IF(INDEX($AB$2:$AQ$1001,MATCH(ROWS($U$2:U393),$U$2:$U$1001,0),MATCH(COLUMNS($AB$1006:AK1006),$AB$1006:$AQ$1006,0)), HYPERLINK("#",""), HYPERLINK(CONCATENATE("#Metadata!", ADDRESS(INDEX($W$2:$W$1001,MATCH(ROWS($U$2:U393),$U$2:$U$1001,0),0), INDEX($AB$1004:$AQ$1004,1,MATCH(COLUMNS($AB$1006:AK1006),$AB$1006:$AQ$1006,0)))),"Fix")))</f>
        <v>0</v>
      </c>
      <c r="L393" s="5">
        <f>IF(OR(INDEX($V$2:$V$1001,MATCH(ROWS($U$2:U393),$U$2:$U$1001,0),1)&gt;=100000,INDEX($AB$1005:$AQ$1005,1,MATCH(COLUMNS($AB$1006:AL1006),$AB$1006:$AQ$1006,0))&gt;=100000), " ",IF(INDEX($AB$2:$AQ$1001,MATCH(ROWS($U$2:U393),$U$2:$U$1001,0),MATCH(COLUMNS($AB$1006:AL1006),$AB$1006:$AQ$1006,0)), HYPERLINK("#",""), HYPERLINK(CONCATENATE("#Metadata!", ADDRESS(INDEX($W$2:$W$1001,MATCH(ROWS($U$2:U393),$U$2:$U$1001,0),0), INDEX($AB$1004:$AQ$1004,1,MATCH(COLUMNS($AB$1006:AL1006),$AB$1006:$AQ$1006,0)))),"Fix")))</f>
        <v>0</v>
      </c>
      <c r="M393" s="5">
        <f>IF(OR(INDEX($V$2:$V$1001,MATCH(ROWS($U$2:U393),$U$2:$U$1001,0),1)&gt;=100000,INDEX($AB$1005:$AQ$1005,1,MATCH(COLUMNS($AB$1006:AM1006),$AB$1006:$AQ$1006,0))&gt;=100000), " ",IF(INDEX($AB$2:$AQ$1001,MATCH(ROWS($U$2:U393),$U$2:$U$1001,0),MATCH(COLUMNS($AB$1006:AM1006),$AB$1006:$AQ$1006,0)), HYPERLINK("#",""), HYPERLINK(CONCATENATE("#Metadata!", ADDRESS(INDEX($W$2:$W$1001,MATCH(ROWS($U$2:U393),$U$2:$U$1001,0),0), INDEX($AB$1004:$AQ$1004,1,MATCH(COLUMNS($AB$1006:AM1006),$AB$1006:$AQ$1006,0)))),"Fix")))</f>
        <v>0</v>
      </c>
      <c r="N393" s="5">
        <f>IF(OR(INDEX($V$2:$V$1001,MATCH(ROWS($U$2:U393),$U$2:$U$1001,0),1)&gt;=100000,INDEX($AB$1005:$AQ$1005,1,MATCH(COLUMNS($AB$1006:AN1006),$AB$1006:$AQ$1006,0))&gt;=100000), " ",IF(INDEX($AB$2:$AQ$1001,MATCH(ROWS($U$2:U393),$U$2:$U$1001,0),MATCH(COLUMNS($AB$1006:AN1006),$AB$1006:$AQ$1006,0)), HYPERLINK("#",""), HYPERLINK(CONCATENATE("#Metadata!", ADDRESS(INDEX($W$2:$W$1001,MATCH(ROWS($U$2:U393),$U$2:$U$1001,0),0), INDEX($AB$1004:$AQ$1004,1,MATCH(COLUMNS($AB$1006:AN1006),$AB$1006:$AQ$1006,0)))),"Fix")))</f>
        <v>0</v>
      </c>
      <c r="O393" s="5">
        <f>IF(OR(INDEX($V$2:$V$1001,MATCH(ROWS($U$2:U393),$U$2:$U$1001,0),1)&gt;=100000,INDEX($AB$1005:$AQ$1005,1,MATCH(COLUMNS($AB$1006:AO1006),$AB$1006:$AQ$1006,0))&gt;=100000), " ",IF(INDEX($AB$2:$AQ$1001,MATCH(ROWS($U$2:U393),$U$2:$U$1001,0),MATCH(COLUMNS($AB$1006:AO1006),$AB$1006:$AQ$1006,0)), HYPERLINK("#",""), HYPERLINK(CONCATENATE("#Metadata!", ADDRESS(INDEX($W$2:$W$1001,MATCH(ROWS($U$2:U393),$U$2:$U$1001,0),0), INDEX($AB$1004:$AQ$1004,1,MATCH(COLUMNS($AB$1006:AO1006),$AB$1006:$AQ$1006,0)))),"Fix")))</f>
        <v>0</v>
      </c>
      <c r="P393" s="5">
        <f>IF(OR(INDEX($V$2:$V$1001,MATCH(ROWS($U$2:U393),$U$2:$U$1001,0),1)&gt;=100000,INDEX($AB$1005:$AQ$1005,1,MATCH(COLUMNS($AB$1006:AP1006),$AB$1006:$AQ$1006,0))&gt;=100000), " ",IF(INDEX($AB$2:$AQ$1001,MATCH(ROWS($U$2:U393),$U$2:$U$1001,0),MATCH(COLUMNS($AB$1006:AP1006),$AB$1006:$AQ$1006,0)), HYPERLINK("#",""), HYPERLINK(CONCATENATE("#Metadata!", ADDRESS(INDEX($W$2:$W$1001,MATCH(ROWS($U$2:U393),$U$2:$U$1001,0),0), INDEX($AB$1004:$AQ$1004,1,MATCH(COLUMNS($AB$1006:AP1006),$AB$1006:$AQ$1006,0)))),"Fix")))</f>
        <v>0</v>
      </c>
      <c r="Q393" s="5">
        <f>IF(OR(INDEX($V$2:$V$1001,MATCH(ROWS($U$2:U393),$U$2:$U$1001,0),1)&gt;=100000,INDEX($AB$1005:$AQ$1005,1,MATCH(COLUMNS($AB$1006:AQ1006),$AB$1006:$AQ$1006,0))&gt;=100000), " ",IF(INDEX($AB$2:$AQ$1001,MATCH(ROWS($U$2:U393),$U$2:$U$1001,0),MATCH(COLUMNS($AB$1006:AQ1006),$AB$1006:$AQ$1006,0)), HYPERLINK("#",""), HYPERLINK(CONCATENATE("#Metadata!", ADDRESS(INDEX($W$2:$W$1001,MATCH(ROWS($U$2:U393),$U$2:$U$1001,0),0), INDEX($AB$1004:$AQ$1004,1,MATCH(COLUMNS($AB$1006:AQ1006),$AB$1006:$AQ$1006,0)))),"Fix")))</f>
        <v>0</v>
      </c>
      <c r="U393">
        <v>0</v>
      </c>
      <c r="V393">
        <v>0</v>
      </c>
      <c r="W393">
        <v>0</v>
      </c>
      <c r="X393">
        <f>IF(Y393,TRUE,AND(AB393:AQ393))</f>
        <v>0</v>
      </c>
      <c r="Y393">
        <f>COUNTBLANK(Metadata!B393:Q393)=COLUMNS(Metadata!B393:Q393)</f>
        <v>0</v>
      </c>
      <c r="Z393">
        <v>0</v>
      </c>
      <c r="AB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AC393">
        <f>AND(IF(Metadata!C393="",FALSE,TRUE),exact(Metadata!C393,"urban biome"))</f>
        <v>0</v>
      </c>
      <c r="AD393">
        <f>AND(IF(Metadata!D393="",FALSE,TRUE),exact(Metadata!D393,"human-associated habitat"))</f>
        <v>0</v>
      </c>
      <c r="AE393">
        <f>AND(IF(Metadata!E393="",FALSE,TRUE),OR(exact(Metadata!E393,"human-associated"),exact(Metadata!E393,"human-skin"),exact(Metadata!E393,"human-oral"),exact(Metadata!E393,"human-gut"),exact(Metadata!E393,"human-vaginal")))</f>
        <v>0</v>
      </c>
      <c r="AF393">
        <f>AND(IF(Metadata!F393="",FALSE,ISNUMBER(VALUE(Metadata!F393))),Metadata!F393&gt;0)</f>
        <v>0</v>
      </c>
      <c r="AG393">
        <f>AND(IF(Metadata!G393="",FALSE,TRUE),exact(Metadata!G393,"years"))</f>
        <v>0</v>
      </c>
      <c r="AH393">
        <f>OR(AND(IF(Metadata!H393="",FALSE,TRUE),OR(exact(Metadata!H393,"not applicable"),exact(Metadata!H393,"not collected"),exact(Metadata!H393,"not provided"),exact(Metadata!H393,"restricted access"))),AND(IF(Metadata!H393="",FALSE,ISNUMBER(VALUE(Metadata!H393))),Metadata!H393&gt;0))</f>
        <v>0</v>
      </c>
      <c r="AI393">
        <f>AND(IF(Metadata!I393="",FALSE,TRUE),exact(Metadata!I393,"human"))</f>
        <v>0</v>
      </c>
      <c r="AJ393">
        <f>AND(IF(Metadata!J393="",FALSE,ISNUMBER(VALUE(Metadata!J393))),Metadata!J393&gt;0)</f>
        <v>0</v>
      </c>
      <c r="AK393">
        <f>AND(IF(Metadata!K393="",FALSE,TRUE),exact(Metadata!K393,"cm"))</f>
        <v>0</v>
      </c>
      <c r="AL393">
        <f>AND(IF(Metadata!L393="",FALSE,TRUE),exact(Metadata!L393,"Homo sapiens"))</f>
        <v>0</v>
      </c>
      <c r="AM393">
        <f>AND(IF(Metadata!M393="",FALSE,TRUE),exact(Metadata!M393,"9606"))</f>
        <v>0</v>
      </c>
      <c r="AN393">
        <f>AND(IF(Metadata!N393="",FALSE,ISNUMBER(VALUE(Metadata!N393))),Metadata!N393&gt;0)</f>
        <v>0</v>
      </c>
      <c r="AO393">
        <f>AND(IF(Metadata!O393="",FALSE,TRUE),exact(Metadata!O393,"kg"))</f>
        <v>0</v>
      </c>
      <c r="AP393">
        <f>OR(AND(IF(Metadata!P393="",FALSE,TRUE),exact(Metadata!P393,"not provided")),IF(Metadata!P393="",FALSE,TRUE))</f>
        <v>0</v>
      </c>
      <c r="AQ393">
        <f>OR(AND(IF(Metadata!Q393="",FALSE,TRUE),exact(Metadata!Q393,"not provided")),IF(Metadata!Q393="",FALSE,TRUE))</f>
        <v>0</v>
      </c>
    </row>
    <row r="394" spans="1:43">
      <c r="A394" s="4">
        <f>IF(B394=" "," ",HYPERLINK(CONCATENATE("#metadata!",ADDRESS(INDEX($W$2:$W$1001,MATCH(ROWS($U$2:U394),$U$2:$U$1001,0),0),2)),INDEX($Z$2:$Z$1001,MATCH(ROWS($U$2:U394),$U$2:$U$1001,0),0)))</f>
        <v>0</v>
      </c>
      <c r="B394" s="5">
        <f>IF(OR(INDEX($V$2:$V$1001,MATCH(ROWS($U$2:U394),$U$2:$U$1001,0),1)&gt;=100000,INDEX($AB$1005:$AQ$1005,1,MATCH(COLUMNS($AB$1006:AB1006),$AB$1006:$AQ$1006,0))&gt;=100000), " ",IF(INDEX($AB$2:$AQ$1001,MATCH(ROWS($U$2:U394),$U$2:$U$1001,0),MATCH(COLUMNS($AB$1006:AB1006),$AB$1006:$AQ$1006,0)), HYPERLINK("#",""), HYPERLINK(CONCATENATE("#Metadata!", ADDRESS(INDEX($W$2:$W$1001,MATCH(ROWS($U$2:U394),$U$2:$U$1001,0),0), INDEX($AB$1004:$AQ$1004,1,MATCH(COLUMNS($AB$1006:AB1006),$AB$1006:$AQ$1006,0)))),"Fix")))</f>
        <v>0</v>
      </c>
      <c r="C394" s="5">
        <f>IF(OR(INDEX($V$2:$V$1001,MATCH(ROWS($U$2:U394),$U$2:$U$1001,0),1)&gt;=100000,INDEX($AB$1005:$AQ$1005,1,MATCH(COLUMNS($AB$1006:AC1006),$AB$1006:$AQ$1006,0))&gt;=100000), " ",IF(INDEX($AB$2:$AQ$1001,MATCH(ROWS($U$2:U394),$U$2:$U$1001,0),MATCH(COLUMNS($AB$1006:AC1006),$AB$1006:$AQ$1006,0)), HYPERLINK("#",""), HYPERLINK(CONCATENATE("#Metadata!", ADDRESS(INDEX($W$2:$W$1001,MATCH(ROWS($U$2:U394),$U$2:$U$1001,0),0), INDEX($AB$1004:$AQ$1004,1,MATCH(COLUMNS($AB$1006:AC1006),$AB$1006:$AQ$1006,0)))),"Fix")))</f>
        <v>0</v>
      </c>
      <c r="D394" s="5">
        <f>IF(OR(INDEX($V$2:$V$1001,MATCH(ROWS($U$2:U394),$U$2:$U$1001,0),1)&gt;=100000,INDEX($AB$1005:$AQ$1005,1,MATCH(COLUMNS($AB$1006:AD1006),$AB$1006:$AQ$1006,0))&gt;=100000), " ",IF(INDEX($AB$2:$AQ$1001,MATCH(ROWS($U$2:U394),$U$2:$U$1001,0),MATCH(COLUMNS($AB$1006:AD1006),$AB$1006:$AQ$1006,0)), HYPERLINK("#",""), HYPERLINK(CONCATENATE("#Metadata!", ADDRESS(INDEX($W$2:$W$1001,MATCH(ROWS($U$2:U394),$U$2:$U$1001,0),0), INDEX($AB$1004:$AQ$1004,1,MATCH(COLUMNS($AB$1006:AD1006),$AB$1006:$AQ$1006,0)))),"Fix")))</f>
        <v>0</v>
      </c>
      <c r="E394" s="5">
        <f>IF(OR(INDEX($V$2:$V$1001,MATCH(ROWS($U$2:U394),$U$2:$U$1001,0),1)&gt;=100000,INDEX($AB$1005:$AQ$1005,1,MATCH(COLUMNS($AB$1006:AE1006),$AB$1006:$AQ$1006,0))&gt;=100000), " ",IF(INDEX($AB$2:$AQ$1001,MATCH(ROWS($U$2:U394),$U$2:$U$1001,0),MATCH(COLUMNS($AB$1006:AE1006),$AB$1006:$AQ$1006,0)), HYPERLINK("#",""), HYPERLINK(CONCATENATE("#Metadata!", ADDRESS(INDEX($W$2:$W$1001,MATCH(ROWS($U$2:U394),$U$2:$U$1001,0),0), INDEX($AB$1004:$AQ$1004,1,MATCH(COLUMNS($AB$1006:AE1006),$AB$1006:$AQ$1006,0)))),"Fix")))</f>
        <v>0</v>
      </c>
      <c r="F394" s="5">
        <f>IF(OR(INDEX($V$2:$V$1001,MATCH(ROWS($U$2:U394),$U$2:$U$1001,0),1)&gt;=100000,INDEX($AB$1005:$AQ$1005,1,MATCH(COLUMNS($AB$1006:AF1006),$AB$1006:$AQ$1006,0))&gt;=100000), " ",IF(INDEX($AB$2:$AQ$1001,MATCH(ROWS($U$2:U394),$U$2:$U$1001,0),MATCH(COLUMNS($AB$1006:AF1006),$AB$1006:$AQ$1006,0)), HYPERLINK("#",""), HYPERLINK(CONCATENATE("#Metadata!", ADDRESS(INDEX($W$2:$W$1001,MATCH(ROWS($U$2:U394),$U$2:$U$1001,0),0), INDEX($AB$1004:$AQ$1004,1,MATCH(COLUMNS($AB$1006:AF1006),$AB$1006:$AQ$1006,0)))),"Fix")))</f>
        <v>0</v>
      </c>
      <c r="G394" s="5">
        <f>IF(OR(INDEX($V$2:$V$1001,MATCH(ROWS($U$2:U394),$U$2:$U$1001,0),1)&gt;=100000,INDEX($AB$1005:$AQ$1005,1,MATCH(COLUMNS($AB$1006:AG1006),$AB$1006:$AQ$1006,0))&gt;=100000), " ",IF(INDEX($AB$2:$AQ$1001,MATCH(ROWS($U$2:U394),$U$2:$U$1001,0),MATCH(COLUMNS($AB$1006:AG1006),$AB$1006:$AQ$1006,0)), HYPERLINK("#",""), HYPERLINK(CONCATENATE("#Metadata!", ADDRESS(INDEX($W$2:$W$1001,MATCH(ROWS($U$2:U394),$U$2:$U$1001,0),0), INDEX($AB$1004:$AQ$1004,1,MATCH(COLUMNS($AB$1006:AG1006),$AB$1006:$AQ$1006,0)))),"Fix")))</f>
        <v>0</v>
      </c>
      <c r="H394" s="5">
        <f>IF(OR(INDEX($V$2:$V$1001,MATCH(ROWS($U$2:U394),$U$2:$U$1001,0),1)&gt;=100000,INDEX($AB$1005:$AQ$1005,1,MATCH(COLUMNS($AB$1006:AH1006),$AB$1006:$AQ$1006,0))&gt;=100000), " ",IF(INDEX($AB$2:$AQ$1001,MATCH(ROWS($U$2:U394),$U$2:$U$1001,0),MATCH(COLUMNS($AB$1006:AH1006),$AB$1006:$AQ$1006,0)), HYPERLINK("#",""), HYPERLINK(CONCATENATE("#Metadata!", ADDRESS(INDEX($W$2:$W$1001,MATCH(ROWS($U$2:U394),$U$2:$U$1001,0),0), INDEX($AB$1004:$AQ$1004,1,MATCH(COLUMNS($AB$1006:AH1006),$AB$1006:$AQ$1006,0)))),"Fix")))</f>
        <v>0</v>
      </c>
      <c r="I394" s="5">
        <f>IF(OR(INDEX($V$2:$V$1001,MATCH(ROWS($U$2:U394),$U$2:$U$1001,0),1)&gt;=100000,INDEX($AB$1005:$AQ$1005,1,MATCH(COLUMNS($AB$1006:AI1006),$AB$1006:$AQ$1006,0))&gt;=100000), " ",IF(INDEX($AB$2:$AQ$1001,MATCH(ROWS($U$2:U394),$U$2:$U$1001,0),MATCH(COLUMNS($AB$1006:AI1006),$AB$1006:$AQ$1006,0)), HYPERLINK("#",""), HYPERLINK(CONCATENATE("#Metadata!", ADDRESS(INDEX($W$2:$W$1001,MATCH(ROWS($U$2:U394),$U$2:$U$1001,0),0), INDEX($AB$1004:$AQ$1004,1,MATCH(COLUMNS($AB$1006:AI1006),$AB$1006:$AQ$1006,0)))),"Fix")))</f>
        <v>0</v>
      </c>
      <c r="J394" s="5">
        <f>IF(OR(INDEX($V$2:$V$1001,MATCH(ROWS($U$2:U394),$U$2:$U$1001,0),1)&gt;=100000,INDEX($AB$1005:$AQ$1005,1,MATCH(COLUMNS($AB$1006:AJ1006),$AB$1006:$AQ$1006,0))&gt;=100000), " ",IF(INDEX($AB$2:$AQ$1001,MATCH(ROWS($U$2:U394),$U$2:$U$1001,0),MATCH(COLUMNS($AB$1006:AJ1006),$AB$1006:$AQ$1006,0)), HYPERLINK("#",""), HYPERLINK(CONCATENATE("#Metadata!", ADDRESS(INDEX($W$2:$W$1001,MATCH(ROWS($U$2:U394),$U$2:$U$1001,0),0), INDEX($AB$1004:$AQ$1004,1,MATCH(COLUMNS($AB$1006:AJ1006),$AB$1006:$AQ$1006,0)))),"Fix")))</f>
        <v>0</v>
      </c>
      <c r="K394" s="5">
        <f>IF(OR(INDEX($V$2:$V$1001,MATCH(ROWS($U$2:U394),$U$2:$U$1001,0),1)&gt;=100000,INDEX($AB$1005:$AQ$1005,1,MATCH(COLUMNS($AB$1006:AK1006),$AB$1006:$AQ$1006,0))&gt;=100000), " ",IF(INDEX($AB$2:$AQ$1001,MATCH(ROWS($U$2:U394),$U$2:$U$1001,0),MATCH(COLUMNS($AB$1006:AK1006),$AB$1006:$AQ$1006,0)), HYPERLINK("#",""), HYPERLINK(CONCATENATE("#Metadata!", ADDRESS(INDEX($W$2:$W$1001,MATCH(ROWS($U$2:U394),$U$2:$U$1001,0),0), INDEX($AB$1004:$AQ$1004,1,MATCH(COLUMNS($AB$1006:AK1006),$AB$1006:$AQ$1006,0)))),"Fix")))</f>
        <v>0</v>
      </c>
      <c r="L394" s="5">
        <f>IF(OR(INDEX($V$2:$V$1001,MATCH(ROWS($U$2:U394),$U$2:$U$1001,0),1)&gt;=100000,INDEX($AB$1005:$AQ$1005,1,MATCH(COLUMNS($AB$1006:AL1006),$AB$1006:$AQ$1006,0))&gt;=100000), " ",IF(INDEX($AB$2:$AQ$1001,MATCH(ROWS($U$2:U394),$U$2:$U$1001,0),MATCH(COLUMNS($AB$1006:AL1006),$AB$1006:$AQ$1006,0)), HYPERLINK("#",""), HYPERLINK(CONCATENATE("#Metadata!", ADDRESS(INDEX($W$2:$W$1001,MATCH(ROWS($U$2:U394),$U$2:$U$1001,0),0), INDEX($AB$1004:$AQ$1004,1,MATCH(COLUMNS($AB$1006:AL1006),$AB$1006:$AQ$1006,0)))),"Fix")))</f>
        <v>0</v>
      </c>
      <c r="M394" s="5">
        <f>IF(OR(INDEX($V$2:$V$1001,MATCH(ROWS($U$2:U394),$U$2:$U$1001,0),1)&gt;=100000,INDEX($AB$1005:$AQ$1005,1,MATCH(COLUMNS($AB$1006:AM1006),$AB$1006:$AQ$1006,0))&gt;=100000), " ",IF(INDEX($AB$2:$AQ$1001,MATCH(ROWS($U$2:U394),$U$2:$U$1001,0),MATCH(COLUMNS($AB$1006:AM1006),$AB$1006:$AQ$1006,0)), HYPERLINK("#",""), HYPERLINK(CONCATENATE("#Metadata!", ADDRESS(INDEX($W$2:$W$1001,MATCH(ROWS($U$2:U394),$U$2:$U$1001,0),0), INDEX($AB$1004:$AQ$1004,1,MATCH(COLUMNS($AB$1006:AM1006),$AB$1006:$AQ$1006,0)))),"Fix")))</f>
        <v>0</v>
      </c>
      <c r="N394" s="5">
        <f>IF(OR(INDEX($V$2:$V$1001,MATCH(ROWS($U$2:U394),$U$2:$U$1001,0),1)&gt;=100000,INDEX($AB$1005:$AQ$1005,1,MATCH(COLUMNS($AB$1006:AN1006),$AB$1006:$AQ$1006,0))&gt;=100000), " ",IF(INDEX($AB$2:$AQ$1001,MATCH(ROWS($U$2:U394),$U$2:$U$1001,0),MATCH(COLUMNS($AB$1006:AN1006),$AB$1006:$AQ$1006,0)), HYPERLINK("#",""), HYPERLINK(CONCATENATE("#Metadata!", ADDRESS(INDEX($W$2:$W$1001,MATCH(ROWS($U$2:U394),$U$2:$U$1001,0),0), INDEX($AB$1004:$AQ$1004,1,MATCH(COLUMNS($AB$1006:AN1006),$AB$1006:$AQ$1006,0)))),"Fix")))</f>
        <v>0</v>
      </c>
      <c r="O394" s="5">
        <f>IF(OR(INDEX($V$2:$V$1001,MATCH(ROWS($U$2:U394),$U$2:$U$1001,0),1)&gt;=100000,INDEX($AB$1005:$AQ$1005,1,MATCH(COLUMNS($AB$1006:AO1006),$AB$1006:$AQ$1006,0))&gt;=100000), " ",IF(INDEX($AB$2:$AQ$1001,MATCH(ROWS($U$2:U394),$U$2:$U$1001,0),MATCH(COLUMNS($AB$1006:AO1006),$AB$1006:$AQ$1006,0)), HYPERLINK("#",""), HYPERLINK(CONCATENATE("#Metadata!", ADDRESS(INDEX($W$2:$W$1001,MATCH(ROWS($U$2:U394),$U$2:$U$1001,0),0), INDEX($AB$1004:$AQ$1004,1,MATCH(COLUMNS($AB$1006:AO1006),$AB$1006:$AQ$1006,0)))),"Fix")))</f>
        <v>0</v>
      </c>
      <c r="P394" s="5">
        <f>IF(OR(INDEX($V$2:$V$1001,MATCH(ROWS($U$2:U394),$U$2:$U$1001,0),1)&gt;=100000,INDEX($AB$1005:$AQ$1005,1,MATCH(COLUMNS($AB$1006:AP1006),$AB$1006:$AQ$1006,0))&gt;=100000), " ",IF(INDEX($AB$2:$AQ$1001,MATCH(ROWS($U$2:U394),$U$2:$U$1001,0),MATCH(COLUMNS($AB$1006:AP1006),$AB$1006:$AQ$1006,0)), HYPERLINK("#",""), HYPERLINK(CONCATENATE("#Metadata!", ADDRESS(INDEX($W$2:$W$1001,MATCH(ROWS($U$2:U394),$U$2:$U$1001,0),0), INDEX($AB$1004:$AQ$1004,1,MATCH(COLUMNS($AB$1006:AP1006),$AB$1006:$AQ$1006,0)))),"Fix")))</f>
        <v>0</v>
      </c>
      <c r="Q394" s="5">
        <f>IF(OR(INDEX($V$2:$V$1001,MATCH(ROWS($U$2:U394),$U$2:$U$1001,0),1)&gt;=100000,INDEX($AB$1005:$AQ$1005,1,MATCH(COLUMNS($AB$1006:AQ1006),$AB$1006:$AQ$1006,0))&gt;=100000), " ",IF(INDEX($AB$2:$AQ$1001,MATCH(ROWS($U$2:U394),$U$2:$U$1001,0),MATCH(COLUMNS($AB$1006:AQ1006),$AB$1006:$AQ$1006,0)), HYPERLINK("#",""), HYPERLINK(CONCATENATE("#Metadata!", ADDRESS(INDEX($W$2:$W$1001,MATCH(ROWS($U$2:U394),$U$2:$U$1001,0),0), INDEX($AB$1004:$AQ$1004,1,MATCH(COLUMNS($AB$1006:AQ1006),$AB$1006:$AQ$1006,0)))),"Fix")))</f>
        <v>0</v>
      </c>
      <c r="U394">
        <v>0</v>
      </c>
      <c r="V394">
        <v>0</v>
      </c>
      <c r="W394">
        <v>0</v>
      </c>
      <c r="X394">
        <f>IF(Y394,TRUE,AND(AB394:AQ394))</f>
        <v>0</v>
      </c>
      <c r="Y394">
        <f>COUNTBLANK(Metadata!B394:Q394)=COLUMNS(Metadata!B394:Q394)</f>
        <v>0</v>
      </c>
      <c r="Z394">
        <v>0</v>
      </c>
      <c r="AB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AC394">
        <f>AND(IF(Metadata!C394="",FALSE,TRUE),exact(Metadata!C394,"urban biome"))</f>
        <v>0</v>
      </c>
      <c r="AD394">
        <f>AND(IF(Metadata!D394="",FALSE,TRUE),exact(Metadata!D394,"human-associated habitat"))</f>
        <v>0</v>
      </c>
      <c r="AE394">
        <f>AND(IF(Metadata!E394="",FALSE,TRUE),OR(exact(Metadata!E394,"human-associated"),exact(Metadata!E394,"human-skin"),exact(Metadata!E394,"human-oral"),exact(Metadata!E394,"human-gut"),exact(Metadata!E394,"human-vaginal")))</f>
        <v>0</v>
      </c>
      <c r="AF394">
        <f>AND(IF(Metadata!F394="",FALSE,ISNUMBER(VALUE(Metadata!F394))),Metadata!F394&gt;0)</f>
        <v>0</v>
      </c>
      <c r="AG394">
        <f>AND(IF(Metadata!G394="",FALSE,TRUE),exact(Metadata!G394,"years"))</f>
        <v>0</v>
      </c>
      <c r="AH394">
        <f>OR(AND(IF(Metadata!H394="",FALSE,TRUE),OR(exact(Metadata!H394,"not applicable"),exact(Metadata!H394,"not collected"),exact(Metadata!H394,"not provided"),exact(Metadata!H394,"restricted access"))),AND(IF(Metadata!H394="",FALSE,ISNUMBER(VALUE(Metadata!H394))),Metadata!H394&gt;0))</f>
        <v>0</v>
      </c>
      <c r="AI394">
        <f>AND(IF(Metadata!I394="",FALSE,TRUE),exact(Metadata!I394,"human"))</f>
        <v>0</v>
      </c>
      <c r="AJ394">
        <f>AND(IF(Metadata!J394="",FALSE,ISNUMBER(VALUE(Metadata!J394))),Metadata!J394&gt;0)</f>
        <v>0</v>
      </c>
      <c r="AK394">
        <f>AND(IF(Metadata!K394="",FALSE,TRUE),exact(Metadata!K394,"cm"))</f>
        <v>0</v>
      </c>
      <c r="AL394">
        <f>AND(IF(Metadata!L394="",FALSE,TRUE),exact(Metadata!L394,"Homo sapiens"))</f>
        <v>0</v>
      </c>
      <c r="AM394">
        <f>AND(IF(Metadata!M394="",FALSE,TRUE),exact(Metadata!M394,"9606"))</f>
        <v>0</v>
      </c>
      <c r="AN394">
        <f>AND(IF(Metadata!N394="",FALSE,ISNUMBER(VALUE(Metadata!N394))),Metadata!N394&gt;0)</f>
        <v>0</v>
      </c>
      <c r="AO394">
        <f>AND(IF(Metadata!O394="",FALSE,TRUE),exact(Metadata!O394,"kg"))</f>
        <v>0</v>
      </c>
      <c r="AP394">
        <f>OR(AND(IF(Metadata!P394="",FALSE,TRUE),exact(Metadata!P394,"not provided")),IF(Metadata!P394="",FALSE,TRUE))</f>
        <v>0</v>
      </c>
      <c r="AQ394">
        <f>OR(AND(IF(Metadata!Q394="",FALSE,TRUE),exact(Metadata!Q394,"not provided")),IF(Metadata!Q394="",FALSE,TRUE))</f>
        <v>0</v>
      </c>
    </row>
    <row r="395" spans="1:43">
      <c r="A395" s="4">
        <f>IF(B395=" "," ",HYPERLINK(CONCATENATE("#metadata!",ADDRESS(INDEX($W$2:$W$1001,MATCH(ROWS($U$2:U395),$U$2:$U$1001,0),0),2)),INDEX($Z$2:$Z$1001,MATCH(ROWS($U$2:U395),$U$2:$U$1001,0),0)))</f>
        <v>0</v>
      </c>
      <c r="B395" s="5">
        <f>IF(OR(INDEX($V$2:$V$1001,MATCH(ROWS($U$2:U395),$U$2:$U$1001,0),1)&gt;=100000,INDEX($AB$1005:$AQ$1005,1,MATCH(COLUMNS($AB$1006:AB1006),$AB$1006:$AQ$1006,0))&gt;=100000), " ",IF(INDEX($AB$2:$AQ$1001,MATCH(ROWS($U$2:U395),$U$2:$U$1001,0),MATCH(COLUMNS($AB$1006:AB1006),$AB$1006:$AQ$1006,0)), HYPERLINK("#",""), HYPERLINK(CONCATENATE("#Metadata!", ADDRESS(INDEX($W$2:$W$1001,MATCH(ROWS($U$2:U395),$U$2:$U$1001,0),0), INDEX($AB$1004:$AQ$1004,1,MATCH(COLUMNS($AB$1006:AB1006),$AB$1006:$AQ$1006,0)))),"Fix")))</f>
        <v>0</v>
      </c>
      <c r="C395" s="5">
        <f>IF(OR(INDEX($V$2:$V$1001,MATCH(ROWS($U$2:U395),$U$2:$U$1001,0),1)&gt;=100000,INDEX($AB$1005:$AQ$1005,1,MATCH(COLUMNS($AB$1006:AC1006),$AB$1006:$AQ$1006,0))&gt;=100000), " ",IF(INDEX($AB$2:$AQ$1001,MATCH(ROWS($U$2:U395),$U$2:$U$1001,0),MATCH(COLUMNS($AB$1006:AC1006),$AB$1006:$AQ$1006,0)), HYPERLINK("#",""), HYPERLINK(CONCATENATE("#Metadata!", ADDRESS(INDEX($W$2:$W$1001,MATCH(ROWS($U$2:U395),$U$2:$U$1001,0),0), INDEX($AB$1004:$AQ$1004,1,MATCH(COLUMNS($AB$1006:AC1006),$AB$1006:$AQ$1006,0)))),"Fix")))</f>
        <v>0</v>
      </c>
      <c r="D395" s="5">
        <f>IF(OR(INDEX($V$2:$V$1001,MATCH(ROWS($U$2:U395),$U$2:$U$1001,0),1)&gt;=100000,INDEX($AB$1005:$AQ$1005,1,MATCH(COLUMNS($AB$1006:AD1006),$AB$1006:$AQ$1006,0))&gt;=100000), " ",IF(INDEX($AB$2:$AQ$1001,MATCH(ROWS($U$2:U395),$U$2:$U$1001,0),MATCH(COLUMNS($AB$1006:AD1006),$AB$1006:$AQ$1006,0)), HYPERLINK("#",""), HYPERLINK(CONCATENATE("#Metadata!", ADDRESS(INDEX($W$2:$W$1001,MATCH(ROWS($U$2:U395),$U$2:$U$1001,0),0), INDEX($AB$1004:$AQ$1004,1,MATCH(COLUMNS($AB$1006:AD1006),$AB$1006:$AQ$1006,0)))),"Fix")))</f>
        <v>0</v>
      </c>
      <c r="E395" s="5">
        <f>IF(OR(INDEX($V$2:$V$1001,MATCH(ROWS($U$2:U395),$U$2:$U$1001,0),1)&gt;=100000,INDEX($AB$1005:$AQ$1005,1,MATCH(COLUMNS($AB$1006:AE1006),$AB$1006:$AQ$1006,0))&gt;=100000), " ",IF(INDEX($AB$2:$AQ$1001,MATCH(ROWS($U$2:U395),$U$2:$U$1001,0),MATCH(COLUMNS($AB$1006:AE1006),$AB$1006:$AQ$1006,0)), HYPERLINK("#",""), HYPERLINK(CONCATENATE("#Metadata!", ADDRESS(INDEX($W$2:$W$1001,MATCH(ROWS($U$2:U395),$U$2:$U$1001,0),0), INDEX($AB$1004:$AQ$1004,1,MATCH(COLUMNS($AB$1006:AE1006),$AB$1006:$AQ$1006,0)))),"Fix")))</f>
        <v>0</v>
      </c>
      <c r="F395" s="5">
        <f>IF(OR(INDEX($V$2:$V$1001,MATCH(ROWS($U$2:U395),$U$2:$U$1001,0),1)&gt;=100000,INDEX($AB$1005:$AQ$1005,1,MATCH(COLUMNS($AB$1006:AF1006),$AB$1006:$AQ$1006,0))&gt;=100000), " ",IF(INDEX($AB$2:$AQ$1001,MATCH(ROWS($U$2:U395),$U$2:$U$1001,0),MATCH(COLUMNS($AB$1006:AF1006),$AB$1006:$AQ$1006,0)), HYPERLINK("#",""), HYPERLINK(CONCATENATE("#Metadata!", ADDRESS(INDEX($W$2:$W$1001,MATCH(ROWS($U$2:U395),$U$2:$U$1001,0),0), INDEX($AB$1004:$AQ$1004,1,MATCH(COLUMNS($AB$1006:AF1006),$AB$1006:$AQ$1006,0)))),"Fix")))</f>
        <v>0</v>
      </c>
      <c r="G395" s="5">
        <f>IF(OR(INDEX($V$2:$V$1001,MATCH(ROWS($U$2:U395),$U$2:$U$1001,0),1)&gt;=100000,INDEX($AB$1005:$AQ$1005,1,MATCH(COLUMNS($AB$1006:AG1006),$AB$1006:$AQ$1006,0))&gt;=100000), " ",IF(INDEX($AB$2:$AQ$1001,MATCH(ROWS($U$2:U395),$U$2:$U$1001,0),MATCH(COLUMNS($AB$1006:AG1006),$AB$1006:$AQ$1006,0)), HYPERLINK("#",""), HYPERLINK(CONCATENATE("#Metadata!", ADDRESS(INDEX($W$2:$W$1001,MATCH(ROWS($U$2:U395),$U$2:$U$1001,0),0), INDEX($AB$1004:$AQ$1004,1,MATCH(COLUMNS($AB$1006:AG1006),$AB$1006:$AQ$1006,0)))),"Fix")))</f>
        <v>0</v>
      </c>
      <c r="H395" s="5">
        <f>IF(OR(INDEX($V$2:$V$1001,MATCH(ROWS($U$2:U395),$U$2:$U$1001,0),1)&gt;=100000,INDEX($AB$1005:$AQ$1005,1,MATCH(COLUMNS($AB$1006:AH1006),$AB$1006:$AQ$1006,0))&gt;=100000), " ",IF(INDEX($AB$2:$AQ$1001,MATCH(ROWS($U$2:U395),$U$2:$U$1001,0),MATCH(COLUMNS($AB$1006:AH1006),$AB$1006:$AQ$1006,0)), HYPERLINK("#",""), HYPERLINK(CONCATENATE("#Metadata!", ADDRESS(INDEX($W$2:$W$1001,MATCH(ROWS($U$2:U395),$U$2:$U$1001,0),0), INDEX($AB$1004:$AQ$1004,1,MATCH(COLUMNS($AB$1006:AH1006),$AB$1006:$AQ$1006,0)))),"Fix")))</f>
        <v>0</v>
      </c>
      <c r="I395" s="5">
        <f>IF(OR(INDEX($V$2:$V$1001,MATCH(ROWS($U$2:U395),$U$2:$U$1001,0),1)&gt;=100000,INDEX($AB$1005:$AQ$1005,1,MATCH(COLUMNS($AB$1006:AI1006),$AB$1006:$AQ$1006,0))&gt;=100000), " ",IF(INDEX($AB$2:$AQ$1001,MATCH(ROWS($U$2:U395),$U$2:$U$1001,0),MATCH(COLUMNS($AB$1006:AI1006),$AB$1006:$AQ$1006,0)), HYPERLINK("#",""), HYPERLINK(CONCATENATE("#Metadata!", ADDRESS(INDEX($W$2:$W$1001,MATCH(ROWS($U$2:U395),$U$2:$U$1001,0),0), INDEX($AB$1004:$AQ$1004,1,MATCH(COLUMNS($AB$1006:AI1006),$AB$1006:$AQ$1006,0)))),"Fix")))</f>
        <v>0</v>
      </c>
      <c r="J395" s="5">
        <f>IF(OR(INDEX($V$2:$V$1001,MATCH(ROWS($U$2:U395),$U$2:$U$1001,0),1)&gt;=100000,INDEX($AB$1005:$AQ$1005,1,MATCH(COLUMNS($AB$1006:AJ1006),$AB$1006:$AQ$1006,0))&gt;=100000), " ",IF(INDEX($AB$2:$AQ$1001,MATCH(ROWS($U$2:U395),$U$2:$U$1001,0),MATCH(COLUMNS($AB$1006:AJ1006),$AB$1006:$AQ$1006,0)), HYPERLINK("#",""), HYPERLINK(CONCATENATE("#Metadata!", ADDRESS(INDEX($W$2:$W$1001,MATCH(ROWS($U$2:U395),$U$2:$U$1001,0),0), INDEX($AB$1004:$AQ$1004,1,MATCH(COLUMNS($AB$1006:AJ1006),$AB$1006:$AQ$1006,0)))),"Fix")))</f>
        <v>0</v>
      </c>
      <c r="K395" s="5">
        <f>IF(OR(INDEX($V$2:$V$1001,MATCH(ROWS($U$2:U395),$U$2:$U$1001,0),1)&gt;=100000,INDEX($AB$1005:$AQ$1005,1,MATCH(COLUMNS($AB$1006:AK1006),$AB$1006:$AQ$1006,0))&gt;=100000), " ",IF(INDEX($AB$2:$AQ$1001,MATCH(ROWS($U$2:U395),$U$2:$U$1001,0),MATCH(COLUMNS($AB$1006:AK1006),$AB$1006:$AQ$1006,0)), HYPERLINK("#",""), HYPERLINK(CONCATENATE("#Metadata!", ADDRESS(INDEX($W$2:$W$1001,MATCH(ROWS($U$2:U395),$U$2:$U$1001,0),0), INDEX($AB$1004:$AQ$1004,1,MATCH(COLUMNS($AB$1006:AK1006),$AB$1006:$AQ$1006,0)))),"Fix")))</f>
        <v>0</v>
      </c>
      <c r="L395" s="5">
        <f>IF(OR(INDEX($V$2:$V$1001,MATCH(ROWS($U$2:U395),$U$2:$U$1001,0),1)&gt;=100000,INDEX($AB$1005:$AQ$1005,1,MATCH(COLUMNS($AB$1006:AL1006),$AB$1006:$AQ$1006,0))&gt;=100000), " ",IF(INDEX($AB$2:$AQ$1001,MATCH(ROWS($U$2:U395),$U$2:$U$1001,0),MATCH(COLUMNS($AB$1006:AL1006),$AB$1006:$AQ$1006,0)), HYPERLINK("#",""), HYPERLINK(CONCATENATE("#Metadata!", ADDRESS(INDEX($W$2:$W$1001,MATCH(ROWS($U$2:U395),$U$2:$U$1001,0),0), INDEX($AB$1004:$AQ$1004,1,MATCH(COLUMNS($AB$1006:AL1006),$AB$1006:$AQ$1006,0)))),"Fix")))</f>
        <v>0</v>
      </c>
      <c r="M395" s="5">
        <f>IF(OR(INDEX($V$2:$V$1001,MATCH(ROWS($U$2:U395),$U$2:$U$1001,0),1)&gt;=100000,INDEX($AB$1005:$AQ$1005,1,MATCH(COLUMNS($AB$1006:AM1006),$AB$1006:$AQ$1006,0))&gt;=100000), " ",IF(INDEX($AB$2:$AQ$1001,MATCH(ROWS($U$2:U395),$U$2:$U$1001,0),MATCH(COLUMNS($AB$1006:AM1006),$AB$1006:$AQ$1006,0)), HYPERLINK("#",""), HYPERLINK(CONCATENATE("#Metadata!", ADDRESS(INDEX($W$2:$W$1001,MATCH(ROWS($U$2:U395),$U$2:$U$1001,0),0), INDEX($AB$1004:$AQ$1004,1,MATCH(COLUMNS($AB$1006:AM1006),$AB$1006:$AQ$1006,0)))),"Fix")))</f>
        <v>0</v>
      </c>
      <c r="N395" s="5">
        <f>IF(OR(INDEX($V$2:$V$1001,MATCH(ROWS($U$2:U395),$U$2:$U$1001,0),1)&gt;=100000,INDEX($AB$1005:$AQ$1005,1,MATCH(COLUMNS($AB$1006:AN1006),$AB$1006:$AQ$1006,0))&gt;=100000), " ",IF(INDEX($AB$2:$AQ$1001,MATCH(ROWS($U$2:U395),$U$2:$U$1001,0),MATCH(COLUMNS($AB$1006:AN1006),$AB$1006:$AQ$1006,0)), HYPERLINK("#",""), HYPERLINK(CONCATENATE("#Metadata!", ADDRESS(INDEX($W$2:$W$1001,MATCH(ROWS($U$2:U395),$U$2:$U$1001,0),0), INDEX($AB$1004:$AQ$1004,1,MATCH(COLUMNS($AB$1006:AN1006),$AB$1006:$AQ$1006,0)))),"Fix")))</f>
        <v>0</v>
      </c>
      <c r="O395" s="5">
        <f>IF(OR(INDEX($V$2:$V$1001,MATCH(ROWS($U$2:U395),$U$2:$U$1001,0),1)&gt;=100000,INDEX($AB$1005:$AQ$1005,1,MATCH(COLUMNS($AB$1006:AO1006),$AB$1006:$AQ$1006,0))&gt;=100000), " ",IF(INDEX($AB$2:$AQ$1001,MATCH(ROWS($U$2:U395),$U$2:$U$1001,0),MATCH(COLUMNS($AB$1006:AO1006),$AB$1006:$AQ$1006,0)), HYPERLINK("#",""), HYPERLINK(CONCATENATE("#Metadata!", ADDRESS(INDEX($W$2:$W$1001,MATCH(ROWS($U$2:U395),$U$2:$U$1001,0),0), INDEX($AB$1004:$AQ$1004,1,MATCH(COLUMNS($AB$1006:AO1006),$AB$1006:$AQ$1006,0)))),"Fix")))</f>
        <v>0</v>
      </c>
      <c r="P395" s="5">
        <f>IF(OR(INDEX($V$2:$V$1001,MATCH(ROWS($U$2:U395),$U$2:$U$1001,0),1)&gt;=100000,INDEX($AB$1005:$AQ$1005,1,MATCH(COLUMNS($AB$1006:AP1006),$AB$1006:$AQ$1006,0))&gt;=100000), " ",IF(INDEX($AB$2:$AQ$1001,MATCH(ROWS($U$2:U395),$U$2:$U$1001,0),MATCH(COLUMNS($AB$1006:AP1006),$AB$1006:$AQ$1006,0)), HYPERLINK("#",""), HYPERLINK(CONCATENATE("#Metadata!", ADDRESS(INDEX($W$2:$W$1001,MATCH(ROWS($U$2:U395),$U$2:$U$1001,0),0), INDEX($AB$1004:$AQ$1004,1,MATCH(COLUMNS($AB$1006:AP1006),$AB$1006:$AQ$1006,0)))),"Fix")))</f>
        <v>0</v>
      </c>
      <c r="Q395" s="5">
        <f>IF(OR(INDEX($V$2:$V$1001,MATCH(ROWS($U$2:U395),$U$2:$U$1001,0),1)&gt;=100000,INDEX($AB$1005:$AQ$1005,1,MATCH(COLUMNS($AB$1006:AQ1006),$AB$1006:$AQ$1006,0))&gt;=100000), " ",IF(INDEX($AB$2:$AQ$1001,MATCH(ROWS($U$2:U395),$U$2:$U$1001,0),MATCH(COLUMNS($AB$1006:AQ1006),$AB$1006:$AQ$1006,0)), HYPERLINK("#",""), HYPERLINK(CONCATENATE("#Metadata!", ADDRESS(INDEX($W$2:$W$1001,MATCH(ROWS($U$2:U395),$U$2:$U$1001,0),0), INDEX($AB$1004:$AQ$1004,1,MATCH(COLUMNS($AB$1006:AQ1006),$AB$1006:$AQ$1006,0)))),"Fix")))</f>
        <v>0</v>
      </c>
      <c r="U395">
        <v>0</v>
      </c>
      <c r="V395">
        <v>0</v>
      </c>
      <c r="W395">
        <v>0</v>
      </c>
      <c r="X395">
        <f>IF(Y395,TRUE,AND(AB395:AQ395))</f>
        <v>0</v>
      </c>
      <c r="Y395">
        <f>COUNTBLANK(Metadata!B395:Q395)=COLUMNS(Metadata!B395:Q395)</f>
        <v>0</v>
      </c>
      <c r="Z395">
        <v>0</v>
      </c>
      <c r="AB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AC395">
        <f>AND(IF(Metadata!C395="",FALSE,TRUE),exact(Metadata!C395,"urban biome"))</f>
        <v>0</v>
      </c>
      <c r="AD395">
        <f>AND(IF(Metadata!D395="",FALSE,TRUE),exact(Metadata!D395,"human-associated habitat"))</f>
        <v>0</v>
      </c>
      <c r="AE395">
        <f>AND(IF(Metadata!E395="",FALSE,TRUE),OR(exact(Metadata!E395,"human-associated"),exact(Metadata!E395,"human-skin"),exact(Metadata!E395,"human-oral"),exact(Metadata!E395,"human-gut"),exact(Metadata!E395,"human-vaginal")))</f>
        <v>0</v>
      </c>
      <c r="AF395">
        <f>AND(IF(Metadata!F395="",FALSE,ISNUMBER(VALUE(Metadata!F395))),Metadata!F395&gt;0)</f>
        <v>0</v>
      </c>
      <c r="AG395">
        <f>AND(IF(Metadata!G395="",FALSE,TRUE),exact(Metadata!G395,"years"))</f>
        <v>0</v>
      </c>
      <c r="AH395">
        <f>OR(AND(IF(Metadata!H395="",FALSE,TRUE),OR(exact(Metadata!H395,"not applicable"),exact(Metadata!H395,"not collected"),exact(Metadata!H395,"not provided"),exact(Metadata!H395,"restricted access"))),AND(IF(Metadata!H395="",FALSE,ISNUMBER(VALUE(Metadata!H395))),Metadata!H395&gt;0))</f>
        <v>0</v>
      </c>
      <c r="AI395">
        <f>AND(IF(Metadata!I395="",FALSE,TRUE),exact(Metadata!I395,"human"))</f>
        <v>0</v>
      </c>
      <c r="AJ395">
        <f>AND(IF(Metadata!J395="",FALSE,ISNUMBER(VALUE(Metadata!J395))),Metadata!J395&gt;0)</f>
        <v>0</v>
      </c>
      <c r="AK395">
        <f>AND(IF(Metadata!K395="",FALSE,TRUE),exact(Metadata!K395,"cm"))</f>
        <v>0</v>
      </c>
      <c r="AL395">
        <f>AND(IF(Metadata!L395="",FALSE,TRUE),exact(Metadata!L395,"Homo sapiens"))</f>
        <v>0</v>
      </c>
      <c r="AM395">
        <f>AND(IF(Metadata!M395="",FALSE,TRUE),exact(Metadata!M395,"9606"))</f>
        <v>0</v>
      </c>
      <c r="AN395">
        <f>AND(IF(Metadata!N395="",FALSE,ISNUMBER(VALUE(Metadata!N395))),Metadata!N395&gt;0)</f>
        <v>0</v>
      </c>
      <c r="AO395">
        <f>AND(IF(Metadata!O395="",FALSE,TRUE),exact(Metadata!O395,"kg"))</f>
        <v>0</v>
      </c>
      <c r="AP395">
        <f>OR(AND(IF(Metadata!P395="",FALSE,TRUE),exact(Metadata!P395,"not provided")),IF(Metadata!P395="",FALSE,TRUE))</f>
        <v>0</v>
      </c>
      <c r="AQ395">
        <f>OR(AND(IF(Metadata!Q395="",FALSE,TRUE),exact(Metadata!Q395,"not provided")),IF(Metadata!Q395="",FALSE,TRUE))</f>
        <v>0</v>
      </c>
    </row>
    <row r="396" spans="1:43">
      <c r="A396" s="4">
        <f>IF(B396=" "," ",HYPERLINK(CONCATENATE("#metadata!",ADDRESS(INDEX($W$2:$W$1001,MATCH(ROWS($U$2:U396),$U$2:$U$1001,0),0),2)),INDEX($Z$2:$Z$1001,MATCH(ROWS($U$2:U396),$U$2:$U$1001,0),0)))</f>
        <v>0</v>
      </c>
      <c r="B396" s="5">
        <f>IF(OR(INDEX($V$2:$V$1001,MATCH(ROWS($U$2:U396),$U$2:$U$1001,0),1)&gt;=100000,INDEX($AB$1005:$AQ$1005,1,MATCH(COLUMNS($AB$1006:AB1006),$AB$1006:$AQ$1006,0))&gt;=100000), " ",IF(INDEX($AB$2:$AQ$1001,MATCH(ROWS($U$2:U396),$U$2:$U$1001,0),MATCH(COLUMNS($AB$1006:AB1006),$AB$1006:$AQ$1006,0)), HYPERLINK("#",""), HYPERLINK(CONCATENATE("#Metadata!", ADDRESS(INDEX($W$2:$W$1001,MATCH(ROWS($U$2:U396),$U$2:$U$1001,0),0), INDEX($AB$1004:$AQ$1004,1,MATCH(COLUMNS($AB$1006:AB1006),$AB$1006:$AQ$1006,0)))),"Fix")))</f>
        <v>0</v>
      </c>
      <c r="C396" s="5">
        <f>IF(OR(INDEX($V$2:$V$1001,MATCH(ROWS($U$2:U396),$U$2:$U$1001,0),1)&gt;=100000,INDEX($AB$1005:$AQ$1005,1,MATCH(COLUMNS($AB$1006:AC1006),$AB$1006:$AQ$1006,0))&gt;=100000), " ",IF(INDEX($AB$2:$AQ$1001,MATCH(ROWS($U$2:U396),$U$2:$U$1001,0),MATCH(COLUMNS($AB$1006:AC1006),$AB$1006:$AQ$1006,0)), HYPERLINK("#",""), HYPERLINK(CONCATENATE("#Metadata!", ADDRESS(INDEX($W$2:$W$1001,MATCH(ROWS($U$2:U396),$U$2:$U$1001,0),0), INDEX($AB$1004:$AQ$1004,1,MATCH(COLUMNS($AB$1006:AC1006),$AB$1006:$AQ$1006,0)))),"Fix")))</f>
        <v>0</v>
      </c>
      <c r="D396" s="5">
        <f>IF(OR(INDEX($V$2:$V$1001,MATCH(ROWS($U$2:U396),$U$2:$U$1001,0),1)&gt;=100000,INDEX($AB$1005:$AQ$1005,1,MATCH(COLUMNS($AB$1006:AD1006),$AB$1006:$AQ$1006,0))&gt;=100000), " ",IF(INDEX($AB$2:$AQ$1001,MATCH(ROWS($U$2:U396),$U$2:$U$1001,0),MATCH(COLUMNS($AB$1006:AD1006),$AB$1006:$AQ$1006,0)), HYPERLINK("#",""), HYPERLINK(CONCATENATE("#Metadata!", ADDRESS(INDEX($W$2:$W$1001,MATCH(ROWS($U$2:U396),$U$2:$U$1001,0),0), INDEX($AB$1004:$AQ$1004,1,MATCH(COLUMNS($AB$1006:AD1006),$AB$1006:$AQ$1006,0)))),"Fix")))</f>
        <v>0</v>
      </c>
      <c r="E396" s="5">
        <f>IF(OR(INDEX($V$2:$V$1001,MATCH(ROWS($U$2:U396),$U$2:$U$1001,0),1)&gt;=100000,INDEX($AB$1005:$AQ$1005,1,MATCH(COLUMNS($AB$1006:AE1006),$AB$1006:$AQ$1006,0))&gt;=100000), " ",IF(INDEX($AB$2:$AQ$1001,MATCH(ROWS($U$2:U396),$U$2:$U$1001,0),MATCH(COLUMNS($AB$1006:AE1006),$AB$1006:$AQ$1006,0)), HYPERLINK("#",""), HYPERLINK(CONCATENATE("#Metadata!", ADDRESS(INDEX($W$2:$W$1001,MATCH(ROWS($U$2:U396),$U$2:$U$1001,0),0), INDEX($AB$1004:$AQ$1004,1,MATCH(COLUMNS($AB$1006:AE1006),$AB$1006:$AQ$1006,0)))),"Fix")))</f>
        <v>0</v>
      </c>
      <c r="F396" s="5">
        <f>IF(OR(INDEX($V$2:$V$1001,MATCH(ROWS($U$2:U396),$U$2:$U$1001,0),1)&gt;=100000,INDEX($AB$1005:$AQ$1005,1,MATCH(COLUMNS($AB$1006:AF1006),$AB$1006:$AQ$1006,0))&gt;=100000), " ",IF(INDEX($AB$2:$AQ$1001,MATCH(ROWS($U$2:U396),$U$2:$U$1001,0),MATCH(COLUMNS($AB$1006:AF1006),$AB$1006:$AQ$1006,0)), HYPERLINK("#",""), HYPERLINK(CONCATENATE("#Metadata!", ADDRESS(INDEX($W$2:$W$1001,MATCH(ROWS($U$2:U396),$U$2:$U$1001,0),0), INDEX($AB$1004:$AQ$1004,1,MATCH(COLUMNS($AB$1006:AF1006),$AB$1006:$AQ$1006,0)))),"Fix")))</f>
        <v>0</v>
      </c>
      <c r="G396" s="5">
        <f>IF(OR(INDEX($V$2:$V$1001,MATCH(ROWS($U$2:U396),$U$2:$U$1001,0),1)&gt;=100000,INDEX($AB$1005:$AQ$1005,1,MATCH(COLUMNS($AB$1006:AG1006),$AB$1006:$AQ$1006,0))&gt;=100000), " ",IF(INDEX($AB$2:$AQ$1001,MATCH(ROWS($U$2:U396),$U$2:$U$1001,0),MATCH(COLUMNS($AB$1006:AG1006),$AB$1006:$AQ$1006,0)), HYPERLINK("#",""), HYPERLINK(CONCATENATE("#Metadata!", ADDRESS(INDEX($W$2:$W$1001,MATCH(ROWS($U$2:U396),$U$2:$U$1001,0),0), INDEX($AB$1004:$AQ$1004,1,MATCH(COLUMNS($AB$1006:AG1006),$AB$1006:$AQ$1006,0)))),"Fix")))</f>
        <v>0</v>
      </c>
      <c r="H396" s="5">
        <f>IF(OR(INDEX($V$2:$V$1001,MATCH(ROWS($U$2:U396),$U$2:$U$1001,0),1)&gt;=100000,INDEX($AB$1005:$AQ$1005,1,MATCH(COLUMNS($AB$1006:AH1006),$AB$1006:$AQ$1006,0))&gt;=100000), " ",IF(INDEX($AB$2:$AQ$1001,MATCH(ROWS($U$2:U396),$U$2:$U$1001,0),MATCH(COLUMNS($AB$1006:AH1006),$AB$1006:$AQ$1006,0)), HYPERLINK("#",""), HYPERLINK(CONCATENATE("#Metadata!", ADDRESS(INDEX($W$2:$W$1001,MATCH(ROWS($U$2:U396),$U$2:$U$1001,0),0), INDEX($AB$1004:$AQ$1004,1,MATCH(COLUMNS($AB$1006:AH1006),$AB$1006:$AQ$1006,0)))),"Fix")))</f>
        <v>0</v>
      </c>
      <c r="I396" s="5">
        <f>IF(OR(INDEX($V$2:$V$1001,MATCH(ROWS($U$2:U396),$U$2:$U$1001,0),1)&gt;=100000,INDEX($AB$1005:$AQ$1005,1,MATCH(COLUMNS($AB$1006:AI1006),$AB$1006:$AQ$1006,0))&gt;=100000), " ",IF(INDEX($AB$2:$AQ$1001,MATCH(ROWS($U$2:U396),$U$2:$U$1001,0),MATCH(COLUMNS($AB$1006:AI1006),$AB$1006:$AQ$1006,0)), HYPERLINK("#",""), HYPERLINK(CONCATENATE("#Metadata!", ADDRESS(INDEX($W$2:$W$1001,MATCH(ROWS($U$2:U396),$U$2:$U$1001,0),0), INDEX($AB$1004:$AQ$1004,1,MATCH(COLUMNS($AB$1006:AI1006),$AB$1006:$AQ$1006,0)))),"Fix")))</f>
        <v>0</v>
      </c>
      <c r="J396" s="5">
        <f>IF(OR(INDEX($V$2:$V$1001,MATCH(ROWS($U$2:U396),$U$2:$U$1001,0),1)&gt;=100000,INDEX($AB$1005:$AQ$1005,1,MATCH(COLUMNS($AB$1006:AJ1006),$AB$1006:$AQ$1006,0))&gt;=100000), " ",IF(INDEX($AB$2:$AQ$1001,MATCH(ROWS($U$2:U396),$U$2:$U$1001,0),MATCH(COLUMNS($AB$1006:AJ1006),$AB$1006:$AQ$1006,0)), HYPERLINK("#",""), HYPERLINK(CONCATENATE("#Metadata!", ADDRESS(INDEX($W$2:$W$1001,MATCH(ROWS($U$2:U396),$U$2:$U$1001,0),0), INDEX($AB$1004:$AQ$1004,1,MATCH(COLUMNS($AB$1006:AJ1006),$AB$1006:$AQ$1006,0)))),"Fix")))</f>
        <v>0</v>
      </c>
      <c r="K396" s="5">
        <f>IF(OR(INDEX($V$2:$V$1001,MATCH(ROWS($U$2:U396),$U$2:$U$1001,0),1)&gt;=100000,INDEX($AB$1005:$AQ$1005,1,MATCH(COLUMNS($AB$1006:AK1006),$AB$1006:$AQ$1006,0))&gt;=100000), " ",IF(INDEX($AB$2:$AQ$1001,MATCH(ROWS($U$2:U396),$U$2:$U$1001,0),MATCH(COLUMNS($AB$1006:AK1006),$AB$1006:$AQ$1006,0)), HYPERLINK("#",""), HYPERLINK(CONCATENATE("#Metadata!", ADDRESS(INDEX($W$2:$W$1001,MATCH(ROWS($U$2:U396),$U$2:$U$1001,0),0), INDEX($AB$1004:$AQ$1004,1,MATCH(COLUMNS($AB$1006:AK1006),$AB$1006:$AQ$1006,0)))),"Fix")))</f>
        <v>0</v>
      </c>
      <c r="L396" s="5">
        <f>IF(OR(INDEX($V$2:$V$1001,MATCH(ROWS($U$2:U396),$U$2:$U$1001,0),1)&gt;=100000,INDEX($AB$1005:$AQ$1005,1,MATCH(COLUMNS($AB$1006:AL1006),$AB$1006:$AQ$1006,0))&gt;=100000), " ",IF(INDEX($AB$2:$AQ$1001,MATCH(ROWS($U$2:U396),$U$2:$U$1001,0),MATCH(COLUMNS($AB$1006:AL1006),$AB$1006:$AQ$1006,0)), HYPERLINK("#",""), HYPERLINK(CONCATENATE("#Metadata!", ADDRESS(INDEX($W$2:$W$1001,MATCH(ROWS($U$2:U396),$U$2:$U$1001,0),0), INDEX($AB$1004:$AQ$1004,1,MATCH(COLUMNS($AB$1006:AL1006),$AB$1006:$AQ$1006,0)))),"Fix")))</f>
        <v>0</v>
      </c>
      <c r="M396" s="5">
        <f>IF(OR(INDEX($V$2:$V$1001,MATCH(ROWS($U$2:U396),$U$2:$U$1001,0),1)&gt;=100000,INDEX($AB$1005:$AQ$1005,1,MATCH(COLUMNS($AB$1006:AM1006),$AB$1006:$AQ$1006,0))&gt;=100000), " ",IF(INDEX($AB$2:$AQ$1001,MATCH(ROWS($U$2:U396),$U$2:$U$1001,0),MATCH(COLUMNS($AB$1006:AM1006),$AB$1006:$AQ$1006,0)), HYPERLINK("#",""), HYPERLINK(CONCATENATE("#Metadata!", ADDRESS(INDEX($W$2:$W$1001,MATCH(ROWS($U$2:U396),$U$2:$U$1001,0),0), INDEX($AB$1004:$AQ$1004,1,MATCH(COLUMNS($AB$1006:AM1006),$AB$1006:$AQ$1006,0)))),"Fix")))</f>
        <v>0</v>
      </c>
      <c r="N396" s="5">
        <f>IF(OR(INDEX($V$2:$V$1001,MATCH(ROWS($U$2:U396),$U$2:$U$1001,0),1)&gt;=100000,INDEX($AB$1005:$AQ$1005,1,MATCH(COLUMNS($AB$1006:AN1006),$AB$1006:$AQ$1006,0))&gt;=100000), " ",IF(INDEX($AB$2:$AQ$1001,MATCH(ROWS($U$2:U396),$U$2:$U$1001,0),MATCH(COLUMNS($AB$1006:AN1006),$AB$1006:$AQ$1006,0)), HYPERLINK("#",""), HYPERLINK(CONCATENATE("#Metadata!", ADDRESS(INDEX($W$2:$W$1001,MATCH(ROWS($U$2:U396),$U$2:$U$1001,0),0), INDEX($AB$1004:$AQ$1004,1,MATCH(COLUMNS($AB$1006:AN1006),$AB$1006:$AQ$1006,0)))),"Fix")))</f>
        <v>0</v>
      </c>
      <c r="O396" s="5">
        <f>IF(OR(INDEX($V$2:$V$1001,MATCH(ROWS($U$2:U396),$U$2:$U$1001,0),1)&gt;=100000,INDEX($AB$1005:$AQ$1005,1,MATCH(COLUMNS($AB$1006:AO1006),$AB$1006:$AQ$1006,0))&gt;=100000), " ",IF(INDEX($AB$2:$AQ$1001,MATCH(ROWS($U$2:U396),$U$2:$U$1001,0),MATCH(COLUMNS($AB$1006:AO1006),$AB$1006:$AQ$1006,0)), HYPERLINK("#",""), HYPERLINK(CONCATENATE("#Metadata!", ADDRESS(INDEX($W$2:$W$1001,MATCH(ROWS($U$2:U396),$U$2:$U$1001,0),0), INDEX($AB$1004:$AQ$1004,1,MATCH(COLUMNS($AB$1006:AO1006),$AB$1006:$AQ$1006,0)))),"Fix")))</f>
        <v>0</v>
      </c>
      <c r="P396" s="5">
        <f>IF(OR(INDEX($V$2:$V$1001,MATCH(ROWS($U$2:U396),$U$2:$U$1001,0),1)&gt;=100000,INDEX($AB$1005:$AQ$1005,1,MATCH(COLUMNS($AB$1006:AP1006),$AB$1006:$AQ$1006,0))&gt;=100000), " ",IF(INDEX($AB$2:$AQ$1001,MATCH(ROWS($U$2:U396),$U$2:$U$1001,0),MATCH(COLUMNS($AB$1006:AP1006),$AB$1006:$AQ$1006,0)), HYPERLINK("#",""), HYPERLINK(CONCATENATE("#Metadata!", ADDRESS(INDEX($W$2:$W$1001,MATCH(ROWS($U$2:U396),$U$2:$U$1001,0),0), INDEX($AB$1004:$AQ$1004,1,MATCH(COLUMNS($AB$1006:AP1006),$AB$1006:$AQ$1006,0)))),"Fix")))</f>
        <v>0</v>
      </c>
      <c r="Q396" s="5">
        <f>IF(OR(INDEX($V$2:$V$1001,MATCH(ROWS($U$2:U396),$U$2:$U$1001,0),1)&gt;=100000,INDEX($AB$1005:$AQ$1005,1,MATCH(COLUMNS($AB$1006:AQ1006),$AB$1006:$AQ$1006,0))&gt;=100000), " ",IF(INDEX($AB$2:$AQ$1001,MATCH(ROWS($U$2:U396),$U$2:$U$1001,0),MATCH(COLUMNS($AB$1006:AQ1006),$AB$1006:$AQ$1006,0)), HYPERLINK("#",""), HYPERLINK(CONCATENATE("#Metadata!", ADDRESS(INDEX($W$2:$W$1001,MATCH(ROWS($U$2:U396),$U$2:$U$1001,0),0), INDEX($AB$1004:$AQ$1004,1,MATCH(COLUMNS($AB$1006:AQ1006),$AB$1006:$AQ$1006,0)))),"Fix")))</f>
        <v>0</v>
      </c>
      <c r="U396">
        <v>0</v>
      </c>
      <c r="V396">
        <v>0</v>
      </c>
      <c r="W396">
        <v>0</v>
      </c>
      <c r="X396">
        <f>IF(Y396,TRUE,AND(AB396:AQ396))</f>
        <v>0</v>
      </c>
      <c r="Y396">
        <f>COUNTBLANK(Metadata!B396:Q396)=COLUMNS(Metadata!B396:Q396)</f>
        <v>0</v>
      </c>
      <c r="Z396">
        <v>0</v>
      </c>
      <c r="AB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AC396">
        <f>AND(IF(Metadata!C396="",FALSE,TRUE),exact(Metadata!C396,"urban biome"))</f>
        <v>0</v>
      </c>
      <c r="AD396">
        <f>AND(IF(Metadata!D396="",FALSE,TRUE),exact(Metadata!D396,"human-associated habitat"))</f>
        <v>0</v>
      </c>
      <c r="AE396">
        <f>AND(IF(Metadata!E396="",FALSE,TRUE),OR(exact(Metadata!E396,"human-associated"),exact(Metadata!E396,"human-skin"),exact(Metadata!E396,"human-oral"),exact(Metadata!E396,"human-gut"),exact(Metadata!E396,"human-vaginal")))</f>
        <v>0</v>
      </c>
      <c r="AF396">
        <f>AND(IF(Metadata!F396="",FALSE,ISNUMBER(VALUE(Metadata!F396))),Metadata!F396&gt;0)</f>
        <v>0</v>
      </c>
      <c r="AG396">
        <f>AND(IF(Metadata!G396="",FALSE,TRUE),exact(Metadata!G396,"years"))</f>
        <v>0</v>
      </c>
      <c r="AH396">
        <f>OR(AND(IF(Metadata!H396="",FALSE,TRUE),OR(exact(Metadata!H396,"not applicable"),exact(Metadata!H396,"not collected"),exact(Metadata!H396,"not provided"),exact(Metadata!H396,"restricted access"))),AND(IF(Metadata!H396="",FALSE,ISNUMBER(VALUE(Metadata!H396))),Metadata!H396&gt;0))</f>
        <v>0</v>
      </c>
      <c r="AI396">
        <f>AND(IF(Metadata!I396="",FALSE,TRUE),exact(Metadata!I396,"human"))</f>
        <v>0</v>
      </c>
      <c r="AJ396">
        <f>AND(IF(Metadata!J396="",FALSE,ISNUMBER(VALUE(Metadata!J396))),Metadata!J396&gt;0)</f>
        <v>0</v>
      </c>
      <c r="AK396">
        <f>AND(IF(Metadata!K396="",FALSE,TRUE),exact(Metadata!K396,"cm"))</f>
        <v>0</v>
      </c>
      <c r="AL396">
        <f>AND(IF(Metadata!L396="",FALSE,TRUE),exact(Metadata!L396,"Homo sapiens"))</f>
        <v>0</v>
      </c>
      <c r="AM396">
        <f>AND(IF(Metadata!M396="",FALSE,TRUE),exact(Metadata!M396,"9606"))</f>
        <v>0</v>
      </c>
      <c r="AN396">
        <f>AND(IF(Metadata!N396="",FALSE,ISNUMBER(VALUE(Metadata!N396))),Metadata!N396&gt;0)</f>
        <v>0</v>
      </c>
      <c r="AO396">
        <f>AND(IF(Metadata!O396="",FALSE,TRUE),exact(Metadata!O396,"kg"))</f>
        <v>0</v>
      </c>
      <c r="AP396">
        <f>OR(AND(IF(Metadata!P396="",FALSE,TRUE),exact(Metadata!P396,"not provided")),IF(Metadata!P396="",FALSE,TRUE))</f>
        <v>0</v>
      </c>
      <c r="AQ396">
        <f>OR(AND(IF(Metadata!Q396="",FALSE,TRUE),exact(Metadata!Q396,"not provided")),IF(Metadata!Q396="",FALSE,TRUE))</f>
        <v>0</v>
      </c>
    </row>
    <row r="397" spans="1:43">
      <c r="A397" s="4">
        <f>IF(B397=" "," ",HYPERLINK(CONCATENATE("#metadata!",ADDRESS(INDEX($W$2:$W$1001,MATCH(ROWS($U$2:U397),$U$2:$U$1001,0),0),2)),INDEX($Z$2:$Z$1001,MATCH(ROWS($U$2:U397),$U$2:$U$1001,0),0)))</f>
        <v>0</v>
      </c>
      <c r="B397" s="5">
        <f>IF(OR(INDEX($V$2:$V$1001,MATCH(ROWS($U$2:U397),$U$2:$U$1001,0),1)&gt;=100000,INDEX($AB$1005:$AQ$1005,1,MATCH(COLUMNS($AB$1006:AB1006),$AB$1006:$AQ$1006,0))&gt;=100000), " ",IF(INDEX($AB$2:$AQ$1001,MATCH(ROWS($U$2:U397),$U$2:$U$1001,0),MATCH(COLUMNS($AB$1006:AB1006),$AB$1006:$AQ$1006,0)), HYPERLINK("#",""), HYPERLINK(CONCATENATE("#Metadata!", ADDRESS(INDEX($W$2:$W$1001,MATCH(ROWS($U$2:U397),$U$2:$U$1001,0),0), INDEX($AB$1004:$AQ$1004,1,MATCH(COLUMNS($AB$1006:AB1006),$AB$1006:$AQ$1006,0)))),"Fix")))</f>
        <v>0</v>
      </c>
      <c r="C397" s="5">
        <f>IF(OR(INDEX($V$2:$V$1001,MATCH(ROWS($U$2:U397),$U$2:$U$1001,0),1)&gt;=100000,INDEX($AB$1005:$AQ$1005,1,MATCH(COLUMNS($AB$1006:AC1006),$AB$1006:$AQ$1006,0))&gt;=100000), " ",IF(INDEX($AB$2:$AQ$1001,MATCH(ROWS($U$2:U397),$U$2:$U$1001,0),MATCH(COLUMNS($AB$1006:AC1006),$AB$1006:$AQ$1006,0)), HYPERLINK("#",""), HYPERLINK(CONCATENATE("#Metadata!", ADDRESS(INDEX($W$2:$W$1001,MATCH(ROWS($U$2:U397),$U$2:$U$1001,0),0), INDEX($AB$1004:$AQ$1004,1,MATCH(COLUMNS($AB$1006:AC1006),$AB$1006:$AQ$1006,0)))),"Fix")))</f>
        <v>0</v>
      </c>
      <c r="D397" s="5">
        <f>IF(OR(INDEX($V$2:$V$1001,MATCH(ROWS($U$2:U397),$U$2:$U$1001,0),1)&gt;=100000,INDEX($AB$1005:$AQ$1005,1,MATCH(COLUMNS($AB$1006:AD1006),$AB$1006:$AQ$1006,0))&gt;=100000), " ",IF(INDEX($AB$2:$AQ$1001,MATCH(ROWS($U$2:U397),$U$2:$U$1001,0),MATCH(COLUMNS($AB$1006:AD1006),$AB$1006:$AQ$1006,0)), HYPERLINK("#",""), HYPERLINK(CONCATENATE("#Metadata!", ADDRESS(INDEX($W$2:$W$1001,MATCH(ROWS($U$2:U397),$U$2:$U$1001,0),0), INDEX($AB$1004:$AQ$1004,1,MATCH(COLUMNS($AB$1006:AD1006),$AB$1006:$AQ$1006,0)))),"Fix")))</f>
        <v>0</v>
      </c>
      <c r="E397" s="5">
        <f>IF(OR(INDEX($V$2:$V$1001,MATCH(ROWS($U$2:U397),$U$2:$U$1001,0),1)&gt;=100000,INDEX($AB$1005:$AQ$1005,1,MATCH(COLUMNS($AB$1006:AE1006),$AB$1006:$AQ$1006,0))&gt;=100000), " ",IF(INDEX($AB$2:$AQ$1001,MATCH(ROWS($U$2:U397),$U$2:$U$1001,0),MATCH(COLUMNS($AB$1006:AE1006),$AB$1006:$AQ$1006,0)), HYPERLINK("#",""), HYPERLINK(CONCATENATE("#Metadata!", ADDRESS(INDEX($W$2:$W$1001,MATCH(ROWS($U$2:U397),$U$2:$U$1001,0),0), INDEX($AB$1004:$AQ$1004,1,MATCH(COLUMNS($AB$1006:AE1006),$AB$1006:$AQ$1006,0)))),"Fix")))</f>
        <v>0</v>
      </c>
      <c r="F397" s="5">
        <f>IF(OR(INDEX($V$2:$V$1001,MATCH(ROWS($U$2:U397),$U$2:$U$1001,0),1)&gt;=100000,INDEX($AB$1005:$AQ$1005,1,MATCH(COLUMNS($AB$1006:AF1006),$AB$1006:$AQ$1006,0))&gt;=100000), " ",IF(INDEX($AB$2:$AQ$1001,MATCH(ROWS($U$2:U397),$U$2:$U$1001,0),MATCH(COLUMNS($AB$1006:AF1006),$AB$1006:$AQ$1006,0)), HYPERLINK("#",""), HYPERLINK(CONCATENATE("#Metadata!", ADDRESS(INDEX($W$2:$W$1001,MATCH(ROWS($U$2:U397),$U$2:$U$1001,0),0), INDEX($AB$1004:$AQ$1004,1,MATCH(COLUMNS($AB$1006:AF1006),$AB$1006:$AQ$1006,0)))),"Fix")))</f>
        <v>0</v>
      </c>
      <c r="G397" s="5">
        <f>IF(OR(INDEX($V$2:$V$1001,MATCH(ROWS($U$2:U397),$U$2:$U$1001,0),1)&gt;=100000,INDEX($AB$1005:$AQ$1005,1,MATCH(COLUMNS($AB$1006:AG1006),$AB$1006:$AQ$1006,0))&gt;=100000), " ",IF(INDEX($AB$2:$AQ$1001,MATCH(ROWS($U$2:U397),$U$2:$U$1001,0),MATCH(COLUMNS($AB$1006:AG1006),$AB$1006:$AQ$1006,0)), HYPERLINK("#",""), HYPERLINK(CONCATENATE("#Metadata!", ADDRESS(INDEX($W$2:$W$1001,MATCH(ROWS($U$2:U397),$U$2:$U$1001,0),0), INDEX($AB$1004:$AQ$1004,1,MATCH(COLUMNS($AB$1006:AG1006),$AB$1006:$AQ$1006,0)))),"Fix")))</f>
        <v>0</v>
      </c>
      <c r="H397" s="5">
        <f>IF(OR(INDEX($V$2:$V$1001,MATCH(ROWS($U$2:U397),$U$2:$U$1001,0),1)&gt;=100000,INDEX($AB$1005:$AQ$1005,1,MATCH(COLUMNS($AB$1006:AH1006),$AB$1006:$AQ$1006,0))&gt;=100000), " ",IF(INDEX($AB$2:$AQ$1001,MATCH(ROWS($U$2:U397),$U$2:$U$1001,0),MATCH(COLUMNS($AB$1006:AH1006),$AB$1006:$AQ$1006,0)), HYPERLINK("#",""), HYPERLINK(CONCATENATE("#Metadata!", ADDRESS(INDEX($W$2:$W$1001,MATCH(ROWS($U$2:U397),$U$2:$U$1001,0),0), INDEX($AB$1004:$AQ$1004,1,MATCH(COLUMNS($AB$1006:AH1006),$AB$1006:$AQ$1006,0)))),"Fix")))</f>
        <v>0</v>
      </c>
      <c r="I397" s="5">
        <f>IF(OR(INDEX($V$2:$V$1001,MATCH(ROWS($U$2:U397),$U$2:$U$1001,0),1)&gt;=100000,INDEX($AB$1005:$AQ$1005,1,MATCH(COLUMNS($AB$1006:AI1006),$AB$1006:$AQ$1006,0))&gt;=100000), " ",IF(INDEX($AB$2:$AQ$1001,MATCH(ROWS($U$2:U397),$U$2:$U$1001,0),MATCH(COLUMNS($AB$1006:AI1006),$AB$1006:$AQ$1006,0)), HYPERLINK("#",""), HYPERLINK(CONCATENATE("#Metadata!", ADDRESS(INDEX($W$2:$W$1001,MATCH(ROWS($U$2:U397),$U$2:$U$1001,0),0), INDEX($AB$1004:$AQ$1004,1,MATCH(COLUMNS($AB$1006:AI1006),$AB$1006:$AQ$1006,0)))),"Fix")))</f>
        <v>0</v>
      </c>
      <c r="J397" s="5">
        <f>IF(OR(INDEX($V$2:$V$1001,MATCH(ROWS($U$2:U397),$U$2:$U$1001,0),1)&gt;=100000,INDEX($AB$1005:$AQ$1005,1,MATCH(COLUMNS($AB$1006:AJ1006),$AB$1006:$AQ$1006,0))&gt;=100000), " ",IF(INDEX($AB$2:$AQ$1001,MATCH(ROWS($U$2:U397),$U$2:$U$1001,0),MATCH(COLUMNS($AB$1006:AJ1006),$AB$1006:$AQ$1006,0)), HYPERLINK("#",""), HYPERLINK(CONCATENATE("#Metadata!", ADDRESS(INDEX($W$2:$W$1001,MATCH(ROWS($U$2:U397),$U$2:$U$1001,0),0), INDEX($AB$1004:$AQ$1004,1,MATCH(COLUMNS($AB$1006:AJ1006),$AB$1006:$AQ$1006,0)))),"Fix")))</f>
        <v>0</v>
      </c>
      <c r="K397" s="5">
        <f>IF(OR(INDEX($V$2:$V$1001,MATCH(ROWS($U$2:U397),$U$2:$U$1001,0),1)&gt;=100000,INDEX($AB$1005:$AQ$1005,1,MATCH(COLUMNS($AB$1006:AK1006),$AB$1006:$AQ$1006,0))&gt;=100000), " ",IF(INDEX($AB$2:$AQ$1001,MATCH(ROWS($U$2:U397),$U$2:$U$1001,0),MATCH(COLUMNS($AB$1006:AK1006),$AB$1006:$AQ$1006,0)), HYPERLINK("#",""), HYPERLINK(CONCATENATE("#Metadata!", ADDRESS(INDEX($W$2:$W$1001,MATCH(ROWS($U$2:U397),$U$2:$U$1001,0),0), INDEX($AB$1004:$AQ$1004,1,MATCH(COLUMNS($AB$1006:AK1006),$AB$1006:$AQ$1006,0)))),"Fix")))</f>
        <v>0</v>
      </c>
      <c r="L397" s="5">
        <f>IF(OR(INDEX($V$2:$V$1001,MATCH(ROWS($U$2:U397),$U$2:$U$1001,0),1)&gt;=100000,INDEX($AB$1005:$AQ$1005,1,MATCH(COLUMNS($AB$1006:AL1006),$AB$1006:$AQ$1006,0))&gt;=100000), " ",IF(INDEX($AB$2:$AQ$1001,MATCH(ROWS($U$2:U397),$U$2:$U$1001,0),MATCH(COLUMNS($AB$1006:AL1006),$AB$1006:$AQ$1006,0)), HYPERLINK("#",""), HYPERLINK(CONCATENATE("#Metadata!", ADDRESS(INDEX($W$2:$W$1001,MATCH(ROWS($U$2:U397),$U$2:$U$1001,0),0), INDEX($AB$1004:$AQ$1004,1,MATCH(COLUMNS($AB$1006:AL1006),$AB$1006:$AQ$1006,0)))),"Fix")))</f>
        <v>0</v>
      </c>
      <c r="M397" s="5">
        <f>IF(OR(INDEX($V$2:$V$1001,MATCH(ROWS($U$2:U397),$U$2:$U$1001,0),1)&gt;=100000,INDEX($AB$1005:$AQ$1005,1,MATCH(COLUMNS($AB$1006:AM1006),$AB$1006:$AQ$1006,0))&gt;=100000), " ",IF(INDEX($AB$2:$AQ$1001,MATCH(ROWS($U$2:U397),$U$2:$U$1001,0),MATCH(COLUMNS($AB$1006:AM1006),$AB$1006:$AQ$1006,0)), HYPERLINK("#",""), HYPERLINK(CONCATENATE("#Metadata!", ADDRESS(INDEX($W$2:$W$1001,MATCH(ROWS($U$2:U397),$U$2:$U$1001,0),0), INDEX($AB$1004:$AQ$1004,1,MATCH(COLUMNS($AB$1006:AM1006),$AB$1006:$AQ$1006,0)))),"Fix")))</f>
        <v>0</v>
      </c>
      <c r="N397" s="5">
        <f>IF(OR(INDEX($V$2:$V$1001,MATCH(ROWS($U$2:U397),$U$2:$U$1001,0),1)&gt;=100000,INDEX($AB$1005:$AQ$1005,1,MATCH(COLUMNS($AB$1006:AN1006),$AB$1006:$AQ$1006,0))&gt;=100000), " ",IF(INDEX($AB$2:$AQ$1001,MATCH(ROWS($U$2:U397),$U$2:$U$1001,0),MATCH(COLUMNS($AB$1006:AN1006),$AB$1006:$AQ$1006,0)), HYPERLINK("#",""), HYPERLINK(CONCATENATE("#Metadata!", ADDRESS(INDEX($W$2:$W$1001,MATCH(ROWS($U$2:U397),$U$2:$U$1001,0),0), INDEX($AB$1004:$AQ$1004,1,MATCH(COLUMNS($AB$1006:AN1006),$AB$1006:$AQ$1006,0)))),"Fix")))</f>
        <v>0</v>
      </c>
      <c r="O397" s="5">
        <f>IF(OR(INDEX($V$2:$V$1001,MATCH(ROWS($U$2:U397),$U$2:$U$1001,0),1)&gt;=100000,INDEX($AB$1005:$AQ$1005,1,MATCH(COLUMNS($AB$1006:AO1006),$AB$1006:$AQ$1006,0))&gt;=100000), " ",IF(INDEX($AB$2:$AQ$1001,MATCH(ROWS($U$2:U397),$U$2:$U$1001,0),MATCH(COLUMNS($AB$1006:AO1006),$AB$1006:$AQ$1006,0)), HYPERLINK("#",""), HYPERLINK(CONCATENATE("#Metadata!", ADDRESS(INDEX($W$2:$W$1001,MATCH(ROWS($U$2:U397),$U$2:$U$1001,0),0), INDEX($AB$1004:$AQ$1004,1,MATCH(COLUMNS($AB$1006:AO1006),$AB$1006:$AQ$1006,0)))),"Fix")))</f>
        <v>0</v>
      </c>
      <c r="P397" s="5">
        <f>IF(OR(INDEX($V$2:$V$1001,MATCH(ROWS($U$2:U397),$U$2:$U$1001,0),1)&gt;=100000,INDEX($AB$1005:$AQ$1005,1,MATCH(COLUMNS($AB$1006:AP1006),$AB$1006:$AQ$1006,0))&gt;=100000), " ",IF(INDEX($AB$2:$AQ$1001,MATCH(ROWS($U$2:U397),$U$2:$U$1001,0),MATCH(COLUMNS($AB$1006:AP1006),$AB$1006:$AQ$1006,0)), HYPERLINK("#",""), HYPERLINK(CONCATENATE("#Metadata!", ADDRESS(INDEX($W$2:$W$1001,MATCH(ROWS($U$2:U397),$U$2:$U$1001,0),0), INDEX($AB$1004:$AQ$1004,1,MATCH(COLUMNS($AB$1006:AP1006),$AB$1006:$AQ$1006,0)))),"Fix")))</f>
        <v>0</v>
      </c>
      <c r="Q397" s="5">
        <f>IF(OR(INDEX($V$2:$V$1001,MATCH(ROWS($U$2:U397),$U$2:$U$1001,0),1)&gt;=100000,INDEX($AB$1005:$AQ$1005,1,MATCH(COLUMNS($AB$1006:AQ1006),$AB$1006:$AQ$1006,0))&gt;=100000), " ",IF(INDEX($AB$2:$AQ$1001,MATCH(ROWS($U$2:U397),$U$2:$U$1001,0),MATCH(COLUMNS($AB$1006:AQ1006),$AB$1006:$AQ$1006,0)), HYPERLINK("#",""), HYPERLINK(CONCATENATE("#Metadata!", ADDRESS(INDEX($W$2:$W$1001,MATCH(ROWS($U$2:U397),$U$2:$U$1001,0),0), INDEX($AB$1004:$AQ$1004,1,MATCH(COLUMNS($AB$1006:AQ1006),$AB$1006:$AQ$1006,0)))),"Fix")))</f>
        <v>0</v>
      </c>
      <c r="U397">
        <v>0</v>
      </c>
      <c r="V397">
        <v>0</v>
      </c>
      <c r="W397">
        <v>0</v>
      </c>
      <c r="X397">
        <f>IF(Y397,TRUE,AND(AB397:AQ397))</f>
        <v>0</v>
      </c>
      <c r="Y397">
        <f>COUNTBLANK(Metadata!B397:Q397)=COLUMNS(Metadata!B397:Q397)</f>
        <v>0</v>
      </c>
      <c r="Z397">
        <v>0</v>
      </c>
      <c r="AB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AC397">
        <f>AND(IF(Metadata!C397="",FALSE,TRUE),exact(Metadata!C397,"urban biome"))</f>
        <v>0</v>
      </c>
      <c r="AD397">
        <f>AND(IF(Metadata!D397="",FALSE,TRUE),exact(Metadata!D397,"human-associated habitat"))</f>
        <v>0</v>
      </c>
      <c r="AE397">
        <f>AND(IF(Metadata!E397="",FALSE,TRUE),OR(exact(Metadata!E397,"human-associated"),exact(Metadata!E397,"human-skin"),exact(Metadata!E397,"human-oral"),exact(Metadata!E397,"human-gut"),exact(Metadata!E397,"human-vaginal")))</f>
        <v>0</v>
      </c>
      <c r="AF397">
        <f>AND(IF(Metadata!F397="",FALSE,ISNUMBER(VALUE(Metadata!F397))),Metadata!F397&gt;0)</f>
        <v>0</v>
      </c>
      <c r="AG397">
        <f>AND(IF(Metadata!G397="",FALSE,TRUE),exact(Metadata!G397,"years"))</f>
        <v>0</v>
      </c>
      <c r="AH397">
        <f>OR(AND(IF(Metadata!H397="",FALSE,TRUE),OR(exact(Metadata!H397,"not applicable"),exact(Metadata!H397,"not collected"),exact(Metadata!H397,"not provided"),exact(Metadata!H397,"restricted access"))),AND(IF(Metadata!H397="",FALSE,ISNUMBER(VALUE(Metadata!H397))),Metadata!H397&gt;0))</f>
        <v>0</v>
      </c>
      <c r="AI397">
        <f>AND(IF(Metadata!I397="",FALSE,TRUE),exact(Metadata!I397,"human"))</f>
        <v>0</v>
      </c>
      <c r="AJ397">
        <f>AND(IF(Metadata!J397="",FALSE,ISNUMBER(VALUE(Metadata!J397))),Metadata!J397&gt;0)</f>
        <v>0</v>
      </c>
      <c r="AK397">
        <f>AND(IF(Metadata!K397="",FALSE,TRUE),exact(Metadata!K397,"cm"))</f>
        <v>0</v>
      </c>
      <c r="AL397">
        <f>AND(IF(Metadata!L397="",FALSE,TRUE),exact(Metadata!L397,"Homo sapiens"))</f>
        <v>0</v>
      </c>
      <c r="AM397">
        <f>AND(IF(Metadata!M397="",FALSE,TRUE),exact(Metadata!M397,"9606"))</f>
        <v>0</v>
      </c>
      <c r="AN397">
        <f>AND(IF(Metadata!N397="",FALSE,ISNUMBER(VALUE(Metadata!N397))),Metadata!N397&gt;0)</f>
        <v>0</v>
      </c>
      <c r="AO397">
        <f>AND(IF(Metadata!O397="",FALSE,TRUE),exact(Metadata!O397,"kg"))</f>
        <v>0</v>
      </c>
      <c r="AP397">
        <f>OR(AND(IF(Metadata!P397="",FALSE,TRUE),exact(Metadata!P397,"not provided")),IF(Metadata!P397="",FALSE,TRUE))</f>
        <v>0</v>
      </c>
      <c r="AQ397">
        <f>OR(AND(IF(Metadata!Q397="",FALSE,TRUE),exact(Metadata!Q397,"not provided")),IF(Metadata!Q397="",FALSE,TRUE))</f>
        <v>0</v>
      </c>
    </row>
    <row r="398" spans="1:43">
      <c r="A398" s="4">
        <f>IF(B398=" "," ",HYPERLINK(CONCATENATE("#metadata!",ADDRESS(INDEX($W$2:$W$1001,MATCH(ROWS($U$2:U398),$U$2:$U$1001,0),0),2)),INDEX($Z$2:$Z$1001,MATCH(ROWS($U$2:U398),$U$2:$U$1001,0),0)))</f>
        <v>0</v>
      </c>
      <c r="B398" s="5">
        <f>IF(OR(INDEX($V$2:$V$1001,MATCH(ROWS($U$2:U398),$U$2:$U$1001,0),1)&gt;=100000,INDEX($AB$1005:$AQ$1005,1,MATCH(COLUMNS($AB$1006:AB1006),$AB$1006:$AQ$1006,0))&gt;=100000), " ",IF(INDEX($AB$2:$AQ$1001,MATCH(ROWS($U$2:U398),$U$2:$U$1001,0),MATCH(COLUMNS($AB$1006:AB1006),$AB$1006:$AQ$1006,0)), HYPERLINK("#",""), HYPERLINK(CONCATENATE("#Metadata!", ADDRESS(INDEX($W$2:$W$1001,MATCH(ROWS($U$2:U398),$U$2:$U$1001,0),0), INDEX($AB$1004:$AQ$1004,1,MATCH(COLUMNS($AB$1006:AB1006),$AB$1006:$AQ$1006,0)))),"Fix")))</f>
        <v>0</v>
      </c>
      <c r="C398" s="5">
        <f>IF(OR(INDEX($V$2:$V$1001,MATCH(ROWS($U$2:U398),$U$2:$U$1001,0),1)&gt;=100000,INDEX($AB$1005:$AQ$1005,1,MATCH(COLUMNS($AB$1006:AC1006),$AB$1006:$AQ$1006,0))&gt;=100000), " ",IF(INDEX($AB$2:$AQ$1001,MATCH(ROWS($U$2:U398),$U$2:$U$1001,0),MATCH(COLUMNS($AB$1006:AC1006),$AB$1006:$AQ$1006,0)), HYPERLINK("#",""), HYPERLINK(CONCATENATE("#Metadata!", ADDRESS(INDEX($W$2:$W$1001,MATCH(ROWS($U$2:U398),$U$2:$U$1001,0),0), INDEX($AB$1004:$AQ$1004,1,MATCH(COLUMNS($AB$1006:AC1006),$AB$1006:$AQ$1006,0)))),"Fix")))</f>
        <v>0</v>
      </c>
      <c r="D398" s="5">
        <f>IF(OR(INDEX($V$2:$V$1001,MATCH(ROWS($U$2:U398),$U$2:$U$1001,0),1)&gt;=100000,INDEX($AB$1005:$AQ$1005,1,MATCH(COLUMNS($AB$1006:AD1006),$AB$1006:$AQ$1006,0))&gt;=100000), " ",IF(INDEX($AB$2:$AQ$1001,MATCH(ROWS($U$2:U398),$U$2:$U$1001,0),MATCH(COLUMNS($AB$1006:AD1006),$AB$1006:$AQ$1006,0)), HYPERLINK("#",""), HYPERLINK(CONCATENATE("#Metadata!", ADDRESS(INDEX($W$2:$W$1001,MATCH(ROWS($U$2:U398),$U$2:$U$1001,0),0), INDEX($AB$1004:$AQ$1004,1,MATCH(COLUMNS($AB$1006:AD1006),$AB$1006:$AQ$1006,0)))),"Fix")))</f>
        <v>0</v>
      </c>
      <c r="E398" s="5">
        <f>IF(OR(INDEX($V$2:$V$1001,MATCH(ROWS($U$2:U398),$U$2:$U$1001,0),1)&gt;=100000,INDEX($AB$1005:$AQ$1005,1,MATCH(COLUMNS($AB$1006:AE1006),$AB$1006:$AQ$1006,0))&gt;=100000), " ",IF(INDEX($AB$2:$AQ$1001,MATCH(ROWS($U$2:U398),$U$2:$U$1001,0),MATCH(COLUMNS($AB$1006:AE1006),$AB$1006:$AQ$1006,0)), HYPERLINK("#",""), HYPERLINK(CONCATENATE("#Metadata!", ADDRESS(INDEX($W$2:$W$1001,MATCH(ROWS($U$2:U398),$U$2:$U$1001,0),0), INDEX($AB$1004:$AQ$1004,1,MATCH(COLUMNS($AB$1006:AE1006),$AB$1006:$AQ$1006,0)))),"Fix")))</f>
        <v>0</v>
      </c>
      <c r="F398" s="5">
        <f>IF(OR(INDEX($V$2:$V$1001,MATCH(ROWS($U$2:U398),$U$2:$U$1001,0),1)&gt;=100000,INDEX($AB$1005:$AQ$1005,1,MATCH(COLUMNS($AB$1006:AF1006),$AB$1006:$AQ$1006,0))&gt;=100000), " ",IF(INDEX($AB$2:$AQ$1001,MATCH(ROWS($U$2:U398),$U$2:$U$1001,0),MATCH(COLUMNS($AB$1006:AF1006),$AB$1006:$AQ$1006,0)), HYPERLINK("#",""), HYPERLINK(CONCATENATE("#Metadata!", ADDRESS(INDEX($W$2:$W$1001,MATCH(ROWS($U$2:U398),$U$2:$U$1001,0),0), INDEX($AB$1004:$AQ$1004,1,MATCH(COLUMNS($AB$1006:AF1006),$AB$1006:$AQ$1006,0)))),"Fix")))</f>
        <v>0</v>
      </c>
      <c r="G398" s="5">
        <f>IF(OR(INDEX($V$2:$V$1001,MATCH(ROWS($U$2:U398),$U$2:$U$1001,0),1)&gt;=100000,INDEX($AB$1005:$AQ$1005,1,MATCH(COLUMNS($AB$1006:AG1006),$AB$1006:$AQ$1006,0))&gt;=100000), " ",IF(INDEX($AB$2:$AQ$1001,MATCH(ROWS($U$2:U398),$U$2:$U$1001,0),MATCH(COLUMNS($AB$1006:AG1006),$AB$1006:$AQ$1006,0)), HYPERLINK("#",""), HYPERLINK(CONCATENATE("#Metadata!", ADDRESS(INDEX($W$2:$W$1001,MATCH(ROWS($U$2:U398),$U$2:$U$1001,0),0), INDEX($AB$1004:$AQ$1004,1,MATCH(COLUMNS($AB$1006:AG1006),$AB$1006:$AQ$1006,0)))),"Fix")))</f>
        <v>0</v>
      </c>
      <c r="H398" s="5">
        <f>IF(OR(INDEX($V$2:$V$1001,MATCH(ROWS($U$2:U398),$U$2:$U$1001,0),1)&gt;=100000,INDEX($AB$1005:$AQ$1005,1,MATCH(COLUMNS($AB$1006:AH1006),$AB$1006:$AQ$1006,0))&gt;=100000), " ",IF(INDEX($AB$2:$AQ$1001,MATCH(ROWS($U$2:U398),$U$2:$U$1001,0),MATCH(COLUMNS($AB$1006:AH1006),$AB$1006:$AQ$1006,0)), HYPERLINK("#",""), HYPERLINK(CONCATENATE("#Metadata!", ADDRESS(INDEX($W$2:$W$1001,MATCH(ROWS($U$2:U398),$U$2:$U$1001,0),0), INDEX($AB$1004:$AQ$1004,1,MATCH(COLUMNS($AB$1006:AH1006),$AB$1006:$AQ$1006,0)))),"Fix")))</f>
        <v>0</v>
      </c>
      <c r="I398" s="5">
        <f>IF(OR(INDEX($V$2:$V$1001,MATCH(ROWS($U$2:U398),$U$2:$U$1001,0),1)&gt;=100000,INDEX($AB$1005:$AQ$1005,1,MATCH(COLUMNS($AB$1006:AI1006),$AB$1006:$AQ$1006,0))&gt;=100000), " ",IF(INDEX($AB$2:$AQ$1001,MATCH(ROWS($U$2:U398),$U$2:$U$1001,0),MATCH(COLUMNS($AB$1006:AI1006),$AB$1006:$AQ$1006,0)), HYPERLINK("#",""), HYPERLINK(CONCATENATE("#Metadata!", ADDRESS(INDEX($W$2:$W$1001,MATCH(ROWS($U$2:U398),$U$2:$U$1001,0),0), INDEX($AB$1004:$AQ$1004,1,MATCH(COLUMNS($AB$1006:AI1006),$AB$1006:$AQ$1006,0)))),"Fix")))</f>
        <v>0</v>
      </c>
      <c r="J398" s="5">
        <f>IF(OR(INDEX($V$2:$V$1001,MATCH(ROWS($U$2:U398),$U$2:$U$1001,0),1)&gt;=100000,INDEX($AB$1005:$AQ$1005,1,MATCH(COLUMNS($AB$1006:AJ1006),$AB$1006:$AQ$1006,0))&gt;=100000), " ",IF(INDEX($AB$2:$AQ$1001,MATCH(ROWS($U$2:U398),$U$2:$U$1001,0),MATCH(COLUMNS($AB$1006:AJ1006),$AB$1006:$AQ$1006,0)), HYPERLINK("#",""), HYPERLINK(CONCATENATE("#Metadata!", ADDRESS(INDEX($W$2:$W$1001,MATCH(ROWS($U$2:U398),$U$2:$U$1001,0),0), INDEX($AB$1004:$AQ$1004,1,MATCH(COLUMNS($AB$1006:AJ1006),$AB$1006:$AQ$1006,0)))),"Fix")))</f>
        <v>0</v>
      </c>
      <c r="K398" s="5">
        <f>IF(OR(INDEX($V$2:$V$1001,MATCH(ROWS($U$2:U398),$U$2:$U$1001,0),1)&gt;=100000,INDEX($AB$1005:$AQ$1005,1,MATCH(COLUMNS($AB$1006:AK1006),$AB$1006:$AQ$1006,0))&gt;=100000), " ",IF(INDEX($AB$2:$AQ$1001,MATCH(ROWS($U$2:U398),$U$2:$U$1001,0),MATCH(COLUMNS($AB$1006:AK1006),$AB$1006:$AQ$1006,0)), HYPERLINK("#",""), HYPERLINK(CONCATENATE("#Metadata!", ADDRESS(INDEX($W$2:$W$1001,MATCH(ROWS($U$2:U398),$U$2:$U$1001,0),0), INDEX($AB$1004:$AQ$1004,1,MATCH(COLUMNS($AB$1006:AK1006),$AB$1006:$AQ$1006,0)))),"Fix")))</f>
        <v>0</v>
      </c>
      <c r="L398" s="5">
        <f>IF(OR(INDEX($V$2:$V$1001,MATCH(ROWS($U$2:U398),$U$2:$U$1001,0),1)&gt;=100000,INDEX($AB$1005:$AQ$1005,1,MATCH(COLUMNS($AB$1006:AL1006),$AB$1006:$AQ$1006,0))&gt;=100000), " ",IF(INDEX($AB$2:$AQ$1001,MATCH(ROWS($U$2:U398),$U$2:$U$1001,0),MATCH(COLUMNS($AB$1006:AL1006),$AB$1006:$AQ$1006,0)), HYPERLINK("#",""), HYPERLINK(CONCATENATE("#Metadata!", ADDRESS(INDEX($W$2:$W$1001,MATCH(ROWS($U$2:U398),$U$2:$U$1001,0),0), INDEX($AB$1004:$AQ$1004,1,MATCH(COLUMNS($AB$1006:AL1006),$AB$1006:$AQ$1006,0)))),"Fix")))</f>
        <v>0</v>
      </c>
      <c r="M398" s="5">
        <f>IF(OR(INDEX($V$2:$V$1001,MATCH(ROWS($U$2:U398),$U$2:$U$1001,0),1)&gt;=100000,INDEX($AB$1005:$AQ$1005,1,MATCH(COLUMNS($AB$1006:AM1006),$AB$1006:$AQ$1006,0))&gt;=100000), " ",IF(INDEX($AB$2:$AQ$1001,MATCH(ROWS($U$2:U398),$U$2:$U$1001,0),MATCH(COLUMNS($AB$1006:AM1006),$AB$1006:$AQ$1006,0)), HYPERLINK("#",""), HYPERLINK(CONCATENATE("#Metadata!", ADDRESS(INDEX($W$2:$W$1001,MATCH(ROWS($U$2:U398),$U$2:$U$1001,0),0), INDEX($AB$1004:$AQ$1004,1,MATCH(COLUMNS($AB$1006:AM1006),$AB$1006:$AQ$1006,0)))),"Fix")))</f>
        <v>0</v>
      </c>
      <c r="N398" s="5">
        <f>IF(OR(INDEX($V$2:$V$1001,MATCH(ROWS($U$2:U398),$U$2:$U$1001,0),1)&gt;=100000,INDEX($AB$1005:$AQ$1005,1,MATCH(COLUMNS($AB$1006:AN1006),$AB$1006:$AQ$1006,0))&gt;=100000), " ",IF(INDEX($AB$2:$AQ$1001,MATCH(ROWS($U$2:U398),$U$2:$U$1001,0),MATCH(COLUMNS($AB$1006:AN1006),$AB$1006:$AQ$1006,0)), HYPERLINK("#",""), HYPERLINK(CONCATENATE("#Metadata!", ADDRESS(INDEX($W$2:$W$1001,MATCH(ROWS($U$2:U398),$U$2:$U$1001,0),0), INDEX($AB$1004:$AQ$1004,1,MATCH(COLUMNS($AB$1006:AN1006),$AB$1006:$AQ$1006,0)))),"Fix")))</f>
        <v>0</v>
      </c>
      <c r="O398" s="5">
        <f>IF(OR(INDEX($V$2:$V$1001,MATCH(ROWS($U$2:U398),$U$2:$U$1001,0),1)&gt;=100000,INDEX($AB$1005:$AQ$1005,1,MATCH(COLUMNS($AB$1006:AO1006),$AB$1006:$AQ$1006,0))&gt;=100000), " ",IF(INDEX($AB$2:$AQ$1001,MATCH(ROWS($U$2:U398),$U$2:$U$1001,0),MATCH(COLUMNS($AB$1006:AO1006),$AB$1006:$AQ$1006,0)), HYPERLINK("#",""), HYPERLINK(CONCATENATE("#Metadata!", ADDRESS(INDEX($W$2:$W$1001,MATCH(ROWS($U$2:U398),$U$2:$U$1001,0),0), INDEX($AB$1004:$AQ$1004,1,MATCH(COLUMNS($AB$1006:AO1006),$AB$1006:$AQ$1006,0)))),"Fix")))</f>
        <v>0</v>
      </c>
      <c r="P398" s="5">
        <f>IF(OR(INDEX($V$2:$V$1001,MATCH(ROWS($U$2:U398),$U$2:$U$1001,0),1)&gt;=100000,INDEX($AB$1005:$AQ$1005,1,MATCH(COLUMNS($AB$1006:AP1006),$AB$1006:$AQ$1006,0))&gt;=100000), " ",IF(INDEX($AB$2:$AQ$1001,MATCH(ROWS($U$2:U398),$U$2:$U$1001,0),MATCH(COLUMNS($AB$1006:AP1006),$AB$1006:$AQ$1006,0)), HYPERLINK("#",""), HYPERLINK(CONCATENATE("#Metadata!", ADDRESS(INDEX($W$2:$W$1001,MATCH(ROWS($U$2:U398),$U$2:$U$1001,0),0), INDEX($AB$1004:$AQ$1004,1,MATCH(COLUMNS($AB$1006:AP1006),$AB$1006:$AQ$1006,0)))),"Fix")))</f>
        <v>0</v>
      </c>
      <c r="Q398" s="5">
        <f>IF(OR(INDEX($V$2:$V$1001,MATCH(ROWS($U$2:U398),$U$2:$U$1001,0),1)&gt;=100000,INDEX($AB$1005:$AQ$1005,1,MATCH(COLUMNS($AB$1006:AQ1006),$AB$1006:$AQ$1006,0))&gt;=100000), " ",IF(INDEX($AB$2:$AQ$1001,MATCH(ROWS($U$2:U398),$U$2:$U$1001,0),MATCH(COLUMNS($AB$1006:AQ1006),$AB$1006:$AQ$1006,0)), HYPERLINK("#",""), HYPERLINK(CONCATENATE("#Metadata!", ADDRESS(INDEX($W$2:$W$1001,MATCH(ROWS($U$2:U398),$U$2:$U$1001,0),0), INDEX($AB$1004:$AQ$1004,1,MATCH(COLUMNS($AB$1006:AQ1006),$AB$1006:$AQ$1006,0)))),"Fix")))</f>
        <v>0</v>
      </c>
      <c r="U398">
        <v>0</v>
      </c>
      <c r="V398">
        <v>0</v>
      </c>
      <c r="W398">
        <v>0</v>
      </c>
      <c r="X398">
        <f>IF(Y398,TRUE,AND(AB398:AQ398))</f>
        <v>0</v>
      </c>
      <c r="Y398">
        <f>COUNTBLANK(Metadata!B398:Q398)=COLUMNS(Metadata!B398:Q398)</f>
        <v>0</v>
      </c>
      <c r="Z398">
        <v>0</v>
      </c>
      <c r="AB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AC398">
        <f>AND(IF(Metadata!C398="",FALSE,TRUE),exact(Metadata!C398,"urban biome"))</f>
        <v>0</v>
      </c>
      <c r="AD398">
        <f>AND(IF(Metadata!D398="",FALSE,TRUE),exact(Metadata!D398,"human-associated habitat"))</f>
        <v>0</v>
      </c>
      <c r="AE398">
        <f>AND(IF(Metadata!E398="",FALSE,TRUE),OR(exact(Metadata!E398,"human-associated"),exact(Metadata!E398,"human-skin"),exact(Metadata!E398,"human-oral"),exact(Metadata!E398,"human-gut"),exact(Metadata!E398,"human-vaginal")))</f>
        <v>0</v>
      </c>
      <c r="AF398">
        <f>AND(IF(Metadata!F398="",FALSE,ISNUMBER(VALUE(Metadata!F398))),Metadata!F398&gt;0)</f>
        <v>0</v>
      </c>
      <c r="AG398">
        <f>AND(IF(Metadata!G398="",FALSE,TRUE),exact(Metadata!G398,"years"))</f>
        <v>0</v>
      </c>
      <c r="AH398">
        <f>OR(AND(IF(Metadata!H398="",FALSE,TRUE),OR(exact(Metadata!H398,"not applicable"),exact(Metadata!H398,"not collected"),exact(Metadata!H398,"not provided"),exact(Metadata!H398,"restricted access"))),AND(IF(Metadata!H398="",FALSE,ISNUMBER(VALUE(Metadata!H398))),Metadata!H398&gt;0))</f>
        <v>0</v>
      </c>
      <c r="AI398">
        <f>AND(IF(Metadata!I398="",FALSE,TRUE),exact(Metadata!I398,"human"))</f>
        <v>0</v>
      </c>
      <c r="AJ398">
        <f>AND(IF(Metadata!J398="",FALSE,ISNUMBER(VALUE(Metadata!J398))),Metadata!J398&gt;0)</f>
        <v>0</v>
      </c>
      <c r="AK398">
        <f>AND(IF(Metadata!K398="",FALSE,TRUE),exact(Metadata!K398,"cm"))</f>
        <v>0</v>
      </c>
      <c r="AL398">
        <f>AND(IF(Metadata!L398="",FALSE,TRUE),exact(Metadata!L398,"Homo sapiens"))</f>
        <v>0</v>
      </c>
      <c r="AM398">
        <f>AND(IF(Metadata!M398="",FALSE,TRUE),exact(Metadata!M398,"9606"))</f>
        <v>0</v>
      </c>
      <c r="AN398">
        <f>AND(IF(Metadata!N398="",FALSE,ISNUMBER(VALUE(Metadata!N398))),Metadata!N398&gt;0)</f>
        <v>0</v>
      </c>
      <c r="AO398">
        <f>AND(IF(Metadata!O398="",FALSE,TRUE),exact(Metadata!O398,"kg"))</f>
        <v>0</v>
      </c>
      <c r="AP398">
        <f>OR(AND(IF(Metadata!P398="",FALSE,TRUE),exact(Metadata!P398,"not provided")),IF(Metadata!P398="",FALSE,TRUE))</f>
        <v>0</v>
      </c>
      <c r="AQ398">
        <f>OR(AND(IF(Metadata!Q398="",FALSE,TRUE),exact(Metadata!Q398,"not provided")),IF(Metadata!Q398="",FALSE,TRUE))</f>
        <v>0</v>
      </c>
    </row>
    <row r="399" spans="1:43">
      <c r="A399" s="4">
        <f>IF(B399=" "," ",HYPERLINK(CONCATENATE("#metadata!",ADDRESS(INDEX($W$2:$W$1001,MATCH(ROWS($U$2:U399),$U$2:$U$1001,0),0),2)),INDEX($Z$2:$Z$1001,MATCH(ROWS($U$2:U399),$U$2:$U$1001,0),0)))</f>
        <v>0</v>
      </c>
      <c r="B399" s="5">
        <f>IF(OR(INDEX($V$2:$V$1001,MATCH(ROWS($U$2:U399),$U$2:$U$1001,0),1)&gt;=100000,INDEX($AB$1005:$AQ$1005,1,MATCH(COLUMNS($AB$1006:AB1006),$AB$1006:$AQ$1006,0))&gt;=100000), " ",IF(INDEX($AB$2:$AQ$1001,MATCH(ROWS($U$2:U399),$U$2:$U$1001,0),MATCH(COLUMNS($AB$1006:AB1006),$AB$1006:$AQ$1006,0)), HYPERLINK("#",""), HYPERLINK(CONCATENATE("#Metadata!", ADDRESS(INDEX($W$2:$W$1001,MATCH(ROWS($U$2:U399),$U$2:$U$1001,0),0), INDEX($AB$1004:$AQ$1004,1,MATCH(COLUMNS($AB$1006:AB1006),$AB$1006:$AQ$1006,0)))),"Fix")))</f>
        <v>0</v>
      </c>
      <c r="C399" s="5">
        <f>IF(OR(INDEX($V$2:$V$1001,MATCH(ROWS($U$2:U399),$U$2:$U$1001,0),1)&gt;=100000,INDEX($AB$1005:$AQ$1005,1,MATCH(COLUMNS($AB$1006:AC1006),$AB$1006:$AQ$1006,0))&gt;=100000), " ",IF(INDEX($AB$2:$AQ$1001,MATCH(ROWS($U$2:U399),$U$2:$U$1001,0),MATCH(COLUMNS($AB$1006:AC1006),$AB$1006:$AQ$1006,0)), HYPERLINK("#",""), HYPERLINK(CONCATENATE("#Metadata!", ADDRESS(INDEX($W$2:$W$1001,MATCH(ROWS($U$2:U399),$U$2:$U$1001,0),0), INDEX($AB$1004:$AQ$1004,1,MATCH(COLUMNS($AB$1006:AC1006),$AB$1006:$AQ$1006,0)))),"Fix")))</f>
        <v>0</v>
      </c>
      <c r="D399" s="5">
        <f>IF(OR(INDEX($V$2:$V$1001,MATCH(ROWS($U$2:U399),$U$2:$U$1001,0),1)&gt;=100000,INDEX($AB$1005:$AQ$1005,1,MATCH(COLUMNS($AB$1006:AD1006),$AB$1006:$AQ$1006,0))&gt;=100000), " ",IF(INDEX($AB$2:$AQ$1001,MATCH(ROWS($U$2:U399),$U$2:$U$1001,0),MATCH(COLUMNS($AB$1006:AD1006),$AB$1006:$AQ$1006,0)), HYPERLINK("#",""), HYPERLINK(CONCATENATE("#Metadata!", ADDRESS(INDEX($W$2:$W$1001,MATCH(ROWS($U$2:U399),$U$2:$U$1001,0),0), INDEX($AB$1004:$AQ$1004,1,MATCH(COLUMNS($AB$1006:AD1006),$AB$1006:$AQ$1006,0)))),"Fix")))</f>
        <v>0</v>
      </c>
      <c r="E399" s="5">
        <f>IF(OR(INDEX($V$2:$V$1001,MATCH(ROWS($U$2:U399),$U$2:$U$1001,0),1)&gt;=100000,INDEX($AB$1005:$AQ$1005,1,MATCH(COLUMNS($AB$1006:AE1006),$AB$1006:$AQ$1006,0))&gt;=100000), " ",IF(INDEX($AB$2:$AQ$1001,MATCH(ROWS($U$2:U399),$U$2:$U$1001,0),MATCH(COLUMNS($AB$1006:AE1006),$AB$1006:$AQ$1006,0)), HYPERLINK("#",""), HYPERLINK(CONCATENATE("#Metadata!", ADDRESS(INDEX($W$2:$W$1001,MATCH(ROWS($U$2:U399),$U$2:$U$1001,0),0), INDEX($AB$1004:$AQ$1004,1,MATCH(COLUMNS($AB$1006:AE1006),$AB$1006:$AQ$1006,0)))),"Fix")))</f>
        <v>0</v>
      </c>
      <c r="F399" s="5">
        <f>IF(OR(INDEX($V$2:$V$1001,MATCH(ROWS($U$2:U399),$U$2:$U$1001,0),1)&gt;=100000,INDEX($AB$1005:$AQ$1005,1,MATCH(COLUMNS($AB$1006:AF1006),$AB$1006:$AQ$1006,0))&gt;=100000), " ",IF(INDEX($AB$2:$AQ$1001,MATCH(ROWS($U$2:U399),$U$2:$U$1001,0),MATCH(COLUMNS($AB$1006:AF1006),$AB$1006:$AQ$1006,0)), HYPERLINK("#",""), HYPERLINK(CONCATENATE("#Metadata!", ADDRESS(INDEX($W$2:$W$1001,MATCH(ROWS($U$2:U399),$U$2:$U$1001,0),0), INDEX($AB$1004:$AQ$1004,1,MATCH(COLUMNS($AB$1006:AF1006),$AB$1006:$AQ$1006,0)))),"Fix")))</f>
        <v>0</v>
      </c>
      <c r="G399" s="5">
        <f>IF(OR(INDEX($V$2:$V$1001,MATCH(ROWS($U$2:U399),$U$2:$U$1001,0),1)&gt;=100000,INDEX($AB$1005:$AQ$1005,1,MATCH(COLUMNS($AB$1006:AG1006),$AB$1006:$AQ$1006,0))&gt;=100000), " ",IF(INDEX($AB$2:$AQ$1001,MATCH(ROWS($U$2:U399),$U$2:$U$1001,0),MATCH(COLUMNS($AB$1006:AG1006),$AB$1006:$AQ$1006,0)), HYPERLINK("#",""), HYPERLINK(CONCATENATE("#Metadata!", ADDRESS(INDEX($W$2:$W$1001,MATCH(ROWS($U$2:U399),$U$2:$U$1001,0),0), INDEX($AB$1004:$AQ$1004,1,MATCH(COLUMNS($AB$1006:AG1006),$AB$1006:$AQ$1006,0)))),"Fix")))</f>
        <v>0</v>
      </c>
      <c r="H399" s="5">
        <f>IF(OR(INDEX($V$2:$V$1001,MATCH(ROWS($U$2:U399),$U$2:$U$1001,0),1)&gt;=100000,INDEX($AB$1005:$AQ$1005,1,MATCH(COLUMNS($AB$1006:AH1006),$AB$1006:$AQ$1006,0))&gt;=100000), " ",IF(INDEX($AB$2:$AQ$1001,MATCH(ROWS($U$2:U399),$U$2:$U$1001,0),MATCH(COLUMNS($AB$1006:AH1006),$AB$1006:$AQ$1006,0)), HYPERLINK("#",""), HYPERLINK(CONCATENATE("#Metadata!", ADDRESS(INDEX($W$2:$W$1001,MATCH(ROWS($U$2:U399),$U$2:$U$1001,0),0), INDEX($AB$1004:$AQ$1004,1,MATCH(COLUMNS($AB$1006:AH1006),$AB$1006:$AQ$1006,0)))),"Fix")))</f>
        <v>0</v>
      </c>
      <c r="I399" s="5">
        <f>IF(OR(INDEX($V$2:$V$1001,MATCH(ROWS($U$2:U399),$U$2:$U$1001,0),1)&gt;=100000,INDEX($AB$1005:$AQ$1005,1,MATCH(COLUMNS($AB$1006:AI1006),$AB$1006:$AQ$1006,0))&gt;=100000), " ",IF(INDEX($AB$2:$AQ$1001,MATCH(ROWS($U$2:U399),$U$2:$U$1001,0),MATCH(COLUMNS($AB$1006:AI1006),$AB$1006:$AQ$1006,0)), HYPERLINK("#",""), HYPERLINK(CONCATENATE("#Metadata!", ADDRESS(INDEX($W$2:$W$1001,MATCH(ROWS($U$2:U399),$U$2:$U$1001,0),0), INDEX($AB$1004:$AQ$1004,1,MATCH(COLUMNS($AB$1006:AI1006),$AB$1006:$AQ$1006,0)))),"Fix")))</f>
        <v>0</v>
      </c>
      <c r="J399" s="5">
        <f>IF(OR(INDEX($V$2:$V$1001,MATCH(ROWS($U$2:U399),$U$2:$U$1001,0),1)&gt;=100000,INDEX($AB$1005:$AQ$1005,1,MATCH(COLUMNS($AB$1006:AJ1006),$AB$1006:$AQ$1006,0))&gt;=100000), " ",IF(INDEX($AB$2:$AQ$1001,MATCH(ROWS($U$2:U399),$U$2:$U$1001,0),MATCH(COLUMNS($AB$1006:AJ1006),$AB$1006:$AQ$1006,0)), HYPERLINK("#",""), HYPERLINK(CONCATENATE("#Metadata!", ADDRESS(INDEX($W$2:$W$1001,MATCH(ROWS($U$2:U399),$U$2:$U$1001,0),0), INDEX($AB$1004:$AQ$1004,1,MATCH(COLUMNS($AB$1006:AJ1006),$AB$1006:$AQ$1006,0)))),"Fix")))</f>
        <v>0</v>
      </c>
      <c r="K399" s="5">
        <f>IF(OR(INDEX($V$2:$V$1001,MATCH(ROWS($U$2:U399),$U$2:$U$1001,0),1)&gt;=100000,INDEX($AB$1005:$AQ$1005,1,MATCH(COLUMNS($AB$1006:AK1006),$AB$1006:$AQ$1006,0))&gt;=100000), " ",IF(INDEX($AB$2:$AQ$1001,MATCH(ROWS($U$2:U399),$U$2:$U$1001,0),MATCH(COLUMNS($AB$1006:AK1006),$AB$1006:$AQ$1006,0)), HYPERLINK("#",""), HYPERLINK(CONCATENATE("#Metadata!", ADDRESS(INDEX($W$2:$W$1001,MATCH(ROWS($U$2:U399),$U$2:$U$1001,0),0), INDEX($AB$1004:$AQ$1004,1,MATCH(COLUMNS($AB$1006:AK1006),$AB$1006:$AQ$1006,0)))),"Fix")))</f>
        <v>0</v>
      </c>
      <c r="L399" s="5">
        <f>IF(OR(INDEX($V$2:$V$1001,MATCH(ROWS($U$2:U399),$U$2:$U$1001,0),1)&gt;=100000,INDEX($AB$1005:$AQ$1005,1,MATCH(COLUMNS($AB$1006:AL1006),$AB$1006:$AQ$1006,0))&gt;=100000), " ",IF(INDEX($AB$2:$AQ$1001,MATCH(ROWS($U$2:U399),$U$2:$U$1001,0),MATCH(COLUMNS($AB$1006:AL1006),$AB$1006:$AQ$1006,0)), HYPERLINK("#",""), HYPERLINK(CONCATENATE("#Metadata!", ADDRESS(INDEX($W$2:$W$1001,MATCH(ROWS($U$2:U399),$U$2:$U$1001,0),0), INDEX($AB$1004:$AQ$1004,1,MATCH(COLUMNS($AB$1006:AL1006),$AB$1006:$AQ$1006,0)))),"Fix")))</f>
        <v>0</v>
      </c>
      <c r="M399" s="5">
        <f>IF(OR(INDEX($V$2:$V$1001,MATCH(ROWS($U$2:U399),$U$2:$U$1001,0),1)&gt;=100000,INDEX($AB$1005:$AQ$1005,1,MATCH(COLUMNS($AB$1006:AM1006),$AB$1006:$AQ$1006,0))&gt;=100000), " ",IF(INDEX($AB$2:$AQ$1001,MATCH(ROWS($U$2:U399),$U$2:$U$1001,0),MATCH(COLUMNS($AB$1006:AM1006),$AB$1006:$AQ$1006,0)), HYPERLINK("#",""), HYPERLINK(CONCATENATE("#Metadata!", ADDRESS(INDEX($W$2:$W$1001,MATCH(ROWS($U$2:U399),$U$2:$U$1001,0),0), INDEX($AB$1004:$AQ$1004,1,MATCH(COLUMNS($AB$1006:AM1006),$AB$1006:$AQ$1006,0)))),"Fix")))</f>
        <v>0</v>
      </c>
      <c r="N399" s="5">
        <f>IF(OR(INDEX($V$2:$V$1001,MATCH(ROWS($U$2:U399),$U$2:$U$1001,0),1)&gt;=100000,INDEX($AB$1005:$AQ$1005,1,MATCH(COLUMNS($AB$1006:AN1006),$AB$1006:$AQ$1006,0))&gt;=100000), " ",IF(INDEX($AB$2:$AQ$1001,MATCH(ROWS($U$2:U399),$U$2:$U$1001,0),MATCH(COLUMNS($AB$1006:AN1006),$AB$1006:$AQ$1006,0)), HYPERLINK("#",""), HYPERLINK(CONCATENATE("#Metadata!", ADDRESS(INDEX($W$2:$W$1001,MATCH(ROWS($U$2:U399),$U$2:$U$1001,0),0), INDEX($AB$1004:$AQ$1004,1,MATCH(COLUMNS($AB$1006:AN1006),$AB$1006:$AQ$1006,0)))),"Fix")))</f>
        <v>0</v>
      </c>
      <c r="O399" s="5">
        <f>IF(OR(INDEX($V$2:$V$1001,MATCH(ROWS($U$2:U399),$U$2:$U$1001,0),1)&gt;=100000,INDEX($AB$1005:$AQ$1005,1,MATCH(COLUMNS($AB$1006:AO1006),$AB$1006:$AQ$1006,0))&gt;=100000), " ",IF(INDEX($AB$2:$AQ$1001,MATCH(ROWS($U$2:U399),$U$2:$U$1001,0),MATCH(COLUMNS($AB$1006:AO1006),$AB$1006:$AQ$1006,0)), HYPERLINK("#",""), HYPERLINK(CONCATENATE("#Metadata!", ADDRESS(INDEX($W$2:$W$1001,MATCH(ROWS($U$2:U399),$U$2:$U$1001,0),0), INDEX($AB$1004:$AQ$1004,1,MATCH(COLUMNS($AB$1006:AO1006),$AB$1006:$AQ$1006,0)))),"Fix")))</f>
        <v>0</v>
      </c>
      <c r="P399" s="5">
        <f>IF(OR(INDEX($V$2:$V$1001,MATCH(ROWS($U$2:U399),$U$2:$U$1001,0),1)&gt;=100000,INDEX($AB$1005:$AQ$1005,1,MATCH(COLUMNS($AB$1006:AP1006),$AB$1006:$AQ$1006,0))&gt;=100000), " ",IF(INDEX($AB$2:$AQ$1001,MATCH(ROWS($U$2:U399),$U$2:$U$1001,0),MATCH(COLUMNS($AB$1006:AP1006),$AB$1006:$AQ$1006,0)), HYPERLINK("#",""), HYPERLINK(CONCATENATE("#Metadata!", ADDRESS(INDEX($W$2:$W$1001,MATCH(ROWS($U$2:U399),$U$2:$U$1001,0),0), INDEX($AB$1004:$AQ$1004,1,MATCH(COLUMNS($AB$1006:AP1006),$AB$1006:$AQ$1006,0)))),"Fix")))</f>
        <v>0</v>
      </c>
      <c r="Q399" s="5">
        <f>IF(OR(INDEX($V$2:$V$1001,MATCH(ROWS($U$2:U399),$U$2:$U$1001,0),1)&gt;=100000,INDEX($AB$1005:$AQ$1005,1,MATCH(COLUMNS($AB$1006:AQ1006),$AB$1006:$AQ$1006,0))&gt;=100000), " ",IF(INDEX($AB$2:$AQ$1001,MATCH(ROWS($U$2:U399),$U$2:$U$1001,0),MATCH(COLUMNS($AB$1006:AQ1006),$AB$1006:$AQ$1006,0)), HYPERLINK("#",""), HYPERLINK(CONCATENATE("#Metadata!", ADDRESS(INDEX($W$2:$W$1001,MATCH(ROWS($U$2:U399),$U$2:$U$1001,0),0), INDEX($AB$1004:$AQ$1004,1,MATCH(COLUMNS($AB$1006:AQ1006),$AB$1006:$AQ$1006,0)))),"Fix")))</f>
        <v>0</v>
      </c>
      <c r="U399">
        <v>0</v>
      </c>
      <c r="V399">
        <v>0</v>
      </c>
      <c r="W399">
        <v>0</v>
      </c>
      <c r="X399">
        <f>IF(Y399,TRUE,AND(AB399:AQ399))</f>
        <v>0</v>
      </c>
      <c r="Y399">
        <f>COUNTBLANK(Metadata!B399:Q399)=COLUMNS(Metadata!B399:Q399)</f>
        <v>0</v>
      </c>
      <c r="Z399">
        <v>0</v>
      </c>
      <c r="AB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AC399">
        <f>AND(IF(Metadata!C399="",FALSE,TRUE),exact(Metadata!C399,"urban biome"))</f>
        <v>0</v>
      </c>
      <c r="AD399">
        <f>AND(IF(Metadata!D399="",FALSE,TRUE),exact(Metadata!D399,"human-associated habitat"))</f>
        <v>0</v>
      </c>
      <c r="AE399">
        <f>AND(IF(Metadata!E399="",FALSE,TRUE),OR(exact(Metadata!E399,"human-associated"),exact(Metadata!E399,"human-skin"),exact(Metadata!E399,"human-oral"),exact(Metadata!E399,"human-gut"),exact(Metadata!E399,"human-vaginal")))</f>
        <v>0</v>
      </c>
      <c r="AF399">
        <f>AND(IF(Metadata!F399="",FALSE,ISNUMBER(VALUE(Metadata!F399))),Metadata!F399&gt;0)</f>
        <v>0</v>
      </c>
      <c r="AG399">
        <f>AND(IF(Metadata!G399="",FALSE,TRUE),exact(Metadata!G399,"years"))</f>
        <v>0</v>
      </c>
      <c r="AH399">
        <f>OR(AND(IF(Metadata!H399="",FALSE,TRUE),OR(exact(Metadata!H399,"not applicable"),exact(Metadata!H399,"not collected"),exact(Metadata!H399,"not provided"),exact(Metadata!H399,"restricted access"))),AND(IF(Metadata!H399="",FALSE,ISNUMBER(VALUE(Metadata!H399))),Metadata!H399&gt;0))</f>
        <v>0</v>
      </c>
      <c r="AI399">
        <f>AND(IF(Metadata!I399="",FALSE,TRUE),exact(Metadata!I399,"human"))</f>
        <v>0</v>
      </c>
      <c r="AJ399">
        <f>AND(IF(Metadata!J399="",FALSE,ISNUMBER(VALUE(Metadata!J399))),Metadata!J399&gt;0)</f>
        <v>0</v>
      </c>
      <c r="AK399">
        <f>AND(IF(Metadata!K399="",FALSE,TRUE),exact(Metadata!K399,"cm"))</f>
        <v>0</v>
      </c>
      <c r="AL399">
        <f>AND(IF(Metadata!L399="",FALSE,TRUE),exact(Metadata!L399,"Homo sapiens"))</f>
        <v>0</v>
      </c>
      <c r="AM399">
        <f>AND(IF(Metadata!M399="",FALSE,TRUE),exact(Metadata!M399,"9606"))</f>
        <v>0</v>
      </c>
      <c r="AN399">
        <f>AND(IF(Metadata!N399="",FALSE,ISNUMBER(VALUE(Metadata!N399))),Metadata!N399&gt;0)</f>
        <v>0</v>
      </c>
      <c r="AO399">
        <f>AND(IF(Metadata!O399="",FALSE,TRUE),exact(Metadata!O399,"kg"))</f>
        <v>0</v>
      </c>
      <c r="AP399">
        <f>OR(AND(IF(Metadata!P399="",FALSE,TRUE),exact(Metadata!P399,"not provided")),IF(Metadata!P399="",FALSE,TRUE))</f>
        <v>0</v>
      </c>
      <c r="AQ399">
        <f>OR(AND(IF(Metadata!Q399="",FALSE,TRUE),exact(Metadata!Q399,"not provided")),IF(Metadata!Q399="",FALSE,TRUE))</f>
        <v>0</v>
      </c>
    </row>
    <row r="400" spans="1:43">
      <c r="A400" s="4">
        <f>IF(B400=" "," ",HYPERLINK(CONCATENATE("#metadata!",ADDRESS(INDEX($W$2:$W$1001,MATCH(ROWS($U$2:U400),$U$2:$U$1001,0),0),2)),INDEX($Z$2:$Z$1001,MATCH(ROWS($U$2:U400),$U$2:$U$1001,0),0)))</f>
        <v>0</v>
      </c>
      <c r="B400" s="5">
        <f>IF(OR(INDEX($V$2:$V$1001,MATCH(ROWS($U$2:U400),$U$2:$U$1001,0),1)&gt;=100000,INDEX($AB$1005:$AQ$1005,1,MATCH(COLUMNS($AB$1006:AB1006),$AB$1006:$AQ$1006,0))&gt;=100000), " ",IF(INDEX($AB$2:$AQ$1001,MATCH(ROWS($U$2:U400),$U$2:$U$1001,0),MATCH(COLUMNS($AB$1006:AB1006),$AB$1006:$AQ$1006,0)), HYPERLINK("#",""), HYPERLINK(CONCATENATE("#Metadata!", ADDRESS(INDEX($W$2:$W$1001,MATCH(ROWS($U$2:U400),$U$2:$U$1001,0),0), INDEX($AB$1004:$AQ$1004,1,MATCH(COLUMNS($AB$1006:AB1006),$AB$1006:$AQ$1006,0)))),"Fix")))</f>
        <v>0</v>
      </c>
      <c r="C400" s="5">
        <f>IF(OR(INDEX($V$2:$V$1001,MATCH(ROWS($U$2:U400),$U$2:$U$1001,0),1)&gt;=100000,INDEX($AB$1005:$AQ$1005,1,MATCH(COLUMNS($AB$1006:AC1006),$AB$1006:$AQ$1006,0))&gt;=100000), " ",IF(INDEX($AB$2:$AQ$1001,MATCH(ROWS($U$2:U400),$U$2:$U$1001,0),MATCH(COLUMNS($AB$1006:AC1006),$AB$1006:$AQ$1006,0)), HYPERLINK("#",""), HYPERLINK(CONCATENATE("#Metadata!", ADDRESS(INDEX($W$2:$W$1001,MATCH(ROWS($U$2:U400),$U$2:$U$1001,0),0), INDEX($AB$1004:$AQ$1004,1,MATCH(COLUMNS($AB$1006:AC1006),$AB$1006:$AQ$1006,0)))),"Fix")))</f>
        <v>0</v>
      </c>
      <c r="D400" s="5">
        <f>IF(OR(INDEX($V$2:$V$1001,MATCH(ROWS($U$2:U400),$U$2:$U$1001,0),1)&gt;=100000,INDEX($AB$1005:$AQ$1005,1,MATCH(COLUMNS($AB$1006:AD1006),$AB$1006:$AQ$1006,0))&gt;=100000), " ",IF(INDEX($AB$2:$AQ$1001,MATCH(ROWS($U$2:U400),$U$2:$U$1001,0),MATCH(COLUMNS($AB$1006:AD1006),$AB$1006:$AQ$1006,0)), HYPERLINK("#",""), HYPERLINK(CONCATENATE("#Metadata!", ADDRESS(INDEX($W$2:$W$1001,MATCH(ROWS($U$2:U400),$U$2:$U$1001,0),0), INDEX($AB$1004:$AQ$1004,1,MATCH(COLUMNS($AB$1006:AD1006),$AB$1006:$AQ$1006,0)))),"Fix")))</f>
        <v>0</v>
      </c>
      <c r="E400" s="5">
        <f>IF(OR(INDEX($V$2:$V$1001,MATCH(ROWS($U$2:U400),$U$2:$U$1001,0),1)&gt;=100000,INDEX($AB$1005:$AQ$1005,1,MATCH(COLUMNS($AB$1006:AE1006),$AB$1006:$AQ$1006,0))&gt;=100000), " ",IF(INDEX($AB$2:$AQ$1001,MATCH(ROWS($U$2:U400),$U$2:$U$1001,0),MATCH(COLUMNS($AB$1006:AE1006),$AB$1006:$AQ$1006,0)), HYPERLINK("#",""), HYPERLINK(CONCATENATE("#Metadata!", ADDRESS(INDEX($W$2:$W$1001,MATCH(ROWS($U$2:U400),$U$2:$U$1001,0),0), INDEX($AB$1004:$AQ$1004,1,MATCH(COLUMNS($AB$1006:AE1006),$AB$1006:$AQ$1006,0)))),"Fix")))</f>
        <v>0</v>
      </c>
      <c r="F400" s="5">
        <f>IF(OR(INDEX($V$2:$V$1001,MATCH(ROWS($U$2:U400),$U$2:$U$1001,0),1)&gt;=100000,INDEX($AB$1005:$AQ$1005,1,MATCH(COLUMNS($AB$1006:AF1006),$AB$1006:$AQ$1006,0))&gt;=100000), " ",IF(INDEX($AB$2:$AQ$1001,MATCH(ROWS($U$2:U400),$U$2:$U$1001,0),MATCH(COLUMNS($AB$1006:AF1006),$AB$1006:$AQ$1006,0)), HYPERLINK("#",""), HYPERLINK(CONCATENATE("#Metadata!", ADDRESS(INDEX($W$2:$W$1001,MATCH(ROWS($U$2:U400),$U$2:$U$1001,0),0), INDEX($AB$1004:$AQ$1004,1,MATCH(COLUMNS($AB$1006:AF1006),$AB$1006:$AQ$1006,0)))),"Fix")))</f>
        <v>0</v>
      </c>
      <c r="G400" s="5">
        <f>IF(OR(INDEX($V$2:$V$1001,MATCH(ROWS($U$2:U400),$U$2:$U$1001,0),1)&gt;=100000,INDEX($AB$1005:$AQ$1005,1,MATCH(COLUMNS($AB$1006:AG1006),$AB$1006:$AQ$1006,0))&gt;=100000), " ",IF(INDEX($AB$2:$AQ$1001,MATCH(ROWS($U$2:U400),$U$2:$U$1001,0),MATCH(COLUMNS($AB$1006:AG1006),$AB$1006:$AQ$1006,0)), HYPERLINK("#",""), HYPERLINK(CONCATENATE("#Metadata!", ADDRESS(INDEX($W$2:$W$1001,MATCH(ROWS($U$2:U400),$U$2:$U$1001,0),0), INDEX($AB$1004:$AQ$1004,1,MATCH(COLUMNS($AB$1006:AG1006),$AB$1006:$AQ$1006,0)))),"Fix")))</f>
        <v>0</v>
      </c>
      <c r="H400" s="5">
        <f>IF(OR(INDEX($V$2:$V$1001,MATCH(ROWS($U$2:U400),$U$2:$U$1001,0),1)&gt;=100000,INDEX($AB$1005:$AQ$1005,1,MATCH(COLUMNS($AB$1006:AH1006),$AB$1006:$AQ$1006,0))&gt;=100000), " ",IF(INDEX($AB$2:$AQ$1001,MATCH(ROWS($U$2:U400),$U$2:$U$1001,0),MATCH(COLUMNS($AB$1006:AH1006),$AB$1006:$AQ$1006,0)), HYPERLINK("#",""), HYPERLINK(CONCATENATE("#Metadata!", ADDRESS(INDEX($W$2:$W$1001,MATCH(ROWS($U$2:U400),$U$2:$U$1001,0),0), INDEX($AB$1004:$AQ$1004,1,MATCH(COLUMNS($AB$1006:AH1006),$AB$1006:$AQ$1006,0)))),"Fix")))</f>
        <v>0</v>
      </c>
      <c r="I400" s="5">
        <f>IF(OR(INDEX($V$2:$V$1001,MATCH(ROWS($U$2:U400),$U$2:$U$1001,0),1)&gt;=100000,INDEX($AB$1005:$AQ$1005,1,MATCH(COLUMNS($AB$1006:AI1006),$AB$1006:$AQ$1006,0))&gt;=100000), " ",IF(INDEX($AB$2:$AQ$1001,MATCH(ROWS($U$2:U400),$U$2:$U$1001,0),MATCH(COLUMNS($AB$1006:AI1006),$AB$1006:$AQ$1006,0)), HYPERLINK("#",""), HYPERLINK(CONCATENATE("#Metadata!", ADDRESS(INDEX($W$2:$W$1001,MATCH(ROWS($U$2:U400),$U$2:$U$1001,0),0), INDEX($AB$1004:$AQ$1004,1,MATCH(COLUMNS($AB$1006:AI1006),$AB$1006:$AQ$1006,0)))),"Fix")))</f>
        <v>0</v>
      </c>
      <c r="J400" s="5">
        <f>IF(OR(INDEX($V$2:$V$1001,MATCH(ROWS($U$2:U400),$U$2:$U$1001,0),1)&gt;=100000,INDEX($AB$1005:$AQ$1005,1,MATCH(COLUMNS($AB$1006:AJ1006),$AB$1006:$AQ$1006,0))&gt;=100000), " ",IF(INDEX($AB$2:$AQ$1001,MATCH(ROWS($U$2:U400),$U$2:$U$1001,0),MATCH(COLUMNS($AB$1006:AJ1006),$AB$1006:$AQ$1006,0)), HYPERLINK("#",""), HYPERLINK(CONCATENATE("#Metadata!", ADDRESS(INDEX($W$2:$W$1001,MATCH(ROWS($U$2:U400),$U$2:$U$1001,0),0), INDEX($AB$1004:$AQ$1004,1,MATCH(COLUMNS($AB$1006:AJ1006),$AB$1006:$AQ$1006,0)))),"Fix")))</f>
        <v>0</v>
      </c>
      <c r="K400" s="5">
        <f>IF(OR(INDEX($V$2:$V$1001,MATCH(ROWS($U$2:U400),$U$2:$U$1001,0),1)&gt;=100000,INDEX($AB$1005:$AQ$1005,1,MATCH(COLUMNS($AB$1006:AK1006),$AB$1006:$AQ$1006,0))&gt;=100000), " ",IF(INDEX($AB$2:$AQ$1001,MATCH(ROWS($U$2:U400),$U$2:$U$1001,0),MATCH(COLUMNS($AB$1006:AK1006),$AB$1006:$AQ$1006,0)), HYPERLINK("#",""), HYPERLINK(CONCATENATE("#Metadata!", ADDRESS(INDEX($W$2:$W$1001,MATCH(ROWS($U$2:U400),$U$2:$U$1001,0),0), INDEX($AB$1004:$AQ$1004,1,MATCH(COLUMNS($AB$1006:AK1006),$AB$1006:$AQ$1006,0)))),"Fix")))</f>
        <v>0</v>
      </c>
      <c r="L400" s="5">
        <f>IF(OR(INDEX($V$2:$V$1001,MATCH(ROWS($U$2:U400),$U$2:$U$1001,0),1)&gt;=100000,INDEX($AB$1005:$AQ$1005,1,MATCH(COLUMNS($AB$1006:AL1006),$AB$1006:$AQ$1006,0))&gt;=100000), " ",IF(INDEX($AB$2:$AQ$1001,MATCH(ROWS($U$2:U400),$U$2:$U$1001,0),MATCH(COLUMNS($AB$1006:AL1006),$AB$1006:$AQ$1006,0)), HYPERLINK("#",""), HYPERLINK(CONCATENATE("#Metadata!", ADDRESS(INDEX($W$2:$W$1001,MATCH(ROWS($U$2:U400),$U$2:$U$1001,0),0), INDEX($AB$1004:$AQ$1004,1,MATCH(COLUMNS($AB$1006:AL1006),$AB$1006:$AQ$1006,0)))),"Fix")))</f>
        <v>0</v>
      </c>
      <c r="M400" s="5">
        <f>IF(OR(INDEX($V$2:$V$1001,MATCH(ROWS($U$2:U400),$U$2:$U$1001,0),1)&gt;=100000,INDEX($AB$1005:$AQ$1005,1,MATCH(COLUMNS($AB$1006:AM1006),$AB$1006:$AQ$1006,0))&gt;=100000), " ",IF(INDEX($AB$2:$AQ$1001,MATCH(ROWS($U$2:U400),$U$2:$U$1001,0),MATCH(COLUMNS($AB$1006:AM1006),$AB$1006:$AQ$1006,0)), HYPERLINK("#",""), HYPERLINK(CONCATENATE("#Metadata!", ADDRESS(INDEX($W$2:$W$1001,MATCH(ROWS($U$2:U400),$U$2:$U$1001,0),0), INDEX($AB$1004:$AQ$1004,1,MATCH(COLUMNS($AB$1006:AM1006),$AB$1006:$AQ$1006,0)))),"Fix")))</f>
        <v>0</v>
      </c>
      <c r="N400" s="5">
        <f>IF(OR(INDEX($V$2:$V$1001,MATCH(ROWS($U$2:U400),$U$2:$U$1001,0),1)&gt;=100000,INDEX($AB$1005:$AQ$1005,1,MATCH(COLUMNS($AB$1006:AN1006),$AB$1006:$AQ$1006,0))&gt;=100000), " ",IF(INDEX($AB$2:$AQ$1001,MATCH(ROWS($U$2:U400),$U$2:$U$1001,0),MATCH(COLUMNS($AB$1006:AN1006),$AB$1006:$AQ$1006,0)), HYPERLINK("#",""), HYPERLINK(CONCATENATE("#Metadata!", ADDRESS(INDEX($W$2:$W$1001,MATCH(ROWS($U$2:U400),$U$2:$U$1001,0),0), INDEX($AB$1004:$AQ$1004,1,MATCH(COLUMNS($AB$1006:AN1006),$AB$1006:$AQ$1006,0)))),"Fix")))</f>
        <v>0</v>
      </c>
      <c r="O400" s="5">
        <f>IF(OR(INDEX($V$2:$V$1001,MATCH(ROWS($U$2:U400),$U$2:$U$1001,0),1)&gt;=100000,INDEX($AB$1005:$AQ$1005,1,MATCH(COLUMNS($AB$1006:AO1006),$AB$1006:$AQ$1006,0))&gt;=100000), " ",IF(INDEX($AB$2:$AQ$1001,MATCH(ROWS($U$2:U400),$U$2:$U$1001,0),MATCH(COLUMNS($AB$1006:AO1006),$AB$1006:$AQ$1006,0)), HYPERLINK("#",""), HYPERLINK(CONCATENATE("#Metadata!", ADDRESS(INDEX($W$2:$W$1001,MATCH(ROWS($U$2:U400),$U$2:$U$1001,0),0), INDEX($AB$1004:$AQ$1004,1,MATCH(COLUMNS($AB$1006:AO1006),$AB$1006:$AQ$1006,0)))),"Fix")))</f>
        <v>0</v>
      </c>
      <c r="P400" s="5">
        <f>IF(OR(INDEX($V$2:$V$1001,MATCH(ROWS($U$2:U400),$U$2:$U$1001,0),1)&gt;=100000,INDEX($AB$1005:$AQ$1005,1,MATCH(COLUMNS($AB$1006:AP1006),$AB$1006:$AQ$1006,0))&gt;=100000), " ",IF(INDEX($AB$2:$AQ$1001,MATCH(ROWS($U$2:U400),$U$2:$U$1001,0),MATCH(COLUMNS($AB$1006:AP1006),$AB$1006:$AQ$1006,0)), HYPERLINK("#",""), HYPERLINK(CONCATENATE("#Metadata!", ADDRESS(INDEX($W$2:$W$1001,MATCH(ROWS($U$2:U400),$U$2:$U$1001,0),0), INDEX($AB$1004:$AQ$1004,1,MATCH(COLUMNS($AB$1006:AP1006),$AB$1006:$AQ$1006,0)))),"Fix")))</f>
        <v>0</v>
      </c>
      <c r="Q400" s="5">
        <f>IF(OR(INDEX($V$2:$V$1001,MATCH(ROWS($U$2:U400),$U$2:$U$1001,0),1)&gt;=100000,INDEX($AB$1005:$AQ$1005,1,MATCH(COLUMNS($AB$1006:AQ1006),$AB$1006:$AQ$1006,0))&gt;=100000), " ",IF(INDEX($AB$2:$AQ$1001,MATCH(ROWS($U$2:U400),$U$2:$U$1001,0),MATCH(COLUMNS($AB$1006:AQ1006),$AB$1006:$AQ$1006,0)), HYPERLINK("#",""), HYPERLINK(CONCATENATE("#Metadata!", ADDRESS(INDEX($W$2:$W$1001,MATCH(ROWS($U$2:U400),$U$2:$U$1001,0),0), INDEX($AB$1004:$AQ$1004,1,MATCH(COLUMNS($AB$1006:AQ1006),$AB$1006:$AQ$1006,0)))),"Fix")))</f>
        <v>0</v>
      </c>
      <c r="U400">
        <v>0</v>
      </c>
      <c r="V400">
        <v>0</v>
      </c>
      <c r="W400">
        <v>0</v>
      </c>
      <c r="X400">
        <f>IF(Y400,TRUE,AND(AB400:AQ400))</f>
        <v>0</v>
      </c>
      <c r="Y400">
        <f>COUNTBLANK(Metadata!B400:Q400)=COLUMNS(Metadata!B400:Q400)</f>
        <v>0</v>
      </c>
      <c r="Z400">
        <v>0</v>
      </c>
      <c r="AB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AC400">
        <f>AND(IF(Metadata!C400="",FALSE,TRUE),exact(Metadata!C400,"urban biome"))</f>
        <v>0</v>
      </c>
      <c r="AD400">
        <f>AND(IF(Metadata!D400="",FALSE,TRUE),exact(Metadata!D400,"human-associated habitat"))</f>
        <v>0</v>
      </c>
      <c r="AE400">
        <f>AND(IF(Metadata!E400="",FALSE,TRUE),OR(exact(Metadata!E400,"human-associated"),exact(Metadata!E400,"human-skin"),exact(Metadata!E400,"human-oral"),exact(Metadata!E400,"human-gut"),exact(Metadata!E400,"human-vaginal")))</f>
        <v>0</v>
      </c>
      <c r="AF400">
        <f>AND(IF(Metadata!F400="",FALSE,ISNUMBER(VALUE(Metadata!F400))),Metadata!F400&gt;0)</f>
        <v>0</v>
      </c>
      <c r="AG400">
        <f>AND(IF(Metadata!G400="",FALSE,TRUE),exact(Metadata!G400,"years"))</f>
        <v>0</v>
      </c>
      <c r="AH400">
        <f>OR(AND(IF(Metadata!H400="",FALSE,TRUE),OR(exact(Metadata!H400,"not applicable"),exact(Metadata!H400,"not collected"),exact(Metadata!H400,"not provided"),exact(Metadata!H400,"restricted access"))),AND(IF(Metadata!H400="",FALSE,ISNUMBER(VALUE(Metadata!H400))),Metadata!H400&gt;0))</f>
        <v>0</v>
      </c>
      <c r="AI400">
        <f>AND(IF(Metadata!I400="",FALSE,TRUE),exact(Metadata!I400,"human"))</f>
        <v>0</v>
      </c>
      <c r="AJ400">
        <f>AND(IF(Metadata!J400="",FALSE,ISNUMBER(VALUE(Metadata!J400))),Metadata!J400&gt;0)</f>
        <v>0</v>
      </c>
      <c r="AK400">
        <f>AND(IF(Metadata!K400="",FALSE,TRUE),exact(Metadata!K400,"cm"))</f>
        <v>0</v>
      </c>
      <c r="AL400">
        <f>AND(IF(Metadata!L400="",FALSE,TRUE),exact(Metadata!L400,"Homo sapiens"))</f>
        <v>0</v>
      </c>
      <c r="AM400">
        <f>AND(IF(Metadata!M400="",FALSE,TRUE),exact(Metadata!M400,"9606"))</f>
        <v>0</v>
      </c>
      <c r="AN400">
        <f>AND(IF(Metadata!N400="",FALSE,ISNUMBER(VALUE(Metadata!N400))),Metadata!N400&gt;0)</f>
        <v>0</v>
      </c>
      <c r="AO400">
        <f>AND(IF(Metadata!O400="",FALSE,TRUE),exact(Metadata!O400,"kg"))</f>
        <v>0</v>
      </c>
      <c r="AP400">
        <f>OR(AND(IF(Metadata!P400="",FALSE,TRUE),exact(Metadata!P400,"not provided")),IF(Metadata!P400="",FALSE,TRUE))</f>
        <v>0</v>
      </c>
      <c r="AQ400">
        <f>OR(AND(IF(Metadata!Q400="",FALSE,TRUE),exact(Metadata!Q400,"not provided")),IF(Metadata!Q400="",FALSE,TRUE))</f>
        <v>0</v>
      </c>
    </row>
    <row r="401" spans="1:43">
      <c r="A401" s="4">
        <f>IF(B401=" "," ",HYPERLINK(CONCATENATE("#metadata!",ADDRESS(INDEX($W$2:$W$1001,MATCH(ROWS($U$2:U401),$U$2:$U$1001,0),0),2)),INDEX($Z$2:$Z$1001,MATCH(ROWS($U$2:U401),$U$2:$U$1001,0),0)))</f>
        <v>0</v>
      </c>
      <c r="B401" s="5">
        <f>IF(OR(INDEX($V$2:$V$1001,MATCH(ROWS($U$2:U401),$U$2:$U$1001,0),1)&gt;=100000,INDEX($AB$1005:$AQ$1005,1,MATCH(COLUMNS($AB$1006:AB1006),$AB$1006:$AQ$1006,0))&gt;=100000), " ",IF(INDEX($AB$2:$AQ$1001,MATCH(ROWS($U$2:U401),$U$2:$U$1001,0),MATCH(COLUMNS($AB$1006:AB1006),$AB$1006:$AQ$1006,0)), HYPERLINK("#",""), HYPERLINK(CONCATENATE("#Metadata!", ADDRESS(INDEX($W$2:$W$1001,MATCH(ROWS($U$2:U401),$U$2:$U$1001,0),0), INDEX($AB$1004:$AQ$1004,1,MATCH(COLUMNS($AB$1006:AB1006),$AB$1006:$AQ$1006,0)))),"Fix")))</f>
        <v>0</v>
      </c>
      <c r="C401" s="5">
        <f>IF(OR(INDEX($V$2:$V$1001,MATCH(ROWS($U$2:U401),$U$2:$U$1001,0),1)&gt;=100000,INDEX($AB$1005:$AQ$1005,1,MATCH(COLUMNS($AB$1006:AC1006),$AB$1006:$AQ$1006,0))&gt;=100000), " ",IF(INDEX($AB$2:$AQ$1001,MATCH(ROWS($U$2:U401),$U$2:$U$1001,0),MATCH(COLUMNS($AB$1006:AC1006),$AB$1006:$AQ$1006,0)), HYPERLINK("#",""), HYPERLINK(CONCATENATE("#Metadata!", ADDRESS(INDEX($W$2:$W$1001,MATCH(ROWS($U$2:U401),$U$2:$U$1001,0),0), INDEX($AB$1004:$AQ$1004,1,MATCH(COLUMNS($AB$1006:AC1006),$AB$1006:$AQ$1006,0)))),"Fix")))</f>
        <v>0</v>
      </c>
      <c r="D401" s="5">
        <f>IF(OR(INDEX($V$2:$V$1001,MATCH(ROWS($U$2:U401),$U$2:$U$1001,0),1)&gt;=100000,INDEX($AB$1005:$AQ$1005,1,MATCH(COLUMNS($AB$1006:AD1006),$AB$1006:$AQ$1006,0))&gt;=100000), " ",IF(INDEX($AB$2:$AQ$1001,MATCH(ROWS($U$2:U401),$U$2:$U$1001,0),MATCH(COLUMNS($AB$1006:AD1006),$AB$1006:$AQ$1006,0)), HYPERLINK("#",""), HYPERLINK(CONCATENATE("#Metadata!", ADDRESS(INDEX($W$2:$W$1001,MATCH(ROWS($U$2:U401),$U$2:$U$1001,0),0), INDEX($AB$1004:$AQ$1004,1,MATCH(COLUMNS($AB$1006:AD1006),$AB$1006:$AQ$1006,0)))),"Fix")))</f>
        <v>0</v>
      </c>
      <c r="E401" s="5">
        <f>IF(OR(INDEX($V$2:$V$1001,MATCH(ROWS($U$2:U401),$U$2:$U$1001,0),1)&gt;=100000,INDEX($AB$1005:$AQ$1005,1,MATCH(COLUMNS($AB$1006:AE1006),$AB$1006:$AQ$1006,0))&gt;=100000), " ",IF(INDEX($AB$2:$AQ$1001,MATCH(ROWS($U$2:U401),$U$2:$U$1001,0),MATCH(COLUMNS($AB$1006:AE1006),$AB$1006:$AQ$1006,0)), HYPERLINK("#",""), HYPERLINK(CONCATENATE("#Metadata!", ADDRESS(INDEX($W$2:$W$1001,MATCH(ROWS($U$2:U401),$U$2:$U$1001,0),0), INDEX($AB$1004:$AQ$1004,1,MATCH(COLUMNS($AB$1006:AE1006),$AB$1006:$AQ$1006,0)))),"Fix")))</f>
        <v>0</v>
      </c>
      <c r="F401" s="5">
        <f>IF(OR(INDEX($V$2:$V$1001,MATCH(ROWS($U$2:U401),$U$2:$U$1001,0),1)&gt;=100000,INDEX($AB$1005:$AQ$1005,1,MATCH(COLUMNS($AB$1006:AF1006),$AB$1006:$AQ$1006,0))&gt;=100000), " ",IF(INDEX($AB$2:$AQ$1001,MATCH(ROWS($U$2:U401),$U$2:$U$1001,0),MATCH(COLUMNS($AB$1006:AF1006),$AB$1006:$AQ$1006,0)), HYPERLINK("#",""), HYPERLINK(CONCATENATE("#Metadata!", ADDRESS(INDEX($W$2:$W$1001,MATCH(ROWS($U$2:U401),$U$2:$U$1001,0),0), INDEX($AB$1004:$AQ$1004,1,MATCH(COLUMNS($AB$1006:AF1006),$AB$1006:$AQ$1006,0)))),"Fix")))</f>
        <v>0</v>
      </c>
      <c r="G401" s="5">
        <f>IF(OR(INDEX($V$2:$V$1001,MATCH(ROWS($U$2:U401),$U$2:$U$1001,0),1)&gt;=100000,INDEX($AB$1005:$AQ$1005,1,MATCH(COLUMNS($AB$1006:AG1006),$AB$1006:$AQ$1006,0))&gt;=100000), " ",IF(INDEX($AB$2:$AQ$1001,MATCH(ROWS($U$2:U401),$U$2:$U$1001,0),MATCH(COLUMNS($AB$1006:AG1006),$AB$1006:$AQ$1006,0)), HYPERLINK("#",""), HYPERLINK(CONCATENATE("#Metadata!", ADDRESS(INDEX($W$2:$W$1001,MATCH(ROWS($U$2:U401),$U$2:$U$1001,0),0), INDEX($AB$1004:$AQ$1004,1,MATCH(COLUMNS($AB$1006:AG1006),$AB$1006:$AQ$1006,0)))),"Fix")))</f>
        <v>0</v>
      </c>
      <c r="H401" s="5">
        <f>IF(OR(INDEX($V$2:$V$1001,MATCH(ROWS($U$2:U401),$U$2:$U$1001,0),1)&gt;=100000,INDEX($AB$1005:$AQ$1005,1,MATCH(COLUMNS($AB$1006:AH1006),$AB$1006:$AQ$1006,0))&gt;=100000), " ",IF(INDEX($AB$2:$AQ$1001,MATCH(ROWS($U$2:U401),$U$2:$U$1001,0),MATCH(COLUMNS($AB$1006:AH1006),$AB$1006:$AQ$1006,0)), HYPERLINK("#",""), HYPERLINK(CONCATENATE("#Metadata!", ADDRESS(INDEX($W$2:$W$1001,MATCH(ROWS($U$2:U401),$U$2:$U$1001,0),0), INDEX($AB$1004:$AQ$1004,1,MATCH(COLUMNS($AB$1006:AH1006),$AB$1006:$AQ$1006,0)))),"Fix")))</f>
        <v>0</v>
      </c>
      <c r="I401" s="5">
        <f>IF(OR(INDEX($V$2:$V$1001,MATCH(ROWS($U$2:U401),$U$2:$U$1001,0),1)&gt;=100000,INDEX($AB$1005:$AQ$1005,1,MATCH(COLUMNS($AB$1006:AI1006),$AB$1006:$AQ$1006,0))&gt;=100000), " ",IF(INDEX($AB$2:$AQ$1001,MATCH(ROWS($U$2:U401),$U$2:$U$1001,0),MATCH(COLUMNS($AB$1006:AI1006),$AB$1006:$AQ$1006,0)), HYPERLINK("#",""), HYPERLINK(CONCATENATE("#Metadata!", ADDRESS(INDEX($W$2:$W$1001,MATCH(ROWS($U$2:U401),$U$2:$U$1001,0),0), INDEX($AB$1004:$AQ$1004,1,MATCH(COLUMNS($AB$1006:AI1006),$AB$1006:$AQ$1006,0)))),"Fix")))</f>
        <v>0</v>
      </c>
      <c r="J401" s="5">
        <f>IF(OR(INDEX($V$2:$V$1001,MATCH(ROWS($U$2:U401),$U$2:$U$1001,0),1)&gt;=100000,INDEX($AB$1005:$AQ$1005,1,MATCH(COLUMNS($AB$1006:AJ1006),$AB$1006:$AQ$1006,0))&gt;=100000), " ",IF(INDEX($AB$2:$AQ$1001,MATCH(ROWS($U$2:U401),$U$2:$U$1001,0),MATCH(COLUMNS($AB$1006:AJ1006),$AB$1006:$AQ$1006,0)), HYPERLINK("#",""), HYPERLINK(CONCATENATE("#Metadata!", ADDRESS(INDEX($W$2:$W$1001,MATCH(ROWS($U$2:U401),$U$2:$U$1001,0),0), INDEX($AB$1004:$AQ$1004,1,MATCH(COLUMNS($AB$1006:AJ1006),$AB$1006:$AQ$1006,0)))),"Fix")))</f>
        <v>0</v>
      </c>
      <c r="K401" s="5">
        <f>IF(OR(INDEX($V$2:$V$1001,MATCH(ROWS($U$2:U401),$U$2:$U$1001,0),1)&gt;=100000,INDEX($AB$1005:$AQ$1005,1,MATCH(COLUMNS($AB$1006:AK1006),$AB$1006:$AQ$1006,0))&gt;=100000), " ",IF(INDEX($AB$2:$AQ$1001,MATCH(ROWS($U$2:U401),$U$2:$U$1001,0),MATCH(COLUMNS($AB$1006:AK1006),$AB$1006:$AQ$1006,0)), HYPERLINK("#",""), HYPERLINK(CONCATENATE("#Metadata!", ADDRESS(INDEX($W$2:$W$1001,MATCH(ROWS($U$2:U401),$U$2:$U$1001,0),0), INDEX($AB$1004:$AQ$1004,1,MATCH(COLUMNS($AB$1006:AK1006),$AB$1006:$AQ$1006,0)))),"Fix")))</f>
        <v>0</v>
      </c>
      <c r="L401" s="5">
        <f>IF(OR(INDEX($V$2:$V$1001,MATCH(ROWS($U$2:U401),$U$2:$U$1001,0),1)&gt;=100000,INDEX($AB$1005:$AQ$1005,1,MATCH(COLUMNS($AB$1006:AL1006),$AB$1006:$AQ$1006,0))&gt;=100000), " ",IF(INDEX($AB$2:$AQ$1001,MATCH(ROWS($U$2:U401),$U$2:$U$1001,0),MATCH(COLUMNS($AB$1006:AL1006),$AB$1006:$AQ$1006,0)), HYPERLINK("#",""), HYPERLINK(CONCATENATE("#Metadata!", ADDRESS(INDEX($W$2:$W$1001,MATCH(ROWS($U$2:U401),$U$2:$U$1001,0),0), INDEX($AB$1004:$AQ$1004,1,MATCH(COLUMNS($AB$1006:AL1006),$AB$1006:$AQ$1006,0)))),"Fix")))</f>
        <v>0</v>
      </c>
      <c r="M401" s="5">
        <f>IF(OR(INDEX($V$2:$V$1001,MATCH(ROWS($U$2:U401),$U$2:$U$1001,0),1)&gt;=100000,INDEX($AB$1005:$AQ$1005,1,MATCH(COLUMNS($AB$1006:AM1006),$AB$1006:$AQ$1006,0))&gt;=100000), " ",IF(INDEX($AB$2:$AQ$1001,MATCH(ROWS($U$2:U401),$U$2:$U$1001,0),MATCH(COLUMNS($AB$1006:AM1006),$AB$1006:$AQ$1006,0)), HYPERLINK("#",""), HYPERLINK(CONCATENATE("#Metadata!", ADDRESS(INDEX($W$2:$W$1001,MATCH(ROWS($U$2:U401),$U$2:$U$1001,0),0), INDEX($AB$1004:$AQ$1004,1,MATCH(COLUMNS($AB$1006:AM1006),$AB$1006:$AQ$1006,0)))),"Fix")))</f>
        <v>0</v>
      </c>
      <c r="N401" s="5">
        <f>IF(OR(INDEX($V$2:$V$1001,MATCH(ROWS($U$2:U401),$U$2:$U$1001,0),1)&gt;=100000,INDEX($AB$1005:$AQ$1005,1,MATCH(COLUMNS($AB$1006:AN1006),$AB$1006:$AQ$1006,0))&gt;=100000), " ",IF(INDEX($AB$2:$AQ$1001,MATCH(ROWS($U$2:U401),$U$2:$U$1001,0),MATCH(COLUMNS($AB$1006:AN1006),$AB$1006:$AQ$1006,0)), HYPERLINK("#",""), HYPERLINK(CONCATENATE("#Metadata!", ADDRESS(INDEX($W$2:$W$1001,MATCH(ROWS($U$2:U401),$U$2:$U$1001,0),0), INDEX($AB$1004:$AQ$1004,1,MATCH(COLUMNS($AB$1006:AN1006),$AB$1006:$AQ$1006,0)))),"Fix")))</f>
        <v>0</v>
      </c>
      <c r="O401" s="5">
        <f>IF(OR(INDEX($V$2:$V$1001,MATCH(ROWS($U$2:U401),$U$2:$U$1001,0),1)&gt;=100000,INDEX($AB$1005:$AQ$1005,1,MATCH(COLUMNS($AB$1006:AO1006),$AB$1006:$AQ$1006,0))&gt;=100000), " ",IF(INDEX($AB$2:$AQ$1001,MATCH(ROWS($U$2:U401),$U$2:$U$1001,0),MATCH(COLUMNS($AB$1006:AO1006),$AB$1006:$AQ$1006,0)), HYPERLINK("#",""), HYPERLINK(CONCATENATE("#Metadata!", ADDRESS(INDEX($W$2:$W$1001,MATCH(ROWS($U$2:U401),$U$2:$U$1001,0),0), INDEX($AB$1004:$AQ$1004,1,MATCH(COLUMNS($AB$1006:AO1006),$AB$1006:$AQ$1006,0)))),"Fix")))</f>
        <v>0</v>
      </c>
      <c r="P401" s="5">
        <f>IF(OR(INDEX($V$2:$V$1001,MATCH(ROWS($U$2:U401),$U$2:$U$1001,0),1)&gt;=100000,INDEX($AB$1005:$AQ$1005,1,MATCH(COLUMNS($AB$1006:AP1006),$AB$1006:$AQ$1006,0))&gt;=100000), " ",IF(INDEX($AB$2:$AQ$1001,MATCH(ROWS($U$2:U401),$U$2:$U$1001,0),MATCH(COLUMNS($AB$1006:AP1006),$AB$1006:$AQ$1006,0)), HYPERLINK("#",""), HYPERLINK(CONCATENATE("#Metadata!", ADDRESS(INDEX($W$2:$W$1001,MATCH(ROWS($U$2:U401),$U$2:$U$1001,0),0), INDEX($AB$1004:$AQ$1004,1,MATCH(COLUMNS($AB$1006:AP1006),$AB$1006:$AQ$1006,0)))),"Fix")))</f>
        <v>0</v>
      </c>
      <c r="Q401" s="5">
        <f>IF(OR(INDEX($V$2:$V$1001,MATCH(ROWS($U$2:U401),$U$2:$U$1001,0),1)&gt;=100000,INDEX($AB$1005:$AQ$1005,1,MATCH(COLUMNS($AB$1006:AQ1006),$AB$1006:$AQ$1006,0))&gt;=100000), " ",IF(INDEX($AB$2:$AQ$1001,MATCH(ROWS($U$2:U401),$U$2:$U$1001,0),MATCH(COLUMNS($AB$1006:AQ1006),$AB$1006:$AQ$1006,0)), HYPERLINK("#",""), HYPERLINK(CONCATENATE("#Metadata!", ADDRESS(INDEX($W$2:$W$1001,MATCH(ROWS($U$2:U401),$U$2:$U$1001,0),0), INDEX($AB$1004:$AQ$1004,1,MATCH(COLUMNS($AB$1006:AQ1006),$AB$1006:$AQ$1006,0)))),"Fix")))</f>
        <v>0</v>
      </c>
      <c r="U401">
        <v>0</v>
      </c>
      <c r="V401">
        <v>0</v>
      </c>
      <c r="W401">
        <v>0</v>
      </c>
      <c r="X401">
        <f>IF(Y401,TRUE,AND(AB401:AQ401))</f>
        <v>0</v>
      </c>
      <c r="Y401">
        <f>COUNTBLANK(Metadata!B401:Q401)=COLUMNS(Metadata!B401:Q401)</f>
        <v>0</v>
      </c>
      <c r="Z401">
        <v>0</v>
      </c>
      <c r="AB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AC401">
        <f>AND(IF(Metadata!C401="",FALSE,TRUE),exact(Metadata!C401,"urban biome"))</f>
        <v>0</v>
      </c>
      <c r="AD401">
        <f>AND(IF(Metadata!D401="",FALSE,TRUE),exact(Metadata!D401,"human-associated habitat"))</f>
        <v>0</v>
      </c>
      <c r="AE401">
        <f>AND(IF(Metadata!E401="",FALSE,TRUE),OR(exact(Metadata!E401,"human-associated"),exact(Metadata!E401,"human-skin"),exact(Metadata!E401,"human-oral"),exact(Metadata!E401,"human-gut"),exact(Metadata!E401,"human-vaginal")))</f>
        <v>0</v>
      </c>
      <c r="AF401">
        <f>AND(IF(Metadata!F401="",FALSE,ISNUMBER(VALUE(Metadata!F401))),Metadata!F401&gt;0)</f>
        <v>0</v>
      </c>
      <c r="AG401">
        <f>AND(IF(Metadata!G401="",FALSE,TRUE),exact(Metadata!G401,"years"))</f>
        <v>0</v>
      </c>
      <c r="AH401">
        <f>OR(AND(IF(Metadata!H401="",FALSE,TRUE),OR(exact(Metadata!H401,"not applicable"),exact(Metadata!H401,"not collected"),exact(Metadata!H401,"not provided"),exact(Metadata!H401,"restricted access"))),AND(IF(Metadata!H401="",FALSE,ISNUMBER(VALUE(Metadata!H401))),Metadata!H401&gt;0))</f>
        <v>0</v>
      </c>
      <c r="AI401">
        <f>AND(IF(Metadata!I401="",FALSE,TRUE),exact(Metadata!I401,"human"))</f>
        <v>0</v>
      </c>
      <c r="AJ401">
        <f>AND(IF(Metadata!J401="",FALSE,ISNUMBER(VALUE(Metadata!J401))),Metadata!J401&gt;0)</f>
        <v>0</v>
      </c>
      <c r="AK401">
        <f>AND(IF(Metadata!K401="",FALSE,TRUE),exact(Metadata!K401,"cm"))</f>
        <v>0</v>
      </c>
      <c r="AL401">
        <f>AND(IF(Metadata!L401="",FALSE,TRUE),exact(Metadata!L401,"Homo sapiens"))</f>
        <v>0</v>
      </c>
      <c r="AM401">
        <f>AND(IF(Metadata!M401="",FALSE,TRUE),exact(Metadata!M401,"9606"))</f>
        <v>0</v>
      </c>
      <c r="AN401">
        <f>AND(IF(Metadata!N401="",FALSE,ISNUMBER(VALUE(Metadata!N401))),Metadata!N401&gt;0)</f>
        <v>0</v>
      </c>
      <c r="AO401">
        <f>AND(IF(Metadata!O401="",FALSE,TRUE),exact(Metadata!O401,"kg"))</f>
        <v>0</v>
      </c>
      <c r="AP401">
        <f>OR(AND(IF(Metadata!P401="",FALSE,TRUE),exact(Metadata!P401,"not provided")),IF(Metadata!P401="",FALSE,TRUE))</f>
        <v>0</v>
      </c>
      <c r="AQ401">
        <f>OR(AND(IF(Metadata!Q401="",FALSE,TRUE),exact(Metadata!Q401,"not provided")),IF(Metadata!Q401="",FALSE,TRUE))</f>
        <v>0</v>
      </c>
    </row>
    <row r="402" spans="1:43">
      <c r="A402" s="4">
        <f>IF(B402=" "," ",HYPERLINK(CONCATENATE("#metadata!",ADDRESS(INDEX($W$2:$W$1001,MATCH(ROWS($U$2:U402),$U$2:$U$1001,0),0),2)),INDEX($Z$2:$Z$1001,MATCH(ROWS($U$2:U402),$U$2:$U$1001,0),0)))</f>
        <v>0</v>
      </c>
      <c r="B402" s="5">
        <f>IF(OR(INDEX($V$2:$V$1001,MATCH(ROWS($U$2:U402),$U$2:$U$1001,0),1)&gt;=100000,INDEX($AB$1005:$AQ$1005,1,MATCH(COLUMNS($AB$1006:AB1006),$AB$1006:$AQ$1006,0))&gt;=100000), " ",IF(INDEX($AB$2:$AQ$1001,MATCH(ROWS($U$2:U402),$U$2:$U$1001,0),MATCH(COLUMNS($AB$1006:AB1006),$AB$1006:$AQ$1006,0)), HYPERLINK("#",""), HYPERLINK(CONCATENATE("#Metadata!", ADDRESS(INDEX($W$2:$W$1001,MATCH(ROWS($U$2:U402),$U$2:$U$1001,0),0), INDEX($AB$1004:$AQ$1004,1,MATCH(COLUMNS($AB$1006:AB1006),$AB$1006:$AQ$1006,0)))),"Fix")))</f>
        <v>0</v>
      </c>
      <c r="C402" s="5">
        <f>IF(OR(INDEX($V$2:$V$1001,MATCH(ROWS($U$2:U402),$U$2:$U$1001,0),1)&gt;=100000,INDEX($AB$1005:$AQ$1005,1,MATCH(COLUMNS($AB$1006:AC1006),$AB$1006:$AQ$1006,0))&gt;=100000), " ",IF(INDEX($AB$2:$AQ$1001,MATCH(ROWS($U$2:U402),$U$2:$U$1001,0),MATCH(COLUMNS($AB$1006:AC1006),$AB$1006:$AQ$1006,0)), HYPERLINK("#",""), HYPERLINK(CONCATENATE("#Metadata!", ADDRESS(INDEX($W$2:$W$1001,MATCH(ROWS($U$2:U402),$U$2:$U$1001,0),0), INDEX($AB$1004:$AQ$1004,1,MATCH(COLUMNS($AB$1006:AC1006),$AB$1006:$AQ$1006,0)))),"Fix")))</f>
        <v>0</v>
      </c>
      <c r="D402" s="5">
        <f>IF(OR(INDEX($V$2:$V$1001,MATCH(ROWS($U$2:U402),$U$2:$U$1001,0),1)&gt;=100000,INDEX($AB$1005:$AQ$1005,1,MATCH(COLUMNS($AB$1006:AD1006),$AB$1006:$AQ$1006,0))&gt;=100000), " ",IF(INDEX($AB$2:$AQ$1001,MATCH(ROWS($U$2:U402),$U$2:$U$1001,0),MATCH(COLUMNS($AB$1006:AD1006),$AB$1006:$AQ$1006,0)), HYPERLINK("#",""), HYPERLINK(CONCATENATE("#Metadata!", ADDRESS(INDEX($W$2:$W$1001,MATCH(ROWS($U$2:U402),$U$2:$U$1001,0),0), INDEX($AB$1004:$AQ$1004,1,MATCH(COLUMNS($AB$1006:AD1006),$AB$1006:$AQ$1006,0)))),"Fix")))</f>
        <v>0</v>
      </c>
      <c r="E402" s="5">
        <f>IF(OR(INDEX($V$2:$V$1001,MATCH(ROWS($U$2:U402),$U$2:$U$1001,0),1)&gt;=100000,INDEX($AB$1005:$AQ$1005,1,MATCH(COLUMNS($AB$1006:AE1006),$AB$1006:$AQ$1006,0))&gt;=100000), " ",IF(INDEX($AB$2:$AQ$1001,MATCH(ROWS($U$2:U402),$U$2:$U$1001,0),MATCH(COLUMNS($AB$1006:AE1006),$AB$1006:$AQ$1006,0)), HYPERLINK("#",""), HYPERLINK(CONCATENATE("#Metadata!", ADDRESS(INDEX($W$2:$W$1001,MATCH(ROWS($U$2:U402),$U$2:$U$1001,0),0), INDEX($AB$1004:$AQ$1004,1,MATCH(COLUMNS($AB$1006:AE1006),$AB$1006:$AQ$1006,0)))),"Fix")))</f>
        <v>0</v>
      </c>
      <c r="F402" s="5">
        <f>IF(OR(INDEX($V$2:$V$1001,MATCH(ROWS($U$2:U402),$U$2:$U$1001,0),1)&gt;=100000,INDEX($AB$1005:$AQ$1005,1,MATCH(COLUMNS($AB$1006:AF1006),$AB$1006:$AQ$1006,0))&gt;=100000), " ",IF(INDEX($AB$2:$AQ$1001,MATCH(ROWS($U$2:U402),$U$2:$U$1001,0),MATCH(COLUMNS($AB$1006:AF1006),$AB$1006:$AQ$1006,0)), HYPERLINK("#",""), HYPERLINK(CONCATENATE("#Metadata!", ADDRESS(INDEX($W$2:$W$1001,MATCH(ROWS($U$2:U402),$U$2:$U$1001,0),0), INDEX($AB$1004:$AQ$1004,1,MATCH(COLUMNS($AB$1006:AF1006),$AB$1006:$AQ$1006,0)))),"Fix")))</f>
        <v>0</v>
      </c>
      <c r="G402" s="5">
        <f>IF(OR(INDEX($V$2:$V$1001,MATCH(ROWS($U$2:U402),$U$2:$U$1001,0),1)&gt;=100000,INDEX($AB$1005:$AQ$1005,1,MATCH(COLUMNS($AB$1006:AG1006),$AB$1006:$AQ$1006,0))&gt;=100000), " ",IF(INDEX($AB$2:$AQ$1001,MATCH(ROWS($U$2:U402),$U$2:$U$1001,0),MATCH(COLUMNS($AB$1006:AG1006),$AB$1006:$AQ$1006,0)), HYPERLINK("#",""), HYPERLINK(CONCATENATE("#Metadata!", ADDRESS(INDEX($W$2:$W$1001,MATCH(ROWS($U$2:U402),$U$2:$U$1001,0),0), INDEX($AB$1004:$AQ$1004,1,MATCH(COLUMNS($AB$1006:AG1006),$AB$1006:$AQ$1006,0)))),"Fix")))</f>
        <v>0</v>
      </c>
      <c r="H402" s="5">
        <f>IF(OR(INDEX($V$2:$V$1001,MATCH(ROWS($U$2:U402),$U$2:$U$1001,0),1)&gt;=100000,INDEX($AB$1005:$AQ$1005,1,MATCH(COLUMNS($AB$1006:AH1006),$AB$1006:$AQ$1006,0))&gt;=100000), " ",IF(INDEX($AB$2:$AQ$1001,MATCH(ROWS($U$2:U402),$U$2:$U$1001,0),MATCH(COLUMNS($AB$1006:AH1006),$AB$1006:$AQ$1006,0)), HYPERLINK("#",""), HYPERLINK(CONCATENATE("#Metadata!", ADDRESS(INDEX($W$2:$W$1001,MATCH(ROWS($U$2:U402),$U$2:$U$1001,0),0), INDEX($AB$1004:$AQ$1004,1,MATCH(COLUMNS($AB$1006:AH1006),$AB$1006:$AQ$1006,0)))),"Fix")))</f>
        <v>0</v>
      </c>
      <c r="I402" s="5">
        <f>IF(OR(INDEX($V$2:$V$1001,MATCH(ROWS($U$2:U402),$U$2:$U$1001,0),1)&gt;=100000,INDEX($AB$1005:$AQ$1005,1,MATCH(COLUMNS($AB$1006:AI1006),$AB$1006:$AQ$1006,0))&gt;=100000), " ",IF(INDEX($AB$2:$AQ$1001,MATCH(ROWS($U$2:U402),$U$2:$U$1001,0),MATCH(COLUMNS($AB$1006:AI1006),$AB$1006:$AQ$1006,0)), HYPERLINK("#",""), HYPERLINK(CONCATENATE("#Metadata!", ADDRESS(INDEX($W$2:$W$1001,MATCH(ROWS($U$2:U402),$U$2:$U$1001,0),0), INDEX($AB$1004:$AQ$1004,1,MATCH(COLUMNS($AB$1006:AI1006),$AB$1006:$AQ$1006,0)))),"Fix")))</f>
        <v>0</v>
      </c>
      <c r="J402" s="5">
        <f>IF(OR(INDEX($V$2:$V$1001,MATCH(ROWS($U$2:U402),$U$2:$U$1001,0),1)&gt;=100000,INDEX($AB$1005:$AQ$1005,1,MATCH(COLUMNS($AB$1006:AJ1006),$AB$1006:$AQ$1006,0))&gt;=100000), " ",IF(INDEX($AB$2:$AQ$1001,MATCH(ROWS($U$2:U402),$U$2:$U$1001,0),MATCH(COLUMNS($AB$1006:AJ1006),$AB$1006:$AQ$1006,0)), HYPERLINK("#",""), HYPERLINK(CONCATENATE("#Metadata!", ADDRESS(INDEX($W$2:$W$1001,MATCH(ROWS($U$2:U402),$U$2:$U$1001,0),0), INDEX($AB$1004:$AQ$1004,1,MATCH(COLUMNS($AB$1006:AJ1006),$AB$1006:$AQ$1006,0)))),"Fix")))</f>
        <v>0</v>
      </c>
      <c r="K402" s="5">
        <f>IF(OR(INDEX($V$2:$V$1001,MATCH(ROWS($U$2:U402),$U$2:$U$1001,0),1)&gt;=100000,INDEX($AB$1005:$AQ$1005,1,MATCH(COLUMNS($AB$1006:AK1006),$AB$1006:$AQ$1006,0))&gt;=100000), " ",IF(INDEX($AB$2:$AQ$1001,MATCH(ROWS($U$2:U402),$U$2:$U$1001,0),MATCH(COLUMNS($AB$1006:AK1006),$AB$1006:$AQ$1006,0)), HYPERLINK("#",""), HYPERLINK(CONCATENATE("#Metadata!", ADDRESS(INDEX($W$2:$W$1001,MATCH(ROWS($U$2:U402),$U$2:$U$1001,0),0), INDEX($AB$1004:$AQ$1004,1,MATCH(COLUMNS($AB$1006:AK1006),$AB$1006:$AQ$1006,0)))),"Fix")))</f>
        <v>0</v>
      </c>
      <c r="L402" s="5">
        <f>IF(OR(INDEX($V$2:$V$1001,MATCH(ROWS($U$2:U402),$U$2:$U$1001,0),1)&gt;=100000,INDEX($AB$1005:$AQ$1005,1,MATCH(COLUMNS($AB$1006:AL1006),$AB$1006:$AQ$1006,0))&gt;=100000), " ",IF(INDEX($AB$2:$AQ$1001,MATCH(ROWS($U$2:U402),$U$2:$U$1001,0),MATCH(COLUMNS($AB$1006:AL1006),$AB$1006:$AQ$1006,0)), HYPERLINK("#",""), HYPERLINK(CONCATENATE("#Metadata!", ADDRESS(INDEX($W$2:$W$1001,MATCH(ROWS($U$2:U402),$U$2:$U$1001,0),0), INDEX($AB$1004:$AQ$1004,1,MATCH(COLUMNS($AB$1006:AL1006),$AB$1006:$AQ$1006,0)))),"Fix")))</f>
        <v>0</v>
      </c>
      <c r="M402" s="5">
        <f>IF(OR(INDEX($V$2:$V$1001,MATCH(ROWS($U$2:U402),$U$2:$U$1001,0),1)&gt;=100000,INDEX($AB$1005:$AQ$1005,1,MATCH(COLUMNS($AB$1006:AM1006),$AB$1006:$AQ$1006,0))&gt;=100000), " ",IF(INDEX($AB$2:$AQ$1001,MATCH(ROWS($U$2:U402),$U$2:$U$1001,0),MATCH(COLUMNS($AB$1006:AM1006),$AB$1006:$AQ$1006,0)), HYPERLINK("#",""), HYPERLINK(CONCATENATE("#Metadata!", ADDRESS(INDEX($W$2:$W$1001,MATCH(ROWS($U$2:U402),$U$2:$U$1001,0),0), INDEX($AB$1004:$AQ$1004,1,MATCH(COLUMNS($AB$1006:AM1006),$AB$1006:$AQ$1006,0)))),"Fix")))</f>
        <v>0</v>
      </c>
      <c r="N402" s="5">
        <f>IF(OR(INDEX($V$2:$V$1001,MATCH(ROWS($U$2:U402),$U$2:$U$1001,0),1)&gt;=100000,INDEX($AB$1005:$AQ$1005,1,MATCH(COLUMNS($AB$1006:AN1006),$AB$1006:$AQ$1006,0))&gt;=100000), " ",IF(INDEX($AB$2:$AQ$1001,MATCH(ROWS($U$2:U402),$U$2:$U$1001,0),MATCH(COLUMNS($AB$1006:AN1006),$AB$1006:$AQ$1006,0)), HYPERLINK("#",""), HYPERLINK(CONCATENATE("#Metadata!", ADDRESS(INDEX($W$2:$W$1001,MATCH(ROWS($U$2:U402),$U$2:$U$1001,0),0), INDEX($AB$1004:$AQ$1004,1,MATCH(COLUMNS($AB$1006:AN1006),$AB$1006:$AQ$1006,0)))),"Fix")))</f>
        <v>0</v>
      </c>
      <c r="O402" s="5">
        <f>IF(OR(INDEX($V$2:$V$1001,MATCH(ROWS($U$2:U402),$U$2:$U$1001,0),1)&gt;=100000,INDEX($AB$1005:$AQ$1005,1,MATCH(COLUMNS($AB$1006:AO1006),$AB$1006:$AQ$1006,0))&gt;=100000), " ",IF(INDEX($AB$2:$AQ$1001,MATCH(ROWS($U$2:U402),$U$2:$U$1001,0),MATCH(COLUMNS($AB$1006:AO1006),$AB$1006:$AQ$1006,0)), HYPERLINK("#",""), HYPERLINK(CONCATENATE("#Metadata!", ADDRESS(INDEX($W$2:$W$1001,MATCH(ROWS($U$2:U402),$U$2:$U$1001,0),0), INDEX($AB$1004:$AQ$1004,1,MATCH(COLUMNS($AB$1006:AO1006),$AB$1006:$AQ$1006,0)))),"Fix")))</f>
        <v>0</v>
      </c>
      <c r="P402" s="5">
        <f>IF(OR(INDEX($V$2:$V$1001,MATCH(ROWS($U$2:U402),$U$2:$U$1001,0),1)&gt;=100000,INDEX($AB$1005:$AQ$1005,1,MATCH(COLUMNS($AB$1006:AP1006),$AB$1006:$AQ$1006,0))&gt;=100000), " ",IF(INDEX($AB$2:$AQ$1001,MATCH(ROWS($U$2:U402),$U$2:$U$1001,0),MATCH(COLUMNS($AB$1006:AP1006),$AB$1006:$AQ$1006,0)), HYPERLINK("#",""), HYPERLINK(CONCATENATE("#Metadata!", ADDRESS(INDEX($W$2:$W$1001,MATCH(ROWS($U$2:U402),$U$2:$U$1001,0),0), INDEX($AB$1004:$AQ$1004,1,MATCH(COLUMNS($AB$1006:AP1006),$AB$1006:$AQ$1006,0)))),"Fix")))</f>
        <v>0</v>
      </c>
      <c r="Q402" s="5">
        <f>IF(OR(INDEX($V$2:$V$1001,MATCH(ROWS($U$2:U402),$U$2:$U$1001,0),1)&gt;=100000,INDEX($AB$1005:$AQ$1005,1,MATCH(COLUMNS($AB$1006:AQ1006),$AB$1006:$AQ$1006,0))&gt;=100000), " ",IF(INDEX($AB$2:$AQ$1001,MATCH(ROWS($U$2:U402),$U$2:$U$1001,0),MATCH(COLUMNS($AB$1006:AQ1006),$AB$1006:$AQ$1006,0)), HYPERLINK("#",""), HYPERLINK(CONCATENATE("#Metadata!", ADDRESS(INDEX($W$2:$W$1001,MATCH(ROWS($U$2:U402),$U$2:$U$1001,0),0), INDEX($AB$1004:$AQ$1004,1,MATCH(COLUMNS($AB$1006:AQ1006),$AB$1006:$AQ$1006,0)))),"Fix")))</f>
        <v>0</v>
      </c>
      <c r="U402">
        <v>0</v>
      </c>
      <c r="V402">
        <v>0</v>
      </c>
      <c r="W402">
        <v>0</v>
      </c>
      <c r="X402">
        <f>IF(Y402,TRUE,AND(AB402:AQ402))</f>
        <v>0</v>
      </c>
      <c r="Y402">
        <f>COUNTBLANK(Metadata!B402:Q402)=COLUMNS(Metadata!B402:Q402)</f>
        <v>0</v>
      </c>
      <c r="Z402">
        <v>0</v>
      </c>
      <c r="AB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AC402">
        <f>AND(IF(Metadata!C402="",FALSE,TRUE),exact(Metadata!C402,"urban biome"))</f>
        <v>0</v>
      </c>
      <c r="AD402">
        <f>AND(IF(Metadata!D402="",FALSE,TRUE),exact(Metadata!D402,"human-associated habitat"))</f>
        <v>0</v>
      </c>
      <c r="AE402">
        <f>AND(IF(Metadata!E402="",FALSE,TRUE),OR(exact(Metadata!E402,"human-associated"),exact(Metadata!E402,"human-skin"),exact(Metadata!E402,"human-oral"),exact(Metadata!E402,"human-gut"),exact(Metadata!E402,"human-vaginal")))</f>
        <v>0</v>
      </c>
      <c r="AF402">
        <f>AND(IF(Metadata!F402="",FALSE,ISNUMBER(VALUE(Metadata!F402))),Metadata!F402&gt;0)</f>
        <v>0</v>
      </c>
      <c r="AG402">
        <f>AND(IF(Metadata!G402="",FALSE,TRUE),exact(Metadata!G402,"years"))</f>
        <v>0</v>
      </c>
      <c r="AH402">
        <f>OR(AND(IF(Metadata!H402="",FALSE,TRUE),OR(exact(Metadata!H402,"not applicable"),exact(Metadata!H402,"not collected"),exact(Metadata!H402,"not provided"),exact(Metadata!H402,"restricted access"))),AND(IF(Metadata!H402="",FALSE,ISNUMBER(VALUE(Metadata!H402))),Metadata!H402&gt;0))</f>
        <v>0</v>
      </c>
      <c r="AI402">
        <f>AND(IF(Metadata!I402="",FALSE,TRUE),exact(Metadata!I402,"human"))</f>
        <v>0</v>
      </c>
      <c r="AJ402">
        <f>AND(IF(Metadata!J402="",FALSE,ISNUMBER(VALUE(Metadata!J402))),Metadata!J402&gt;0)</f>
        <v>0</v>
      </c>
      <c r="AK402">
        <f>AND(IF(Metadata!K402="",FALSE,TRUE),exact(Metadata!K402,"cm"))</f>
        <v>0</v>
      </c>
      <c r="AL402">
        <f>AND(IF(Metadata!L402="",FALSE,TRUE),exact(Metadata!L402,"Homo sapiens"))</f>
        <v>0</v>
      </c>
      <c r="AM402">
        <f>AND(IF(Metadata!M402="",FALSE,TRUE),exact(Metadata!M402,"9606"))</f>
        <v>0</v>
      </c>
      <c r="AN402">
        <f>AND(IF(Metadata!N402="",FALSE,ISNUMBER(VALUE(Metadata!N402))),Metadata!N402&gt;0)</f>
        <v>0</v>
      </c>
      <c r="AO402">
        <f>AND(IF(Metadata!O402="",FALSE,TRUE),exact(Metadata!O402,"kg"))</f>
        <v>0</v>
      </c>
      <c r="AP402">
        <f>OR(AND(IF(Metadata!P402="",FALSE,TRUE),exact(Metadata!P402,"not provided")),IF(Metadata!P402="",FALSE,TRUE))</f>
        <v>0</v>
      </c>
      <c r="AQ402">
        <f>OR(AND(IF(Metadata!Q402="",FALSE,TRUE),exact(Metadata!Q402,"not provided")),IF(Metadata!Q402="",FALSE,TRUE))</f>
        <v>0</v>
      </c>
    </row>
    <row r="403" spans="1:43">
      <c r="A403" s="4">
        <f>IF(B403=" "," ",HYPERLINK(CONCATENATE("#metadata!",ADDRESS(INDEX($W$2:$W$1001,MATCH(ROWS($U$2:U403),$U$2:$U$1001,0),0),2)),INDEX($Z$2:$Z$1001,MATCH(ROWS($U$2:U403),$U$2:$U$1001,0),0)))</f>
        <v>0</v>
      </c>
      <c r="B403" s="5">
        <f>IF(OR(INDEX($V$2:$V$1001,MATCH(ROWS($U$2:U403),$U$2:$U$1001,0),1)&gt;=100000,INDEX($AB$1005:$AQ$1005,1,MATCH(COLUMNS($AB$1006:AB1006),$AB$1006:$AQ$1006,0))&gt;=100000), " ",IF(INDEX($AB$2:$AQ$1001,MATCH(ROWS($U$2:U403),$U$2:$U$1001,0),MATCH(COLUMNS($AB$1006:AB1006),$AB$1006:$AQ$1006,0)), HYPERLINK("#",""), HYPERLINK(CONCATENATE("#Metadata!", ADDRESS(INDEX($W$2:$W$1001,MATCH(ROWS($U$2:U403),$U$2:$U$1001,0),0), INDEX($AB$1004:$AQ$1004,1,MATCH(COLUMNS($AB$1006:AB1006),$AB$1006:$AQ$1006,0)))),"Fix")))</f>
        <v>0</v>
      </c>
      <c r="C403" s="5">
        <f>IF(OR(INDEX($V$2:$V$1001,MATCH(ROWS($U$2:U403),$U$2:$U$1001,0),1)&gt;=100000,INDEX($AB$1005:$AQ$1005,1,MATCH(COLUMNS($AB$1006:AC1006),$AB$1006:$AQ$1006,0))&gt;=100000), " ",IF(INDEX($AB$2:$AQ$1001,MATCH(ROWS($U$2:U403),$U$2:$U$1001,0),MATCH(COLUMNS($AB$1006:AC1006),$AB$1006:$AQ$1006,0)), HYPERLINK("#",""), HYPERLINK(CONCATENATE("#Metadata!", ADDRESS(INDEX($W$2:$W$1001,MATCH(ROWS($U$2:U403),$U$2:$U$1001,0),0), INDEX($AB$1004:$AQ$1004,1,MATCH(COLUMNS($AB$1006:AC1006),$AB$1006:$AQ$1006,0)))),"Fix")))</f>
        <v>0</v>
      </c>
      <c r="D403" s="5">
        <f>IF(OR(INDEX($V$2:$V$1001,MATCH(ROWS($U$2:U403),$U$2:$U$1001,0),1)&gt;=100000,INDEX($AB$1005:$AQ$1005,1,MATCH(COLUMNS($AB$1006:AD1006),$AB$1006:$AQ$1006,0))&gt;=100000), " ",IF(INDEX($AB$2:$AQ$1001,MATCH(ROWS($U$2:U403),$U$2:$U$1001,0),MATCH(COLUMNS($AB$1006:AD1006),$AB$1006:$AQ$1006,0)), HYPERLINK("#",""), HYPERLINK(CONCATENATE("#Metadata!", ADDRESS(INDEX($W$2:$W$1001,MATCH(ROWS($U$2:U403),$U$2:$U$1001,0),0), INDEX($AB$1004:$AQ$1004,1,MATCH(COLUMNS($AB$1006:AD1006),$AB$1006:$AQ$1006,0)))),"Fix")))</f>
        <v>0</v>
      </c>
      <c r="E403" s="5">
        <f>IF(OR(INDEX($V$2:$V$1001,MATCH(ROWS($U$2:U403),$U$2:$U$1001,0),1)&gt;=100000,INDEX($AB$1005:$AQ$1005,1,MATCH(COLUMNS($AB$1006:AE1006),$AB$1006:$AQ$1006,0))&gt;=100000), " ",IF(INDEX($AB$2:$AQ$1001,MATCH(ROWS($U$2:U403),$U$2:$U$1001,0),MATCH(COLUMNS($AB$1006:AE1006),$AB$1006:$AQ$1006,0)), HYPERLINK("#",""), HYPERLINK(CONCATENATE("#Metadata!", ADDRESS(INDEX($W$2:$W$1001,MATCH(ROWS($U$2:U403),$U$2:$U$1001,0),0), INDEX($AB$1004:$AQ$1004,1,MATCH(COLUMNS($AB$1006:AE1006),$AB$1006:$AQ$1006,0)))),"Fix")))</f>
        <v>0</v>
      </c>
      <c r="F403" s="5">
        <f>IF(OR(INDEX($V$2:$V$1001,MATCH(ROWS($U$2:U403),$U$2:$U$1001,0),1)&gt;=100000,INDEX($AB$1005:$AQ$1005,1,MATCH(COLUMNS($AB$1006:AF1006),$AB$1006:$AQ$1006,0))&gt;=100000), " ",IF(INDEX($AB$2:$AQ$1001,MATCH(ROWS($U$2:U403),$U$2:$U$1001,0),MATCH(COLUMNS($AB$1006:AF1006),$AB$1006:$AQ$1006,0)), HYPERLINK("#",""), HYPERLINK(CONCATENATE("#Metadata!", ADDRESS(INDEX($W$2:$W$1001,MATCH(ROWS($U$2:U403),$U$2:$U$1001,0),0), INDEX($AB$1004:$AQ$1004,1,MATCH(COLUMNS($AB$1006:AF1006),$AB$1006:$AQ$1006,0)))),"Fix")))</f>
        <v>0</v>
      </c>
      <c r="G403" s="5">
        <f>IF(OR(INDEX($V$2:$V$1001,MATCH(ROWS($U$2:U403),$U$2:$U$1001,0),1)&gt;=100000,INDEX($AB$1005:$AQ$1005,1,MATCH(COLUMNS($AB$1006:AG1006),$AB$1006:$AQ$1006,0))&gt;=100000), " ",IF(INDEX($AB$2:$AQ$1001,MATCH(ROWS($U$2:U403),$U$2:$U$1001,0),MATCH(COLUMNS($AB$1006:AG1006),$AB$1006:$AQ$1006,0)), HYPERLINK("#",""), HYPERLINK(CONCATENATE("#Metadata!", ADDRESS(INDEX($W$2:$W$1001,MATCH(ROWS($U$2:U403),$U$2:$U$1001,0),0), INDEX($AB$1004:$AQ$1004,1,MATCH(COLUMNS($AB$1006:AG1006),$AB$1006:$AQ$1006,0)))),"Fix")))</f>
        <v>0</v>
      </c>
      <c r="H403" s="5">
        <f>IF(OR(INDEX($V$2:$V$1001,MATCH(ROWS($U$2:U403),$U$2:$U$1001,0),1)&gt;=100000,INDEX($AB$1005:$AQ$1005,1,MATCH(COLUMNS($AB$1006:AH1006),$AB$1006:$AQ$1006,0))&gt;=100000), " ",IF(INDEX($AB$2:$AQ$1001,MATCH(ROWS($U$2:U403),$U$2:$U$1001,0),MATCH(COLUMNS($AB$1006:AH1006),$AB$1006:$AQ$1006,0)), HYPERLINK("#",""), HYPERLINK(CONCATENATE("#Metadata!", ADDRESS(INDEX($W$2:$W$1001,MATCH(ROWS($U$2:U403),$U$2:$U$1001,0),0), INDEX($AB$1004:$AQ$1004,1,MATCH(COLUMNS($AB$1006:AH1006),$AB$1006:$AQ$1006,0)))),"Fix")))</f>
        <v>0</v>
      </c>
      <c r="I403" s="5">
        <f>IF(OR(INDEX($V$2:$V$1001,MATCH(ROWS($U$2:U403),$U$2:$U$1001,0),1)&gt;=100000,INDEX($AB$1005:$AQ$1005,1,MATCH(COLUMNS($AB$1006:AI1006),$AB$1006:$AQ$1006,0))&gt;=100000), " ",IF(INDEX($AB$2:$AQ$1001,MATCH(ROWS($U$2:U403),$U$2:$U$1001,0),MATCH(COLUMNS($AB$1006:AI1006),$AB$1006:$AQ$1006,0)), HYPERLINK("#",""), HYPERLINK(CONCATENATE("#Metadata!", ADDRESS(INDEX($W$2:$W$1001,MATCH(ROWS($U$2:U403),$U$2:$U$1001,0),0), INDEX($AB$1004:$AQ$1004,1,MATCH(COLUMNS($AB$1006:AI1006),$AB$1006:$AQ$1006,0)))),"Fix")))</f>
        <v>0</v>
      </c>
      <c r="J403" s="5">
        <f>IF(OR(INDEX($V$2:$V$1001,MATCH(ROWS($U$2:U403),$U$2:$U$1001,0),1)&gt;=100000,INDEX($AB$1005:$AQ$1005,1,MATCH(COLUMNS($AB$1006:AJ1006),$AB$1006:$AQ$1006,0))&gt;=100000), " ",IF(INDEX($AB$2:$AQ$1001,MATCH(ROWS($U$2:U403),$U$2:$U$1001,0),MATCH(COLUMNS($AB$1006:AJ1006),$AB$1006:$AQ$1006,0)), HYPERLINK("#",""), HYPERLINK(CONCATENATE("#Metadata!", ADDRESS(INDEX($W$2:$W$1001,MATCH(ROWS($U$2:U403),$U$2:$U$1001,0),0), INDEX($AB$1004:$AQ$1004,1,MATCH(COLUMNS($AB$1006:AJ1006),$AB$1006:$AQ$1006,0)))),"Fix")))</f>
        <v>0</v>
      </c>
      <c r="K403" s="5">
        <f>IF(OR(INDEX($V$2:$V$1001,MATCH(ROWS($U$2:U403),$U$2:$U$1001,0),1)&gt;=100000,INDEX($AB$1005:$AQ$1005,1,MATCH(COLUMNS($AB$1006:AK1006),$AB$1006:$AQ$1006,0))&gt;=100000), " ",IF(INDEX($AB$2:$AQ$1001,MATCH(ROWS($U$2:U403),$U$2:$U$1001,0),MATCH(COLUMNS($AB$1006:AK1006),$AB$1006:$AQ$1006,0)), HYPERLINK("#",""), HYPERLINK(CONCATENATE("#Metadata!", ADDRESS(INDEX($W$2:$W$1001,MATCH(ROWS($U$2:U403),$U$2:$U$1001,0),0), INDEX($AB$1004:$AQ$1004,1,MATCH(COLUMNS($AB$1006:AK1006),$AB$1006:$AQ$1006,0)))),"Fix")))</f>
        <v>0</v>
      </c>
      <c r="L403" s="5">
        <f>IF(OR(INDEX($V$2:$V$1001,MATCH(ROWS($U$2:U403),$U$2:$U$1001,0),1)&gt;=100000,INDEX($AB$1005:$AQ$1005,1,MATCH(COLUMNS($AB$1006:AL1006),$AB$1006:$AQ$1006,0))&gt;=100000), " ",IF(INDEX($AB$2:$AQ$1001,MATCH(ROWS($U$2:U403),$U$2:$U$1001,0),MATCH(COLUMNS($AB$1006:AL1006),$AB$1006:$AQ$1006,0)), HYPERLINK("#",""), HYPERLINK(CONCATENATE("#Metadata!", ADDRESS(INDEX($W$2:$W$1001,MATCH(ROWS($U$2:U403),$U$2:$U$1001,0),0), INDEX($AB$1004:$AQ$1004,1,MATCH(COLUMNS($AB$1006:AL1006),$AB$1006:$AQ$1006,0)))),"Fix")))</f>
        <v>0</v>
      </c>
      <c r="M403" s="5">
        <f>IF(OR(INDEX($V$2:$V$1001,MATCH(ROWS($U$2:U403),$U$2:$U$1001,0),1)&gt;=100000,INDEX($AB$1005:$AQ$1005,1,MATCH(COLUMNS($AB$1006:AM1006),$AB$1006:$AQ$1006,0))&gt;=100000), " ",IF(INDEX($AB$2:$AQ$1001,MATCH(ROWS($U$2:U403),$U$2:$U$1001,0),MATCH(COLUMNS($AB$1006:AM1006),$AB$1006:$AQ$1006,0)), HYPERLINK("#",""), HYPERLINK(CONCATENATE("#Metadata!", ADDRESS(INDEX($W$2:$W$1001,MATCH(ROWS($U$2:U403),$U$2:$U$1001,0),0), INDEX($AB$1004:$AQ$1004,1,MATCH(COLUMNS($AB$1006:AM1006),$AB$1006:$AQ$1006,0)))),"Fix")))</f>
        <v>0</v>
      </c>
      <c r="N403" s="5">
        <f>IF(OR(INDEX($V$2:$V$1001,MATCH(ROWS($U$2:U403),$U$2:$U$1001,0),1)&gt;=100000,INDEX($AB$1005:$AQ$1005,1,MATCH(COLUMNS($AB$1006:AN1006),$AB$1006:$AQ$1006,0))&gt;=100000), " ",IF(INDEX($AB$2:$AQ$1001,MATCH(ROWS($U$2:U403),$U$2:$U$1001,0),MATCH(COLUMNS($AB$1006:AN1006),$AB$1006:$AQ$1006,0)), HYPERLINK("#",""), HYPERLINK(CONCATENATE("#Metadata!", ADDRESS(INDEX($W$2:$W$1001,MATCH(ROWS($U$2:U403),$U$2:$U$1001,0),0), INDEX($AB$1004:$AQ$1004,1,MATCH(COLUMNS($AB$1006:AN1006),$AB$1006:$AQ$1006,0)))),"Fix")))</f>
        <v>0</v>
      </c>
      <c r="O403" s="5">
        <f>IF(OR(INDEX($V$2:$V$1001,MATCH(ROWS($U$2:U403),$U$2:$U$1001,0),1)&gt;=100000,INDEX($AB$1005:$AQ$1005,1,MATCH(COLUMNS($AB$1006:AO1006),$AB$1006:$AQ$1006,0))&gt;=100000), " ",IF(INDEX($AB$2:$AQ$1001,MATCH(ROWS($U$2:U403),$U$2:$U$1001,0),MATCH(COLUMNS($AB$1006:AO1006),$AB$1006:$AQ$1006,0)), HYPERLINK("#",""), HYPERLINK(CONCATENATE("#Metadata!", ADDRESS(INDEX($W$2:$W$1001,MATCH(ROWS($U$2:U403),$U$2:$U$1001,0),0), INDEX($AB$1004:$AQ$1004,1,MATCH(COLUMNS($AB$1006:AO1006),$AB$1006:$AQ$1006,0)))),"Fix")))</f>
        <v>0</v>
      </c>
      <c r="P403" s="5">
        <f>IF(OR(INDEX($V$2:$V$1001,MATCH(ROWS($U$2:U403),$U$2:$U$1001,0),1)&gt;=100000,INDEX($AB$1005:$AQ$1005,1,MATCH(COLUMNS($AB$1006:AP1006),$AB$1006:$AQ$1006,0))&gt;=100000), " ",IF(INDEX($AB$2:$AQ$1001,MATCH(ROWS($U$2:U403),$U$2:$U$1001,0),MATCH(COLUMNS($AB$1006:AP1006),$AB$1006:$AQ$1006,0)), HYPERLINK("#",""), HYPERLINK(CONCATENATE("#Metadata!", ADDRESS(INDEX($W$2:$W$1001,MATCH(ROWS($U$2:U403),$U$2:$U$1001,0),0), INDEX($AB$1004:$AQ$1004,1,MATCH(COLUMNS($AB$1006:AP1006),$AB$1006:$AQ$1006,0)))),"Fix")))</f>
        <v>0</v>
      </c>
      <c r="Q403" s="5">
        <f>IF(OR(INDEX($V$2:$V$1001,MATCH(ROWS($U$2:U403),$U$2:$U$1001,0),1)&gt;=100000,INDEX($AB$1005:$AQ$1005,1,MATCH(COLUMNS($AB$1006:AQ1006),$AB$1006:$AQ$1006,0))&gt;=100000), " ",IF(INDEX($AB$2:$AQ$1001,MATCH(ROWS($U$2:U403),$U$2:$U$1001,0),MATCH(COLUMNS($AB$1006:AQ1006),$AB$1006:$AQ$1006,0)), HYPERLINK("#",""), HYPERLINK(CONCATENATE("#Metadata!", ADDRESS(INDEX($W$2:$W$1001,MATCH(ROWS($U$2:U403),$U$2:$U$1001,0),0), INDEX($AB$1004:$AQ$1004,1,MATCH(COLUMNS($AB$1006:AQ1006),$AB$1006:$AQ$1006,0)))),"Fix")))</f>
        <v>0</v>
      </c>
      <c r="U403">
        <v>0</v>
      </c>
      <c r="V403">
        <v>0</v>
      </c>
      <c r="W403">
        <v>0</v>
      </c>
      <c r="X403">
        <f>IF(Y403,TRUE,AND(AB403:AQ403))</f>
        <v>0</v>
      </c>
      <c r="Y403">
        <f>COUNTBLANK(Metadata!B403:Q403)=COLUMNS(Metadata!B403:Q403)</f>
        <v>0</v>
      </c>
      <c r="Z403">
        <v>0</v>
      </c>
      <c r="AB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AC403">
        <f>AND(IF(Metadata!C403="",FALSE,TRUE),exact(Metadata!C403,"urban biome"))</f>
        <v>0</v>
      </c>
      <c r="AD403">
        <f>AND(IF(Metadata!D403="",FALSE,TRUE),exact(Metadata!D403,"human-associated habitat"))</f>
        <v>0</v>
      </c>
      <c r="AE403">
        <f>AND(IF(Metadata!E403="",FALSE,TRUE),OR(exact(Metadata!E403,"human-associated"),exact(Metadata!E403,"human-skin"),exact(Metadata!E403,"human-oral"),exact(Metadata!E403,"human-gut"),exact(Metadata!E403,"human-vaginal")))</f>
        <v>0</v>
      </c>
      <c r="AF403">
        <f>AND(IF(Metadata!F403="",FALSE,ISNUMBER(VALUE(Metadata!F403))),Metadata!F403&gt;0)</f>
        <v>0</v>
      </c>
      <c r="AG403">
        <f>AND(IF(Metadata!G403="",FALSE,TRUE),exact(Metadata!G403,"years"))</f>
        <v>0</v>
      </c>
      <c r="AH403">
        <f>OR(AND(IF(Metadata!H403="",FALSE,TRUE),OR(exact(Metadata!H403,"not applicable"),exact(Metadata!H403,"not collected"),exact(Metadata!H403,"not provided"),exact(Metadata!H403,"restricted access"))),AND(IF(Metadata!H403="",FALSE,ISNUMBER(VALUE(Metadata!H403))),Metadata!H403&gt;0))</f>
        <v>0</v>
      </c>
      <c r="AI403">
        <f>AND(IF(Metadata!I403="",FALSE,TRUE),exact(Metadata!I403,"human"))</f>
        <v>0</v>
      </c>
      <c r="AJ403">
        <f>AND(IF(Metadata!J403="",FALSE,ISNUMBER(VALUE(Metadata!J403))),Metadata!J403&gt;0)</f>
        <v>0</v>
      </c>
      <c r="AK403">
        <f>AND(IF(Metadata!K403="",FALSE,TRUE),exact(Metadata!K403,"cm"))</f>
        <v>0</v>
      </c>
      <c r="AL403">
        <f>AND(IF(Metadata!L403="",FALSE,TRUE),exact(Metadata!L403,"Homo sapiens"))</f>
        <v>0</v>
      </c>
      <c r="AM403">
        <f>AND(IF(Metadata!M403="",FALSE,TRUE),exact(Metadata!M403,"9606"))</f>
        <v>0</v>
      </c>
      <c r="AN403">
        <f>AND(IF(Metadata!N403="",FALSE,ISNUMBER(VALUE(Metadata!N403))),Metadata!N403&gt;0)</f>
        <v>0</v>
      </c>
      <c r="AO403">
        <f>AND(IF(Metadata!O403="",FALSE,TRUE),exact(Metadata!O403,"kg"))</f>
        <v>0</v>
      </c>
      <c r="AP403">
        <f>OR(AND(IF(Metadata!P403="",FALSE,TRUE),exact(Metadata!P403,"not provided")),IF(Metadata!P403="",FALSE,TRUE))</f>
        <v>0</v>
      </c>
      <c r="AQ403">
        <f>OR(AND(IF(Metadata!Q403="",FALSE,TRUE),exact(Metadata!Q403,"not provided")),IF(Metadata!Q403="",FALSE,TRUE))</f>
        <v>0</v>
      </c>
    </row>
    <row r="404" spans="1:43">
      <c r="A404" s="4">
        <f>IF(B404=" "," ",HYPERLINK(CONCATENATE("#metadata!",ADDRESS(INDEX($W$2:$W$1001,MATCH(ROWS($U$2:U404),$U$2:$U$1001,0),0),2)),INDEX($Z$2:$Z$1001,MATCH(ROWS($U$2:U404),$U$2:$U$1001,0),0)))</f>
        <v>0</v>
      </c>
      <c r="B404" s="5">
        <f>IF(OR(INDEX($V$2:$V$1001,MATCH(ROWS($U$2:U404),$U$2:$U$1001,0),1)&gt;=100000,INDEX($AB$1005:$AQ$1005,1,MATCH(COLUMNS($AB$1006:AB1006),$AB$1006:$AQ$1006,0))&gt;=100000), " ",IF(INDEX($AB$2:$AQ$1001,MATCH(ROWS($U$2:U404),$U$2:$U$1001,0),MATCH(COLUMNS($AB$1006:AB1006),$AB$1006:$AQ$1006,0)), HYPERLINK("#",""), HYPERLINK(CONCATENATE("#Metadata!", ADDRESS(INDEX($W$2:$W$1001,MATCH(ROWS($U$2:U404),$U$2:$U$1001,0),0), INDEX($AB$1004:$AQ$1004,1,MATCH(COLUMNS($AB$1006:AB1006),$AB$1006:$AQ$1006,0)))),"Fix")))</f>
        <v>0</v>
      </c>
      <c r="C404" s="5">
        <f>IF(OR(INDEX($V$2:$V$1001,MATCH(ROWS($U$2:U404),$U$2:$U$1001,0),1)&gt;=100000,INDEX($AB$1005:$AQ$1005,1,MATCH(COLUMNS($AB$1006:AC1006),$AB$1006:$AQ$1006,0))&gt;=100000), " ",IF(INDEX($AB$2:$AQ$1001,MATCH(ROWS($U$2:U404),$U$2:$U$1001,0),MATCH(COLUMNS($AB$1006:AC1006),$AB$1006:$AQ$1006,0)), HYPERLINK("#",""), HYPERLINK(CONCATENATE("#Metadata!", ADDRESS(INDEX($W$2:$W$1001,MATCH(ROWS($U$2:U404),$U$2:$U$1001,0),0), INDEX($AB$1004:$AQ$1004,1,MATCH(COLUMNS($AB$1006:AC1006),$AB$1006:$AQ$1006,0)))),"Fix")))</f>
        <v>0</v>
      </c>
      <c r="D404" s="5">
        <f>IF(OR(INDEX($V$2:$V$1001,MATCH(ROWS($U$2:U404),$U$2:$U$1001,0),1)&gt;=100000,INDEX($AB$1005:$AQ$1005,1,MATCH(COLUMNS($AB$1006:AD1006),$AB$1006:$AQ$1006,0))&gt;=100000), " ",IF(INDEX($AB$2:$AQ$1001,MATCH(ROWS($U$2:U404),$U$2:$U$1001,0),MATCH(COLUMNS($AB$1006:AD1006),$AB$1006:$AQ$1006,0)), HYPERLINK("#",""), HYPERLINK(CONCATENATE("#Metadata!", ADDRESS(INDEX($W$2:$W$1001,MATCH(ROWS($U$2:U404),$U$2:$U$1001,0),0), INDEX($AB$1004:$AQ$1004,1,MATCH(COLUMNS($AB$1006:AD1006),$AB$1006:$AQ$1006,0)))),"Fix")))</f>
        <v>0</v>
      </c>
      <c r="E404" s="5">
        <f>IF(OR(INDEX($V$2:$V$1001,MATCH(ROWS($U$2:U404),$U$2:$U$1001,0),1)&gt;=100000,INDEX($AB$1005:$AQ$1005,1,MATCH(COLUMNS($AB$1006:AE1006),$AB$1006:$AQ$1006,0))&gt;=100000), " ",IF(INDEX($AB$2:$AQ$1001,MATCH(ROWS($U$2:U404),$U$2:$U$1001,0),MATCH(COLUMNS($AB$1006:AE1006),$AB$1006:$AQ$1006,0)), HYPERLINK("#",""), HYPERLINK(CONCATENATE("#Metadata!", ADDRESS(INDEX($W$2:$W$1001,MATCH(ROWS($U$2:U404),$U$2:$U$1001,0),0), INDEX($AB$1004:$AQ$1004,1,MATCH(COLUMNS($AB$1006:AE1006),$AB$1006:$AQ$1006,0)))),"Fix")))</f>
        <v>0</v>
      </c>
      <c r="F404" s="5">
        <f>IF(OR(INDEX($V$2:$V$1001,MATCH(ROWS($U$2:U404),$U$2:$U$1001,0),1)&gt;=100000,INDEX($AB$1005:$AQ$1005,1,MATCH(COLUMNS($AB$1006:AF1006),$AB$1006:$AQ$1006,0))&gt;=100000), " ",IF(INDEX($AB$2:$AQ$1001,MATCH(ROWS($U$2:U404),$U$2:$U$1001,0),MATCH(COLUMNS($AB$1006:AF1006),$AB$1006:$AQ$1006,0)), HYPERLINK("#",""), HYPERLINK(CONCATENATE("#Metadata!", ADDRESS(INDEX($W$2:$W$1001,MATCH(ROWS($U$2:U404),$U$2:$U$1001,0),0), INDEX($AB$1004:$AQ$1004,1,MATCH(COLUMNS($AB$1006:AF1006),$AB$1006:$AQ$1006,0)))),"Fix")))</f>
        <v>0</v>
      </c>
      <c r="G404" s="5">
        <f>IF(OR(INDEX($V$2:$V$1001,MATCH(ROWS($U$2:U404),$U$2:$U$1001,0),1)&gt;=100000,INDEX($AB$1005:$AQ$1005,1,MATCH(COLUMNS($AB$1006:AG1006),$AB$1006:$AQ$1006,0))&gt;=100000), " ",IF(INDEX($AB$2:$AQ$1001,MATCH(ROWS($U$2:U404),$U$2:$U$1001,0),MATCH(COLUMNS($AB$1006:AG1006),$AB$1006:$AQ$1006,0)), HYPERLINK("#",""), HYPERLINK(CONCATENATE("#Metadata!", ADDRESS(INDEX($W$2:$W$1001,MATCH(ROWS($U$2:U404),$U$2:$U$1001,0),0), INDEX($AB$1004:$AQ$1004,1,MATCH(COLUMNS($AB$1006:AG1006),$AB$1006:$AQ$1006,0)))),"Fix")))</f>
        <v>0</v>
      </c>
      <c r="H404" s="5">
        <f>IF(OR(INDEX($V$2:$V$1001,MATCH(ROWS($U$2:U404),$U$2:$U$1001,0),1)&gt;=100000,INDEX($AB$1005:$AQ$1005,1,MATCH(COLUMNS($AB$1006:AH1006),$AB$1006:$AQ$1006,0))&gt;=100000), " ",IF(INDEX($AB$2:$AQ$1001,MATCH(ROWS($U$2:U404),$U$2:$U$1001,0),MATCH(COLUMNS($AB$1006:AH1006),$AB$1006:$AQ$1006,0)), HYPERLINK("#",""), HYPERLINK(CONCATENATE("#Metadata!", ADDRESS(INDEX($W$2:$W$1001,MATCH(ROWS($U$2:U404),$U$2:$U$1001,0),0), INDEX($AB$1004:$AQ$1004,1,MATCH(COLUMNS($AB$1006:AH1006),$AB$1006:$AQ$1006,0)))),"Fix")))</f>
        <v>0</v>
      </c>
      <c r="I404" s="5">
        <f>IF(OR(INDEX($V$2:$V$1001,MATCH(ROWS($U$2:U404),$U$2:$U$1001,0),1)&gt;=100000,INDEX($AB$1005:$AQ$1005,1,MATCH(COLUMNS($AB$1006:AI1006),$AB$1006:$AQ$1006,0))&gt;=100000), " ",IF(INDEX($AB$2:$AQ$1001,MATCH(ROWS($U$2:U404),$U$2:$U$1001,0),MATCH(COLUMNS($AB$1006:AI1006),$AB$1006:$AQ$1006,0)), HYPERLINK("#",""), HYPERLINK(CONCATENATE("#Metadata!", ADDRESS(INDEX($W$2:$W$1001,MATCH(ROWS($U$2:U404),$U$2:$U$1001,0),0), INDEX($AB$1004:$AQ$1004,1,MATCH(COLUMNS($AB$1006:AI1006),$AB$1006:$AQ$1006,0)))),"Fix")))</f>
        <v>0</v>
      </c>
      <c r="J404" s="5">
        <f>IF(OR(INDEX($V$2:$V$1001,MATCH(ROWS($U$2:U404),$U$2:$U$1001,0),1)&gt;=100000,INDEX($AB$1005:$AQ$1005,1,MATCH(COLUMNS($AB$1006:AJ1006),$AB$1006:$AQ$1006,0))&gt;=100000), " ",IF(INDEX($AB$2:$AQ$1001,MATCH(ROWS($U$2:U404),$U$2:$U$1001,0),MATCH(COLUMNS($AB$1006:AJ1006),$AB$1006:$AQ$1006,0)), HYPERLINK("#",""), HYPERLINK(CONCATENATE("#Metadata!", ADDRESS(INDEX($W$2:$W$1001,MATCH(ROWS($U$2:U404),$U$2:$U$1001,0),0), INDEX($AB$1004:$AQ$1004,1,MATCH(COLUMNS($AB$1006:AJ1006),$AB$1006:$AQ$1006,0)))),"Fix")))</f>
        <v>0</v>
      </c>
      <c r="K404" s="5">
        <f>IF(OR(INDEX($V$2:$V$1001,MATCH(ROWS($U$2:U404),$U$2:$U$1001,0),1)&gt;=100000,INDEX($AB$1005:$AQ$1005,1,MATCH(COLUMNS($AB$1006:AK1006),$AB$1006:$AQ$1006,0))&gt;=100000), " ",IF(INDEX($AB$2:$AQ$1001,MATCH(ROWS($U$2:U404),$U$2:$U$1001,0),MATCH(COLUMNS($AB$1006:AK1006),$AB$1006:$AQ$1006,0)), HYPERLINK("#",""), HYPERLINK(CONCATENATE("#Metadata!", ADDRESS(INDEX($W$2:$W$1001,MATCH(ROWS($U$2:U404),$U$2:$U$1001,0),0), INDEX($AB$1004:$AQ$1004,1,MATCH(COLUMNS($AB$1006:AK1006),$AB$1006:$AQ$1006,0)))),"Fix")))</f>
        <v>0</v>
      </c>
      <c r="L404" s="5">
        <f>IF(OR(INDEX($V$2:$V$1001,MATCH(ROWS($U$2:U404),$U$2:$U$1001,0),1)&gt;=100000,INDEX($AB$1005:$AQ$1005,1,MATCH(COLUMNS($AB$1006:AL1006),$AB$1006:$AQ$1006,0))&gt;=100000), " ",IF(INDEX($AB$2:$AQ$1001,MATCH(ROWS($U$2:U404),$U$2:$U$1001,0),MATCH(COLUMNS($AB$1006:AL1006),$AB$1006:$AQ$1006,0)), HYPERLINK("#",""), HYPERLINK(CONCATENATE("#Metadata!", ADDRESS(INDEX($W$2:$W$1001,MATCH(ROWS($U$2:U404),$U$2:$U$1001,0),0), INDEX($AB$1004:$AQ$1004,1,MATCH(COLUMNS($AB$1006:AL1006),$AB$1006:$AQ$1006,0)))),"Fix")))</f>
        <v>0</v>
      </c>
      <c r="M404" s="5">
        <f>IF(OR(INDEX($V$2:$V$1001,MATCH(ROWS($U$2:U404),$U$2:$U$1001,0),1)&gt;=100000,INDEX($AB$1005:$AQ$1005,1,MATCH(COLUMNS($AB$1006:AM1006),$AB$1006:$AQ$1006,0))&gt;=100000), " ",IF(INDEX($AB$2:$AQ$1001,MATCH(ROWS($U$2:U404),$U$2:$U$1001,0),MATCH(COLUMNS($AB$1006:AM1006),$AB$1006:$AQ$1006,0)), HYPERLINK("#",""), HYPERLINK(CONCATENATE("#Metadata!", ADDRESS(INDEX($W$2:$W$1001,MATCH(ROWS($U$2:U404),$U$2:$U$1001,0),0), INDEX($AB$1004:$AQ$1004,1,MATCH(COLUMNS($AB$1006:AM1006),$AB$1006:$AQ$1006,0)))),"Fix")))</f>
        <v>0</v>
      </c>
      <c r="N404" s="5">
        <f>IF(OR(INDEX($V$2:$V$1001,MATCH(ROWS($U$2:U404),$U$2:$U$1001,0),1)&gt;=100000,INDEX($AB$1005:$AQ$1005,1,MATCH(COLUMNS($AB$1006:AN1006),$AB$1006:$AQ$1006,0))&gt;=100000), " ",IF(INDEX($AB$2:$AQ$1001,MATCH(ROWS($U$2:U404),$U$2:$U$1001,0),MATCH(COLUMNS($AB$1006:AN1006),$AB$1006:$AQ$1006,0)), HYPERLINK("#",""), HYPERLINK(CONCATENATE("#Metadata!", ADDRESS(INDEX($W$2:$W$1001,MATCH(ROWS($U$2:U404),$U$2:$U$1001,0),0), INDEX($AB$1004:$AQ$1004,1,MATCH(COLUMNS($AB$1006:AN1006),$AB$1006:$AQ$1006,0)))),"Fix")))</f>
        <v>0</v>
      </c>
      <c r="O404" s="5">
        <f>IF(OR(INDEX($V$2:$V$1001,MATCH(ROWS($U$2:U404),$U$2:$U$1001,0),1)&gt;=100000,INDEX($AB$1005:$AQ$1005,1,MATCH(COLUMNS($AB$1006:AO1006),$AB$1006:$AQ$1006,0))&gt;=100000), " ",IF(INDEX($AB$2:$AQ$1001,MATCH(ROWS($U$2:U404),$U$2:$U$1001,0),MATCH(COLUMNS($AB$1006:AO1006),$AB$1006:$AQ$1006,0)), HYPERLINK("#",""), HYPERLINK(CONCATENATE("#Metadata!", ADDRESS(INDEX($W$2:$W$1001,MATCH(ROWS($U$2:U404),$U$2:$U$1001,0),0), INDEX($AB$1004:$AQ$1004,1,MATCH(COLUMNS($AB$1006:AO1006),$AB$1006:$AQ$1006,0)))),"Fix")))</f>
        <v>0</v>
      </c>
      <c r="P404" s="5">
        <f>IF(OR(INDEX($V$2:$V$1001,MATCH(ROWS($U$2:U404),$U$2:$U$1001,0),1)&gt;=100000,INDEX($AB$1005:$AQ$1005,1,MATCH(COLUMNS($AB$1006:AP1006),$AB$1006:$AQ$1006,0))&gt;=100000), " ",IF(INDEX($AB$2:$AQ$1001,MATCH(ROWS($U$2:U404),$U$2:$U$1001,0),MATCH(COLUMNS($AB$1006:AP1006),$AB$1006:$AQ$1006,0)), HYPERLINK("#",""), HYPERLINK(CONCATENATE("#Metadata!", ADDRESS(INDEX($W$2:$W$1001,MATCH(ROWS($U$2:U404),$U$2:$U$1001,0),0), INDEX($AB$1004:$AQ$1004,1,MATCH(COLUMNS($AB$1006:AP1006),$AB$1006:$AQ$1006,0)))),"Fix")))</f>
        <v>0</v>
      </c>
      <c r="Q404" s="5">
        <f>IF(OR(INDEX($V$2:$V$1001,MATCH(ROWS($U$2:U404),$U$2:$U$1001,0),1)&gt;=100000,INDEX($AB$1005:$AQ$1005,1,MATCH(COLUMNS($AB$1006:AQ1006),$AB$1006:$AQ$1006,0))&gt;=100000), " ",IF(INDEX($AB$2:$AQ$1001,MATCH(ROWS($U$2:U404),$U$2:$U$1001,0),MATCH(COLUMNS($AB$1006:AQ1006),$AB$1006:$AQ$1006,0)), HYPERLINK("#",""), HYPERLINK(CONCATENATE("#Metadata!", ADDRESS(INDEX($W$2:$W$1001,MATCH(ROWS($U$2:U404),$U$2:$U$1001,0),0), INDEX($AB$1004:$AQ$1004,1,MATCH(COLUMNS($AB$1006:AQ1006),$AB$1006:$AQ$1006,0)))),"Fix")))</f>
        <v>0</v>
      </c>
      <c r="U404">
        <v>0</v>
      </c>
      <c r="V404">
        <v>0</v>
      </c>
      <c r="W404">
        <v>0</v>
      </c>
      <c r="X404">
        <f>IF(Y404,TRUE,AND(AB404:AQ404))</f>
        <v>0</v>
      </c>
      <c r="Y404">
        <f>COUNTBLANK(Metadata!B404:Q404)=COLUMNS(Metadata!B404:Q404)</f>
        <v>0</v>
      </c>
      <c r="Z404">
        <v>0</v>
      </c>
      <c r="AB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AC404">
        <f>AND(IF(Metadata!C404="",FALSE,TRUE),exact(Metadata!C404,"urban biome"))</f>
        <v>0</v>
      </c>
      <c r="AD404">
        <f>AND(IF(Metadata!D404="",FALSE,TRUE),exact(Metadata!D404,"human-associated habitat"))</f>
        <v>0</v>
      </c>
      <c r="AE404">
        <f>AND(IF(Metadata!E404="",FALSE,TRUE),OR(exact(Metadata!E404,"human-associated"),exact(Metadata!E404,"human-skin"),exact(Metadata!E404,"human-oral"),exact(Metadata!E404,"human-gut"),exact(Metadata!E404,"human-vaginal")))</f>
        <v>0</v>
      </c>
      <c r="AF404">
        <f>AND(IF(Metadata!F404="",FALSE,ISNUMBER(VALUE(Metadata!F404))),Metadata!F404&gt;0)</f>
        <v>0</v>
      </c>
      <c r="AG404">
        <f>AND(IF(Metadata!G404="",FALSE,TRUE),exact(Metadata!G404,"years"))</f>
        <v>0</v>
      </c>
      <c r="AH404">
        <f>OR(AND(IF(Metadata!H404="",FALSE,TRUE),OR(exact(Metadata!H404,"not applicable"),exact(Metadata!H404,"not collected"),exact(Metadata!H404,"not provided"),exact(Metadata!H404,"restricted access"))),AND(IF(Metadata!H404="",FALSE,ISNUMBER(VALUE(Metadata!H404))),Metadata!H404&gt;0))</f>
        <v>0</v>
      </c>
      <c r="AI404">
        <f>AND(IF(Metadata!I404="",FALSE,TRUE),exact(Metadata!I404,"human"))</f>
        <v>0</v>
      </c>
      <c r="AJ404">
        <f>AND(IF(Metadata!J404="",FALSE,ISNUMBER(VALUE(Metadata!J404))),Metadata!J404&gt;0)</f>
        <v>0</v>
      </c>
      <c r="AK404">
        <f>AND(IF(Metadata!K404="",FALSE,TRUE),exact(Metadata!K404,"cm"))</f>
        <v>0</v>
      </c>
      <c r="AL404">
        <f>AND(IF(Metadata!L404="",FALSE,TRUE),exact(Metadata!L404,"Homo sapiens"))</f>
        <v>0</v>
      </c>
      <c r="AM404">
        <f>AND(IF(Metadata!M404="",FALSE,TRUE),exact(Metadata!M404,"9606"))</f>
        <v>0</v>
      </c>
      <c r="AN404">
        <f>AND(IF(Metadata!N404="",FALSE,ISNUMBER(VALUE(Metadata!N404))),Metadata!N404&gt;0)</f>
        <v>0</v>
      </c>
      <c r="AO404">
        <f>AND(IF(Metadata!O404="",FALSE,TRUE),exact(Metadata!O404,"kg"))</f>
        <v>0</v>
      </c>
      <c r="AP404">
        <f>OR(AND(IF(Metadata!P404="",FALSE,TRUE),exact(Metadata!P404,"not provided")),IF(Metadata!P404="",FALSE,TRUE))</f>
        <v>0</v>
      </c>
      <c r="AQ404">
        <f>OR(AND(IF(Metadata!Q404="",FALSE,TRUE),exact(Metadata!Q404,"not provided")),IF(Metadata!Q404="",FALSE,TRUE))</f>
        <v>0</v>
      </c>
    </row>
    <row r="405" spans="1:43">
      <c r="A405" s="4">
        <f>IF(B405=" "," ",HYPERLINK(CONCATENATE("#metadata!",ADDRESS(INDEX($W$2:$W$1001,MATCH(ROWS($U$2:U405),$U$2:$U$1001,0),0),2)),INDEX($Z$2:$Z$1001,MATCH(ROWS($U$2:U405),$U$2:$U$1001,0),0)))</f>
        <v>0</v>
      </c>
      <c r="B405" s="5">
        <f>IF(OR(INDEX($V$2:$V$1001,MATCH(ROWS($U$2:U405),$U$2:$U$1001,0),1)&gt;=100000,INDEX($AB$1005:$AQ$1005,1,MATCH(COLUMNS($AB$1006:AB1006),$AB$1006:$AQ$1006,0))&gt;=100000), " ",IF(INDEX($AB$2:$AQ$1001,MATCH(ROWS($U$2:U405),$U$2:$U$1001,0),MATCH(COLUMNS($AB$1006:AB1006),$AB$1006:$AQ$1006,0)), HYPERLINK("#",""), HYPERLINK(CONCATENATE("#Metadata!", ADDRESS(INDEX($W$2:$W$1001,MATCH(ROWS($U$2:U405),$U$2:$U$1001,0),0), INDEX($AB$1004:$AQ$1004,1,MATCH(COLUMNS($AB$1006:AB1006),$AB$1006:$AQ$1006,0)))),"Fix")))</f>
        <v>0</v>
      </c>
      <c r="C405" s="5">
        <f>IF(OR(INDEX($V$2:$V$1001,MATCH(ROWS($U$2:U405),$U$2:$U$1001,0),1)&gt;=100000,INDEX($AB$1005:$AQ$1005,1,MATCH(COLUMNS($AB$1006:AC1006),$AB$1006:$AQ$1006,0))&gt;=100000), " ",IF(INDEX($AB$2:$AQ$1001,MATCH(ROWS($U$2:U405),$U$2:$U$1001,0),MATCH(COLUMNS($AB$1006:AC1006),$AB$1006:$AQ$1006,0)), HYPERLINK("#",""), HYPERLINK(CONCATENATE("#Metadata!", ADDRESS(INDEX($W$2:$W$1001,MATCH(ROWS($U$2:U405),$U$2:$U$1001,0),0), INDEX($AB$1004:$AQ$1004,1,MATCH(COLUMNS($AB$1006:AC1006),$AB$1006:$AQ$1006,0)))),"Fix")))</f>
        <v>0</v>
      </c>
      <c r="D405" s="5">
        <f>IF(OR(INDEX($V$2:$V$1001,MATCH(ROWS($U$2:U405),$U$2:$U$1001,0),1)&gt;=100000,INDEX($AB$1005:$AQ$1005,1,MATCH(COLUMNS($AB$1006:AD1006),$AB$1006:$AQ$1006,0))&gt;=100000), " ",IF(INDEX($AB$2:$AQ$1001,MATCH(ROWS($U$2:U405),$U$2:$U$1001,0),MATCH(COLUMNS($AB$1006:AD1006),$AB$1006:$AQ$1006,0)), HYPERLINK("#",""), HYPERLINK(CONCATENATE("#Metadata!", ADDRESS(INDEX($W$2:$W$1001,MATCH(ROWS($U$2:U405),$U$2:$U$1001,0),0), INDEX($AB$1004:$AQ$1004,1,MATCH(COLUMNS($AB$1006:AD1006),$AB$1006:$AQ$1006,0)))),"Fix")))</f>
        <v>0</v>
      </c>
      <c r="E405" s="5">
        <f>IF(OR(INDEX($V$2:$V$1001,MATCH(ROWS($U$2:U405),$U$2:$U$1001,0),1)&gt;=100000,INDEX($AB$1005:$AQ$1005,1,MATCH(COLUMNS($AB$1006:AE1006),$AB$1006:$AQ$1006,0))&gt;=100000), " ",IF(INDEX($AB$2:$AQ$1001,MATCH(ROWS($U$2:U405),$U$2:$U$1001,0),MATCH(COLUMNS($AB$1006:AE1006),$AB$1006:$AQ$1006,0)), HYPERLINK("#",""), HYPERLINK(CONCATENATE("#Metadata!", ADDRESS(INDEX($W$2:$W$1001,MATCH(ROWS($U$2:U405),$U$2:$U$1001,0),0), INDEX($AB$1004:$AQ$1004,1,MATCH(COLUMNS($AB$1006:AE1006),$AB$1006:$AQ$1006,0)))),"Fix")))</f>
        <v>0</v>
      </c>
      <c r="F405" s="5">
        <f>IF(OR(INDEX($V$2:$V$1001,MATCH(ROWS($U$2:U405),$U$2:$U$1001,0),1)&gt;=100000,INDEX($AB$1005:$AQ$1005,1,MATCH(COLUMNS($AB$1006:AF1006),$AB$1006:$AQ$1006,0))&gt;=100000), " ",IF(INDEX($AB$2:$AQ$1001,MATCH(ROWS($U$2:U405),$U$2:$U$1001,0),MATCH(COLUMNS($AB$1006:AF1006),$AB$1006:$AQ$1006,0)), HYPERLINK("#",""), HYPERLINK(CONCATENATE("#Metadata!", ADDRESS(INDEX($W$2:$W$1001,MATCH(ROWS($U$2:U405),$U$2:$U$1001,0),0), INDEX($AB$1004:$AQ$1004,1,MATCH(COLUMNS($AB$1006:AF1006),$AB$1006:$AQ$1006,0)))),"Fix")))</f>
        <v>0</v>
      </c>
      <c r="G405" s="5">
        <f>IF(OR(INDEX($V$2:$V$1001,MATCH(ROWS($U$2:U405),$U$2:$U$1001,0),1)&gt;=100000,INDEX($AB$1005:$AQ$1005,1,MATCH(COLUMNS($AB$1006:AG1006),$AB$1006:$AQ$1006,0))&gt;=100000), " ",IF(INDEX($AB$2:$AQ$1001,MATCH(ROWS($U$2:U405),$U$2:$U$1001,0),MATCH(COLUMNS($AB$1006:AG1006),$AB$1006:$AQ$1006,0)), HYPERLINK("#",""), HYPERLINK(CONCATENATE("#Metadata!", ADDRESS(INDEX($W$2:$W$1001,MATCH(ROWS($U$2:U405),$U$2:$U$1001,0),0), INDEX($AB$1004:$AQ$1004,1,MATCH(COLUMNS($AB$1006:AG1006),$AB$1006:$AQ$1006,0)))),"Fix")))</f>
        <v>0</v>
      </c>
      <c r="H405" s="5">
        <f>IF(OR(INDEX($V$2:$V$1001,MATCH(ROWS($U$2:U405),$U$2:$U$1001,0),1)&gt;=100000,INDEX($AB$1005:$AQ$1005,1,MATCH(COLUMNS($AB$1006:AH1006),$AB$1006:$AQ$1006,0))&gt;=100000), " ",IF(INDEX($AB$2:$AQ$1001,MATCH(ROWS($U$2:U405),$U$2:$U$1001,0),MATCH(COLUMNS($AB$1006:AH1006),$AB$1006:$AQ$1006,0)), HYPERLINK("#",""), HYPERLINK(CONCATENATE("#Metadata!", ADDRESS(INDEX($W$2:$W$1001,MATCH(ROWS($U$2:U405),$U$2:$U$1001,0),0), INDEX($AB$1004:$AQ$1004,1,MATCH(COLUMNS($AB$1006:AH1006),$AB$1006:$AQ$1006,0)))),"Fix")))</f>
        <v>0</v>
      </c>
      <c r="I405" s="5">
        <f>IF(OR(INDEX($V$2:$V$1001,MATCH(ROWS($U$2:U405),$U$2:$U$1001,0),1)&gt;=100000,INDEX($AB$1005:$AQ$1005,1,MATCH(COLUMNS($AB$1006:AI1006),$AB$1006:$AQ$1006,0))&gt;=100000), " ",IF(INDEX($AB$2:$AQ$1001,MATCH(ROWS($U$2:U405),$U$2:$U$1001,0),MATCH(COLUMNS($AB$1006:AI1006),$AB$1006:$AQ$1006,0)), HYPERLINK("#",""), HYPERLINK(CONCATENATE("#Metadata!", ADDRESS(INDEX($W$2:$W$1001,MATCH(ROWS($U$2:U405),$U$2:$U$1001,0),0), INDEX($AB$1004:$AQ$1004,1,MATCH(COLUMNS($AB$1006:AI1006),$AB$1006:$AQ$1006,0)))),"Fix")))</f>
        <v>0</v>
      </c>
      <c r="J405" s="5">
        <f>IF(OR(INDEX($V$2:$V$1001,MATCH(ROWS($U$2:U405),$U$2:$U$1001,0),1)&gt;=100000,INDEX($AB$1005:$AQ$1005,1,MATCH(COLUMNS($AB$1006:AJ1006),$AB$1006:$AQ$1006,0))&gt;=100000), " ",IF(INDEX($AB$2:$AQ$1001,MATCH(ROWS($U$2:U405),$U$2:$U$1001,0),MATCH(COLUMNS($AB$1006:AJ1006),$AB$1006:$AQ$1006,0)), HYPERLINK("#",""), HYPERLINK(CONCATENATE("#Metadata!", ADDRESS(INDEX($W$2:$W$1001,MATCH(ROWS($U$2:U405),$U$2:$U$1001,0),0), INDEX($AB$1004:$AQ$1004,1,MATCH(COLUMNS($AB$1006:AJ1006),$AB$1006:$AQ$1006,0)))),"Fix")))</f>
        <v>0</v>
      </c>
      <c r="K405" s="5">
        <f>IF(OR(INDEX($V$2:$V$1001,MATCH(ROWS($U$2:U405),$U$2:$U$1001,0),1)&gt;=100000,INDEX($AB$1005:$AQ$1005,1,MATCH(COLUMNS($AB$1006:AK1006),$AB$1006:$AQ$1006,0))&gt;=100000), " ",IF(INDEX($AB$2:$AQ$1001,MATCH(ROWS($U$2:U405),$U$2:$U$1001,0),MATCH(COLUMNS($AB$1006:AK1006),$AB$1006:$AQ$1006,0)), HYPERLINK("#",""), HYPERLINK(CONCATENATE("#Metadata!", ADDRESS(INDEX($W$2:$W$1001,MATCH(ROWS($U$2:U405),$U$2:$U$1001,0),0), INDEX($AB$1004:$AQ$1004,1,MATCH(COLUMNS($AB$1006:AK1006),$AB$1006:$AQ$1006,0)))),"Fix")))</f>
        <v>0</v>
      </c>
      <c r="L405" s="5">
        <f>IF(OR(INDEX($V$2:$V$1001,MATCH(ROWS($U$2:U405),$U$2:$U$1001,0),1)&gt;=100000,INDEX($AB$1005:$AQ$1005,1,MATCH(COLUMNS($AB$1006:AL1006),$AB$1006:$AQ$1006,0))&gt;=100000), " ",IF(INDEX($AB$2:$AQ$1001,MATCH(ROWS($U$2:U405),$U$2:$U$1001,0),MATCH(COLUMNS($AB$1006:AL1006),$AB$1006:$AQ$1006,0)), HYPERLINK("#",""), HYPERLINK(CONCATENATE("#Metadata!", ADDRESS(INDEX($W$2:$W$1001,MATCH(ROWS($U$2:U405),$U$2:$U$1001,0),0), INDEX($AB$1004:$AQ$1004,1,MATCH(COLUMNS($AB$1006:AL1006),$AB$1006:$AQ$1006,0)))),"Fix")))</f>
        <v>0</v>
      </c>
      <c r="M405" s="5">
        <f>IF(OR(INDEX($V$2:$V$1001,MATCH(ROWS($U$2:U405),$U$2:$U$1001,0),1)&gt;=100000,INDEX($AB$1005:$AQ$1005,1,MATCH(COLUMNS($AB$1006:AM1006),$AB$1006:$AQ$1006,0))&gt;=100000), " ",IF(INDEX($AB$2:$AQ$1001,MATCH(ROWS($U$2:U405),$U$2:$U$1001,0),MATCH(COLUMNS($AB$1006:AM1006),$AB$1006:$AQ$1006,0)), HYPERLINK("#",""), HYPERLINK(CONCATENATE("#Metadata!", ADDRESS(INDEX($W$2:$W$1001,MATCH(ROWS($U$2:U405),$U$2:$U$1001,0),0), INDEX($AB$1004:$AQ$1004,1,MATCH(COLUMNS($AB$1006:AM1006),$AB$1006:$AQ$1006,0)))),"Fix")))</f>
        <v>0</v>
      </c>
      <c r="N405" s="5">
        <f>IF(OR(INDEX($V$2:$V$1001,MATCH(ROWS($U$2:U405),$U$2:$U$1001,0),1)&gt;=100000,INDEX($AB$1005:$AQ$1005,1,MATCH(COLUMNS($AB$1006:AN1006),$AB$1006:$AQ$1006,0))&gt;=100000), " ",IF(INDEX($AB$2:$AQ$1001,MATCH(ROWS($U$2:U405),$U$2:$U$1001,0),MATCH(COLUMNS($AB$1006:AN1006),$AB$1006:$AQ$1006,0)), HYPERLINK("#",""), HYPERLINK(CONCATENATE("#Metadata!", ADDRESS(INDEX($W$2:$W$1001,MATCH(ROWS($U$2:U405),$U$2:$U$1001,0),0), INDEX($AB$1004:$AQ$1004,1,MATCH(COLUMNS($AB$1006:AN1006),$AB$1006:$AQ$1006,0)))),"Fix")))</f>
        <v>0</v>
      </c>
      <c r="O405" s="5">
        <f>IF(OR(INDEX($V$2:$V$1001,MATCH(ROWS($U$2:U405),$U$2:$U$1001,0),1)&gt;=100000,INDEX($AB$1005:$AQ$1005,1,MATCH(COLUMNS($AB$1006:AO1006),$AB$1006:$AQ$1006,0))&gt;=100000), " ",IF(INDEX($AB$2:$AQ$1001,MATCH(ROWS($U$2:U405),$U$2:$U$1001,0),MATCH(COLUMNS($AB$1006:AO1006),$AB$1006:$AQ$1006,0)), HYPERLINK("#",""), HYPERLINK(CONCATENATE("#Metadata!", ADDRESS(INDEX($W$2:$W$1001,MATCH(ROWS($U$2:U405),$U$2:$U$1001,0),0), INDEX($AB$1004:$AQ$1004,1,MATCH(COLUMNS($AB$1006:AO1006),$AB$1006:$AQ$1006,0)))),"Fix")))</f>
        <v>0</v>
      </c>
      <c r="P405" s="5">
        <f>IF(OR(INDEX($V$2:$V$1001,MATCH(ROWS($U$2:U405),$U$2:$U$1001,0),1)&gt;=100000,INDEX($AB$1005:$AQ$1005,1,MATCH(COLUMNS($AB$1006:AP1006),$AB$1006:$AQ$1006,0))&gt;=100000), " ",IF(INDEX($AB$2:$AQ$1001,MATCH(ROWS($U$2:U405),$U$2:$U$1001,0),MATCH(COLUMNS($AB$1006:AP1006),$AB$1006:$AQ$1006,0)), HYPERLINK("#",""), HYPERLINK(CONCATENATE("#Metadata!", ADDRESS(INDEX($W$2:$W$1001,MATCH(ROWS($U$2:U405),$U$2:$U$1001,0),0), INDEX($AB$1004:$AQ$1004,1,MATCH(COLUMNS($AB$1006:AP1006),$AB$1006:$AQ$1006,0)))),"Fix")))</f>
        <v>0</v>
      </c>
      <c r="Q405" s="5">
        <f>IF(OR(INDEX($V$2:$V$1001,MATCH(ROWS($U$2:U405),$U$2:$U$1001,0),1)&gt;=100000,INDEX($AB$1005:$AQ$1005,1,MATCH(COLUMNS($AB$1006:AQ1006),$AB$1006:$AQ$1006,0))&gt;=100000), " ",IF(INDEX($AB$2:$AQ$1001,MATCH(ROWS($U$2:U405),$U$2:$U$1001,0),MATCH(COLUMNS($AB$1006:AQ1006),$AB$1006:$AQ$1006,0)), HYPERLINK("#",""), HYPERLINK(CONCATENATE("#Metadata!", ADDRESS(INDEX($W$2:$W$1001,MATCH(ROWS($U$2:U405),$U$2:$U$1001,0),0), INDEX($AB$1004:$AQ$1004,1,MATCH(COLUMNS($AB$1006:AQ1006),$AB$1006:$AQ$1006,0)))),"Fix")))</f>
        <v>0</v>
      </c>
      <c r="U405">
        <v>0</v>
      </c>
      <c r="V405">
        <v>0</v>
      </c>
      <c r="W405">
        <v>0</v>
      </c>
      <c r="X405">
        <f>IF(Y405,TRUE,AND(AB405:AQ405))</f>
        <v>0</v>
      </c>
      <c r="Y405">
        <f>COUNTBLANK(Metadata!B405:Q405)=COLUMNS(Metadata!B405:Q405)</f>
        <v>0</v>
      </c>
      <c r="Z405">
        <v>0</v>
      </c>
      <c r="AB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AC405">
        <f>AND(IF(Metadata!C405="",FALSE,TRUE),exact(Metadata!C405,"urban biome"))</f>
        <v>0</v>
      </c>
      <c r="AD405">
        <f>AND(IF(Metadata!D405="",FALSE,TRUE),exact(Metadata!D405,"human-associated habitat"))</f>
        <v>0</v>
      </c>
      <c r="AE405">
        <f>AND(IF(Metadata!E405="",FALSE,TRUE),OR(exact(Metadata!E405,"human-associated"),exact(Metadata!E405,"human-skin"),exact(Metadata!E405,"human-oral"),exact(Metadata!E405,"human-gut"),exact(Metadata!E405,"human-vaginal")))</f>
        <v>0</v>
      </c>
      <c r="AF405">
        <f>AND(IF(Metadata!F405="",FALSE,ISNUMBER(VALUE(Metadata!F405))),Metadata!F405&gt;0)</f>
        <v>0</v>
      </c>
      <c r="AG405">
        <f>AND(IF(Metadata!G405="",FALSE,TRUE),exact(Metadata!G405,"years"))</f>
        <v>0</v>
      </c>
      <c r="AH405">
        <f>OR(AND(IF(Metadata!H405="",FALSE,TRUE),OR(exact(Metadata!H405,"not applicable"),exact(Metadata!H405,"not collected"),exact(Metadata!H405,"not provided"),exact(Metadata!H405,"restricted access"))),AND(IF(Metadata!H405="",FALSE,ISNUMBER(VALUE(Metadata!H405))),Metadata!H405&gt;0))</f>
        <v>0</v>
      </c>
      <c r="AI405">
        <f>AND(IF(Metadata!I405="",FALSE,TRUE),exact(Metadata!I405,"human"))</f>
        <v>0</v>
      </c>
      <c r="AJ405">
        <f>AND(IF(Metadata!J405="",FALSE,ISNUMBER(VALUE(Metadata!J405))),Metadata!J405&gt;0)</f>
        <v>0</v>
      </c>
      <c r="AK405">
        <f>AND(IF(Metadata!K405="",FALSE,TRUE),exact(Metadata!K405,"cm"))</f>
        <v>0</v>
      </c>
      <c r="AL405">
        <f>AND(IF(Metadata!L405="",FALSE,TRUE),exact(Metadata!L405,"Homo sapiens"))</f>
        <v>0</v>
      </c>
      <c r="AM405">
        <f>AND(IF(Metadata!M405="",FALSE,TRUE),exact(Metadata!M405,"9606"))</f>
        <v>0</v>
      </c>
      <c r="AN405">
        <f>AND(IF(Metadata!N405="",FALSE,ISNUMBER(VALUE(Metadata!N405))),Metadata!N405&gt;0)</f>
        <v>0</v>
      </c>
      <c r="AO405">
        <f>AND(IF(Metadata!O405="",FALSE,TRUE),exact(Metadata!O405,"kg"))</f>
        <v>0</v>
      </c>
      <c r="AP405">
        <f>OR(AND(IF(Metadata!P405="",FALSE,TRUE),exact(Metadata!P405,"not provided")),IF(Metadata!P405="",FALSE,TRUE))</f>
        <v>0</v>
      </c>
      <c r="AQ405">
        <f>OR(AND(IF(Metadata!Q405="",FALSE,TRUE),exact(Metadata!Q405,"not provided")),IF(Metadata!Q405="",FALSE,TRUE))</f>
        <v>0</v>
      </c>
    </row>
    <row r="406" spans="1:43">
      <c r="A406" s="4">
        <f>IF(B406=" "," ",HYPERLINK(CONCATENATE("#metadata!",ADDRESS(INDEX($W$2:$W$1001,MATCH(ROWS($U$2:U406),$U$2:$U$1001,0),0),2)),INDEX($Z$2:$Z$1001,MATCH(ROWS($U$2:U406),$U$2:$U$1001,0),0)))</f>
        <v>0</v>
      </c>
      <c r="B406" s="5">
        <f>IF(OR(INDEX($V$2:$V$1001,MATCH(ROWS($U$2:U406),$U$2:$U$1001,0),1)&gt;=100000,INDEX($AB$1005:$AQ$1005,1,MATCH(COLUMNS($AB$1006:AB1006),$AB$1006:$AQ$1006,0))&gt;=100000), " ",IF(INDEX($AB$2:$AQ$1001,MATCH(ROWS($U$2:U406),$U$2:$U$1001,0),MATCH(COLUMNS($AB$1006:AB1006),$AB$1006:$AQ$1006,0)), HYPERLINK("#",""), HYPERLINK(CONCATENATE("#Metadata!", ADDRESS(INDEX($W$2:$W$1001,MATCH(ROWS($U$2:U406),$U$2:$U$1001,0),0), INDEX($AB$1004:$AQ$1004,1,MATCH(COLUMNS($AB$1006:AB1006),$AB$1006:$AQ$1006,0)))),"Fix")))</f>
        <v>0</v>
      </c>
      <c r="C406" s="5">
        <f>IF(OR(INDEX($V$2:$V$1001,MATCH(ROWS($U$2:U406),$U$2:$U$1001,0),1)&gt;=100000,INDEX($AB$1005:$AQ$1005,1,MATCH(COLUMNS($AB$1006:AC1006),$AB$1006:$AQ$1006,0))&gt;=100000), " ",IF(INDEX($AB$2:$AQ$1001,MATCH(ROWS($U$2:U406),$U$2:$U$1001,0),MATCH(COLUMNS($AB$1006:AC1006),$AB$1006:$AQ$1006,0)), HYPERLINK("#",""), HYPERLINK(CONCATENATE("#Metadata!", ADDRESS(INDEX($W$2:$W$1001,MATCH(ROWS($U$2:U406),$U$2:$U$1001,0),0), INDEX($AB$1004:$AQ$1004,1,MATCH(COLUMNS($AB$1006:AC1006),$AB$1006:$AQ$1006,0)))),"Fix")))</f>
        <v>0</v>
      </c>
      <c r="D406" s="5">
        <f>IF(OR(INDEX($V$2:$V$1001,MATCH(ROWS($U$2:U406),$U$2:$U$1001,0),1)&gt;=100000,INDEX($AB$1005:$AQ$1005,1,MATCH(COLUMNS($AB$1006:AD1006),$AB$1006:$AQ$1006,0))&gt;=100000), " ",IF(INDEX($AB$2:$AQ$1001,MATCH(ROWS($U$2:U406),$U$2:$U$1001,0),MATCH(COLUMNS($AB$1006:AD1006),$AB$1006:$AQ$1006,0)), HYPERLINK("#",""), HYPERLINK(CONCATENATE("#Metadata!", ADDRESS(INDEX($W$2:$W$1001,MATCH(ROWS($U$2:U406),$U$2:$U$1001,0),0), INDEX($AB$1004:$AQ$1004,1,MATCH(COLUMNS($AB$1006:AD1006),$AB$1006:$AQ$1006,0)))),"Fix")))</f>
        <v>0</v>
      </c>
      <c r="E406" s="5">
        <f>IF(OR(INDEX($V$2:$V$1001,MATCH(ROWS($U$2:U406),$U$2:$U$1001,0),1)&gt;=100000,INDEX($AB$1005:$AQ$1005,1,MATCH(COLUMNS($AB$1006:AE1006),$AB$1006:$AQ$1006,0))&gt;=100000), " ",IF(INDEX($AB$2:$AQ$1001,MATCH(ROWS($U$2:U406),$U$2:$U$1001,0),MATCH(COLUMNS($AB$1006:AE1006),$AB$1006:$AQ$1006,0)), HYPERLINK("#",""), HYPERLINK(CONCATENATE("#Metadata!", ADDRESS(INDEX($W$2:$W$1001,MATCH(ROWS($U$2:U406),$U$2:$U$1001,0),0), INDEX($AB$1004:$AQ$1004,1,MATCH(COLUMNS($AB$1006:AE1006),$AB$1006:$AQ$1006,0)))),"Fix")))</f>
        <v>0</v>
      </c>
      <c r="F406" s="5">
        <f>IF(OR(INDEX($V$2:$V$1001,MATCH(ROWS($U$2:U406),$U$2:$U$1001,0),1)&gt;=100000,INDEX($AB$1005:$AQ$1005,1,MATCH(COLUMNS($AB$1006:AF1006),$AB$1006:$AQ$1006,0))&gt;=100000), " ",IF(INDEX($AB$2:$AQ$1001,MATCH(ROWS($U$2:U406),$U$2:$U$1001,0),MATCH(COLUMNS($AB$1006:AF1006),$AB$1006:$AQ$1006,0)), HYPERLINK("#",""), HYPERLINK(CONCATENATE("#Metadata!", ADDRESS(INDEX($W$2:$W$1001,MATCH(ROWS($U$2:U406),$U$2:$U$1001,0),0), INDEX($AB$1004:$AQ$1004,1,MATCH(COLUMNS($AB$1006:AF1006),$AB$1006:$AQ$1006,0)))),"Fix")))</f>
        <v>0</v>
      </c>
      <c r="G406" s="5">
        <f>IF(OR(INDEX($V$2:$V$1001,MATCH(ROWS($U$2:U406),$U$2:$U$1001,0),1)&gt;=100000,INDEX($AB$1005:$AQ$1005,1,MATCH(COLUMNS($AB$1006:AG1006),$AB$1006:$AQ$1006,0))&gt;=100000), " ",IF(INDEX($AB$2:$AQ$1001,MATCH(ROWS($U$2:U406),$U$2:$U$1001,0),MATCH(COLUMNS($AB$1006:AG1006),$AB$1006:$AQ$1006,0)), HYPERLINK("#",""), HYPERLINK(CONCATENATE("#Metadata!", ADDRESS(INDEX($W$2:$W$1001,MATCH(ROWS($U$2:U406),$U$2:$U$1001,0),0), INDEX($AB$1004:$AQ$1004,1,MATCH(COLUMNS($AB$1006:AG1006),$AB$1006:$AQ$1006,0)))),"Fix")))</f>
        <v>0</v>
      </c>
      <c r="H406" s="5">
        <f>IF(OR(INDEX($V$2:$V$1001,MATCH(ROWS($U$2:U406),$U$2:$U$1001,0),1)&gt;=100000,INDEX($AB$1005:$AQ$1005,1,MATCH(COLUMNS($AB$1006:AH1006),$AB$1006:$AQ$1006,0))&gt;=100000), " ",IF(INDEX($AB$2:$AQ$1001,MATCH(ROWS($U$2:U406),$U$2:$U$1001,0),MATCH(COLUMNS($AB$1006:AH1006),$AB$1006:$AQ$1006,0)), HYPERLINK("#",""), HYPERLINK(CONCATENATE("#Metadata!", ADDRESS(INDEX($W$2:$W$1001,MATCH(ROWS($U$2:U406),$U$2:$U$1001,0),0), INDEX($AB$1004:$AQ$1004,1,MATCH(COLUMNS($AB$1006:AH1006),$AB$1006:$AQ$1006,0)))),"Fix")))</f>
        <v>0</v>
      </c>
      <c r="I406" s="5">
        <f>IF(OR(INDEX($V$2:$V$1001,MATCH(ROWS($U$2:U406),$U$2:$U$1001,0),1)&gt;=100000,INDEX($AB$1005:$AQ$1005,1,MATCH(COLUMNS($AB$1006:AI1006),$AB$1006:$AQ$1006,0))&gt;=100000), " ",IF(INDEX($AB$2:$AQ$1001,MATCH(ROWS($U$2:U406),$U$2:$U$1001,0),MATCH(COLUMNS($AB$1006:AI1006),$AB$1006:$AQ$1006,0)), HYPERLINK("#",""), HYPERLINK(CONCATENATE("#Metadata!", ADDRESS(INDEX($W$2:$W$1001,MATCH(ROWS($U$2:U406),$U$2:$U$1001,0),0), INDEX($AB$1004:$AQ$1004,1,MATCH(COLUMNS($AB$1006:AI1006),$AB$1006:$AQ$1006,0)))),"Fix")))</f>
        <v>0</v>
      </c>
      <c r="J406" s="5">
        <f>IF(OR(INDEX($V$2:$V$1001,MATCH(ROWS($U$2:U406),$U$2:$U$1001,0),1)&gt;=100000,INDEX($AB$1005:$AQ$1005,1,MATCH(COLUMNS($AB$1006:AJ1006),$AB$1006:$AQ$1006,0))&gt;=100000), " ",IF(INDEX($AB$2:$AQ$1001,MATCH(ROWS($U$2:U406),$U$2:$U$1001,0),MATCH(COLUMNS($AB$1006:AJ1006),$AB$1006:$AQ$1006,0)), HYPERLINK("#",""), HYPERLINK(CONCATENATE("#Metadata!", ADDRESS(INDEX($W$2:$W$1001,MATCH(ROWS($U$2:U406),$U$2:$U$1001,0),0), INDEX($AB$1004:$AQ$1004,1,MATCH(COLUMNS($AB$1006:AJ1006),$AB$1006:$AQ$1006,0)))),"Fix")))</f>
        <v>0</v>
      </c>
      <c r="K406" s="5">
        <f>IF(OR(INDEX($V$2:$V$1001,MATCH(ROWS($U$2:U406),$U$2:$U$1001,0),1)&gt;=100000,INDEX($AB$1005:$AQ$1005,1,MATCH(COLUMNS($AB$1006:AK1006),$AB$1006:$AQ$1006,0))&gt;=100000), " ",IF(INDEX($AB$2:$AQ$1001,MATCH(ROWS($U$2:U406),$U$2:$U$1001,0),MATCH(COLUMNS($AB$1006:AK1006),$AB$1006:$AQ$1006,0)), HYPERLINK("#",""), HYPERLINK(CONCATENATE("#Metadata!", ADDRESS(INDEX($W$2:$W$1001,MATCH(ROWS($U$2:U406),$U$2:$U$1001,0),0), INDEX($AB$1004:$AQ$1004,1,MATCH(COLUMNS($AB$1006:AK1006),$AB$1006:$AQ$1006,0)))),"Fix")))</f>
        <v>0</v>
      </c>
      <c r="L406" s="5">
        <f>IF(OR(INDEX($V$2:$V$1001,MATCH(ROWS($U$2:U406),$U$2:$U$1001,0),1)&gt;=100000,INDEX($AB$1005:$AQ$1005,1,MATCH(COLUMNS($AB$1006:AL1006),$AB$1006:$AQ$1006,0))&gt;=100000), " ",IF(INDEX($AB$2:$AQ$1001,MATCH(ROWS($U$2:U406),$U$2:$U$1001,0),MATCH(COLUMNS($AB$1006:AL1006),$AB$1006:$AQ$1006,0)), HYPERLINK("#",""), HYPERLINK(CONCATENATE("#Metadata!", ADDRESS(INDEX($W$2:$W$1001,MATCH(ROWS($U$2:U406),$U$2:$U$1001,0),0), INDEX($AB$1004:$AQ$1004,1,MATCH(COLUMNS($AB$1006:AL1006),$AB$1006:$AQ$1006,0)))),"Fix")))</f>
        <v>0</v>
      </c>
      <c r="M406" s="5">
        <f>IF(OR(INDEX($V$2:$V$1001,MATCH(ROWS($U$2:U406),$U$2:$U$1001,0),1)&gt;=100000,INDEX($AB$1005:$AQ$1005,1,MATCH(COLUMNS($AB$1006:AM1006),$AB$1006:$AQ$1006,0))&gt;=100000), " ",IF(INDEX($AB$2:$AQ$1001,MATCH(ROWS($U$2:U406),$U$2:$U$1001,0),MATCH(COLUMNS($AB$1006:AM1006),$AB$1006:$AQ$1006,0)), HYPERLINK("#",""), HYPERLINK(CONCATENATE("#Metadata!", ADDRESS(INDEX($W$2:$W$1001,MATCH(ROWS($U$2:U406),$U$2:$U$1001,0),0), INDEX($AB$1004:$AQ$1004,1,MATCH(COLUMNS($AB$1006:AM1006),$AB$1006:$AQ$1006,0)))),"Fix")))</f>
        <v>0</v>
      </c>
      <c r="N406" s="5">
        <f>IF(OR(INDEX($V$2:$V$1001,MATCH(ROWS($U$2:U406),$U$2:$U$1001,0),1)&gt;=100000,INDEX($AB$1005:$AQ$1005,1,MATCH(COLUMNS($AB$1006:AN1006),$AB$1006:$AQ$1006,0))&gt;=100000), " ",IF(INDEX($AB$2:$AQ$1001,MATCH(ROWS($U$2:U406),$U$2:$U$1001,0),MATCH(COLUMNS($AB$1006:AN1006),$AB$1006:$AQ$1006,0)), HYPERLINK("#",""), HYPERLINK(CONCATENATE("#Metadata!", ADDRESS(INDEX($W$2:$W$1001,MATCH(ROWS($U$2:U406),$U$2:$U$1001,0),0), INDEX($AB$1004:$AQ$1004,1,MATCH(COLUMNS($AB$1006:AN1006),$AB$1006:$AQ$1006,0)))),"Fix")))</f>
        <v>0</v>
      </c>
      <c r="O406" s="5">
        <f>IF(OR(INDEX($V$2:$V$1001,MATCH(ROWS($U$2:U406),$U$2:$U$1001,0),1)&gt;=100000,INDEX($AB$1005:$AQ$1005,1,MATCH(COLUMNS($AB$1006:AO1006),$AB$1006:$AQ$1006,0))&gt;=100000), " ",IF(INDEX($AB$2:$AQ$1001,MATCH(ROWS($U$2:U406),$U$2:$U$1001,0),MATCH(COLUMNS($AB$1006:AO1006),$AB$1006:$AQ$1006,0)), HYPERLINK("#",""), HYPERLINK(CONCATENATE("#Metadata!", ADDRESS(INDEX($W$2:$W$1001,MATCH(ROWS($U$2:U406),$U$2:$U$1001,0),0), INDEX($AB$1004:$AQ$1004,1,MATCH(COLUMNS($AB$1006:AO1006),$AB$1006:$AQ$1006,0)))),"Fix")))</f>
        <v>0</v>
      </c>
      <c r="P406" s="5">
        <f>IF(OR(INDEX($V$2:$V$1001,MATCH(ROWS($U$2:U406),$U$2:$U$1001,0),1)&gt;=100000,INDEX($AB$1005:$AQ$1005,1,MATCH(COLUMNS($AB$1006:AP1006),$AB$1006:$AQ$1006,0))&gt;=100000), " ",IF(INDEX($AB$2:$AQ$1001,MATCH(ROWS($U$2:U406),$U$2:$U$1001,0),MATCH(COLUMNS($AB$1006:AP1006),$AB$1006:$AQ$1006,0)), HYPERLINK("#",""), HYPERLINK(CONCATENATE("#Metadata!", ADDRESS(INDEX($W$2:$W$1001,MATCH(ROWS($U$2:U406),$U$2:$U$1001,0),0), INDEX($AB$1004:$AQ$1004,1,MATCH(COLUMNS($AB$1006:AP1006),$AB$1006:$AQ$1006,0)))),"Fix")))</f>
        <v>0</v>
      </c>
      <c r="Q406" s="5">
        <f>IF(OR(INDEX($V$2:$V$1001,MATCH(ROWS($U$2:U406),$U$2:$U$1001,0),1)&gt;=100000,INDEX($AB$1005:$AQ$1005,1,MATCH(COLUMNS($AB$1006:AQ1006),$AB$1006:$AQ$1006,0))&gt;=100000), " ",IF(INDEX($AB$2:$AQ$1001,MATCH(ROWS($U$2:U406),$U$2:$U$1001,0),MATCH(COLUMNS($AB$1006:AQ1006),$AB$1006:$AQ$1006,0)), HYPERLINK("#",""), HYPERLINK(CONCATENATE("#Metadata!", ADDRESS(INDEX($W$2:$W$1001,MATCH(ROWS($U$2:U406),$U$2:$U$1001,0),0), INDEX($AB$1004:$AQ$1004,1,MATCH(COLUMNS($AB$1006:AQ1006),$AB$1006:$AQ$1006,0)))),"Fix")))</f>
        <v>0</v>
      </c>
      <c r="U406">
        <v>0</v>
      </c>
      <c r="V406">
        <v>0</v>
      </c>
      <c r="W406">
        <v>0</v>
      </c>
      <c r="X406">
        <f>IF(Y406,TRUE,AND(AB406:AQ406))</f>
        <v>0</v>
      </c>
      <c r="Y406">
        <f>COUNTBLANK(Metadata!B406:Q406)=COLUMNS(Metadata!B406:Q406)</f>
        <v>0</v>
      </c>
      <c r="Z406">
        <v>0</v>
      </c>
      <c r="AB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AC406">
        <f>AND(IF(Metadata!C406="",FALSE,TRUE),exact(Metadata!C406,"urban biome"))</f>
        <v>0</v>
      </c>
      <c r="AD406">
        <f>AND(IF(Metadata!D406="",FALSE,TRUE),exact(Metadata!D406,"human-associated habitat"))</f>
        <v>0</v>
      </c>
      <c r="AE406">
        <f>AND(IF(Metadata!E406="",FALSE,TRUE),OR(exact(Metadata!E406,"human-associated"),exact(Metadata!E406,"human-skin"),exact(Metadata!E406,"human-oral"),exact(Metadata!E406,"human-gut"),exact(Metadata!E406,"human-vaginal")))</f>
        <v>0</v>
      </c>
      <c r="AF406">
        <f>AND(IF(Metadata!F406="",FALSE,ISNUMBER(VALUE(Metadata!F406))),Metadata!F406&gt;0)</f>
        <v>0</v>
      </c>
      <c r="AG406">
        <f>AND(IF(Metadata!G406="",FALSE,TRUE),exact(Metadata!G406,"years"))</f>
        <v>0</v>
      </c>
      <c r="AH406">
        <f>OR(AND(IF(Metadata!H406="",FALSE,TRUE),OR(exact(Metadata!H406,"not applicable"),exact(Metadata!H406,"not collected"),exact(Metadata!H406,"not provided"),exact(Metadata!H406,"restricted access"))),AND(IF(Metadata!H406="",FALSE,ISNUMBER(VALUE(Metadata!H406))),Metadata!H406&gt;0))</f>
        <v>0</v>
      </c>
      <c r="AI406">
        <f>AND(IF(Metadata!I406="",FALSE,TRUE),exact(Metadata!I406,"human"))</f>
        <v>0</v>
      </c>
      <c r="AJ406">
        <f>AND(IF(Metadata!J406="",FALSE,ISNUMBER(VALUE(Metadata!J406))),Metadata!J406&gt;0)</f>
        <v>0</v>
      </c>
      <c r="AK406">
        <f>AND(IF(Metadata!K406="",FALSE,TRUE),exact(Metadata!K406,"cm"))</f>
        <v>0</v>
      </c>
      <c r="AL406">
        <f>AND(IF(Metadata!L406="",FALSE,TRUE),exact(Metadata!L406,"Homo sapiens"))</f>
        <v>0</v>
      </c>
      <c r="AM406">
        <f>AND(IF(Metadata!M406="",FALSE,TRUE),exact(Metadata!M406,"9606"))</f>
        <v>0</v>
      </c>
      <c r="AN406">
        <f>AND(IF(Metadata!N406="",FALSE,ISNUMBER(VALUE(Metadata!N406))),Metadata!N406&gt;0)</f>
        <v>0</v>
      </c>
      <c r="AO406">
        <f>AND(IF(Metadata!O406="",FALSE,TRUE),exact(Metadata!O406,"kg"))</f>
        <v>0</v>
      </c>
      <c r="AP406">
        <f>OR(AND(IF(Metadata!P406="",FALSE,TRUE),exact(Metadata!P406,"not provided")),IF(Metadata!P406="",FALSE,TRUE))</f>
        <v>0</v>
      </c>
      <c r="AQ406">
        <f>OR(AND(IF(Metadata!Q406="",FALSE,TRUE),exact(Metadata!Q406,"not provided")),IF(Metadata!Q406="",FALSE,TRUE))</f>
        <v>0</v>
      </c>
    </row>
    <row r="407" spans="1:43">
      <c r="A407" s="4">
        <f>IF(B407=" "," ",HYPERLINK(CONCATENATE("#metadata!",ADDRESS(INDEX($W$2:$W$1001,MATCH(ROWS($U$2:U407),$U$2:$U$1001,0),0),2)),INDEX($Z$2:$Z$1001,MATCH(ROWS($U$2:U407),$U$2:$U$1001,0),0)))</f>
        <v>0</v>
      </c>
      <c r="B407" s="5">
        <f>IF(OR(INDEX($V$2:$V$1001,MATCH(ROWS($U$2:U407),$U$2:$U$1001,0),1)&gt;=100000,INDEX($AB$1005:$AQ$1005,1,MATCH(COLUMNS($AB$1006:AB1006),$AB$1006:$AQ$1006,0))&gt;=100000), " ",IF(INDEX($AB$2:$AQ$1001,MATCH(ROWS($U$2:U407),$U$2:$U$1001,0),MATCH(COLUMNS($AB$1006:AB1006),$AB$1006:$AQ$1006,0)), HYPERLINK("#",""), HYPERLINK(CONCATENATE("#Metadata!", ADDRESS(INDEX($W$2:$W$1001,MATCH(ROWS($U$2:U407),$U$2:$U$1001,0),0), INDEX($AB$1004:$AQ$1004,1,MATCH(COLUMNS($AB$1006:AB1006),$AB$1006:$AQ$1006,0)))),"Fix")))</f>
        <v>0</v>
      </c>
      <c r="C407" s="5">
        <f>IF(OR(INDEX($V$2:$V$1001,MATCH(ROWS($U$2:U407),$U$2:$U$1001,0),1)&gt;=100000,INDEX($AB$1005:$AQ$1005,1,MATCH(COLUMNS($AB$1006:AC1006),$AB$1006:$AQ$1006,0))&gt;=100000), " ",IF(INDEX($AB$2:$AQ$1001,MATCH(ROWS($U$2:U407),$U$2:$U$1001,0),MATCH(COLUMNS($AB$1006:AC1006),$AB$1006:$AQ$1006,0)), HYPERLINK("#",""), HYPERLINK(CONCATENATE("#Metadata!", ADDRESS(INDEX($W$2:$W$1001,MATCH(ROWS($U$2:U407),$U$2:$U$1001,0),0), INDEX($AB$1004:$AQ$1004,1,MATCH(COLUMNS($AB$1006:AC1006),$AB$1006:$AQ$1006,0)))),"Fix")))</f>
        <v>0</v>
      </c>
      <c r="D407" s="5">
        <f>IF(OR(INDEX($V$2:$V$1001,MATCH(ROWS($U$2:U407),$U$2:$U$1001,0),1)&gt;=100000,INDEX($AB$1005:$AQ$1005,1,MATCH(COLUMNS($AB$1006:AD1006),$AB$1006:$AQ$1006,0))&gt;=100000), " ",IF(INDEX($AB$2:$AQ$1001,MATCH(ROWS($U$2:U407),$U$2:$U$1001,0),MATCH(COLUMNS($AB$1006:AD1006),$AB$1006:$AQ$1006,0)), HYPERLINK("#",""), HYPERLINK(CONCATENATE("#Metadata!", ADDRESS(INDEX($W$2:$W$1001,MATCH(ROWS($U$2:U407),$U$2:$U$1001,0),0), INDEX($AB$1004:$AQ$1004,1,MATCH(COLUMNS($AB$1006:AD1006),$AB$1006:$AQ$1006,0)))),"Fix")))</f>
        <v>0</v>
      </c>
      <c r="E407" s="5">
        <f>IF(OR(INDEX($V$2:$V$1001,MATCH(ROWS($U$2:U407),$U$2:$U$1001,0),1)&gt;=100000,INDEX($AB$1005:$AQ$1005,1,MATCH(COLUMNS($AB$1006:AE1006),$AB$1006:$AQ$1006,0))&gt;=100000), " ",IF(INDEX($AB$2:$AQ$1001,MATCH(ROWS($U$2:U407),$U$2:$U$1001,0),MATCH(COLUMNS($AB$1006:AE1006),$AB$1006:$AQ$1006,0)), HYPERLINK("#",""), HYPERLINK(CONCATENATE("#Metadata!", ADDRESS(INDEX($W$2:$W$1001,MATCH(ROWS($U$2:U407),$U$2:$U$1001,0),0), INDEX($AB$1004:$AQ$1004,1,MATCH(COLUMNS($AB$1006:AE1006),$AB$1006:$AQ$1006,0)))),"Fix")))</f>
        <v>0</v>
      </c>
      <c r="F407" s="5">
        <f>IF(OR(INDEX($V$2:$V$1001,MATCH(ROWS($U$2:U407),$U$2:$U$1001,0),1)&gt;=100000,INDEX($AB$1005:$AQ$1005,1,MATCH(COLUMNS($AB$1006:AF1006),$AB$1006:$AQ$1006,0))&gt;=100000), " ",IF(INDEX($AB$2:$AQ$1001,MATCH(ROWS($U$2:U407),$U$2:$U$1001,0),MATCH(COLUMNS($AB$1006:AF1006),$AB$1006:$AQ$1006,0)), HYPERLINK("#",""), HYPERLINK(CONCATENATE("#Metadata!", ADDRESS(INDEX($W$2:$W$1001,MATCH(ROWS($U$2:U407),$U$2:$U$1001,0),0), INDEX($AB$1004:$AQ$1004,1,MATCH(COLUMNS($AB$1006:AF1006),$AB$1006:$AQ$1006,0)))),"Fix")))</f>
        <v>0</v>
      </c>
      <c r="G407" s="5">
        <f>IF(OR(INDEX($V$2:$V$1001,MATCH(ROWS($U$2:U407),$U$2:$U$1001,0),1)&gt;=100000,INDEX($AB$1005:$AQ$1005,1,MATCH(COLUMNS($AB$1006:AG1006),$AB$1006:$AQ$1006,0))&gt;=100000), " ",IF(INDEX($AB$2:$AQ$1001,MATCH(ROWS($U$2:U407),$U$2:$U$1001,0),MATCH(COLUMNS($AB$1006:AG1006),$AB$1006:$AQ$1006,0)), HYPERLINK("#",""), HYPERLINK(CONCATENATE("#Metadata!", ADDRESS(INDEX($W$2:$W$1001,MATCH(ROWS($U$2:U407),$U$2:$U$1001,0),0), INDEX($AB$1004:$AQ$1004,1,MATCH(COLUMNS($AB$1006:AG1006),$AB$1006:$AQ$1006,0)))),"Fix")))</f>
        <v>0</v>
      </c>
      <c r="H407" s="5">
        <f>IF(OR(INDEX($V$2:$V$1001,MATCH(ROWS($U$2:U407),$U$2:$U$1001,0),1)&gt;=100000,INDEX($AB$1005:$AQ$1005,1,MATCH(COLUMNS($AB$1006:AH1006),$AB$1006:$AQ$1006,0))&gt;=100000), " ",IF(INDEX($AB$2:$AQ$1001,MATCH(ROWS($U$2:U407),$U$2:$U$1001,0),MATCH(COLUMNS($AB$1006:AH1006),$AB$1006:$AQ$1006,0)), HYPERLINK("#",""), HYPERLINK(CONCATENATE("#Metadata!", ADDRESS(INDEX($W$2:$W$1001,MATCH(ROWS($U$2:U407),$U$2:$U$1001,0),0), INDEX($AB$1004:$AQ$1004,1,MATCH(COLUMNS($AB$1006:AH1006),$AB$1006:$AQ$1006,0)))),"Fix")))</f>
        <v>0</v>
      </c>
      <c r="I407" s="5">
        <f>IF(OR(INDEX($V$2:$V$1001,MATCH(ROWS($U$2:U407),$U$2:$U$1001,0),1)&gt;=100000,INDEX($AB$1005:$AQ$1005,1,MATCH(COLUMNS($AB$1006:AI1006),$AB$1006:$AQ$1006,0))&gt;=100000), " ",IF(INDEX($AB$2:$AQ$1001,MATCH(ROWS($U$2:U407),$U$2:$U$1001,0),MATCH(COLUMNS($AB$1006:AI1006),$AB$1006:$AQ$1006,0)), HYPERLINK("#",""), HYPERLINK(CONCATENATE("#Metadata!", ADDRESS(INDEX($W$2:$W$1001,MATCH(ROWS($U$2:U407),$U$2:$U$1001,0),0), INDEX($AB$1004:$AQ$1004,1,MATCH(COLUMNS($AB$1006:AI1006),$AB$1006:$AQ$1006,0)))),"Fix")))</f>
        <v>0</v>
      </c>
      <c r="J407" s="5">
        <f>IF(OR(INDEX($V$2:$V$1001,MATCH(ROWS($U$2:U407),$U$2:$U$1001,0),1)&gt;=100000,INDEX($AB$1005:$AQ$1005,1,MATCH(COLUMNS($AB$1006:AJ1006),$AB$1006:$AQ$1006,0))&gt;=100000), " ",IF(INDEX($AB$2:$AQ$1001,MATCH(ROWS($U$2:U407),$U$2:$U$1001,0),MATCH(COLUMNS($AB$1006:AJ1006),$AB$1006:$AQ$1006,0)), HYPERLINK("#",""), HYPERLINK(CONCATENATE("#Metadata!", ADDRESS(INDEX($W$2:$W$1001,MATCH(ROWS($U$2:U407),$U$2:$U$1001,0),0), INDEX($AB$1004:$AQ$1004,1,MATCH(COLUMNS($AB$1006:AJ1006),$AB$1006:$AQ$1006,0)))),"Fix")))</f>
        <v>0</v>
      </c>
      <c r="K407" s="5">
        <f>IF(OR(INDEX($V$2:$V$1001,MATCH(ROWS($U$2:U407),$U$2:$U$1001,0),1)&gt;=100000,INDEX($AB$1005:$AQ$1005,1,MATCH(COLUMNS($AB$1006:AK1006),$AB$1006:$AQ$1006,0))&gt;=100000), " ",IF(INDEX($AB$2:$AQ$1001,MATCH(ROWS($U$2:U407),$U$2:$U$1001,0),MATCH(COLUMNS($AB$1006:AK1006),$AB$1006:$AQ$1006,0)), HYPERLINK("#",""), HYPERLINK(CONCATENATE("#Metadata!", ADDRESS(INDEX($W$2:$W$1001,MATCH(ROWS($U$2:U407),$U$2:$U$1001,0),0), INDEX($AB$1004:$AQ$1004,1,MATCH(COLUMNS($AB$1006:AK1006),$AB$1006:$AQ$1006,0)))),"Fix")))</f>
        <v>0</v>
      </c>
      <c r="L407" s="5">
        <f>IF(OR(INDEX($V$2:$V$1001,MATCH(ROWS($U$2:U407),$U$2:$U$1001,0),1)&gt;=100000,INDEX($AB$1005:$AQ$1005,1,MATCH(COLUMNS($AB$1006:AL1006),$AB$1006:$AQ$1006,0))&gt;=100000), " ",IF(INDEX($AB$2:$AQ$1001,MATCH(ROWS($U$2:U407),$U$2:$U$1001,0),MATCH(COLUMNS($AB$1006:AL1006),$AB$1006:$AQ$1006,0)), HYPERLINK("#",""), HYPERLINK(CONCATENATE("#Metadata!", ADDRESS(INDEX($W$2:$W$1001,MATCH(ROWS($U$2:U407),$U$2:$U$1001,0),0), INDEX($AB$1004:$AQ$1004,1,MATCH(COLUMNS($AB$1006:AL1006),$AB$1006:$AQ$1006,0)))),"Fix")))</f>
        <v>0</v>
      </c>
      <c r="M407" s="5">
        <f>IF(OR(INDEX($V$2:$V$1001,MATCH(ROWS($U$2:U407),$U$2:$U$1001,0),1)&gt;=100000,INDEX($AB$1005:$AQ$1005,1,MATCH(COLUMNS($AB$1006:AM1006),$AB$1006:$AQ$1006,0))&gt;=100000), " ",IF(INDEX($AB$2:$AQ$1001,MATCH(ROWS($U$2:U407),$U$2:$U$1001,0),MATCH(COLUMNS($AB$1006:AM1006),$AB$1006:$AQ$1006,0)), HYPERLINK("#",""), HYPERLINK(CONCATENATE("#Metadata!", ADDRESS(INDEX($W$2:$W$1001,MATCH(ROWS($U$2:U407),$U$2:$U$1001,0),0), INDEX($AB$1004:$AQ$1004,1,MATCH(COLUMNS($AB$1006:AM1006),$AB$1006:$AQ$1006,0)))),"Fix")))</f>
        <v>0</v>
      </c>
      <c r="N407" s="5">
        <f>IF(OR(INDEX($V$2:$V$1001,MATCH(ROWS($U$2:U407),$U$2:$U$1001,0),1)&gt;=100000,INDEX($AB$1005:$AQ$1005,1,MATCH(COLUMNS($AB$1006:AN1006),$AB$1006:$AQ$1006,0))&gt;=100000), " ",IF(INDEX($AB$2:$AQ$1001,MATCH(ROWS($U$2:U407),$U$2:$U$1001,0),MATCH(COLUMNS($AB$1006:AN1006),$AB$1006:$AQ$1006,0)), HYPERLINK("#",""), HYPERLINK(CONCATENATE("#Metadata!", ADDRESS(INDEX($W$2:$W$1001,MATCH(ROWS($U$2:U407),$U$2:$U$1001,0),0), INDEX($AB$1004:$AQ$1004,1,MATCH(COLUMNS($AB$1006:AN1006),$AB$1006:$AQ$1006,0)))),"Fix")))</f>
        <v>0</v>
      </c>
      <c r="O407" s="5">
        <f>IF(OR(INDEX($V$2:$V$1001,MATCH(ROWS($U$2:U407),$U$2:$U$1001,0),1)&gt;=100000,INDEX($AB$1005:$AQ$1005,1,MATCH(COLUMNS($AB$1006:AO1006),$AB$1006:$AQ$1006,0))&gt;=100000), " ",IF(INDEX($AB$2:$AQ$1001,MATCH(ROWS($U$2:U407),$U$2:$U$1001,0),MATCH(COLUMNS($AB$1006:AO1006),$AB$1006:$AQ$1006,0)), HYPERLINK("#",""), HYPERLINK(CONCATENATE("#Metadata!", ADDRESS(INDEX($W$2:$W$1001,MATCH(ROWS($U$2:U407),$U$2:$U$1001,0),0), INDEX($AB$1004:$AQ$1004,1,MATCH(COLUMNS($AB$1006:AO1006),$AB$1006:$AQ$1006,0)))),"Fix")))</f>
        <v>0</v>
      </c>
      <c r="P407" s="5">
        <f>IF(OR(INDEX($V$2:$V$1001,MATCH(ROWS($U$2:U407),$U$2:$U$1001,0),1)&gt;=100000,INDEX($AB$1005:$AQ$1005,1,MATCH(COLUMNS($AB$1006:AP1006),$AB$1006:$AQ$1006,0))&gt;=100000), " ",IF(INDEX($AB$2:$AQ$1001,MATCH(ROWS($U$2:U407),$U$2:$U$1001,0),MATCH(COLUMNS($AB$1006:AP1006),$AB$1006:$AQ$1006,0)), HYPERLINK("#",""), HYPERLINK(CONCATENATE("#Metadata!", ADDRESS(INDEX($W$2:$W$1001,MATCH(ROWS($U$2:U407),$U$2:$U$1001,0),0), INDEX($AB$1004:$AQ$1004,1,MATCH(COLUMNS($AB$1006:AP1006),$AB$1006:$AQ$1006,0)))),"Fix")))</f>
        <v>0</v>
      </c>
      <c r="Q407" s="5">
        <f>IF(OR(INDEX($V$2:$V$1001,MATCH(ROWS($U$2:U407),$U$2:$U$1001,0),1)&gt;=100000,INDEX($AB$1005:$AQ$1005,1,MATCH(COLUMNS($AB$1006:AQ1006),$AB$1006:$AQ$1006,0))&gt;=100000), " ",IF(INDEX($AB$2:$AQ$1001,MATCH(ROWS($U$2:U407),$U$2:$U$1001,0),MATCH(COLUMNS($AB$1006:AQ1006),$AB$1006:$AQ$1006,0)), HYPERLINK("#",""), HYPERLINK(CONCATENATE("#Metadata!", ADDRESS(INDEX($W$2:$W$1001,MATCH(ROWS($U$2:U407),$U$2:$U$1001,0),0), INDEX($AB$1004:$AQ$1004,1,MATCH(COLUMNS($AB$1006:AQ1006),$AB$1006:$AQ$1006,0)))),"Fix")))</f>
        <v>0</v>
      </c>
      <c r="U407">
        <v>0</v>
      </c>
      <c r="V407">
        <v>0</v>
      </c>
      <c r="W407">
        <v>0</v>
      </c>
      <c r="X407">
        <f>IF(Y407,TRUE,AND(AB407:AQ407))</f>
        <v>0</v>
      </c>
      <c r="Y407">
        <f>COUNTBLANK(Metadata!B407:Q407)=COLUMNS(Metadata!B407:Q407)</f>
        <v>0</v>
      </c>
      <c r="Z407">
        <v>0</v>
      </c>
      <c r="AB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AC407">
        <f>AND(IF(Metadata!C407="",FALSE,TRUE),exact(Metadata!C407,"urban biome"))</f>
        <v>0</v>
      </c>
      <c r="AD407">
        <f>AND(IF(Metadata!D407="",FALSE,TRUE),exact(Metadata!D407,"human-associated habitat"))</f>
        <v>0</v>
      </c>
      <c r="AE407">
        <f>AND(IF(Metadata!E407="",FALSE,TRUE),OR(exact(Metadata!E407,"human-associated"),exact(Metadata!E407,"human-skin"),exact(Metadata!E407,"human-oral"),exact(Metadata!E407,"human-gut"),exact(Metadata!E407,"human-vaginal")))</f>
        <v>0</v>
      </c>
      <c r="AF407">
        <f>AND(IF(Metadata!F407="",FALSE,ISNUMBER(VALUE(Metadata!F407))),Metadata!F407&gt;0)</f>
        <v>0</v>
      </c>
      <c r="AG407">
        <f>AND(IF(Metadata!G407="",FALSE,TRUE),exact(Metadata!G407,"years"))</f>
        <v>0</v>
      </c>
      <c r="AH407">
        <f>OR(AND(IF(Metadata!H407="",FALSE,TRUE),OR(exact(Metadata!H407,"not applicable"),exact(Metadata!H407,"not collected"),exact(Metadata!H407,"not provided"),exact(Metadata!H407,"restricted access"))),AND(IF(Metadata!H407="",FALSE,ISNUMBER(VALUE(Metadata!H407))),Metadata!H407&gt;0))</f>
        <v>0</v>
      </c>
      <c r="AI407">
        <f>AND(IF(Metadata!I407="",FALSE,TRUE),exact(Metadata!I407,"human"))</f>
        <v>0</v>
      </c>
      <c r="AJ407">
        <f>AND(IF(Metadata!J407="",FALSE,ISNUMBER(VALUE(Metadata!J407))),Metadata!J407&gt;0)</f>
        <v>0</v>
      </c>
      <c r="AK407">
        <f>AND(IF(Metadata!K407="",FALSE,TRUE),exact(Metadata!K407,"cm"))</f>
        <v>0</v>
      </c>
      <c r="AL407">
        <f>AND(IF(Metadata!L407="",FALSE,TRUE),exact(Metadata!L407,"Homo sapiens"))</f>
        <v>0</v>
      </c>
      <c r="AM407">
        <f>AND(IF(Metadata!M407="",FALSE,TRUE),exact(Metadata!M407,"9606"))</f>
        <v>0</v>
      </c>
      <c r="AN407">
        <f>AND(IF(Metadata!N407="",FALSE,ISNUMBER(VALUE(Metadata!N407))),Metadata!N407&gt;0)</f>
        <v>0</v>
      </c>
      <c r="AO407">
        <f>AND(IF(Metadata!O407="",FALSE,TRUE),exact(Metadata!O407,"kg"))</f>
        <v>0</v>
      </c>
      <c r="AP407">
        <f>OR(AND(IF(Metadata!P407="",FALSE,TRUE),exact(Metadata!P407,"not provided")),IF(Metadata!P407="",FALSE,TRUE))</f>
        <v>0</v>
      </c>
      <c r="AQ407">
        <f>OR(AND(IF(Metadata!Q407="",FALSE,TRUE),exact(Metadata!Q407,"not provided")),IF(Metadata!Q407="",FALSE,TRUE))</f>
        <v>0</v>
      </c>
    </row>
    <row r="408" spans="1:43">
      <c r="A408" s="4">
        <f>IF(B408=" "," ",HYPERLINK(CONCATENATE("#metadata!",ADDRESS(INDEX($W$2:$W$1001,MATCH(ROWS($U$2:U408),$U$2:$U$1001,0),0),2)),INDEX($Z$2:$Z$1001,MATCH(ROWS($U$2:U408),$U$2:$U$1001,0),0)))</f>
        <v>0</v>
      </c>
      <c r="B408" s="5">
        <f>IF(OR(INDEX($V$2:$V$1001,MATCH(ROWS($U$2:U408),$U$2:$U$1001,0),1)&gt;=100000,INDEX($AB$1005:$AQ$1005,1,MATCH(COLUMNS($AB$1006:AB1006),$AB$1006:$AQ$1006,0))&gt;=100000), " ",IF(INDEX($AB$2:$AQ$1001,MATCH(ROWS($U$2:U408),$U$2:$U$1001,0),MATCH(COLUMNS($AB$1006:AB1006),$AB$1006:$AQ$1006,0)), HYPERLINK("#",""), HYPERLINK(CONCATENATE("#Metadata!", ADDRESS(INDEX($W$2:$W$1001,MATCH(ROWS($U$2:U408),$U$2:$U$1001,0),0), INDEX($AB$1004:$AQ$1004,1,MATCH(COLUMNS($AB$1006:AB1006),$AB$1006:$AQ$1006,0)))),"Fix")))</f>
        <v>0</v>
      </c>
      <c r="C408" s="5">
        <f>IF(OR(INDEX($V$2:$V$1001,MATCH(ROWS($U$2:U408),$U$2:$U$1001,0),1)&gt;=100000,INDEX($AB$1005:$AQ$1005,1,MATCH(COLUMNS($AB$1006:AC1006),$AB$1006:$AQ$1006,0))&gt;=100000), " ",IF(INDEX($AB$2:$AQ$1001,MATCH(ROWS($U$2:U408),$U$2:$U$1001,0),MATCH(COLUMNS($AB$1006:AC1006),$AB$1006:$AQ$1006,0)), HYPERLINK("#",""), HYPERLINK(CONCATENATE("#Metadata!", ADDRESS(INDEX($W$2:$W$1001,MATCH(ROWS($U$2:U408),$U$2:$U$1001,0),0), INDEX($AB$1004:$AQ$1004,1,MATCH(COLUMNS($AB$1006:AC1006),$AB$1006:$AQ$1006,0)))),"Fix")))</f>
        <v>0</v>
      </c>
      <c r="D408" s="5">
        <f>IF(OR(INDEX($V$2:$V$1001,MATCH(ROWS($U$2:U408),$U$2:$U$1001,0),1)&gt;=100000,INDEX($AB$1005:$AQ$1005,1,MATCH(COLUMNS($AB$1006:AD1006),$AB$1006:$AQ$1006,0))&gt;=100000), " ",IF(INDEX($AB$2:$AQ$1001,MATCH(ROWS($U$2:U408),$U$2:$U$1001,0),MATCH(COLUMNS($AB$1006:AD1006),$AB$1006:$AQ$1006,0)), HYPERLINK("#",""), HYPERLINK(CONCATENATE("#Metadata!", ADDRESS(INDEX($W$2:$W$1001,MATCH(ROWS($U$2:U408),$U$2:$U$1001,0),0), INDEX($AB$1004:$AQ$1004,1,MATCH(COLUMNS($AB$1006:AD1006),$AB$1006:$AQ$1006,0)))),"Fix")))</f>
        <v>0</v>
      </c>
      <c r="E408" s="5">
        <f>IF(OR(INDEX($V$2:$V$1001,MATCH(ROWS($U$2:U408),$U$2:$U$1001,0),1)&gt;=100000,INDEX($AB$1005:$AQ$1005,1,MATCH(COLUMNS($AB$1006:AE1006),$AB$1006:$AQ$1006,0))&gt;=100000), " ",IF(INDEX($AB$2:$AQ$1001,MATCH(ROWS($U$2:U408),$U$2:$U$1001,0),MATCH(COLUMNS($AB$1006:AE1006),$AB$1006:$AQ$1006,0)), HYPERLINK("#",""), HYPERLINK(CONCATENATE("#Metadata!", ADDRESS(INDEX($W$2:$W$1001,MATCH(ROWS($U$2:U408),$U$2:$U$1001,0),0), INDEX($AB$1004:$AQ$1004,1,MATCH(COLUMNS($AB$1006:AE1006),$AB$1006:$AQ$1006,0)))),"Fix")))</f>
        <v>0</v>
      </c>
      <c r="F408" s="5">
        <f>IF(OR(INDEX($V$2:$V$1001,MATCH(ROWS($U$2:U408),$U$2:$U$1001,0),1)&gt;=100000,INDEX($AB$1005:$AQ$1005,1,MATCH(COLUMNS($AB$1006:AF1006),$AB$1006:$AQ$1006,0))&gt;=100000), " ",IF(INDEX($AB$2:$AQ$1001,MATCH(ROWS($U$2:U408),$U$2:$U$1001,0),MATCH(COLUMNS($AB$1006:AF1006),$AB$1006:$AQ$1006,0)), HYPERLINK("#",""), HYPERLINK(CONCATENATE("#Metadata!", ADDRESS(INDEX($W$2:$W$1001,MATCH(ROWS($U$2:U408),$U$2:$U$1001,0),0), INDEX($AB$1004:$AQ$1004,1,MATCH(COLUMNS($AB$1006:AF1006),$AB$1006:$AQ$1006,0)))),"Fix")))</f>
        <v>0</v>
      </c>
      <c r="G408" s="5">
        <f>IF(OR(INDEX($V$2:$V$1001,MATCH(ROWS($U$2:U408),$U$2:$U$1001,0),1)&gt;=100000,INDEX($AB$1005:$AQ$1005,1,MATCH(COLUMNS($AB$1006:AG1006),$AB$1006:$AQ$1006,0))&gt;=100000), " ",IF(INDEX($AB$2:$AQ$1001,MATCH(ROWS($U$2:U408),$U$2:$U$1001,0),MATCH(COLUMNS($AB$1006:AG1006),$AB$1006:$AQ$1006,0)), HYPERLINK("#",""), HYPERLINK(CONCATENATE("#Metadata!", ADDRESS(INDEX($W$2:$W$1001,MATCH(ROWS($U$2:U408),$U$2:$U$1001,0),0), INDEX($AB$1004:$AQ$1004,1,MATCH(COLUMNS($AB$1006:AG1006),$AB$1006:$AQ$1006,0)))),"Fix")))</f>
        <v>0</v>
      </c>
      <c r="H408" s="5">
        <f>IF(OR(INDEX($V$2:$V$1001,MATCH(ROWS($U$2:U408),$U$2:$U$1001,0),1)&gt;=100000,INDEX($AB$1005:$AQ$1005,1,MATCH(COLUMNS($AB$1006:AH1006),$AB$1006:$AQ$1006,0))&gt;=100000), " ",IF(INDEX($AB$2:$AQ$1001,MATCH(ROWS($U$2:U408),$U$2:$U$1001,0),MATCH(COLUMNS($AB$1006:AH1006),$AB$1006:$AQ$1006,0)), HYPERLINK("#",""), HYPERLINK(CONCATENATE("#Metadata!", ADDRESS(INDEX($W$2:$W$1001,MATCH(ROWS($U$2:U408),$U$2:$U$1001,0),0), INDEX($AB$1004:$AQ$1004,1,MATCH(COLUMNS($AB$1006:AH1006),$AB$1006:$AQ$1006,0)))),"Fix")))</f>
        <v>0</v>
      </c>
      <c r="I408" s="5">
        <f>IF(OR(INDEX($V$2:$V$1001,MATCH(ROWS($U$2:U408),$U$2:$U$1001,0),1)&gt;=100000,INDEX($AB$1005:$AQ$1005,1,MATCH(COLUMNS($AB$1006:AI1006),$AB$1006:$AQ$1006,0))&gt;=100000), " ",IF(INDEX($AB$2:$AQ$1001,MATCH(ROWS($U$2:U408),$U$2:$U$1001,0),MATCH(COLUMNS($AB$1006:AI1006),$AB$1006:$AQ$1006,0)), HYPERLINK("#",""), HYPERLINK(CONCATENATE("#Metadata!", ADDRESS(INDEX($W$2:$W$1001,MATCH(ROWS($U$2:U408),$U$2:$U$1001,0),0), INDEX($AB$1004:$AQ$1004,1,MATCH(COLUMNS($AB$1006:AI1006),$AB$1006:$AQ$1006,0)))),"Fix")))</f>
        <v>0</v>
      </c>
      <c r="J408" s="5">
        <f>IF(OR(INDEX($V$2:$V$1001,MATCH(ROWS($U$2:U408),$U$2:$U$1001,0),1)&gt;=100000,INDEX($AB$1005:$AQ$1005,1,MATCH(COLUMNS($AB$1006:AJ1006),$AB$1006:$AQ$1006,0))&gt;=100000), " ",IF(INDEX($AB$2:$AQ$1001,MATCH(ROWS($U$2:U408),$U$2:$U$1001,0),MATCH(COLUMNS($AB$1006:AJ1006),$AB$1006:$AQ$1006,0)), HYPERLINK("#",""), HYPERLINK(CONCATENATE("#Metadata!", ADDRESS(INDEX($W$2:$W$1001,MATCH(ROWS($U$2:U408),$U$2:$U$1001,0),0), INDEX($AB$1004:$AQ$1004,1,MATCH(COLUMNS($AB$1006:AJ1006),$AB$1006:$AQ$1006,0)))),"Fix")))</f>
        <v>0</v>
      </c>
      <c r="K408" s="5">
        <f>IF(OR(INDEX($V$2:$V$1001,MATCH(ROWS($U$2:U408),$U$2:$U$1001,0),1)&gt;=100000,INDEX($AB$1005:$AQ$1005,1,MATCH(COLUMNS($AB$1006:AK1006),$AB$1006:$AQ$1006,0))&gt;=100000), " ",IF(INDEX($AB$2:$AQ$1001,MATCH(ROWS($U$2:U408),$U$2:$U$1001,0),MATCH(COLUMNS($AB$1006:AK1006),$AB$1006:$AQ$1006,0)), HYPERLINK("#",""), HYPERLINK(CONCATENATE("#Metadata!", ADDRESS(INDEX($W$2:$W$1001,MATCH(ROWS($U$2:U408),$U$2:$U$1001,0),0), INDEX($AB$1004:$AQ$1004,1,MATCH(COLUMNS($AB$1006:AK1006),$AB$1006:$AQ$1006,0)))),"Fix")))</f>
        <v>0</v>
      </c>
      <c r="L408" s="5">
        <f>IF(OR(INDEX($V$2:$V$1001,MATCH(ROWS($U$2:U408),$U$2:$U$1001,0),1)&gt;=100000,INDEX($AB$1005:$AQ$1005,1,MATCH(COLUMNS($AB$1006:AL1006),$AB$1006:$AQ$1006,0))&gt;=100000), " ",IF(INDEX($AB$2:$AQ$1001,MATCH(ROWS($U$2:U408),$U$2:$U$1001,0),MATCH(COLUMNS($AB$1006:AL1006),$AB$1006:$AQ$1006,0)), HYPERLINK("#",""), HYPERLINK(CONCATENATE("#Metadata!", ADDRESS(INDEX($W$2:$W$1001,MATCH(ROWS($U$2:U408),$U$2:$U$1001,0),0), INDEX($AB$1004:$AQ$1004,1,MATCH(COLUMNS($AB$1006:AL1006),$AB$1006:$AQ$1006,0)))),"Fix")))</f>
        <v>0</v>
      </c>
      <c r="M408" s="5">
        <f>IF(OR(INDEX($V$2:$V$1001,MATCH(ROWS($U$2:U408),$U$2:$U$1001,0),1)&gt;=100000,INDEX($AB$1005:$AQ$1005,1,MATCH(COLUMNS($AB$1006:AM1006),$AB$1006:$AQ$1006,0))&gt;=100000), " ",IF(INDEX($AB$2:$AQ$1001,MATCH(ROWS($U$2:U408),$U$2:$U$1001,0),MATCH(COLUMNS($AB$1006:AM1006),$AB$1006:$AQ$1006,0)), HYPERLINK("#",""), HYPERLINK(CONCATENATE("#Metadata!", ADDRESS(INDEX($W$2:$W$1001,MATCH(ROWS($U$2:U408),$U$2:$U$1001,0),0), INDEX($AB$1004:$AQ$1004,1,MATCH(COLUMNS($AB$1006:AM1006),$AB$1006:$AQ$1006,0)))),"Fix")))</f>
        <v>0</v>
      </c>
      <c r="N408" s="5">
        <f>IF(OR(INDEX($V$2:$V$1001,MATCH(ROWS($U$2:U408),$U$2:$U$1001,0),1)&gt;=100000,INDEX($AB$1005:$AQ$1005,1,MATCH(COLUMNS($AB$1006:AN1006),$AB$1006:$AQ$1006,0))&gt;=100000), " ",IF(INDEX($AB$2:$AQ$1001,MATCH(ROWS($U$2:U408),$U$2:$U$1001,0),MATCH(COLUMNS($AB$1006:AN1006),$AB$1006:$AQ$1006,0)), HYPERLINK("#",""), HYPERLINK(CONCATENATE("#Metadata!", ADDRESS(INDEX($W$2:$W$1001,MATCH(ROWS($U$2:U408),$U$2:$U$1001,0),0), INDEX($AB$1004:$AQ$1004,1,MATCH(COLUMNS($AB$1006:AN1006),$AB$1006:$AQ$1006,0)))),"Fix")))</f>
        <v>0</v>
      </c>
      <c r="O408" s="5">
        <f>IF(OR(INDEX($V$2:$V$1001,MATCH(ROWS($U$2:U408),$U$2:$U$1001,0),1)&gt;=100000,INDEX($AB$1005:$AQ$1005,1,MATCH(COLUMNS($AB$1006:AO1006),$AB$1006:$AQ$1006,0))&gt;=100000), " ",IF(INDEX($AB$2:$AQ$1001,MATCH(ROWS($U$2:U408),$U$2:$U$1001,0),MATCH(COLUMNS($AB$1006:AO1006),$AB$1006:$AQ$1006,0)), HYPERLINK("#",""), HYPERLINK(CONCATENATE("#Metadata!", ADDRESS(INDEX($W$2:$W$1001,MATCH(ROWS($U$2:U408),$U$2:$U$1001,0),0), INDEX($AB$1004:$AQ$1004,1,MATCH(COLUMNS($AB$1006:AO1006),$AB$1006:$AQ$1006,0)))),"Fix")))</f>
        <v>0</v>
      </c>
      <c r="P408" s="5">
        <f>IF(OR(INDEX($V$2:$V$1001,MATCH(ROWS($U$2:U408),$U$2:$U$1001,0),1)&gt;=100000,INDEX($AB$1005:$AQ$1005,1,MATCH(COLUMNS($AB$1006:AP1006),$AB$1006:$AQ$1006,0))&gt;=100000), " ",IF(INDEX($AB$2:$AQ$1001,MATCH(ROWS($U$2:U408),$U$2:$U$1001,0),MATCH(COLUMNS($AB$1006:AP1006),$AB$1006:$AQ$1006,0)), HYPERLINK("#",""), HYPERLINK(CONCATENATE("#Metadata!", ADDRESS(INDEX($W$2:$W$1001,MATCH(ROWS($U$2:U408),$U$2:$U$1001,0),0), INDEX($AB$1004:$AQ$1004,1,MATCH(COLUMNS($AB$1006:AP1006),$AB$1006:$AQ$1006,0)))),"Fix")))</f>
        <v>0</v>
      </c>
      <c r="Q408" s="5">
        <f>IF(OR(INDEX($V$2:$V$1001,MATCH(ROWS($U$2:U408),$U$2:$U$1001,0),1)&gt;=100000,INDEX($AB$1005:$AQ$1005,1,MATCH(COLUMNS($AB$1006:AQ1006),$AB$1006:$AQ$1006,0))&gt;=100000), " ",IF(INDEX($AB$2:$AQ$1001,MATCH(ROWS($U$2:U408),$U$2:$U$1001,0),MATCH(COLUMNS($AB$1006:AQ1006),$AB$1006:$AQ$1006,0)), HYPERLINK("#",""), HYPERLINK(CONCATENATE("#Metadata!", ADDRESS(INDEX($W$2:$W$1001,MATCH(ROWS($U$2:U408),$U$2:$U$1001,0),0), INDEX($AB$1004:$AQ$1004,1,MATCH(COLUMNS($AB$1006:AQ1006),$AB$1006:$AQ$1006,0)))),"Fix")))</f>
        <v>0</v>
      </c>
      <c r="U408">
        <v>0</v>
      </c>
      <c r="V408">
        <v>0</v>
      </c>
      <c r="W408">
        <v>0</v>
      </c>
      <c r="X408">
        <f>IF(Y408,TRUE,AND(AB408:AQ408))</f>
        <v>0</v>
      </c>
      <c r="Y408">
        <f>COUNTBLANK(Metadata!B408:Q408)=COLUMNS(Metadata!B408:Q408)</f>
        <v>0</v>
      </c>
      <c r="Z408">
        <v>0</v>
      </c>
      <c r="AB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AC408">
        <f>AND(IF(Metadata!C408="",FALSE,TRUE),exact(Metadata!C408,"urban biome"))</f>
        <v>0</v>
      </c>
      <c r="AD408">
        <f>AND(IF(Metadata!D408="",FALSE,TRUE),exact(Metadata!D408,"human-associated habitat"))</f>
        <v>0</v>
      </c>
      <c r="AE408">
        <f>AND(IF(Metadata!E408="",FALSE,TRUE),OR(exact(Metadata!E408,"human-associated"),exact(Metadata!E408,"human-skin"),exact(Metadata!E408,"human-oral"),exact(Metadata!E408,"human-gut"),exact(Metadata!E408,"human-vaginal")))</f>
        <v>0</v>
      </c>
      <c r="AF408">
        <f>AND(IF(Metadata!F408="",FALSE,ISNUMBER(VALUE(Metadata!F408))),Metadata!F408&gt;0)</f>
        <v>0</v>
      </c>
      <c r="AG408">
        <f>AND(IF(Metadata!G408="",FALSE,TRUE),exact(Metadata!G408,"years"))</f>
        <v>0</v>
      </c>
      <c r="AH408">
        <f>OR(AND(IF(Metadata!H408="",FALSE,TRUE),OR(exact(Metadata!H408,"not applicable"),exact(Metadata!H408,"not collected"),exact(Metadata!H408,"not provided"),exact(Metadata!H408,"restricted access"))),AND(IF(Metadata!H408="",FALSE,ISNUMBER(VALUE(Metadata!H408))),Metadata!H408&gt;0))</f>
        <v>0</v>
      </c>
      <c r="AI408">
        <f>AND(IF(Metadata!I408="",FALSE,TRUE),exact(Metadata!I408,"human"))</f>
        <v>0</v>
      </c>
      <c r="AJ408">
        <f>AND(IF(Metadata!J408="",FALSE,ISNUMBER(VALUE(Metadata!J408))),Metadata!J408&gt;0)</f>
        <v>0</v>
      </c>
      <c r="AK408">
        <f>AND(IF(Metadata!K408="",FALSE,TRUE),exact(Metadata!K408,"cm"))</f>
        <v>0</v>
      </c>
      <c r="AL408">
        <f>AND(IF(Metadata!L408="",FALSE,TRUE),exact(Metadata!L408,"Homo sapiens"))</f>
        <v>0</v>
      </c>
      <c r="AM408">
        <f>AND(IF(Metadata!M408="",FALSE,TRUE),exact(Metadata!M408,"9606"))</f>
        <v>0</v>
      </c>
      <c r="AN408">
        <f>AND(IF(Metadata!N408="",FALSE,ISNUMBER(VALUE(Metadata!N408))),Metadata!N408&gt;0)</f>
        <v>0</v>
      </c>
      <c r="AO408">
        <f>AND(IF(Metadata!O408="",FALSE,TRUE),exact(Metadata!O408,"kg"))</f>
        <v>0</v>
      </c>
      <c r="AP408">
        <f>OR(AND(IF(Metadata!P408="",FALSE,TRUE),exact(Metadata!P408,"not provided")),IF(Metadata!P408="",FALSE,TRUE))</f>
        <v>0</v>
      </c>
      <c r="AQ408">
        <f>OR(AND(IF(Metadata!Q408="",FALSE,TRUE),exact(Metadata!Q408,"not provided")),IF(Metadata!Q408="",FALSE,TRUE))</f>
        <v>0</v>
      </c>
    </row>
    <row r="409" spans="1:43">
      <c r="A409" s="4">
        <f>IF(B409=" "," ",HYPERLINK(CONCATENATE("#metadata!",ADDRESS(INDEX($W$2:$W$1001,MATCH(ROWS($U$2:U409),$U$2:$U$1001,0),0),2)),INDEX($Z$2:$Z$1001,MATCH(ROWS($U$2:U409),$U$2:$U$1001,0),0)))</f>
        <v>0</v>
      </c>
      <c r="B409" s="5">
        <f>IF(OR(INDEX($V$2:$V$1001,MATCH(ROWS($U$2:U409),$U$2:$U$1001,0),1)&gt;=100000,INDEX($AB$1005:$AQ$1005,1,MATCH(COLUMNS($AB$1006:AB1006),$AB$1006:$AQ$1006,0))&gt;=100000), " ",IF(INDEX($AB$2:$AQ$1001,MATCH(ROWS($U$2:U409),$U$2:$U$1001,0),MATCH(COLUMNS($AB$1006:AB1006),$AB$1006:$AQ$1006,0)), HYPERLINK("#",""), HYPERLINK(CONCATENATE("#Metadata!", ADDRESS(INDEX($W$2:$W$1001,MATCH(ROWS($U$2:U409),$U$2:$U$1001,0),0), INDEX($AB$1004:$AQ$1004,1,MATCH(COLUMNS($AB$1006:AB1006),$AB$1006:$AQ$1006,0)))),"Fix")))</f>
        <v>0</v>
      </c>
      <c r="C409" s="5">
        <f>IF(OR(INDEX($V$2:$V$1001,MATCH(ROWS($U$2:U409),$U$2:$U$1001,0),1)&gt;=100000,INDEX($AB$1005:$AQ$1005,1,MATCH(COLUMNS($AB$1006:AC1006),$AB$1006:$AQ$1006,0))&gt;=100000), " ",IF(INDEX($AB$2:$AQ$1001,MATCH(ROWS($U$2:U409),$U$2:$U$1001,0),MATCH(COLUMNS($AB$1006:AC1006),$AB$1006:$AQ$1006,0)), HYPERLINK("#",""), HYPERLINK(CONCATENATE("#Metadata!", ADDRESS(INDEX($W$2:$W$1001,MATCH(ROWS($U$2:U409),$U$2:$U$1001,0),0), INDEX($AB$1004:$AQ$1004,1,MATCH(COLUMNS($AB$1006:AC1006),$AB$1006:$AQ$1006,0)))),"Fix")))</f>
        <v>0</v>
      </c>
      <c r="D409" s="5">
        <f>IF(OR(INDEX($V$2:$V$1001,MATCH(ROWS($U$2:U409),$U$2:$U$1001,0),1)&gt;=100000,INDEX($AB$1005:$AQ$1005,1,MATCH(COLUMNS($AB$1006:AD1006),$AB$1006:$AQ$1006,0))&gt;=100000), " ",IF(INDEX($AB$2:$AQ$1001,MATCH(ROWS($U$2:U409),$U$2:$U$1001,0),MATCH(COLUMNS($AB$1006:AD1006),$AB$1006:$AQ$1006,0)), HYPERLINK("#",""), HYPERLINK(CONCATENATE("#Metadata!", ADDRESS(INDEX($W$2:$W$1001,MATCH(ROWS($U$2:U409),$U$2:$U$1001,0),0), INDEX($AB$1004:$AQ$1004,1,MATCH(COLUMNS($AB$1006:AD1006),$AB$1006:$AQ$1006,0)))),"Fix")))</f>
        <v>0</v>
      </c>
      <c r="E409" s="5">
        <f>IF(OR(INDEX($V$2:$V$1001,MATCH(ROWS($U$2:U409),$U$2:$U$1001,0),1)&gt;=100000,INDEX($AB$1005:$AQ$1005,1,MATCH(COLUMNS($AB$1006:AE1006),$AB$1006:$AQ$1006,0))&gt;=100000), " ",IF(INDEX($AB$2:$AQ$1001,MATCH(ROWS($U$2:U409),$U$2:$U$1001,0),MATCH(COLUMNS($AB$1006:AE1006),$AB$1006:$AQ$1006,0)), HYPERLINK("#",""), HYPERLINK(CONCATENATE("#Metadata!", ADDRESS(INDEX($W$2:$W$1001,MATCH(ROWS($U$2:U409),$U$2:$U$1001,0),0), INDEX($AB$1004:$AQ$1004,1,MATCH(COLUMNS($AB$1006:AE1006),$AB$1006:$AQ$1006,0)))),"Fix")))</f>
        <v>0</v>
      </c>
      <c r="F409" s="5">
        <f>IF(OR(INDEX($V$2:$V$1001,MATCH(ROWS($U$2:U409),$U$2:$U$1001,0),1)&gt;=100000,INDEX($AB$1005:$AQ$1005,1,MATCH(COLUMNS($AB$1006:AF1006),$AB$1006:$AQ$1006,0))&gt;=100000), " ",IF(INDEX($AB$2:$AQ$1001,MATCH(ROWS($U$2:U409),$U$2:$U$1001,0),MATCH(COLUMNS($AB$1006:AF1006),$AB$1006:$AQ$1006,0)), HYPERLINK("#",""), HYPERLINK(CONCATENATE("#Metadata!", ADDRESS(INDEX($W$2:$W$1001,MATCH(ROWS($U$2:U409),$U$2:$U$1001,0),0), INDEX($AB$1004:$AQ$1004,1,MATCH(COLUMNS($AB$1006:AF1006),$AB$1006:$AQ$1006,0)))),"Fix")))</f>
        <v>0</v>
      </c>
      <c r="G409" s="5">
        <f>IF(OR(INDEX($V$2:$V$1001,MATCH(ROWS($U$2:U409),$U$2:$U$1001,0),1)&gt;=100000,INDEX($AB$1005:$AQ$1005,1,MATCH(COLUMNS($AB$1006:AG1006),$AB$1006:$AQ$1006,0))&gt;=100000), " ",IF(INDEX($AB$2:$AQ$1001,MATCH(ROWS($U$2:U409),$U$2:$U$1001,0),MATCH(COLUMNS($AB$1006:AG1006),$AB$1006:$AQ$1006,0)), HYPERLINK("#",""), HYPERLINK(CONCATENATE("#Metadata!", ADDRESS(INDEX($W$2:$W$1001,MATCH(ROWS($U$2:U409),$U$2:$U$1001,0),0), INDEX($AB$1004:$AQ$1004,1,MATCH(COLUMNS($AB$1006:AG1006),$AB$1006:$AQ$1006,0)))),"Fix")))</f>
        <v>0</v>
      </c>
      <c r="H409" s="5">
        <f>IF(OR(INDEX($V$2:$V$1001,MATCH(ROWS($U$2:U409),$U$2:$U$1001,0),1)&gt;=100000,INDEX($AB$1005:$AQ$1005,1,MATCH(COLUMNS($AB$1006:AH1006),$AB$1006:$AQ$1006,0))&gt;=100000), " ",IF(INDEX($AB$2:$AQ$1001,MATCH(ROWS($U$2:U409),$U$2:$U$1001,0),MATCH(COLUMNS($AB$1006:AH1006),$AB$1006:$AQ$1006,0)), HYPERLINK("#",""), HYPERLINK(CONCATENATE("#Metadata!", ADDRESS(INDEX($W$2:$W$1001,MATCH(ROWS($U$2:U409),$U$2:$U$1001,0),0), INDEX($AB$1004:$AQ$1004,1,MATCH(COLUMNS($AB$1006:AH1006),$AB$1006:$AQ$1006,0)))),"Fix")))</f>
        <v>0</v>
      </c>
      <c r="I409" s="5">
        <f>IF(OR(INDEX($V$2:$V$1001,MATCH(ROWS($U$2:U409),$U$2:$U$1001,0),1)&gt;=100000,INDEX($AB$1005:$AQ$1005,1,MATCH(COLUMNS($AB$1006:AI1006),$AB$1006:$AQ$1006,0))&gt;=100000), " ",IF(INDEX($AB$2:$AQ$1001,MATCH(ROWS($U$2:U409),$U$2:$U$1001,0),MATCH(COLUMNS($AB$1006:AI1006),$AB$1006:$AQ$1006,0)), HYPERLINK("#",""), HYPERLINK(CONCATENATE("#Metadata!", ADDRESS(INDEX($W$2:$W$1001,MATCH(ROWS($U$2:U409),$U$2:$U$1001,0),0), INDEX($AB$1004:$AQ$1004,1,MATCH(COLUMNS($AB$1006:AI1006),$AB$1006:$AQ$1006,0)))),"Fix")))</f>
        <v>0</v>
      </c>
      <c r="J409" s="5">
        <f>IF(OR(INDEX($V$2:$V$1001,MATCH(ROWS($U$2:U409),$U$2:$U$1001,0),1)&gt;=100000,INDEX($AB$1005:$AQ$1005,1,MATCH(COLUMNS($AB$1006:AJ1006),$AB$1006:$AQ$1006,0))&gt;=100000), " ",IF(INDEX($AB$2:$AQ$1001,MATCH(ROWS($U$2:U409),$U$2:$U$1001,0),MATCH(COLUMNS($AB$1006:AJ1006),$AB$1006:$AQ$1006,0)), HYPERLINK("#",""), HYPERLINK(CONCATENATE("#Metadata!", ADDRESS(INDEX($W$2:$W$1001,MATCH(ROWS($U$2:U409),$U$2:$U$1001,0),0), INDEX($AB$1004:$AQ$1004,1,MATCH(COLUMNS($AB$1006:AJ1006),$AB$1006:$AQ$1006,0)))),"Fix")))</f>
        <v>0</v>
      </c>
      <c r="K409" s="5">
        <f>IF(OR(INDEX($V$2:$V$1001,MATCH(ROWS($U$2:U409),$U$2:$U$1001,0),1)&gt;=100000,INDEX($AB$1005:$AQ$1005,1,MATCH(COLUMNS($AB$1006:AK1006),$AB$1006:$AQ$1006,0))&gt;=100000), " ",IF(INDEX($AB$2:$AQ$1001,MATCH(ROWS($U$2:U409),$U$2:$U$1001,0),MATCH(COLUMNS($AB$1006:AK1006),$AB$1006:$AQ$1006,0)), HYPERLINK("#",""), HYPERLINK(CONCATENATE("#Metadata!", ADDRESS(INDEX($W$2:$W$1001,MATCH(ROWS($U$2:U409),$U$2:$U$1001,0),0), INDEX($AB$1004:$AQ$1004,1,MATCH(COLUMNS($AB$1006:AK1006),$AB$1006:$AQ$1006,0)))),"Fix")))</f>
        <v>0</v>
      </c>
      <c r="L409" s="5">
        <f>IF(OR(INDEX($V$2:$V$1001,MATCH(ROWS($U$2:U409),$U$2:$U$1001,0),1)&gt;=100000,INDEX($AB$1005:$AQ$1005,1,MATCH(COLUMNS($AB$1006:AL1006),$AB$1006:$AQ$1006,0))&gt;=100000), " ",IF(INDEX($AB$2:$AQ$1001,MATCH(ROWS($U$2:U409),$U$2:$U$1001,0),MATCH(COLUMNS($AB$1006:AL1006),$AB$1006:$AQ$1006,0)), HYPERLINK("#",""), HYPERLINK(CONCATENATE("#Metadata!", ADDRESS(INDEX($W$2:$W$1001,MATCH(ROWS($U$2:U409),$U$2:$U$1001,0),0), INDEX($AB$1004:$AQ$1004,1,MATCH(COLUMNS($AB$1006:AL1006),$AB$1006:$AQ$1006,0)))),"Fix")))</f>
        <v>0</v>
      </c>
      <c r="M409" s="5">
        <f>IF(OR(INDEX($V$2:$V$1001,MATCH(ROWS($U$2:U409),$U$2:$U$1001,0),1)&gt;=100000,INDEX($AB$1005:$AQ$1005,1,MATCH(COLUMNS($AB$1006:AM1006),$AB$1006:$AQ$1006,0))&gt;=100000), " ",IF(INDEX($AB$2:$AQ$1001,MATCH(ROWS($U$2:U409),$U$2:$U$1001,0),MATCH(COLUMNS($AB$1006:AM1006),$AB$1006:$AQ$1006,0)), HYPERLINK("#",""), HYPERLINK(CONCATENATE("#Metadata!", ADDRESS(INDEX($W$2:$W$1001,MATCH(ROWS($U$2:U409),$U$2:$U$1001,0),0), INDEX($AB$1004:$AQ$1004,1,MATCH(COLUMNS($AB$1006:AM1006),$AB$1006:$AQ$1006,0)))),"Fix")))</f>
        <v>0</v>
      </c>
      <c r="N409" s="5">
        <f>IF(OR(INDEX($V$2:$V$1001,MATCH(ROWS($U$2:U409),$U$2:$U$1001,0),1)&gt;=100000,INDEX($AB$1005:$AQ$1005,1,MATCH(COLUMNS($AB$1006:AN1006),$AB$1006:$AQ$1006,0))&gt;=100000), " ",IF(INDEX($AB$2:$AQ$1001,MATCH(ROWS($U$2:U409),$U$2:$U$1001,0),MATCH(COLUMNS($AB$1006:AN1006),$AB$1006:$AQ$1006,0)), HYPERLINK("#",""), HYPERLINK(CONCATENATE("#Metadata!", ADDRESS(INDEX($W$2:$W$1001,MATCH(ROWS($U$2:U409),$U$2:$U$1001,0),0), INDEX($AB$1004:$AQ$1004,1,MATCH(COLUMNS($AB$1006:AN1006),$AB$1006:$AQ$1006,0)))),"Fix")))</f>
        <v>0</v>
      </c>
      <c r="O409" s="5">
        <f>IF(OR(INDEX($V$2:$V$1001,MATCH(ROWS($U$2:U409),$U$2:$U$1001,0),1)&gt;=100000,INDEX($AB$1005:$AQ$1005,1,MATCH(COLUMNS($AB$1006:AO1006),$AB$1006:$AQ$1006,0))&gt;=100000), " ",IF(INDEX($AB$2:$AQ$1001,MATCH(ROWS($U$2:U409),$U$2:$U$1001,0),MATCH(COLUMNS($AB$1006:AO1006),$AB$1006:$AQ$1006,0)), HYPERLINK("#",""), HYPERLINK(CONCATENATE("#Metadata!", ADDRESS(INDEX($W$2:$W$1001,MATCH(ROWS($U$2:U409),$U$2:$U$1001,0),0), INDEX($AB$1004:$AQ$1004,1,MATCH(COLUMNS($AB$1006:AO1006),$AB$1006:$AQ$1006,0)))),"Fix")))</f>
        <v>0</v>
      </c>
      <c r="P409" s="5">
        <f>IF(OR(INDEX($V$2:$V$1001,MATCH(ROWS($U$2:U409),$U$2:$U$1001,0),1)&gt;=100000,INDEX($AB$1005:$AQ$1005,1,MATCH(COLUMNS($AB$1006:AP1006),$AB$1006:$AQ$1006,0))&gt;=100000), " ",IF(INDEX($AB$2:$AQ$1001,MATCH(ROWS($U$2:U409),$U$2:$U$1001,0),MATCH(COLUMNS($AB$1006:AP1006),$AB$1006:$AQ$1006,0)), HYPERLINK("#",""), HYPERLINK(CONCATENATE("#Metadata!", ADDRESS(INDEX($W$2:$W$1001,MATCH(ROWS($U$2:U409),$U$2:$U$1001,0),0), INDEX($AB$1004:$AQ$1004,1,MATCH(COLUMNS($AB$1006:AP1006),$AB$1006:$AQ$1006,0)))),"Fix")))</f>
        <v>0</v>
      </c>
      <c r="Q409" s="5">
        <f>IF(OR(INDEX($V$2:$V$1001,MATCH(ROWS($U$2:U409),$U$2:$U$1001,0),1)&gt;=100000,INDEX($AB$1005:$AQ$1005,1,MATCH(COLUMNS($AB$1006:AQ1006),$AB$1006:$AQ$1006,0))&gt;=100000), " ",IF(INDEX($AB$2:$AQ$1001,MATCH(ROWS($U$2:U409),$U$2:$U$1001,0),MATCH(COLUMNS($AB$1006:AQ1006),$AB$1006:$AQ$1006,0)), HYPERLINK("#",""), HYPERLINK(CONCATENATE("#Metadata!", ADDRESS(INDEX($W$2:$W$1001,MATCH(ROWS($U$2:U409),$U$2:$U$1001,0),0), INDEX($AB$1004:$AQ$1004,1,MATCH(COLUMNS($AB$1006:AQ1006),$AB$1006:$AQ$1006,0)))),"Fix")))</f>
        <v>0</v>
      </c>
      <c r="U409">
        <v>0</v>
      </c>
      <c r="V409">
        <v>0</v>
      </c>
      <c r="W409">
        <v>0</v>
      </c>
      <c r="X409">
        <f>IF(Y409,TRUE,AND(AB409:AQ409))</f>
        <v>0</v>
      </c>
      <c r="Y409">
        <f>COUNTBLANK(Metadata!B409:Q409)=COLUMNS(Metadata!B409:Q409)</f>
        <v>0</v>
      </c>
      <c r="Z409">
        <v>0</v>
      </c>
      <c r="AB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AC409">
        <f>AND(IF(Metadata!C409="",FALSE,TRUE),exact(Metadata!C409,"urban biome"))</f>
        <v>0</v>
      </c>
      <c r="AD409">
        <f>AND(IF(Metadata!D409="",FALSE,TRUE),exact(Metadata!D409,"human-associated habitat"))</f>
        <v>0</v>
      </c>
      <c r="AE409">
        <f>AND(IF(Metadata!E409="",FALSE,TRUE),OR(exact(Metadata!E409,"human-associated"),exact(Metadata!E409,"human-skin"),exact(Metadata!E409,"human-oral"),exact(Metadata!E409,"human-gut"),exact(Metadata!E409,"human-vaginal")))</f>
        <v>0</v>
      </c>
      <c r="AF409">
        <f>AND(IF(Metadata!F409="",FALSE,ISNUMBER(VALUE(Metadata!F409))),Metadata!F409&gt;0)</f>
        <v>0</v>
      </c>
      <c r="AG409">
        <f>AND(IF(Metadata!G409="",FALSE,TRUE),exact(Metadata!G409,"years"))</f>
        <v>0</v>
      </c>
      <c r="AH409">
        <f>OR(AND(IF(Metadata!H409="",FALSE,TRUE),OR(exact(Metadata!H409,"not applicable"),exact(Metadata!H409,"not collected"),exact(Metadata!H409,"not provided"),exact(Metadata!H409,"restricted access"))),AND(IF(Metadata!H409="",FALSE,ISNUMBER(VALUE(Metadata!H409))),Metadata!H409&gt;0))</f>
        <v>0</v>
      </c>
      <c r="AI409">
        <f>AND(IF(Metadata!I409="",FALSE,TRUE),exact(Metadata!I409,"human"))</f>
        <v>0</v>
      </c>
      <c r="AJ409">
        <f>AND(IF(Metadata!J409="",FALSE,ISNUMBER(VALUE(Metadata!J409))),Metadata!J409&gt;0)</f>
        <v>0</v>
      </c>
      <c r="AK409">
        <f>AND(IF(Metadata!K409="",FALSE,TRUE),exact(Metadata!K409,"cm"))</f>
        <v>0</v>
      </c>
      <c r="AL409">
        <f>AND(IF(Metadata!L409="",FALSE,TRUE),exact(Metadata!L409,"Homo sapiens"))</f>
        <v>0</v>
      </c>
      <c r="AM409">
        <f>AND(IF(Metadata!M409="",FALSE,TRUE),exact(Metadata!M409,"9606"))</f>
        <v>0</v>
      </c>
      <c r="AN409">
        <f>AND(IF(Metadata!N409="",FALSE,ISNUMBER(VALUE(Metadata!N409))),Metadata!N409&gt;0)</f>
        <v>0</v>
      </c>
      <c r="AO409">
        <f>AND(IF(Metadata!O409="",FALSE,TRUE),exact(Metadata!O409,"kg"))</f>
        <v>0</v>
      </c>
      <c r="AP409">
        <f>OR(AND(IF(Metadata!P409="",FALSE,TRUE),exact(Metadata!P409,"not provided")),IF(Metadata!P409="",FALSE,TRUE))</f>
        <v>0</v>
      </c>
      <c r="AQ409">
        <f>OR(AND(IF(Metadata!Q409="",FALSE,TRUE),exact(Metadata!Q409,"not provided")),IF(Metadata!Q409="",FALSE,TRUE))</f>
        <v>0</v>
      </c>
    </row>
    <row r="410" spans="1:43">
      <c r="A410" s="4">
        <f>IF(B410=" "," ",HYPERLINK(CONCATENATE("#metadata!",ADDRESS(INDEX($W$2:$W$1001,MATCH(ROWS($U$2:U410),$U$2:$U$1001,0),0),2)),INDEX($Z$2:$Z$1001,MATCH(ROWS($U$2:U410),$U$2:$U$1001,0),0)))</f>
        <v>0</v>
      </c>
      <c r="B410" s="5">
        <f>IF(OR(INDEX($V$2:$V$1001,MATCH(ROWS($U$2:U410),$U$2:$U$1001,0),1)&gt;=100000,INDEX($AB$1005:$AQ$1005,1,MATCH(COLUMNS($AB$1006:AB1006),$AB$1006:$AQ$1006,0))&gt;=100000), " ",IF(INDEX($AB$2:$AQ$1001,MATCH(ROWS($U$2:U410),$U$2:$U$1001,0),MATCH(COLUMNS($AB$1006:AB1006),$AB$1006:$AQ$1006,0)), HYPERLINK("#",""), HYPERLINK(CONCATENATE("#Metadata!", ADDRESS(INDEX($W$2:$W$1001,MATCH(ROWS($U$2:U410),$U$2:$U$1001,0),0), INDEX($AB$1004:$AQ$1004,1,MATCH(COLUMNS($AB$1006:AB1006),$AB$1006:$AQ$1006,0)))),"Fix")))</f>
        <v>0</v>
      </c>
      <c r="C410" s="5">
        <f>IF(OR(INDEX($V$2:$V$1001,MATCH(ROWS($U$2:U410),$U$2:$U$1001,0),1)&gt;=100000,INDEX($AB$1005:$AQ$1005,1,MATCH(COLUMNS($AB$1006:AC1006),$AB$1006:$AQ$1006,0))&gt;=100000), " ",IF(INDEX($AB$2:$AQ$1001,MATCH(ROWS($U$2:U410),$U$2:$U$1001,0),MATCH(COLUMNS($AB$1006:AC1006),$AB$1006:$AQ$1006,0)), HYPERLINK("#",""), HYPERLINK(CONCATENATE("#Metadata!", ADDRESS(INDEX($W$2:$W$1001,MATCH(ROWS($U$2:U410),$U$2:$U$1001,0),0), INDEX($AB$1004:$AQ$1004,1,MATCH(COLUMNS($AB$1006:AC1006),$AB$1006:$AQ$1006,0)))),"Fix")))</f>
        <v>0</v>
      </c>
      <c r="D410" s="5">
        <f>IF(OR(INDEX($V$2:$V$1001,MATCH(ROWS($U$2:U410),$U$2:$U$1001,0),1)&gt;=100000,INDEX($AB$1005:$AQ$1005,1,MATCH(COLUMNS($AB$1006:AD1006),$AB$1006:$AQ$1006,0))&gt;=100000), " ",IF(INDEX($AB$2:$AQ$1001,MATCH(ROWS($U$2:U410),$U$2:$U$1001,0),MATCH(COLUMNS($AB$1006:AD1006),$AB$1006:$AQ$1006,0)), HYPERLINK("#",""), HYPERLINK(CONCATENATE("#Metadata!", ADDRESS(INDEX($W$2:$W$1001,MATCH(ROWS($U$2:U410),$U$2:$U$1001,0),0), INDEX($AB$1004:$AQ$1004,1,MATCH(COLUMNS($AB$1006:AD1006),$AB$1006:$AQ$1006,0)))),"Fix")))</f>
        <v>0</v>
      </c>
      <c r="E410" s="5">
        <f>IF(OR(INDEX($V$2:$V$1001,MATCH(ROWS($U$2:U410),$U$2:$U$1001,0),1)&gt;=100000,INDEX($AB$1005:$AQ$1005,1,MATCH(COLUMNS($AB$1006:AE1006),$AB$1006:$AQ$1006,0))&gt;=100000), " ",IF(INDEX($AB$2:$AQ$1001,MATCH(ROWS($U$2:U410),$U$2:$U$1001,0),MATCH(COLUMNS($AB$1006:AE1006),$AB$1006:$AQ$1006,0)), HYPERLINK("#",""), HYPERLINK(CONCATENATE("#Metadata!", ADDRESS(INDEX($W$2:$W$1001,MATCH(ROWS($U$2:U410),$U$2:$U$1001,0),0), INDEX($AB$1004:$AQ$1004,1,MATCH(COLUMNS($AB$1006:AE1006),$AB$1006:$AQ$1006,0)))),"Fix")))</f>
        <v>0</v>
      </c>
      <c r="F410" s="5">
        <f>IF(OR(INDEX($V$2:$V$1001,MATCH(ROWS($U$2:U410),$U$2:$U$1001,0),1)&gt;=100000,INDEX($AB$1005:$AQ$1005,1,MATCH(COLUMNS($AB$1006:AF1006),$AB$1006:$AQ$1006,0))&gt;=100000), " ",IF(INDEX($AB$2:$AQ$1001,MATCH(ROWS($U$2:U410),$U$2:$U$1001,0),MATCH(COLUMNS($AB$1006:AF1006),$AB$1006:$AQ$1006,0)), HYPERLINK("#",""), HYPERLINK(CONCATENATE("#Metadata!", ADDRESS(INDEX($W$2:$W$1001,MATCH(ROWS($U$2:U410),$U$2:$U$1001,0),0), INDEX($AB$1004:$AQ$1004,1,MATCH(COLUMNS($AB$1006:AF1006),$AB$1006:$AQ$1006,0)))),"Fix")))</f>
        <v>0</v>
      </c>
      <c r="G410" s="5">
        <f>IF(OR(INDEX($V$2:$V$1001,MATCH(ROWS($U$2:U410),$U$2:$U$1001,0),1)&gt;=100000,INDEX($AB$1005:$AQ$1005,1,MATCH(COLUMNS($AB$1006:AG1006),$AB$1006:$AQ$1006,0))&gt;=100000), " ",IF(INDEX($AB$2:$AQ$1001,MATCH(ROWS($U$2:U410),$U$2:$U$1001,0),MATCH(COLUMNS($AB$1006:AG1006),$AB$1006:$AQ$1006,0)), HYPERLINK("#",""), HYPERLINK(CONCATENATE("#Metadata!", ADDRESS(INDEX($W$2:$W$1001,MATCH(ROWS($U$2:U410),$U$2:$U$1001,0),0), INDEX($AB$1004:$AQ$1004,1,MATCH(COLUMNS($AB$1006:AG1006),$AB$1006:$AQ$1006,0)))),"Fix")))</f>
        <v>0</v>
      </c>
      <c r="H410" s="5">
        <f>IF(OR(INDEX($V$2:$V$1001,MATCH(ROWS($U$2:U410),$U$2:$U$1001,0),1)&gt;=100000,INDEX($AB$1005:$AQ$1005,1,MATCH(COLUMNS($AB$1006:AH1006),$AB$1006:$AQ$1006,0))&gt;=100000), " ",IF(INDEX($AB$2:$AQ$1001,MATCH(ROWS($U$2:U410),$U$2:$U$1001,0),MATCH(COLUMNS($AB$1006:AH1006),$AB$1006:$AQ$1006,0)), HYPERLINK("#",""), HYPERLINK(CONCATENATE("#Metadata!", ADDRESS(INDEX($W$2:$W$1001,MATCH(ROWS($U$2:U410),$U$2:$U$1001,0),0), INDEX($AB$1004:$AQ$1004,1,MATCH(COLUMNS($AB$1006:AH1006),$AB$1006:$AQ$1006,0)))),"Fix")))</f>
        <v>0</v>
      </c>
      <c r="I410" s="5">
        <f>IF(OR(INDEX($V$2:$V$1001,MATCH(ROWS($U$2:U410),$U$2:$U$1001,0),1)&gt;=100000,INDEX($AB$1005:$AQ$1005,1,MATCH(COLUMNS($AB$1006:AI1006),$AB$1006:$AQ$1006,0))&gt;=100000), " ",IF(INDEX($AB$2:$AQ$1001,MATCH(ROWS($U$2:U410),$U$2:$U$1001,0),MATCH(COLUMNS($AB$1006:AI1006),$AB$1006:$AQ$1006,0)), HYPERLINK("#",""), HYPERLINK(CONCATENATE("#Metadata!", ADDRESS(INDEX($W$2:$W$1001,MATCH(ROWS($U$2:U410),$U$2:$U$1001,0),0), INDEX($AB$1004:$AQ$1004,1,MATCH(COLUMNS($AB$1006:AI1006),$AB$1006:$AQ$1006,0)))),"Fix")))</f>
        <v>0</v>
      </c>
      <c r="J410" s="5">
        <f>IF(OR(INDEX($V$2:$V$1001,MATCH(ROWS($U$2:U410),$U$2:$U$1001,0),1)&gt;=100000,INDEX($AB$1005:$AQ$1005,1,MATCH(COLUMNS($AB$1006:AJ1006),$AB$1006:$AQ$1006,0))&gt;=100000), " ",IF(INDEX($AB$2:$AQ$1001,MATCH(ROWS($U$2:U410),$U$2:$U$1001,0),MATCH(COLUMNS($AB$1006:AJ1006),$AB$1006:$AQ$1006,0)), HYPERLINK("#",""), HYPERLINK(CONCATENATE("#Metadata!", ADDRESS(INDEX($W$2:$W$1001,MATCH(ROWS($U$2:U410),$U$2:$U$1001,0),0), INDEX($AB$1004:$AQ$1004,1,MATCH(COLUMNS($AB$1006:AJ1006),$AB$1006:$AQ$1006,0)))),"Fix")))</f>
        <v>0</v>
      </c>
      <c r="K410" s="5">
        <f>IF(OR(INDEX($V$2:$V$1001,MATCH(ROWS($U$2:U410),$U$2:$U$1001,0),1)&gt;=100000,INDEX($AB$1005:$AQ$1005,1,MATCH(COLUMNS($AB$1006:AK1006),$AB$1006:$AQ$1006,0))&gt;=100000), " ",IF(INDEX($AB$2:$AQ$1001,MATCH(ROWS($U$2:U410),$U$2:$U$1001,0),MATCH(COLUMNS($AB$1006:AK1006),$AB$1006:$AQ$1006,0)), HYPERLINK("#",""), HYPERLINK(CONCATENATE("#Metadata!", ADDRESS(INDEX($W$2:$W$1001,MATCH(ROWS($U$2:U410),$U$2:$U$1001,0),0), INDEX($AB$1004:$AQ$1004,1,MATCH(COLUMNS($AB$1006:AK1006),$AB$1006:$AQ$1006,0)))),"Fix")))</f>
        <v>0</v>
      </c>
      <c r="L410" s="5">
        <f>IF(OR(INDEX($V$2:$V$1001,MATCH(ROWS($U$2:U410),$U$2:$U$1001,0),1)&gt;=100000,INDEX($AB$1005:$AQ$1005,1,MATCH(COLUMNS($AB$1006:AL1006),$AB$1006:$AQ$1006,0))&gt;=100000), " ",IF(INDEX($AB$2:$AQ$1001,MATCH(ROWS($U$2:U410),$U$2:$U$1001,0),MATCH(COLUMNS($AB$1006:AL1006),$AB$1006:$AQ$1006,0)), HYPERLINK("#",""), HYPERLINK(CONCATENATE("#Metadata!", ADDRESS(INDEX($W$2:$W$1001,MATCH(ROWS($U$2:U410),$U$2:$U$1001,0),0), INDEX($AB$1004:$AQ$1004,1,MATCH(COLUMNS($AB$1006:AL1006),$AB$1006:$AQ$1006,0)))),"Fix")))</f>
        <v>0</v>
      </c>
      <c r="M410" s="5">
        <f>IF(OR(INDEX($V$2:$V$1001,MATCH(ROWS($U$2:U410),$U$2:$U$1001,0),1)&gt;=100000,INDEX($AB$1005:$AQ$1005,1,MATCH(COLUMNS($AB$1006:AM1006),$AB$1006:$AQ$1006,0))&gt;=100000), " ",IF(INDEX($AB$2:$AQ$1001,MATCH(ROWS($U$2:U410),$U$2:$U$1001,0),MATCH(COLUMNS($AB$1006:AM1006),$AB$1006:$AQ$1006,0)), HYPERLINK("#",""), HYPERLINK(CONCATENATE("#Metadata!", ADDRESS(INDEX($W$2:$W$1001,MATCH(ROWS($U$2:U410),$U$2:$U$1001,0),0), INDEX($AB$1004:$AQ$1004,1,MATCH(COLUMNS($AB$1006:AM1006),$AB$1006:$AQ$1006,0)))),"Fix")))</f>
        <v>0</v>
      </c>
      <c r="N410" s="5">
        <f>IF(OR(INDEX($V$2:$V$1001,MATCH(ROWS($U$2:U410),$U$2:$U$1001,0),1)&gt;=100000,INDEX($AB$1005:$AQ$1005,1,MATCH(COLUMNS($AB$1006:AN1006),$AB$1006:$AQ$1006,0))&gt;=100000), " ",IF(INDEX($AB$2:$AQ$1001,MATCH(ROWS($U$2:U410),$U$2:$U$1001,0),MATCH(COLUMNS($AB$1006:AN1006),$AB$1006:$AQ$1006,0)), HYPERLINK("#",""), HYPERLINK(CONCATENATE("#Metadata!", ADDRESS(INDEX($W$2:$W$1001,MATCH(ROWS($U$2:U410),$U$2:$U$1001,0),0), INDEX($AB$1004:$AQ$1004,1,MATCH(COLUMNS($AB$1006:AN1006),$AB$1006:$AQ$1006,0)))),"Fix")))</f>
        <v>0</v>
      </c>
      <c r="O410" s="5">
        <f>IF(OR(INDEX($V$2:$V$1001,MATCH(ROWS($U$2:U410),$U$2:$U$1001,0),1)&gt;=100000,INDEX($AB$1005:$AQ$1005,1,MATCH(COLUMNS($AB$1006:AO1006),$AB$1006:$AQ$1006,0))&gt;=100000), " ",IF(INDEX($AB$2:$AQ$1001,MATCH(ROWS($U$2:U410),$U$2:$U$1001,0),MATCH(COLUMNS($AB$1006:AO1006),$AB$1006:$AQ$1006,0)), HYPERLINK("#",""), HYPERLINK(CONCATENATE("#Metadata!", ADDRESS(INDEX($W$2:$W$1001,MATCH(ROWS($U$2:U410),$U$2:$U$1001,0),0), INDEX($AB$1004:$AQ$1004,1,MATCH(COLUMNS($AB$1006:AO1006),$AB$1006:$AQ$1006,0)))),"Fix")))</f>
        <v>0</v>
      </c>
      <c r="P410" s="5">
        <f>IF(OR(INDEX($V$2:$V$1001,MATCH(ROWS($U$2:U410),$U$2:$U$1001,0),1)&gt;=100000,INDEX($AB$1005:$AQ$1005,1,MATCH(COLUMNS($AB$1006:AP1006),$AB$1006:$AQ$1006,0))&gt;=100000), " ",IF(INDEX($AB$2:$AQ$1001,MATCH(ROWS($U$2:U410),$U$2:$U$1001,0),MATCH(COLUMNS($AB$1006:AP1006),$AB$1006:$AQ$1006,0)), HYPERLINK("#",""), HYPERLINK(CONCATENATE("#Metadata!", ADDRESS(INDEX($W$2:$W$1001,MATCH(ROWS($U$2:U410),$U$2:$U$1001,0),0), INDEX($AB$1004:$AQ$1004,1,MATCH(COLUMNS($AB$1006:AP1006),$AB$1006:$AQ$1006,0)))),"Fix")))</f>
        <v>0</v>
      </c>
      <c r="Q410" s="5">
        <f>IF(OR(INDEX($V$2:$V$1001,MATCH(ROWS($U$2:U410),$U$2:$U$1001,0),1)&gt;=100000,INDEX($AB$1005:$AQ$1005,1,MATCH(COLUMNS($AB$1006:AQ1006),$AB$1006:$AQ$1006,0))&gt;=100000), " ",IF(INDEX($AB$2:$AQ$1001,MATCH(ROWS($U$2:U410),$U$2:$U$1001,0),MATCH(COLUMNS($AB$1006:AQ1006),$AB$1006:$AQ$1006,0)), HYPERLINK("#",""), HYPERLINK(CONCATENATE("#Metadata!", ADDRESS(INDEX($W$2:$W$1001,MATCH(ROWS($U$2:U410),$U$2:$U$1001,0),0), INDEX($AB$1004:$AQ$1004,1,MATCH(COLUMNS($AB$1006:AQ1006),$AB$1006:$AQ$1006,0)))),"Fix")))</f>
        <v>0</v>
      </c>
      <c r="U410">
        <v>0</v>
      </c>
      <c r="V410">
        <v>0</v>
      </c>
      <c r="W410">
        <v>0</v>
      </c>
      <c r="X410">
        <f>IF(Y410,TRUE,AND(AB410:AQ410))</f>
        <v>0</v>
      </c>
      <c r="Y410">
        <f>COUNTBLANK(Metadata!B410:Q410)=COLUMNS(Metadata!B410:Q410)</f>
        <v>0</v>
      </c>
      <c r="Z410">
        <v>0</v>
      </c>
      <c r="AB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AC410">
        <f>AND(IF(Metadata!C410="",FALSE,TRUE),exact(Metadata!C410,"urban biome"))</f>
        <v>0</v>
      </c>
      <c r="AD410">
        <f>AND(IF(Metadata!D410="",FALSE,TRUE),exact(Metadata!D410,"human-associated habitat"))</f>
        <v>0</v>
      </c>
      <c r="AE410">
        <f>AND(IF(Metadata!E410="",FALSE,TRUE),OR(exact(Metadata!E410,"human-associated"),exact(Metadata!E410,"human-skin"),exact(Metadata!E410,"human-oral"),exact(Metadata!E410,"human-gut"),exact(Metadata!E410,"human-vaginal")))</f>
        <v>0</v>
      </c>
      <c r="AF410">
        <f>AND(IF(Metadata!F410="",FALSE,ISNUMBER(VALUE(Metadata!F410))),Metadata!F410&gt;0)</f>
        <v>0</v>
      </c>
      <c r="AG410">
        <f>AND(IF(Metadata!G410="",FALSE,TRUE),exact(Metadata!G410,"years"))</f>
        <v>0</v>
      </c>
      <c r="AH410">
        <f>OR(AND(IF(Metadata!H410="",FALSE,TRUE),OR(exact(Metadata!H410,"not applicable"),exact(Metadata!H410,"not collected"),exact(Metadata!H410,"not provided"),exact(Metadata!H410,"restricted access"))),AND(IF(Metadata!H410="",FALSE,ISNUMBER(VALUE(Metadata!H410))),Metadata!H410&gt;0))</f>
        <v>0</v>
      </c>
      <c r="AI410">
        <f>AND(IF(Metadata!I410="",FALSE,TRUE),exact(Metadata!I410,"human"))</f>
        <v>0</v>
      </c>
      <c r="AJ410">
        <f>AND(IF(Metadata!J410="",FALSE,ISNUMBER(VALUE(Metadata!J410))),Metadata!J410&gt;0)</f>
        <v>0</v>
      </c>
      <c r="AK410">
        <f>AND(IF(Metadata!K410="",FALSE,TRUE),exact(Metadata!K410,"cm"))</f>
        <v>0</v>
      </c>
      <c r="AL410">
        <f>AND(IF(Metadata!L410="",FALSE,TRUE),exact(Metadata!L410,"Homo sapiens"))</f>
        <v>0</v>
      </c>
      <c r="AM410">
        <f>AND(IF(Metadata!M410="",FALSE,TRUE),exact(Metadata!M410,"9606"))</f>
        <v>0</v>
      </c>
      <c r="AN410">
        <f>AND(IF(Metadata!N410="",FALSE,ISNUMBER(VALUE(Metadata!N410))),Metadata!N410&gt;0)</f>
        <v>0</v>
      </c>
      <c r="AO410">
        <f>AND(IF(Metadata!O410="",FALSE,TRUE),exact(Metadata!O410,"kg"))</f>
        <v>0</v>
      </c>
      <c r="AP410">
        <f>OR(AND(IF(Metadata!P410="",FALSE,TRUE),exact(Metadata!P410,"not provided")),IF(Metadata!P410="",FALSE,TRUE))</f>
        <v>0</v>
      </c>
      <c r="AQ410">
        <f>OR(AND(IF(Metadata!Q410="",FALSE,TRUE),exact(Metadata!Q410,"not provided")),IF(Metadata!Q410="",FALSE,TRUE))</f>
        <v>0</v>
      </c>
    </row>
    <row r="411" spans="1:43">
      <c r="A411" s="4">
        <f>IF(B411=" "," ",HYPERLINK(CONCATENATE("#metadata!",ADDRESS(INDEX($W$2:$W$1001,MATCH(ROWS($U$2:U411),$U$2:$U$1001,0),0),2)),INDEX($Z$2:$Z$1001,MATCH(ROWS($U$2:U411),$U$2:$U$1001,0),0)))</f>
        <v>0</v>
      </c>
      <c r="B411" s="5">
        <f>IF(OR(INDEX($V$2:$V$1001,MATCH(ROWS($U$2:U411),$U$2:$U$1001,0),1)&gt;=100000,INDEX($AB$1005:$AQ$1005,1,MATCH(COLUMNS($AB$1006:AB1006),$AB$1006:$AQ$1006,0))&gt;=100000), " ",IF(INDEX($AB$2:$AQ$1001,MATCH(ROWS($U$2:U411),$U$2:$U$1001,0),MATCH(COLUMNS($AB$1006:AB1006),$AB$1006:$AQ$1006,0)), HYPERLINK("#",""), HYPERLINK(CONCATENATE("#Metadata!", ADDRESS(INDEX($W$2:$W$1001,MATCH(ROWS($U$2:U411),$U$2:$U$1001,0),0), INDEX($AB$1004:$AQ$1004,1,MATCH(COLUMNS($AB$1006:AB1006),$AB$1006:$AQ$1006,0)))),"Fix")))</f>
        <v>0</v>
      </c>
      <c r="C411" s="5">
        <f>IF(OR(INDEX($V$2:$V$1001,MATCH(ROWS($U$2:U411),$U$2:$U$1001,0),1)&gt;=100000,INDEX($AB$1005:$AQ$1005,1,MATCH(COLUMNS($AB$1006:AC1006),$AB$1006:$AQ$1006,0))&gt;=100000), " ",IF(INDEX($AB$2:$AQ$1001,MATCH(ROWS($U$2:U411),$U$2:$U$1001,0),MATCH(COLUMNS($AB$1006:AC1006),$AB$1006:$AQ$1006,0)), HYPERLINK("#",""), HYPERLINK(CONCATENATE("#Metadata!", ADDRESS(INDEX($W$2:$W$1001,MATCH(ROWS($U$2:U411),$U$2:$U$1001,0),0), INDEX($AB$1004:$AQ$1004,1,MATCH(COLUMNS($AB$1006:AC1006),$AB$1006:$AQ$1006,0)))),"Fix")))</f>
        <v>0</v>
      </c>
      <c r="D411" s="5">
        <f>IF(OR(INDEX($V$2:$V$1001,MATCH(ROWS($U$2:U411),$U$2:$U$1001,0),1)&gt;=100000,INDEX($AB$1005:$AQ$1005,1,MATCH(COLUMNS($AB$1006:AD1006),$AB$1006:$AQ$1006,0))&gt;=100000), " ",IF(INDEX($AB$2:$AQ$1001,MATCH(ROWS($U$2:U411),$U$2:$U$1001,0),MATCH(COLUMNS($AB$1006:AD1006),$AB$1006:$AQ$1006,0)), HYPERLINK("#",""), HYPERLINK(CONCATENATE("#Metadata!", ADDRESS(INDEX($W$2:$W$1001,MATCH(ROWS($U$2:U411),$U$2:$U$1001,0),0), INDEX($AB$1004:$AQ$1004,1,MATCH(COLUMNS($AB$1006:AD1006),$AB$1006:$AQ$1006,0)))),"Fix")))</f>
        <v>0</v>
      </c>
      <c r="E411" s="5">
        <f>IF(OR(INDEX($V$2:$V$1001,MATCH(ROWS($U$2:U411),$U$2:$U$1001,0),1)&gt;=100000,INDEX($AB$1005:$AQ$1005,1,MATCH(COLUMNS($AB$1006:AE1006),$AB$1006:$AQ$1006,0))&gt;=100000), " ",IF(INDEX($AB$2:$AQ$1001,MATCH(ROWS($U$2:U411),$U$2:$U$1001,0),MATCH(COLUMNS($AB$1006:AE1006),$AB$1006:$AQ$1006,0)), HYPERLINK("#",""), HYPERLINK(CONCATENATE("#Metadata!", ADDRESS(INDEX($W$2:$W$1001,MATCH(ROWS($U$2:U411),$U$2:$U$1001,0),0), INDEX($AB$1004:$AQ$1004,1,MATCH(COLUMNS($AB$1006:AE1006),$AB$1006:$AQ$1006,0)))),"Fix")))</f>
        <v>0</v>
      </c>
      <c r="F411" s="5">
        <f>IF(OR(INDEX($V$2:$V$1001,MATCH(ROWS($U$2:U411),$U$2:$U$1001,0),1)&gt;=100000,INDEX($AB$1005:$AQ$1005,1,MATCH(COLUMNS($AB$1006:AF1006),$AB$1006:$AQ$1006,0))&gt;=100000), " ",IF(INDEX($AB$2:$AQ$1001,MATCH(ROWS($U$2:U411),$U$2:$U$1001,0),MATCH(COLUMNS($AB$1006:AF1006),$AB$1006:$AQ$1006,0)), HYPERLINK("#",""), HYPERLINK(CONCATENATE("#Metadata!", ADDRESS(INDEX($W$2:$W$1001,MATCH(ROWS($U$2:U411),$U$2:$U$1001,0),0), INDEX($AB$1004:$AQ$1004,1,MATCH(COLUMNS($AB$1006:AF1006),$AB$1006:$AQ$1006,0)))),"Fix")))</f>
        <v>0</v>
      </c>
      <c r="G411" s="5">
        <f>IF(OR(INDEX($V$2:$V$1001,MATCH(ROWS($U$2:U411),$U$2:$U$1001,0),1)&gt;=100000,INDEX($AB$1005:$AQ$1005,1,MATCH(COLUMNS($AB$1006:AG1006),$AB$1006:$AQ$1006,0))&gt;=100000), " ",IF(INDEX($AB$2:$AQ$1001,MATCH(ROWS($U$2:U411),$U$2:$U$1001,0),MATCH(COLUMNS($AB$1006:AG1006),$AB$1006:$AQ$1006,0)), HYPERLINK("#",""), HYPERLINK(CONCATENATE("#Metadata!", ADDRESS(INDEX($W$2:$W$1001,MATCH(ROWS($U$2:U411),$U$2:$U$1001,0),0), INDEX($AB$1004:$AQ$1004,1,MATCH(COLUMNS($AB$1006:AG1006),$AB$1006:$AQ$1006,0)))),"Fix")))</f>
        <v>0</v>
      </c>
      <c r="H411" s="5">
        <f>IF(OR(INDEX($V$2:$V$1001,MATCH(ROWS($U$2:U411),$U$2:$U$1001,0),1)&gt;=100000,INDEX($AB$1005:$AQ$1005,1,MATCH(COLUMNS($AB$1006:AH1006),$AB$1006:$AQ$1006,0))&gt;=100000), " ",IF(INDEX($AB$2:$AQ$1001,MATCH(ROWS($U$2:U411),$U$2:$U$1001,0),MATCH(COLUMNS($AB$1006:AH1006),$AB$1006:$AQ$1006,0)), HYPERLINK("#",""), HYPERLINK(CONCATENATE("#Metadata!", ADDRESS(INDEX($W$2:$W$1001,MATCH(ROWS($U$2:U411),$U$2:$U$1001,0),0), INDEX($AB$1004:$AQ$1004,1,MATCH(COLUMNS($AB$1006:AH1006),$AB$1006:$AQ$1006,0)))),"Fix")))</f>
        <v>0</v>
      </c>
      <c r="I411" s="5">
        <f>IF(OR(INDEX($V$2:$V$1001,MATCH(ROWS($U$2:U411),$U$2:$U$1001,0),1)&gt;=100000,INDEX($AB$1005:$AQ$1005,1,MATCH(COLUMNS($AB$1006:AI1006),$AB$1006:$AQ$1006,0))&gt;=100000), " ",IF(INDEX($AB$2:$AQ$1001,MATCH(ROWS($U$2:U411),$U$2:$U$1001,0),MATCH(COLUMNS($AB$1006:AI1006),$AB$1006:$AQ$1006,0)), HYPERLINK("#",""), HYPERLINK(CONCATENATE("#Metadata!", ADDRESS(INDEX($W$2:$W$1001,MATCH(ROWS($U$2:U411),$U$2:$U$1001,0),0), INDEX($AB$1004:$AQ$1004,1,MATCH(COLUMNS($AB$1006:AI1006),$AB$1006:$AQ$1006,0)))),"Fix")))</f>
        <v>0</v>
      </c>
      <c r="J411" s="5">
        <f>IF(OR(INDEX($V$2:$V$1001,MATCH(ROWS($U$2:U411),$U$2:$U$1001,0),1)&gt;=100000,INDEX($AB$1005:$AQ$1005,1,MATCH(COLUMNS($AB$1006:AJ1006),$AB$1006:$AQ$1006,0))&gt;=100000), " ",IF(INDEX($AB$2:$AQ$1001,MATCH(ROWS($U$2:U411),$U$2:$U$1001,0),MATCH(COLUMNS($AB$1006:AJ1006),$AB$1006:$AQ$1006,0)), HYPERLINK("#",""), HYPERLINK(CONCATENATE("#Metadata!", ADDRESS(INDEX($W$2:$W$1001,MATCH(ROWS($U$2:U411),$U$2:$U$1001,0),0), INDEX($AB$1004:$AQ$1004,1,MATCH(COLUMNS($AB$1006:AJ1006),$AB$1006:$AQ$1006,0)))),"Fix")))</f>
        <v>0</v>
      </c>
      <c r="K411" s="5">
        <f>IF(OR(INDEX($V$2:$V$1001,MATCH(ROWS($U$2:U411),$U$2:$U$1001,0),1)&gt;=100000,INDEX($AB$1005:$AQ$1005,1,MATCH(COLUMNS($AB$1006:AK1006),$AB$1006:$AQ$1006,0))&gt;=100000), " ",IF(INDEX($AB$2:$AQ$1001,MATCH(ROWS($U$2:U411),$U$2:$U$1001,0),MATCH(COLUMNS($AB$1006:AK1006),$AB$1006:$AQ$1006,0)), HYPERLINK("#",""), HYPERLINK(CONCATENATE("#Metadata!", ADDRESS(INDEX($W$2:$W$1001,MATCH(ROWS($U$2:U411),$U$2:$U$1001,0),0), INDEX($AB$1004:$AQ$1004,1,MATCH(COLUMNS($AB$1006:AK1006),$AB$1006:$AQ$1006,0)))),"Fix")))</f>
        <v>0</v>
      </c>
      <c r="L411" s="5">
        <f>IF(OR(INDEX($V$2:$V$1001,MATCH(ROWS($U$2:U411),$U$2:$U$1001,0),1)&gt;=100000,INDEX($AB$1005:$AQ$1005,1,MATCH(COLUMNS($AB$1006:AL1006),$AB$1006:$AQ$1006,0))&gt;=100000), " ",IF(INDEX($AB$2:$AQ$1001,MATCH(ROWS($U$2:U411),$U$2:$U$1001,0),MATCH(COLUMNS($AB$1006:AL1006),$AB$1006:$AQ$1006,0)), HYPERLINK("#",""), HYPERLINK(CONCATENATE("#Metadata!", ADDRESS(INDEX($W$2:$W$1001,MATCH(ROWS($U$2:U411),$U$2:$U$1001,0),0), INDEX($AB$1004:$AQ$1004,1,MATCH(COLUMNS($AB$1006:AL1006),$AB$1006:$AQ$1006,0)))),"Fix")))</f>
        <v>0</v>
      </c>
      <c r="M411" s="5">
        <f>IF(OR(INDEX($V$2:$V$1001,MATCH(ROWS($U$2:U411),$U$2:$U$1001,0),1)&gt;=100000,INDEX($AB$1005:$AQ$1005,1,MATCH(COLUMNS($AB$1006:AM1006),$AB$1006:$AQ$1006,0))&gt;=100000), " ",IF(INDEX($AB$2:$AQ$1001,MATCH(ROWS($U$2:U411),$U$2:$U$1001,0),MATCH(COLUMNS($AB$1006:AM1006),$AB$1006:$AQ$1006,0)), HYPERLINK("#",""), HYPERLINK(CONCATENATE("#Metadata!", ADDRESS(INDEX($W$2:$W$1001,MATCH(ROWS($U$2:U411),$U$2:$U$1001,0),0), INDEX($AB$1004:$AQ$1004,1,MATCH(COLUMNS($AB$1006:AM1006),$AB$1006:$AQ$1006,0)))),"Fix")))</f>
        <v>0</v>
      </c>
      <c r="N411" s="5">
        <f>IF(OR(INDEX($V$2:$V$1001,MATCH(ROWS($U$2:U411),$U$2:$U$1001,0),1)&gt;=100000,INDEX($AB$1005:$AQ$1005,1,MATCH(COLUMNS($AB$1006:AN1006),$AB$1006:$AQ$1006,0))&gt;=100000), " ",IF(INDEX($AB$2:$AQ$1001,MATCH(ROWS($U$2:U411),$U$2:$U$1001,0),MATCH(COLUMNS($AB$1006:AN1006),$AB$1006:$AQ$1006,0)), HYPERLINK("#",""), HYPERLINK(CONCATENATE("#Metadata!", ADDRESS(INDEX($W$2:$W$1001,MATCH(ROWS($U$2:U411),$U$2:$U$1001,0),0), INDEX($AB$1004:$AQ$1004,1,MATCH(COLUMNS($AB$1006:AN1006),$AB$1006:$AQ$1006,0)))),"Fix")))</f>
        <v>0</v>
      </c>
      <c r="O411" s="5">
        <f>IF(OR(INDEX($V$2:$V$1001,MATCH(ROWS($U$2:U411),$U$2:$U$1001,0),1)&gt;=100000,INDEX($AB$1005:$AQ$1005,1,MATCH(COLUMNS($AB$1006:AO1006),$AB$1006:$AQ$1006,0))&gt;=100000), " ",IF(INDEX($AB$2:$AQ$1001,MATCH(ROWS($U$2:U411),$U$2:$U$1001,0),MATCH(COLUMNS($AB$1006:AO1006),$AB$1006:$AQ$1006,0)), HYPERLINK("#",""), HYPERLINK(CONCATENATE("#Metadata!", ADDRESS(INDEX($W$2:$W$1001,MATCH(ROWS($U$2:U411),$U$2:$U$1001,0),0), INDEX($AB$1004:$AQ$1004,1,MATCH(COLUMNS($AB$1006:AO1006),$AB$1006:$AQ$1006,0)))),"Fix")))</f>
        <v>0</v>
      </c>
      <c r="P411" s="5">
        <f>IF(OR(INDEX($V$2:$V$1001,MATCH(ROWS($U$2:U411),$U$2:$U$1001,0),1)&gt;=100000,INDEX($AB$1005:$AQ$1005,1,MATCH(COLUMNS($AB$1006:AP1006),$AB$1006:$AQ$1006,0))&gt;=100000), " ",IF(INDEX($AB$2:$AQ$1001,MATCH(ROWS($U$2:U411),$U$2:$U$1001,0),MATCH(COLUMNS($AB$1006:AP1006),$AB$1006:$AQ$1006,0)), HYPERLINK("#",""), HYPERLINK(CONCATENATE("#Metadata!", ADDRESS(INDEX($W$2:$W$1001,MATCH(ROWS($U$2:U411),$U$2:$U$1001,0),0), INDEX($AB$1004:$AQ$1004,1,MATCH(COLUMNS($AB$1006:AP1006),$AB$1006:$AQ$1006,0)))),"Fix")))</f>
        <v>0</v>
      </c>
      <c r="Q411" s="5">
        <f>IF(OR(INDEX($V$2:$V$1001,MATCH(ROWS($U$2:U411),$U$2:$U$1001,0),1)&gt;=100000,INDEX($AB$1005:$AQ$1005,1,MATCH(COLUMNS($AB$1006:AQ1006),$AB$1006:$AQ$1006,0))&gt;=100000), " ",IF(INDEX($AB$2:$AQ$1001,MATCH(ROWS($U$2:U411),$U$2:$U$1001,0),MATCH(COLUMNS($AB$1006:AQ1006),$AB$1006:$AQ$1006,0)), HYPERLINK("#",""), HYPERLINK(CONCATENATE("#Metadata!", ADDRESS(INDEX($W$2:$W$1001,MATCH(ROWS($U$2:U411),$U$2:$U$1001,0),0), INDEX($AB$1004:$AQ$1004,1,MATCH(COLUMNS($AB$1006:AQ1006),$AB$1006:$AQ$1006,0)))),"Fix")))</f>
        <v>0</v>
      </c>
      <c r="U411">
        <v>0</v>
      </c>
      <c r="V411">
        <v>0</v>
      </c>
      <c r="W411">
        <v>0</v>
      </c>
      <c r="X411">
        <f>IF(Y411,TRUE,AND(AB411:AQ411))</f>
        <v>0</v>
      </c>
      <c r="Y411">
        <f>COUNTBLANK(Metadata!B411:Q411)=COLUMNS(Metadata!B411:Q411)</f>
        <v>0</v>
      </c>
      <c r="Z411">
        <v>0</v>
      </c>
      <c r="AB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AC411">
        <f>AND(IF(Metadata!C411="",FALSE,TRUE),exact(Metadata!C411,"urban biome"))</f>
        <v>0</v>
      </c>
      <c r="AD411">
        <f>AND(IF(Metadata!D411="",FALSE,TRUE),exact(Metadata!D411,"human-associated habitat"))</f>
        <v>0</v>
      </c>
      <c r="AE411">
        <f>AND(IF(Metadata!E411="",FALSE,TRUE),OR(exact(Metadata!E411,"human-associated"),exact(Metadata!E411,"human-skin"),exact(Metadata!E411,"human-oral"),exact(Metadata!E411,"human-gut"),exact(Metadata!E411,"human-vaginal")))</f>
        <v>0</v>
      </c>
      <c r="AF411">
        <f>AND(IF(Metadata!F411="",FALSE,ISNUMBER(VALUE(Metadata!F411))),Metadata!F411&gt;0)</f>
        <v>0</v>
      </c>
      <c r="AG411">
        <f>AND(IF(Metadata!G411="",FALSE,TRUE),exact(Metadata!G411,"years"))</f>
        <v>0</v>
      </c>
      <c r="AH411">
        <f>OR(AND(IF(Metadata!H411="",FALSE,TRUE),OR(exact(Metadata!H411,"not applicable"),exact(Metadata!H411,"not collected"),exact(Metadata!H411,"not provided"),exact(Metadata!H411,"restricted access"))),AND(IF(Metadata!H411="",FALSE,ISNUMBER(VALUE(Metadata!H411))),Metadata!H411&gt;0))</f>
        <v>0</v>
      </c>
      <c r="AI411">
        <f>AND(IF(Metadata!I411="",FALSE,TRUE),exact(Metadata!I411,"human"))</f>
        <v>0</v>
      </c>
      <c r="AJ411">
        <f>AND(IF(Metadata!J411="",FALSE,ISNUMBER(VALUE(Metadata!J411))),Metadata!J411&gt;0)</f>
        <v>0</v>
      </c>
      <c r="AK411">
        <f>AND(IF(Metadata!K411="",FALSE,TRUE),exact(Metadata!K411,"cm"))</f>
        <v>0</v>
      </c>
      <c r="AL411">
        <f>AND(IF(Metadata!L411="",FALSE,TRUE),exact(Metadata!L411,"Homo sapiens"))</f>
        <v>0</v>
      </c>
      <c r="AM411">
        <f>AND(IF(Metadata!M411="",FALSE,TRUE),exact(Metadata!M411,"9606"))</f>
        <v>0</v>
      </c>
      <c r="AN411">
        <f>AND(IF(Metadata!N411="",FALSE,ISNUMBER(VALUE(Metadata!N411))),Metadata!N411&gt;0)</f>
        <v>0</v>
      </c>
      <c r="AO411">
        <f>AND(IF(Metadata!O411="",FALSE,TRUE),exact(Metadata!O411,"kg"))</f>
        <v>0</v>
      </c>
      <c r="AP411">
        <f>OR(AND(IF(Metadata!P411="",FALSE,TRUE),exact(Metadata!P411,"not provided")),IF(Metadata!P411="",FALSE,TRUE))</f>
        <v>0</v>
      </c>
      <c r="AQ411">
        <f>OR(AND(IF(Metadata!Q411="",FALSE,TRUE),exact(Metadata!Q411,"not provided")),IF(Metadata!Q411="",FALSE,TRUE))</f>
        <v>0</v>
      </c>
    </row>
    <row r="412" spans="1:43">
      <c r="A412" s="4">
        <f>IF(B412=" "," ",HYPERLINK(CONCATENATE("#metadata!",ADDRESS(INDEX($W$2:$W$1001,MATCH(ROWS($U$2:U412),$U$2:$U$1001,0),0),2)),INDEX($Z$2:$Z$1001,MATCH(ROWS($U$2:U412),$U$2:$U$1001,0),0)))</f>
        <v>0</v>
      </c>
      <c r="B412" s="5">
        <f>IF(OR(INDEX($V$2:$V$1001,MATCH(ROWS($U$2:U412),$U$2:$U$1001,0),1)&gt;=100000,INDEX($AB$1005:$AQ$1005,1,MATCH(COLUMNS($AB$1006:AB1006),$AB$1006:$AQ$1006,0))&gt;=100000), " ",IF(INDEX($AB$2:$AQ$1001,MATCH(ROWS($U$2:U412),$U$2:$U$1001,0),MATCH(COLUMNS($AB$1006:AB1006),$AB$1006:$AQ$1006,0)), HYPERLINK("#",""), HYPERLINK(CONCATENATE("#Metadata!", ADDRESS(INDEX($W$2:$W$1001,MATCH(ROWS($U$2:U412),$U$2:$U$1001,0),0), INDEX($AB$1004:$AQ$1004,1,MATCH(COLUMNS($AB$1006:AB1006),$AB$1006:$AQ$1006,0)))),"Fix")))</f>
        <v>0</v>
      </c>
      <c r="C412" s="5">
        <f>IF(OR(INDEX($V$2:$V$1001,MATCH(ROWS($U$2:U412),$U$2:$U$1001,0),1)&gt;=100000,INDEX($AB$1005:$AQ$1005,1,MATCH(COLUMNS($AB$1006:AC1006),$AB$1006:$AQ$1006,0))&gt;=100000), " ",IF(INDEX($AB$2:$AQ$1001,MATCH(ROWS($U$2:U412),$U$2:$U$1001,0),MATCH(COLUMNS($AB$1006:AC1006),$AB$1006:$AQ$1006,0)), HYPERLINK("#",""), HYPERLINK(CONCATENATE("#Metadata!", ADDRESS(INDEX($W$2:$W$1001,MATCH(ROWS($U$2:U412),$U$2:$U$1001,0),0), INDEX($AB$1004:$AQ$1004,1,MATCH(COLUMNS($AB$1006:AC1006),$AB$1006:$AQ$1006,0)))),"Fix")))</f>
        <v>0</v>
      </c>
      <c r="D412" s="5">
        <f>IF(OR(INDEX($V$2:$V$1001,MATCH(ROWS($U$2:U412),$U$2:$U$1001,0),1)&gt;=100000,INDEX($AB$1005:$AQ$1005,1,MATCH(COLUMNS($AB$1006:AD1006),$AB$1006:$AQ$1006,0))&gt;=100000), " ",IF(INDEX($AB$2:$AQ$1001,MATCH(ROWS($U$2:U412),$U$2:$U$1001,0),MATCH(COLUMNS($AB$1006:AD1006),$AB$1006:$AQ$1006,0)), HYPERLINK("#",""), HYPERLINK(CONCATENATE("#Metadata!", ADDRESS(INDEX($W$2:$W$1001,MATCH(ROWS($U$2:U412),$U$2:$U$1001,0),0), INDEX($AB$1004:$AQ$1004,1,MATCH(COLUMNS($AB$1006:AD1006),$AB$1006:$AQ$1006,0)))),"Fix")))</f>
        <v>0</v>
      </c>
      <c r="E412" s="5">
        <f>IF(OR(INDEX($V$2:$V$1001,MATCH(ROWS($U$2:U412),$U$2:$U$1001,0),1)&gt;=100000,INDEX($AB$1005:$AQ$1005,1,MATCH(COLUMNS($AB$1006:AE1006),$AB$1006:$AQ$1006,0))&gt;=100000), " ",IF(INDEX($AB$2:$AQ$1001,MATCH(ROWS($U$2:U412),$U$2:$U$1001,0),MATCH(COLUMNS($AB$1006:AE1006),$AB$1006:$AQ$1006,0)), HYPERLINK("#",""), HYPERLINK(CONCATENATE("#Metadata!", ADDRESS(INDEX($W$2:$W$1001,MATCH(ROWS($U$2:U412),$U$2:$U$1001,0),0), INDEX($AB$1004:$AQ$1004,1,MATCH(COLUMNS($AB$1006:AE1006),$AB$1006:$AQ$1006,0)))),"Fix")))</f>
        <v>0</v>
      </c>
      <c r="F412" s="5">
        <f>IF(OR(INDEX($V$2:$V$1001,MATCH(ROWS($U$2:U412),$U$2:$U$1001,0),1)&gt;=100000,INDEX($AB$1005:$AQ$1005,1,MATCH(COLUMNS($AB$1006:AF1006),$AB$1006:$AQ$1006,0))&gt;=100000), " ",IF(INDEX($AB$2:$AQ$1001,MATCH(ROWS($U$2:U412),$U$2:$U$1001,0),MATCH(COLUMNS($AB$1006:AF1006),$AB$1006:$AQ$1006,0)), HYPERLINK("#",""), HYPERLINK(CONCATENATE("#Metadata!", ADDRESS(INDEX($W$2:$W$1001,MATCH(ROWS($U$2:U412),$U$2:$U$1001,0),0), INDEX($AB$1004:$AQ$1004,1,MATCH(COLUMNS($AB$1006:AF1006),$AB$1006:$AQ$1006,0)))),"Fix")))</f>
        <v>0</v>
      </c>
      <c r="G412" s="5">
        <f>IF(OR(INDEX($V$2:$V$1001,MATCH(ROWS($U$2:U412),$U$2:$U$1001,0),1)&gt;=100000,INDEX($AB$1005:$AQ$1005,1,MATCH(COLUMNS($AB$1006:AG1006),$AB$1006:$AQ$1006,0))&gt;=100000), " ",IF(INDEX($AB$2:$AQ$1001,MATCH(ROWS($U$2:U412),$U$2:$U$1001,0),MATCH(COLUMNS($AB$1006:AG1006),$AB$1006:$AQ$1006,0)), HYPERLINK("#",""), HYPERLINK(CONCATENATE("#Metadata!", ADDRESS(INDEX($W$2:$W$1001,MATCH(ROWS($U$2:U412),$U$2:$U$1001,0),0), INDEX($AB$1004:$AQ$1004,1,MATCH(COLUMNS($AB$1006:AG1006),$AB$1006:$AQ$1006,0)))),"Fix")))</f>
        <v>0</v>
      </c>
      <c r="H412" s="5">
        <f>IF(OR(INDEX($V$2:$V$1001,MATCH(ROWS($U$2:U412),$U$2:$U$1001,0),1)&gt;=100000,INDEX($AB$1005:$AQ$1005,1,MATCH(COLUMNS($AB$1006:AH1006),$AB$1006:$AQ$1006,0))&gt;=100000), " ",IF(INDEX($AB$2:$AQ$1001,MATCH(ROWS($U$2:U412),$U$2:$U$1001,0),MATCH(COLUMNS($AB$1006:AH1006),$AB$1006:$AQ$1006,0)), HYPERLINK("#",""), HYPERLINK(CONCATENATE("#Metadata!", ADDRESS(INDEX($W$2:$W$1001,MATCH(ROWS($U$2:U412),$U$2:$U$1001,0),0), INDEX($AB$1004:$AQ$1004,1,MATCH(COLUMNS($AB$1006:AH1006),$AB$1006:$AQ$1006,0)))),"Fix")))</f>
        <v>0</v>
      </c>
      <c r="I412" s="5">
        <f>IF(OR(INDEX($V$2:$V$1001,MATCH(ROWS($U$2:U412),$U$2:$U$1001,0),1)&gt;=100000,INDEX($AB$1005:$AQ$1005,1,MATCH(COLUMNS($AB$1006:AI1006),$AB$1006:$AQ$1006,0))&gt;=100000), " ",IF(INDEX($AB$2:$AQ$1001,MATCH(ROWS($U$2:U412),$U$2:$U$1001,0),MATCH(COLUMNS($AB$1006:AI1006),$AB$1006:$AQ$1006,0)), HYPERLINK("#",""), HYPERLINK(CONCATENATE("#Metadata!", ADDRESS(INDEX($W$2:$W$1001,MATCH(ROWS($U$2:U412),$U$2:$U$1001,0),0), INDEX($AB$1004:$AQ$1004,1,MATCH(COLUMNS($AB$1006:AI1006),$AB$1006:$AQ$1006,0)))),"Fix")))</f>
        <v>0</v>
      </c>
      <c r="J412" s="5">
        <f>IF(OR(INDEX($V$2:$V$1001,MATCH(ROWS($U$2:U412),$U$2:$U$1001,0),1)&gt;=100000,INDEX($AB$1005:$AQ$1005,1,MATCH(COLUMNS($AB$1006:AJ1006),$AB$1006:$AQ$1006,0))&gt;=100000), " ",IF(INDEX($AB$2:$AQ$1001,MATCH(ROWS($U$2:U412),$U$2:$U$1001,0),MATCH(COLUMNS($AB$1006:AJ1006),$AB$1006:$AQ$1006,0)), HYPERLINK("#",""), HYPERLINK(CONCATENATE("#Metadata!", ADDRESS(INDEX($W$2:$W$1001,MATCH(ROWS($U$2:U412),$U$2:$U$1001,0),0), INDEX($AB$1004:$AQ$1004,1,MATCH(COLUMNS($AB$1006:AJ1006),$AB$1006:$AQ$1006,0)))),"Fix")))</f>
        <v>0</v>
      </c>
      <c r="K412" s="5">
        <f>IF(OR(INDEX($V$2:$V$1001,MATCH(ROWS($U$2:U412),$U$2:$U$1001,0),1)&gt;=100000,INDEX($AB$1005:$AQ$1005,1,MATCH(COLUMNS($AB$1006:AK1006),$AB$1006:$AQ$1006,0))&gt;=100000), " ",IF(INDEX($AB$2:$AQ$1001,MATCH(ROWS($U$2:U412),$U$2:$U$1001,0),MATCH(COLUMNS($AB$1006:AK1006),$AB$1006:$AQ$1006,0)), HYPERLINK("#",""), HYPERLINK(CONCATENATE("#Metadata!", ADDRESS(INDEX($W$2:$W$1001,MATCH(ROWS($U$2:U412),$U$2:$U$1001,0),0), INDEX($AB$1004:$AQ$1004,1,MATCH(COLUMNS($AB$1006:AK1006),$AB$1006:$AQ$1006,0)))),"Fix")))</f>
        <v>0</v>
      </c>
      <c r="L412" s="5">
        <f>IF(OR(INDEX($V$2:$V$1001,MATCH(ROWS($U$2:U412),$U$2:$U$1001,0),1)&gt;=100000,INDEX($AB$1005:$AQ$1005,1,MATCH(COLUMNS($AB$1006:AL1006),$AB$1006:$AQ$1006,0))&gt;=100000), " ",IF(INDEX($AB$2:$AQ$1001,MATCH(ROWS($U$2:U412),$U$2:$U$1001,0),MATCH(COLUMNS($AB$1006:AL1006),$AB$1006:$AQ$1006,0)), HYPERLINK("#",""), HYPERLINK(CONCATENATE("#Metadata!", ADDRESS(INDEX($W$2:$W$1001,MATCH(ROWS($U$2:U412),$U$2:$U$1001,0),0), INDEX($AB$1004:$AQ$1004,1,MATCH(COLUMNS($AB$1006:AL1006),$AB$1006:$AQ$1006,0)))),"Fix")))</f>
        <v>0</v>
      </c>
      <c r="M412" s="5">
        <f>IF(OR(INDEX($V$2:$V$1001,MATCH(ROWS($U$2:U412),$U$2:$U$1001,0),1)&gt;=100000,INDEX($AB$1005:$AQ$1005,1,MATCH(COLUMNS($AB$1006:AM1006),$AB$1006:$AQ$1006,0))&gt;=100000), " ",IF(INDEX($AB$2:$AQ$1001,MATCH(ROWS($U$2:U412),$U$2:$U$1001,0),MATCH(COLUMNS($AB$1006:AM1006),$AB$1006:$AQ$1006,0)), HYPERLINK("#",""), HYPERLINK(CONCATENATE("#Metadata!", ADDRESS(INDEX($W$2:$W$1001,MATCH(ROWS($U$2:U412),$U$2:$U$1001,0),0), INDEX($AB$1004:$AQ$1004,1,MATCH(COLUMNS($AB$1006:AM1006),$AB$1006:$AQ$1006,0)))),"Fix")))</f>
        <v>0</v>
      </c>
      <c r="N412" s="5">
        <f>IF(OR(INDEX($V$2:$V$1001,MATCH(ROWS($U$2:U412),$U$2:$U$1001,0),1)&gt;=100000,INDEX($AB$1005:$AQ$1005,1,MATCH(COLUMNS($AB$1006:AN1006),$AB$1006:$AQ$1006,0))&gt;=100000), " ",IF(INDEX($AB$2:$AQ$1001,MATCH(ROWS($U$2:U412),$U$2:$U$1001,0),MATCH(COLUMNS($AB$1006:AN1006),$AB$1006:$AQ$1006,0)), HYPERLINK("#",""), HYPERLINK(CONCATENATE("#Metadata!", ADDRESS(INDEX($W$2:$W$1001,MATCH(ROWS($U$2:U412),$U$2:$U$1001,0),0), INDEX($AB$1004:$AQ$1004,1,MATCH(COLUMNS($AB$1006:AN1006),$AB$1006:$AQ$1006,0)))),"Fix")))</f>
        <v>0</v>
      </c>
      <c r="O412" s="5">
        <f>IF(OR(INDEX($V$2:$V$1001,MATCH(ROWS($U$2:U412),$U$2:$U$1001,0),1)&gt;=100000,INDEX($AB$1005:$AQ$1005,1,MATCH(COLUMNS($AB$1006:AO1006),$AB$1006:$AQ$1006,0))&gt;=100000), " ",IF(INDEX($AB$2:$AQ$1001,MATCH(ROWS($U$2:U412),$U$2:$U$1001,0),MATCH(COLUMNS($AB$1006:AO1006),$AB$1006:$AQ$1006,0)), HYPERLINK("#",""), HYPERLINK(CONCATENATE("#Metadata!", ADDRESS(INDEX($W$2:$W$1001,MATCH(ROWS($U$2:U412),$U$2:$U$1001,0),0), INDEX($AB$1004:$AQ$1004,1,MATCH(COLUMNS($AB$1006:AO1006),$AB$1006:$AQ$1006,0)))),"Fix")))</f>
        <v>0</v>
      </c>
      <c r="P412" s="5">
        <f>IF(OR(INDEX($V$2:$V$1001,MATCH(ROWS($U$2:U412),$U$2:$U$1001,0),1)&gt;=100000,INDEX($AB$1005:$AQ$1005,1,MATCH(COLUMNS($AB$1006:AP1006),$AB$1006:$AQ$1006,0))&gt;=100000), " ",IF(INDEX($AB$2:$AQ$1001,MATCH(ROWS($U$2:U412),$U$2:$U$1001,0),MATCH(COLUMNS($AB$1006:AP1006),$AB$1006:$AQ$1006,0)), HYPERLINK("#",""), HYPERLINK(CONCATENATE("#Metadata!", ADDRESS(INDEX($W$2:$W$1001,MATCH(ROWS($U$2:U412),$U$2:$U$1001,0),0), INDEX($AB$1004:$AQ$1004,1,MATCH(COLUMNS($AB$1006:AP1006),$AB$1006:$AQ$1006,0)))),"Fix")))</f>
        <v>0</v>
      </c>
      <c r="Q412" s="5">
        <f>IF(OR(INDEX($V$2:$V$1001,MATCH(ROWS($U$2:U412),$U$2:$U$1001,0),1)&gt;=100000,INDEX($AB$1005:$AQ$1005,1,MATCH(COLUMNS($AB$1006:AQ1006),$AB$1006:$AQ$1006,0))&gt;=100000), " ",IF(INDEX($AB$2:$AQ$1001,MATCH(ROWS($U$2:U412),$U$2:$U$1001,0),MATCH(COLUMNS($AB$1006:AQ1006),$AB$1006:$AQ$1006,0)), HYPERLINK("#",""), HYPERLINK(CONCATENATE("#Metadata!", ADDRESS(INDEX($W$2:$W$1001,MATCH(ROWS($U$2:U412),$U$2:$U$1001,0),0), INDEX($AB$1004:$AQ$1004,1,MATCH(COLUMNS($AB$1006:AQ1006),$AB$1006:$AQ$1006,0)))),"Fix")))</f>
        <v>0</v>
      </c>
      <c r="U412">
        <v>0</v>
      </c>
      <c r="V412">
        <v>0</v>
      </c>
      <c r="W412">
        <v>0</v>
      </c>
      <c r="X412">
        <f>IF(Y412,TRUE,AND(AB412:AQ412))</f>
        <v>0</v>
      </c>
      <c r="Y412">
        <f>COUNTBLANK(Metadata!B412:Q412)=COLUMNS(Metadata!B412:Q412)</f>
        <v>0</v>
      </c>
      <c r="Z412">
        <v>0</v>
      </c>
      <c r="AB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AC412">
        <f>AND(IF(Metadata!C412="",FALSE,TRUE),exact(Metadata!C412,"urban biome"))</f>
        <v>0</v>
      </c>
      <c r="AD412">
        <f>AND(IF(Metadata!D412="",FALSE,TRUE),exact(Metadata!D412,"human-associated habitat"))</f>
        <v>0</v>
      </c>
      <c r="AE412">
        <f>AND(IF(Metadata!E412="",FALSE,TRUE),OR(exact(Metadata!E412,"human-associated"),exact(Metadata!E412,"human-skin"),exact(Metadata!E412,"human-oral"),exact(Metadata!E412,"human-gut"),exact(Metadata!E412,"human-vaginal")))</f>
        <v>0</v>
      </c>
      <c r="AF412">
        <f>AND(IF(Metadata!F412="",FALSE,ISNUMBER(VALUE(Metadata!F412))),Metadata!F412&gt;0)</f>
        <v>0</v>
      </c>
      <c r="AG412">
        <f>AND(IF(Metadata!G412="",FALSE,TRUE),exact(Metadata!G412,"years"))</f>
        <v>0</v>
      </c>
      <c r="AH412">
        <f>OR(AND(IF(Metadata!H412="",FALSE,TRUE),OR(exact(Metadata!H412,"not applicable"),exact(Metadata!H412,"not collected"),exact(Metadata!H412,"not provided"),exact(Metadata!H412,"restricted access"))),AND(IF(Metadata!H412="",FALSE,ISNUMBER(VALUE(Metadata!H412))),Metadata!H412&gt;0))</f>
        <v>0</v>
      </c>
      <c r="AI412">
        <f>AND(IF(Metadata!I412="",FALSE,TRUE),exact(Metadata!I412,"human"))</f>
        <v>0</v>
      </c>
      <c r="AJ412">
        <f>AND(IF(Metadata!J412="",FALSE,ISNUMBER(VALUE(Metadata!J412))),Metadata!J412&gt;0)</f>
        <v>0</v>
      </c>
      <c r="AK412">
        <f>AND(IF(Metadata!K412="",FALSE,TRUE),exact(Metadata!K412,"cm"))</f>
        <v>0</v>
      </c>
      <c r="AL412">
        <f>AND(IF(Metadata!L412="",FALSE,TRUE),exact(Metadata!L412,"Homo sapiens"))</f>
        <v>0</v>
      </c>
      <c r="AM412">
        <f>AND(IF(Metadata!M412="",FALSE,TRUE),exact(Metadata!M412,"9606"))</f>
        <v>0</v>
      </c>
      <c r="AN412">
        <f>AND(IF(Metadata!N412="",FALSE,ISNUMBER(VALUE(Metadata!N412))),Metadata!N412&gt;0)</f>
        <v>0</v>
      </c>
      <c r="AO412">
        <f>AND(IF(Metadata!O412="",FALSE,TRUE),exact(Metadata!O412,"kg"))</f>
        <v>0</v>
      </c>
      <c r="AP412">
        <f>OR(AND(IF(Metadata!P412="",FALSE,TRUE),exact(Metadata!P412,"not provided")),IF(Metadata!P412="",FALSE,TRUE))</f>
        <v>0</v>
      </c>
      <c r="AQ412">
        <f>OR(AND(IF(Metadata!Q412="",FALSE,TRUE),exact(Metadata!Q412,"not provided")),IF(Metadata!Q412="",FALSE,TRUE))</f>
        <v>0</v>
      </c>
    </row>
    <row r="413" spans="1:43">
      <c r="A413" s="4">
        <f>IF(B413=" "," ",HYPERLINK(CONCATENATE("#metadata!",ADDRESS(INDEX($W$2:$W$1001,MATCH(ROWS($U$2:U413),$U$2:$U$1001,0),0),2)),INDEX($Z$2:$Z$1001,MATCH(ROWS($U$2:U413),$U$2:$U$1001,0),0)))</f>
        <v>0</v>
      </c>
      <c r="B413" s="5">
        <f>IF(OR(INDEX($V$2:$V$1001,MATCH(ROWS($U$2:U413),$U$2:$U$1001,0),1)&gt;=100000,INDEX($AB$1005:$AQ$1005,1,MATCH(COLUMNS($AB$1006:AB1006),$AB$1006:$AQ$1006,0))&gt;=100000), " ",IF(INDEX($AB$2:$AQ$1001,MATCH(ROWS($U$2:U413),$U$2:$U$1001,0),MATCH(COLUMNS($AB$1006:AB1006),$AB$1006:$AQ$1006,0)), HYPERLINK("#",""), HYPERLINK(CONCATENATE("#Metadata!", ADDRESS(INDEX($W$2:$W$1001,MATCH(ROWS($U$2:U413),$U$2:$U$1001,0),0), INDEX($AB$1004:$AQ$1004,1,MATCH(COLUMNS($AB$1006:AB1006),$AB$1006:$AQ$1006,0)))),"Fix")))</f>
        <v>0</v>
      </c>
      <c r="C413" s="5">
        <f>IF(OR(INDEX($V$2:$V$1001,MATCH(ROWS($U$2:U413),$U$2:$U$1001,0),1)&gt;=100000,INDEX($AB$1005:$AQ$1005,1,MATCH(COLUMNS($AB$1006:AC1006),$AB$1006:$AQ$1006,0))&gt;=100000), " ",IF(INDEX($AB$2:$AQ$1001,MATCH(ROWS($U$2:U413),$U$2:$U$1001,0),MATCH(COLUMNS($AB$1006:AC1006),$AB$1006:$AQ$1006,0)), HYPERLINK("#",""), HYPERLINK(CONCATENATE("#Metadata!", ADDRESS(INDEX($W$2:$W$1001,MATCH(ROWS($U$2:U413),$U$2:$U$1001,0),0), INDEX($AB$1004:$AQ$1004,1,MATCH(COLUMNS($AB$1006:AC1006),$AB$1006:$AQ$1006,0)))),"Fix")))</f>
        <v>0</v>
      </c>
      <c r="D413" s="5">
        <f>IF(OR(INDEX($V$2:$V$1001,MATCH(ROWS($U$2:U413),$U$2:$U$1001,0),1)&gt;=100000,INDEX($AB$1005:$AQ$1005,1,MATCH(COLUMNS($AB$1006:AD1006),$AB$1006:$AQ$1006,0))&gt;=100000), " ",IF(INDEX($AB$2:$AQ$1001,MATCH(ROWS($U$2:U413),$U$2:$U$1001,0),MATCH(COLUMNS($AB$1006:AD1006),$AB$1006:$AQ$1006,0)), HYPERLINK("#",""), HYPERLINK(CONCATENATE("#Metadata!", ADDRESS(INDEX($W$2:$W$1001,MATCH(ROWS($U$2:U413),$U$2:$U$1001,0),0), INDEX($AB$1004:$AQ$1004,1,MATCH(COLUMNS($AB$1006:AD1006),$AB$1006:$AQ$1006,0)))),"Fix")))</f>
        <v>0</v>
      </c>
      <c r="E413" s="5">
        <f>IF(OR(INDEX($V$2:$V$1001,MATCH(ROWS($U$2:U413),$U$2:$U$1001,0),1)&gt;=100000,INDEX($AB$1005:$AQ$1005,1,MATCH(COLUMNS($AB$1006:AE1006),$AB$1006:$AQ$1006,0))&gt;=100000), " ",IF(INDEX($AB$2:$AQ$1001,MATCH(ROWS($U$2:U413),$U$2:$U$1001,0),MATCH(COLUMNS($AB$1006:AE1006),$AB$1006:$AQ$1006,0)), HYPERLINK("#",""), HYPERLINK(CONCATENATE("#Metadata!", ADDRESS(INDEX($W$2:$W$1001,MATCH(ROWS($U$2:U413),$U$2:$U$1001,0),0), INDEX($AB$1004:$AQ$1004,1,MATCH(COLUMNS($AB$1006:AE1006),$AB$1006:$AQ$1006,0)))),"Fix")))</f>
        <v>0</v>
      </c>
      <c r="F413" s="5">
        <f>IF(OR(INDEX($V$2:$V$1001,MATCH(ROWS($U$2:U413),$U$2:$U$1001,0),1)&gt;=100000,INDEX($AB$1005:$AQ$1005,1,MATCH(COLUMNS($AB$1006:AF1006),$AB$1006:$AQ$1006,0))&gt;=100000), " ",IF(INDEX($AB$2:$AQ$1001,MATCH(ROWS($U$2:U413),$U$2:$U$1001,0),MATCH(COLUMNS($AB$1006:AF1006),$AB$1006:$AQ$1006,0)), HYPERLINK("#",""), HYPERLINK(CONCATENATE("#Metadata!", ADDRESS(INDEX($W$2:$W$1001,MATCH(ROWS($U$2:U413),$U$2:$U$1001,0),0), INDEX($AB$1004:$AQ$1004,1,MATCH(COLUMNS($AB$1006:AF1006),$AB$1006:$AQ$1006,0)))),"Fix")))</f>
        <v>0</v>
      </c>
      <c r="G413" s="5">
        <f>IF(OR(INDEX($V$2:$V$1001,MATCH(ROWS($U$2:U413),$U$2:$U$1001,0),1)&gt;=100000,INDEX($AB$1005:$AQ$1005,1,MATCH(COLUMNS($AB$1006:AG1006),$AB$1006:$AQ$1006,0))&gt;=100000), " ",IF(INDEX($AB$2:$AQ$1001,MATCH(ROWS($U$2:U413),$U$2:$U$1001,0),MATCH(COLUMNS($AB$1006:AG1006),$AB$1006:$AQ$1006,0)), HYPERLINK("#",""), HYPERLINK(CONCATENATE("#Metadata!", ADDRESS(INDEX($W$2:$W$1001,MATCH(ROWS($U$2:U413),$U$2:$U$1001,0),0), INDEX($AB$1004:$AQ$1004,1,MATCH(COLUMNS($AB$1006:AG1006),$AB$1006:$AQ$1006,0)))),"Fix")))</f>
        <v>0</v>
      </c>
      <c r="H413" s="5">
        <f>IF(OR(INDEX($V$2:$V$1001,MATCH(ROWS($U$2:U413),$U$2:$U$1001,0),1)&gt;=100000,INDEX($AB$1005:$AQ$1005,1,MATCH(COLUMNS($AB$1006:AH1006),$AB$1006:$AQ$1006,0))&gt;=100000), " ",IF(INDEX($AB$2:$AQ$1001,MATCH(ROWS($U$2:U413),$U$2:$U$1001,0),MATCH(COLUMNS($AB$1006:AH1006),$AB$1006:$AQ$1006,0)), HYPERLINK("#",""), HYPERLINK(CONCATENATE("#Metadata!", ADDRESS(INDEX($W$2:$W$1001,MATCH(ROWS($U$2:U413),$U$2:$U$1001,0),0), INDEX($AB$1004:$AQ$1004,1,MATCH(COLUMNS($AB$1006:AH1006),$AB$1006:$AQ$1006,0)))),"Fix")))</f>
        <v>0</v>
      </c>
      <c r="I413" s="5">
        <f>IF(OR(INDEX($V$2:$V$1001,MATCH(ROWS($U$2:U413),$U$2:$U$1001,0),1)&gt;=100000,INDEX($AB$1005:$AQ$1005,1,MATCH(COLUMNS($AB$1006:AI1006),$AB$1006:$AQ$1006,0))&gt;=100000), " ",IF(INDEX($AB$2:$AQ$1001,MATCH(ROWS($U$2:U413),$U$2:$U$1001,0),MATCH(COLUMNS($AB$1006:AI1006),$AB$1006:$AQ$1006,0)), HYPERLINK("#",""), HYPERLINK(CONCATENATE("#Metadata!", ADDRESS(INDEX($W$2:$W$1001,MATCH(ROWS($U$2:U413),$U$2:$U$1001,0),0), INDEX($AB$1004:$AQ$1004,1,MATCH(COLUMNS($AB$1006:AI1006),$AB$1006:$AQ$1006,0)))),"Fix")))</f>
        <v>0</v>
      </c>
      <c r="J413" s="5">
        <f>IF(OR(INDEX($V$2:$V$1001,MATCH(ROWS($U$2:U413),$U$2:$U$1001,0),1)&gt;=100000,INDEX($AB$1005:$AQ$1005,1,MATCH(COLUMNS($AB$1006:AJ1006),$AB$1006:$AQ$1006,0))&gt;=100000), " ",IF(INDEX($AB$2:$AQ$1001,MATCH(ROWS($U$2:U413),$U$2:$U$1001,0),MATCH(COLUMNS($AB$1006:AJ1006),$AB$1006:$AQ$1006,0)), HYPERLINK("#",""), HYPERLINK(CONCATENATE("#Metadata!", ADDRESS(INDEX($W$2:$W$1001,MATCH(ROWS($U$2:U413),$U$2:$U$1001,0),0), INDEX($AB$1004:$AQ$1004,1,MATCH(COLUMNS($AB$1006:AJ1006),$AB$1006:$AQ$1006,0)))),"Fix")))</f>
        <v>0</v>
      </c>
      <c r="K413" s="5">
        <f>IF(OR(INDEX($V$2:$V$1001,MATCH(ROWS($U$2:U413),$U$2:$U$1001,0),1)&gt;=100000,INDEX($AB$1005:$AQ$1005,1,MATCH(COLUMNS($AB$1006:AK1006),$AB$1006:$AQ$1006,0))&gt;=100000), " ",IF(INDEX($AB$2:$AQ$1001,MATCH(ROWS($U$2:U413),$U$2:$U$1001,0),MATCH(COLUMNS($AB$1006:AK1006),$AB$1006:$AQ$1006,0)), HYPERLINK("#",""), HYPERLINK(CONCATENATE("#Metadata!", ADDRESS(INDEX($W$2:$W$1001,MATCH(ROWS($U$2:U413),$U$2:$U$1001,0),0), INDEX($AB$1004:$AQ$1004,1,MATCH(COLUMNS($AB$1006:AK1006),$AB$1006:$AQ$1006,0)))),"Fix")))</f>
        <v>0</v>
      </c>
      <c r="L413" s="5">
        <f>IF(OR(INDEX($V$2:$V$1001,MATCH(ROWS($U$2:U413),$U$2:$U$1001,0),1)&gt;=100000,INDEX($AB$1005:$AQ$1005,1,MATCH(COLUMNS($AB$1006:AL1006),$AB$1006:$AQ$1006,0))&gt;=100000), " ",IF(INDEX($AB$2:$AQ$1001,MATCH(ROWS($U$2:U413),$U$2:$U$1001,0),MATCH(COLUMNS($AB$1006:AL1006),$AB$1006:$AQ$1006,0)), HYPERLINK("#",""), HYPERLINK(CONCATENATE("#Metadata!", ADDRESS(INDEX($W$2:$W$1001,MATCH(ROWS($U$2:U413),$U$2:$U$1001,0),0), INDEX($AB$1004:$AQ$1004,1,MATCH(COLUMNS($AB$1006:AL1006),$AB$1006:$AQ$1006,0)))),"Fix")))</f>
        <v>0</v>
      </c>
      <c r="M413" s="5">
        <f>IF(OR(INDEX($V$2:$V$1001,MATCH(ROWS($U$2:U413),$U$2:$U$1001,0),1)&gt;=100000,INDEX($AB$1005:$AQ$1005,1,MATCH(COLUMNS($AB$1006:AM1006),$AB$1006:$AQ$1006,0))&gt;=100000), " ",IF(INDEX($AB$2:$AQ$1001,MATCH(ROWS($U$2:U413),$U$2:$U$1001,0),MATCH(COLUMNS($AB$1006:AM1006),$AB$1006:$AQ$1006,0)), HYPERLINK("#",""), HYPERLINK(CONCATENATE("#Metadata!", ADDRESS(INDEX($W$2:$W$1001,MATCH(ROWS($U$2:U413),$U$2:$U$1001,0),0), INDEX($AB$1004:$AQ$1004,1,MATCH(COLUMNS($AB$1006:AM1006),$AB$1006:$AQ$1006,0)))),"Fix")))</f>
        <v>0</v>
      </c>
      <c r="N413" s="5">
        <f>IF(OR(INDEX($V$2:$V$1001,MATCH(ROWS($U$2:U413),$U$2:$U$1001,0),1)&gt;=100000,INDEX($AB$1005:$AQ$1005,1,MATCH(COLUMNS($AB$1006:AN1006),$AB$1006:$AQ$1006,0))&gt;=100000), " ",IF(INDEX($AB$2:$AQ$1001,MATCH(ROWS($U$2:U413),$U$2:$U$1001,0),MATCH(COLUMNS($AB$1006:AN1006),$AB$1006:$AQ$1006,0)), HYPERLINK("#",""), HYPERLINK(CONCATENATE("#Metadata!", ADDRESS(INDEX($W$2:$W$1001,MATCH(ROWS($U$2:U413),$U$2:$U$1001,0),0), INDEX($AB$1004:$AQ$1004,1,MATCH(COLUMNS($AB$1006:AN1006),$AB$1006:$AQ$1006,0)))),"Fix")))</f>
        <v>0</v>
      </c>
      <c r="O413" s="5">
        <f>IF(OR(INDEX($V$2:$V$1001,MATCH(ROWS($U$2:U413),$U$2:$U$1001,0),1)&gt;=100000,INDEX($AB$1005:$AQ$1005,1,MATCH(COLUMNS($AB$1006:AO1006),$AB$1006:$AQ$1006,0))&gt;=100000), " ",IF(INDEX($AB$2:$AQ$1001,MATCH(ROWS($U$2:U413),$U$2:$U$1001,0),MATCH(COLUMNS($AB$1006:AO1006),$AB$1006:$AQ$1006,0)), HYPERLINK("#",""), HYPERLINK(CONCATENATE("#Metadata!", ADDRESS(INDEX($W$2:$W$1001,MATCH(ROWS($U$2:U413),$U$2:$U$1001,0),0), INDEX($AB$1004:$AQ$1004,1,MATCH(COLUMNS($AB$1006:AO1006),$AB$1006:$AQ$1006,0)))),"Fix")))</f>
        <v>0</v>
      </c>
      <c r="P413" s="5">
        <f>IF(OR(INDEX($V$2:$V$1001,MATCH(ROWS($U$2:U413),$U$2:$U$1001,0),1)&gt;=100000,INDEX($AB$1005:$AQ$1005,1,MATCH(COLUMNS($AB$1006:AP1006),$AB$1006:$AQ$1006,0))&gt;=100000), " ",IF(INDEX($AB$2:$AQ$1001,MATCH(ROWS($U$2:U413),$U$2:$U$1001,0),MATCH(COLUMNS($AB$1006:AP1006),$AB$1006:$AQ$1006,0)), HYPERLINK("#",""), HYPERLINK(CONCATENATE("#Metadata!", ADDRESS(INDEX($W$2:$W$1001,MATCH(ROWS($U$2:U413),$U$2:$U$1001,0),0), INDEX($AB$1004:$AQ$1004,1,MATCH(COLUMNS($AB$1006:AP1006),$AB$1006:$AQ$1006,0)))),"Fix")))</f>
        <v>0</v>
      </c>
      <c r="Q413" s="5">
        <f>IF(OR(INDEX($V$2:$V$1001,MATCH(ROWS($U$2:U413),$U$2:$U$1001,0),1)&gt;=100000,INDEX($AB$1005:$AQ$1005,1,MATCH(COLUMNS($AB$1006:AQ1006),$AB$1006:$AQ$1006,0))&gt;=100000), " ",IF(INDEX($AB$2:$AQ$1001,MATCH(ROWS($U$2:U413),$U$2:$U$1001,0),MATCH(COLUMNS($AB$1006:AQ1006),$AB$1006:$AQ$1006,0)), HYPERLINK("#",""), HYPERLINK(CONCATENATE("#Metadata!", ADDRESS(INDEX($W$2:$W$1001,MATCH(ROWS($U$2:U413),$U$2:$U$1001,0),0), INDEX($AB$1004:$AQ$1004,1,MATCH(COLUMNS($AB$1006:AQ1006),$AB$1006:$AQ$1006,0)))),"Fix")))</f>
        <v>0</v>
      </c>
      <c r="U413">
        <v>0</v>
      </c>
      <c r="V413">
        <v>0</v>
      </c>
      <c r="W413">
        <v>0</v>
      </c>
      <c r="X413">
        <f>IF(Y413,TRUE,AND(AB413:AQ413))</f>
        <v>0</v>
      </c>
      <c r="Y413">
        <f>COUNTBLANK(Metadata!B413:Q413)=COLUMNS(Metadata!B413:Q413)</f>
        <v>0</v>
      </c>
      <c r="Z413">
        <v>0</v>
      </c>
      <c r="AB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AC413">
        <f>AND(IF(Metadata!C413="",FALSE,TRUE),exact(Metadata!C413,"urban biome"))</f>
        <v>0</v>
      </c>
      <c r="AD413">
        <f>AND(IF(Metadata!D413="",FALSE,TRUE),exact(Metadata!D413,"human-associated habitat"))</f>
        <v>0</v>
      </c>
      <c r="AE413">
        <f>AND(IF(Metadata!E413="",FALSE,TRUE),OR(exact(Metadata!E413,"human-associated"),exact(Metadata!E413,"human-skin"),exact(Metadata!E413,"human-oral"),exact(Metadata!E413,"human-gut"),exact(Metadata!E413,"human-vaginal")))</f>
        <v>0</v>
      </c>
      <c r="AF413">
        <f>AND(IF(Metadata!F413="",FALSE,ISNUMBER(VALUE(Metadata!F413))),Metadata!F413&gt;0)</f>
        <v>0</v>
      </c>
      <c r="AG413">
        <f>AND(IF(Metadata!G413="",FALSE,TRUE),exact(Metadata!G413,"years"))</f>
        <v>0</v>
      </c>
      <c r="AH413">
        <f>OR(AND(IF(Metadata!H413="",FALSE,TRUE),OR(exact(Metadata!H413,"not applicable"),exact(Metadata!H413,"not collected"),exact(Metadata!H413,"not provided"),exact(Metadata!H413,"restricted access"))),AND(IF(Metadata!H413="",FALSE,ISNUMBER(VALUE(Metadata!H413))),Metadata!H413&gt;0))</f>
        <v>0</v>
      </c>
      <c r="AI413">
        <f>AND(IF(Metadata!I413="",FALSE,TRUE),exact(Metadata!I413,"human"))</f>
        <v>0</v>
      </c>
      <c r="AJ413">
        <f>AND(IF(Metadata!J413="",FALSE,ISNUMBER(VALUE(Metadata!J413))),Metadata!J413&gt;0)</f>
        <v>0</v>
      </c>
      <c r="AK413">
        <f>AND(IF(Metadata!K413="",FALSE,TRUE),exact(Metadata!K413,"cm"))</f>
        <v>0</v>
      </c>
      <c r="AL413">
        <f>AND(IF(Metadata!L413="",FALSE,TRUE),exact(Metadata!L413,"Homo sapiens"))</f>
        <v>0</v>
      </c>
      <c r="AM413">
        <f>AND(IF(Metadata!M413="",FALSE,TRUE),exact(Metadata!M413,"9606"))</f>
        <v>0</v>
      </c>
      <c r="AN413">
        <f>AND(IF(Metadata!N413="",FALSE,ISNUMBER(VALUE(Metadata!N413))),Metadata!N413&gt;0)</f>
        <v>0</v>
      </c>
      <c r="AO413">
        <f>AND(IF(Metadata!O413="",FALSE,TRUE),exact(Metadata!O413,"kg"))</f>
        <v>0</v>
      </c>
      <c r="AP413">
        <f>OR(AND(IF(Metadata!P413="",FALSE,TRUE),exact(Metadata!P413,"not provided")),IF(Metadata!P413="",FALSE,TRUE))</f>
        <v>0</v>
      </c>
      <c r="AQ413">
        <f>OR(AND(IF(Metadata!Q413="",FALSE,TRUE),exact(Metadata!Q413,"not provided")),IF(Metadata!Q413="",FALSE,TRUE))</f>
        <v>0</v>
      </c>
    </row>
    <row r="414" spans="1:43">
      <c r="A414" s="4">
        <f>IF(B414=" "," ",HYPERLINK(CONCATENATE("#metadata!",ADDRESS(INDEX($W$2:$W$1001,MATCH(ROWS($U$2:U414),$U$2:$U$1001,0),0),2)),INDEX($Z$2:$Z$1001,MATCH(ROWS($U$2:U414),$U$2:$U$1001,0),0)))</f>
        <v>0</v>
      </c>
      <c r="B414" s="5">
        <f>IF(OR(INDEX($V$2:$V$1001,MATCH(ROWS($U$2:U414),$U$2:$U$1001,0),1)&gt;=100000,INDEX($AB$1005:$AQ$1005,1,MATCH(COLUMNS($AB$1006:AB1006),$AB$1006:$AQ$1006,0))&gt;=100000), " ",IF(INDEX($AB$2:$AQ$1001,MATCH(ROWS($U$2:U414),$U$2:$U$1001,0),MATCH(COLUMNS($AB$1006:AB1006),$AB$1006:$AQ$1006,0)), HYPERLINK("#",""), HYPERLINK(CONCATENATE("#Metadata!", ADDRESS(INDEX($W$2:$W$1001,MATCH(ROWS($U$2:U414),$U$2:$U$1001,0),0), INDEX($AB$1004:$AQ$1004,1,MATCH(COLUMNS($AB$1006:AB1006),$AB$1006:$AQ$1006,0)))),"Fix")))</f>
        <v>0</v>
      </c>
      <c r="C414" s="5">
        <f>IF(OR(INDEX($V$2:$V$1001,MATCH(ROWS($U$2:U414),$U$2:$U$1001,0),1)&gt;=100000,INDEX($AB$1005:$AQ$1005,1,MATCH(COLUMNS($AB$1006:AC1006),$AB$1006:$AQ$1006,0))&gt;=100000), " ",IF(INDEX($AB$2:$AQ$1001,MATCH(ROWS($U$2:U414),$U$2:$U$1001,0),MATCH(COLUMNS($AB$1006:AC1006),$AB$1006:$AQ$1006,0)), HYPERLINK("#",""), HYPERLINK(CONCATENATE("#Metadata!", ADDRESS(INDEX($W$2:$W$1001,MATCH(ROWS($U$2:U414),$U$2:$U$1001,0),0), INDEX($AB$1004:$AQ$1004,1,MATCH(COLUMNS($AB$1006:AC1006),$AB$1006:$AQ$1006,0)))),"Fix")))</f>
        <v>0</v>
      </c>
      <c r="D414" s="5">
        <f>IF(OR(INDEX($V$2:$V$1001,MATCH(ROWS($U$2:U414),$U$2:$U$1001,0),1)&gt;=100000,INDEX($AB$1005:$AQ$1005,1,MATCH(COLUMNS($AB$1006:AD1006),$AB$1006:$AQ$1006,0))&gt;=100000), " ",IF(INDEX($AB$2:$AQ$1001,MATCH(ROWS($U$2:U414),$U$2:$U$1001,0),MATCH(COLUMNS($AB$1006:AD1006),$AB$1006:$AQ$1006,0)), HYPERLINK("#",""), HYPERLINK(CONCATENATE("#Metadata!", ADDRESS(INDEX($W$2:$W$1001,MATCH(ROWS($U$2:U414),$U$2:$U$1001,0),0), INDEX($AB$1004:$AQ$1004,1,MATCH(COLUMNS($AB$1006:AD1006),$AB$1006:$AQ$1006,0)))),"Fix")))</f>
        <v>0</v>
      </c>
      <c r="E414" s="5">
        <f>IF(OR(INDEX($V$2:$V$1001,MATCH(ROWS($U$2:U414),$U$2:$U$1001,0),1)&gt;=100000,INDEX($AB$1005:$AQ$1005,1,MATCH(COLUMNS($AB$1006:AE1006),$AB$1006:$AQ$1006,0))&gt;=100000), " ",IF(INDEX($AB$2:$AQ$1001,MATCH(ROWS($U$2:U414),$U$2:$U$1001,0),MATCH(COLUMNS($AB$1006:AE1006),$AB$1006:$AQ$1006,0)), HYPERLINK("#",""), HYPERLINK(CONCATENATE("#Metadata!", ADDRESS(INDEX($W$2:$W$1001,MATCH(ROWS($U$2:U414),$U$2:$U$1001,0),0), INDEX($AB$1004:$AQ$1004,1,MATCH(COLUMNS($AB$1006:AE1006),$AB$1006:$AQ$1006,0)))),"Fix")))</f>
        <v>0</v>
      </c>
      <c r="F414" s="5">
        <f>IF(OR(INDEX($V$2:$V$1001,MATCH(ROWS($U$2:U414),$U$2:$U$1001,0),1)&gt;=100000,INDEX($AB$1005:$AQ$1005,1,MATCH(COLUMNS($AB$1006:AF1006),$AB$1006:$AQ$1006,0))&gt;=100000), " ",IF(INDEX($AB$2:$AQ$1001,MATCH(ROWS($U$2:U414),$U$2:$U$1001,0),MATCH(COLUMNS($AB$1006:AF1006),$AB$1006:$AQ$1006,0)), HYPERLINK("#",""), HYPERLINK(CONCATENATE("#Metadata!", ADDRESS(INDEX($W$2:$W$1001,MATCH(ROWS($U$2:U414),$U$2:$U$1001,0),0), INDEX($AB$1004:$AQ$1004,1,MATCH(COLUMNS($AB$1006:AF1006),$AB$1006:$AQ$1006,0)))),"Fix")))</f>
        <v>0</v>
      </c>
      <c r="G414" s="5">
        <f>IF(OR(INDEX($V$2:$V$1001,MATCH(ROWS($U$2:U414),$U$2:$U$1001,0),1)&gt;=100000,INDEX($AB$1005:$AQ$1005,1,MATCH(COLUMNS($AB$1006:AG1006),$AB$1006:$AQ$1006,0))&gt;=100000), " ",IF(INDEX($AB$2:$AQ$1001,MATCH(ROWS($U$2:U414),$U$2:$U$1001,0),MATCH(COLUMNS($AB$1006:AG1006),$AB$1006:$AQ$1006,0)), HYPERLINK("#",""), HYPERLINK(CONCATENATE("#Metadata!", ADDRESS(INDEX($W$2:$W$1001,MATCH(ROWS($U$2:U414),$U$2:$U$1001,0),0), INDEX($AB$1004:$AQ$1004,1,MATCH(COLUMNS($AB$1006:AG1006),$AB$1006:$AQ$1006,0)))),"Fix")))</f>
        <v>0</v>
      </c>
      <c r="H414" s="5">
        <f>IF(OR(INDEX($V$2:$V$1001,MATCH(ROWS($U$2:U414),$U$2:$U$1001,0),1)&gt;=100000,INDEX($AB$1005:$AQ$1005,1,MATCH(COLUMNS($AB$1006:AH1006),$AB$1006:$AQ$1006,0))&gt;=100000), " ",IF(INDEX($AB$2:$AQ$1001,MATCH(ROWS($U$2:U414),$U$2:$U$1001,0),MATCH(COLUMNS($AB$1006:AH1006),$AB$1006:$AQ$1006,0)), HYPERLINK("#",""), HYPERLINK(CONCATENATE("#Metadata!", ADDRESS(INDEX($W$2:$W$1001,MATCH(ROWS($U$2:U414),$U$2:$U$1001,0),0), INDEX($AB$1004:$AQ$1004,1,MATCH(COLUMNS($AB$1006:AH1006),$AB$1006:$AQ$1006,0)))),"Fix")))</f>
        <v>0</v>
      </c>
      <c r="I414" s="5">
        <f>IF(OR(INDEX($V$2:$V$1001,MATCH(ROWS($U$2:U414),$U$2:$U$1001,0),1)&gt;=100000,INDEX($AB$1005:$AQ$1005,1,MATCH(COLUMNS($AB$1006:AI1006),$AB$1006:$AQ$1006,0))&gt;=100000), " ",IF(INDEX($AB$2:$AQ$1001,MATCH(ROWS($U$2:U414),$U$2:$U$1001,0),MATCH(COLUMNS($AB$1006:AI1006),$AB$1006:$AQ$1006,0)), HYPERLINK("#",""), HYPERLINK(CONCATENATE("#Metadata!", ADDRESS(INDEX($W$2:$W$1001,MATCH(ROWS($U$2:U414),$U$2:$U$1001,0),0), INDEX($AB$1004:$AQ$1004,1,MATCH(COLUMNS($AB$1006:AI1006),$AB$1006:$AQ$1006,0)))),"Fix")))</f>
        <v>0</v>
      </c>
      <c r="J414" s="5">
        <f>IF(OR(INDEX($V$2:$V$1001,MATCH(ROWS($U$2:U414),$U$2:$U$1001,0),1)&gt;=100000,INDEX($AB$1005:$AQ$1005,1,MATCH(COLUMNS($AB$1006:AJ1006),$AB$1006:$AQ$1006,0))&gt;=100000), " ",IF(INDEX($AB$2:$AQ$1001,MATCH(ROWS($U$2:U414),$U$2:$U$1001,0),MATCH(COLUMNS($AB$1006:AJ1006),$AB$1006:$AQ$1006,0)), HYPERLINK("#",""), HYPERLINK(CONCATENATE("#Metadata!", ADDRESS(INDEX($W$2:$W$1001,MATCH(ROWS($U$2:U414),$U$2:$U$1001,0),0), INDEX($AB$1004:$AQ$1004,1,MATCH(COLUMNS($AB$1006:AJ1006),$AB$1006:$AQ$1006,0)))),"Fix")))</f>
        <v>0</v>
      </c>
      <c r="K414" s="5">
        <f>IF(OR(INDEX($V$2:$V$1001,MATCH(ROWS($U$2:U414),$U$2:$U$1001,0),1)&gt;=100000,INDEX($AB$1005:$AQ$1005,1,MATCH(COLUMNS($AB$1006:AK1006),$AB$1006:$AQ$1006,0))&gt;=100000), " ",IF(INDEX($AB$2:$AQ$1001,MATCH(ROWS($U$2:U414),$U$2:$U$1001,0),MATCH(COLUMNS($AB$1006:AK1006),$AB$1006:$AQ$1006,0)), HYPERLINK("#",""), HYPERLINK(CONCATENATE("#Metadata!", ADDRESS(INDEX($W$2:$W$1001,MATCH(ROWS($U$2:U414),$U$2:$U$1001,0),0), INDEX($AB$1004:$AQ$1004,1,MATCH(COLUMNS($AB$1006:AK1006),$AB$1006:$AQ$1006,0)))),"Fix")))</f>
        <v>0</v>
      </c>
      <c r="L414" s="5">
        <f>IF(OR(INDEX($V$2:$V$1001,MATCH(ROWS($U$2:U414),$U$2:$U$1001,0),1)&gt;=100000,INDEX($AB$1005:$AQ$1005,1,MATCH(COLUMNS($AB$1006:AL1006),$AB$1006:$AQ$1006,0))&gt;=100000), " ",IF(INDEX($AB$2:$AQ$1001,MATCH(ROWS($U$2:U414),$U$2:$U$1001,0),MATCH(COLUMNS($AB$1006:AL1006),$AB$1006:$AQ$1006,0)), HYPERLINK("#",""), HYPERLINK(CONCATENATE("#Metadata!", ADDRESS(INDEX($W$2:$W$1001,MATCH(ROWS($U$2:U414),$U$2:$U$1001,0),0), INDEX($AB$1004:$AQ$1004,1,MATCH(COLUMNS($AB$1006:AL1006),$AB$1006:$AQ$1006,0)))),"Fix")))</f>
        <v>0</v>
      </c>
      <c r="M414" s="5">
        <f>IF(OR(INDEX($V$2:$V$1001,MATCH(ROWS($U$2:U414),$U$2:$U$1001,0),1)&gt;=100000,INDEX($AB$1005:$AQ$1005,1,MATCH(COLUMNS($AB$1006:AM1006),$AB$1006:$AQ$1006,0))&gt;=100000), " ",IF(INDEX($AB$2:$AQ$1001,MATCH(ROWS($U$2:U414),$U$2:$U$1001,0),MATCH(COLUMNS($AB$1006:AM1006),$AB$1006:$AQ$1006,0)), HYPERLINK("#",""), HYPERLINK(CONCATENATE("#Metadata!", ADDRESS(INDEX($W$2:$W$1001,MATCH(ROWS($U$2:U414),$U$2:$U$1001,0),0), INDEX($AB$1004:$AQ$1004,1,MATCH(COLUMNS($AB$1006:AM1006),$AB$1006:$AQ$1006,0)))),"Fix")))</f>
        <v>0</v>
      </c>
      <c r="N414" s="5">
        <f>IF(OR(INDEX($V$2:$V$1001,MATCH(ROWS($U$2:U414),$U$2:$U$1001,0),1)&gt;=100000,INDEX($AB$1005:$AQ$1005,1,MATCH(COLUMNS($AB$1006:AN1006),$AB$1006:$AQ$1006,0))&gt;=100000), " ",IF(INDEX($AB$2:$AQ$1001,MATCH(ROWS($U$2:U414),$U$2:$U$1001,0),MATCH(COLUMNS($AB$1006:AN1006),$AB$1006:$AQ$1006,0)), HYPERLINK("#",""), HYPERLINK(CONCATENATE("#Metadata!", ADDRESS(INDEX($W$2:$W$1001,MATCH(ROWS($U$2:U414),$U$2:$U$1001,0),0), INDEX($AB$1004:$AQ$1004,1,MATCH(COLUMNS($AB$1006:AN1006),$AB$1006:$AQ$1006,0)))),"Fix")))</f>
        <v>0</v>
      </c>
      <c r="O414" s="5">
        <f>IF(OR(INDEX($V$2:$V$1001,MATCH(ROWS($U$2:U414),$U$2:$U$1001,0),1)&gt;=100000,INDEX($AB$1005:$AQ$1005,1,MATCH(COLUMNS($AB$1006:AO1006),$AB$1006:$AQ$1006,0))&gt;=100000), " ",IF(INDEX($AB$2:$AQ$1001,MATCH(ROWS($U$2:U414),$U$2:$U$1001,0),MATCH(COLUMNS($AB$1006:AO1006),$AB$1006:$AQ$1006,0)), HYPERLINK("#",""), HYPERLINK(CONCATENATE("#Metadata!", ADDRESS(INDEX($W$2:$W$1001,MATCH(ROWS($U$2:U414),$U$2:$U$1001,0),0), INDEX($AB$1004:$AQ$1004,1,MATCH(COLUMNS($AB$1006:AO1006),$AB$1006:$AQ$1006,0)))),"Fix")))</f>
        <v>0</v>
      </c>
      <c r="P414" s="5">
        <f>IF(OR(INDEX($V$2:$V$1001,MATCH(ROWS($U$2:U414),$U$2:$U$1001,0),1)&gt;=100000,INDEX($AB$1005:$AQ$1005,1,MATCH(COLUMNS($AB$1006:AP1006),$AB$1006:$AQ$1006,0))&gt;=100000), " ",IF(INDEX($AB$2:$AQ$1001,MATCH(ROWS($U$2:U414),$U$2:$U$1001,0),MATCH(COLUMNS($AB$1006:AP1006),$AB$1006:$AQ$1006,0)), HYPERLINK("#",""), HYPERLINK(CONCATENATE("#Metadata!", ADDRESS(INDEX($W$2:$W$1001,MATCH(ROWS($U$2:U414),$U$2:$U$1001,0),0), INDEX($AB$1004:$AQ$1004,1,MATCH(COLUMNS($AB$1006:AP1006),$AB$1006:$AQ$1006,0)))),"Fix")))</f>
        <v>0</v>
      </c>
      <c r="Q414" s="5">
        <f>IF(OR(INDEX($V$2:$V$1001,MATCH(ROWS($U$2:U414),$U$2:$U$1001,0),1)&gt;=100000,INDEX($AB$1005:$AQ$1005,1,MATCH(COLUMNS($AB$1006:AQ1006),$AB$1006:$AQ$1006,0))&gt;=100000), " ",IF(INDEX($AB$2:$AQ$1001,MATCH(ROWS($U$2:U414),$U$2:$U$1001,0),MATCH(COLUMNS($AB$1006:AQ1006),$AB$1006:$AQ$1006,0)), HYPERLINK("#",""), HYPERLINK(CONCATENATE("#Metadata!", ADDRESS(INDEX($W$2:$W$1001,MATCH(ROWS($U$2:U414),$U$2:$U$1001,0),0), INDEX($AB$1004:$AQ$1004,1,MATCH(COLUMNS($AB$1006:AQ1006),$AB$1006:$AQ$1006,0)))),"Fix")))</f>
        <v>0</v>
      </c>
      <c r="U414">
        <v>0</v>
      </c>
      <c r="V414">
        <v>0</v>
      </c>
      <c r="W414">
        <v>0</v>
      </c>
      <c r="X414">
        <f>IF(Y414,TRUE,AND(AB414:AQ414))</f>
        <v>0</v>
      </c>
      <c r="Y414">
        <f>COUNTBLANK(Metadata!B414:Q414)=COLUMNS(Metadata!B414:Q414)</f>
        <v>0</v>
      </c>
      <c r="Z414">
        <v>0</v>
      </c>
      <c r="AB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AC414">
        <f>AND(IF(Metadata!C414="",FALSE,TRUE),exact(Metadata!C414,"urban biome"))</f>
        <v>0</v>
      </c>
      <c r="AD414">
        <f>AND(IF(Metadata!D414="",FALSE,TRUE),exact(Metadata!D414,"human-associated habitat"))</f>
        <v>0</v>
      </c>
      <c r="AE414">
        <f>AND(IF(Metadata!E414="",FALSE,TRUE),OR(exact(Metadata!E414,"human-associated"),exact(Metadata!E414,"human-skin"),exact(Metadata!E414,"human-oral"),exact(Metadata!E414,"human-gut"),exact(Metadata!E414,"human-vaginal")))</f>
        <v>0</v>
      </c>
      <c r="AF414">
        <f>AND(IF(Metadata!F414="",FALSE,ISNUMBER(VALUE(Metadata!F414))),Metadata!F414&gt;0)</f>
        <v>0</v>
      </c>
      <c r="AG414">
        <f>AND(IF(Metadata!G414="",FALSE,TRUE),exact(Metadata!G414,"years"))</f>
        <v>0</v>
      </c>
      <c r="AH414">
        <f>OR(AND(IF(Metadata!H414="",FALSE,TRUE),OR(exact(Metadata!H414,"not applicable"),exact(Metadata!H414,"not collected"),exact(Metadata!H414,"not provided"),exact(Metadata!H414,"restricted access"))),AND(IF(Metadata!H414="",FALSE,ISNUMBER(VALUE(Metadata!H414))),Metadata!H414&gt;0))</f>
        <v>0</v>
      </c>
      <c r="AI414">
        <f>AND(IF(Metadata!I414="",FALSE,TRUE),exact(Metadata!I414,"human"))</f>
        <v>0</v>
      </c>
      <c r="AJ414">
        <f>AND(IF(Metadata!J414="",FALSE,ISNUMBER(VALUE(Metadata!J414))),Metadata!J414&gt;0)</f>
        <v>0</v>
      </c>
      <c r="AK414">
        <f>AND(IF(Metadata!K414="",FALSE,TRUE),exact(Metadata!K414,"cm"))</f>
        <v>0</v>
      </c>
      <c r="AL414">
        <f>AND(IF(Metadata!L414="",FALSE,TRUE),exact(Metadata!L414,"Homo sapiens"))</f>
        <v>0</v>
      </c>
      <c r="AM414">
        <f>AND(IF(Metadata!M414="",FALSE,TRUE),exact(Metadata!M414,"9606"))</f>
        <v>0</v>
      </c>
      <c r="AN414">
        <f>AND(IF(Metadata!N414="",FALSE,ISNUMBER(VALUE(Metadata!N414))),Metadata!N414&gt;0)</f>
        <v>0</v>
      </c>
      <c r="AO414">
        <f>AND(IF(Metadata!O414="",FALSE,TRUE),exact(Metadata!O414,"kg"))</f>
        <v>0</v>
      </c>
      <c r="AP414">
        <f>OR(AND(IF(Metadata!P414="",FALSE,TRUE),exact(Metadata!P414,"not provided")),IF(Metadata!P414="",FALSE,TRUE))</f>
        <v>0</v>
      </c>
      <c r="AQ414">
        <f>OR(AND(IF(Metadata!Q414="",FALSE,TRUE),exact(Metadata!Q414,"not provided")),IF(Metadata!Q414="",FALSE,TRUE))</f>
        <v>0</v>
      </c>
    </row>
    <row r="415" spans="1:43">
      <c r="A415" s="4">
        <f>IF(B415=" "," ",HYPERLINK(CONCATENATE("#metadata!",ADDRESS(INDEX($W$2:$W$1001,MATCH(ROWS($U$2:U415),$U$2:$U$1001,0),0),2)),INDEX($Z$2:$Z$1001,MATCH(ROWS($U$2:U415),$U$2:$U$1001,0),0)))</f>
        <v>0</v>
      </c>
      <c r="B415" s="5">
        <f>IF(OR(INDEX($V$2:$V$1001,MATCH(ROWS($U$2:U415),$U$2:$U$1001,0),1)&gt;=100000,INDEX($AB$1005:$AQ$1005,1,MATCH(COLUMNS($AB$1006:AB1006),$AB$1006:$AQ$1006,0))&gt;=100000), " ",IF(INDEX($AB$2:$AQ$1001,MATCH(ROWS($U$2:U415),$U$2:$U$1001,0),MATCH(COLUMNS($AB$1006:AB1006),$AB$1006:$AQ$1006,0)), HYPERLINK("#",""), HYPERLINK(CONCATENATE("#Metadata!", ADDRESS(INDEX($W$2:$W$1001,MATCH(ROWS($U$2:U415),$U$2:$U$1001,0),0), INDEX($AB$1004:$AQ$1004,1,MATCH(COLUMNS($AB$1006:AB1006),$AB$1006:$AQ$1006,0)))),"Fix")))</f>
        <v>0</v>
      </c>
      <c r="C415" s="5">
        <f>IF(OR(INDEX($V$2:$V$1001,MATCH(ROWS($U$2:U415),$U$2:$U$1001,0),1)&gt;=100000,INDEX($AB$1005:$AQ$1005,1,MATCH(COLUMNS($AB$1006:AC1006),$AB$1006:$AQ$1006,0))&gt;=100000), " ",IF(INDEX($AB$2:$AQ$1001,MATCH(ROWS($U$2:U415),$U$2:$U$1001,0),MATCH(COLUMNS($AB$1006:AC1006),$AB$1006:$AQ$1006,0)), HYPERLINK("#",""), HYPERLINK(CONCATENATE("#Metadata!", ADDRESS(INDEX($W$2:$W$1001,MATCH(ROWS($U$2:U415),$U$2:$U$1001,0),0), INDEX($AB$1004:$AQ$1004,1,MATCH(COLUMNS($AB$1006:AC1006),$AB$1006:$AQ$1006,0)))),"Fix")))</f>
        <v>0</v>
      </c>
      <c r="D415" s="5">
        <f>IF(OR(INDEX($V$2:$V$1001,MATCH(ROWS($U$2:U415),$U$2:$U$1001,0),1)&gt;=100000,INDEX($AB$1005:$AQ$1005,1,MATCH(COLUMNS($AB$1006:AD1006),$AB$1006:$AQ$1006,0))&gt;=100000), " ",IF(INDEX($AB$2:$AQ$1001,MATCH(ROWS($U$2:U415),$U$2:$U$1001,0),MATCH(COLUMNS($AB$1006:AD1006),$AB$1006:$AQ$1006,0)), HYPERLINK("#",""), HYPERLINK(CONCATENATE("#Metadata!", ADDRESS(INDEX($W$2:$W$1001,MATCH(ROWS($U$2:U415),$U$2:$U$1001,0),0), INDEX($AB$1004:$AQ$1004,1,MATCH(COLUMNS($AB$1006:AD1006),$AB$1006:$AQ$1006,0)))),"Fix")))</f>
        <v>0</v>
      </c>
      <c r="E415" s="5">
        <f>IF(OR(INDEX($V$2:$V$1001,MATCH(ROWS($U$2:U415),$U$2:$U$1001,0),1)&gt;=100000,INDEX($AB$1005:$AQ$1005,1,MATCH(COLUMNS($AB$1006:AE1006),$AB$1006:$AQ$1006,0))&gt;=100000), " ",IF(INDEX($AB$2:$AQ$1001,MATCH(ROWS($U$2:U415),$U$2:$U$1001,0),MATCH(COLUMNS($AB$1006:AE1006),$AB$1006:$AQ$1006,0)), HYPERLINK("#",""), HYPERLINK(CONCATENATE("#Metadata!", ADDRESS(INDEX($W$2:$W$1001,MATCH(ROWS($U$2:U415),$U$2:$U$1001,0),0), INDEX($AB$1004:$AQ$1004,1,MATCH(COLUMNS($AB$1006:AE1006),$AB$1006:$AQ$1006,0)))),"Fix")))</f>
        <v>0</v>
      </c>
      <c r="F415" s="5">
        <f>IF(OR(INDEX($V$2:$V$1001,MATCH(ROWS($U$2:U415),$U$2:$U$1001,0),1)&gt;=100000,INDEX($AB$1005:$AQ$1005,1,MATCH(COLUMNS($AB$1006:AF1006),$AB$1006:$AQ$1006,0))&gt;=100000), " ",IF(INDEX($AB$2:$AQ$1001,MATCH(ROWS($U$2:U415),$U$2:$U$1001,0),MATCH(COLUMNS($AB$1006:AF1006),$AB$1006:$AQ$1006,0)), HYPERLINK("#",""), HYPERLINK(CONCATENATE("#Metadata!", ADDRESS(INDEX($W$2:$W$1001,MATCH(ROWS($U$2:U415),$U$2:$U$1001,0),0), INDEX($AB$1004:$AQ$1004,1,MATCH(COLUMNS($AB$1006:AF1006),$AB$1006:$AQ$1006,0)))),"Fix")))</f>
        <v>0</v>
      </c>
      <c r="G415" s="5">
        <f>IF(OR(INDEX($V$2:$V$1001,MATCH(ROWS($U$2:U415),$U$2:$U$1001,0),1)&gt;=100000,INDEX($AB$1005:$AQ$1005,1,MATCH(COLUMNS($AB$1006:AG1006),$AB$1006:$AQ$1006,0))&gt;=100000), " ",IF(INDEX($AB$2:$AQ$1001,MATCH(ROWS($U$2:U415),$U$2:$U$1001,0),MATCH(COLUMNS($AB$1006:AG1006),$AB$1006:$AQ$1006,0)), HYPERLINK("#",""), HYPERLINK(CONCATENATE("#Metadata!", ADDRESS(INDEX($W$2:$W$1001,MATCH(ROWS($U$2:U415),$U$2:$U$1001,0),0), INDEX($AB$1004:$AQ$1004,1,MATCH(COLUMNS($AB$1006:AG1006),$AB$1006:$AQ$1006,0)))),"Fix")))</f>
        <v>0</v>
      </c>
      <c r="H415" s="5">
        <f>IF(OR(INDEX($V$2:$V$1001,MATCH(ROWS($U$2:U415),$U$2:$U$1001,0),1)&gt;=100000,INDEX($AB$1005:$AQ$1005,1,MATCH(COLUMNS($AB$1006:AH1006),$AB$1006:$AQ$1006,0))&gt;=100000), " ",IF(INDEX($AB$2:$AQ$1001,MATCH(ROWS($U$2:U415),$U$2:$U$1001,0),MATCH(COLUMNS($AB$1006:AH1006),$AB$1006:$AQ$1006,0)), HYPERLINK("#",""), HYPERLINK(CONCATENATE("#Metadata!", ADDRESS(INDEX($W$2:$W$1001,MATCH(ROWS($U$2:U415),$U$2:$U$1001,0),0), INDEX($AB$1004:$AQ$1004,1,MATCH(COLUMNS($AB$1006:AH1006),$AB$1006:$AQ$1006,0)))),"Fix")))</f>
        <v>0</v>
      </c>
      <c r="I415" s="5">
        <f>IF(OR(INDEX($V$2:$V$1001,MATCH(ROWS($U$2:U415),$U$2:$U$1001,0),1)&gt;=100000,INDEX($AB$1005:$AQ$1005,1,MATCH(COLUMNS($AB$1006:AI1006),$AB$1006:$AQ$1006,0))&gt;=100000), " ",IF(INDEX($AB$2:$AQ$1001,MATCH(ROWS($U$2:U415),$U$2:$U$1001,0),MATCH(COLUMNS($AB$1006:AI1006),$AB$1006:$AQ$1006,0)), HYPERLINK("#",""), HYPERLINK(CONCATENATE("#Metadata!", ADDRESS(INDEX($W$2:$W$1001,MATCH(ROWS($U$2:U415),$U$2:$U$1001,0),0), INDEX($AB$1004:$AQ$1004,1,MATCH(COLUMNS($AB$1006:AI1006),$AB$1006:$AQ$1006,0)))),"Fix")))</f>
        <v>0</v>
      </c>
      <c r="J415" s="5">
        <f>IF(OR(INDEX($V$2:$V$1001,MATCH(ROWS($U$2:U415),$U$2:$U$1001,0),1)&gt;=100000,INDEX($AB$1005:$AQ$1005,1,MATCH(COLUMNS($AB$1006:AJ1006),$AB$1006:$AQ$1006,0))&gt;=100000), " ",IF(INDEX($AB$2:$AQ$1001,MATCH(ROWS($U$2:U415),$U$2:$U$1001,0),MATCH(COLUMNS($AB$1006:AJ1006),$AB$1006:$AQ$1006,0)), HYPERLINK("#",""), HYPERLINK(CONCATENATE("#Metadata!", ADDRESS(INDEX($W$2:$W$1001,MATCH(ROWS($U$2:U415),$U$2:$U$1001,0),0), INDEX($AB$1004:$AQ$1004,1,MATCH(COLUMNS($AB$1006:AJ1006),$AB$1006:$AQ$1006,0)))),"Fix")))</f>
        <v>0</v>
      </c>
      <c r="K415" s="5">
        <f>IF(OR(INDEX($V$2:$V$1001,MATCH(ROWS($U$2:U415),$U$2:$U$1001,0),1)&gt;=100000,INDEX($AB$1005:$AQ$1005,1,MATCH(COLUMNS($AB$1006:AK1006),$AB$1006:$AQ$1006,0))&gt;=100000), " ",IF(INDEX($AB$2:$AQ$1001,MATCH(ROWS($U$2:U415),$U$2:$U$1001,0),MATCH(COLUMNS($AB$1006:AK1006),$AB$1006:$AQ$1006,0)), HYPERLINK("#",""), HYPERLINK(CONCATENATE("#Metadata!", ADDRESS(INDEX($W$2:$W$1001,MATCH(ROWS($U$2:U415),$U$2:$U$1001,0),0), INDEX($AB$1004:$AQ$1004,1,MATCH(COLUMNS($AB$1006:AK1006),$AB$1006:$AQ$1006,0)))),"Fix")))</f>
        <v>0</v>
      </c>
      <c r="L415" s="5">
        <f>IF(OR(INDEX($V$2:$V$1001,MATCH(ROWS($U$2:U415),$U$2:$U$1001,0),1)&gt;=100000,INDEX($AB$1005:$AQ$1005,1,MATCH(COLUMNS($AB$1006:AL1006),$AB$1006:$AQ$1006,0))&gt;=100000), " ",IF(INDEX($AB$2:$AQ$1001,MATCH(ROWS($U$2:U415),$U$2:$U$1001,0),MATCH(COLUMNS($AB$1006:AL1006),$AB$1006:$AQ$1006,0)), HYPERLINK("#",""), HYPERLINK(CONCATENATE("#Metadata!", ADDRESS(INDEX($W$2:$W$1001,MATCH(ROWS($U$2:U415),$U$2:$U$1001,0),0), INDEX($AB$1004:$AQ$1004,1,MATCH(COLUMNS($AB$1006:AL1006),$AB$1006:$AQ$1006,0)))),"Fix")))</f>
        <v>0</v>
      </c>
      <c r="M415" s="5">
        <f>IF(OR(INDEX($V$2:$V$1001,MATCH(ROWS($U$2:U415),$U$2:$U$1001,0),1)&gt;=100000,INDEX($AB$1005:$AQ$1005,1,MATCH(COLUMNS($AB$1006:AM1006),$AB$1006:$AQ$1006,0))&gt;=100000), " ",IF(INDEX($AB$2:$AQ$1001,MATCH(ROWS($U$2:U415),$U$2:$U$1001,0),MATCH(COLUMNS($AB$1006:AM1006),$AB$1006:$AQ$1006,0)), HYPERLINK("#",""), HYPERLINK(CONCATENATE("#Metadata!", ADDRESS(INDEX($W$2:$W$1001,MATCH(ROWS($U$2:U415),$U$2:$U$1001,0),0), INDEX($AB$1004:$AQ$1004,1,MATCH(COLUMNS($AB$1006:AM1006),$AB$1006:$AQ$1006,0)))),"Fix")))</f>
        <v>0</v>
      </c>
      <c r="N415" s="5">
        <f>IF(OR(INDEX($V$2:$V$1001,MATCH(ROWS($U$2:U415),$U$2:$U$1001,0),1)&gt;=100000,INDEX($AB$1005:$AQ$1005,1,MATCH(COLUMNS($AB$1006:AN1006),$AB$1006:$AQ$1006,0))&gt;=100000), " ",IF(INDEX($AB$2:$AQ$1001,MATCH(ROWS($U$2:U415),$U$2:$U$1001,0),MATCH(COLUMNS($AB$1006:AN1006),$AB$1006:$AQ$1006,0)), HYPERLINK("#",""), HYPERLINK(CONCATENATE("#Metadata!", ADDRESS(INDEX($W$2:$W$1001,MATCH(ROWS($U$2:U415),$U$2:$U$1001,0),0), INDEX($AB$1004:$AQ$1004,1,MATCH(COLUMNS($AB$1006:AN1006),$AB$1006:$AQ$1006,0)))),"Fix")))</f>
        <v>0</v>
      </c>
      <c r="O415" s="5">
        <f>IF(OR(INDEX($V$2:$V$1001,MATCH(ROWS($U$2:U415),$U$2:$U$1001,0),1)&gt;=100000,INDEX($AB$1005:$AQ$1005,1,MATCH(COLUMNS($AB$1006:AO1006),$AB$1006:$AQ$1006,0))&gt;=100000), " ",IF(INDEX($AB$2:$AQ$1001,MATCH(ROWS($U$2:U415),$U$2:$U$1001,0),MATCH(COLUMNS($AB$1006:AO1006),$AB$1006:$AQ$1006,0)), HYPERLINK("#",""), HYPERLINK(CONCATENATE("#Metadata!", ADDRESS(INDEX($W$2:$W$1001,MATCH(ROWS($U$2:U415),$U$2:$U$1001,0),0), INDEX($AB$1004:$AQ$1004,1,MATCH(COLUMNS($AB$1006:AO1006),$AB$1006:$AQ$1006,0)))),"Fix")))</f>
        <v>0</v>
      </c>
      <c r="P415" s="5">
        <f>IF(OR(INDEX($V$2:$V$1001,MATCH(ROWS($U$2:U415),$U$2:$U$1001,0),1)&gt;=100000,INDEX($AB$1005:$AQ$1005,1,MATCH(COLUMNS($AB$1006:AP1006),$AB$1006:$AQ$1006,0))&gt;=100000), " ",IF(INDEX($AB$2:$AQ$1001,MATCH(ROWS($U$2:U415),$U$2:$U$1001,0),MATCH(COLUMNS($AB$1006:AP1006),$AB$1006:$AQ$1006,0)), HYPERLINK("#",""), HYPERLINK(CONCATENATE("#Metadata!", ADDRESS(INDEX($W$2:$W$1001,MATCH(ROWS($U$2:U415),$U$2:$U$1001,0),0), INDEX($AB$1004:$AQ$1004,1,MATCH(COLUMNS($AB$1006:AP1006),$AB$1006:$AQ$1006,0)))),"Fix")))</f>
        <v>0</v>
      </c>
      <c r="Q415" s="5">
        <f>IF(OR(INDEX($V$2:$V$1001,MATCH(ROWS($U$2:U415),$U$2:$U$1001,0),1)&gt;=100000,INDEX($AB$1005:$AQ$1005,1,MATCH(COLUMNS($AB$1006:AQ1006),$AB$1006:$AQ$1006,0))&gt;=100000), " ",IF(INDEX($AB$2:$AQ$1001,MATCH(ROWS($U$2:U415),$U$2:$U$1001,0),MATCH(COLUMNS($AB$1006:AQ1006),$AB$1006:$AQ$1006,0)), HYPERLINK("#",""), HYPERLINK(CONCATENATE("#Metadata!", ADDRESS(INDEX($W$2:$W$1001,MATCH(ROWS($U$2:U415),$U$2:$U$1001,0),0), INDEX($AB$1004:$AQ$1004,1,MATCH(COLUMNS($AB$1006:AQ1006),$AB$1006:$AQ$1006,0)))),"Fix")))</f>
        <v>0</v>
      </c>
      <c r="U415">
        <v>0</v>
      </c>
      <c r="V415">
        <v>0</v>
      </c>
      <c r="W415">
        <v>0</v>
      </c>
      <c r="X415">
        <f>IF(Y415,TRUE,AND(AB415:AQ415))</f>
        <v>0</v>
      </c>
      <c r="Y415">
        <f>COUNTBLANK(Metadata!B415:Q415)=COLUMNS(Metadata!B415:Q415)</f>
        <v>0</v>
      </c>
      <c r="Z415">
        <v>0</v>
      </c>
      <c r="AB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AC415">
        <f>AND(IF(Metadata!C415="",FALSE,TRUE),exact(Metadata!C415,"urban biome"))</f>
        <v>0</v>
      </c>
      <c r="AD415">
        <f>AND(IF(Metadata!D415="",FALSE,TRUE),exact(Metadata!D415,"human-associated habitat"))</f>
        <v>0</v>
      </c>
      <c r="AE415">
        <f>AND(IF(Metadata!E415="",FALSE,TRUE),OR(exact(Metadata!E415,"human-associated"),exact(Metadata!E415,"human-skin"),exact(Metadata!E415,"human-oral"),exact(Metadata!E415,"human-gut"),exact(Metadata!E415,"human-vaginal")))</f>
        <v>0</v>
      </c>
      <c r="AF415">
        <f>AND(IF(Metadata!F415="",FALSE,ISNUMBER(VALUE(Metadata!F415))),Metadata!F415&gt;0)</f>
        <v>0</v>
      </c>
      <c r="AG415">
        <f>AND(IF(Metadata!G415="",FALSE,TRUE),exact(Metadata!G415,"years"))</f>
        <v>0</v>
      </c>
      <c r="AH415">
        <f>OR(AND(IF(Metadata!H415="",FALSE,TRUE),OR(exact(Metadata!H415,"not applicable"),exact(Metadata!H415,"not collected"),exact(Metadata!H415,"not provided"),exact(Metadata!H415,"restricted access"))),AND(IF(Metadata!H415="",FALSE,ISNUMBER(VALUE(Metadata!H415))),Metadata!H415&gt;0))</f>
        <v>0</v>
      </c>
      <c r="AI415">
        <f>AND(IF(Metadata!I415="",FALSE,TRUE),exact(Metadata!I415,"human"))</f>
        <v>0</v>
      </c>
      <c r="AJ415">
        <f>AND(IF(Metadata!J415="",FALSE,ISNUMBER(VALUE(Metadata!J415))),Metadata!J415&gt;0)</f>
        <v>0</v>
      </c>
      <c r="AK415">
        <f>AND(IF(Metadata!K415="",FALSE,TRUE),exact(Metadata!K415,"cm"))</f>
        <v>0</v>
      </c>
      <c r="AL415">
        <f>AND(IF(Metadata!L415="",FALSE,TRUE),exact(Metadata!L415,"Homo sapiens"))</f>
        <v>0</v>
      </c>
      <c r="AM415">
        <f>AND(IF(Metadata!M415="",FALSE,TRUE),exact(Metadata!M415,"9606"))</f>
        <v>0</v>
      </c>
      <c r="AN415">
        <f>AND(IF(Metadata!N415="",FALSE,ISNUMBER(VALUE(Metadata!N415))),Metadata!N415&gt;0)</f>
        <v>0</v>
      </c>
      <c r="AO415">
        <f>AND(IF(Metadata!O415="",FALSE,TRUE),exact(Metadata!O415,"kg"))</f>
        <v>0</v>
      </c>
      <c r="AP415">
        <f>OR(AND(IF(Metadata!P415="",FALSE,TRUE),exact(Metadata!P415,"not provided")),IF(Metadata!P415="",FALSE,TRUE))</f>
        <v>0</v>
      </c>
      <c r="AQ415">
        <f>OR(AND(IF(Metadata!Q415="",FALSE,TRUE),exact(Metadata!Q415,"not provided")),IF(Metadata!Q415="",FALSE,TRUE))</f>
        <v>0</v>
      </c>
    </row>
    <row r="416" spans="1:43">
      <c r="A416" s="4">
        <f>IF(B416=" "," ",HYPERLINK(CONCATENATE("#metadata!",ADDRESS(INDEX($W$2:$W$1001,MATCH(ROWS($U$2:U416),$U$2:$U$1001,0),0),2)),INDEX($Z$2:$Z$1001,MATCH(ROWS($U$2:U416),$U$2:$U$1001,0),0)))</f>
        <v>0</v>
      </c>
      <c r="B416" s="5">
        <f>IF(OR(INDEX($V$2:$V$1001,MATCH(ROWS($U$2:U416),$U$2:$U$1001,0),1)&gt;=100000,INDEX($AB$1005:$AQ$1005,1,MATCH(COLUMNS($AB$1006:AB1006),$AB$1006:$AQ$1006,0))&gt;=100000), " ",IF(INDEX($AB$2:$AQ$1001,MATCH(ROWS($U$2:U416),$U$2:$U$1001,0),MATCH(COLUMNS($AB$1006:AB1006),$AB$1006:$AQ$1006,0)), HYPERLINK("#",""), HYPERLINK(CONCATENATE("#Metadata!", ADDRESS(INDEX($W$2:$W$1001,MATCH(ROWS($U$2:U416),$U$2:$U$1001,0),0), INDEX($AB$1004:$AQ$1004,1,MATCH(COLUMNS($AB$1006:AB1006),$AB$1006:$AQ$1006,0)))),"Fix")))</f>
        <v>0</v>
      </c>
      <c r="C416" s="5">
        <f>IF(OR(INDEX($V$2:$V$1001,MATCH(ROWS($U$2:U416),$U$2:$U$1001,0),1)&gt;=100000,INDEX($AB$1005:$AQ$1005,1,MATCH(COLUMNS($AB$1006:AC1006),$AB$1006:$AQ$1006,0))&gt;=100000), " ",IF(INDEX($AB$2:$AQ$1001,MATCH(ROWS($U$2:U416),$U$2:$U$1001,0),MATCH(COLUMNS($AB$1006:AC1006),$AB$1006:$AQ$1006,0)), HYPERLINK("#",""), HYPERLINK(CONCATENATE("#Metadata!", ADDRESS(INDEX($W$2:$W$1001,MATCH(ROWS($U$2:U416),$U$2:$U$1001,0),0), INDEX($AB$1004:$AQ$1004,1,MATCH(COLUMNS($AB$1006:AC1006),$AB$1006:$AQ$1006,0)))),"Fix")))</f>
        <v>0</v>
      </c>
      <c r="D416" s="5">
        <f>IF(OR(INDEX($V$2:$V$1001,MATCH(ROWS($U$2:U416),$U$2:$U$1001,0),1)&gt;=100000,INDEX($AB$1005:$AQ$1005,1,MATCH(COLUMNS($AB$1006:AD1006),$AB$1006:$AQ$1006,0))&gt;=100000), " ",IF(INDEX($AB$2:$AQ$1001,MATCH(ROWS($U$2:U416),$U$2:$U$1001,0),MATCH(COLUMNS($AB$1006:AD1006),$AB$1006:$AQ$1006,0)), HYPERLINK("#",""), HYPERLINK(CONCATENATE("#Metadata!", ADDRESS(INDEX($W$2:$W$1001,MATCH(ROWS($U$2:U416),$U$2:$U$1001,0),0), INDEX($AB$1004:$AQ$1004,1,MATCH(COLUMNS($AB$1006:AD1006),$AB$1006:$AQ$1006,0)))),"Fix")))</f>
        <v>0</v>
      </c>
      <c r="E416" s="5">
        <f>IF(OR(INDEX($V$2:$V$1001,MATCH(ROWS($U$2:U416),$U$2:$U$1001,0),1)&gt;=100000,INDEX($AB$1005:$AQ$1005,1,MATCH(COLUMNS($AB$1006:AE1006),$AB$1006:$AQ$1006,0))&gt;=100000), " ",IF(INDEX($AB$2:$AQ$1001,MATCH(ROWS($U$2:U416),$U$2:$U$1001,0),MATCH(COLUMNS($AB$1006:AE1006),$AB$1006:$AQ$1006,0)), HYPERLINK("#",""), HYPERLINK(CONCATENATE("#Metadata!", ADDRESS(INDEX($W$2:$W$1001,MATCH(ROWS($U$2:U416),$U$2:$U$1001,0),0), INDEX($AB$1004:$AQ$1004,1,MATCH(COLUMNS($AB$1006:AE1006),$AB$1006:$AQ$1006,0)))),"Fix")))</f>
        <v>0</v>
      </c>
      <c r="F416" s="5">
        <f>IF(OR(INDEX($V$2:$V$1001,MATCH(ROWS($U$2:U416),$U$2:$U$1001,0),1)&gt;=100000,INDEX($AB$1005:$AQ$1005,1,MATCH(COLUMNS($AB$1006:AF1006),$AB$1006:$AQ$1006,0))&gt;=100000), " ",IF(INDEX($AB$2:$AQ$1001,MATCH(ROWS($U$2:U416),$U$2:$U$1001,0),MATCH(COLUMNS($AB$1006:AF1006),$AB$1006:$AQ$1006,0)), HYPERLINK("#",""), HYPERLINK(CONCATENATE("#Metadata!", ADDRESS(INDEX($W$2:$W$1001,MATCH(ROWS($U$2:U416),$U$2:$U$1001,0),0), INDEX($AB$1004:$AQ$1004,1,MATCH(COLUMNS($AB$1006:AF1006),$AB$1006:$AQ$1006,0)))),"Fix")))</f>
        <v>0</v>
      </c>
      <c r="G416" s="5">
        <f>IF(OR(INDEX($V$2:$V$1001,MATCH(ROWS($U$2:U416),$U$2:$U$1001,0),1)&gt;=100000,INDEX($AB$1005:$AQ$1005,1,MATCH(COLUMNS($AB$1006:AG1006),$AB$1006:$AQ$1006,0))&gt;=100000), " ",IF(INDEX($AB$2:$AQ$1001,MATCH(ROWS($U$2:U416),$U$2:$U$1001,0),MATCH(COLUMNS($AB$1006:AG1006),$AB$1006:$AQ$1006,0)), HYPERLINK("#",""), HYPERLINK(CONCATENATE("#Metadata!", ADDRESS(INDEX($W$2:$W$1001,MATCH(ROWS($U$2:U416),$U$2:$U$1001,0),0), INDEX($AB$1004:$AQ$1004,1,MATCH(COLUMNS($AB$1006:AG1006),$AB$1006:$AQ$1006,0)))),"Fix")))</f>
        <v>0</v>
      </c>
      <c r="H416" s="5">
        <f>IF(OR(INDEX($V$2:$V$1001,MATCH(ROWS($U$2:U416),$U$2:$U$1001,0),1)&gt;=100000,INDEX($AB$1005:$AQ$1005,1,MATCH(COLUMNS($AB$1006:AH1006),$AB$1006:$AQ$1006,0))&gt;=100000), " ",IF(INDEX($AB$2:$AQ$1001,MATCH(ROWS($U$2:U416),$U$2:$U$1001,0),MATCH(COLUMNS($AB$1006:AH1006),$AB$1006:$AQ$1006,0)), HYPERLINK("#",""), HYPERLINK(CONCATENATE("#Metadata!", ADDRESS(INDEX($W$2:$W$1001,MATCH(ROWS($U$2:U416),$U$2:$U$1001,0),0), INDEX($AB$1004:$AQ$1004,1,MATCH(COLUMNS($AB$1006:AH1006),$AB$1006:$AQ$1006,0)))),"Fix")))</f>
        <v>0</v>
      </c>
      <c r="I416" s="5">
        <f>IF(OR(INDEX($V$2:$V$1001,MATCH(ROWS($U$2:U416),$U$2:$U$1001,0),1)&gt;=100000,INDEX($AB$1005:$AQ$1005,1,MATCH(COLUMNS($AB$1006:AI1006),$AB$1006:$AQ$1006,0))&gt;=100000), " ",IF(INDEX($AB$2:$AQ$1001,MATCH(ROWS($U$2:U416),$U$2:$U$1001,0),MATCH(COLUMNS($AB$1006:AI1006),$AB$1006:$AQ$1006,0)), HYPERLINK("#",""), HYPERLINK(CONCATENATE("#Metadata!", ADDRESS(INDEX($W$2:$W$1001,MATCH(ROWS($U$2:U416),$U$2:$U$1001,0),0), INDEX($AB$1004:$AQ$1004,1,MATCH(COLUMNS($AB$1006:AI1006),$AB$1006:$AQ$1006,0)))),"Fix")))</f>
        <v>0</v>
      </c>
      <c r="J416" s="5">
        <f>IF(OR(INDEX($V$2:$V$1001,MATCH(ROWS($U$2:U416),$U$2:$U$1001,0),1)&gt;=100000,INDEX($AB$1005:$AQ$1005,1,MATCH(COLUMNS($AB$1006:AJ1006),$AB$1006:$AQ$1006,0))&gt;=100000), " ",IF(INDEX($AB$2:$AQ$1001,MATCH(ROWS($U$2:U416),$U$2:$U$1001,0),MATCH(COLUMNS($AB$1006:AJ1006),$AB$1006:$AQ$1006,0)), HYPERLINK("#",""), HYPERLINK(CONCATENATE("#Metadata!", ADDRESS(INDEX($W$2:$W$1001,MATCH(ROWS($U$2:U416),$U$2:$U$1001,0),0), INDEX($AB$1004:$AQ$1004,1,MATCH(COLUMNS($AB$1006:AJ1006),$AB$1006:$AQ$1006,0)))),"Fix")))</f>
        <v>0</v>
      </c>
      <c r="K416" s="5">
        <f>IF(OR(INDEX($V$2:$V$1001,MATCH(ROWS($U$2:U416),$U$2:$U$1001,0),1)&gt;=100000,INDEX($AB$1005:$AQ$1005,1,MATCH(COLUMNS($AB$1006:AK1006),$AB$1006:$AQ$1006,0))&gt;=100000), " ",IF(INDEX($AB$2:$AQ$1001,MATCH(ROWS($U$2:U416),$U$2:$U$1001,0),MATCH(COLUMNS($AB$1006:AK1006),$AB$1006:$AQ$1006,0)), HYPERLINK("#",""), HYPERLINK(CONCATENATE("#Metadata!", ADDRESS(INDEX($W$2:$W$1001,MATCH(ROWS($U$2:U416),$U$2:$U$1001,0),0), INDEX($AB$1004:$AQ$1004,1,MATCH(COLUMNS($AB$1006:AK1006),$AB$1006:$AQ$1006,0)))),"Fix")))</f>
        <v>0</v>
      </c>
      <c r="L416" s="5">
        <f>IF(OR(INDEX($V$2:$V$1001,MATCH(ROWS($U$2:U416),$U$2:$U$1001,0),1)&gt;=100000,INDEX($AB$1005:$AQ$1005,1,MATCH(COLUMNS($AB$1006:AL1006),$AB$1006:$AQ$1006,0))&gt;=100000), " ",IF(INDEX($AB$2:$AQ$1001,MATCH(ROWS($U$2:U416),$U$2:$U$1001,0),MATCH(COLUMNS($AB$1006:AL1006),$AB$1006:$AQ$1006,0)), HYPERLINK("#",""), HYPERLINK(CONCATENATE("#Metadata!", ADDRESS(INDEX($W$2:$W$1001,MATCH(ROWS($U$2:U416),$U$2:$U$1001,0),0), INDEX($AB$1004:$AQ$1004,1,MATCH(COLUMNS($AB$1006:AL1006),$AB$1006:$AQ$1006,0)))),"Fix")))</f>
        <v>0</v>
      </c>
      <c r="M416" s="5">
        <f>IF(OR(INDEX($V$2:$V$1001,MATCH(ROWS($U$2:U416),$U$2:$U$1001,0),1)&gt;=100000,INDEX($AB$1005:$AQ$1005,1,MATCH(COLUMNS($AB$1006:AM1006),$AB$1006:$AQ$1006,0))&gt;=100000), " ",IF(INDEX($AB$2:$AQ$1001,MATCH(ROWS($U$2:U416),$U$2:$U$1001,0),MATCH(COLUMNS($AB$1006:AM1006),$AB$1006:$AQ$1006,0)), HYPERLINK("#",""), HYPERLINK(CONCATENATE("#Metadata!", ADDRESS(INDEX($W$2:$W$1001,MATCH(ROWS($U$2:U416),$U$2:$U$1001,0),0), INDEX($AB$1004:$AQ$1004,1,MATCH(COLUMNS($AB$1006:AM1006),$AB$1006:$AQ$1006,0)))),"Fix")))</f>
        <v>0</v>
      </c>
      <c r="N416" s="5">
        <f>IF(OR(INDEX($V$2:$V$1001,MATCH(ROWS($U$2:U416),$U$2:$U$1001,0),1)&gt;=100000,INDEX($AB$1005:$AQ$1005,1,MATCH(COLUMNS($AB$1006:AN1006),$AB$1006:$AQ$1006,0))&gt;=100000), " ",IF(INDEX($AB$2:$AQ$1001,MATCH(ROWS($U$2:U416),$U$2:$U$1001,0),MATCH(COLUMNS($AB$1006:AN1006),$AB$1006:$AQ$1006,0)), HYPERLINK("#",""), HYPERLINK(CONCATENATE("#Metadata!", ADDRESS(INDEX($W$2:$W$1001,MATCH(ROWS($U$2:U416),$U$2:$U$1001,0),0), INDEX($AB$1004:$AQ$1004,1,MATCH(COLUMNS($AB$1006:AN1006),$AB$1006:$AQ$1006,0)))),"Fix")))</f>
        <v>0</v>
      </c>
      <c r="O416" s="5">
        <f>IF(OR(INDEX($V$2:$V$1001,MATCH(ROWS($U$2:U416),$U$2:$U$1001,0),1)&gt;=100000,INDEX($AB$1005:$AQ$1005,1,MATCH(COLUMNS($AB$1006:AO1006),$AB$1006:$AQ$1006,0))&gt;=100000), " ",IF(INDEX($AB$2:$AQ$1001,MATCH(ROWS($U$2:U416),$U$2:$U$1001,0),MATCH(COLUMNS($AB$1006:AO1006),$AB$1006:$AQ$1006,0)), HYPERLINK("#",""), HYPERLINK(CONCATENATE("#Metadata!", ADDRESS(INDEX($W$2:$W$1001,MATCH(ROWS($U$2:U416),$U$2:$U$1001,0),0), INDEX($AB$1004:$AQ$1004,1,MATCH(COLUMNS($AB$1006:AO1006),$AB$1006:$AQ$1006,0)))),"Fix")))</f>
        <v>0</v>
      </c>
      <c r="P416" s="5">
        <f>IF(OR(INDEX($V$2:$V$1001,MATCH(ROWS($U$2:U416),$U$2:$U$1001,0),1)&gt;=100000,INDEX($AB$1005:$AQ$1005,1,MATCH(COLUMNS($AB$1006:AP1006),$AB$1006:$AQ$1006,0))&gt;=100000), " ",IF(INDEX($AB$2:$AQ$1001,MATCH(ROWS($U$2:U416),$U$2:$U$1001,0),MATCH(COLUMNS($AB$1006:AP1006),$AB$1006:$AQ$1006,0)), HYPERLINK("#",""), HYPERLINK(CONCATENATE("#Metadata!", ADDRESS(INDEX($W$2:$W$1001,MATCH(ROWS($U$2:U416),$U$2:$U$1001,0),0), INDEX($AB$1004:$AQ$1004,1,MATCH(COLUMNS($AB$1006:AP1006),$AB$1006:$AQ$1006,0)))),"Fix")))</f>
        <v>0</v>
      </c>
      <c r="Q416" s="5">
        <f>IF(OR(INDEX($V$2:$V$1001,MATCH(ROWS($U$2:U416),$U$2:$U$1001,0),1)&gt;=100000,INDEX($AB$1005:$AQ$1005,1,MATCH(COLUMNS($AB$1006:AQ1006),$AB$1006:$AQ$1006,0))&gt;=100000), " ",IF(INDEX($AB$2:$AQ$1001,MATCH(ROWS($U$2:U416),$U$2:$U$1001,0),MATCH(COLUMNS($AB$1006:AQ1006),$AB$1006:$AQ$1006,0)), HYPERLINK("#",""), HYPERLINK(CONCATENATE("#Metadata!", ADDRESS(INDEX($W$2:$W$1001,MATCH(ROWS($U$2:U416),$U$2:$U$1001,0),0), INDEX($AB$1004:$AQ$1004,1,MATCH(COLUMNS($AB$1006:AQ1006),$AB$1006:$AQ$1006,0)))),"Fix")))</f>
        <v>0</v>
      </c>
      <c r="U416">
        <v>0</v>
      </c>
      <c r="V416">
        <v>0</v>
      </c>
      <c r="W416">
        <v>0</v>
      </c>
      <c r="X416">
        <f>IF(Y416,TRUE,AND(AB416:AQ416))</f>
        <v>0</v>
      </c>
      <c r="Y416">
        <f>COUNTBLANK(Metadata!B416:Q416)=COLUMNS(Metadata!B416:Q416)</f>
        <v>0</v>
      </c>
      <c r="Z416">
        <v>0</v>
      </c>
      <c r="AB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AC416">
        <f>AND(IF(Metadata!C416="",FALSE,TRUE),exact(Metadata!C416,"urban biome"))</f>
        <v>0</v>
      </c>
      <c r="AD416">
        <f>AND(IF(Metadata!D416="",FALSE,TRUE),exact(Metadata!D416,"human-associated habitat"))</f>
        <v>0</v>
      </c>
      <c r="AE416">
        <f>AND(IF(Metadata!E416="",FALSE,TRUE),OR(exact(Metadata!E416,"human-associated"),exact(Metadata!E416,"human-skin"),exact(Metadata!E416,"human-oral"),exact(Metadata!E416,"human-gut"),exact(Metadata!E416,"human-vaginal")))</f>
        <v>0</v>
      </c>
      <c r="AF416">
        <f>AND(IF(Metadata!F416="",FALSE,ISNUMBER(VALUE(Metadata!F416))),Metadata!F416&gt;0)</f>
        <v>0</v>
      </c>
      <c r="AG416">
        <f>AND(IF(Metadata!G416="",FALSE,TRUE),exact(Metadata!G416,"years"))</f>
        <v>0</v>
      </c>
      <c r="AH416">
        <f>OR(AND(IF(Metadata!H416="",FALSE,TRUE),OR(exact(Metadata!H416,"not applicable"),exact(Metadata!H416,"not collected"),exact(Metadata!H416,"not provided"),exact(Metadata!H416,"restricted access"))),AND(IF(Metadata!H416="",FALSE,ISNUMBER(VALUE(Metadata!H416))),Metadata!H416&gt;0))</f>
        <v>0</v>
      </c>
      <c r="AI416">
        <f>AND(IF(Metadata!I416="",FALSE,TRUE),exact(Metadata!I416,"human"))</f>
        <v>0</v>
      </c>
      <c r="AJ416">
        <f>AND(IF(Metadata!J416="",FALSE,ISNUMBER(VALUE(Metadata!J416))),Metadata!J416&gt;0)</f>
        <v>0</v>
      </c>
      <c r="AK416">
        <f>AND(IF(Metadata!K416="",FALSE,TRUE),exact(Metadata!K416,"cm"))</f>
        <v>0</v>
      </c>
      <c r="AL416">
        <f>AND(IF(Metadata!L416="",FALSE,TRUE),exact(Metadata!L416,"Homo sapiens"))</f>
        <v>0</v>
      </c>
      <c r="AM416">
        <f>AND(IF(Metadata!M416="",FALSE,TRUE),exact(Metadata!M416,"9606"))</f>
        <v>0</v>
      </c>
      <c r="AN416">
        <f>AND(IF(Metadata!N416="",FALSE,ISNUMBER(VALUE(Metadata!N416))),Metadata!N416&gt;0)</f>
        <v>0</v>
      </c>
      <c r="AO416">
        <f>AND(IF(Metadata!O416="",FALSE,TRUE),exact(Metadata!O416,"kg"))</f>
        <v>0</v>
      </c>
      <c r="AP416">
        <f>OR(AND(IF(Metadata!P416="",FALSE,TRUE),exact(Metadata!P416,"not provided")),IF(Metadata!P416="",FALSE,TRUE))</f>
        <v>0</v>
      </c>
      <c r="AQ416">
        <f>OR(AND(IF(Metadata!Q416="",FALSE,TRUE),exact(Metadata!Q416,"not provided")),IF(Metadata!Q416="",FALSE,TRUE))</f>
        <v>0</v>
      </c>
    </row>
    <row r="417" spans="1:43">
      <c r="A417" s="4">
        <f>IF(B417=" "," ",HYPERLINK(CONCATENATE("#metadata!",ADDRESS(INDEX($W$2:$W$1001,MATCH(ROWS($U$2:U417),$U$2:$U$1001,0),0),2)),INDEX($Z$2:$Z$1001,MATCH(ROWS($U$2:U417),$U$2:$U$1001,0),0)))</f>
        <v>0</v>
      </c>
      <c r="B417" s="5">
        <f>IF(OR(INDEX($V$2:$V$1001,MATCH(ROWS($U$2:U417),$U$2:$U$1001,0),1)&gt;=100000,INDEX($AB$1005:$AQ$1005,1,MATCH(COLUMNS($AB$1006:AB1006),$AB$1006:$AQ$1006,0))&gt;=100000), " ",IF(INDEX($AB$2:$AQ$1001,MATCH(ROWS($U$2:U417),$U$2:$U$1001,0),MATCH(COLUMNS($AB$1006:AB1006),$AB$1006:$AQ$1006,0)), HYPERLINK("#",""), HYPERLINK(CONCATENATE("#Metadata!", ADDRESS(INDEX($W$2:$W$1001,MATCH(ROWS($U$2:U417),$U$2:$U$1001,0),0), INDEX($AB$1004:$AQ$1004,1,MATCH(COLUMNS($AB$1006:AB1006),$AB$1006:$AQ$1006,0)))),"Fix")))</f>
        <v>0</v>
      </c>
      <c r="C417" s="5">
        <f>IF(OR(INDEX($V$2:$V$1001,MATCH(ROWS($U$2:U417),$U$2:$U$1001,0),1)&gt;=100000,INDEX($AB$1005:$AQ$1005,1,MATCH(COLUMNS($AB$1006:AC1006),$AB$1006:$AQ$1006,0))&gt;=100000), " ",IF(INDEX($AB$2:$AQ$1001,MATCH(ROWS($U$2:U417),$U$2:$U$1001,0),MATCH(COLUMNS($AB$1006:AC1006),$AB$1006:$AQ$1006,0)), HYPERLINK("#",""), HYPERLINK(CONCATENATE("#Metadata!", ADDRESS(INDEX($W$2:$W$1001,MATCH(ROWS($U$2:U417),$U$2:$U$1001,0),0), INDEX($AB$1004:$AQ$1004,1,MATCH(COLUMNS($AB$1006:AC1006),$AB$1006:$AQ$1006,0)))),"Fix")))</f>
        <v>0</v>
      </c>
      <c r="D417" s="5">
        <f>IF(OR(INDEX($V$2:$V$1001,MATCH(ROWS($U$2:U417),$U$2:$U$1001,0),1)&gt;=100000,INDEX($AB$1005:$AQ$1005,1,MATCH(COLUMNS($AB$1006:AD1006),$AB$1006:$AQ$1006,0))&gt;=100000), " ",IF(INDEX($AB$2:$AQ$1001,MATCH(ROWS($U$2:U417),$U$2:$U$1001,0),MATCH(COLUMNS($AB$1006:AD1006),$AB$1006:$AQ$1006,0)), HYPERLINK("#",""), HYPERLINK(CONCATENATE("#Metadata!", ADDRESS(INDEX($W$2:$W$1001,MATCH(ROWS($U$2:U417),$U$2:$U$1001,0),0), INDEX($AB$1004:$AQ$1004,1,MATCH(COLUMNS($AB$1006:AD1006),$AB$1006:$AQ$1006,0)))),"Fix")))</f>
        <v>0</v>
      </c>
      <c r="E417" s="5">
        <f>IF(OR(INDEX($V$2:$V$1001,MATCH(ROWS($U$2:U417),$U$2:$U$1001,0),1)&gt;=100000,INDEX($AB$1005:$AQ$1005,1,MATCH(COLUMNS($AB$1006:AE1006),$AB$1006:$AQ$1006,0))&gt;=100000), " ",IF(INDEX($AB$2:$AQ$1001,MATCH(ROWS($U$2:U417),$U$2:$U$1001,0),MATCH(COLUMNS($AB$1006:AE1006),$AB$1006:$AQ$1006,0)), HYPERLINK("#",""), HYPERLINK(CONCATENATE("#Metadata!", ADDRESS(INDEX($W$2:$W$1001,MATCH(ROWS($U$2:U417),$U$2:$U$1001,0),0), INDEX($AB$1004:$AQ$1004,1,MATCH(COLUMNS($AB$1006:AE1006),$AB$1006:$AQ$1006,0)))),"Fix")))</f>
        <v>0</v>
      </c>
      <c r="F417" s="5">
        <f>IF(OR(INDEX($V$2:$V$1001,MATCH(ROWS($U$2:U417),$U$2:$U$1001,0),1)&gt;=100000,INDEX($AB$1005:$AQ$1005,1,MATCH(COLUMNS($AB$1006:AF1006),$AB$1006:$AQ$1006,0))&gt;=100000), " ",IF(INDEX($AB$2:$AQ$1001,MATCH(ROWS($U$2:U417),$U$2:$U$1001,0),MATCH(COLUMNS($AB$1006:AF1006),$AB$1006:$AQ$1006,0)), HYPERLINK("#",""), HYPERLINK(CONCATENATE("#Metadata!", ADDRESS(INDEX($W$2:$W$1001,MATCH(ROWS($U$2:U417),$U$2:$U$1001,0),0), INDEX($AB$1004:$AQ$1004,1,MATCH(COLUMNS($AB$1006:AF1006),$AB$1006:$AQ$1006,0)))),"Fix")))</f>
        <v>0</v>
      </c>
      <c r="G417" s="5">
        <f>IF(OR(INDEX($V$2:$V$1001,MATCH(ROWS($U$2:U417),$U$2:$U$1001,0),1)&gt;=100000,INDEX($AB$1005:$AQ$1005,1,MATCH(COLUMNS($AB$1006:AG1006),$AB$1006:$AQ$1006,0))&gt;=100000), " ",IF(INDEX($AB$2:$AQ$1001,MATCH(ROWS($U$2:U417),$U$2:$U$1001,0),MATCH(COLUMNS($AB$1006:AG1006),$AB$1006:$AQ$1006,0)), HYPERLINK("#",""), HYPERLINK(CONCATENATE("#Metadata!", ADDRESS(INDEX($W$2:$W$1001,MATCH(ROWS($U$2:U417),$U$2:$U$1001,0),0), INDEX($AB$1004:$AQ$1004,1,MATCH(COLUMNS($AB$1006:AG1006),$AB$1006:$AQ$1006,0)))),"Fix")))</f>
        <v>0</v>
      </c>
      <c r="H417" s="5">
        <f>IF(OR(INDEX($V$2:$V$1001,MATCH(ROWS($U$2:U417),$U$2:$U$1001,0),1)&gt;=100000,INDEX($AB$1005:$AQ$1005,1,MATCH(COLUMNS($AB$1006:AH1006),$AB$1006:$AQ$1006,0))&gt;=100000), " ",IF(INDEX($AB$2:$AQ$1001,MATCH(ROWS($U$2:U417),$U$2:$U$1001,0),MATCH(COLUMNS($AB$1006:AH1006),$AB$1006:$AQ$1006,0)), HYPERLINK("#",""), HYPERLINK(CONCATENATE("#Metadata!", ADDRESS(INDEX($W$2:$W$1001,MATCH(ROWS($U$2:U417),$U$2:$U$1001,0),0), INDEX($AB$1004:$AQ$1004,1,MATCH(COLUMNS($AB$1006:AH1006),$AB$1006:$AQ$1006,0)))),"Fix")))</f>
        <v>0</v>
      </c>
      <c r="I417" s="5">
        <f>IF(OR(INDEX($V$2:$V$1001,MATCH(ROWS($U$2:U417),$U$2:$U$1001,0),1)&gt;=100000,INDEX($AB$1005:$AQ$1005,1,MATCH(COLUMNS($AB$1006:AI1006),$AB$1006:$AQ$1006,0))&gt;=100000), " ",IF(INDEX($AB$2:$AQ$1001,MATCH(ROWS($U$2:U417),$U$2:$U$1001,0),MATCH(COLUMNS($AB$1006:AI1006),$AB$1006:$AQ$1006,0)), HYPERLINK("#",""), HYPERLINK(CONCATENATE("#Metadata!", ADDRESS(INDEX($W$2:$W$1001,MATCH(ROWS($U$2:U417),$U$2:$U$1001,0),0), INDEX($AB$1004:$AQ$1004,1,MATCH(COLUMNS($AB$1006:AI1006),$AB$1006:$AQ$1006,0)))),"Fix")))</f>
        <v>0</v>
      </c>
      <c r="J417" s="5">
        <f>IF(OR(INDEX($V$2:$V$1001,MATCH(ROWS($U$2:U417),$U$2:$U$1001,0),1)&gt;=100000,INDEX($AB$1005:$AQ$1005,1,MATCH(COLUMNS($AB$1006:AJ1006),$AB$1006:$AQ$1006,0))&gt;=100000), " ",IF(INDEX($AB$2:$AQ$1001,MATCH(ROWS($U$2:U417),$U$2:$U$1001,0),MATCH(COLUMNS($AB$1006:AJ1006),$AB$1006:$AQ$1006,0)), HYPERLINK("#",""), HYPERLINK(CONCATENATE("#Metadata!", ADDRESS(INDEX($W$2:$W$1001,MATCH(ROWS($U$2:U417),$U$2:$U$1001,0),0), INDEX($AB$1004:$AQ$1004,1,MATCH(COLUMNS($AB$1006:AJ1006),$AB$1006:$AQ$1006,0)))),"Fix")))</f>
        <v>0</v>
      </c>
      <c r="K417" s="5">
        <f>IF(OR(INDEX($V$2:$V$1001,MATCH(ROWS($U$2:U417),$U$2:$U$1001,0),1)&gt;=100000,INDEX($AB$1005:$AQ$1005,1,MATCH(COLUMNS($AB$1006:AK1006),$AB$1006:$AQ$1006,0))&gt;=100000), " ",IF(INDEX($AB$2:$AQ$1001,MATCH(ROWS($U$2:U417),$U$2:$U$1001,0),MATCH(COLUMNS($AB$1006:AK1006),$AB$1006:$AQ$1006,0)), HYPERLINK("#",""), HYPERLINK(CONCATENATE("#Metadata!", ADDRESS(INDEX($W$2:$W$1001,MATCH(ROWS($U$2:U417),$U$2:$U$1001,0),0), INDEX($AB$1004:$AQ$1004,1,MATCH(COLUMNS($AB$1006:AK1006),$AB$1006:$AQ$1006,0)))),"Fix")))</f>
        <v>0</v>
      </c>
      <c r="L417" s="5">
        <f>IF(OR(INDEX($V$2:$V$1001,MATCH(ROWS($U$2:U417),$U$2:$U$1001,0),1)&gt;=100000,INDEX($AB$1005:$AQ$1005,1,MATCH(COLUMNS($AB$1006:AL1006),$AB$1006:$AQ$1006,0))&gt;=100000), " ",IF(INDEX($AB$2:$AQ$1001,MATCH(ROWS($U$2:U417),$U$2:$U$1001,0),MATCH(COLUMNS($AB$1006:AL1006),$AB$1006:$AQ$1006,0)), HYPERLINK("#",""), HYPERLINK(CONCATENATE("#Metadata!", ADDRESS(INDEX($W$2:$W$1001,MATCH(ROWS($U$2:U417),$U$2:$U$1001,0),0), INDEX($AB$1004:$AQ$1004,1,MATCH(COLUMNS($AB$1006:AL1006),$AB$1006:$AQ$1006,0)))),"Fix")))</f>
        <v>0</v>
      </c>
      <c r="M417" s="5">
        <f>IF(OR(INDEX($V$2:$V$1001,MATCH(ROWS($U$2:U417),$U$2:$U$1001,0),1)&gt;=100000,INDEX($AB$1005:$AQ$1005,1,MATCH(COLUMNS($AB$1006:AM1006),$AB$1006:$AQ$1006,0))&gt;=100000), " ",IF(INDEX($AB$2:$AQ$1001,MATCH(ROWS($U$2:U417),$U$2:$U$1001,0),MATCH(COLUMNS($AB$1006:AM1006),$AB$1006:$AQ$1006,0)), HYPERLINK("#",""), HYPERLINK(CONCATENATE("#Metadata!", ADDRESS(INDEX($W$2:$W$1001,MATCH(ROWS($U$2:U417),$U$2:$U$1001,0),0), INDEX($AB$1004:$AQ$1004,1,MATCH(COLUMNS($AB$1006:AM1006),$AB$1006:$AQ$1006,0)))),"Fix")))</f>
        <v>0</v>
      </c>
      <c r="N417" s="5">
        <f>IF(OR(INDEX($V$2:$V$1001,MATCH(ROWS($U$2:U417),$U$2:$U$1001,0),1)&gt;=100000,INDEX($AB$1005:$AQ$1005,1,MATCH(COLUMNS($AB$1006:AN1006),$AB$1006:$AQ$1006,0))&gt;=100000), " ",IF(INDEX($AB$2:$AQ$1001,MATCH(ROWS($U$2:U417),$U$2:$U$1001,0),MATCH(COLUMNS($AB$1006:AN1006),$AB$1006:$AQ$1006,0)), HYPERLINK("#",""), HYPERLINK(CONCATENATE("#Metadata!", ADDRESS(INDEX($W$2:$W$1001,MATCH(ROWS($U$2:U417),$U$2:$U$1001,0),0), INDEX($AB$1004:$AQ$1004,1,MATCH(COLUMNS($AB$1006:AN1006),$AB$1006:$AQ$1006,0)))),"Fix")))</f>
        <v>0</v>
      </c>
      <c r="O417" s="5">
        <f>IF(OR(INDEX($V$2:$V$1001,MATCH(ROWS($U$2:U417),$U$2:$U$1001,0),1)&gt;=100000,INDEX($AB$1005:$AQ$1005,1,MATCH(COLUMNS($AB$1006:AO1006),$AB$1006:$AQ$1006,0))&gt;=100000), " ",IF(INDEX($AB$2:$AQ$1001,MATCH(ROWS($U$2:U417),$U$2:$U$1001,0),MATCH(COLUMNS($AB$1006:AO1006),$AB$1006:$AQ$1006,0)), HYPERLINK("#",""), HYPERLINK(CONCATENATE("#Metadata!", ADDRESS(INDEX($W$2:$W$1001,MATCH(ROWS($U$2:U417),$U$2:$U$1001,0),0), INDEX($AB$1004:$AQ$1004,1,MATCH(COLUMNS($AB$1006:AO1006),$AB$1006:$AQ$1006,0)))),"Fix")))</f>
        <v>0</v>
      </c>
      <c r="P417" s="5">
        <f>IF(OR(INDEX($V$2:$V$1001,MATCH(ROWS($U$2:U417),$U$2:$U$1001,0),1)&gt;=100000,INDEX($AB$1005:$AQ$1005,1,MATCH(COLUMNS($AB$1006:AP1006),$AB$1006:$AQ$1006,0))&gt;=100000), " ",IF(INDEX($AB$2:$AQ$1001,MATCH(ROWS($U$2:U417),$U$2:$U$1001,0),MATCH(COLUMNS($AB$1006:AP1006),$AB$1006:$AQ$1006,0)), HYPERLINK("#",""), HYPERLINK(CONCATENATE("#Metadata!", ADDRESS(INDEX($W$2:$W$1001,MATCH(ROWS($U$2:U417),$U$2:$U$1001,0),0), INDEX($AB$1004:$AQ$1004,1,MATCH(COLUMNS($AB$1006:AP1006),$AB$1006:$AQ$1006,0)))),"Fix")))</f>
        <v>0</v>
      </c>
      <c r="Q417" s="5">
        <f>IF(OR(INDEX($V$2:$V$1001,MATCH(ROWS($U$2:U417),$U$2:$U$1001,0),1)&gt;=100000,INDEX($AB$1005:$AQ$1005,1,MATCH(COLUMNS($AB$1006:AQ1006),$AB$1006:$AQ$1006,0))&gt;=100000), " ",IF(INDEX($AB$2:$AQ$1001,MATCH(ROWS($U$2:U417),$U$2:$U$1001,0),MATCH(COLUMNS($AB$1006:AQ1006),$AB$1006:$AQ$1006,0)), HYPERLINK("#",""), HYPERLINK(CONCATENATE("#Metadata!", ADDRESS(INDEX($W$2:$W$1001,MATCH(ROWS($U$2:U417),$U$2:$U$1001,0),0), INDEX($AB$1004:$AQ$1004,1,MATCH(COLUMNS($AB$1006:AQ1006),$AB$1006:$AQ$1006,0)))),"Fix")))</f>
        <v>0</v>
      </c>
      <c r="U417">
        <v>0</v>
      </c>
      <c r="V417">
        <v>0</v>
      </c>
      <c r="W417">
        <v>0</v>
      </c>
      <c r="X417">
        <f>IF(Y417,TRUE,AND(AB417:AQ417))</f>
        <v>0</v>
      </c>
      <c r="Y417">
        <f>COUNTBLANK(Metadata!B417:Q417)=COLUMNS(Metadata!B417:Q417)</f>
        <v>0</v>
      </c>
      <c r="Z417">
        <v>0</v>
      </c>
      <c r="AB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AC417">
        <f>AND(IF(Metadata!C417="",FALSE,TRUE),exact(Metadata!C417,"urban biome"))</f>
        <v>0</v>
      </c>
      <c r="AD417">
        <f>AND(IF(Metadata!D417="",FALSE,TRUE),exact(Metadata!D417,"human-associated habitat"))</f>
        <v>0</v>
      </c>
      <c r="AE417">
        <f>AND(IF(Metadata!E417="",FALSE,TRUE),OR(exact(Metadata!E417,"human-associated"),exact(Metadata!E417,"human-skin"),exact(Metadata!E417,"human-oral"),exact(Metadata!E417,"human-gut"),exact(Metadata!E417,"human-vaginal")))</f>
        <v>0</v>
      </c>
      <c r="AF417">
        <f>AND(IF(Metadata!F417="",FALSE,ISNUMBER(VALUE(Metadata!F417))),Metadata!F417&gt;0)</f>
        <v>0</v>
      </c>
      <c r="AG417">
        <f>AND(IF(Metadata!G417="",FALSE,TRUE),exact(Metadata!G417,"years"))</f>
        <v>0</v>
      </c>
      <c r="AH417">
        <f>OR(AND(IF(Metadata!H417="",FALSE,TRUE),OR(exact(Metadata!H417,"not applicable"),exact(Metadata!H417,"not collected"),exact(Metadata!H417,"not provided"),exact(Metadata!H417,"restricted access"))),AND(IF(Metadata!H417="",FALSE,ISNUMBER(VALUE(Metadata!H417))),Metadata!H417&gt;0))</f>
        <v>0</v>
      </c>
      <c r="AI417">
        <f>AND(IF(Metadata!I417="",FALSE,TRUE),exact(Metadata!I417,"human"))</f>
        <v>0</v>
      </c>
      <c r="AJ417">
        <f>AND(IF(Metadata!J417="",FALSE,ISNUMBER(VALUE(Metadata!J417))),Metadata!J417&gt;0)</f>
        <v>0</v>
      </c>
      <c r="AK417">
        <f>AND(IF(Metadata!K417="",FALSE,TRUE),exact(Metadata!K417,"cm"))</f>
        <v>0</v>
      </c>
      <c r="AL417">
        <f>AND(IF(Metadata!L417="",FALSE,TRUE),exact(Metadata!L417,"Homo sapiens"))</f>
        <v>0</v>
      </c>
      <c r="AM417">
        <f>AND(IF(Metadata!M417="",FALSE,TRUE),exact(Metadata!M417,"9606"))</f>
        <v>0</v>
      </c>
      <c r="AN417">
        <f>AND(IF(Metadata!N417="",FALSE,ISNUMBER(VALUE(Metadata!N417))),Metadata!N417&gt;0)</f>
        <v>0</v>
      </c>
      <c r="AO417">
        <f>AND(IF(Metadata!O417="",FALSE,TRUE),exact(Metadata!O417,"kg"))</f>
        <v>0</v>
      </c>
      <c r="AP417">
        <f>OR(AND(IF(Metadata!P417="",FALSE,TRUE),exact(Metadata!P417,"not provided")),IF(Metadata!P417="",FALSE,TRUE))</f>
        <v>0</v>
      </c>
      <c r="AQ417">
        <f>OR(AND(IF(Metadata!Q417="",FALSE,TRUE),exact(Metadata!Q417,"not provided")),IF(Metadata!Q417="",FALSE,TRUE))</f>
        <v>0</v>
      </c>
    </row>
    <row r="418" spans="1:43">
      <c r="A418" s="4">
        <f>IF(B418=" "," ",HYPERLINK(CONCATENATE("#metadata!",ADDRESS(INDEX($W$2:$W$1001,MATCH(ROWS($U$2:U418),$U$2:$U$1001,0),0),2)),INDEX($Z$2:$Z$1001,MATCH(ROWS($U$2:U418),$U$2:$U$1001,0),0)))</f>
        <v>0</v>
      </c>
      <c r="B418" s="5">
        <f>IF(OR(INDEX($V$2:$V$1001,MATCH(ROWS($U$2:U418),$U$2:$U$1001,0),1)&gt;=100000,INDEX($AB$1005:$AQ$1005,1,MATCH(COLUMNS($AB$1006:AB1006),$AB$1006:$AQ$1006,0))&gt;=100000), " ",IF(INDEX($AB$2:$AQ$1001,MATCH(ROWS($U$2:U418),$U$2:$U$1001,0),MATCH(COLUMNS($AB$1006:AB1006),$AB$1006:$AQ$1006,0)), HYPERLINK("#",""), HYPERLINK(CONCATENATE("#Metadata!", ADDRESS(INDEX($W$2:$W$1001,MATCH(ROWS($U$2:U418),$U$2:$U$1001,0),0), INDEX($AB$1004:$AQ$1004,1,MATCH(COLUMNS($AB$1006:AB1006),$AB$1006:$AQ$1006,0)))),"Fix")))</f>
        <v>0</v>
      </c>
      <c r="C418" s="5">
        <f>IF(OR(INDEX($V$2:$V$1001,MATCH(ROWS($U$2:U418),$U$2:$U$1001,0),1)&gt;=100000,INDEX($AB$1005:$AQ$1005,1,MATCH(COLUMNS($AB$1006:AC1006),$AB$1006:$AQ$1006,0))&gt;=100000), " ",IF(INDEX($AB$2:$AQ$1001,MATCH(ROWS($U$2:U418),$U$2:$U$1001,0),MATCH(COLUMNS($AB$1006:AC1006),$AB$1006:$AQ$1006,0)), HYPERLINK("#",""), HYPERLINK(CONCATENATE("#Metadata!", ADDRESS(INDEX($W$2:$W$1001,MATCH(ROWS($U$2:U418),$U$2:$U$1001,0),0), INDEX($AB$1004:$AQ$1004,1,MATCH(COLUMNS($AB$1006:AC1006),$AB$1006:$AQ$1006,0)))),"Fix")))</f>
        <v>0</v>
      </c>
      <c r="D418" s="5">
        <f>IF(OR(INDEX($V$2:$V$1001,MATCH(ROWS($U$2:U418),$U$2:$U$1001,0),1)&gt;=100000,INDEX($AB$1005:$AQ$1005,1,MATCH(COLUMNS($AB$1006:AD1006),$AB$1006:$AQ$1006,0))&gt;=100000), " ",IF(INDEX($AB$2:$AQ$1001,MATCH(ROWS($U$2:U418),$U$2:$U$1001,0),MATCH(COLUMNS($AB$1006:AD1006),$AB$1006:$AQ$1006,0)), HYPERLINK("#",""), HYPERLINK(CONCATENATE("#Metadata!", ADDRESS(INDEX($W$2:$W$1001,MATCH(ROWS($U$2:U418),$U$2:$U$1001,0),0), INDEX($AB$1004:$AQ$1004,1,MATCH(COLUMNS($AB$1006:AD1006),$AB$1006:$AQ$1006,0)))),"Fix")))</f>
        <v>0</v>
      </c>
      <c r="E418" s="5">
        <f>IF(OR(INDEX($V$2:$V$1001,MATCH(ROWS($U$2:U418),$U$2:$U$1001,0),1)&gt;=100000,INDEX($AB$1005:$AQ$1005,1,MATCH(COLUMNS($AB$1006:AE1006),$AB$1006:$AQ$1006,0))&gt;=100000), " ",IF(INDEX($AB$2:$AQ$1001,MATCH(ROWS($U$2:U418),$U$2:$U$1001,0),MATCH(COLUMNS($AB$1006:AE1006),$AB$1006:$AQ$1006,0)), HYPERLINK("#",""), HYPERLINK(CONCATENATE("#Metadata!", ADDRESS(INDEX($W$2:$W$1001,MATCH(ROWS($U$2:U418),$U$2:$U$1001,0),0), INDEX($AB$1004:$AQ$1004,1,MATCH(COLUMNS($AB$1006:AE1006),$AB$1006:$AQ$1006,0)))),"Fix")))</f>
        <v>0</v>
      </c>
      <c r="F418" s="5">
        <f>IF(OR(INDEX($V$2:$V$1001,MATCH(ROWS($U$2:U418),$U$2:$U$1001,0),1)&gt;=100000,INDEX($AB$1005:$AQ$1005,1,MATCH(COLUMNS($AB$1006:AF1006),$AB$1006:$AQ$1006,0))&gt;=100000), " ",IF(INDEX($AB$2:$AQ$1001,MATCH(ROWS($U$2:U418),$U$2:$U$1001,0),MATCH(COLUMNS($AB$1006:AF1006),$AB$1006:$AQ$1006,0)), HYPERLINK("#",""), HYPERLINK(CONCATENATE("#Metadata!", ADDRESS(INDEX($W$2:$W$1001,MATCH(ROWS($U$2:U418),$U$2:$U$1001,0),0), INDEX($AB$1004:$AQ$1004,1,MATCH(COLUMNS($AB$1006:AF1006),$AB$1006:$AQ$1006,0)))),"Fix")))</f>
        <v>0</v>
      </c>
      <c r="G418" s="5">
        <f>IF(OR(INDEX($V$2:$V$1001,MATCH(ROWS($U$2:U418),$U$2:$U$1001,0),1)&gt;=100000,INDEX($AB$1005:$AQ$1005,1,MATCH(COLUMNS($AB$1006:AG1006),$AB$1006:$AQ$1006,0))&gt;=100000), " ",IF(INDEX($AB$2:$AQ$1001,MATCH(ROWS($U$2:U418),$U$2:$U$1001,0),MATCH(COLUMNS($AB$1006:AG1006),$AB$1006:$AQ$1006,0)), HYPERLINK("#",""), HYPERLINK(CONCATENATE("#Metadata!", ADDRESS(INDEX($W$2:$W$1001,MATCH(ROWS($U$2:U418),$U$2:$U$1001,0),0), INDEX($AB$1004:$AQ$1004,1,MATCH(COLUMNS($AB$1006:AG1006),$AB$1006:$AQ$1006,0)))),"Fix")))</f>
        <v>0</v>
      </c>
      <c r="H418" s="5">
        <f>IF(OR(INDEX($V$2:$V$1001,MATCH(ROWS($U$2:U418),$U$2:$U$1001,0),1)&gt;=100000,INDEX($AB$1005:$AQ$1005,1,MATCH(COLUMNS($AB$1006:AH1006),$AB$1006:$AQ$1006,0))&gt;=100000), " ",IF(INDEX($AB$2:$AQ$1001,MATCH(ROWS($U$2:U418),$U$2:$U$1001,0),MATCH(COLUMNS($AB$1006:AH1006),$AB$1006:$AQ$1006,0)), HYPERLINK("#",""), HYPERLINK(CONCATENATE("#Metadata!", ADDRESS(INDEX($W$2:$W$1001,MATCH(ROWS($U$2:U418),$U$2:$U$1001,0),0), INDEX($AB$1004:$AQ$1004,1,MATCH(COLUMNS($AB$1006:AH1006),$AB$1006:$AQ$1006,0)))),"Fix")))</f>
        <v>0</v>
      </c>
      <c r="I418" s="5">
        <f>IF(OR(INDEX($V$2:$V$1001,MATCH(ROWS($U$2:U418),$U$2:$U$1001,0),1)&gt;=100000,INDEX($AB$1005:$AQ$1005,1,MATCH(COLUMNS($AB$1006:AI1006),$AB$1006:$AQ$1006,0))&gt;=100000), " ",IF(INDEX($AB$2:$AQ$1001,MATCH(ROWS($U$2:U418),$U$2:$U$1001,0),MATCH(COLUMNS($AB$1006:AI1006),$AB$1006:$AQ$1006,0)), HYPERLINK("#",""), HYPERLINK(CONCATENATE("#Metadata!", ADDRESS(INDEX($W$2:$W$1001,MATCH(ROWS($U$2:U418),$U$2:$U$1001,0),0), INDEX($AB$1004:$AQ$1004,1,MATCH(COLUMNS($AB$1006:AI1006),$AB$1006:$AQ$1006,0)))),"Fix")))</f>
        <v>0</v>
      </c>
      <c r="J418" s="5">
        <f>IF(OR(INDEX($V$2:$V$1001,MATCH(ROWS($U$2:U418),$U$2:$U$1001,0),1)&gt;=100000,INDEX($AB$1005:$AQ$1005,1,MATCH(COLUMNS($AB$1006:AJ1006),$AB$1006:$AQ$1006,0))&gt;=100000), " ",IF(INDEX($AB$2:$AQ$1001,MATCH(ROWS($U$2:U418),$U$2:$U$1001,0),MATCH(COLUMNS($AB$1006:AJ1006),$AB$1006:$AQ$1006,0)), HYPERLINK("#",""), HYPERLINK(CONCATENATE("#Metadata!", ADDRESS(INDEX($W$2:$W$1001,MATCH(ROWS($U$2:U418),$U$2:$U$1001,0),0), INDEX($AB$1004:$AQ$1004,1,MATCH(COLUMNS($AB$1006:AJ1006),$AB$1006:$AQ$1006,0)))),"Fix")))</f>
        <v>0</v>
      </c>
      <c r="K418" s="5">
        <f>IF(OR(INDEX($V$2:$V$1001,MATCH(ROWS($U$2:U418),$U$2:$U$1001,0),1)&gt;=100000,INDEX($AB$1005:$AQ$1005,1,MATCH(COLUMNS($AB$1006:AK1006),$AB$1006:$AQ$1006,0))&gt;=100000), " ",IF(INDEX($AB$2:$AQ$1001,MATCH(ROWS($U$2:U418),$U$2:$U$1001,0),MATCH(COLUMNS($AB$1006:AK1006),$AB$1006:$AQ$1006,0)), HYPERLINK("#",""), HYPERLINK(CONCATENATE("#Metadata!", ADDRESS(INDEX($W$2:$W$1001,MATCH(ROWS($U$2:U418),$U$2:$U$1001,0),0), INDEX($AB$1004:$AQ$1004,1,MATCH(COLUMNS($AB$1006:AK1006),$AB$1006:$AQ$1006,0)))),"Fix")))</f>
        <v>0</v>
      </c>
      <c r="L418" s="5">
        <f>IF(OR(INDEX($V$2:$V$1001,MATCH(ROWS($U$2:U418),$U$2:$U$1001,0),1)&gt;=100000,INDEX($AB$1005:$AQ$1005,1,MATCH(COLUMNS($AB$1006:AL1006),$AB$1006:$AQ$1006,0))&gt;=100000), " ",IF(INDEX($AB$2:$AQ$1001,MATCH(ROWS($U$2:U418),$U$2:$U$1001,0),MATCH(COLUMNS($AB$1006:AL1006),$AB$1006:$AQ$1006,0)), HYPERLINK("#",""), HYPERLINK(CONCATENATE("#Metadata!", ADDRESS(INDEX($W$2:$W$1001,MATCH(ROWS($U$2:U418),$U$2:$U$1001,0),0), INDEX($AB$1004:$AQ$1004,1,MATCH(COLUMNS($AB$1006:AL1006),$AB$1006:$AQ$1006,0)))),"Fix")))</f>
        <v>0</v>
      </c>
      <c r="M418" s="5">
        <f>IF(OR(INDEX($V$2:$V$1001,MATCH(ROWS($U$2:U418),$U$2:$U$1001,0),1)&gt;=100000,INDEX($AB$1005:$AQ$1005,1,MATCH(COLUMNS($AB$1006:AM1006),$AB$1006:$AQ$1006,0))&gt;=100000), " ",IF(INDEX($AB$2:$AQ$1001,MATCH(ROWS($U$2:U418),$U$2:$U$1001,0),MATCH(COLUMNS($AB$1006:AM1006),$AB$1006:$AQ$1006,0)), HYPERLINK("#",""), HYPERLINK(CONCATENATE("#Metadata!", ADDRESS(INDEX($W$2:$W$1001,MATCH(ROWS($U$2:U418),$U$2:$U$1001,0),0), INDEX($AB$1004:$AQ$1004,1,MATCH(COLUMNS($AB$1006:AM1006),$AB$1006:$AQ$1006,0)))),"Fix")))</f>
        <v>0</v>
      </c>
      <c r="N418" s="5">
        <f>IF(OR(INDEX($V$2:$V$1001,MATCH(ROWS($U$2:U418),$U$2:$U$1001,0),1)&gt;=100000,INDEX($AB$1005:$AQ$1005,1,MATCH(COLUMNS($AB$1006:AN1006),$AB$1006:$AQ$1006,0))&gt;=100000), " ",IF(INDEX($AB$2:$AQ$1001,MATCH(ROWS($U$2:U418),$U$2:$U$1001,0),MATCH(COLUMNS($AB$1006:AN1006),$AB$1006:$AQ$1006,0)), HYPERLINK("#",""), HYPERLINK(CONCATENATE("#Metadata!", ADDRESS(INDEX($W$2:$W$1001,MATCH(ROWS($U$2:U418),$U$2:$U$1001,0),0), INDEX($AB$1004:$AQ$1004,1,MATCH(COLUMNS($AB$1006:AN1006),$AB$1006:$AQ$1006,0)))),"Fix")))</f>
        <v>0</v>
      </c>
      <c r="O418" s="5">
        <f>IF(OR(INDEX($V$2:$V$1001,MATCH(ROWS($U$2:U418),$U$2:$U$1001,0),1)&gt;=100000,INDEX($AB$1005:$AQ$1005,1,MATCH(COLUMNS($AB$1006:AO1006),$AB$1006:$AQ$1006,0))&gt;=100000), " ",IF(INDEX($AB$2:$AQ$1001,MATCH(ROWS($U$2:U418),$U$2:$U$1001,0),MATCH(COLUMNS($AB$1006:AO1006),$AB$1006:$AQ$1006,0)), HYPERLINK("#",""), HYPERLINK(CONCATENATE("#Metadata!", ADDRESS(INDEX($W$2:$W$1001,MATCH(ROWS($U$2:U418),$U$2:$U$1001,0),0), INDEX($AB$1004:$AQ$1004,1,MATCH(COLUMNS($AB$1006:AO1006),$AB$1006:$AQ$1006,0)))),"Fix")))</f>
        <v>0</v>
      </c>
      <c r="P418" s="5">
        <f>IF(OR(INDEX($V$2:$V$1001,MATCH(ROWS($U$2:U418),$U$2:$U$1001,0),1)&gt;=100000,INDEX($AB$1005:$AQ$1005,1,MATCH(COLUMNS($AB$1006:AP1006),$AB$1006:$AQ$1006,0))&gt;=100000), " ",IF(INDEX($AB$2:$AQ$1001,MATCH(ROWS($U$2:U418),$U$2:$U$1001,0),MATCH(COLUMNS($AB$1006:AP1006),$AB$1006:$AQ$1006,0)), HYPERLINK("#",""), HYPERLINK(CONCATENATE("#Metadata!", ADDRESS(INDEX($W$2:$W$1001,MATCH(ROWS($U$2:U418),$U$2:$U$1001,0),0), INDEX($AB$1004:$AQ$1004,1,MATCH(COLUMNS($AB$1006:AP1006),$AB$1006:$AQ$1006,0)))),"Fix")))</f>
        <v>0</v>
      </c>
      <c r="Q418" s="5">
        <f>IF(OR(INDEX($V$2:$V$1001,MATCH(ROWS($U$2:U418),$U$2:$U$1001,0),1)&gt;=100000,INDEX($AB$1005:$AQ$1005,1,MATCH(COLUMNS($AB$1006:AQ1006),$AB$1006:$AQ$1006,0))&gt;=100000), " ",IF(INDEX($AB$2:$AQ$1001,MATCH(ROWS($U$2:U418),$U$2:$U$1001,0),MATCH(COLUMNS($AB$1006:AQ1006),$AB$1006:$AQ$1006,0)), HYPERLINK("#",""), HYPERLINK(CONCATENATE("#Metadata!", ADDRESS(INDEX($W$2:$W$1001,MATCH(ROWS($U$2:U418),$U$2:$U$1001,0),0), INDEX($AB$1004:$AQ$1004,1,MATCH(COLUMNS($AB$1006:AQ1006),$AB$1006:$AQ$1006,0)))),"Fix")))</f>
        <v>0</v>
      </c>
      <c r="U418">
        <v>0</v>
      </c>
      <c r="V418">
        <v>0</v>
      </c>
      <c r="W418">
        <v>0</v>
      </c>
      <c r="X418">
        <f>IF(Y418,TRUE,AND(AB418:AQ418))</f>
        <v>0</v>
      </c>
      <c r="Y418">
        <f>COUNTBLANK(Metadata!B418:Q418)=COLUMNS(Metadata!B418:Q418)</f>
        <v>0</v>
      </c>
      <c r="Z418">
        <v>0</v>
      </c>
      <c r="AB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AC418">
        <f>AND(IF(Metadata!C418="",FALSE,TRUE),exact(Metadata!C418,"urban biome"))</f>
        <v>0</v>
      </c>
      <c r="AD418">
        <f>AND(IF(Metadata!D418="",FALSE,TRUE),exact(Metadata!D418,"human-associated habitat"))</f>
        <v>0</v>
      </c>
      <c r="AE418">
        <f>AND(IF(Metadata!E418="",FALSE,TRUE),OR(exact(Metadata!E418,"human-associated"),exact(Metadata!E418,"human-skin"),exact(Metadata!E418,"human-oral"),exact(Metadata!E418,"human-gut"),exact(Metadata!E418,"human-vaginal")))</f>
        <v>0</v>
      </c>
      <c r="AF418">
        <f>AND(IF(Metadata!F418="",FALSE,ISNUMBER(VALUE(Metadata!F418))),Metadata!F418&gt;0)</f>
        <v>0</v>
      </c>
      <c r="AG418">
        <f>AND(IF(Metadata!G418="",FALSE,TRUE),exact(Metadata!G418,"years"))</f>
        <v>0</v>
      </c>
      <c r="AH418">
        <f>OR(AND(IF(Metadata!H418="",FALSE,TRUE),OR(exact(Metadata!H418,"not applicable"),exact(Metadata!H418,"not collected"),exact(Metadata!H418,"not provided"),exact(Metadata!H418,"restricted access"))),AND(IF(Metadata!H418="",FALSE,ISNUMBER(VALUE(Metadata!H418))),Metadata!H418&gt;0))</f>
        <v>0</v>
      </c>
      <c r="AI418">
        <f>AND(IF(Metadata!I418="",FALSE,TRUE),exact(Metadata!I418,"human"))</f>
        <v>0</v>
      </c>
      <c r="AJ418">
        <f>AND(IF(Metadata!J418="",FALSE,ISNUMBER(VALUE(Metadata!J418))),Metadata!J418&gt;0)</f>
        <v>0</v>
      </c>
      <c r="AK418">
        <f>AND(IF(Metadata!K418="",FALSE,TRUE),exact(Metadata!K418,"cm"))</f>
        <v>0</v>
      </c>
      <c r="AL418">
        <f>AND(IF(Metadata!L418="",FALSE,TRUE),exact(Metadata!L418,"Homo sapiens"))</f>
        <v>0</v>
      </c>
      <c r="AM418">
        <f>AND(IF(Metadata!M418="",FALSE,TRUE),exact(Metadata!M418,"9606"))</f>
        <v>0</v>
      </c>
      <c r="AN418">
        <f>AND(IF(Metadata!N418="",FALSE,ISNUMBER(VALUE(Metadata!N418))),Metadata!N418&gt;0)</f>
        <v>0</v>
      </c>
      <c r="AO418">
        <f>AND(IF(Metadata!O418="",FALSE,TRUE),exact(Metadata!O418,"kg"))</f>
        <v>0</v>
      </c>
      <c r="AP418">
        <f>OR(AND(IF(Metadata!P418="",FALSE,TRUE),exact(Metadata!P418,"not provided")),IF(Metadata!P418="",FALSE,TRUE))</f>
        <v>0</v>
      </c>
      <c r="AQ418">
        <f>OR(AND(IF(Metadata!Q418="",FALSE,TRUE),exact(Metadata!Q418,"not provided")),IF(Metadata!Q418="",FALSE,TRUE))</f>
        <v>0</v>
      </c>
    </row>
    <row r="419" spans="1:43">
      <c r="A419" s="4">
        <f>IF(B419=" "," ",HYPERLINK(CONCATENATE("#metadata!",ADDRESS(INDEX($W$2:$W$1001,MATCH(ROWS($U$2:U419),$U$2:$U$1001,0),0),2)),INDEX($Z$2:$Z$1001,MATCH(ROWS($U$2:U419),$U$2:$U$1001,0),0)))</f>
        <v>0</v>
      </c>
      <c r="B419" s="5">
        <f>IF(OR(INDEX($V$2:$V$1001,MATCH(ROWS($U$2:U419),$U$2:$U$1001,0),1)&gt;=100000,INDEX($AB$1005:$AQ$1005,1,MATCH(COLUMNS($AB$1006:AB1006),$AB$1006:$AQ$1006,0))&gt;=100000), " ",IF(INDEX($AB$2:$AQ$1001,MATCH(ROWS($U$2:U419),$U$2:$U$1001,0),MATCH(COLUMNS($AB$1006:AB1006),$AB$1006:$AQ$1006,0)), HYPERLINK("#",""), HYPERLINK(CONCATENATE("#Metadata!", ADDRESS(INDEX($W$2:$W$1001,MATCH(ROWS($U$2:U419),$U$2:$U$1001,0),0), INDEX($AB$1004:$AQ$1004,1,MATCH(COLUMNS($AB$1006:AB1006),$AB$1006:$AQ$1006,0)))),"Fix")))</f>
        <v>0</v>
      </c>
      <c r="C419" s="5">
        <f>IF(OR(INDEX($V$2:$V$1001,MATCH(ROWS($U$2:U419),$U$2:$U$1001,0),1)&gt;=100000,INDEX($AB$1005:$AQ$1005,1,MATCH(COLUMNS($AB$1006:AC1006),$AB$1006:$AQ$1006,0))&gt;=100000), " ",IF(INDEX($AB$2:$AQ$1001,MATCH(ROWS($U$2:U419),$U$2:$U$1001,0),MATCH(COLUMNS($AB$1006:AC1006),$AB$1006:$AQ$1006,0)), HYPERLINK("#",""), HYPERLINK(CONCATENATE("#Metadata!", ADDRESS(INDEX($W$2:$W$1001,MATCH(ROWS($U$2:U419),$U$2:$U$1001,0),0), INDEX($AB$1004:$AQ$1004,1,MATCH(COLUMNS($AB$1006:AC1006),$AB$1006:$AQ$1006,0)))),"Fix")))</f>
        <v>0</v>
      </c>
      <c r="D419" s="5">
        <f>IF(OR(INDEX($V$2:$V$1001,MATCH(ROWS($U$2:U419),$U$2:$U$1001,0),1)&gt;=100000,INDEX($AB$1005:$AQ$1005,1,MATCH(COLUMNS($AB$1006:AD1006),$AB$1006:$AQ$1006,0))&gt;=100000), " ",IF(INDEX($AB$2:$AQ$1001,MATCH(ROWS($U$2:U419),$U$2:$U$1001,0),MATCH(COLUMNS($AB$1006:AD1006),$AB$1006:$AQ$1006,0)), HYPERLINK("#",""), HYPERLINK(CONCATENATE("#Metadata!", ADDRESS(INDEX($W$2:$W$1001,MATCH(ROWS($U$2:U419),$U$2:$U$1001,0),0), INDEX($AB$1004:$AQ$1004,1,MATCH(COLUMNS($AB$1006:AD1006),$AB$1006:$AQ$1006,0)))),"Fix")))</f>
        <v>0</v>
      </c>
      <c r="E419" s="5">
        <f>IF(OR(INDEX($V$2:$V$1001,MATCH(ROWS($U$2:U419),$U$2:$U$1001,0),1)&gt;=100000,INDEX($AB$1005:$AQ$1005,1,MATCH(COLUMNS($AB$1006:AE1006),$AB$1006:$AQ$1006,0))&gt;=100000), " ",IF(INDEX($AB$2:$AQ$1001,MATCH(ROWS($U$2:U419),$U$2:$U$1001,0),MATCH(COLUMNS($AB$1006:AE1006),$AB$1006:$AQ$1006,0)), HYPERLINK("#",""), HYPERLINK(CONCATENATE("#Metadata!", ADDRESS(INDEX($W$2:$W$1001,MATCH(ROWS($U$2:U419),$U$2:$U$1001,0),0), INDEX($AB$1004:$AQ$1004,1,MATCH(COLUMNS($AB$1006:AE1006),$AB$1006:$AQ$1006,0)))),"Fix")))</f>
        <v>0</v>
      </c>
      <c r="F419" s="5">
        <f>IF(OR(INDEX($V$2:$V$1001,MATCH(ROWS($U$2:U419),$U$2:$U$1001,0),1)&gt;=100000,INDEX($AB$1005:$AQ$1005,1,MATCH(COLUMNS($AB$1006:AF1006),$AB$1006:$AQ$1006,0))&gt;=100000), " ",IF(INDEX($AB$2:$AQ$1001,MATCH(ROWS($U$2:U419),$U$2:$U$1001,0),MATCH(COLUMNS($AB$1006:AF1006),$AB$1006:$AQ$1006,0)), HYPERLINK("#",""), HYPERLINK(CONCATENATE("#Metadata!", ADDRESS(INDEX($W$2:$W$1001,MATCH(ROWS($U$2:U419),$U$2:$U$1001,0),0), INDEX($AB$1004:$AQ$1004,1,MATCH(COLUMNS($AB$1006:AF1006),$AB$1006:$AQ$1006,0)))),"Fix")))</f>
        <v>0</v>
      </c>
      <c r="G419" s="5">
        <f>IF(OR(INDEX($V$2:$V$1001,MATCH(ROWS($U$2:U419),$U$2:$U$1001,0),1)&gt;=100000,INDEX($AB$1005:$AQ$1005,1,MATCH(COLUMNS($AB$1006:AG1006),$AB$1006:$AQ$1006,0))&gt;=100000), " ",IF(INDEX($AB$2:$AQ$1001,MATCH(ROWS($U$2:U419),$U$2:$U$1001,0),MATCH(COLUMNS($AB$1006:AG1006),$AB$1006:$AQ$1006,0)), HYPERLINK("#",""), HYPERLINK(CONCATENATE("#Metadata!", ADDRESS(INDEX($W$2:$W$1001,MATCH(ROWS($U$2:U419),$U$2:$U$1001,0),0), INDEX($AB$1004:$AQ$1004,1,MATCH(COLUMNS($AB$1006:AG1006),$AB$1006:$AQ$1006,0)))),"Fix")))</f>
        <v>0</v>
      </c>
      <c r="H419" s="5">
        <f>IF(OR(INDEX($V$2:$V$1001,MATCH(ROWS($U$2:U419),$U$2:$U$1001,0),1)&gt;=100000,INDEX($AB$1005:$AQ$1005,1,MATCH(COLUMNS($AB$1006:AH1006),$AB$1006:$AQ$1006,0))&gt;=100000), " ",IF(INDEX($AB$2:$AQ$1001,MATCH(ROWS($U$2:U419),$U$2:$U$1001,0),MATCH(COLUMNS($AB$1006:AH1006),$AB$1006:$AQ$1006,0)), HYPERLINK("#",""), HYPERLINK(CONCATENATE("#Metadata!", ADDRESS(INDEX($W$2:$W$1001,MATCH(ROWS($U$2:U419),$U$2:$U$1001,0),0), INDEX($AB$1004:$AQ$1004,1,MATCH(COLUMNS($AB$1006:AH1006),$AB$1006:$AQ$1006,0)))),"Fix")))</f>
        <v>0</v>
      </c>
      <c r="I419" s="5">
        <f>IF(OR(INDEX($V$2:$V$1001,MATCH(ROWS($U$2:U419),$U$2:$U$1001,0),1)&gt;=100000,INDEX($AB$1005:$AQ$1005,1,MATCH(COLUMNS($AB$1006:AI1006),$AB$1006:$AQ$1006,0))&gt;=100000), " ",IF(INDEX($AB$2:$AQ$1001,MATCH(ROWS($U$2:U419),$U$2:$U$1001,0),MATCH(COLUMNS($AB$1006:AI1006),$AB$1006:$AQ$1006,0)), HYPERLINK("#",""), HYPERLINK(CONCATENATE("#Metadata!", ADDRESS(INDEX($W$2:$W$1001,MATCH(ROWS($U$2:U419),$U$2:$U$1001,0),0), INDEX($AB$1004:$AQ$1004,1,MATCH(COLUMNS($AB$1006:AI1006),$AB$1006:$AQ$1006,0)))),"Fix")))</f>
        <v>0</v>
      </c>
      <c r="J419" s="5">
        <f>IF(OR(INDEX($V$2:$V$1001,MATCH(ROWS($U$2:U419),$U$2:$U$1001,0),1)&gt;=100000,INDEX($AB$1005:$AQ$1005,1,MATCH(COLUMNS($AB$1006:AJ1006),$AB$1006:$AQ$1006,0))&gt;=100000), " ",IF(INDEX($AB$2:$AQ$1001,MATCH(ROWS($U$2:U419),$U$2:$U$1001,0),MATCH(COLUMNS($AB$1006:AJ1006),$AB$1006:$AQ$1006,0)), HYPERLINK("#",""), HYPERLINK(CONCATENATE("#Metadata!", ADDRESS(INDEX($W$2:$W$1001,MATCH(ROWS($U$2:U419),$U$2:$U$1001,0),0), INDEX($AB$1004:$AQ$1004,1,MATCH(COLUMNS($AB$1006:AJ1006),$AB$1006:$AQ$1006,0)))),"Fix")))</f>
        <v>0</v>
      </c>
      <c r="K419" s="5">
        <f>IF(OR(INDEX($V$2:$V$1001,MATCH(ROWS($U$2:U419),$U$2:$U$1001,0),1)&gt;=100000,INDEX($AB$1005:$AQ$1005,1,MATCH(COLUMNS($AB$1006:AK1006),$AB$1006:$AQ$1006,0))&gt;=100000), " ",IF(INDEX($AB$2:$AQ$1001,MATCH(ROWS($U$2:U419),$U$2:$U$1001,0),MATCH(COLUMNS($AB$1006:AK1006),$AB$1006:$AQ$1006,0)), HYPERLINK("#",""), HYPERLINK(CONCATENATE("#Metadata!", ADDRESS(INDEX($W$2:$W$1001,MATCH(ROWS($U$2:U419),$U$2:$U$1001,0),0), INDEX($AB$1004:$AQ$1004,1,MATCH(COLUMNS($AB$1006:AK1006),$AB$1006:$AQ$1006,0)))),"Fix")))</f>
        <v>0</v>
      </c>
      <c r="L419" s="5">
        <f>IF(OR(INDEX($V$2:$V$1001,MATCH(ROWS($U$2:U419),$U$2:$U$1001,0),1)&gt;=100000,INDEX($AB$1005:$AQ$1005,1,MATCH(COLUMNS($AB$1006:AL1006),$AB$1006:$AQ$1006,0))&gt;=100000), " ",IF(INDEX($AB$2:$AQ$1001,MATCH(ROWS($U$2:U419),$U$2:$U$1001,0),MATCH(COLUMNS($AB$1006:AL1006),$AB$1006:$AQ$1006,0)), HYPERLINK("#",""), HYPERLINK(CONCATENATE("#Metadata!", ADDRESS(INDEX($W$2:$W$1001,MATCH(ROWS($U$2:U419),$U$2:$U$1001,0),0), INDEX($AB$1004:$AQ$1004,1,MATCH(COLUMNS($AB$1006:AL1006),$AB$1006:$AQ$1006,0)))),"Fix")))</f>
        <v>0</v>
      </c>
      <c r="M419" s="5">
        <f>IF(OR(INDEX($V$2:$V$1001,MATCH(ROWS($U$2:U419),$U$2:$U$1001,0),1)&gt;=100000,INDEX($AB$1005:$AQ$1005,1,MATCH(COLUMNS($AB$1006:AM1006),$AB$1006:$AQ$1006,0))&gt;=100000), " ",IF(INDEX($AB$2:$AQ$1001,MATCH(ROWS($U$2:U419),$U$2:$U$1001,0),MATCH(COLUMNS($AB$1006:AM1006),$AB$1006:$AQ$1006,0)), HYPERLINK("#",""), HYPERLINK(CONCATENATE("#Metadata!", ADDRESS(INDEX($W$2:$W$1001,MATCH(ROWS($U$2:U419),$U$2:$U$1001,0),0), INDEX($AB$1004:$AQ$1004,1,MATCH(COLUMNS($AB$1006:AM1006),$AB$1006:$AQ$1006,0)))),"Fix")))</f>
        <v>0</v>
      </c>
      <c r="N419" s="5">
        <f>IF(OR(INDEX($V$2:$V$1001,MATCH(ROWS($U$2:U419),$U$2:$U$1001,0),1)&gt;=100000,INDEX($AB$1005:$AQ$1005,1,MATCH(COLUMNS($AB$1006:AN1006),$AB$1006:$AQ$1006,0))&gt;=100000), " ",IF(INDEX($AB$2:$AQ$1001,MATCH(ROWS($U$2:U419),$U$2:$U$1001,0),MATCH(COLUMNS($AB$1006:AN1006),$AB$1006:$AQ$1006,0)), HYPERLINK("#",""), HYPERLINK(CONCATENATE("#Metadata!", ADDRESS(INDEX($W$2:$W$1001,MATCH(ROWS($U$2:U419),$U$2:$U$1001,0),0), INDEX($AB$1004:$AQ$1004,1,MATCH(COLUMNS($AB$1006:AN1006),$AB$1006:$AQ$1006,0)))),"Fix")))</f>
        <v>0</v>
      </c>
      <c r="O419" s="5">
        <f>IF(OR(INDEX($V$2:$V$1001,MATCH(ROWS($U$2:U419),$U$2:$U$1001,0),1)&gt;=100000,INDEX($AB$1005:$AQ$1005,1,MATCH(COLUMNS($AB$1006:AO1006),$AB$1006:$AQ$1006,0))&gt;=100000), " ",IF(INDEX($AB$2:$AQ$1001,MATCH(ROWS($U$2:U419),$U$2:$U$1001,0),MATCH(COLUMNS($AB$1006:AO1006),$AB$1006:$AQ$1006,0)), HYPERLINK("#",""), HYPERLINK(CONCATENATE("#Metadata!", ADDRESS(INDEX($W$2:$W$1001,MATCH(ROWS($U$2:U419),$U$2:$U$1001,0),0), INDEX($AB$1004:$AQ$1004,1,MATCH(COLUMNS($AB$1006:AO1006),$AB$1006:$AQ$1006,0)))),"Fix")))</f>
        <v>0</v>
      </c>
      <c r="P419" s="5">
        <f>IF(OR(INDEX($V$2:$V$1001,MATCH(ROWS($U$2:U419),$U$2:$U$1001,0),1)&gt;=100000,INDEX($AB$1005:$AQ$1005,1,MATCH(COLUMNS($AB$1006:AP1006),$AB$1006:$AQ$1006,0))&gt;=100000), " ",IF(INDEX($AB$2:$AQ$1001,MATCH(ROWS($U$2:U419),$U$2:$U$1001,0),MATCH(COLUMNS($AB$1006:AP1006),$AB$1006:$AQ$1006,0)), HYPERLINK("#",""), HYPERLINK(CONCATENATE("#Metadata!", ADDRESS(INDEX($W$2:$W$1001,MATCH(ROWS($U$2:U419),$U$2:$U$1001,0),0), INDEX($AB$1004:$AQ$1004,1,MATCH(COLUMNS($AB$1006:AP1006),$AB$1006:$AQ$1006,0)))),"Fix")))</f>
        <v>0</v>
      </c>
      <c r="Q419" s="5">
        <f>IF(OR(INDEX($V$2:$V$1001,MATCH(ROWS($U$2:U419),$U$2:$U$1001,0),1)&gt;=100000,INDEX($AB$1005:$AQ$1005,1,MATCH(COLUMNS($AB$1006:AQ1006),$AB$1006:$AQ$1006,0))&gt;=100000), " ",IF(INDEX($AB$2:$AQ$1001,MATCH(ROWS($U$2:U419),$U$2:$U$1001,0),MATCH(COLUMNS($AB$1006:AQ1006),$AB$1006:$AQ$1006,0)), HYPERLINK("#",""), HYPERLINK(CONCATENATE("#Metadata!", ADDRESS(INDEX($W$2:$W$1001,MATCH(ROWS($U$2:U419),$U$2:$U$1001,0),0), INDEX($AB$1004:$AQ$1004,1,MATCH(COLUMNS($AB$1006:AQ1006),$AB$1006:$AQ$1006,0)))),"Fix")))</f>
        <v>0</v>
      </c>
      <c r="U419">
        <v>0</v>
      </c>
      <c r="V419">
        <v>0</v>
      </c>
      <c r="W419">
        <v>0</v>
      </c>
      <c r="X419">
        <f>IF(Y419,TRUE,AND(AB419:AQ419))</f>
        <v>0</v>
      </c>
      <c r="Y419">
        <f>COUNTBLANK(Metadata!B419:Q419)=COLUMNS(Metadata!B419:Q419)</f>
        <v>0</v>
      </c>
      <c r="Z419">
        <v>0</v>
      </c>
      <c r="AB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AC419">
        <f>AND(IF(Metadata!C419="",FALSE,TRUE),exact(Metadata!C419,"urban biome"))</f>
        <v>0</v>
      </c>
      <c r="AD419">
        <f>AND(IF(Metadata!D419="",FALSE,TRUE),exact(Metadata!D419,"human-associated habitat"))</f>
        <v>0</v>
      </c>
      <c r="AE419">
        <f>AND(IF(Metadata!E419="",FALSE,TRUE),OR(exact(Metadata!E419,"human-associated"),exact(Metadata!E419,"human-skin"),exact(Metadata!E419,"human-oral"),exact(Metadata!E419,"human-gut"),exact(Metadata!E419,"human-vaginal")))</f>
        <v>0</v>
      </c>
      <c r="AF419">
        <f>AND(IF(Metadata!F419="",FALSE,ISNUMBER(VALUE(Metadata!F419))),Metadata!F419&gt;0)</f>
        <v>0</v>
      </c>
      <c r="AG419">
        <f>AND(IF(Metadata!G419="",FALSE,TRUE),exact(Metadata!G419,"years"))</f>
        <v>0</v>
      </c>
      <c r="AH419">
        <f>OR(AND(IF(Metadata!H419="",FALSE,TRUE),OR(exact(Metadata!H419,"not applicable"),exact(Metadata!H419,"not collected"),exact(Metadata!H419,"not provided"),exact(Metadata!H419,"restricted access"))),AND(IF(Metadata!H419="",FALSE,ISNUMBER(VALUE(Metadata!H419))),Metadata!H419&gt;0))</f>
        <v>0</v>
      </c>
      <c r="AI419">
        <f>AND(IF(Metadata!I419="",FALSE,TRUE),exact(Metadata!I419,"human"))</f>
        <v>0</v>
      </c>
      <c r="AJ419">
        <f>AND(IF(Metadata!J419="",FALSE,ISNUMBER(VALUE(Metadata!J419))),Metadata!J419&gt;0)</f>
        <v>0</v>
      </c>
      <c r="AK419">
        <f>AND(IF(Metadata!K419="",FALSE,TRUE),exact(Metadata!K419,"cm"))</f>
        <v>0</v>
      </c>
      <c r="AL419">
        <f>AND(IF(Metadata!L419="",FALSE,TRUE),exact(Metadata!L419,"Homo sapiens"))</f>
        <v>0</v>
      </c>
      <c r="AM419">
        <f>AND(IF(Metadata!M419="",FALSE,TRUE),exact(Metadata!M419,"9606"))</f>
        <v>0</v>
      </c>
      <c r="AN419">
        <f>AND(IF(Metadata!N419="",FALSE,ISNUMBER(VALUE(Metadata!N419))),Metadata!N419&gt;0)</f>
        <v>0</v>
      </c>
      <c r="AO419">
        <f>AND(IF(Metadata!O419="",FALSE,TRUE),exact(Metadata!O419,"kg"))</f>
        <v>0</v>
      </c>
      <c r="AP419">
        <f>OR(AND(IF(Metadata!P419="",FALSE,TRUE),exact(Metadata!P419,"not provided")),IF(Metadata!P419="",FALSE,TRUE))</f>
        <v>0</v>
      </c>
      <c r="AQ419">
        <f>OR(AND(IF(Metadata!Q419="",FALSE,TRUE),exact(Metadata!Q419,"not provided")),IF(Metadata!Q419="",FALSE,TRUE))</f>
        <v>0</v>
      </c>
    </row>
    <row r="420" spans="1:43">
      <c r="A420" s="4">
        <f>IF(B420=" "," ",HYPERLINK(CONCATENATE("#metadata!",ADDRESS(INDEX($W$2:$W$1001,MATCH(ROWS($U$2:U420),$U$2:$U$1001,0),0),2)),INDEX($Z$2:$Z$1001,MATCH(ROWS($U$2:U420),$U$2:$U$1001,0),0)))</f>
        <v>0</v>
      </c>
      <c r="B420" s="5">
        <f>IF(OR(INDEX($V$2:$V$1001,MATCH(ROWS($U$2:U420),$U$2:$U$1001,0),1)&gt;=100000,INDEX($AB$1005:$AQ$1005,1,MATCH(COLUMNS($AB$1006:AB1006),$AB$1006:$AQ$1006,0))&gt;=100000), " ",IF(INDEX($AB$2:$AQ$1001,MATCH(ROWS($U$2:U420),$U$2:$U$1001,0),MATCH(COLUMNS($AB$1006:AB1006),$AB$1006:$AQ$1006,0)), HYPERLINK("#",""), HYPERLINK(CONCATENATE("#Metadata!", ADDRESS(INDEX($W$2:$W$1001,MATCH(ROWS($U$2:U420),$U$2:$U$1001,0),0), INDEX($AB$1004:$AQ$1004,1,MATCH(COLUMNS($AB$1006:AB1006),$AB$1006:$AQ$1006,0)))),"Fix")))</f>
        <v>0</v>
      </c>
      <c r="C420" s="5">
        <f>IF(OR(INDEX($V$2:$V$1001,MATCH(ROWS($U$2:U420),$U$2:$U$1001,0),1)&gt;=100000,INDEX($AB$1005:$AQ$1005,1,MATCH(COLUMNS($AB$1006:AC1006),$AB$1006:$AQ$1006,0))&gt;=100000), " ",IF(INDEX($AB$2:$AQ$1001,MATCH(ROWS($U$2:U420),$U$2:$U$1001,0),MATCH(COLUMNS($AB$1006:AC1006),$AB$1006:$AQ$1006,0)), HYPERLINK("#",""), HYPERLINK(CONCATENATE("#Metadata!", ADDRESS(INDEX($W$2:$W$1001,MATCH(ROWS($U$2:U420),$U$2:$U$1001,0),0), INDEX($AB$1004:$AQ$1004,1,MATCH(COLUMNS($AB$1006:AC1006),$AB$1006:$AQ$1006,0)))),"Fix")))</f>
        <v>0</v>
      </c>
      <c r="D420" s="5">
        <f>IF(OR(INDEX($V$2:$V$1001,MATCH(ROWS($U$2:U420),$U$2:$U$1001,0),1)&gt;=100000,INDEX($AB$1005:$AQ$1005,1,MATCH(COLUMNS($AB$1006:AD1006),$AB$1006:$AQ$1006,0))&gt;=100000), " ",IF(INDEX($AB$2:$AQ$1001,MATCH(ROWS($U$2:U420),$U$2:$U$1001,0),MATCH(COLUMNS($AB$1006:AD1006),$AB$1006:$AQ$1006,0)), HYPERLINK("#",""), HYPERLINK(CONCATENATE("#Metadata!", ADDRESS(INDEX($W$2:$W$1001,MATCH(ROWS($U$2:U420),$U$2:$U$1001,0),0), INDEX($AB$1004:$AQ$1004,1,MATCH(COLUMNS($AB$1006:AD1006),$AB$1006:$AQ$1006,0)))),"Fix")))</f>
        <v>0</v>
      </c>
      <c r="E420" s="5">
        <f>IF(OR(INDEX($V$2:$V$1001,MATCH(ROWS($U$2:U420),$U$2:$U$1001,0),1)&gt;=100000,INDEX($AB$1005:$AQ$1005,1,MATCH(COLUMNS($AB$1006:AE1006),$AB$1006:$AQ$1006,0))&gt;=100000), " ",IF(INDEX($AB$2:$AQ$1001,MATCH(ROWS($U$2:U420),$U$2:$U$1001,0),MATCH(COLUMNS($AB$1006:AE1006),$AB$1006:$AQ$1006,0)), HYPERLINK("#",""), HYPERLINK(CONCATENATE("#Metadata!", ADDRESS(INDEX($W$2:$W$1001,MATCH(ROWS($U$2:U420),$U$2:$U$1001,0),0), INDEX($AB$1004:$AQ$1004,1,MATCH(COLUMNS($AB$1006:AE1006),$AB$1006:$AQ$1006,0)))),"Fix")))</f>
        <v>0</v>
      </c>
      <c r="F420" s="5">
        <f>IF(OR(INDEX($V$2:$V$1001,MATCH(ROWS($U$2:U420),$U$2:$U$1001,0),1)&gt;=100000,INDEX($AB$1005:$AQ$1005,1,MATCH(COLUMNS($AB$1006:AF1006),$AB$1006:$AQ$1006,0))&gt;=100000), " ",IF(INDEX($AB$2:$AQ$1001,MATCH(ROWS($U$2:U420),$U$2:$U$1001,0),MATCH(COLUMNS($AB$1006:AF1006),$AB$1006:$AQ$1006,0)), HYPERLINK("#",""), HYPERLINK(CONCATENATE("#Metadata!", ADDRESS(INDEX($W$2:$W$1001,MATCH(ROWS($U$2:U420),$U$2:$U$1001,0),0), INDEX($AB$1004:$AQ$1004,1,MATCH(COLUMNS($AB$1006:AF1006),$AB$1006:$AQ$1006,0)))),"Fix")))</f>
        <v>0</v>
      </c>
      <c r="G420" s="5">
        <f>IF(OR(INDEX($V$2:$V$1001,MATCH(ROWS($U$2:U420),$U$2:$U$1001,0),1)&gt;=100000,INDEX($AB$1005:$AQ$1005,1,MATCH(COLUMNS($AB$1006:AG1006),$AB$1006:$AQ$1006,0))&gt;=100000), " ",IF(INDEX($AB$2:$AQ$1001,MATCH(ROWS($U$2:U420),$U$2:$U$1001,0),MATCH(COLUMNS($AB$1006:AG1006),$AB$1006:$AQ$1006,0)), HYPERLINK("#",""), HYPERLINK(CONCATENATE("#Metadata!", ADDRESS(INDEX($W$2:$W$1001,MATCH(ROWS($U$2:U420),$U$2:$U$1001,0),0), INDEX($AB$1004:$AQ$1004,1,MATCH(COLUMNS($AB$1006:AG1006),$AB$1006:$AQ$1006,0)))),"Fix")))</f>
        <v>0</v>
      </c>
      <c r="H420" s="5">
        <f>IF(OR(INDEX($V$2:$V$1001,MATCH(ROWS($U$2:U420),$U$2:$U$1001,0),1)&gt;=100000,INDEX($AB$1005:$AQ$1005,1,MATCH(COLUMNS($AB$1006:AH1006),$AB$1006:$AQ$1006,0))&gt;=100000), " ",IF(INDEX($AB$2:$AQ$1001,MATCH(ROWS($U$2:U420),$U$2:$U$1001,0),MATCH(COLUMNS($AB$1006:AH1006),$AB$1006:$AQ$1006,0)), HYPERLINK("#",""), HYPERLINK(CONCATENATE("#Metadata!", ADDRESS(INDEX($W$2:$W$1001,MATCH(ROWS($U$2:U420),$U$2:$U$1001,0),0), INDEX($AB$1004:$AQ$1004,1,MATCH(COLUMNS($AB$1006:AH1006),$AB$1006:$AQ$1006,0)))),"Fix")))</f>
        <v>0</v>
      </c>
      <c r="I420" s="5">
        <f>IF(OR(INDEX($V$2:$V$1001,MATCH(ROWS($U$2:U420),$U$2:$U$1001,0),1)&gt;=100000,INDEX($AB$1005:$AQ$1005,1,MATCH(COLUMNS($AB$1006:AI1006),$AB$1006:$AQ$1006,0))&gt;=100000), " ",IF(INDEX($AB$2:$AQ$1001,MATCH(ROWS($U$2:U420),$U$2:$U$1001,0),MATCH(COLUMNS($AB$1006:AI1006),$AB$1006:$AQ$1006,0)), HYPERLINK("#",""), HYPERLINK(CONCATENATE("#Metadata!", ADDRESS(INDEX($W$2:$W$1001,MATCH(ROWS($U$2:U420),$U$2:$U$1001,0),0), INDEX($AB$1004:$AQ$1004,1,MATCH(COLUMNS($AB$1006:AI1006),$AB$1006:$AQ$1006,0)))),"Fix")))</f>
        <v>0</v>
      </c>
      <c r="J420" s="5">
        <f>IF(OR(INDEX($V$2:$V$1001,MATCH(ROWS($U$2:U420),$U$2:$U$1001,0),1)&gt;=100000,INDEX($AB$1005:$AQ$1005,1,MATCH(COLUMNS($AB$1006:AJ1006),$AB$1006:$AQ$1006,0))&gt;=100000), " ",IF(INDEX($AB$2:$AQ$1001,MATCH(ROWS($U$2:U420),$U$2:$U$1001,0),MATCH(COLUMNS($AB$1006:AJ1006),$AB$1006:$AQ$1006,0)), HYPERLINK("#",""), HYPERLINK(CONCATENATE("#Metadata!", ADDRESS(INDEX($W$2:$W$1001,MATCH(ROWS($U$2:U420),$U$2:$U$1001,0),0), INDEX($AB$1004:$AQ$1004,1,MATCH(COLUMNS($AB$1006:AJ1006),$AB$1006:$AQ$1006,0)))),"Fix")))</f>
        <v>0</v>
      </c>
      <c r="K420" s="5">
        <f>IF(OR(INDEX($V$2:$V$1001,MATCH(ROWS($U$2:U420),$U$2:$U$1001,0),1)&gt;=100000,INDEX($AB$1005:$AQ$1005,1,MATCH(COLUMNS($AB$1006:AK1006),$AB$1006:$AQ$1006,0))&gt;=100000), " ",IF(INDEX($AB$2:$AQ$1001,MATCH(ROWS($U$2:U420),$U$2:$U$1001,0),MATCH(COLUMNS($AB$1006:AK1006),$AB$1006:$AQ$1006,0)), HYPERLINK("#",""), HYPERLINK(CONCATENATE("#Metadata!", ADDRESS(INDEX($W$2:$W$1001,MATCH(ROWS($U$2:U420),$U$2:$U$1001,0),0), INDEX($AB$1004:$AQ$1004,1,MATCH(COLUMNS($AB$1006:AK1006),$AB$1006:$AQ$1006,0)))),"Fix")))</f>
        <v>0</v>
      </c>
      <c r="L420" s="5">
        <f>IF(OR(INDEX($V$2:$V$1001,MATCH(ROWS($U$2:U420),$U$2:$U$1001,0),1)&gt;=100000,INDEX($AB$1005:$AQ$1005,1,MATCH(COLUMNS($AB$1006:AL1006),$AB$1006:$AQ$1006,0))&gt;=100000), " ",IF(INDEX($AB$2:$AQ$1001,MATCH(ROWS($U$2:U420),$U$2:$U$1001,0),MATCH(COLUMNS($AB$1006:AL1006),$AB$1006:$AQ$1006,0)), HYPERLINK("#",""), HYPERLINK(CONCATENATE("#Metadata!", ADDRESS(INDEX($W$2:$W$1001,MATCH(ROWS($U$2:U420),$U$2:$U$1001,0),0), INDEX($AB$1004:$AQ$1004,1,MATCH(COLUMNS($AB$1006:AL1006),$AB$1006:$AQ$1006,0)))),"Fix")))</f>
        <v>0</v>
      </c>
      <c r="M420" s="5">
        <f>IF(OR(INDEX($V$2:$V$1001,MATCH(ROWS($U$2:U420),$U$2:$U$1001,0),1)&gt;=100000,INDEX($AB$1005:$AQ$1005,1,MATCH(COLUMNS($AB$1006:AM1006),$AB$1006:$AQ$1006,0))&gt;=100000), " ",IF(INDEX($AB$2:$AQ$1001,MATCH(ROWS($U$2:U420),$U$2:$U$1001,0),MATCH(COLUMNS($AB$1006:AM1006),$AB$1006:$AQ$1006,0)), HYPERLINK("#",""), HYPERLINK(CONCATENATE("#Metadata!", ADDRESS(INDEX($W$2:$W$1001,MATCH(ROWS($U$2:U420),$U$2:$U$1001,0),0), INDEX($AB$1004:$AQ$1004,1,MATCH(COLUMNS($AB$1006:AM1006),$AB$1006:$AQ$1006,0)))),"Fix")))</f>
        <v>0</v>
      </c>
      <c r="N420" s="5">
        <f>IF(OR(INDEX($V$2:$V$1001,MATCH(ROWS($U$2:U420),$U$2:$U$1001,0),1)&gt;=100000,INDEX($AB$1005:$AQ$1005,1,MATCH(COLUMNS($AB$1006:AN1006),$AB$1006:$AQ$1006,0))&gt;=100000), " ",IF(INDEX($AB$2:$AQ$1001,MATCH(ROWS($U$2:U420),$U$2:$U$1001,0),MATCH(COLUMNS($AB$1006:AN1006),$AB$1006:$AQ$1006,0)), HYPERLINK("#",""), HYPERLINK(CONCATENATE("#Metadata!", ADDRESS(INDEX($W$2:$W$1001,MATCH(ROWS($U$2:U420),$U$2:$U$1001,0),0), INDEX($AB$1004:$AQ$1004,1,MATCH(COLUMNS($AB$1006:AN1006),$AB$1006:$AQ$1006,0)))),"Fix")))</f>
        <v>0</v>
      </c>
      <c r="O420" s="5">
        <f>IF(OR(INDEX($V$2:$V$1001,MATCH(ROWS($U$2:U420),$U$2:$U$1001,0),1)&gt;=100000,INDEX($AB$1005:$AQ$1005,1,MATCH(COLUMNS($AB$1006:AO1006),$AB$1006:$AQ$1006,0))&gt;=100000), " ",IF(INDEX($AB$2:$AQ$1001,MATCH(ROWS($U$2:U420),$U$2:$U$1001,0),MATCH(COLUMNS($AB$1006:AO1006),$AB$1006:$AQ$1006,0)), HYPERLINK("#",""), HYPERLINK(CONCATENATE("#Metadata!", ADDRESS(INDEX($W$2:$W$1001,MATCH(ROWS($U$2:U420),$U$2:$U$1001,0),0), INDEX($AB$1004:$AQ$1004,1,MATCH(COLUMNS($AB$1006:AO1006),$AB$1006:$AQ$1006,0)))),"Fix")))</f>
        <v>0</v>
      </c>
      <c r="P420" s="5">
        <f>IF(OR(INDEX($V$2:$V$1001,MATCH(ROWS($U$2:U420),$U$2:$U$1001,0),1)&gt;=100000,INDEX($AB$1005:$AQ$1005,1,MATCH(COLUMNS($AB$1006:AP1006),$AB$1006:$AQ$1006,0))&gt;=100000), " ",IF(INDEX($AB$2:$AQ$1001,MATCH(ROWS($U$2:U420),$U$2:$U$1001,0),MATCH(COLUMNS($AB$1006:AP1006),$AB$1006:$AQ$1006,0)), HYPERLINK("#",""), HYPERLINK(CONCATENATE("#Metadata!", ADDRESS(INDEX($W$2:$W$1001,MATCH(ROWS($U$2:U420),$U$2:$U$1001,0),0), INDEX($AB$1004:$AQ$1004,1,MATCH(COLUMNS($AB$1006:AP1006),$AB$1006:$AQ$1006,0)))),"Fix")))</f>
        <v>0</v>
      </c>
      <c r="Q420" s="5">
        <f>IF(OR(INDEX($V$2:$V$1001,MATCH(ROWS($U$2:U420),$U$2:$U$1001,0),1)&gt;=100000,INDEX($AB$1005:$AQ$1005,1,MATCH(COLUMNS($AB$1006:AQ1006),$AB$1006:$AQ$1006,0))&gt;=100000), " ",IF(INDEX($AB$2:$AQ$1001,MATCH(ROWS($U$2:U420),$U$2:$U$1001,0),MATCH(COLUMNS($AB$1006:AQ1006),$AB$1006:$AQ$1006,0)), HYPERLINK("#",""), HYPERLINK(CONCATENATE("#Metadata!", ADDRESS(INDEX($W$2:$W$1001,MATCH(ROWS($U$2:U420),$U$2:$U$1001,0),0), INDEX($AB$1004:$AQ$1004,1,MATCH(COLUMNS($AB$1006:AQ1006),$AB$1006:$AQ$1006,0)))),"Fix")))</f>
        <v>0</v>
      </c>
      <c r="U420">
        <v>0</v>
      </c>
      <c r="V420">
        <v>0</v>
      </c>
      <c r="W420">
        <v>0</v>
      </c>
      <c r="X420">
        <f>IF(Y420,TRUE,AND(AB420:AQ420))</f>
        <v>0</v>
      </c>
      <c r="Y420">
        <f>COUNTBLANK(Metadata!B420:Q420)=COLUMNS(Metadata!B420:Q420)</f>
        <v>0</v>
      </c>
      <c r="Z420">
        <v>0</v>
      </c>
      <c r="AB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AC420">
        <f>AND(IF(Metadata!C420="",FALSE,TRUE),exact(Metadata!C420,"urban biome"))</f>
        <v>0</v>
      </c>
      <c r="AD420">
        <f>AND(IF(Metadata!D420="",FALSE,TRUE),exact(Metadata!D420,"human-associated habitat"))</f>
        <v>0</v>
      </c>
      <c r="AE420">
        <f>AND(IF(Metadata!E420="",FALSE,TRUE),OR(exact(Metadata!E420,"human-associated"),exact(Metadata!E420,"human-skin"),exact(Metadata!E420,"human-oral"),exact(Metadata!E420,"human-gut"),exact(Metadata!E420,"human-vaginal")))</f>
        <v>0</v>
      </c>
      <c r="AF420">
        <f>AND(IF(Metadata!F420="",FALSE,ISNUMBER(VALUE(Metadata!F420))),Metadata!F420&gt;0)</f>
        <v>0</v>
      </c>
      <c r="AG420">
        <f>AND(IF(Metadata!G420="",FALSE,TRUE),exact(Metadata!G420,"years"))</f>
        <v>0</v>
      </c>
      <c r="AH420">
        <f>OR(AND(IF(Metadata!H420="",FALSE,TRUE),OR(exact(Metadata!H420,"not applicable"),exact(Metadata!H420,"not collected"),exact(Metadata!H420,"not provided"),exact(Metadata!H420,"restricted access"))),AND(IF(Metadata!H420="",FALSE,ISNUMBER(VALUE(Metadata!H420))),Metadata!H420&gt;0))</f>
        <v>0</v>
      </c>
      <c r="AI420">
        <f>AND(IF(Metadata!I420="",FALSE,TRUE),exact(Metadata!I420,"human"))</f>
        <v>0</v>
      </c>
      <c r="AJ420">
        <f>AND(IF(Metadata!J420="",FALSE,ISNUMBER(VALUE(Metadata!J420))),Metadata!J420&gt;0)</f>
        <v>0</v>
      </c>
      <c r="AK420">
        <f>AND(IF(Metadata!K420="",FALSE,TRUE),exact(Metadata!K420,"cm"))</f>
        <v>0</v>
      </c>
      <c r="AL420">
        <f>AND(IF(Metadata!L420="",FALSE,TRUE),exact(Metadata!L420,"Homo sapiens"))</f>
        <v>0</v>
      </c>
      <c r="AM420">
        <f>AND(IF(Metadata!M420="",FALSE,TRUE),exact(Metadata!M420,"9606"))</f>
        <v>0</v>
      </c>
      <c r="AN420">
        <f>AND(IF(Metadata!N420="",FALSE,ISNUMBER(VALUE(Metadata!N420))),Metadata!N420&gt;0)</f>
        <v>0</v>
      </c>
      <c r="AO420">
        <f>AND(IF(Metadata!O420="",FALSE,TRUE),exact(Metadata!O420,"kg"))</f>
        <v>0</v>
      </c>
      <c r="AP420">
        <f>OR(AND(IF(Metadata!P420="",FALSE,TRUE),exact(Metadata!P420,"not provided")),IF(Metadata!P420="",FALSE,TRUE))</f>
        <v>0</v>
      </c>
      <c r="AQ420">
        <f>OR(AND(IF(Metadata!Q420="",FALSE,TRUE),exact(Metadata!Q420,"not provided")),IF(Metadata!Q420="",FALSE,TRUE))</f>
        <v>0</v>
      </c>
    </row>
    <row r="421" spans="1:43">
      <c r="A421" s="4">
        <f>IF(B421=" "," ",HYPERLINK(CONCATENATE("#metadata!",ADDRESS(INDEX($W$2:$W$1001,MATCH(ROWS($U$2:U421),$U$2:$U$1001,0),0),2)),INDEX($Z$2:$Z$1001,MATCH(ROWS($U$2:U421),$U$2:$U$1001,0),0)))</f>
        <v>0</v>
      </c>
      <c r="B421" s="5">
        <f>IF(OR(INDEX($V$2:$V$1001,MATCH(ROWS($U$2:U421),$U$2:$U$1001,0),1)&gt;=100000,INDEX($AB$1005:$AQ$1005,1,MATCH(COLUMNS($AB$1006:AB1006),$AB$1006:$AQ$1006,0))&gt;=100000), " ",IF(INDEX($AB$2:$AQ$1001,MATCH(ROWS($U$2:U421),$U$2:$U$1001,0),MATCH(COLUMNS($AB$1006:AB1006),$AB$1006:$AQ$1006,0)), HYPERLINK("#",""), HYPERLINK(CONCATENATE("#Metadata!", ADDRESS(INDEX($W$2:$W$1001,MATCH(ROWS($U$2:U421),$U$2:$U$1001,0),0), INDEX($AB$1004:$AQ$1004,1,MATCH(COLUMNS($AB$1006:AB1006),$AB$1006:$AQ$1006,0)))),"Fix")))</f>
        <v>0</v>
      </c>
      <c r="C421" s="5">
        <f>IF(OR(INDEX($V$2:$V$1001,MATCH(ROWS($U$2:U421),$U$2:$U$1001,0),1)&gt;=100000,INDEX($AB$1005:$AQ$1005,1,MATCH(COLUMNS($AB$1006:AC1006),$AB$1006:$AQ$1006,0))&gt;=100000), " ",IF(INDEX($AB$2:$AQ$1001,MATCH(ROWS($U$2:U421),$U$2:$U$1001,0),MATCH(COLUMNS($AB$1006:AC1006),$AB$1006:$AQ$1006,0)), HYPERLINK("#",""), HYPERLINK(CONCATENATE("#Metadata!", ADDRESS(INDEX($W$2:$W$1001,MATCH(ROWS($U$2:U421),$U$2:$U$1001,0),0), INDEX($AB$1004:$AQ$1004,1,MATCH(COLUMNS($AB$1006:AC1006),$AB$1006:$AQ$1006,0)))),"Fix")))</f>
        <v>0</v>
      </c>
      <c r="D421" s="5">
        <f>IF(OR(INDEX($V$2:$V$1001,MATCH(ROWS($U$2:U421),$U$2:$U$1001,0),1)&gt;=100000,INDEX($AB$1005:$AQ$1005,1,MATCH(COLUMNS($AB$1006:AD1006),$AB$1006:$AQ$1006,0))&gt;=100000), " ",IF(INDEX($AB$2:$AQ$1001,MATCH(ROWS($U$2:U421),$U$2:$U$1001,0),MATCH(COLUMNS($AB$1006:AD1006),$AB$1006:$AQ$1006,0)), HYPERLINK("#",""), HYPERLINK(CONCATENATE("#Metadata!", ADDRESS(INDEX($W$2:$W$1001,MATCH(ROWS($U$2:U421),$U$2:$U$1001,0),0), INDEX($AB$1004:$AQ$1004,1,MATCH(COLUMNS($AB$1006:AD1006),$AB$1006:$AQ$1006,0)))),"Fix")))</f>
        <v>0</v>
      </c>
      <c r="E421" s="5">
        <f>IF(OR(INDEX($V$2:$V$1001,MATCH(ROWS($U$2:U421),$U$2:$U$1001,0),1)&gt;=100000,INDEX($AB$1005:$AQ$1005,1,MATCH(COLUMNS($AB$1006:AE1006),$AB$1006:$AQ$1006,0))&gt;=100000), " ",IF(INDEX($AB$2:$AQ$1001,MATCH(ROWS($U$2:U421),$U$2:$U$1001,0),MATCH(COLUMNS($AB$1006:AE1006),$AB$1006:$AQ$1006,0)), HYPERLINK("#",""), HYPERLINK(CONCATENATE("#Metadata!", ADDRESS(INDEX($W$2:$W$1001,MATCH(ROWS($U$2:U421),$U$2:$U$1001,0),0), INDEX($AB$1004:$AQ$1004,1,MATCH(COLUMNS($AB$1006:AE1006),$AB$1006:$AQ$1006,0)))),"Fix")))</f>
        <v>0</v>
      </c>
      <c r="F421" s="5">
        <f>IF(OR(INDEX($V$2:$V$1001,MATCH(ROWS($U$2:U421),$U$2:$U$1001,0),1)&gt;=100000,INDEX($AB$1005:$AQ$1005,1,MATCH(COLUMNS($AB$1006:AF1006),$AB$1006:$AQ$1006,0))&gt;=100000), " ",IF(INDEX($AB$2:$AQ$1001,MATCH(ROWS($U$2:U421),$U$2:$U$1001,0),MATCH(COLUMNS($AB$1006:AF1006),$AB$1006:$AQ$1006,0)), HYPERLINK("#",""), HYPERLINK(CONCATENATE("#Metadata!", ADDRESS(INDEX($W$2:$W$1001,MATCH(ROWS($U$2:U421),$U$2:$U$1001,0),0), INDEX($AB$1004:$AQ$1004,1,MATCH(COLUMNS($AB$1006:AF1006),$AB$1006:$AQ$1006,0)))),"Fix")))</f>
        <v>0</v>
      </c>
      <c r="G421" s="5">
        <f>IF(OR(INDEX($V$2:$V$1001,MATCH(ROWS($U$2:U421),$U$2:$U$1001,0),1)&gt;=100000,INDEX($AB$1005:$AQ$1005,1,MATCH(COLUMNS($AB$1006:AG1006),$AB$1006:$AQ$1006,0))&gt;=100000), " ",IF(INDEX($AB$2:$AQ$1001,MATCH(ROWS($U$2:U421),$U$2:$U$1001,0),MATCH(COLUMNS($AB$1006:AG1006),$AB$1006:$AQ$1006,0)), HYPERLINK("#",""), HYPERLINK(CONCATENATE("#Metadata!", ADDRESS(INDEX($W$2:$W$1001,MATCH(ROWS($U$2:U421),$U$2:$U$1001,0),0), INDEX($AB$1004:$AQ$1004,1,MATCH(COLUMNS($AB$1006:AG1006),$AB$1006:$AQ$1006,0)))),"Fix")))</f>
        <v>0</v>
      </c>
      <c r="H421" s="5">
        <f>IF(OR(INDEX($V$2:$V$1001,MATCH(ROWS($U$2:U421),$U$2:$U$1001,0),1)&gt;=100000,INDEX($AB$1005:$AQ$1005,1,MATCH(COLUMNS($AB$1006:AH1006),$AB$1006:$AQ$1006,0))&gt;=100000), " ",IF(INDEX($AB$2:$AQ$1001,MATCH(ROWS($U$2:U421),$U$2:$U$1001,0),MATCH(COLUMNS($AB$1006:AH1006),$AB$1006:$AQ$1006,0)), HYPERLINK("#",""), HYPERLINK(CONCATENATE("#Metadata!", ADDRESS(INDEX($W$2:$W$1001,MATCH(ROWS($U$2:U421),$U$2:$U$1001,0),0), INDEX($AB$1004:$AQ$1004,1,MATCH(COLUMNS($AB$1006:AH1006),$AB$1006:$AQ$1006,0)))),"Fix")))</f>
        <v>0</v>
      </c>
      <c r="I421" s="5">
        <f>IF(OR(INDEX($V$2:$V$1001,MATCH(ROWS($U$2:U421),$U$2:$U$1001,0),1)&gt;=100000,INDEX($AB$1005:$AQ$1005,1,MATCH(COLUMNS($AB$1006:AI1006),$AB$1006:$AQ$1006,0))&gt;=100000), " ",IF(INDEX($AB$2:$AQ$1001,MATCH(ROWS($U$2:U421),$U$2:$U$1001,0),MATCH(COLUMNS($AB$1006:AI1006),$AB$1006:$AQ$1006,0)), HYPERLINK("#",""), HYPERLINK(CONCATENATE("#Metadata!", ADDRESS(INDEX($W$2:$W$1001,MATCH(ROWS($U$2:U421),$U$2:$U$1001,0),0), INDEX($AB$1004:$AQ$1004,1,MATCH(COLUMNS($AB$1006:AI1006),$AB$1006:$AQ$1006,0)))),"Fix")))</f>
        <v>0</v>
      </c>
      <c r="J421" s="5">
        <f>IF(OR(INDEX($V$2:$V$1001,MATCH(ROWS($U$2:U421),$U$2:$U$1001,0),1)&gt;=100000,INDEX($AB$1005:$AQ$1005,1,MATCH(COLUMNS($AB$1006:AJ1006),$AB$1006:$AQ$1006,0))&gt;=100000), " ",IF(INDEX($AB$2:$AQ$1001,MATCH(ROWS($U$2:U421),$U$2:$U$1001,0),MATCH(COLUMNS($AB$1006:AJ1006),$AB$1006:$AQ$1006,0)), HYPERLINK("#",""), HYPERLINK(CONCATENATE("#Metadata!", ADDRESS(INDEX($W$2:$W$1001,MATCH(ROWS($U$2:U421),$U$2:$U$1001,0),0), INDEX($AB$1004:$AQ$1004,1,MATCH(COLUMNS($AB$1006:AJ1006),$AB$1006:$AQ$1006,0)))),"Fix")))</f>
        <v>0</v>
      </c>
      <c r="K421" s="5">
        <f>IF(OR(INDEX($V$2:$V$1001,MATCH(ROWS($U$2:U421),$U$2:$U$1001,0),1)&gt;=100000,INDEX($AB$1005:$AQ$1005,1,MATCH(COLUMNS($AB$1006:AK1006),$AB$1006:$AQ$1006,0))&gt;=100000), " ",IF(INDEX($AB$2:$AQ$1001,MATCH(ROWS($U$2:U421),$U$2:$U$1001,0),MATCH(COLUMNS($AB$1006:AK1006),$AB$1006:$AQ$1006,0)), HYPERLINK("#",""), HYPERLINK(CONCATENATE("#Metadata!", ADDRESS(INDEX($W$2:$W$1001,MATCH(ROWS($U$2:U421),$U$2:$U$1001,0),0), INDEX($AB$1004:$AQ$1004,1,MATCH(COLUMNS($AB$1006:AK1006),$AB$1006:$AQ$1006,0)))),"Fix")))</f>
        <v>0</v>
      </c>
      <c r="L421" s="5">
        <f>IF(OR(INDEX($V$2:$V$1001,MATCH(ROWS($U$2:U421),$U$2:$U$1001,0),1)&gt;=100000,INDEX($AB$1005:$AQ$1005,1,MATCH(COLUMNS($AB$1006:AL1006),$AB$1006:$AQ$1006,0))&gt;=100000), " ",IF(INDEX($AB$2:$AQ$1001,MATCH(ROWS($U$2:U421),$U$2:$U$1001,0),MATCH(COLUMNS($AB$1006:AL1006),$AB$1006:$AQ$1006,0)), HYPERLINK("#",""), HYPERLINK(CONCATENATE("#Metadata!", ADDRESS(INDEX($W$2:$W$1001,MATCH(ROWS($U$2:U421),$U$2:$U$1001,0),0), INDEX($AB$1004:$AQ$1004,1,MATCH(COLUMNS($AB$1006:AL1006),$AB$1006:$AQ$1006,0)))),"Fix")))</f>
        <v>0</v>
      </c>
      <c r="M421" s="5">
        <f>IF(OR(INDEX($V$2:$V$1001,MATCH(ROWS($U$2:U421),$U$2:$U$1001,0),1)&gt;=100000,INDEX($AB$1005:$AQ$1005,1,MATCH(COLUMNS($AB$1006:AM1006),$AB$1006:$AQ$1006,0))&gt;=100000), " ",IF(INDEX($AB$2:$AQ$1001,MATCH(ROWS($U$2:U421),$U$2:$U$1001,0),MATCH(COLUMNS($AB$1006:AM1006),$AB$1006:$AQ$1006,0)), HYPERLINK("#",""), HYPERLINK(CONCATENATE("#Metadata!", ADDRESS(INDEX($W$2:$W$1001,MATCH(ROWS($U$2:U421),$U$2:$U$1001,0),0), INDEX($AB$1004:$AQ$1004,1,MATCH(COLUMNS($AB$1006:AM1006),$AB$1006:$AQ$1006,0)))),"Fix")))</f>
        <v>0</v>
      </c>
      <c r="N421" s="5">
        <f>IF(OR(INDEX($V$2:$V$1001,MATCH(ROWS($U$2:U421),$U$2:$U$1001,0),1)&gt;=100000,INDEX($AB$1005:$AQ$1005,1,MATCH(COLUMNS($AB$1006:AN1006),$AB$1006:$AQ$1006,0))&gt;=100000), " ",IF(INDEX($AB$2:$AQ$1001,MATCH(ROWS($U$2:U421),$U$2:$U$1001,0),MATCH(COLUMNS($AB$1006:AN1006),$AB$1006:$AQ$1006,0)), HYPERLINK("#",""), HYPERLINK(CONCATENATE("#Metadata!", ADDRESS(INDEX($W$2:$W$1001,MATCH(ROWS($U$2:U421),$U$2:$U$1001,0),0), INDEX($AB$1004:$AQ$1004,1,MATCH(COLUMNS($AB$1006:AN1006),$AB$1006:$AQ$1006,0)))),"Fix")))</f>
        <v>0</v>
      </c>
      <c r="O421" s="5">
        <f>IF(OR(INDEX($V$2:$V$1001,MATCH(ROWS($U$2:U421),$U$2:$U$1001,0),1)&gt;=100000,INDEX($AB$1005:$AQ$1005,1,MATCH(COLUMNS($AB$1006:AO1006),$AB$1006:$AQ$1006,0))&gt;=100000), " ",IF(INDEX($AB$2:$AQ$1001,MATCH(ROWS($U$2:U421),$U$2:$U$1001,0),MATCH(COLUMNS($AB$1006:AO1006),$AB$1006:$AQ$1006,0)), HYPERLINK("#",""), HYPERLINK(CONCATENATE("#Metadata!", ADDRESS(INDEX($W$2:$W$1001,MATCH(ROWS($U$2:U421),$U$2:$U$1001,0),0), INDEX($AB$1004:$AQ$1004,1,MATCH(COLUMNS($AB$1006:AO1006),$AB$1006:$AQ$1006,0)))),"Fix")))</f>
        <v>0</v>
      </c>
      <c r="P421" s="5">
        <f>IF(OR(INDEX($V$2:$V$1001,MATCH(ROWS($U$2:U421),$U$2:$U$1001,0),1)&gt;=100000,INDEX($AB$1005:$AQ$1005,1,MATCH(COLUMNS($AB$1006:AP1006),$AB$1006:$AQ$1006,0))&gt;=100000), " ",IF(INDEX($AB$2:$AQ$1001,MATCH(ROWS($U$2:U421),$U$2:$U$1001,0),MATCH(COLUMNS($AB$1006:AP1006),$AB$1006:$AQ$1006,0)), HYPERLINK("#",""), HYPERLINK(CONCATENATE("#Metadata!", ADDRESS(INDEX($W$2:$W$1001,MATCH(ROWS($U$2:U421),$U$2:$U$1001,0),0), INDEX($AB$1004:$AQ$1004,1,MATCH(COLUMNS($AB$1006:AP1006),$AB$1006:$AQ$1006,0)))),"Fix")))</f>
        <v>0</v>
      </c>
      <c r="Q421" s="5">
        <f>IF(OR(INDEX($V$2:$V$1001,MATCH(ROWS($U$2:U421),$U$2:$U$1001,0),1)&gt;=100000,INDEX($AB$1005:$AQ$1005,1,MATCH(COLUMNS($AB$1006:AQ1006),$AB$1006:$AQ$1006,0))&gt;=100000), " ",IF(INDEX($AB$2:$AQ$1001,MATCH(ROWS($U$2:U421),$U$2:$U$1001,0),MATCH(COLUMNS($AB$1006:AQ1006),$AB$1006:$AQ$1006,0)), HYPERLINK("#",""), HYPERLINK(CONCATENATE("#Metadata!", ADDRESS(INDEX($W$2:$W$1001,MATCH(ROWS($U$2:U421),$U$2:$U$1001,0),0), INDEX($AB$1004:$AQ$1004,1,MATCH(COLUMNS($AB$1006:AQ1006),$AB$1006:$AQ$1006,0)))),"Fix")))</f>
        <v>0</v>
      </c>
      <c r="U421">
        <v>0</v>
      </c>
      <c r="V421">
        <v>0</v>
      </c>
      <c r="W421">
        <v>0</v>
      </c>
      <c r="X421">
        <f>IF(Y421,TRUE,AND(AB421:AQ421))</f>
        <v>0</v>
      </c>
      <c r="Y421">
        <f>COUNTBLANK(Metadata!B421:Q421)=COLUMNS(Metadata!B421:Q421)</f>
        <v>0</v>
      </c>
      <c r="Z421">
        <v>0</v>
      </c>
      <c r="AB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AC421">
        <f>AND(IF(Metadata!C421="",FALSE,TRUE),exact(Metadata!C421,"urban biome"))</f>
        <v>0</v>
      </c>
      <c r="AD421">
        <f>AND(IF(Metadata!D421="",FALSE,TRUE),exact(Metadata!D421,"human-associated habitat"))</f>
        <v>0</v>
      </c>
      <c r="AE421">
        <f>AND(IF(Metadata!E421="",FALSE,TRUE),OR(exact(Metadata!E421,"human-associated"),exact(Metadata!E421,"human-skin"),exact(Metadata!E421,"human-oral"),exact(Metadata!E421,"human-gut"),exact(Metadata!E421,"human-vaginal")))</f>
        <v>0</v>
      </c>
      <c r="AF421">
        <f>AND(IF(Metadata!F421="",FALSE,ISNUMBER(VALUE(Metadata!F421))),Metadata!F421&gt;0)</f>
        <v>0</v>
      </c>
      <c r="AG421">
        <f>AND(IF(Metadata!G421="",FALSE,TRUE),exact(Metadata!G421,"years"))</f>
        <v>0</v>
      </c>
      <c r="AH421">
        <f>OR(AND(IF(Metadata!H421="",FALSE,TRUE),OR(exact(Metadata!H421,"not applicable"),exact(Metadata!H421,"not collected"),exact(Metadata!H421,"not provided"),exact(Metadata!H421,"restricted access"))),AND(IF(Metadata!H421="",FALSE,ISNUMBER(VALUE(Metadata!H421))),Metadata!H421&gt;0))</f>
        <v>0</v>
      </c>
      <c r="AI421">
        <f>AND(IF(Metadata!I421="",FALSE,TRUE),exact(Metadata!I421,"human"))</f>
        <v>0</v>
      </c>
      <c r="AJ421">
        <f>AND(IF(Metadata!J421="",FALSE,ISNUMBER(VALUE(Metadata!J421))),Metadata!J421&gt;0)</f>
        <v>0</v>
      </c>
      <c r="AK421">
        <f>AND(IF(Metadata!K421="",FALSE,TRUE),exact(Metadata!K421,"cm"))</f>
        <v>0</v>
      </c>
      <c r="AL421">
        <f>AND(IF(Metadata!L421="",FALSE,TRUE),exact(Metadata!L421,"Homo sapiens"))</f>
        <v>0</v>
      </c>
      <c r="AM421">
        <f>AND(IF(Metadata!M421="",FALSE,TRUE),exact(Metadata!M421,"9606"))</f>
        <v>0</v>
      </c>
      <c r="AN421">
        <f>AND(IF(Metadata!N421="",FALSE,ISNUMBER(VALUE(Metadata!N421))),Metadata!N421&gt;0)</f>
        <v>0</v>
      </c>
      <c r="AO421">
        <f>AND(IF(Metadata!O421="",FALSE,TRUE),exact(Metadata!O421,"kg"))</f>
        <v>0</v>
      </c>
      <c r="AP421">
        <f>OR(AND(IF(Metadata!P421="",FALSE,TRUE),exact(Metadata!P421,"not provided")),IF(Metadata!P421="",FALSE,TRUE))</f>
        <v>0</v>
      </c>
      <c r="AQ421">
        <f>OR(AND(IF(Metadata!Q421="",FALSE,TRUE),exact(Metadata!Q421,"not provided")),IF(Metadata!Q421="",FALSE,TRUE))</f>
        <v>0</v>
      </c>
    </row>
    <row r="422" spans="1:43">
      <c r="A422" s="4">
        <f>IF(B422=" "," ",HYPERLINK(CONCATENATE("#metadata!",ADDRESS(INDEX($W$2:$W$1001,MATCH(ROWS($U$2:U422),$U$2:$U$1001,0),0),2)),INDEX($Z$2:$Z$1001,MATCH(ROWS($U$2:U422),$U$2:$U$1001,0),0)))</f>
        <v>0</v>
      </c>
      <c r="B422" s="5">
        <f>IF(OR(INDEX($V$2:$V$1001,MATCH(ROWS($U$2:U422),$U$2:$U$1001,0),1)&gt;=100000,INDEX($AB$1005:$AQ$1005,1,MATCH(COLUMNS($AB$1006:AB1006),$AB$1006:$AQ$1006,0))&gt;=100000), " ",IF(INDEX($AB$2:$AQ$1001,MATCH(ROWS($U$2:U422),$U$2:$U$1001,0),MATCH(COLUMNS($AB$1006:AB1006),$AB$1006:$AQ$1006,0)), HYPERLINK("#",""), HYPERLINK(CONCATENATE("#Metadata!", ADDRESS(INDEX($W$2:$W$1001,MATCH(ROWS($U$2:U422),$U$2:$U$1001,0),0), INDEX($AB$1004:$AQ$1004,1,MATCH(COLUMNS($AB$1006:AB1006),$AB$1006:$AQ$1006,0)))),"Fix")))</f>
        <v>0</v>
      </c>
      <c r="C422" s="5">
        <f>IF(OR(INDEX($V$2:$V$1001,MATCH(ROWS($U$2:U422),$U$2:$U$1001,0),1)&gt;=100000,INDEX($AB$1005:$AQ$1005,1,MATCH(COLUMNS($AB$1006:AC1006),$AB$1006:$AQ$1006,0))&gt;=100000), " ",IF(INDEX($AB$2:$AQ$1001,MATCH(ROWS($U$2:U422),$U$2:$U$1001,0),MATCH(COLUMNS($AB$1006:AC1006),$AB$1006:$AQ$1006,0)), HYPERLINK("#",""), HYPERLINK(CONCATENATE("#Metadata!", ADDRESS(INDEX($W$2:$W$1001,MATCH(ROWS($U$2:U422),$U$2:$U$1001,0),0), INDEX($AB$1004:$AQ$1004,1,MATCH(COLUMNS($AB$1006:AC1006),$AB$1006:$AQ$1006,0)))),"Fix")))</f>
        <v>0</v>
      </c>
      <c r="D422" s="5">
        <f>IF(OR(INDEX($V$2:$V$1001,MATCH(ROWS($U$2:U422),$U$2:$U$1001,0),1)&gt;=100000,INDEX($AB$1005:$AQ$1005,1,MATCH(COLUMNS($AB$1006:AD1006),$AB$1006:$AQ$1006,0))&gt;=100000), " ",IF(INDEX($AB$2:$AQ$1001,MATCH(ROWS($U$2:U422),$U$2:$U$1001,0),MATCH(COLUMNS($AB$1006:AD1006),$AB$1006:$AQ$1006,0)), HYPERLINK("#",""), HYPERLINK(CONCATENATE("#Metadata!", ADDRESS(INDEX($W$2:$W$1001,MATCH(ROWS($U$2:U422),$U$2:$U$1001,0),0), INDEX($AB$1004:$AQ$1004,1,MATCH(COLUMNS($AB$1006:AD1006),$AB$1006:$AQ$1006,0)))),"Fix")))</f>
        <v>0</v>
      </c>
      <c r="E422" s="5">
        <f>IF(OR(INDEX($V$2:$V$1001,MATCH(ROWS($U$2:U422),$U$2:$U$1001,0),1)&gt;=100000,INDEX($AB$1005:$AQ$1005,1,MATCH(COLUMNS($AB$1006:AE1006),$AB$1006:$AQ$1006,0))&gt;=100000), " ",IF(INDEX($AB$2:$AQ$1001,MATCH(ROWS($U$2:U422),$U$2:$U$1001,0),MATCH(COLUMNS($AB$1006:AE1006),$AB$1006:$AQ$1006,0)), HYPERLINK("#",""), HYPERLINK(CONCATENATE("#Metadata!", ADDRESS(INDEX($W$2:$W$1001,MATCH(ROWS($U$2:U422),$U$2:$U$1001,0),0), INDEX($AB$1004:$AQ$1004,1,MATCH(COLUMNS($AB$1006:AE1006),$AB$1006:$AQ$1006,0)))),"Fix")))</f>
        <v>0</v>
      </c>
      <c r="F422" s="5">
        <f>IF(OR(INDEX($V$2:$V$1001,MATCH(ROWS($U$2:U422),$U$2:$U$1001,0),1)&gt;=100000,INDEX($AB$1005:$AQ$1005,1,MATCH(COLUMNS($AB$1006:AF1006),$AB$1006:$AQ$1006,0))&gt;=100000), " ",IF(INDEX($AB$2:$AQ$1001,MATCH(ROWS($U$2:U422),$U$2:$U$1001,0),MATCH(COLUMNS($AB$1006:AF1006),$AB$1006:$AQ$1006,0)), HYPERLINK("#",""), HYPERLINK(CONCATENATE("#Metadata!", ADDRESS(INDEX($W$2:$W$1001,MATCH(ROWS($U$2:U422),$U$2:$U$1001,0),0), INDEX($AB$1004:$AQ$1004,1,MATCH(COLUMNS($AB$1006:AF1006),$AB$1006:$AQ$1006,0)))),"Fix")))</f>
        <v>0</v>
      </c>
      <c r="G422" s="5">
        <f>IF(OR(INDEX($V$2:$V$1001,MATCH(ROWS($U$2:U422),$U$2:$U$1001,0),1)&gt;=100000,INDEX($AB$1005:$AQ$1005,1,MATCH(COLUMNS($AB$1006:AG1006),$AB$1006:$AQ$1006,0))&gt;=100000), " ",IF(INDEX($AB$2:$AQ$1001,MATCH(ROWS($U$2:U422),$U$2:$U$1001,0),MATCH(COLUMNS($AB$1006:AG1006),$AB$1006:$AQ$1006,0)), HYPERLINK("#",""), HYPERLINK(CONCATENATE("#Metadata!", ADDRESS(INDEX($W$2:$W$1001,MATCH(ROWS($U$2:U422),$U$2:$U$1001,0),0), INDEX($AB$1004:$AQ$1004,1,MATCH(COLUMNS($AB$1006:AG1006),$AB$1006:$AQ$1006,0)))),"Fix")))</f>
        <v>0</v>
      </c>
      <c r="H422" s="5">
        <f>IF(OR(INDEX($V$2:$V$1001,MATCH(ROWS($U$2:U422),$U$2:$U$1001,0),1)&gt;=100000,INDEX($AB$1005:$AQ$1005,1,MATCH(COLUMNS($AB$1006:AH1006),$AB$1006:$AQ$1006,0))&gt;=100000), " ",IF(INDEX($AB$2:$AQ$1001,MATCH(ROWS($U$2:U422),$U$2:$U$1001,0),MATCH(COLUMNS($AB$1006:AH1006),$AB$1006:$AQ$1006,0)), HYPERLINK("#",""), HYPERLINK(CONCATENATE("#Metadata!", ADDRESS(INDEX($W$2:$W$1001,MATCH(ROWS($U$2:U422),$U$2:$U$1001,0),0), INDEX($AB$1004:$AQ$1004,1,MATCH(COLUMNS($AB$1006:AH1006),$AB$1006:$AQ$1006,0)))),"Fix")))</f>
        <v>0</v>
      </c>
      <c r="I422" s="5">
        <f>IF(OR(INDEX($V$2:$V$1001,MATCH(ROWS($U$2:U422),$U$2:$U$1001,0),1)&gt;=100000,INDEX($AB$1005:$AQ$1005,1,MATCH(COLUMNS($AB$1006:AI1006),$AB$1006:$AQ$1006,0))&gt;=100000), " ",IF(INDEX($AB$2:$AQ$1001,MATCH(ROWS($U$2:U422),$U$2:$U$1001,0),MATCH(COLUMNS($AB$1006:AI1006),$AB$1006:$AQ$1006,0)), HYPERLINK("#",""), HYPERLINK(CONCATENATE("#Metadata!", ADDRESS(INDEX($W$2:$W$1001,MATCH(ROWS($U$2:U422),$U$2:$U$1001,0),0), INDEX($AB$1004:$AQ$1004,1,MATCH(COLUMNS($AB$1006:AI1006),$AB$1006:$AQ$1006,0)))),"Fix")))</f>
        <v>0</v>
      </c>
      <c r="J422" s="5">
        <f>IF(OR(INDEX($V$2:$V$1001,MATCH(ROWS($U$2:U422),$U$2:$U$1001,0),1)&gt;=100000,INDEX($AB$1005:$AQ$1005,1,MATCH(COLUMNS($AB$1006:AJ1006),$AB$1006:$AQ$1006,0))&gt;=100000), " ",IF(INDEX($AB$2:$AQ$1001,MATCH(ROWS($U$2:U422),$U$2:$U$1001,0),MATCH(COLUMNS($AB$1006:AJ1006),$AB$1006:$AQ$1006,0)), HYPERLINK("#",""), HYPERLINK(CONCATENATE("#Metadata!", ADDRESS(INDEX($W$2:$W$1001,MATCH(ROWS($U$2:U422),$U$2:$U$1001,0),0), INDEX($AB$1004:$AQ$1004,1,MATCH(COLUMNS($AB$1006:AJ1006),$AB$1006:$AQ$1006,0)))),"Fix")))</f>
        <v>0</v>
      </c>
      <c r="K422" s="5">
        <f>IF(OR(INDEX($V$2:$V$1001,MATCH(ROWS($U$2:U422),$U$2:$U$1001,0),1)&gt;=100000,INDEX($AB$1005:$AQ$1005,1,MATCH(COLUMNS($AB$1006:AK1006),$AB$1006:$AQ$1006,0))&gt;=100000), " ",IF(INDEX($AB$2:$AQ$1001,MATCH(ROWS($U$2:U422),$U$2:$U$1001,0),MATCH(COLUMNS($AB$1006:AK1006),$AB$1006:$AQ$1006,0)), HYPERLINK("#",""), HYPERLINK(CONCATENATE("#Metadata!", ADDRESS(INDEX($W$2:$W$1001,MATCH(ROWS($U$2:U422),$U$2:$U$1001,0),0), INDEX($AB$1004:$AQ$1004,1,MATCH(COLUMNS($AB$1006:AK1006),$AB$1006:$AQ$1006,0)))),"Fix")))</f>
        <v>0</v>
      </c>
      <c r="L422" s="5">
        <f>IF(OR(INDEX($V$2:$V$1001,MATCH(ROWS($U$2:U422),$U$2:$U$1001,0),1)&gt;=100000,INDEX($AB$1005:$AQ$1005,1,MATCH(COLUMNS($AB$1006:AL1006),$AB$1006:$AQ$1006,0))&gt;=100000), " ",IF(INDEX($AB$2:$AQ$1001,MATCH(ROWS($U$2:U422),$U$2:$U$1001,0),MATCH(COLUMNS($AB$1006:AL1006),$AB$1006:$AQ$1006,0)), HYPERLINK("#",""), HYPERLINK(CONCATENATE("#Metadata!", ADDRESS(INDEX($W$2:$W$1001,MATCH(ROWS($U$2:U422),$U$2:$U$1001,0),0), INDEX($AB$1004:$AQ$1004,1,MATCH(COLUMNS($AB$1006:AL1006),$AB$1006:$AQ$1006,0)))),"Fix")))</f>
        <v>0</v>
      </c>
      <c r="M422" s="5">
        <f>IF(OR(INDEX($V$2:$V$1001,MATCH(ROWS($U$2:U422),$U$2:$U$1001,0),1)&gt;=100000,INDEX($AB$1005:$AQ$1005,1,MATCH(COLUMNS($AB$1006:AM1006),$AB$1006:$AQ$1006,0))&gt;=100000), " ",IF(INDEX($AB$2:$AQ$1001,MATCH(ROWS($U$2:U422),$U$2:$U$1001,0),MATCH(COLUMNS($AB$1006:AM1006),$AB$1006:$AQ$1006,0)), HYPERLINK("#",""), HYPERLINK(CONCATENATE("#Metadata!", ADDRESS(INDEX($W$2:$W$1001,MATCH(ROWS($U$2:U422),$U$2:$U$1001,0),0), INDEX($AB$1004:$AQ$1004,1,MATCH(COLUMNS($AB$1006:AM1006),$AB$1006:$AQ$1006,0)))),"Fix")))</f>
        <v>0</v>
      </c>
      <c r="N422" s="5">
        <f>IF(OR(INDEX($V$2:$V$1001,MATCH(ROWS($U$2:U422),$U$2:$U$1001,0),1)&gt;=100000,INDEX($AB$1005:$AQ$1005,1,MATCH(COLUMNS($AB$1006:AN1006),$AB$1006:$AQ$1006,0))&gt;=100000), " ",IF(INDEX($AB$2:$AQ$1001,MATCH(ROWS($U$2:U422),$U$2:$U$1001,0),MATCH(COLUMNS($AB$1006:AN1006),$AB$1006:$AQ$1006,0)), HYPERLINK("#",""), HYPERLINK(CONCATENATE("#Metadata!", ADDRESS(INDEX($W$2:$W$1001,MATCH(ROWS($U$2:U422),$U$2:$U$1001,0),0), INDEX($AB$1004:$AQ$1004,1,MATCH(COLUMNS($AB$1006:AN1006),$AB$1006:$AQ$1006,0)))),"Fix")))</f>
        <v>0</v>
      </c>
      <c r="O422" s="5">
        <f>IF(OR(INDEX($V$2:$V$1001,MATCH(ROWS($U$2:U422),$U$2:$U$1001,0),1)&gt;=100000,INDEX($AB$1005:$AQ$1005,1,MATCH(COLUMNS($AB$1006:AO1006),$AB$1006:$AQ$1006,0))&gt;=100000), " ",IF(INDEX($AB$2:$AQ$1001,MATCH(ROWS($U$2:U422),$U$2:$U$1001,0),MATCH(COLUMNS($AB$1006:AO1006),$AB$1006:$AQ$1006,0)), HYPERLINK("#",""), HYPERLINK(CONCATENATE("#Metadata!", ADDRESS(INDEX($W$2:$W$1001,MATCH(ROWS($U$2:U422),$U$2:$U$1001,0),0), INDEX($AB$1004:$AQ$1004,1,MATCH(COLUMNS($AB$1006:AO1006),$AB$1006:$AQ$1006,0)))),"Fix")))</f>
        <v>0</v>
      </c>
      <c r="P422" s="5">
        <f>IF(OR(INDEX($V$2:$V$1001,MATCH(ROWS($U$2:U422),$U$2:$U$1001,0),1)&gt;=100000,INDEX($AB$1005:$AQ$1005,1,MATCH(COLUMNS($AB$1006:AP1006),$AB$1006:$AQ$1006,0))&gt;=100000), " ",IF(INDEX($AB$2:$AQ$1001,MATCH(ROWS($U$2:U422),$U$2:$U$1001,0),MATCH(COLUMNS($AB$1006:AP1006),$AB$1006:$AQ$1006,0)), HYPERLINK("#",""), HYPERLINK(CONCATENATE("#Metadata!", ADDRESS(INDEX($W$2:$W$1001,MATCH(ROWS($U$2:U422),$U$2:$U$1001,0),0), INDEX($AB$1004:$AQ$1004,1,MATCH(COLUMNS($AB$1006:AP1006),$AB$1006:$AQ$1006,0)))),"Fix")))</f>
        <v>0</v>
      </c>
      <c r="Q422" s="5">
        <f>IF(OR(INDEX($V$2:$V$1001,MATCH(ROWS($U$2:U422),$U$2:$U$1001,0),1)&gt;=100000,INDEX($AB$1005:$AQ$1005,1,MATCH(COLUMNS($AB$1006:AQ1006),$AB$1006:$AQ$1006,0))&gt;=100000), " ",IF(INDEX($AB$2:$AQ$1001,MATCH(ROWS($U$2:U422),$U$2:$U$1001,0),MATCH(COLUMNS($AB$1006:AQ1006),$AB$1006:$AQ$1006,0)), HYPERLINK("#",""), HYPERLINK(CONCATENATE("#Metadata!", ADDRESS(INDEX($W$2:$W$1001,MATCH(ROWS($U$2:U422),$U$2:$U$1001,0),0), INDEX($AB$1004:$AQ$1004,1,MATCH(COLUMNS($AB$1006:AQ1006),$AB$1006:$AQ$1006,0)))),"Fix")))</f>
        <v>0</v>
      </c>
      <c r="U422">
        <v>0</v>
      </c>
      <c r="V422">
        <v>0</v>
      </c>
      <c r="W422">
        <v>0</v>
      </c>
      <c r="X422">
        <f>IF(Y422,TRUE,AND(AB422:AQ422))</f>
        <v>0</v>
      </c>
      <c r="Y422">
        <f>COUNTBLANK(Metadata!B422:Q422)=COLUMNS(Metadata!B422:Q422)</f>
        <v>0</v>
      </c>
      <c r="Z422">
        <v>0</v>
      </c>
      <c r="AB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AC422">
        <f>AND(IF(Metadata!C422="",FALSE,TRUE),exact(Metadata!C422,"urban biome"))</f>
        <v>0</v>
      </c>
      <c r="AD422">
        <f>AND(IF(Metadata!D422="",FALSE,TRUE),exact(Metadata!D422,"human-associated habitat"))</f>
        <v>0</v>
      </c>
      <c r="AE422">
        <f>AND(IF(Metadata!E422="",FALSE,TRUE),OR(exact(Metadata!E422,"human-associated"),exact(Metadata!E422,"human-skin"),exact(Metadata!E422,"human-oral"),exact(Metadata!E422,"human-gut"),exact(Metadata!E422,"human-vaginal")))</f>
        <v>0</v>
      </c>
      <c r="AF422">
        <f>AND(IF(Metadata!F422="",FALSE,ISNUMBER(VALUE(Metadata!F422))),Metadata!F422&gt;0)</f>
        <v>0</v>
      </c>
      <c r="AG422">
        <f>AND(IF(Metadata!G422="",FALSE,TRUE),exact(Metadata!G422,"years"))</f>
        <v>0</v>
      </c>
      <c r="AH422">
        <f>OR(AND(IF(Metadata!H422="",FALSE,TRUE),OR(exact(Metadata!H422,"not applicable"),exact(Metadata!H422,"not collected"),exact(Metadata!H422,"not provided"),exact(Metadata!H422,"restricted access"))),AND(IF(Metadata!H422="",FALSE,ISNUMBER(VALUE(Metadata!H422))),Metadata!H422&gt;0))</f>
        <v>0</v>
      </c>
      <c r="AI422">
        <f>AND(IF(Metadata!I422="",FALSE,TRUE),exact(Metadata!I422,"human"))</f>
        <v>0</v>
      </c>
      <c r="AJ422">
        <f>AND(IF(Metadata!J422="",FALSE,ISNUMBER(VALUE(Metadata!J422))),Metadata!J422&gt;0)</f>
        <v>0</v>
      </c>
      <c r="AK422">
        <f>AND(IF(Metadata!K422="",FALSE,TRUE),exact(Metadata!K422,"cm"))</f>
        <v>0</v>
      </c>
      <c r="AL422">
        <f>AND(IF(Metadata!L422="",FALSE,TRUE),exact(Metadata!L422,"Homo sapiens"))</f>
        <v>0</v>
      </c>
      <c r="AM422">
        <f>AND(IF(Metadata!M422="",FALSE,TRUE),exact(Metadata!M422,"9606"))</f>
        <v>0</v>
      </c>
      <c r="AN422">
        <f>AND(IF(Metadata!N422="",FALSE,ISNUMBER(VALUE(Metadata!N422))),Metadata!N422&gt;0)</f>
        <v>0</v>
      </c>
      <c r="AO422">
        <f>AND(IF(Metadata!O422="",FALSE,TRUE),exact(Metadata!O422,"kg"))</f>
        <v>0</v>
      </c>
      <c r="AP422">
        <f>OR(AND(IF(Metadata!P422="",FALSE,TRUE),exact(Metadata!P422,"not provided")),IF(Metadata!P422="",FALSE,TRUE))</f>
        <v>0</v>
      </c>
      <c r="AQ422">
        <f>OR(AND(IF(Metadata!Q422="",FALSE,TRUE),exact(Metadata!Q422,"not provided")),IF(Metadata!Q422="",FALSE,TRUE))</f>
        <v>0</v>
      </c>
    </row>
    <row r="423" spans="1:43">
      <c r="A423" s="4">
        <f>IF(B423=" "," ",HYPERLINK(CONCATENATE("#metadata!",ADDRESS(INDEX($W$2:$W$1001,MATCH(ROWS($U$2:U423),$U$2:$U$1001,0),0),2)),INDEX($Z$2:$Z$1001,MATCH(ROWS($U$2:U423),$U$2:$U$1001,0),0)))</f>
        <v>0</v>
      </c>
      <c r="B423" s="5">
        <f>IF(OR(INDEX($V$2:$V$1001,MATCH(ROWS($U$2:U423),$U$2:$U$1001,0),1)&gt;=100000,INDEX($AB$1005:$AQ$1005,1,MATCH(COLUMNS($AB$1006:AB1006),$AB$1006:$AQ$1006,0))&gt;=100000), " ",IF(INDEX($AB$2:$AQ$1001,MATCH(ROWS($U$2:U423),$U$2:$U$1001,0),MATCH(COLUMNS($AB$1006:AB1006),$AB$1006:$AQ$1006,0)), HYPERLINK("#",""), HYPERLINK(CONCATENATE("#Metadata!", ADDRESS(INDEX($W$2:$W$1001,MATCH(ROWS($U$2:U423),$U$2:$U$1001,0),0), INDEX($AB$1004:$AQ$1004,1,MATCH(COLUMNS($AB$1006:AB1006),$AB$1006:$AQ$1006,0)))),"Fix")))</f>
        <v>0</v>
      </c>
      <c r="C423" s="5">
        <f>IF(OR(INDEX($V$2:$V$1001,MATCH(ROWS($U$2:U423),$U$2:$U$1001,0),1)&gt;=100000,INDEX($AB$1005:$AQ$1005,1,MATCH(COLUMNS($AB$1006:AC1006),$AB$1006:$AQ$1006,0))&gt;=100000), " ",IF(INDEX($AB$2:$AQ$1001,MATCH(ROWS($U$2:U423),$U$2:$U$1001,0),MATCH(COLUMNS($AB$1006:AC1006),$AB$1006:$AQ$1006,0)), HYPERLINK("#",""), HYPERLINK(CONCATENATE("#Metadata!", ADDRESS(INDEX($W$2:$W$1001,MATCH(ROWS($U$2:U423),$U$2:$U$1001,0),0), INDEX($AB$1004:$AQ$1004,1,MATCH(COLUMNS($AB$1006:AC1006),$AB$1006:$AQ$1006,0)))),"Fix")))</f>
        <v>0</v>
      </c>
      <c r="D423" s="5">
        <f>IF(OR(INDEX($V$2:$V$1001,MATCH(ROWS($U$2:U423),$U$2:$U$1001,0),1)&gt;=100000,INDEX($AB$1005:$AQ$1005,1,MATCH(COLUMNS($AB$1006:AD1006),$AB$1006:$AQ$1006,0))&gt;=100000), " ",IF(INDEX($AB$2:$AQ$1001,MATCH(ROWS($U$2:U423),$U$2:$U$1001,0),MATCH(COLUMNS($AB$1006:AD1006),$AB$1006:$AQ$1006,0)), HYPERLINK("#",""), HYPERLINK(CONCATENATE("#Metadata!", ADDRESS(INDEX($W$2:$W$1001,MATCH(ROWS($U$2:U423),$U$2:$U$1001,0),0), INDEX($AB$1004:$AQ$1004,1,MATCH(COLUMNS($AB$1006:AD1006),$AB$1006:$AQ$1006,0)))),"Fix")))</f>
        <v>0</v>
      </c>
      <c r="E423" s="5">
        <f>IF(OR(INDEX($V$2:$V$1001,MATCH(ROWS($U$2:U423),$U$2:$U$1001,0),1)&gt;=100000,INDEX($AB$1005:$AQ$1005,1,MATCH(COLUMNS($AB$1006:AE1006),$AB$1006:$AQ$1006,0))&gt;=100000), " ",IF(INDEX($AB$2:$AQ$1001,MATCH(ROWS($U$2:U423),$U$2:$U$1001,0),MATCH(COLUMNS($AB$1006:AE1006),$AB$1006:$AQ$1006,0)), HYPERLINK("#",""), HYPERLINK(CONCATENATE("#Metadata!", ADDRESS(INDEX($W$2:$W$1001,MATCH(ROWS($U$2:U423),$U$2:$U$1001,0),0), INDEX($AB$1004:$AQ$1004,1,MATCH(COLUMNS($AB$1006:AE1006),$AB$1006:$AQ$1006,0)))),"Fix")))</f>
        <v>0</v>
      </c>
      <c r="F423" s="5">
        <f>IF(OR(INDEX($V$2:$V$1001,MATCH(ROWS($U$2:U423),$U$2:$U$1001,0),1)&gt;=100000,INDEX($AB$1005:$AQ$1005,1,MATCH(COLUMNS($AB$1006:AF1006),$AB$1006:$AQ$1006,0))&gt;=100000), " ",IF(INDEX($AB$2:$AQ$1001,MATCH(ROWS($U$2:U423),$U$2:$U$1001,0),MATCH(COLUMNS($AB$1006:AF1006),$AB$1006:$AQ$1006,0)), HYPERLINK("#",""), HYPERLINK(CONCATENATE("#Metadata!", ADDRESS(INDEX($W$2:$W$1001,MATCH(ROWS($U$2:U423),$U$2:$U$1001,0),0), INDEX($AB$1004:$AQ$1004,1,MATCH(COLUMNS($AB$1006:AF1006),$AB$1006:$AQ$1006,0)))),"Fix")))</f>
        <v>0</v>
      </c>
      <c r="G423" s="5">
        <f>IF(OR(INDEX($V$2:$V$1001,MATCH(ROWS($U$2:U423),$U$2:$U$1001,0),1)&gt;=100000,INDEX($AB$1005:$AQ$1005,1,MATCH(COLUMNS($AB$1006:AG1006),$AB$1006:$AQ$1006,0))&gt;=100000), " ",IF(INDEX($AB$2:$AQ$1001,MATCH(ROWS($U$2:U423),$U$2:$U$1001,0),MATCH(COLUMNS($AB$1006:AG1006),$AB$1006:$AQ$1006,0)), HYPERLINK("#",""), HYPERLINK(CONCATENATE("#Metadata!", ADDRESS(INDEX($W$2:$W$1001,MATCH(ROWS($U$2:U423),$U$2:$U$1001,0),0), INDEX($AB$1004:$AQ$1004,1,MATCH(COLUMNS($AB$1006:AG1006),$AB$1006:$AQ$1006,0)))),"Fix")))</f>
        <v>0</v>
      </c>
      <c r="H423" s="5">
        <f>IF(OR(INDEX($V$2:$V$1001,MATCH(ROWS($U$2:U423),$U$2:$U$1001,0),1)&gt;=100000,INDEX($AB$1005:$AQ$1005,1,MATCH(COLUMNS($AB$1006:AH1006),$AB$1006:$AQ$1006,0))&gt;=100000), " ",IF(INDEX($AB$2:$AQ$1001,MATCH(ROWS($U$2:U423),$U$2:$U$1001,0),MATCH(COLUMNS($AB$1006:AH1006),$AB$1006:$AQ$1006,0)), HYPERLINK("#",""), HYPERLINK(CONCATENATE("#Metadata!", ADDRESS(INDEX($W$2:$W$1001,MATCH(ROWS($U$2:U423),$U$2:$U$1001,0),0), INDEX($AB$1004:$AQ$1004,1,MATCH(COLUMNS($AB$1006:AH1006),$AB$1006:$AQ$1006,0)))),"Fix")))</f>
        <v>0</v>
      </c>
      <c r="I423" s="5">
        <f>IF(OR(INDEX($V$2:$V$1001,MATCH(ROWS($U$2:U423),$U$2:$U$1001,0),1)&gt;=100000,INDEX($AB$1005:$AQ$1005,1,MATCH(COLUMNS($AB$1006:AI1006),$AB$1006:$AQ$1006,0))&gt;=100000), " ",IF(INDEX($AB$2:$AQ$1001,MATCH(ROWS($U$2:U423),$U$2:$U$1001,0),MATCH(COLUMNS($AB$1006:AI1006),$AB$1006:$AQ$1006,0)), HYPERLINK("#",""), HYPERLINK(CONCATENATE("#Metadata!", ADDRESS(INDEX($W$2:$W$1001,MATCH(ROWS($U$2:U423),$U$2:$U$1001,0),0), INDEX($AB$1004:$AQ$1004,1,MATCH(COLUMNS($AB$1006:AI1006),$AB$1006:$AQ$1006,0)))),"Fix")))</f>
        <v>0</v>
      </c>
      <c r="J423" s="5">
        <f>IF(OR(INDEX($V$2:$V$1001,MATCH(ROWS($U$2:U423),$U$2:$U$1001,0),1)&gt;=100000,INDEX($AB$1005:$AQ$1005,1,MATCH(COLUMNS($AB$1006:AJ1006),$AB$1006:$AQ$1006,0))&gt;=100000), " ",IF(INDEX($AB$2:$AQ$1001,MATCH(ROWS($U$2:U423),$U$2:$U$1001,0),MATCH(COLUMNS($AB$1006:AJ1006),$AB$1006:$AQ$1006,0)), HYPERLINK("#",""), HYPERLINK(CONCATENATE("#Metadata!", ADDRESS(INDEX($W$2:$W$1001,MATCH(ROWS($U$2:U423),$U$2:$U$1001,0),0), INDEX($AB$1004:$AQ$1004,1,MATCH(COLUMNS($AB$1006:AJ1006),$AB$1006:$AQ$1006,0)))),"Fix")))</f>
        <v>0</v>
      </c>
      <c r="K423" s="5">
        <f>IF(OR(INDEX($V$2:$V$1001,MATCH(ROWS($U$2:U423),$U$2:$U$1001,0),1)&gt;=100000,INDEX($AB$1005:$AQ$1005,1,MATCH(COLUMNS($AB$1006:AK1006),$AB$1006:$AQ$1006,0))&gt;=100000), " ",IF(INDEX($AB$2:$AQ$1001,MATCH(ROWS($U$2:U423),$U$2:$U$1001,0),MATCH(COLUMNS($AB$1006:AK1006),$AB$1006:$AQ$1006,0)), HYPERLINK("#",""), HYPERLINK(CONCATENATE("#Metadata!", ADDRESS(INDEX($W$2:$W$1001,MATCH(ROWS($U$2:U423),$U$2:$U$1001,0),0), INDEX($AB$1004:$AQ$1004,1,MATCH(COLUMNS($AB$1006:AK1006),$AB$1006:$AQ$1006,0)))),"Fix")))</f>
        <v>0</v>
      </c>
      <c r="L423" s="5">
        <f>IF(OR(INDEX($V$2:$V$1001,MATCH(ROWS($U$2:U423),$U$2:$U$1001,0),1)&gt;=100000,INDEX($AB$1005:$AQ$1005,1,MATCH(COLUMNS($AB$1006:AL1006),$AB$1006:$AQ$1006,0))&gt;=100000), " ",IF(INDEX($AB$2:$AQ$1001,MATCH(ROWS($U$2:U423),$U$2:$U$1001,0),MATCH(COLUMNS($AB$1006:AL1006),$AB$1006:$AQ$1006,0)), HYPERLINK("#",""), HYPERLINK(CONCATENATE("#Metadata!", ADDRESS(INDEX($W$2:$W$1001,MATCH(ROWS($U$2:U423),$U$2:$U$1001,0),0), INDEX($AB$1004:$AQ$1004,1,MATCH(COLUMNS($AB$1006:AL1006),$AB$1006:$AQ$1006,0)))),"Fix")))</f>
        <v>0</v>
      </c>
      <c r="M423" s="5">
        <f>IF(OR(INDEX($V$2:$V$1001,MATCH(ROWS($U$2:U423),$U$2:$U$1001,0),1)&gt;=100000,INDEX($AB$1005:$AQ$1005,1,MATCH(COLUMNS($AB$1006:AM1006),$AB$1006:$AQ$1006,0))&gt;=100000), " ",IF(INDEX($AB$2:$AQ$1001,MATCH(ROWS($U$2:U423),$U$2:$U$1001,0),MATCH(COLUMNS($AB$1006:AM1006),$AB$1006:$AQ$1006,0)), HYPERLINK("#",""), HYPERLINK(CONCATENATE("#Metadata!", ADDRESS(INDEX($W$2:$W$1001,MATCH(ROWS($U$2:U423),$U$2:$U$1001,0),0), INDEX($AB$1004:$AQ$1004,1,MATCH(COLUMNS($AB$1006:AM1006),$AB$1006:$AQ$1006,0)))),"Fix")))</f>
        <v>0</v>
      </c>
      <c r="N423" s="5">
        <f>IF(OR(INDEX($V$2:$V$1001,MATCH(ROWS($U$2:U423),$U$2:$U$1001,0),1)&gt;=100000,INDEX($AB$1005:$AQ$1005,1,MATCH(COLUMNS($AB$1006:AN1006),$AB$1006:$AQ$1006,0))&gt;=100000), " ",IF(INDEX($AB$2:$AQ$1001,MATCH(ROWS($U$2:U423),$U$2:$U$1001,0),MATCH(COLUMNS($AB$1006:AN1006),$AB$1006:$AQ$1006,0)), HYPERLINK("#",""), HYPERLINK(CONCATENATE("#Metadata!", ADDRESS(INDEX($W$2:$W$1001,MATCH(ROWS($U$2:U423),$U$2:$U$1001,0),0), INDEX($AB$1004:$AQ$1004,1,MATCH(COLUMNS($AB$1006:AN1006),$AB$1006:$AQ$1006,0)))),"Fix")))</f>
        <v>0</v>
      </c>
      <c r="O423" s="5">
        <f>IF(OR(INDEX($V$2:$V$1001,MATCH(ROWS($U$2:U423),$U$2:$U$1001,0),1)&gt;=100000,INDEX($AB$1005:$AQ$1005,1,MATCH(COLUMNS($AB$1006:AO1006),$AB$1006:$AQ$1006,0))&gt;=100000), " ",IF(INDEX($AB$2:$AQ$1001,MATCH(ROWS($U$2:U423),$U$2:$U$1001,0),MATCH(COLUMNS($AB$1006:AO1006),$AB$1006:$AQ$1006,0)), HYPERLINK("#",""), HYPERLINK(CONCATENATE("#Metadata!", ADDRESS(INDEX($W$2:$W$1001,MATCH(ROWS($U$2:U423),$U$2:$U$1001,0),0), INDEX($AB$1004:$AQ$1004,1,MATCH(COLUMNS($AB$1006:AO1006),$AB$1006:$AQ$1006,0)))),"Fix")))</f>
        <v>0</v>
      </c>
      <c r="P423" s="5">
        <f>IF(OR(INDEX($V$2:$V$1001,MATCH(ROWS($U$2:U423),$U$2:$U$1001,0),1)&gt;=100000,INDEX($AB$1005:$AQ$1005,1,MATCH(COLUMNS($AB$1006:AP1006),$AB$1006:$AQ$1006,0))&gt;=100000), " ",IF(INDEX($AB$2:$AQ$1001,MATCH(ROWS($U$2:U423),$U$2:$U$1001,0),MATCH(COLUMNS($AB$1006:AP1006),$AB$1006:$AQ$1006,0)), HYPERLINK("#",""), HYPERLINK(CONCATENATE("#Metadata!", ADDRESS(INDEX($W$2:$W$1001,MATCH(ROWS($U$2:U423),$U$2:$U$1001,0),0), INDEX($AB$1004:$AQ$1004,1,MATCH(COLUMNS($AB$1006:AP1006),$AB$1006:$AQ$1006,0)))),"Fix")))</f>
        <v>0</v>
      </c>
      <c r="Q423" s="5">
        <f>IF(OR(INDEX($V$2:$V$1001,MATCH(ROWS($U$2:U423),$U$2:$U$1001,0),1)&gt;=100000,INDEX($AB$1005:$AQ$1005,1,MATCH(COLUMNS($AB$1006:AQ1006),$AB$1006:$AQ$1006,0))&gt;=100000), " ",IF(INDEX($AB$2:$AQ$1001,MATCH(ROWS($U$2:U423),$U$2:$U$1001,0),MATCH(COLUMNS($AB$1006:AQ1006),$AB$1006:$AQ$1006,0)), HYPERLINK("#",""), HYPERLINK(CONCATENATE("#Metadata!", ADDRESS(INDEX($W$2:$W$1001,MATCH(ROWS($U$2:U423),$U$2:$U$1001,0),0), INDEX($AB$1004:$AQ$1004,1,MATCH(COLUMNS($AB$1006:AQ1006),$AB$1006:$AQ$1006,0)))),"Fix")))</f>
        <v>0</v>
      </c>
      <c r="U423">
        <v>0</v>
      </c>
      <c r="V423">
        <v>0</v>
      </c>
      <c r="W423">
        <v>0</v>
      </c>
      <c r="X423">
        <f>IF(Y423,TRUE,AND(AB423:AQ423))</f>
        <v>0</v>
      </c>
      <c r="Y423">
        <f>COUNTBLANK(Metadata!B423:Q423)=COLUMNS(Metadata!B423:Q423)</f>
        <v>0</v>
      </c>
      <c r="Z423">
        <v>0</v>
      </c>
      <c r="AB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AC423">
        <f>AND(IF(Metadata!C423="",FALSE,TRUE),exact(Metadata!C423,"urban biome"))</f>
        <v>0</v>
      </c>
      <c r="AD423">
        <f>AND(IF(Metadata!D423="",FALSE,TRUE),exact(Metadata!D423,"human-associated habitat"))</f>
        <v>0</v>
      </c>
      <c r="AE423">
        <f>AND(IF(Metadata!E423="",FALSE,TRUE),OR(exact(Metadata!E423,"human-associated"),exact(Metadata!E423,"human-skin"),exact(Metadata!E423,"human-oral"),exact(Metadata!E423,"human-gut"),exact(Metadata!E423,"human-vaginal")))</f>
        <v>0</v>
      </c>
      <c r="AF423">
        <f>AND(IF(Metadata!F423="",FALSE,ISNUMBER(VALUE(Metadata!F423))),Metadata!F423&gt;0)</f>
        <v>0</v>
      </c>
      <c r="AG423">
        <f>AND(IF(Metadata!G423="",FALSE,TRUE),exact(Metadata!G423,"years"))</f>
        <v>0</v>
      </c>
      <c r="AH423">
        <f>OR(AND(IF(Metadata!H423="",FALSE,TRUE),OR(exact(Metadata!H423,"not applicable"),exact(Metadata!H423,"not collected"),exact(Metadata!H423,"not provided"),exact(Metadata!H423,"restricted access"))),AND(IF(Metadata!H423="",FALSE,ISNUMBER(VALUE(Metadata!H423))),Metadata!H423&gt;0))</f>
        <v>0</v>
      </c>
      <c r="AI423">
        <f>AND(IF(Metadata!I423="",FALSE,TRUE),exact(Metadata!I423,"human"))</f>
        <v>0</v>
      </c>
      <c r="AJ423">
        <f>AND(IF(Metadata!J423="",FALSE,ISNUMBER(VALUE(Metadata!J423))),Metadata!J423&gt;0)</f>
        <v>0</v>
      </c>
      <c r="AK423">
        <f>AND(IF(Metadata!K423="",FALSE,TRUE),exact(Metadata!K423,"cm"))</f>
        <v>0</v>
      </c>
      <c r="AL423">
        <f>AND(IF(Metadata!L423="",FALSE,TRUE),exact(Metadata!L423,"Homo sapiens"))</f>
        <v>0</v>
      </c>
      <c r="AM423">
        <f>AND(IF(Metadata!M423="",FALSE,TRUE),exact(Metadata!M423,"9606"))</f>
        <v>0</v>
      </c>
      <c r="AN423">
        <f>AND(IF(Metadata!N423="",FALSE,ISNUMBER(VALUE(Metadata!N423))),Metadata!N423&gt;0)</f>
        <v>0</v>
      </c>
      <c r="AO423">
        <f>AND(IF(Metadata!O423="",FALSE,TRUE),exact(Metadata!O423,"kg"))</f>
        <v>0</v>
      </c>
      <c r="AP423">
        <f>OR(AND(IF(Metadata!P423="",FALSE,TRUE),exact(Metadata!P423,"not provided")),IF(Metadata!P423="",FALSE,TRUE))</f>
        <v>0</v>
      </c>
      <c r="AQ423">
        <f>OR(AND(IF(Metadata!Q423="",FALSE,TRUE),exact(Metadata!Q423,"not provided")),IF(Metadata!Q423="",FALSE,TRUE))</f>
        <v>0</v>
      </c>
    </row>
    <row r="424" spans="1:43">
      <c r="A424" s="4">
        <f>IF(B424=" "," ",HYPERLINK(CONCATENATE("#metadata!",ADDRESS(INDEX($W$2:$W$1001,MATCH(ROWS($U$2:U424),$U$2:$U$1001,0),0),2)),INDEX($Z$2:$Z$1001,MATCH(ROWS($U$2:U424),$U$2:$U$1001,0),0)))</f>
        <v>0</v>
      </c>
      <c r="B424" s="5">
        <f>IF(OR(INDEX($V$2:$V$1001,MATCH(ROWS($U$2:U424),$U$2:$U$1001,0),1)&gt;=100000,INDEX($AB$1005:$AQ$1005,1,MATCH(COLUMNS($AB$1006:AB1006),$AB$1006:$AQ$1006,0))&gt;=100000), " ",IF(INDEX($AB$2:$AQ$1001,MATCH(ROWS($U$2:U424),$U$2:$U$1001,0),MATCH(COLUMNS($AB$1006:AB1006),$AB$1006:$AQ$1006,0)), HYPERLINK("#",""), HYPERLINK(CONCATENATE("#Metadata!", ADDRESS(INDEX($W$2:$W$1001,MATCH(ROWS($U$2:U424),$U$2:$U$1001,0),0), INDEX($AB$1004:$AQ$1004,1,MATCH(COLUMNS($AB$1006:AB1006),$AB$1006:$AQ$1006,0)))),"Fix")))</f>
        <v>0</v>
      </c>
      <c r="C424" s="5">
        <f>IF(OR(INDEX($V$2:$V$1001,MATCH(ROWS($U$2:U424),$U$2:$U$1001,0),1)&gt;=100000,INDEX($AB$1005:$AQ$1005,1,MATCH(COLUMNS($AB$1006:AC1006),$AB$1006:$AQ$1006,0))&gt;=100000), " ",IF(INDEX($AB$2:$AQ$1001,MATCH(ROWS($U$2:U424),$U$2:$U$1001,0),MATCH(COLUMNS($AB$1006:AC1006),$AB$1006:$AQ$1006,0)), HYPERLINK("#",""), HYPERLINK(CONCATENATE("#Metadata!", ADDRESS(INDEX($W$2:$W$1001,MATCH(ROWS($U$2:U424),$U$2:$U$1001,0),0), INDEX($AB$1004:$AQ$1004,1,MATCH(COLUMNS($AB$1006:AC1006),$AB$1006:$AQ$1006,0)))),"Fix")))</f>
        <v>0</v>
      </c>
      <c r="D424" s="5">
        <f>IF(OR(INDEX($V$2:$V$1001,MATCH(ROWS($U$2:U424),$U$2:$U$1001,0),1)&gt;=100000,INDEX($AB$1005:$AQ$1005,1,MATCH(COLUMNS($AB$1006:AD1006),$AB$1006:$AQ$1006,0))&gt;=100000), " ",IF(INDEX($AB$2:$AQ$1001,MATCH(ROWS($U$2:U424),$U$2:$U$1001,0),MATCH(COLUMNS($AB$1006:AD1006),$AB$1006:$AQ$1006,0)), HYPERLINK("#",""), HYPERLINK(CONCATENATE("#Metadata!", ADDRESS(INDEX($W$2:$W$1001,MATCH(ROWS($U$2:U424),$U$2:$U$1001,0),0), INDEX($AB$1004:$AQ$1004,1,MATCH(COLUMNS($AB$1006:AD1006),$AB$1006:$AQ$1006,0)))),"Fix")))</f>
        <v>0</v>
      </c>
      <c r="E424" s="5">
        <f>IF(OR(INDEX($V$2:$V$1001,MATCH(ROWS($U$2:U424),$U$2:$U$1001,0),1)&gt;=100000,INDEX($AB$1005:$AQ$1005,1,MATCH(COLUMNS($AB$1006:AE1006),$AB$1006:$AQ$1006,0))&gt;=100000), " ",IF(INDEX($AB$2:$AQ$1001,MATCH(ROWS($U$2:U424),$U$2:$U$1001,0),MATCH(COLUMNS($AB$1006:AE1006),$AB$1006:$AQ$1006,0)), HYPERLINK("#",""), HYPERLINK(CONCATENATE("#Metadata!", ADDRESS(INDEX($W$2:$W$1001,MATCH(ROWS($U$2:U424),$U$2:$U$1001,0),0), INDEX($AB$1004:$AQ$1004,1,MATCH(COLUMNS($AB$1006:AE1006),$AB$1006:$AQ$1006,0)))),"Fix")))</f>
        <v>0</v>
      </c>
      <c r="F424" s="5">
        <f>IF(OR(INDEX($V$2:$V$1001,MATCH(ROWS($U$2:U424),$U$2:$U$1001,0),1)&gt;=100000,INDEX($AB$1005:$AQ$1005,1,MATCH(COLUMNS($AB$1006:AF1006),$AB$1006:$AQ$1006,0))&gt;=100000), " ",IF(INDEX($AB$2:$AQ$1001,MATCH(ROWS($U$2:U424),$U$2:$U$1001,0),MATCH(COLUMNS($AB$1006:AF1006),$AB$1006:$AQ$1006,0)), HYPERLINK("#",""), HYPERLINK(CONCATENATE("#Metadata!", ADDRESS(INDEX($W$2:$W$1001,MATCH(ROWS($U$2:U424),$U$2:$U$1001,0),0), INDEX($AB$1004:$AQ$1004,1,MATCH(COLUMNS($AB$1006:AF1006),$AB$1006:$AQ$1006,0)))),"Fix")))</f>
        <v>0</v>
      </c>
      <c r="G424" s="5">
        <f>IF(OR(INDEX($V$2:$V$1001,MATCH(ROWS($U$2:U424),$U$2:$U$1001,0),1)&gt;=100000,INDEX($AB$1005:$AQ$1005,1,MATCH(COLUMNS($AB$1006:AG1006),$AB$1006:$AQ$1006,0))&gt;=100000), " ",IF(INDEX($AB$2:$AQ$1001,MATCH(ROWS($U$2:U424),$U$2:$U$1001,0),MATCH(COLUMNS($AB$1006:AG1006),$AB$1006:$AQ$1006,0)), HYPERLINK("#",""), HYPERLINK(CONCATENATE("#Metadata!", ADDRESS(INDEX($W$2:$W$1001,MATCH(ROWS($U$2:U424),$U$2:$U$1001,0),0), INDEX($AB$1004:$AQ$1004,1,MATCH(COLUMNS($AB$1006:AG1006),$AB$1006:$AQ$1006,0)))),"Fix")))</f>
        <v>0</v>
      </c>
      <c r="H424" s="5">
        <f>IF(OR(INDEX($V$2:$V$1001,MATCH(ROWS($U$2:U424),$U$2:$U$1001,0),1)&gt;=100000,INDEX($AB$1005:$AQ$1005,1,MATCH(COLUMNS($AB$1006:AH1006),$AB$1006:$AQ$1006,0))&gt;=100000), " ",IF(INDEX($AB$2:$AQ$1001,MATCH(ROWS($U$2:U424),$U$2:$U$1001,0),MATCH(COLUMNS($AB$1006:AH1006),$AB$1006:$AQ$1006,0)), HYPERLINK("#",""), HYPERLINK(CONCATENATE("#Metadata!", ADDRESS(INDEX($W$2:$W$1001,MATCH(ROWS($U$2:U424),$U$2:$U$1001,0),0), INDEX($AB$1004:$AQ$1004,1,MATCH(COLUMNS($AB$1006:AH1006),$AB$1006:$AQ$1006,0)))),"Fix")))</f>
        <v>0</v>
      </c>
      <c r="I424" s="5">
        <f>IF(OR(INDEX($V$2:$V$1001,MATCH(ROWS($U$2:U424),$U$2:$U$1001,0),1)&gt;=100000,INDEX($AB$1005:$AQ$1005,1,MATCH(COLUMNS($AB$1006:AI1006),$AB$1006:$AQ$1006,0))&gt;=100000), " ",IF(INDEX($AB$2:$AQ$1001,MATCH(ROWS($U$2:U424),$U$2:$U$1001,0),MATCH(COLUMNS($AB$1006:AI1006),$AB$1006:$AQ$1006,0)), HYPERLINK("#",""), HYPERLINK(CONCATENATE("#Metadata!", ADDRESS(INDEX($W$2:$W$1001,MATCH(ROWS($U$2:U424),$U$2:$U$1001,0),0), INDEX($AB$1004:$AQ$1004,1,MATCH(COLUMNS($AB$1006:AI1006),$AB$1006:$AQ$1006,0)))),"Fix")))</f>
        <v>0</v>
      </c>
      <c r="J424" s="5">
        <f>IF(OR(INDEX($V$2:$V$1001,MATCH(ROWS($U$2:U424),$U$2:$U$1001,0),1)&gt;=100000,INDEX($AB$1005:$AQ$1005,1,MATCH(COLUMNS($AB$1006:AJ1006),$AB$1006:$AQ$1006,0))&gt;=100000), " ",IF(INDEX($AB$2:$AQ$1001,MATCH(ROWS($U$2:U424),$U$2:$U$1001,0),MATCH(COLUMNS($AB$1006:AJ1006),$AB$1006:$AQ$1006,0)), HYPERLINK("#",""), HYPERLINK(CONCATENATE("#Metadata!", ADDRESS(INDEX($W$2:$W$1001,MATCH(ROWS($U$2:U424),$U$2:$U$1001,0),0), INDEX($AB$1004:$AQ$1004,1,MATCH(COLUMNS($AB$1006:AJ1006),$AB$1006:$AQ$1006,0)))),"Fix")))</f>
        <v>0</v>
      </c>
      <c r="K424" s="5">
        <f>IF(OR(INDEX($V$2:$V$1001,MATCH(ROWS($U$2:U424),$U$2:$U$1001,0),1)&gt;=100000,INDEX($AB$1005:$AQ$1005,1,MATCH(COLUMNS($AB$1006:AK1006),$AB$1006:$AQ$1006,0))&gt;=100000), " ",IF(INDEX($AB$2:$AQ$1001,MATCH(ROWS($U$2:U424),$U$2:$U$1001,0),MATCH(COLUMNS($AB$1006:AK1006),$AB$1006:$AQ$1006,0)), HYPERLINK("#",""), HYPERLINK(CONCATENATE("#Metadata!", ADDRESS(INDEX($W$2:$W$1001,MATCH(ROWS($U$2:U424),$U$2:$U$1001,0),0), INDEX($AB$1004:$AQ$1004,1,MATCH(COLUMNS($AB$1006:AK1006),$AB$1006:$AQ$1006,0)))),"Fix")))</f>
        <v>0</v>
      </c>
      <c r="L424" s="5">
        <f>IF(OR(INDEX($V$2:$V$1001,MATCH(ROWS($U$2:U424),$U$2:$U$1001,0),1)&gt;=100000,INDEX($AB$1005:$AQ$1005,1,MATCH(COLUMNS($AB$1006:AL1006),$AB$1006:$AQ$1006,0))&gt;=100000), " ",IF(INDEX($AB$2:$AQ$1001,MATCH(ROWS($U$2:U424),$U$2:$U$1001,0),MATCH(COLUMNS($AB$1006:AL1006),$AB$1006:$AQ$1006,0)), HYPERLINK("#",""), HYPERLINK(CONCATENATE("#Metadata!", ADDRESS(INDEX($W$2:$W$1001,MATCH(ROWS($U$2:U424),$U$2:$U$1001,0),0), INDEX($AB$1004:$AQ$1004,1,MATCH(COLUMNS($AB$1006:AL1006),$AB$1006:$AQ$1006,0)))),"Fix")))</f>
        <v>0</v>
      </c>
      <c r="M424" s="5">
        <f>IF(OR(INDEX($V$2:$V$1001,MATCH(ROWS($U$2:U424),$U$2:$U$1001,0),1)&gt;=100000,INDEX($AB$1005:$AQ$1005,1,MATCH(COLUMNS($AB$1006:AM1006),$AB$1006:$AQ$1006,0))&gt;=100000), " ",IF(INDEX($AB$2:$AQ$1001,MATCH(ROWS($U$2:U424),$U$2:$U$1001,0),MATCH(COLUMNS($AB$1006:AM1006),$AB$1006:$AQ$1006,0)), HYPERLINK("#",""), HYPERLINK(CONCATENATE("#Metadata!", ADDRESS(INDEX($W$2:$W$1001,MATCH(ROWS($U$2:U424),$U$2:$U$1001,0),0), INDEX($AB$1004:$AQ$1004,1,MATCH(COLUMNS($AB$1006:AM1006),$AB$1006:$AQ$1006,0)))),"Fix")))</f>
        <v>0</v>
      </c>
      <c r="N424" s="5">
        <f>IF(OR(INDEX($V$2:$V$1001,MATCH(ROWS($U$2:U424),$U$2:$U$1001,0),1)&gt;=100000,INDEX($AB$1005:$AQ$1005,1,MATCH(COLUMNS($AB$1006:AN1006),$AB$1006:$AQ$1006,0))&gt;=100000), " ",IF(INDEX($AB$2:$AQ$1001,MATCH(ROWS($U$2:U424),$U$2:$U$1001,0),MATCH(COLUMNS($AB$1006:AN1006),$AB$1006:$AQ$1006,0)), HYPERLINK("#",""), HYPERLINK(CONCATENATE("#Metadata!", ADDRESS(INDEX($W$2:$W$1001,MATCH(ROWS($U$2:U424),$U$2:$U$1001,0),0), INDEX($AB$1004:$AQ$1004,1,MATCH(COLUMNS($AB$1006:AN1006),$AB$1006:$AQ$1006,0)))),"Fix")))</f>
        <v>0</v>
      </c>
      <c r="O424" s="5">
        <f>IF(OR(INDEX($V$2:$V$1001,MATCH(ROWS($U$2:U424),$U$2:$U$1001,0),1)&gt;=100000,INDEX($AB$1005:$AQ$1005,1,MATCH(COLUMNS($AB$1006:AO1006),$AB$1006:$AQ$1006,0))&gt;=100000), " ",IF(INDEX($AB$2:$AQ$1001,MATCH(ROWS($U$2:U424),$U$2:$U$1001,0),MATCH(COLUMNS($AB$1006:AO1006),$AB$1006:$AQ$1006,0)), HYPERLINK("#",""), HYPERLINK(CONCATENATE("#Metadata!", ADDRESS(INDEX($W$2:$W$1001,MATCH(ROWS($U$2:U424),$U$2:$U$1001,0),0), INDEX($AB$1004:$AQ$1004,1,MATCH(COLUMNS($AB$1006:AO1006),$AB$1006:$AQ$1006,0)))),"Fix")))</f>
        <v>0</v>
      </c>
      <c r="P424" s="5">
        <f>IF(OR(INDEX($V$2:$V$1001,MATCH(ROWS($U$2:U424),$U$2:$U$1001,0),1)&gt;=100000,INDEX($AB$1005:$AQ$1005,1,MATCH(COLUMNS($AB$1006:AP1006),$AB$1006:$AQ$1006,0))&gt;=100000), " ",IF(INDEX($AB$2:$AQ$1001,MATCH(ROWS($U$2:U424),$U$2:$U$1001,0),MATCH(COLUMNS($AB$1006:AP1006),$AB$1006:$AQ$1006,0)), HYPERLINK("#",""), HYPERLINK(CONCATENATE("#Metadata!", ADDRESS(INDEX($W$2:$W$1001,MATCH(ROWS($U$2:U424),$U$2:$U$1001,0),0), INDEX($AB$1004:$AQ$1004,1,MATCH(COLUMNS($AB$1006:AP1006),$AB$1006:$AQ$1006,0)))),"Fix")))</f>
        <v>0</v>
      </c>
      <c r="Q424" s="5">
        <f>IF(OR(INDEX($V$2:$V$1001,MATCH(ROWS($U$2:U424),$U$2:$U$1001,0),1)&gt;=100000,INDEX($AB$1005:$AQ$1005,1,MATCH(COLUMNS($AB$1006:AQ1006),$AB$1006:$AQ$1006,0))&gt;=100000), " ",IF(INDEX($AB$2:$AQ$1001,MATCH(ROWS($U$2:U424),$U$2:$U$1001,0),MATCH(COLUMNS($AB$1006:AQ1006),$AB$1006:$AQ$1006,0)), HYPERLINK("#",""), HYPERLINK(CONCATENATE("#Metadata!", ADDRESS(INDEX($W$2:$W$1001,MATCH(ROWS($U$2:U424),$U$2:$U$1001,0),0), INDEX($AB$1004:$AQ$1004,1,MATCH(COLUMNS($AB$1006:AQ1006),$AB$1006:$AQ$1006,0)))),"Fix")))</f>
        <v>0</v>
      </c>
      <c r="U424">
        <v>0</v>
      </c>
      <c r="V424">
        <v>0</v>
      </c>
      <c r="W424">
        <v>0</v>
      </c>
      <c r="X424">
        <f>IF(Y424,TRUE,AND(AB424:AQ424))</f>
        <v>0</v>
      </c>
      <c r="Y424">
        <f>COUNTBLANK(Metadata!B424:Q424)=COLUMNS(Metadata!B424:Q424)</f>
        <v>0</v>
      </c>
      <c r="Z424">
        <v>0</v>
      </c>
      <c r="AB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AC424">
        <f>AND(IF(Metadata!C424="",FALSE,TRUE),exact(Metadata!C424,"urban biome"))</f>
        <v>0</v>
      </c>
      <c r="AD424">
        <f>AND(IF(Metadata!D424="",FALSE,TRUE),exact(Metadata!D424,"human-associated habitat"))</f>
        <v>0</v>
      </c>
      <c r="AE424">
        <f>AND(IF(Metadata!E424="",FALSE,TRUE),OR(exact(Metadata!E424,"human-associated"),exact(Metadata!E424,"human-skin"),exact(Metadata!E424,"human-oral"),exact(Metadata!E424,"human-gut"),exact(Metadata!E424,"human-vaginal")))</f>
        <v>0</v>
      </c>
      <c r="AF424">
        <f>AND(IF(Metadata!F424="",FALSE,ISNUMBER(VALUE(Metadata!F424))),Metadata!F424&gt;0)</f>
        <v>0</v>
      </c>
      <c r="AG424">
        <f>AND(IF(Metadata!G424="",FALSE,TRUE),exact(Metadata!G424,"years"))</f>
        <v>0</v>
      </c>
      <c r="AH424">
        <f>OR(AND(IF(Metadata!H424="",FALSE,TRUE),OR(exact(Metadata!H424,"not applicable"),exact(Metadata!H424,"not collected"),exact(Metadata!H424,"not provided"),exact(Metadata!H424,"restricted access"))),AND(IF(Metadata!H424="",FALSE,ISNUMBER(VALUE(Metadata!H424))),Metadata!H424&gt;0))</f>
        <v>0</v>
      </c>
      <c r="AI424">
        <f>AND(IF(Metadata!I424="",FALSE,TRUE),exact(Metadata!I424,"human"))</f>
        <v>0</v>
      </c>
      <c r="AJ424">
        <f>AND(IF(Metadata!J424="",FALSE,ISNUMBER(VALUE(Metadata!J424))),Metadata!J424&gt;0)</f>
        <v>0</v>
      </c>
      <c r="AK424">
        <f>AND(IF(Metadata!K424="",FALSE,TRUE),exact(Metadata!K424,"cm"))</f>
        <v>0</v>
      </c>
      <c r="AL424">
        <f>AND(IF(Metadata!L424="",FALSE,TRUE),exact(Metadata!L424,"Homo sapiens"))</f>
        <v>0</v>
      </c>
      <c r="AM424">
        <f>AND(IF(Metadata!M424="",FALSE,TRUE),exact(Metadata!M424,"9606"))</f>
        <v>0</v>
      </c>
      <c r="AN424">
        <f>AND(IF(Metadata!N424="",FALSE,ISNUMBER(VALUE(Metadata!N424))),Metadata!N424&gt;0)</f>
        <v>0</v>
      </c>
      <c r="AO424">
        <f>AND(IF(Metadata!O424="",FALSE,TRUE),exact(Metadata!O424,"kg"))</f>
        <v>0</v>
      </c>
      <c r="AP424">
        <f>OR(AND(IF(Metadata!P424="",FALSE,TRUE),exact(Metadata!P424,"not provided")),IF(Metadata!P424="",FALSE,TRUE))</f>
        <v>0</v>
      </c>
      <c r="AQ424">
        <f>OR(AND(IF(Metadata!Q424="",FALSE,TRUE),exact(Metadata!Q424,"not provided")),IF(Metadata!Q424="",FALSE,TRUE))</f>
        <v>0</v>
      </c>
    </row>
    <row r="425" spans="1:43">
      <c r="A425" s="4">
        <f>IF(B425=" "," ",HYPERLINK(CONCATENATE("#metadata!",ADDRESS(INDEX($W$2:$W$1001,MATCH(ROWS($U$2:U425),$U$2:$U$1001,0),0),2)),INDEX($Z$2:$Z$1001,MATCH(ROWS($U$2:U425),$U$2:$U$1001,0),0)))</f>
        <v>0</v>
      </c>
      <c r="B425" s="5">
        <f>IF(OR(INDEX($V$2:$V$1001,MATCH(ROWS($U$2:U425),$U$2:$U$1001,0),1)&gt;=100000,INDEX($AB$1005:$AQ$1005,1,MATCH(COLUMNS($AB$1006:AB1006),$AB$1006:$AQ$1006,0))&gt;=100000), " ",IF(INDEX($AB$2:$AQ$1001,MATCH(ROWS($U$2:U425),$U$2:$U$1001,0),MATCH(COLUMNS($AB$1006:AB1006),$AB$1006:$AQ$1006,0)), HYPERLINK("#",""), HYPERLINK(CONCATENATE("#Metadata!", ADDRESS(INDEX($W$2:$W$1001,MATCH(ROWS($U$2:U425),$U$2:$U$1001,0),0), INDEX($AB$1004:$AQ$1004,1,MATCH(COLUMNS($AB$1006:AB1006),$AB$1006:$AQ$1006,0)))),"Fix")))</f>
        <v>0</v>
      </c>
      <c r="C425" s="5">
        <f>IF(OR(INDEX($V$2:$V$1001,MATCH(ROWS($U$2:U425),$U$2:$U$1001,0),1)&gt;=100000,INDEX($AB$1005:$AQ$1005,1,MATCH(COLUMNS($AB$1006:AC1006),$AB$1006:$AQ$1006,0))&gt;=100000), " ",IF(INDEX($AB$2:$AQ$1001,MATCH(ROWS($U$2:U425),$U$2:$U$1001,0),MATCH(COLUMNS($AB$1006:AC1006),$AB$1006:$AQ$1006,0)), HYPERLINK("#",""), HYPERLINK(CONCATENATE("#Metadata!", ADDRESS(INDEX($W$2:$W$1001,MATCH(ROWS($U$2:U425),$U$2:$U$1001,0),0), INDEX($AB$1004:$AQ$1004,1,MATCH(COLUMNS($AB$1006:AC1006),$AB$1006:$AQ$1006,0)))),"Fix")))</f>
        <v>0</v>
      </c>
      <c r="D425" s="5">
        <f>IF(OR(INDEX($V$2:$V$1001,MATCH(ROWS($U$2:U425),$U$2:$U$1001,0),1)&gt;=100000,INDEX($AB$1005:$AQ$1005,1,MATCH(COLUMNS($AB$1006:AD1006),$AB$1006:$AQ$1006,0))&gt;=100000), " ",IF(INDEX($AB$2:$AQ$1001,MATCH(ROWS($U$2:U425),$U$2:$U$1001,0),MATCH(COLUMNS($AB$1006:AD1006),$AB$1006:$AQ$1006,0)), HYPERLINK("#",""), HYPERLINK(CONCATENATE("#Metadata!", ADDRESS(INDEX($W$2:$W$1001,MATCH(ROWS($U$2:U425),$U$2:$U$1001,0),0), INDEX($AB$1004:$AQ$1004,1,MATCH(COLUMNS($AB$1006:AD1006),$AB$1006:$AQ$1006,0)))),"Fix")))</f>
        <v>0</v>
      </c>
      <c r="E425" s="5">
        <f>IF(OR(INDEX($V$2:$V$1001,MATCH(ROWS($U$2:U425),$U$2:$U$1001,0),1)&gt;=100000,INDEX($AB$1005:$AQ$1005,1,MATCH(COLUMNS($AB$1006:AE1006),$AB$1006:$AQ$1006,0))&gt;=100000), " ",IF(INDEX($AB$2:$AQ$1001,MATCH(ROWS($U$2:U425),$U$2:$U$1001,0),MATCH(COLUMNS($AB$1006:AE1006),$AB$1006:$AQ$1006,0)), HYPERLINK("#",""), HYPERLINK(CONCATENATE("#Metadata!", ADDRESS(INDEX($W$2:$W$1001,MATCH(ROWS($U$2:U425),$U$2:$U$1001,0),0), INDEX($AB$1004:$AQ$1004,1,MATCH(COLUMNS($AB$1006:AE1006),$AB$1006:$AQ$1006,0)))),"Fix")))</f>
        <v>0</v>
      </c>
      <c r="F425" s="5">
        <f>IF(OR(INDEX($V$2:$V$1001,MATCH(ROWS($U$2:U425),$U$2:$U$1001,0),1)&gt;=100000,INDEX($AB$1005:$AQ$1005,1,MATCH(COLUMNS($AB$1006:AF1006),$AB$1006:$AQ$1006,0))&gt;=100000), " ",IF(INDEX($AB$2:$AQ$1001,MATCH(ROWS($U$2:U425),$U$2:$U$1001,0),MATCH(COLUMNS($AB$1006:AF1006),$AB$1006:$AQ$1006,0)), HYPERLINK("#",""), HYPERLINK(CONCATENATE("#Metadata!", ADDRESS(INDEX($W$2:$W$1001,MATCH(ROWS($U$2:U425),$U$2:$U$1001,0),0), INDEX($AB$1004:$AQ$1004,1,MATCH(COLUMNS($AB$1006:AF1006),$AB$1006:$AQ$1006,0)))),"Fix")))</f>
        <v>0</v>
      </c>
      <c r="G425" s="5">
        <f>IF(OR(INDEX($V$2:$V$1001,MATCH(ROWS($U$2:U425),$U$2:$U$1001,0),1)&gt;=100000,INDEX($AB$1005:$AQ$1005,1,MATCH(COLUMNS($AB$1006:AG1006),$AB$1006:$AQ$1006,0))&gt;=100000), " ",IF(INDEX($AB$2:$AQ$1001,MATCH(ROWS($U$2:U425),$U$2:$U$1001,0),MATCH(COLUMNS($AB$1006:AG1006),$AB$1006:$AQ$1006,0)), HYPERLINK("#",""), HYPERLINK(CONCATENATE("#Metadata!", ADDRESS(INDEX($W$2:$W$1001,MATCH(ROWS($U$2:U425),$U$2:$U$1001,0),0), INDEX($AB$1004:$AQ$1004,1,MATCH(COLUMNS($AB$1006:AG1006),$AB$1006:$AQ$1006,0)))),"Fix")))</f>
        <v>0</v>
      </c>
      <c r="H425" s="5">
        <f>IF(OR(INDEX($V$2:$V$1001,MATCH(ROWS($U$2:U425),$U$2:$U$1001,0),1)&gt;=100000,INDEX($AB$1005:$AQ$1005,1,MATCH(COLUMNS($AB$1006:AH1006),$AB$1006:$AQ$1006,0))&gt;=100000), " ",IF(INDEX($AB$2:$AQ$1001,MATCH(ROWS($U$2:U425),$U$2:$U$1001,0),MATCH(COLUMNS($AB$1006:AH1006),$AB$1006:$AQ$1006,0)), HYPERLINK("#",""), HYPERLINK(CONCATENATE("#Metadata!", ADDRESS(INDEX($W$2:$W$1001,MATCH(ROWS($U$2:U425),$U$2:$U$1001,0),0), INDEX($AB$1004:$AQ$1004,1,MATCH(COLUMNS($AB$1006:AH1006),$AB$1006:$AQ$1006,0)))),"Fix")))</f>
        <v>0</v>
      </c>
      <c r="I425" s="5">
        <f>IF(OR(INDEX($V$2:$V$1001,MATCH(ROWS($U$2:U425),$U$2:$U$1001,0),1)&gt;=100000,INDEX($AB$1005:$AQ$1005,1,MATCH(COLUMNS($AB$1006:AI1006),$AB$1006:$AQ$1006,0))&gt;=100000), " ",IF(INDEX($AB$2:$AQ$1001,MATCH(ROWS($U$2:U425),$U$2:$U$1001,0),MATCH(COLUMNS($AB$1006:AI1006),$AB$1006:$AQ$1006,0)), HYPERLINK("#",""), HYPERLINK(CONCATENATE("#Metadata!", ADDRESS(INDEX($W$2:$W$1001,MATCH(ROWS($U$2:U425),$U$2:$U$1001,0),0), INDEX($AB$1004:$AQ$1004,1,MATCH(COLUMNS($AB$1006:AI1006),$AB$1006:$AQ$1006,0)))),"Fix")))</f>
        <v>0</v>
      </c>
      <c r="J425" s="5">
        <f>IF(OR(INDEX($V$2:$V$1001,MATCH(ROWS($U$2:U425),$U$2:$U$1001,0),1)&gt;=100000,INDEX($AB$1005:$AQ$1005,1,MATCH(COLUMNS($AB$1006:AJ1006),$AB$1006:$AQ$1006,0))&gt;=100000), " ",IF(INDEX($AB$2:$AQ$1001,MATCH(ROWS($U$2:U425),$U$2:$U$1001,0),MATCH(COLUMNS($AB$1006:AJ1006),$AB$1006:$AQ$1006,0)), HYPERLINK("#",""), HYPERLINK(CONCATENATE("#Metadata!", ADDRESS(INDEX($W$2:$W$1001,MATCH(ROWS($U$2:U425),$U$2:$U$1001,0),0), INDEX($AB$1004:$AQ$1004,1,MATCH(COLUMNS($AB$1006:AJ1006),$AB$1006:$AQ$1006,0)))),"Fix")))</f>
        <v>0</v>
      </c>
      <c r="K425" s="5">
        <f>IF(OR(INDEX($V$2:$V$1001,MATCH(ROWS($U$2:U425),$U$2:$U$1001,0),1)&gt;=100000,INDEX($AB$1005:$AQ$1005,1,MATCH(COLUMNS($AB$1006:AK1006),$AB$1006:$AQ$1006,0))&gt;=100000), " ",IF(INDEX($AB$2:$AQ$1001,MATCH(ROWS($U$2:U425),$U$2:$U$1001,0),MATCH(COLUMNS($AB$1006:AK1006),$AB$1006:$AQ$1006,0)), HYPERLINK("#",""), HYPERLINK(CONCATENATE("#Metadata!", ADDRESS(INDEX($W$2:$W$1001,MATCH(ROWS($U$2:U425),$U$2:$U$1001,0),0), INDEX($AB$1004:$AQ$1004,1,MATCH(COLUMNS($AB$1006:AK1006),$AB$1006:$AQ$1006,0)))),"Fix")))</f>
        <v>0</v>
      </c>
      <c r="L425" s="5">
        <f>IF(OR(INDEX($V$2:$V$1001,MATCH(ROWS($U$2:U425),$U$2:$U$1001,0),1)&gt;=100000,INDEX($AB$1005:$AQ$1005,1,MATCH(COLUMNS($AB$1006:AL1006),$AB$1006:$AQ$1006,0))&gt;=100000), " ",IF(INDEX($AB$2:$AQ$1001,MATCH(ROWS($U$2:U425),$U$2:$U$1001,0),MATCH(COLUMNS($AB$1006:AL1006),$AB$1006:$AQ$1006,0)), HYPERLINK("#",""), HYPERLINK(CONCATENATE("#Metadata!", ADDRESS(INDEX($W$2:$W$1001,MATCH(ROWS($U$2:U425),$U$2:$U$1001,0),0), INDEX($AB$1004:$AQ$1004,1,MATCH(COLUMNS($AB$1006:AL1006),$AB$1006:$AQ$1006,0)))),"Fix")))</f>
        <v>0</v>
      </c>
      <c r="M425" s="5">
        <f>IF(OR(INDEX($V$2:$V$1001,MATCH(ROWS($U$2:U425),$U$2:$U$1001,0),1)&gt;=100000,INDEX($AB$1005:$AQ$1005,1,MATCH(COLUMNS($AB$1006:AM1006),$AB$1006:$AQ$1006,0))&gt;=100000), " ",IF(INDEX($AB$2:$AQ$1001,MATCH(ROWS($U$2:U425),$U$2:$U$1001,0),MATCH(COLUMNS($AB$1006:AM1006),$AB$1006:$AQ$1006,0)), HYPERLINK("#",""), HYPERLINK(CONCATENATE("#Metadata!", ADDRESS(INDEX($W$2:$W$1001,MATCH(ROWS($U$2:U425),$U$2:$U$1001,0),0), INDEX($AB$1004:$AQ$1004,1,MATCH(COLUMNS($AB$1006:AM1006),$AB$1006:$AQ$1006,0)))),"Fix")))</f>
        <v>0</v>
      </c>
      <c r="N425" s="5">
        <f>IF(OR(INDEX($V$2:$V$1001,MATCH(ROWS($U$2:U425),$U$2:$U$1001,0),1)&gt;=100000,INDEX($AB$1005:$AQ$1005,1,MATCH(COLUMNS($AB$1006:AN1006),$AB$1006:$AQ$1006,0))&gt;=100000), " ",IF(INDEX($AB$2:$AQ$1001,MATCH(ROWS($U$2:U425),$U$2:$U$1001,0),MATCH(COLUMNS($AB$1006:AN1006),$AB$1006:$AQ$1006,0)), HYPERLINK("#",""), HYPERLINK(CONCATENATE("#Metadata!", ADDRESS(INDEX($W$2:$W$1001,MATCH(ROWS($U$2:U425),$U$2:$U$1001,0),0), INDEX($AB$1004:$AQ$1004,1,MATCH(COLUMNS($AB$1006:AN1006),$AB$1006:$AQ$1006,0)))),"Fix")))</f>
        <v>0</v>
      </c>
      <c r="O425" s="5">
        <f>IF(OR(INDEX($V$2:$V$1001,MATCH(ROWS($U$2:U425),$U$2:$U$1001,0),1)&gt;=100000,INDEX($AB$1005:$AQ$1005,1,MATCH(COLUMNS($AB$1006:AO1006),$AB$1006:$AQ$1006,0))&gt;=100000), " ",IF(INDEX($AB$2:$AQ$1001,MATCH(ROWS($U$2:U425),$U$2:$U$1001,0),MATCH(COLUMNS($AB$1006:AO1006),$AB$1006:$AQ$1006,0)), HYPERLINK("#",""), HYPERLINK(CONCATENATE("#Metadata!", ADDRESS(INDEX($W$2:$W$1001,MATCH(ROWS($U$2:U425),$U$2:$U$1001,0),0), INDEX($AB$1004:$AQ$1004,1,MATCH(COLUMNS($AB$1006:AO1006),$AB$1006:$AQ$1006,0)))),"Fix")))</f>
        <v>0</v>
      </c>
      <c r="P425" s="5">
        <f>IF(OR(INDEX($V$2:$V$1001,MATCH(ROWS($U$2:U425),$U$2:$U$1001,0),1)&gt;=100000,INDEX($AB$1005:$AQ$1005,1,MATCH(COLUMNS($AB$1006:AP1006),$AB$1006:$AQ$1006,0))&gt;=100000), " ",IF(INDEX($AB$2:$AQ$1001,MATCH(ROWS($U$2:U425),$U$2:$U$1001,0),MATCH(COLUMNS($AB$1006:AP1006),$AB$1006:$AQ$1006,0)), HYPERLINK("#",""), HYPERLINK(CONCATENATE("#Metadata!", ADDRESS(INDEX($W$2:$W$1001,MATCH(ROWS($U$2:U425),$U$2:$U$1001,0),0), INDEX($AB$1004:$AQ$1004,1,MATCH(COLUMNS($AB$1006:AP1006),$AB$1006:$AQ$1006,0)))),"Fix")))</f>
        <v>0</v>
      </c>
      <c r="Q425" s="5">
        <f>IF(OR(INDEX($V$2:$V$1001,MATCH(ROWS($U$2:U425),$U$2:$U$1001,0),1)&gt;=100000,INDEX($AB$1005:$AQ$1005,1,MATCH(COLUMNS($AB$1006:AQ1006),$AB$1006:$AQ$1006,0))&gt;=100000), " ",IF(INDEX($AB$2:$AQ$1001,MATCH(ROWS($U$2:U425),$U$2:$U$1001,0),MATCH(COLUMNS($AB$1006:AQ1006),$AB$1006:$AQ$1006,0)), HYPERLINK("#",""), HYPERLINK(CONCATENATE("#Metadata!", ADDRESS(INDEX($W$2:$W$1001,MATCH(ROWS($U$2:U425),$U$2:$U$1001,0),0), INDEX($AB$1004:$AQ$1004,1,MATCH(COLUMNS($AB$1006:AQ1006),$AB$1006:$AQ$1006,0)))),"Fix")))</f>
        <v>0</v>
      </c>
      <c r="U425">
        <v>0</v>
      </c>
      <c r="V425">
        <v>0</v>
      </c>
      <c r="W425">
        <v>0</v>
      </c>
      <c r="X425">
        <f>IF(Y425,TRUE,AND(AB425:AQ425))</f>
        <v>0</v>
      </c>
      <c r="Y425">
        <f>COUNTBLANK(Metadata!B425:Q425)=COLUMNS(Metadata!B425:Q425)</f>
        <v>0</v>
      </c>
      <c r="Z425">
        <v>0</v>
      </c>
      <c r="AB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AC425">
        <f>AND(IF(Metadata!C425="",FALSE,TRUE),exact(Metadata!C425,"urban biome"))</f>
        <v>0</v>
      </c>
      <c r="AD425">
        <f>AND(IF(Metadata!D425="",FALSE,TRUE),exact(Metadata!D425,"human-associated habitat"))</f>
        <v>0</v>
      </c>
      <c r="AE425">
        <f>AND(IF(Metadata!E425="",FALSE,TRUE),OR(exact(Metadata!E425,"human-associated"),exact(Metadata!E425,"human-skin"),exact(Metadata!E425,"human-oral"),exact(Metadata!E425,"human-gut"),exact(Metadata!E425,"human-vaginal")))</f>
        <v>0</v>
      </c>
      <c r="AF425">
        <f>AND(IF(Metadata!F425="",FALSE,ISNUMBER(VALUE(Metadata!F425))),Metadata!F425&gt;0)</f>
        <v>0</v>
      </c>
      <c r="AG425">
        <f>AND(IF(Metadata!G425="",FALSE,TRUE),exact(Metadata!G425,"years"))</f>
        <v>0</v>
      </c>
      <c r="AH425">
        <f>OR(AND(IF(Metadata!H425="",FALSE,TRUE),OR(exact(Metadata!H425,"not applicable"),exact(Metadata!H425,"not collected"),exact(Metadata!H425,"not provided"),exact(Metadata!H425,"restricted access"))),AND(IF(Metadata!H425="",FALSE,ISNUMBER(VALUE(Metadata!H425))),Metadata!H425&gt;0))</f>
        <v>0</v>
      </c>
      <c r="AI425">
        <f>AND(IF(Metadata!I425="",FALSE,TRUE),exact(Metadata!I425,"human"))</f>
        <v>0</v>
      </c>
      <c r="AJ425">
        <f>AND(IF(Metadata!J425="",FALSE,ISNUMBER(VALUE(Metadata!J425))),Metadata!J425&gt;0)</f>
        <v>0</v>
      </c>
      <c r="AK425">
        <f>AND(IF(Metadata!K425="",FALSE,TRUE),exact(Metadata!K425,"cm"))</f>
        <v>0</v>
      </c>
      <c r="AL425">
        <f>AND(IF(Metadata!L425="",FALSE,TRUE),exact(Metadata!L425,"Homo sapiens"))</f>
        <v>0</v>
      </c>
      <c r="AM425">
        <f>AND(IF(Metadata!M425="",FALSE,TRUE),exact(Metadata!M425,"9606"))</f>
        <v>0</v>
      </c>
      <c r="AN425">
        <f>AND(IF(Metadata!N425="",FALSE,ISNUMBER(VALUE(Metadata!N425))),Metadata!N425&gt;0)</f>
        <v>0</v>
      </c>
      <c r="AO425">
        <f>AND(IF(Metadata!O425="",FALSE,TRUE),exact(Metadata!O425,"kg"))</f>
        <v>0</v>
      </c>
      <c r="AP425">
        <f>OR(AND(IF(Metadata!P425="",FALSE,TRUE),exact(Metadata!P425,"not provided")),IF(Metadata!P425="",FALSE,TRUE))</f>
        <v>0</v>
      </c>
      <c r="AQ425">
        <f>OR(AND(IF(Metadata!Q425="",FALSE,TRUE),exact(Metadata!Q425,"not provided")),IF(Metadata!Q425="",FALSE,TRUE))</f>
        <v>0</v>
      </c>
    </row>
    <row r="426" spans="1:43">
      <c r="A426" s="4">
        <f>IF(B426=" "," ",HYPERLINK(CONCATENATE("#metadata!",ADDRESS(INDEX($W$2:$W$1001,MATCH(ROWS($U$2:U426),$U$2:$U$1001,0),0),2)),INDEX($Z$2:$Z$1001,MATCH(ROWS($U$2:U426),$U$2:$U$1001,0),0)))</f>
        <v>0</v>
      </c>
      <c r="B426" s="5">
        <f>IF(OR(INDEX($V$2:$V$1001,MATCH(ROWS($U$2:U426),$U$2:$U$1001,0),1)&gt;=100000,INDEX($AB$1005:$AQ$1005,1,MATCH(COLUMNS($AB$1006:AB1006),$AB$1006:$AQ$1006,0))&gt;=100000), " ",IF(INDEX($AB$2:$AQ$1001,MATCH(ROWS($U$2:U426),$U$2:$U$1001,0),MATCH(COLUMNS($AB$1006:AB1006),$AB$1006:$AQ$1006,0)), HYPERLINK("#",""), HYPERLINK(CONCATENATE("#Metadata!", ADDRESS(INDEX($W$2:$W$1001,MATCH(ROWS($U$2:U426),$U$2:$U$1001,0),0), INDEX($AB$1004:$AQ$1004,1,MATCH(COLUMNS($AB$1006:AB1006),$AB$1006:$AQ$1006,0)))),"Fix")))</f>
        <v>0</v>
      </c>
      <c r="C426" s="5">
        <f>IF(OR(INDEX($V$2:$V$1001,MATCH(ROWS($U$2:U426),$U$2:$U$1001,0),1)&gt;=100000,INDEX($AB$1005:$AQ$1005,1,MATCH(COLUMNS($AB$1006:AC1006),$AB$1006:$AQ$1006,0))&gt;=100000), " ",IF(INDEX($AB$2:$AQ$1001,MATCH(ROWS($U$2:U426),$U$2:$U$1001,0),MATCH(COLUMNS($AB$1006:AC1006),$AB$1006:$AQ$1006,0)), HYPERLINK("#",""), HYPERLINK(CONCATENATE("#Metadata!", ADDRESS(INDEX($W$2:$W$1001,MATCH(ROWS($U$2:U426),$U$2:$U$1001,0),0), INDEX($AB$1004:$AQ$1004,1,MATCH(COLUMNS($AB$1006:AC1006),$AB$1006:$AQ$1006,0)))),"Fix")))</f>
        <v>0</v>
      </c>
      <c r="D426" s="5">
        <f>IF(OR(INDEX($V$2:$V$1001,MATCH(ROWS($U$2:U426),$U$2:$U$1001,0),1)&gt;=100000,INDEX($AB$1005:$AQ$1005,1,MATCH(COLUMNS($AB$1006:AD1006),$AB$1006:$AQ$1006,0))&gt;=100000), " ",IF(INDEX($AB$2:$AQ$1001,MATCH(ROWS($U$2:U426),$U$2:$U$1001,0),MATCH(COLUMNS($AB$1006:AD1006),$AB$1006:$AQ$1006,0)), HYPERLINK("#",""), HYPERLINK(CONCATENATE("#Metadata!", ADDRESS(INDEX($W$2:$W$1001,MATCH(ROWS($U$2:U426),$U$2:$U$1001,0),0), INDEX($AB$1004:$AQ$1004,1,MATCH(COLUMNS($AB$1006:AD1006),$AB$1006:$AQ$1006,0)))),"Fix")))</f>
        <v>0</v>
      </c>
      <c r="E426" s="5">
        <f>IF(OR(INDEX($V$2:$V$1001,MATCH(ROWS($U$2:U426),$U$2:$U$1001,0),1)&gt;=100000,INDEX($AB$1005:$AQ$1005,1,MATCH(COLUMNS($AB$1006:AE1006),$AB$1006:$AQ$1006,0))&gt;=100000), " ",IF(INDEX($AB$2:$AQ$1001,MATCH(ROWS($U$2:U426),$U$2:$U$1001,0),MATCH(COLUMNS($AB$1006:AE1006),$AB$1006:$AQ$1006,0)), HYPERLINK("#",""), HYPERLINK(CONCATENATE("#Metadata!", ADDRESS(INDEX($W$2:$W$1001,MATCH(ROWS($U$2:U426),$U$2:$U$1001,0),0), INDEX($AB$1004:$AQ$1004,1,MATCH(COLUMNS($AB$1006:AE1006),$AB$1006:$AQ$1006,0)))),"Fix")))</f>
        <v>0</v>
      </c>
      <c r="F426" s="5">
        <f>IF(OR(INDEX($V$2:$V$1001,MATCH(ROWS($U$2:U426),$U$2:$U$1001,0),1)&gt;=100000,INDEX($AB$1005:$AQ$1005,1,MATCH(COLUMNS($AB$1006:AF1006),$AB$1006:$AQ$1006,0))&gt;=100000), " ",IF(INDEX($AB$2:$AQ$1001,MATCH(ROWS($U$2:U426),$U$2:$U$1001,0),MATCH(COLUMNS($AB$1006:AF1006),$AB$1006:$AQ$1006,0)), HYPERLINK("#",""), HYPERLINK(CONCATENATE("#Metadata!", ADDRESS(INDEX($W$2:$W$1001,MATCH(ROWS($U$2:U426),$U$2:$U$1001,0),0), INDEX($AB$1004:$AQ$1004,1,MATCH(COLUMNS($AB$1006:AF1006),$AB$1006:$AQ$1006,0)))),"Fix")))</f>
        <v>0</v>
      </c>
      <c r="G426" s="5">
        <f>IF(OR(INDEX($V$2:$V$1001,MATCH(ROWS($U$2:U426),$U$2:$U$1001,0),1)&gt;=100000,INDEX($AB$1005:$AQ$1005,1,MATCH(COLUMNS($AB$1006:AG1006),$AB$1006:$AQ$1006,0))&gt;=100000), " ",IF(INDEX($AB$2:$AQ$1001,MATCH(ROWS($U$2:U426),$U$2:$U$1001,0),MATCH(COLUMNS($AB$1006:AG1006),$AB$1006:$AQ$1006,0)), HYPERLINK("#",""), HYPERLINK(CONCATENATE("#Metadata!", ADDRESS(INDEX($W$2:$W$1001,MATCH(ROWS($U$2:U426),$U$2:$U$1001,0),0), INDEX($AB$1004:$AQ$1004,1,MATCH(COLUMNS($AB$1006:AG1006),$AB$1006:$AQ$1006,0)))),"Fix")))</f>
        <v>0</v>
      </c>
      <c r="H426" s="5">
        <f>IF(OR(INDEX($V$2:$V$1001,MATCH(ROWS($U$2:U426),$U$2:$U$1001,0),1)&gt;=100000,INDEX($AB$1005:$AQ$1005,1,MATCH(COLUMNS($AB$1006:AH1006),$AB$1006:$AQ$1006,0))&gt;=100000), " ",IF(INDEX($AB$2:$AQ$1001,MATCH(ROWS($U$2:U426),$U$2:$U$1001,0),MATCH(COLUMNS($AB$1006:AH1006),$AB$1006:$AQ$1006,0)), HYPERLINK("#",""), HYPERLINK(CONCATENATE("#Metadata!", ADDRESS(INDEX($W$2:$W$1001,MATCH(ROWS($U$2:U426),$U$2:$U$1001,0),0), INDEX($AB$1004:$AQ$1004,1,MATCH(COLUMNS($AB$1006:AH1006),$AB$1006:$AQ$1006,0)))),"Fix")))</f>
        <v>0</v>
      </c>
      <c r="I426" s="5">
        <f>IF(OR(INDEX($V$2:$V$1001,MATCH(ROWS($U$2:U426),$U$2:$U$1001,0),1)&gt;=100000,INDEX($AB$1005:$AQ$1005,1,MATCH(COLUMNS($AB$1006:AI1006),$AB$1006:$AQ$1006,0))&gt;=100000), " ",IF(INDEX($AB$2:$AQ$1001,MATCH(ROWS($U$2:U426),$U$2:$U$1001,0),MATCH(COLUMNS($AB$1006:AI1006),$AB$1006:$AQ$1006,0)), HYPERLINK("#",""), HYPERLINK(CONCATENATE("#Metadata!", ADDRESS(INDEX($W$2:$W$1001,MATCH(ROWS($U$2:U426),$U$2:$U$1001,0),0), INDEX($AB$1004:$AQ$1004,1,MATCH(COLUMNS($AB$1006:AI1006),$AB$1006:$AQ$1006,0)))),"Fix")))</f>
        <v>0</v>
      </c>
      <c r="J426" s="5">
        <f>IF(OR(INDEX($V$2:$V$1001,MATCH(ROWS($U$2:U426),$U$2:$U$1001,0),1)&gt;=100000,INDEX($AB$1005:$AQ$1005,1,MATCH(COLUMNS($AB$1006:AJ1006),$AB$1006:$AQ$1006,0))&gt;=100000), " ",IF(INDEX($AB$2:$AQ$1001,MATCH(ROWS($U$2:U426),$U$2:$U$1001,0),MATCH(COLUMNS($AB$1006:AJ1006),$AB$1006:$AQ$1006,0)), HYPERLINK("#",""), HYPERLINK(CONCATENATE("#Metadata!", ADDRESS(INDEX($W$2:$W$1001,MATCH(ROWS($U$2:U426),$U$2:$U$1001,0),0), INDEX($AB$1004:$AQ$1004,1,MATCH(COLUMNS($AB$1006:AJ1006),$AB$1006:$AQ$1006,0)))),"Fix")))</f>
        <v>0</v>
      </c>
      <c r="K426" s="5">
        <f>IF(OR(INDEX($V$2:$V$1001,MATCH(ROWS($U$2:U426),$U$2:$U$1001,0),1)&gt;=100000,INDEX($AB$1005:$AQ$1005,1,MATCH(COLUMNS($AB$1006:AK1006),$AB$1006:$AQ$1006,0))&gt;=100000), " ",IF(INDEX($AB$2:$AQ$1001,MATCH(ROWS($U$2:U426),$U$2:$U$1001,0),MATCH(COLUMNS($AB$1006:AK1006),$AB$1006:$AQ$1006,0)), HYPERLINK("#",""), HYPERLINK(CONCATENATE("#Metadata!", ADDRESS(INDEX($W$2:$W$1001,MATCH(ROWS($U$2:U426),$U$2:$U$1001,0),0), INDEX($AB$1004:$AQ$1004,1,MATCH(COLUMNS($AB$1006:AK1006),$AB$1006:$AQ$1006,0)))),"Fix")))</f>
        <v>0</v>
      </c>
      <c r="L426" s="5">
        <f>IF(OR(INDEX($V$2:$V$1001,MATCH(ROWS($U$2:U426),$U$2:$U$1001,0),1)&gt;=100000,INDEX($AB$1005:$AQ$1005,1,MATCH(COLUMNS($AB$1006:AL1006),$AB$1006:$AQ$1006,0))&gt;=100000), " ",IF(INDEX($AB$2:$AQ$1001,MATCH(ROWS($U$2:U426),$U$2:$U$1001,0),MATCH(COLUMNS($AB$1006:AL1006),$AB$1006:$AQ$1006,0)), HYPERLINK("#",""), HYPERLINK(CONCATENATE("#Metadata!", ADDRESS(INDEX($W$2:$W$1001,MATCH(ROWS($U$2:U426),$U$2:$U$1001,0),0), INDEX($AB$1004:$AQ$1004,1,MATCH(COLUMNS($AB$1006:AL1006),$AB$1006:$AQ$1006,0)))),"Fix")))</f>
        <v>0</v>
      </c>
      <c r="M426" s="5">
        <f>IF(OR(INDEX($V$2:$V$1001,MATCH(ROWS($U$2:U426),$U$2:$U$1001,0),1)&gt;=100000,INDEX($AB$1005:$AQ$1005,1,MATCH(COLUMNS($AB$1006:AM1006),$AB$1006:$AQ$1006,0))&gt;=100000), " ",IF(INDEX($AB$2:$AQ$1001,MATCH(ROWS($U$2:U426),$U$2:$U$1001,0),MATCH(COLUMNS($AB$1006:AM1006),$AB$1006:$AQ$1006,0)), HYPERLINK("#",""), HYPERLINK(CONCATENATE("#Metadata!", ADDRESS(INDEX($W$2:$W$1001,MATCH(ROWS($U$2:U426),$U$2:$U$1001,0),0), INDEX($AB$1004:$AQ$1004,1,MATCH(COLUMNS($AB$1006:AM1006),$AB$1006:$AQ$1006,0)))),"Fix")))</f>
        <v>0</v>
      </c>
      <c r="N426" s="5">
        <f>IF(OR(INDEX($V$2:$V$1001,MATCH(ROWS($U$2:U426),$U$2:$U$1001,0),1)&gt;=100000,INDEX($AB$1005:$AQ$1005,1,MATCH(COLUMNS($AB$1006:AN1006),$AB$1006:$AQ$1006,0))&gt;=100000), " ",IF(INDEX($AB$2:$AQ$1001,MATCH(ROWS($U$2:U426),$U$2:$U$1001,0),MATCH(COLUMNS($AB$1006:AN1006),$AB$1006:$AQ$1006,0)), HYPERLINK("#",""), HYPERLINK(CONCATENATE("#Metadata!", ADDRESS(INDEX($W$2:$W$1001,MATCH(ROWS($U$2:U426),$U$2:$U$1001,0),0), INDEX($AB$1004:$AQ$1004,1,MATCH(COLUMNS($AB$1006:AN1006),$AB$1006:$AQ$1006,0)))),"Fix")))</f>
        <v>0</v>
      </c>
      <c r="O426" s="5">
        <f>IF(OR(INDEX($V$2:$V$1001,MATCH(ROWS($U$2:U426),$U$2:$U$1001,0),1)&gt;=100000,INDEX($AB$1005:$AQ$1005,1,MATCH(COLUMNS($AB$1006:AO1006),$AB$1006:$AQ$1006,0))&gt;=100000), " ",IF(INDEX($AB$2:$AQ$1001,MATCH(ROWS($U$2:U426),$U$2:$U$1001,0),MATCH(COLUMNS($AB$1006:AO1006),$AB$1006:$AQ$1006,0)), HYPERLINK("#",""), HYPERLINK(CONCATENATE("#Metadata!", ADDRESS(INDEX($W$2:$W$1001,MATCH(ROWS($U$2:U426),$U$2:$U$1001,0),0), INDEX($AB$1004:$AQ$1004,1,MATCH(COLUMNS($AB$1006:AO1006),$AB$1006:$AQ$1006,0)))),"Fix")))</f>
        <v>0</v>
      </c>
      <c r="P426" s="5">
        <f>IF(OR(INDEX($V$2:$V$1001,MATCH(ROWS($U$2:U426),$U$2:$U$1001,0),1)&gt;=100000,INDEX($AB$1005:$AQ$1005,1,MATCH(COLUMNS($AB$1006:AP1006),$AB$1006:$AQ$1006,0))&gt;=100000), " ",IF(INDEX($AB$2:$AQ$1001,MATCH(ROWS($U$2:U426),$U$2:$U$1001,0),MATCH(COLUMNS($AB$1006:AP1006),$AB$1006:$AQ$1006,0)), HYPERLINK("#",""), HYPERLINK(CONCATENATE("#Metadata!", ADDRESS(INDEX($W$2:$W$1001,MATCH(ROWS($U$2:U426),$U$2:$U$1001,0),0), INDEX($AB$1004:$AQ$1004,1,MATCH(COLUMNS($AB$1006:AP1006),$AB$1006:$AQ$1006,0)))),"Fix")))</f>
        <v>0</v>
      </c>
      <c r="Q426" s="5">
        <f>IF(OR(INDEX($V$2:$V$1001,MATCH(ROWS($U$2:U426),$U$2:$U$1001,0),1)&gt;=100000,INDEX($AB$1005:$AQ$1005,1,MATCH(COLUMNS($AB$1006:AQ1006),$AB$1006:$AQ$1006,0))&gt;=100000), " ",IF(INDEX($AB$2:$AQ$1001,MATCH(ROWS($U$2:U426),$U$2:$U$1001,0),MATCH(COLUMNS($AB$1006:AQ1006),$AB$1006:$AQ$1006,0)), HYPERLINK("#",""), HYPERLINK(CONCATENATE("#Metadata!", ADDRESS(INDEX($W$2:$W$1001,MATCH(ROWS($U$2:U426),$U$2:$U$1001,0),0), INDEX($AB$1004:$AQ$1004,1,MATCH(COLUMNS($AB$1006:AQ1006),$AB$1006:$AQ$1006,0)))),"Fix")))</f>
        <v>0</v>
      </c>
      <c r="U426">
        <v>0</v>
      </c>
      <c r="V426">
        <v>0</v>
      </c>
      <c r="W426">
        <v>0</v>
      </c>
      <c r="X426">
        <f>IF(Y426,TRUE,AND(AB426:AQ426))</f>
        <v>0</v>
      </c>
      <c r="Y426">
        <f>COUNTBLANK(Metadata!B426:Q426)=COLUMNS(Metadata!B426:Q426)</f>
        <v>0</v>
      </c>
      <c r="Z426">
        <v>0</v>
      </c>
      <c r="AB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AC426">
        <f>AND(IF(Metadata!C426="",FALSE,TRUE),exact(Metadata!C426,"urban biome"))</f>
        <v>0</v>
      </c>
      <c r="AD426">
        <f>AND(IF(Metadata!D426="",FALSE,TRUE),exact(Metadata!D426,"human-associated habitat"))</f>
        <v>0</v>
      </c>
      <c r="AE426">
        <f>AND(IF(Metadata!E426="",FALSE,TRUE),OR(exact(Metadata!E426,"human-associated"),exact(Metadata!E426,"human-skin"),exact(Metadata!E426,"human-oral"),exact(Metadata!E426,"human-gut"),exact(Metadata!E426,"human-vaginal")))</f>
        <v>0</v>
      </c>
      <c r="AF426">
        <f>AND(IF(Metadata!F426="",FALSE,ISNUMBER(VALUE(Metadata!F426))),Metadata!F426&gt;0)</f>
        <v>0</v>
      </c>
      <c r="AG426">
        <f>AND(IF(Metadata!G426="",FALSE,TRUE),exact(Metadata!G426,"years"))</f>
        <v>0</v>
      </c>
      <c r="AH426">
        <f>OR(AND(IF(Metadata!H426="",FALSE,TRUE),OR(exact(Metadata!H426,"not applicable"),exact(Metadata!H426,"not collected"),exact(Metadata!H426,"not provided"),exact(Metadata!H426,"restricted access"))),AND(IF(Metadata!H426="",FALSE,ISNUMBER(VALUE(Metadata!H426))),Metadata!H426&gt;0))</f>
        <v>0</v>
      </c>
      <c r="AI426">
        <f>AND(IF(Metadata!I426="",FALSE,TRUE),exact(Metadata!I426,"human"))</f>
        <v>0</v>
      </c>
      <c r="AJ426">
        <f>AND(IF(Metadata!J426="",FALSE,ISNUMBER(VALUE(Metadata!J426))),Metadata!J426&gt;0)</f>
        <v>0</v>
      </c>
      <c r="AK426">
        <f>AND(IF(Metadata!K426="",FALSE,TRUE),exact(Metadata!K426,"cm"))</f>
        <v>0</v>
      </c>
      <c r="AL426">
        <f>AND(IF(Metadata!L426="",FALSE,TRUE),exact(Metadata!L426,"Homo sapiens"))</f>
        <v>0</v>
      </c>
      <c r="AM426">
        <f>AND(IF(Metadata!M426="",FALSE,TRUE),exact(Metadata!M426,"9606"))</f>
        <v>0</v>
      </c>
      <c r="AN426">
        <f>AND(IF(Metadata!N426="",FALSE,ISNUMBER(VALUE(Metadata!N426))),Metadata!N426&gt;0)</f>
        <v>0</v>
      </c>
      <c r="AO426">
        <f>AND(IF(Metadata!O426="",FALSE,TRUE),exact(Metadata!O426,"kg"))</f>
        <v>0</v>
      </c>
      <c r="AP426">
        <f>OR(AND(IF(Metadata!P426="",FALSE,TRUE),exact(Metadata!P426,"not provided")),IF(Metadata!P426="",FALSE,TRUE))</f>
        <v>0</v>
      </c>
      <c r="AQ426">
        <f>OR(AND(IF(Metadata!Q426="",FALSE,TRUE),exact(Metadata!Q426,"not provided")),IF(Metadata!Q426="",FALSE,TRUE))</f>
        <v>0</v>
      </c>
    </row>
    <row r="427" spans="1:43">
      <c r="A427" s="4">
        <f>IF(B427=" "," ",HYPERLINK(CONCATENATE("#metadata!",ADDRESS(INDEX($W$2:$W$1001,MATCH(ROWS($U$2:U427),$U$2:$U$1001,0),0),2)),INDEX($Z$2:$Z$1001,MATCH(ROWS($U$2:U427),$U$2:$U$1001,0),0)))</f>
        <v>0</v>
      </c>
      <c r="B427" s="5">
        <f>IF(OR(INDEX($V$2:$V$1001,MATCH(ROWS($U$2:U427),$U$2:$U$1001,0),1)&gt;=100000,INDEX($AB$1005:$AQ$1005,1,MATCH(COLUMNS($AB$1006:AB1006),$AB$1006:$AQ$1006,0))&gt;=100000), " ",IF(INDEX($AB$2:$AQ$1001,MATCH(ROWS($U$2:U427),$U$2:$U$1001,0),MATCH(COLUMNS($AB$1006:AB1006),$AB$1006:$AQ$1006,0)), HYPERLINK("#",""), HYPERLINK(CONCATENATE("#Metadata!", ADDRESS(INDEX($W$2:$W$1001,MATCH(ROWS($U$2:U427),$U$2:$U$1001,0),0), INDEX($AB$1004:$AQ$1004,1,MATCH(COLUMNS($AB$1006:AB1006),$AB$1006:$AQ$1006,0)))),"Fix")))</f>
        <v>0</v>
      </c>
      <c r="C427" s="5">
        <f>IF(OR(INDEX($V$2:$V$1001,MATCH(ROWS($U$2:U427),$U$2:$U$1001,0),1)&gt;=100000,INDEX($AB$1005:$AQ$1005,1,MATCH(COLUMNS($AB$1006:AC1006),$AB$1006:$AQ$1006,0))&gt;=100000), " ",IF(INDEX($AB$2:$AQ$1001,MATCH(ROWS($U$2:U427),$U$2:$U$1001,0),MATCH(COLUMNS($AB$1006:AC1006),$AB$1006:$AQ$1006,0)), HYPERLINK("#",""), HYPERLINK(CONCATENATE("#Metadata!", ADDRESS(INDEX($W$2:$W$1001,MATCH(ROWS($U$2:U427),$U$2:$U$1001,0),0), INDEX($AB$1004:$AQ$1004,1,MATCH(COLUMNS($AB$1006:AC1006),$AB$1006:$AQ$1006,0)))),"Fix")))</f>
        <v>0</v>
      </c>
      <c r="D427" s="5">
        <f>IF(OR(INDEX($V$2:$V$1001,MATCH(ROWS($U$2:U427),$U$2:$U$1001,0),1)&gt;=100000,INDEX($AB$1005:$AQ$1005,1,MATCH(COLUMNS($AB$1006:AD1006),$AB$1006:$AQ$1006,0))&gt;=100000), " ",IF(INDEX($AB$2:$AQ$1001,MATCH(ROWS($U$2:U427),$U$2:$U$1001,0),MATCH(COLUMNS($AB$1006:AD1006),$AB$1006:$AQ$1006,0)), HYPERLINK("#",""), HYPERLINK(CONCATENATE("#Metadata!", ADDRESS(INDEX($W$2:$W$1001,MATCH(ROWS($U$2:U427),$U$2:$U$1001,0),0), INDEX($AB$1004:$AQ$1004,1,MATCH(COLUMNS($AB$1006:AD1006),$AB$1006:$AQ$1006,0)))),"Fix")))</f>
        <v>0</v>
      </c>
      <c r="E427" s="5">
        <f>IF(OR(INDEX($V$2:$V$1001,MATCH(ROWS($U$2:U427),$U$2:$U$1001,0),1)&gt;=100000,INDEX($AB$1005:$AQ$1005,1,MATCH(COLUMNS($AB$1006:AE1006),$AB$1006:$AQ$1006,0))&gt;=100000), " ",IF(INDEX($AB$2:$AQ$1001,MATCH(ROWS($U$2:U427),$U$2:$U$1001,0),MATCH(COLUMNS($AB$1006:AE1006),$AB$1006:$AQ$1006,0)), HYPERLINK("#",""), HYPERLINK(CONCATENATE("#Metadata!", ADDRESS(INDEX($W$2:$W$1001,MATCH(ROWS($U$2:U427),$U$2:$U$1001,0),0), INDEX($AB$1004:$AQ$1004,1,MATCH(COLUMNS($AB$1006:AE1006),$AB$1006:$AQ$1006,0)))),"Fix")))</f>
        <v>0</v>
      </c>
      <c r="F427" s="5">
        <f>IF(OR(INDEX($V$2:$V$1001,MATCH(ROWS($U$2:U427),$U$2:$U$1001,0),1)&gt;=100000,INDEX($AB$1005:$AQ$1005,1,MATCH(COLUMNS($AB$1006:AF1006),$AB$1006:$AQ$1006,0))&gt;=100000), " ",IF(INDEX($AB$2:$AQ$1001,MATCH(ROWS($U$2:U427),$U$2:$U$1001,0),MATCH(COLUMNS($AB$1006:AF1006),$AB$1006:$AQ$1006,0)), HYPERLINK("#",""), HYPERLINK(CONCATENATE("#Metadata!", ADDRESS(INDEX($W$2:$W$1001,MATCH(ROWS($U$2:U427),$U$2:$U$1001,0),0), INDEX($AB$1004:$AQ$1004,1,MATCH(COLUMNS($AB$1006:AF1006),$AB$1006:$AQ$1006,0)))),"Fix")))</f>
        <v>0</v>
      </c>
      <c r="G427" s="5">
        <f>IF(OR(INDEX($V$2:$V$1001,MATCH(ROWS($U$2:U427),$U$2:$U$1001,0),1)&gt;=100000,INDEX($AB$1005:$AQ$1005,1,MATCH(COLUMNS($AB$1006:AG1006),$AB$1006:$AQ$1006,0))&gt;=100000), " ",IF(INDEX($AB$2:$AQ$1001,MATCH(ROWS($U$2:U427),$U$2:$U$1001,0),MATCH(COLUMNS($AB$1006:AG1006),$AB$1006:$AQ$1006,0)), HYPERLINK("#",""), HYPERLINK(CONCATENATE("#Metadata!", ADDRESS(INDEX($W$2:$W$1001,MATCH(ROWS($U$2:U427),$U$2:$U$1001,0),0), INDEX($AB$1004:$AQ$1004,1,MATCH(COLUMNS($AB$1006:AG1006),$AB$1006:$AQ$1006,0)))),"Fix")))</f>
        <v>0</v>
      </c>
      <c r="H427" s="5">
        <f>IF(OR(INDEX($V$2:$V$1001,MATCH(ROWS($U$2:U427),$U$2:$U$1001,0),1)&gt;=100000,INDEX($AB$1005:$AQ$1005,1,MATCH(COLUMNS($AB$1006:AH1006),$AB$1006:$AQ$1006,0))&gt;=100000), " ",IF(INDEX($AB$2:$AQ$1001,MATCH(ROWS($U$2:U427),$U$2:$U$1001,0),MATCH(COLUMNS($AB$1006:AH1006),$AB$1006:$AQ$1006,0)), HYPERLINK("#",""), HYPERLINK(CONCATENATE("#Metadata!", ADDRESS(INDEX($W$2:$W$1001,MATCH(ROWS($U$2:U427),$U$2:$U$1001,0),0), INDEX($AB$1004:$AQ$1004,1,MATCH(COLUMNS($AB$1006:AH1006),$AB$1006:$AQ$1006,0)))),"Fix")))</f>
        <v>0</v>
      </c>
      <c r="I427" s="5">
        <f>IF(OR(INDEX($V$2:$V$1001,MATCH(ROWS($U$2:U427),$U$2:$U$1001,0),1)&gt;=100000,INDEX($AB$1005:$AQ$1005,1,MATCH(COLUMNS($AB$1006:AI1006),$AB$1006:$AQ$1006,0))&gt;=100000), " ",IF(INDEX($AB$2:$AQ$1001,MATCH(ROWS($U$2:U427),$U$2:$U$1001,0),MATCH(COLUMNS($AB$1006:AI1006),$AB$1006:$AQ$1006,0)), HYPERLINK("#",""), HYPERLINK(CONCATENATE("#Metadata!", ADDRESS(INDEX($W$2:$W$1001,MATCH(ROWS($U$2:U427),$U$2:$U$1001,0),0), INDEX($AB$1004:$AQ$1004,1,MATCH(COLUMNS($AB$1006:AI1006),$AB$1006:$AQ$1006,0)))),"Fix")))</f>
        <v>0</v>
      </c>
      <c r="J427" s="5">
        <f>IF(OR(INDEX($V$2:$V$1001,MATCH(ROWS($U$2:U427),$U$2:$U$1001,0),1)&gt;=100000,INDEX($AB$1005:$AQ$1005,1,MATCH(COLUMNS($AB$1006:AJ1006),$AB$1006:$AQ$1006,0))&gt;=100000), " ",IF(INDEX($AB$2:$AQ$1001,MATCH(ROWS($U$2:U427),$U$2:$U$1001,0),MATCH(COLUMNS($AB$1006:AJ1006),$AB$1006:$AQ$1006,0)), HYPERLINK("#",""), HYPERLINK(CONCATENATE("#Metadata!", ADDRESS(INDEX($W$2:$W$1001,MATCH(ROWS($U$2:U427),$U$2:$U$1001,0),0), INDEX($AB$1004:$AQ$1004,1,MATCH(COLUMNS($AB$1006:AJ1006),$AB$1006:$AQ$1006,0)))),"Fix")))</f>
        <v>0</v>
      </c>
      <c r="K427" s="5">
        <f>IF(OR(INDEX($V$2:$V$1001,MATCH(ROWS($U$2:U427),$U$2:$U$1001,0),1)&gt;=100000,INDEX($AB$1005:$AQ$1005,1,MATCH(COLUMNS($AB$1006:AK1006),$AB$1006:$AQ$1006,0))&gt;=100000), " ",IF(INDEX($AB$2:$AQ$1001,MATCH(ROWS($U$2:U427),$U$2:$U$1001,0),MATCH(COLUMNS($AB$1006:AK1006),$AB$1006:$AQ$1006,0)), HYPERLINK("#",""), HYPERLINK(CONCATENATE("#Metadata!", ADDRESS(INDEX($W$2:$W$1001,MATCH(ROWS($U$2:U427),$U$2:$U$1001,0),0), INDEX($AB$1004:$AQ$1004,1,MATCH(COLUMNS($AB$1006:AK1006),$AB$1006:$AQ$1006,0)))),"Fix")))</f>
        <v>0</v>
      </c>
      <c r="L427" s="5">
        <f>IF(OR(INDEX($V$2:$V$1001,MATCH(ROWS($U$2:U427),$U$2:$U$1001,0),1)&gt;=100000,INDEX($AB$1005:$AQ$1005,1,MATCH(COLUMNS($AB$1006:AL1006),$AB$1006:$AQ$1006,0))&gt;=100000), " ",IF(INDEX($AB$2:$AQ$1001,MATCH(ROWS($U$2:U427),$U$2:$U$1001,0),MATCH(COLUMNS($AB$1006:AL1006),$AB$1006:$AQ$1006,0)), HYPERLINK("#",""), HYPERLINK(CONCATENATE("#Metadata!", ADDRESS(INDEX($W$2:$W$1001,MATCH(ROWS($U$2:U427),$U$2:$U$1001,0),0), INDEX($AB$1004:$AQ$1004,1,MATCH(COLUMNS($AB$1006:AL1006),$AB$1006:$AQ$1006,0)))),"Fix")))</f>
        <v>0</v>
      </c>
      <c r="M427" s="5">
        <f>IF(OR(INDEX($V$2:$V$1001,MATCH(ROWS($U$2:U427),$U$2:$U$1001,0),1)&gt;=100000,INDEX($AB$1005:$AQ$1005,1,MATCH(COLUMNS($AB$1006:AM1006),$AB$1006:$AQ$1006,0))&gt;=100000), " ",IF(INDEX($AB$2:$AQ$1001,MATCH(ROWS($U$2:U427),$U$2:$U$1001,0),MATCH(COLUMNS($AB$1006:AM1006),$AB$1006:$AQ$1006,0)), HYPERLINK("#",""), HYPERLINK(CONCATENATE("#Metadata!", ADDRESS(INDEX($W$2:$W$1001,MATCH(ROWS($U$2:U427),$U$2:$U$1001,0),0), INDEX($AB$1004:$AQ$1004,1,MATCH(COLUMNS($AB$1006:AM1006),$AB$1006:$AQ$1006,0)))),"Fix")))</f>
        <v>0</v>
      </c>
      <c r="N427" s="5">
        <f>IF(OR(INDEX($V$2:$V$1001,MATCH(ROWS($U$2:U427),$U$2:$U$1001,0),1)&gt;=100000,INDEX($AB$1005:$AQ$1005,1,MATCH(COLUMNS($AB$1006:AN1006),$AB$1006:$AQ$1006,0))&gt;=100000), " ",IF(INDEX($AB$2:$AQ$1001,MATCH(ROWS($U$2:U427),$U$2:$U$1001,0),MATCH(COLUMNS($AB$1006:AN1006),$AB$1006:$AQ$1006,0)), HYPERLINK("#",""), HYPERLINK(CONCATENATE("#Metadata!", ADDRESS(INDEX($W$2:$W$1001,MATCH(ROWS($U$2:U427),$U$2:$U$1001,0),0), INDEX($AB$1004:$AQ$1004,1,MATCH(COLUMNS($AB$1006:AN1006),$AB$1006:$AQ$1006,0)))),"Fix")))</f>
        <v>0</v>
      </c>
      <c r="O427" s="5">
        <f>IF(OR(INDEX($V$2:$V$1001,MATCH(ROWS($U$2:U427),$U$2:$U$1001,0),1)&gt;=100000,INDEX($AB$1005:$AQ$1005,1,MATCH(COLUMNS($AB$1006:AO1006),$AB$1006:$AQ$1006,0))&gt;=100000), " ",IF(INDEX($AB$2:$AQ$1001,MATCH(ROWS($U$2:U427),$U$2:$U$1001,0),MATCH(COLUMNS($AB$1006:AO1006),$AB$1006:$AQ$1006,0)), HYPERLINK("#",""), HYPERLINK(CONCATENATE("#Metadata!", ADDRESS(INDEX($W$2:$W$1001,MATCH(ROWS($U$2:U427),$U$2:$U$1001,0),0), INDEX($AB$1004:$AQ$1004,1,MATCH(COLUMNS($AB$1006:AO1006),$AB$1006:$AQ$1006,0)))),"Fix")))</f>
        <v>0</v>
      </c>
      <c r="P427" s="5">
        <f>IF(OR(INDEX($V$2:$V$1001,MATCH(ROWS($U$2:U427),$U$2:$U$1001,0),1)&gt;=100000,INDEX($AB$1005:$AQ$1005,1,MATCH(COLUMNS($AB$1006:AP1006),$AB$1006:$AQ$1006,0))&gt;=100000), " ",IF(INDEX($AB$2:$AQ$1001,MATCH(ROWS($U$2:U427),$U$2:$U$1001,0),MATCH(COLUMNS($AB$1006:AP1006),$AB$1006:$AQ$1006,0)), HYPERLINK("#",""), HYPERLINK(CONCATENATE("#Metadata!", ADDRESS(INDEX($W$2:$W$1001,MATCH(ROWS($U$2:U427),$U$2:$U$1001,0),0), INDEX($AB$1004:$AQ$1004,1,MATCH(COLUMNS($AB$1006:AP1006),$AB$1006:$AQ$1006,0)))),"Fix")))</f>
        <v>0</v>
      </c>
      <c r="Q427" s="5">
        <f>IF(OR(INDEX($V$2:$V$1001,MATCH(ROWS($U$2:U427),$U$2:$U$1001,0),1)&gt;=100000,INDEX($AB$1005:$AQ$1005,1,MATCH(COLUMNS($AB$1006:AQ1006),$AB$1006:$AQ$1006,0))&gt;=100000), " ",IF(INDEX($AB$2:$AQ$1001,MATCH(ROWS($U$2:U427),$U$2:$U$1001,0),MATCH(COLUMNS($AB$1006:AQ1006),$AB$1006:$AQ$1006,0)), HYPERLINK("#",""), HYPERLINK(CONCATENATE("#Metadata!", ADDRESS(INDEX($W$2:$W$1001,MATCH(ROWS($U$2:U427),$U$2:$U$1001,0),0), INDEX($AB$1004:$AQ$1004,1,MATCH(COLUMNS($AB$1006:AQ1006),$AB$1006:$AQ$1006,0)))),"Fix")))</f>
        <v>0</v>
      </c>
      <c r="U427">
        <v>0</v>
      </c>
      <c r="V427">
        <v>0</v>
      </c>
      <c r="W427">
        <v>0</v>
      </c>
      <c r="X427">
        <f>IF(Y427,TRUE,AND(AB427:AQ427))</f>
        <v>0</v>
      </c>
      <c r="Y427">
        <f>COUNTBLANK(Metadata!B427:Q427)=COLUMNS(Metadata!B427:Q427)</f>
        <v>0</v>
      </c>
      <c r="Z427">
        <v>0</v>
      </c>
      <c r="AB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AC427">
        <f>AND(IF(Metadata!C427="",FALSE,TRUE),exact(Metadata!C427,"urban biome"))</f>
        <v>0</v>
      </c>
      <c r="AD427">
        <f>AND(IF(Metadata!D427="",FALSE,TRUE),exact(Metadata!D427,"human-associated habitat"))</f>
        <v>0</v>
      </c>
      <c r="AE427">
        <f>AND(IF(Metadata!E427="",FALSE,TRUE),OR(exact(Metadata!E427,"human-associated"),exact(Metadata!E427,"human-skin"),exact(Metadata!E427,"human-oral"),exact(Metadata!E427,"human-gut"),exact(Metadata!E427,"human-vaginal")))</f>
        <v>0</v>
      </c>
      <c r="AF427">
        <f>AND(IF(Metadata!F427="",FALSE,ISNUMBER(VALUE(Metadata!F427))),Metadata!F427&gt;0)</f>
        <v>0</v>
      </c>
      <c r="AG427">
        <f>AND(IF(Metadata!G427="",FALSE,TRUE),exact(Metadata!G427,"years"))</f>
        <v>0</v>
      </c>
      <c r="AH427">
        <f>OR(AND(IF(Metadata!H427="",FALSE,TRUE),OR(exact(Metadata!H427,"not applicable"),exact(Metadata!H427,"not collected"),exact(Metadata!H427,"not provided"),exact(Metadata!H427,"restricted access"))),AND(IF(Metadata!H427="",FALSE,ISNUMBER(VALUE(Metadata!H427))),Metadata!H427&gt;0))</f>
        <v>0</v>
      </c>
      <c r="AI427">
        <f>AND(IF(Metadata!I427="",FALSE,TRUE),exact(Metadata!I427,"human"))</f>
        <v>0</v>
      </c>
      <c r="AJ427">
        <f>AND(IF(Metadata!J427="",FALSE,ISNUMBER(VALUE(Metadata!J427))),Metadata!J427&gt;0)</f>
        <v>0</v>
      </c>
      <c r="AK427">
        <f>AND(IF(Metadata!K427="",FALSE,TRUE),exact(Metadata!K427,"cm"))</f>
        <v>0</v>
      </c>
      <c r="AL427">
        <f>AND(IF(Metadata!L427="",FALSE,TRUE),exact(Metadata!L427,"Homo sapiens"))</f>
        <v>0</v>
      </c>
      <c r="AM427">
        <f>AND(IF(Metadata!M427="",FALSE,TRUE),exact(Metadata!M427,"9606"))</f>
        <v>0</v>
      </c>
      <c r="AN427">
        <f>AND(IF(Metadata!N427="",FALSE,ISNUMBER(VALUE(Metadata!N427))),Metadata!N427&gt;0)</f>
        <v>0</v>
      </c>
      <c r="AO427">
        <f>AND(IF(Metadata!O427="",FALSE,TRUE),exact(Metadata!O427,"kg"))</f>
        <v>0</v>
      </c>
      <c r="AP427">
        <f>OR(AND(IF(Metadata!P427="",FALSE,TRUE),exact(Metadata!P427,"not provided")),IF(Metadata!P427="",FALSE,TRUE))</f>
        <v>0</v>
      </c>
      <c r="AQ427">
        <f>OR(AND(IF(Metadata!Q427="",FALSE,TRUE),exact(Metadata!Q427,"not provided")),IF(Metadata!Q427="",FALSE,TRUE))</f>
        <v>0</v>
      </c>
    </row>
    <row r="428" spans="1:43">
      <c r="A428" s="4">
        <f>IF(B428=" "," ",HYPERLINK(CONCATENATE("#metadata!",ADDRESS(INDEX($W$2:$W$1001,MATCH(ROWS($U$2:U428),$U$2:$U$1001,0),0),2)),INDEX($Z$2:$Z$1001,MATCH(ROWS($U$2:U428),$U$2:$U$1001,0),0)))</f>
        <v>0</v>
      </c>
      <c r="B428" s="5">
        <f>IF(OR(INDEX($V$2:$V$1001,MATCH(ROWS($U$2:U428),$U$2:$U$1001,0),1)&gt;=100000,INDEX($AB$1005:$AQ$1005,1,MATCH(COLUMNS($AB$1006:AB1006),$AB$1006:$AQ$1006,0))&gt;=100000), " ",IF(INDEX($AB$2:$AQ$1001,MATCH(ROWS($U$2:U428),$U$2:$U$1001,0),MATCH(COLUMNS($AB$1006:AB1006),$AB$1006:$AQ$1006,0)), HYPERLINK("#",""), HYPERLINK(CONCATENATE("#Metadata!", ADDRESS(INDEX($W$2:$W$1001,MATCH(ROWS($U$2:U428),$U$2:$U$1001,0),0), INDEX($AB$1004:$AQ$1004,1,MATCH(COLUMNS($AB$1006:AB1006),$AB$1006:$AQ$1006,0)))),"Fix")))</f>
        <v>0</v>
      </c>
      <c r="C428" s="5">
        <f>IF(OR(INDEX($V$2:$V$1001,MATCH(ROWS($U$2:U428),$U$2:$U$1001,0),1)&gt;=100000,INDEX($AB$1005:$AQ$1005,1,MATCH(COLUMNS($AB$1006:AC1006),$AB$1006:$AQ$1006,0))&gt;=100000), " ",IF(INDEX($AB$2:$AQ$1001,MATCH(ROWS($U$2:U428),$U$2:$U$1001,0),MATCH(COLUMNS($AB$1006:AC1006),$AB$1006:$AQ$1006,0)), HYPERLINK("#",""), HYPERLINK(CONCATENATE("#Metadata!", ADDRESS(INDEX($W$2:$W$1001,MATCH(ROWS($U$2:U428),$U$2:$U$1001,0),0), INDEX($AB$1004:$AQ$1004,1,MATCH(COLUMNS($AB$1006:AC1006),$AB$1006:$AQ$1006,0)))),"Fix")))</f>
        <v>0</v>
      </c>
      <c r="D428" s="5">
        <f>IF(OR(INDEX($V$2:$V$1001,MATCH(ROWS($U$2:U428),$U$2:$U$1001,0),1)&gt;=100000,INDEX($AB$1005:$AQ$1005,1,MATCH(COLUMNS($AB$1006:AD1006),$AB$1006:$AQ$1006,0))&gt;=100000), " ",IF(INDEX($AB$2:$AQ$1001,MATCH(ROWS($U$2:U428),$U$2:$U$1001,0),MATCH(COLUMNS($AB$1006:AD1006),$AB$1006:$AQ$1006,0)), HYPERLINK("#",""), HYPERLINK(CONCATENATE("#Metadata!", ADDRESS(INDEX($W$2:$W$1001,MATCH(ROWS($U$2:U428),$U$2:$U$1001,0),0), INDEX($AB$1004:$AQ$1004,1,MATCH(COLUMNS($AB$1006:AD1006),$AB$1006:$AQ$1006,0)))),"Fix")))</f>
        <v>0</v>
      </c>
      <c r="E428" s="5">
        <f>IF(OR(INDEX($V$2:$V$1001,MATCH(ROWS($U$2:U428),$U$2:$U$1001,0),1)&gt;=100000,INDEX($AB$1005:$AQ$1005,1,MATCH(COLUMNS($AB$1006:AE1006),$AB$1006:$AQ$1006,0))&gt;=100000), " ",IF(INDEX($AB$2:$AQ$1001,MATCH(ROWS($U$2:U428),$U$2:$U$1001,0),MATCH(COLUMNS($AB$1006:AE1006),$AB$1006:$AQ$1006,0)), HYPERLINK("#",""), HYPERLINK(CONCATENATE("#Metadata!", ADDRESS(INDEX($W$2:$W$1001,MATCH(ROWS($U$2:U428),$U$2:$U$1001,0),0), INDEX($AB$1004:$AQ$1004,1,MATCH(COLUMNS($AB$1006:AE1006),$AB$1006:$AQ$1006,0)))),"Fix")))</f>
        <v>0</v>
      </c>
      <c r="F428" s="5">
        <f>IF(OR(INDEX($V$2:$V$1001,MATCH(ROWS($U$2:U428),$U$2:$U$1001,0),1)&gt;=100000,INDEX($AB$1005:$AQ$1005,1,MATCH(COLUMNS($AB$1006:AF1006),$AB$1006:$AQ$1006,0))&gt;=100000), " ",IF(INDEX($AB$2:$AQ$1001,MATCH(ROWS($U$2:U428),$U$2:$U$1001,0),MATCH(COLUMNS($AB$1006:AF1006),$AB$1006:$AQ$1006,0)), HYPERLINK("#",""), HYPERLINK(CONCATENATE("#Metadata!", ADDRESS(INDEX($W$2:$W$1001,MATCH(ROWS($U$2:U428),$U$2:$U$1001,0),0), INDEX($AB$1004:$AQ$1004,1,MATCH(COLUMNS($AB$1006:AF1006),$AB$1006:$AQ$1006,0)))),"Fix")))</f>
        <v>0</v>
      </c>
      <c r="G428" s="5">
        <f>IF(OR(INDEX($V$2:$V$1001,MATCH(ROWS($U$2:U428),$U$2:$U$1001,0),1)&gt;=100000,INDEX($AB$1005:$AQ$1005,1,MATCH(COLUMNS($AB$1006:AG1006),$AB$1006:$AQ$1006,0))&gt;=100000), " ",IF(INDEX($AB$2:$AQ$1001,MATCH(ROWS($U$2:U428),$U$2:$U$1001,0),MATCH(COLUMNS($AB$1006:AG1006),$AB$1006:$AQ$1006,0)), HYPERLINK("#",""), HYPERLINK(CONCATENATE("#Metadata!", ADDRESS(INDEX($W$2:$W$1001,MATCH(ROWS($U$2:U428),$U$2:$U$1001,0),0), INDEX($AB$1004:$AQ$1004,1,MATCH(COLUMNS($AB$1006:AG1006),$AB$1006:$AQ$1006,0)))),"Fix")))</f>
        <v>0</v>
      </c>
      <c r="H428" s="5">
        <f>IF(OR(INDEX($V$2:$V$1001,MATCH(ROWS($U$2:U428),$U$2:$U$1001,0),1)&gt;=100000,INDEX($AB$1005:$AQ$1005,1,MATCH(COLUMNS($AB$1006:AH1006),$AB$1006:$AQ$1006,0))&gt;=100000), " ",IF(INDEX($AB$2:$AQ$1001,MATCH(ROWS($U$2:U428),$U$2:$U$1001,0),MATCH(COLUMNS($AB$1006:AH1006),$AB$1006:$AQ$1006,0)), HYPERLINK("#",""), HYPERLINK(CONCATENATE("#Metadata!", ADDRESS(INDEX($W$2:$W$1001,MATCH(ROWS($U$2:U428),$U$2:$U$1001,0),0), INDEX($AB$1004:$AQ$1004,1,MATCH(COLUMNS($AB$1006:AH1006),$AB$1006:$AQ$1006,0)))),"Fix")))</f>
        <v>0</v>
      </c>
      <c r="I428" s="5">
        <f>IF(OR(INDEX($V$2:$V$1001,MATCH(ROWS($U$2:U428),$U$2:$U$1001,0),1)&gt;=100000,INDEX($AB$1005:$AQ$1005,1,MATCH(COLUMNS($AB$1006:AI1006),$AB$1006:$AQ$1006,0))&gt;=100000), " ",IF(INDEX($AB$2:$AQ$1001,MATCH(ROWS($U$2:U428),$U$2:$U$1001,0),MATCH(COLUMNS($AB$1006:AI1006),$AB$1006:$AQ$1006,0)), HYPERLINK("#",""), HYPERLINK(CONCATENATE("#Metadata!", ADDRESS(INDEX($W$2:$W$1001,MATCH(ROWS($U$2:U428),$U$2:$U$1001,0),0), INDEX($AB$1004:$AQ$1004,1,MATCH(COLUMNS($AB$1006:AI1006),$AB$1006:$AQ$1006,0)))),"Fix")))</f>
        <v>0</v>
      </c>
      <c r="J428" s="5">
        <f>IF(OR(INDEX($V$2:$V$1001,MATCH(ROWS($U$2:U428),$U$2:$U$1001,0),1)&gt;=100000,INDEX($AB$1005:$AQ$1005,1,MATCH(COLUMNS($AB$1006:AJ1006),$AB$1006:$AQ$1006,0))&gt;=100000), " ",IF(INDEX($AB$2:$AQ$1001,MATCH(ROWS($U$2:U428),$U$2:$U$1001,0),MATCH(COLUMNS($AB$1006:AJ1006),$AB$1006:$AQ$1006,0)), HYPERLINK("#",""), HYPERLINK(CONCATENATE("#Metadata!", ADDRESS(INDEX($W$2:$W$1001,MATCH(ROWS($U$2:U428),$U$2:$U$1001,0),0), INDEX($AB$1004:$AQ$1004,1,MATCH(COLUMNS($AB$1006:AJ1006),$AB$1006:$AQ$1006,0)))),"Fix")))</f>
        <v>0</v>
      </c>
      <c r="K428" s="5">
        <f>IF(OR(INDEX($V$2:$V$1001,MATCH(ROWS($U$2:U428),$U$2:$U$1001,0),1)&gt;=100000,INDEX($AB$1005:$AQ$1005,1,MATCH(COLUMNS($AB$1006:AK1006),$AB$1006:$AQ$1006,0))&gt;=100000), " ",IF(INDEX($AB$2:$AQ$1001,MATCH(ROWS($U$2:U428),$U$2:$U$1001,0),MATCH(COLUMNS($AB$1006:AK1006),$AB$1006:$AQ$1006,0)), HYPERLINK("#",""), HYPERLINK(CONCATENATE("#Metadata!", ADDRESS(INDEX($W$2:$W$1001,MATCH(ROWS($U$2:U428),$U$2:$U$1001,0),0), INDEX($AB$1004:$AQ$1004,1,MATCH(COLUMNS($AB$1006:AK1006),$AB$1006:$AQ$1006,0)))),"Fix")))</f>
        <v>0</v>
      </c>
      <c r="L428" s="5">
        <f>IF(OR(INDEX($V$2:$V$1001,MATCH(ROWS($U$2:U428),$U$2:$U$1001,0),1)&gt;=100000,INDEX($AB$1005:$AQ$1005,1,MATCH(COLUMNS($AB$1006:AL1006),$AB$1006:$AQ$1006,0))&gt;=100000), " ",IF(INDEX($AB$2:$AQ$1001,MATCH(ROWS($U$2:U428),$U$2:$U$1001,0),MATCH(COLUMNS($AB$1006:AL1006),$AB$1006:$AQ$1006,0)), HYPERLINK("#",""), HYPERLINK(CONCATENATE("#Metadata!", ADDRESS(INDEX($W$2:$W$1001,MATCH(ROWS($U$2:U428),$U$2:$U$1001,0),0), INDEX($AB$1004:$AQ$1004,1,MATCH(COLUMNS($AB$1006:AL1006),$AB$1006:$AQ$1006,0)))),"Fix")))</f>
        <v>0</v>
      </c>
      <c r="M428" s="5">
        <f>IF(OR(INDEX($V$2:$V$1001,MATCH(ROWS($U$2:U428),$U$2:$U$1001,0),1)&gt;=100000,INDEX($AB$1005:$AQ$1005,1,MATCH(COLUMNS($AB$1006:AM1006),$AB$1006:$AQ$1006,0))&gt;=100000), " ",IF(INDEX($AB$2:$AQ$1001,MATCH(ROWS($U$2:U428),$U$2:$U$1001,0),MATCH(COLUMNS($AB$1006:AM1006),$AB$1006:$AQ$1006,0)), HYPERLINK("#",""), HYPERLINK(CONCATENATE("#Metadata!", ADDRESS(INDEX($W$2:$W$1001,MATCH(ROWS($U$2:U428),$U$2:$U$1001,0),0), INDEX($AB$1004:$AQ$1004,1,MATCH(COLUMNS($AB$1006:AM1006),$AB$1006:$AQ$1006,0)))),"Fix")))</f>
        <v>0</v>
      </c>
      <c r="N428" s="5">
        <f>IF(OR(INDEX($V$2:$V$1001,MATCH(ROWS($U$2:U428),$U$2:$U$1001,0),1)&gt;=100000,INDEX($AB$1005:$AQ$1005,1,MATCH(COLUMNS($AB$1006:AN1006),$AB$1006:$AQ$1006,0))&gt;=100000), " ",IF(INDEX($AB$2:$AQ$1001,MATCH(ROWS($U$2:U428),$U$2:$U$1001,0),MATCH(COLUMNS($AB$1006:AN1006),$AB$1006:$AQ$1006,0)), HYPERLINK("#",""), HYPERLINK(CONCATENATE("#Metadata!", ADDRESS(INDEX($W$2:$W$1001,MATCH(ROWS($U$2:U428),$U$2:$U$1001,0),0), INDEX($AB$1004:$AQ$1004,1,MATCH(COLUMNS($AB$1006:AN1006),$AB$1006:$AQ$1006,0)))),"Fix")))</f>
        <v>0</v>
      </c>
      <c r="O428" s="5">
        <f>IF(OR(INDEX($V$2:$V$1001,MATCH(ROWS($U$2:U428),$U$2:$U$1001,0),1)&gt;=100000,INDEX($AB$1005:$AQ$1005,1,MATCH(COLUMNS($AB$1006:AO1006),$AB$1006:$AQ$1006,0))&gt;=100000), " ",IF(INDEX($AB$2:$AQ$1001,MATCH(ROWS($U$2:U428),$U$2:$U$1001,0),MATCH(COLUMNS($AB$1006:AO1006),$AB$1006:$AQ$1006,0)), HYPERLINK("#",""), HYPERLINK(CONCATENATE("#Metadata!", ADDRESS(INDEX($W$2:$W$1001,MATCH(ROWS($U$2:U428),$U$2:$U$1001,0),0), INDEX($AB$1004:$AQ$1004,1,MATCH(COLUMNS($AB$1006:AO1006),$AB$1006:$AQ$1006,0)))),"Fix")))</f>
        <v>0</v>
      </c>
      <c r="P428" s="5">
        <f>IF(OR(INDEX($V$2:$V$1001,MATCH(ROWS($U$2:U428),$U$2:$U$1001,0),1)&gt;=100000,INDEX($AB$1005:$AQ$1005,1,MATCH(COLUMNS($AB$1006:AP1006),$AB$1006:$AQ$1006,0))&gt;=100000), " ",IF(INDEX($AB$2:$AQ$1001,MATCH(ROWS($U$2:U428),$U$2:$U$1001,0),MATCH(COLUMNS($AB$1006:AP1006),$AB$1006:$AQ$1006,0)), HYPERLINK("#",""), HYPERLINK(CONCATENATE("#Metadata!", ADDRESS(INDEX($W$2:$W$1001,MATCH(ROWS($U$2:U428),$U$2:$U$1001,0),0), INDEX($AB$1004:$AQ$1004,1,MATCH(COLUMNS($AB$1006:AP1006),$AB$1006:$AQ$1006,0)))),"Fix")))</f>
        <v>0</v>
      </c>
      <c r="Q428" s="5">
        <f>IF(OR(INDEX($V$2:$V$1001,MATCH(ROWS($U$2:U428),$U$2:$U$1001,0),1)&gt;=100000,INDEX($AB$1005:$AQ$1005,1,MATCH(COLUMNS($AB$1006:AQ1006),$AB$1006:$AQ$1006,0))&gt;=100000), " ",IF(INDEX($AB$2:$AQ$1001,MATCH(ROWS($U$2:U428),$U$2:$U$1001,0),MATCH(COLUMNS($AB$1006:AQ1006),$AB$1006:$AQ$1006,0)), HYPERLINK("#",""), HYPERLINK(CONCATENATE("#Metadata!", ADDRESS(INDEX($W$2:$W$1001,MATCH(ROWS($U$2:U428),$U$2:$U$1001,0),0), INDEX($AB$1004:$AQ$1004,1,MATCH(COLUMNS($AB$1006:AQ1006),$AB$1006:$AQ$1006,0)))),"Fix")))</f>
        <v>0</v>
      </c>
      <c r="U428">
        <v>0</v>
      </c>
      <c r="V428">
        <v>0</v>
      </c>
      <c r="W428">
        <v>0</v>
      </c>
      <c r="X428">
        <f>IF(Y428,TRUE,AND(AB428:AQ428))</f>
        <v>0</v>
      </c>
      <c r="Y428">
        <f>COUNTBLANK(Metadata!B428:Q428)=COLUMNS(Metadata!B428:Q428)</f>
        <v>0</v>
      </c>
      <c r="Z428">
        <v>0</v>
      </c>
      <c r="AB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AC428">
        <f>AND(IF(Metadata!C428="",FALSE,TRUE),exact(Metadata!C428,"urban biome"))</f>
        <v>0</v>
      </c>
      <c r="AD428">
        <f>AND(IF(Metadata!D428="",FALSE,TRUE),exact(Metadata!D428,"human-associated habitat"))</f>
        <v>0</v>
      </c>
      <c r="AE428">
        <f>AND(IF(Metadata!E428="",FALSE,TRUE),OR(exact(Metadata!E428,"human-associated"),exact(Metadata!E428,"human-skin"),exact(Metadata!E428,"human-oral"),exact(Metadata!E428,"human-gut"),exact(Metadata!E428,"human-vaginal")))</f>
        <v>0</v>
      </c>
      <c r="AF428">
        <f>AND(IF(Metadata!F428="",FALSE,ISNUMBER(VALUE(Metadata!F428))),Metadata!F428&gt;0)</f>
        <v>0</v>
      </c>
      <c r="AG428">
        <f>AND(IF(Metadata!G428="",FALSE,TRUE),exact(Metadata!G428,"years"))</f>
        <v>0</v>
      </c>
      <c r="AH428">
        <f>OR(AND(IF(Metadata!H428="",FALSE,TRUE),OR(exact(Metadata!H428,"not applicable"),exact(Metadata!H428,"not collected"),exact(Metadata!H428,"not provided"),exact(Metadata!H428,"restricted access"))),AND(IF(Metadata!H428="",FALSE,ISNUMBER(VALUE(Metadata!H428))),Metadata!H428&gt;0))</f>
        <v>0</v>
      </c>
      <c r="AI428">
        <f>AND(IF(Metadata!I428="",FALSE,TRUE),exact(Metadata!I428,"human"))</f>
        <v>0</v>
      </c>
      <c r="AJ428">
        <f>AND(IF(Metadata!J428="",FALSE,ISNUMBER(VALUE(Metadata!J428))),Metadata!J428&gt;0)</f>
        <v>0</v>
      </c>
      <c r="AK428">
        <f>AND(IF(Metadata!K428="",FALSE,TRUE),exact(Metadata!K428,"cm"))</f>
        <v>0</v>
      </c>
      <c r="AL428">
        <f>AND(IF(Metadata!L428="",FALSE,TRUE),exact(Metadata!L428,"Homo sapiens"))</f>
        <v>0</v>
      </c>
      <c r="AM428">
        <f>AND(IF(Metadata!M428="",FALSE,TRUE),exact(Metadata!M428,"9606"))</f>
        <v>0</v>
      </c>
      <c r="AN428">
        <f>AND(IF(Metadata!N428="",FALSE,ISNUMBER(VALUE(Metadata!N428))),Metadata!N428&gt;0)</f>
        <v>0</v>
      </c>
      <c r="AO428">
        <f>AND(IF(Metadata!O428="",FALSE,TRUE),exact(Metadata!O428,"kg"))</f>
        <v>0</v>
      </c>
      <c r="AP428">
        <f>OR(AND(IF(Metadata!P428="",FALSE,TRUE),exact(Metadata!P428,"not provided")),IF(Metadata!P428="",FALSE,TRUE))</f>
        <v>0</v>
      </c>
      <c r="AQ428">
        <f>OR(AND(IF(Metadata!Q428="",FALSE,TRUE),exact(Metadata!Q428,"not provided")),IF(Metadata!Q428="",FALSE,TRUE))</f>
        <v>0</v>
      </c>
    </row>
    <row r="429" spans="1:43">
      <c r="A429" s="4">
        <f>IF(B429=" "," ",HYPERLINK(CONCATENATE("#metadata!",ADDRESS(INDEX($W$2:$W$1001,MATCH(ROWS($U$2:U429),$U$2:$U$1001,0),0),2)),INDEX($Z$2:$Z$1001,MATCH(ROWS($U$2:U429),$U$2:$U$1001,0),0)))</f>
        <v>0</v>
      </c>
      <c r="B429" s="5">
        <f>IF(OR(INDEX($V$2:$V$1001,MATCH(ROWS($U$2:U429),$U$2:$U$1001,0),1)&gt;=100000,INDEX($AB$1005:$AQ$1005,1,MATCH(COLUMNS($AB$1006:AB1006),$AB$1006:$AQ$1006,0))&gt;=100000), " ",IF(INDEX($AB$2:$AQ$1001,MATCH(ROWS($U$2:U429),$U$2:$U$1001,0),MATCH(COLUMNS($AB$1006:AB1006),$AB$1006:$AQ$1006,0)), HYPERLINK("#",""), HYPERLINK(CONCATENATE("#Metadata!", ADDRESS(INDEX($W$2:$W$1001,MATCH(ROWS($U$2:U429),$U$2:$U$1001,0),0), INDEX($AB$1004:$AQ$1004,1,MATCH(COLUMNS($AB$1006:AB1006),$AB$1006:$AQ$1006,0)))),"Fix")))</f>
        <v>0</v>
      </c>
      <c r="C429" s="5">
        <f>IF(OR(INDEX($V$2:$V$1001,MATCH(ROWS($U$2:U429),$U$2:$U$1001,0),1)&gt;=100000,INDEX($AB$1005:$AQ$1005,1,MATCH(COLUMNS($AB$1006:AC1006),$AB$1006:$AQ$1006,0))&gt;=100000), " ",IF(INDEX($AB$2:$AQ$1001,MATCH(ROWS($U$2:U429),$U$2:$U$1001,0),MATCH(COLUMNS($AB$1006:AC1006),$AB$1006:$AQ$1006,0)), HYPERLINK("#",""), HYPERLINK(CONCATENATE("#Metadata!", ADDRESS(INDEX($W$2:$W$1001,MATCH(ROWS($U$2:U429),$U$2:$U$1001,0),0), INDEX($AB$1004:$AQ$1004,1,MATCH(COLUMNS($AB$1006:AC1006),$AB$1006:$AQ$1006,0)))),"Fix")))</f>
        <v>0</v>
      </c>
      <c r="D429" s="5">
        <f>IF(OR(INDEX($V$2:$V$1001,MATCH(ROWS($U$2:U429),$U$2:$U$1001,0),1)&gt;=100000,INDEX($AB$1005:$AQ$1005,1,MATCH(COLUMNS($AB$1006:AD1006),$AB$1006:$AQ$1006,0))&gt;=100000), " ",IF(INDEX($AB$2:$AQ$1001,MATCH(ROWS($U$2:U429),$U$2:$U$1001,0),MATCH(COLUMNS($AB$1006:AD1006),$AB$1006:$AQ$1006,0)), HYPERLINK("#",""), HYPERLINK(CONCATENATE("#Metadata!", ADDRESS(INDEX($W$2:$W$1001,MATCH(ROWS($U$2:U429),$U$2:$U$1001,0),0), INDEX($AB$1004:$AQ$1004,1,MATCH(COLUMNS($AB$1006:AD1006),$AB$1006:$AQ$1006,0)))),"Fix")))</f>
        <v>0</v>
      </c>
      <c r="E429" s="5">
        <f>IF(OR(INDEX($V$2:$V$1001,MATCH(ROWS($U$2:U429),$U$2:$U$1001,0),1)&gt;=100000,INDEX($AB$1005:$AQ$1005,1,MATCH(COLUMNS($AB$1006:AE1006),$AB$1006:$AQ$1006,0))&gt;=100000), " ",IF(INDEX($AB$2:$AQ$1001,MATCH(ROWS($U$2:U429),$U$2:$U$1001,0),MATCH(COLUMNS($AB$1006:AE1006),$AB$1006:$AQ$1006,0)), HYPERLINK("#",""), HYPERLINK(CONCATENATE("#Metadata!", ADDRESS(INDEX($W$2:$W$1001,MATCH(ROWS($U$2:U429),$U$2:$U$1001,0),0), INDEX($AB$1004:$AQ$1004,1,MATCH(COLUMNS($AB$1006:AE1006),$AB$1006:$AQ$1006,0)))),"Fix")))</f>
        <v>0</v>
      </c>
      <c r="F429" s="5">
        <f>IF(OR(INDEX($V$2:$V$1001,MATCH(ROWS($U$2:U429),$U$2:$U$1001,0),1)&gt;=100000,INDEX($AB$1005:$AQ$1005,1,MATCH(COLUMNS($AB$1006:AF1006),$AB$1006:$AQ$1006,0))&gt;=100000), " ",IF(INDEX($AB$2:$AQ$1001,MATCH(ROWS($U$2:U429),$U$2:$U$1001,0),MATCH(COLUMNS($AB$1006:AF1006),$AB$1006:$AQ$1006,0)), HYPERLINK("#",""), HYPERLINK(CONCATENATE("#Metadata!", ADDRESS(INDEX($W$2:$W$1001,MATCH(ROWS($U$2:U429),$U$2:$U$1001,0),0), INDEX($AB$1004:$AQ$1004,1,MATCH(COLUMNS($AB$1006:AF1006),$AB$1006:$AQ$1006,0)))),"Fix")))</f>
        <v>0</v>
      </c>
      <c r="G429" s="5">
        <f>IF(OR(INDEX($V$2:$V$1001,MATCH(ROWS($U$2:U429),$U$2:$U$1001,0),1)&gt;=100000,INDEX($AB$1005:$AQ$1005,1,MATCH(COLUMNS($AB$1006:AG1006),$AB$1006:$AQ$1006,0))&gt;=100000), " ",IF(INDEX($AB$2:$AQ$1001,MATCH(ROWS($U$2:U429),$U$2:$U$1001,0),MATCH(COLUMNS($AB$1006:AG1006),$AB$1006:$AQ$1006,0)), HYPERLINK("#",""), HYPERLINK(CONCATENATE("#Metadata!", ADDRESS(INDEX($W$2:$W$1001,MATCH(ROWS($U$2:U429),$U$2:$U$1001,0),0), INDEX($AB$1004:$AQ$1004,1,MATCH(COLUMNS($AB$1006:AG1006),$AB$1006:$AQ$1006,0)))),"Fix")))</f>
        <v>0</v>
      </c>
      <c r="H429" s="5">
        <f>IF(OR(INDEX($V$2:$V$1001,MATCH(ROWS($U$2:U429),$U$2:$U$1001,0),1)&gt;=100000,INDEX($AB$1005:$AQ$1005,1,MATCH(COLUMNS($AB$1006:AH1006),$AB$1006:$AQ$1006,0))&gt;=100000), " ",IF(INDEX($AB$2:$AQ$1001,MATCH(ROWS($U$2:U429),$U$2:$U$1001,0),MATCH(COLUMNS($AB$1006:AH1006),$AB$1006:$AQ$1006,0)), HYPERLINK("#",""), HYPERLINK(CONCATENATE("#Metadata!", ADDRESS(INDEX($W$2:$W$1001,MATCH(ROWS($U$2:U429),$U$2:$U$1001,0),0), INDEX($AB$1004:$AQ$1004,1,MATCH(COLUMNS($AB$1006:AH1006),$AB$1006:$AQ$1006,0)))),"Fix")))</f>
        <v>0</v>
      </c>
      <c r="I429" s="5">
        <f>IF(OR(INDEX($V$2:$V$1001,MATCH(ROWS($U$2:U429),$U$2:$U$1001,0),1)&gt;=100000,INDEX($AB$1005:$AQ$1005,1,MATCH(COLUMNS($AB$1006:AI1006),$AB$1006:$AQ$1006,0))&gt;=100000), " ",IF(INDEX($AB$2:$AQ$1001,MATCH(ROWS($U$2:U429),$U$2:$U$1001,0),MATCH(COLUMNS($AB$1006:AI1006),$AB$1006:$AQ$1006,0)), HYPERLINK("#",""), HYPERLINK(CONCATENATE("#Metadata!", ADDRESS(INDEX($W$2:$W$1001,MATCH(ROWS($U$2:U429),$U$2:$U$1001,0),0), INDEX($AB$1004:$AQ$1004,1,MATCH(COLUMNS($AB$1006:AI1006),$AB$1006:$AQ$1006,0)))),"Fix")))</f>
        <v>0</v>
      </c>
      <c r="J429" s="5">
        <f>IF(OR(INDEX($V$2:$V$1001,MATCH(ROWS($U$2:U429),$U$2:$U$1001,0),1)&gt;=100000,INDEX($AB$1005:$AQ$1005,1,MATCH(COLUMNS($AB$1006:AJ1006),$AB$1006:$AQ$1006,0))&gt;=100000), " ",IF(INDEX($AB$2:$AQ$1001,MATCH(ROWS($U$2:U429),$U$2:$U$1001,0),MATCH(COLUMNS($AB$1006:AJ1006),$AB$1006:$AQ$1006,0)), HYPERLINK("#",""), HYPERLINK(CONCATENATE("#Metadata!", ADDRESS(INDEX($W$2:$W$1001,MATCH(ROWS($U$2:U429),$U$2:$U$1001,0),0), INDEX($AB$1004:$AQ$1004,1,MATCH(COLUMNS($AB$1006:AJ1006),$AB$1006:$AQ$1006,0)))),"Fix")))</f>
        <v>0</v>
      </c>
      <c r="K429" s="5">
        <f>IF(OR(INDEX($V$2:$V$1001,MATCH(ROWS($U$2:U429),$U$2:$U$1001,0),1)&gt;=100000,INDEX($AB$1005:$AQ$1005,1,MATCH(COLUMNS($AB$1006:AK1006),$AB$1006:$AQ$1006,0))&gt;=100000), " ",IF(INDEX($AB$2:$AQ$1001,MATCH(ROWS($U$2:U429),$U$2:$U$1001,0),MATCH(COLUMNS($AB$1006:AK1006),$AB$1006:$AQ$1006,0)), HYPERLINK("#",""), HYPERLINK(CONCATENATE("#Metadata!", ADDRESS(INDEX($W$2:$W$1001,MATCH(ROWS($U$2:U429),$U$2:$U$1001,0),0), INDEX($AB$1004:$AQ$1004,1,MATCH(COLUMNS($AB$1006:AK1006),$AB$1006:$AQ$1006,0)))),"Fix")))</f>
        <v>0</v>
      </c>
      <c r="L429" s="5">
        <f>IF(OR(INDEX($V$2:$V$1001,MATCH(ROWS($U$2:U429),$U$2:$U$1001,0),1)&gt;=100000,INDEX($AB$1005:$AQ$1005,1,MATCH(COLUMNS($AB$1006:AL1006),$AB$1006:$AQ$1006,0))&gt;=100000), " ",IF(INDEX($AB$2:$AQ$1001,MATCH(ROWS($U$2:U429),$U$2:$U$1001,0),MATCH(COLUMNS($AB$1006:AL1006),$AB$1006:$AQ$1006,0)), HYPERLINK("#",""), HYPERLINK(CONCATENATE("#Metadata!", ADDRESS(INDEX($W$2:$W$1001,MATCH(ROWS($U$2:U429),$U$2:$U$1001,0),0), INDEX($AB$1004:$AQ$1004,1,MATCH(COLUMNS($AB$1006:AL1006),$AB$1006:$AQ$1006,0)))),"Fix")))</f>
        <v>0</v>
      </c>
      <c r="M429" s="5">
        <f>IF(OR(INDEX($V$2:$V$1001,MATCH(ROWS($U$2:U429),$U$2:$U$1001,0),1)&gt;=100000,INDEX($AB$1005:$AQ$1005,1,MATCH(COLUMNS($AB$1006:AM1006),$AB$1006:$AQ$1006,0))&gt;=100000), " ",IF(INDEX($AB$2:$AQ$1001,MATCH(ROWS($U$2:U429),$U$2:$U$1001,0),MATCH(COLUMNS($AB$1006:AM1006),$AB$1006:$AQ$1006,0)), HYPERLINK("#",""), HYPERLINK(CONCATENATE("#Metadata!", ADDRESS(INDEX($W$2:$W$1001,MATCH(ROWS($U$2:U429),$U$2:$U$1001,0),0), INDEX($AB$1004:$AQ$1004,1,MATCH(COLUMNS($AB$1006:AM1006),$AB$1006:$AQ$1006,0)))),"Fix")))</f>
        <v>0</v>
      </c>
      <c r="N429" s="5">
        <f>IF(OR(INDEX($V$2:$V$1001,MATCH(ROWS($U$2:U429),$U$2:$U$1001,0),1)&gt;=100000,INDEX($AB$1005:$AQ$1005,1,MATCH(COLUMNS($AB$1006:AN1006),$AB$1006:$AQ$1006,0))&gt;=100000), " ",IF(INDEX($AB$2:$AQ$1001,MATCH(ROWS($U$2:U429),$U$2:$U$1001,0),MATCH(COLUMNS($AB$1006:AN1006),$AB$1006:$AQ$1006,0)), HYPERLINK("#",""), HYPERLINK(CONCATENATE("#Metadata!", ADDRESS(INDEX($W$2:$W$1001,MATCH(ROWS($U$2:U429),$U$2:$U$1001,0),0), INDEX($AB$1004:$AQ$1004,1,MATCH(COLUMNS($AB$1006:AN1006),$AB$1006:$AQ$1006,0)))),"Fix")))</f>
        <v>0</v>
      </c>
      <c r="O429" s="5">
        <f>IF(OR(INDEX($V$2:$V$1001,MATCH(ROWS($U$2:U429),$U$2:$U$1001,0),1)&gt;=100000,INDEX($AB$1005:$AQ$1005,1,MATCH(COLUMNS($AB$1006:AO1006),$AB$1006:$AQ$1006,0))&gt;=100000), " ",IF(INDEX($AB$2:$AQ$1001,MATCH(ROWS($U$2:U429),$U$2:$U$1001,0),MATCH(COLUMNS($AB$1006:AO1006),$AB$1006:$AQ$1006,0)), HYPERLINK("#",""), HYPERLINK(CONCATENATE("#Metadata!", ADDRESS(INDEX($W$2:$W$1001,MATCH(ROWS($U$2:U429),$U$2:$U$1001,0),0), INDEX($AB$1004:$AQ$1004,1,MATCH(COLUMNS($AB$1006:AO1006),$AB$1006:$AQ$1006,0)))),"Fix")))</f>
        <v>0</v>
      </c>
      <c r="P429" s="5">
        <f>IF(OR(INDEX($V$2:$V$1001,MATCH(ROWS($U$2:U429),$U$2:$U$1001,0),1)&gt;=100000,INDEX($AB$1005:$AQ$1005,1,MATCH(COLUMNS($AB$1006:AP1006),$AB$1006:$AQ$1006,0))&gt;=100000), " ",IF(INDEX($AB$2:$AQ$1001,MATCH(ROWS($U$2:U429),$U$2:$U$1001,0),MATCH(COLUMNS($AB$1006:AP1006),$AB$1006:$AQ$1006,0)), HYPERLINK("#",""), HYPERLINK(CONCATENATE("#Metadata!", ADDRESS(INDEX($W$2:$W$1001,MATCH(ROWS($U$2:U429),$U$2:$U$1001,0),0), INDEX($AB$1004:$AQ$1004,1,MATCH(COLUMNS($AB$1006:AP1006),$AB$1006:$AQ$1006,0)))),"Fix")))</f>
        <v>0</v>
      </c>
      <c r="Q429" s="5">
        <f>IF(OR(INDEX($V$2:$V$1001,MATCH(ROWS($U$2:U429),$U$2:$U$1001,0),1)&gt;=100000,INDEX($AB$1005:$AQ$1005,1,MATCH(COLUMNS($AB$1006:AQ1006),$AB$1006:$AQ$1006,0))&gt;=100000), " ",IF(INDEX($AB$2:$AQ$1001,MATCH(ROWS($U$2:U429),$U$2:$U$1001,0),MATCH(COLUMNS($AB$1006:AQ1006),$AB$1006:$AQ$1006,0)), HYPERLINK("#",""), HYPERLINK(CONCATENATE("#Metadata!", ADDRESS(INDEX($W$2:$W$1001,MATCH(ROWS($U$2:U429),$U$2:$U$1001,0),0), INDEX($AB$1004:$AQ$1004,1,MATCH(COLUMNS($AB$1006:AQ1006),$AB$1006:$AQ$1006,0)))),"Fix")))</f>
        <v>0</v>
      </c>
      <c r="U429">
        <v>0</v>
      </c>
      <c r="V429">
        <v>0</v>
      </c>
      <c r="W429">
        <v>0</v>
      </c>
      <c r="X429">
        <f>IF(Y429,TRUE,AND(AB429:AQ429))</f>
        <v>0</v>
      </c>
      <c r="Y429">
        <f>COUNTBLANK(Metadata!B429:Q429)=COLUMNS(Metadata!B429:Q429)</f>
        <v>0</v>
      </c>
      <c r="Z429">
        <v>0</v>
      </c>
      <c r="AB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AC429">
        <f>AND(IF(Metadata!C429="",FALSE,TRUE),exact(Metadata!C429,"urban biome"))</f>
        <v>0</v>
      </c>
      <c r="AD429">
        <f>AND(IF(Metadata!D429="",FALSE,TRUE),exact(Metadata!D429,"human-associated habitat"))</f>
        <v>0</v>
      </c>
      <c r="AE429">
        <f>AND(IF(Metadata!E429="",FALSE,TRUE),OR(exact(Metadata!E429,"human-associated"),exact(Metadata!E429,"human-skin"),exact(Metadata!E429,"human-oral"),exact(Metadata!E429,"human-gut"),exact(Metadata!E429,"human-vaginal")))</f>
        <v>0</v>
      </c>
      <c r="AF429">
        <f>AND(IF(Metadata!F429="",FALSE,ISNUMBER(VALUE(Metadata!F429))),Metadata!F429&gt;0)</f>
        <v>0</v>
      </c>
      <c r="AG429">
        <f>AND(IF(Metadata!G429="",FALSE,TRUE),exact(Metadata!G429,"years"))</f>
        <v>0</v>
      </c>
      <c r="AH429">
        <f>OR(AND(IF(Metadata!H429="",FALSE,TRUE),OR(exact(Metadata!H429,"not applicable"),exact(Metadata!H429,"not collected"),exact(Metadata!H429,"not provided"),exact(Metadata!H429,"restricted access"))),AND(IF(Metadata!H429="",FALSE,ISNUMBER(VALUE(Metadata!H429))),Metadata!H429&gt;0))</f>
        <v>0</v>
      </c>
      <c r="AI429">
        <f>AND(IF(Metadata!I429="",FALSE,TRUE),exact(Metadata!I429,"human"))</f>
        <v>0</v>
      </c>
      <c r="AJ429">
        <f>AND(IF(Metadata!J429="",FALSE,ISNUMBER(VALUE(Metadata!J429))),Metadata!J429&gt;0)</f>
        <v>0</v>
      </c>
      <c r="AK429">
        <f>AND(IF(Metadata!K429="",FALSE,TRUE),exact(Metadata!K429,"cm"))</f>
        <v>0</v>
      </c>
      <c r="AL429">
        <f>AND(IF(Metadata!L429="",FALSE,TRUE),exact(Metadata!L429,"Homo sapiens"))</f>
        <v>0</v>
      </c>
      <c r="AM429">
        <f>AND(IF(Metadata!M429="",FALSE,TRUE),exact(Metadata!M429,"9606"))</f>
        <v>0</v>
      </c>
      <c r="AN429">
        <f>AND(IF(Metadata!N429="",FALSE,ISNUMBER(VALUE(Metadata!N429))),Metadata!N429&gt;0)</f>
        <v>0</v>
      </c>
      <c r="AO429">
        <f>AND(IF(Metadata!O429="",FALSE,TRUE),exact(Metadata!O429,"kg"))</f>
        <v>0</v>
      </c>
      <c r="AP429">
        <f>OR(AND(IF(Metadata!P429="",FALSE,TRUE),exact(Metadata!P429,"not provided")),IF(Metadata!P429="",FALSE,TRUE))</f>
        <v>0</v>
      </c>
      <c r="AQ429">
        <f>OR(AND(IF(Metadata!Q429="",FALSE,TRUE),exact(Metadata!Q429,"not provided")),IF(Metadata!Q429="",FALSE,TRUE))</f>
        <v>0</v>
      </c>
    </row>
    <row r="430" spans="1:43">
      <c r="A430" s="4">
        <f>IF(B430=" "," ",HYPERLINK(CONCATENATE("#metadata!",ADDRESS(INDEX($W$2:$W$1001,MATCH(ROWS($U$2:U430),$U$2:$U$1001,0),0),2)),INDEX($Z$2:$Z$1001,MATCH(ROWS($U$2:U430),$U$2:$U$1001,0),0)))</f>
        <v>0</v>
      </c>
      <c r="B430" s="5">
        <f>IF(OR(INDEX($V$2:$V$1001,MATCH(ROWS($U$2:U430),$U$2:$U$1001,0),1)&gt;=100000,INDEX($AB$1005:$AQ$1005,1,MATCH(COLUMNS($AB$1006:AB1006),$AB$1006:$AQ$1006,0))&gt;=100000), " ",IF(INDEX($AB$2:$AQ$1001,MATCH(ROWS($U$2:U430),$U$2:$U$1001,0),MATCH(COLUMNS($AB$1006:AB1006),$AB$1006:$AQ$1006,0)), HYPERLINK("#",""), HYPERLINK(CONCATENATE("#Metadata!", ADDRESS(INDEX($W$2:$W$1001,MATCH(ROWS($U$2:U430),$U$2:$U$1001,0),0), INDEX($AB$1004:$AQ$1004,1,MATCH(COLUMNS($AB$1006:AB1006),$AB$1006:$AQ$1006,0)))),"Fix")))</f>
        <v>0</v>
      </c>
      <c r="C430" s="5">
        <f>IF(OR(INDEX($V$2:$V$1001,MATCH(ROWS($U$2:U430),$U$2:$U$1001,0),1)&gt;=100000,INDEX($AB$1005:$AQ$1005,1,MATCH(COLUMNS($AB$1006:AC1006),$AB$1006:$AQ$1006,0))&gt;=100000), " ",IF(INDEX($AB$2:$AQ$1001,MATCH(ROWS($U$2:U430),$U$2:$U$1001,0),MATCH(COLUMNS($AB$1006:AC1006),$AB$1006:$AQ$1006,0)), HYPERLINK("#",""), HYPERLINK(CONCATENATE("#Metadata!", ADDRESS(INDEX($W$2:$W$1001,MATCH(ROWS($U$2:U430),$U$2:$U$1001,0),0), INDEX($AB$1004:$AQ$1004,1,MATCH(COLUMNS($AB$1006:AC1006),$AB$1006:$AQ$1006,0)))),"Fix")))</f>
        <v>0</v>
      </c>
      <c r="D430" s="5">
        <f>IF(OR(INDEX($V$2:$V$1001,MATCH(ROWS($U$2:U430),$U$2:$U$1001,0),1)&gt;=100000,INDEX($AB$1005:$AQ$1005,1,MATCH(COLUMNS($AB$1006:AD1006),$AB$1006:$AQ$1006,0))&gt;=100000), " ",IF(INDEX($AB$2:$AQ$1001,MATCH(ROWS($U$2:U430),$U$2:$U$1001,0),MATCH(COLUMNS($AB$1006:AD1006),$AB$1006:$AQ$1006,0)), HYPERLINK("#",""), HYPERLINK(CONCATENATE("#Metadata!", ADDRESS(INDEX($W$2:$W$1001,MATCH(ROWS($U$2:U430),$U$2:$U$1001,0),0), INDEX($AB$1004:$AQ$1004,1,MATCH(COLUMNS($AB$1006:AD1006),$AB$1006:$AQ$1006,0)))),"Fix")))</f>
        <v>0</v>
      </c>
      <c r="E430" s="5">
        <f>IF(OR(INDEX($V$2:$V$1001,MATCH(ROWS($U$2:U430),$U$2:$U$1001,0),1)&gt;=100000,INDEX($AB$1005:$AQ$1005,1,MATCH(COLUMNS($AB$1006:AE1006),$AB$1006:$AQ$1006,0))&gt;=100000), " ",IF(INDEX($AB$2:$AQ$1001,MATCH(ROWS($U$2:U430),$U$2:$U$1001,0),MATCH(COLUMNS($AB$1006:AE1006),$AB$1006:$AQ$1006,0)), HYPERLINK("#",""), HYPERLINK(CONCATENATE("#Metadata!", ADDRESS(INDEX($W$2:$W$1001,MATCH(ROWS($U$2:U430),$U$2:$U$1001,0),0), INDEX($AB$1004:$AQ$1004,1,MATCH(COLUMNS($AB$1006:AE1006),$AB$1006:$AQ$1006,0)))),"Fix")))</f>
        <v>0</v>
      </c>
      <c r="F430" s="5">
        <f>IF(OR(INDEX($V$2:$V$1001,MATCH(ROWS($U$2:U430),$U$2:$U$1001,0),1)&gt;=100000,INDEX($AB$1005:$AQ$1005,1,MATCH(COLUMNS($AB$1006:AF1006),$AB$1006:$AQ$1006,0))&gt;=100000), " ",IF(INDEX($AB$2:$AQ$1001,MATCH(ROWS($U$2:U430),$U$2:$U$1001,0),MATCH(COLUMNS($AB$1006:AF1006),$AB$1006:$AQ$1006,0)), HYPERLINK("#",""), HYPERLINK(CONCATENATE("#Metadata!", ADDRESS(INDEX($W$2:$W$1001,MATCH(ROWS($U$2:U430),$U$2:$U$1001,0),0), INDEX($AB$1004:$AQ$1004,1,MATCH(COLUMNS($AB$1006:AF1006),$AB$1006:$AQ$1006,0)))),"Fix")))</f>
        <v>0</v>
      </c>
      <c r="G430" s="5">
        <f>IF(OR(INDEX($V$2:$V$1001,MATCH(ROWS($U$2:U430),$U$2:$U$1001,0),1)&gt;=100000,INDEX($AB$1005:$AQ$1005,1,MATCH(COLUMNS($AB$1006:AG1006),$AB$1006:$AQ$1006,0))&gt;=100000), " ",IF(INDEX($AB$2:$AQ$1001,MATCH(ROWS($U$2:U430),$U$2:$U$1001,0),MATCH(COLUMNS($AB$1006:AG1006),$AB$1006:$AQ$1006,0)), HYPERLINK("#",""), HYPERLINK(CONCATENATE("#Metadata!", ADDRESS(INDEX($W$2:$W$1001,MATCH(ROWS($U$2:U430),$U$2:$U$1001,0),0), INDEX($AB$1004:$AQ$1004,1,MATCH(COLUMNS($AB$1006:AG1006),$AB$1006:$AQ$1006,0)))),"Fix")))</f>
        <v>0</v>
      </c>
      <c r="H430" s="5">
        <f>IF(OR(INDEX($V$2:$V$1001,MATCH(ROWS($U$2:U430),$U$2:$U$1001,0),1)&gt;=100000,INDEX($AB$1005:$AQ$1005,1,MATCH(COLUMNS($AB$1006:AH1006),$AB$1006:$AQ$1006,0))&gt;=100000), " ",IF(INDEX($AB$2:$AQ$1001,MATCH(ROWS($U$2:U430),$U$2:$U$1001,0),MATCH(COLUMNS($AB$1006:AH1006),$AB$1006:$AQ$1006,0)), HYPERLINK("#",""), HYPERLINK(CONCATENATE("#Metadata!", ADDRESS(INDEX($W$2:$W$1001,MATCH(ROWS($U$2:U430),$U$2:$U$1001,0),0), INDEX($AB$1004:$AQ$1004,1,MATCH(COLUMNS($AB$1006:AH1006),$AB$1006:$AQ$1006,0)))),"Fix")))</f>
        <v>0</v>
      </c>
      <c r="I430" s="5">
        <f>IF(OR(INDEX($V$2:$V$1001,MATCH(ROWS($U$2:U430),$U$2:$U$1001,0),1)&gt;=100000,INDEX($AB$1005:$AQ$1005,1,MATCH(COLUMNS($AB$1006:AI1006),$AB$1006:$AQ$1006,0))&gt;=100000), " ",IF(INDEX($AB$2:$AQ$1001,MATCH(ROWS($U$2:U430),$U$2:$U$1001,0),MATCH(COLUMNS($AB$1006:AI1006),$AB$1006:$AQ$1006,0)), HYPERLINK("#",""), HYPERLINK(CONCATENATE("#Metadata!", ADDRESS(INDEX($W$2:$W$1001,MATCH(ROWS($U$2:U430),$U$2:$U$1001,0),0), INDEX($AB$1004:$AQ$1004,1,MATCH(COLUMNS($AB$1006:AI1006),$AB$1006:$AQ$1006,0)))),"Fix")))</f>
        <v>0</v>
      </c>
      <c r="J430" s="5">
        <f>IF(OR(INDEX($V$2:$V$1001,MATCH(ROWS($U$2:U430),$U$2:$U$1001,0),1)&gt;=100000,INDEX($AB$1005:$AQ$1005,1,MATCH(COLUMNS($AB$1006:AJ1006),$AB$1006:$AQ$1006,0))&gt;=100000), " ",IF(INDEX($AB$2:$AQ$1001,MATCH(ROWS($U$2:U430),$U$2:$U$1001,0),MATCH(COLUMNS($AB$1006:AJ1006),$AB$1006:$AQ$1006,0)), HYPERLINK("#",""), HYPERLINK(CONCATENATE("#Metadata!", ADDRESS(INDEX($W$2:$W$1001,MATCH(ROWS($U$2:U430),$U$2:$U$1001,0),0), INDEX($AB$1004:$AQ$1004,1,MATCH(COLUMNS($AB$1006:AJ1006),$AB$1006:$AQ$1006,0)))),"Fix")))</f>
        <v>0</v>
      </c>
      <c r="K430" s="5">
        <f>IF(OR(INDEX($V$2:$V$1001,MATCH(ROWS($U$2:U430),$U$2:$U$1001,0),1)&gt;=100000,INDEX($AB$1005:$AQ$1005,1,MATCH(COLUMNS($AB$1006:AK1006),$AB$1006:$AQ$1006,0))&gt;=100000), " ",IF(INDEX($AB$2:$AQ$1001,MATCH(ROWS($U$2:U430),$U$2:$U$1001,0),MATCH(COLUMNS($AB$1006:AK1006),$AB$1006:$AQ$1006,0)), HYPERLINK("#",""), HYPERLINK(CONCATENATE("#Metadata!", ADDRESS(INDEX($W$2:$W$1001,MATCH(ROWS($U$2:U430),$U$2:$U$1001,0),0), INDEX($AB$1004:$AQ$1004,1,MATCH(COLUMNS($AB$1006:AK1006),$AB$1006:$AQ$1006,0)))),"Fix")))</f>
        <v>0</v>
      </c>
      <c r="L430" s="5">
        <f>IF(OR(INDEX($V$2:$V$1001,MATCH(ROWS($U$2:U430),$U$2:$U$1001,0),1)&gt;=100000,INDEX($AB$1005:$AQ$1005,1,MATCH(COLUMNS($AB$1006:AL1006),$AB$1006:$AQ$1006,0))&gt;=100000), " ",IF(INDEX($AB$2:$AQ$1001,MATCH(ROWS($U$2:U430),$U$2:$U$1001,0),MATCH(COLUMNS($AB$1006:AL1006),$AB$1006:$AQ$1006,0)), HYPERLINK("#",""), HYPERLINK(CONCATENATE("#Metadata!", ADDRESS(INDEX($W$2:$W$1001,MATCH(ROWS($U$2:U430),$U$2:$U$1001,0),0), INDEX($AB$1004:$AQ$1004,1,MATCH(COLUMNS($AB$1006:AL1006),$AB$1006:$AQ$1006,0)))),"Fix")))</f>
        <v>0</v>
      </c>
      <c r="M430" s="5">
        <f>IF(OR(INDEX($V$2:$V$1001,MATCH(ROWS($U$2:U430),$U$2:$U$1001,0),1)&gt;=100000,INDEX($AB$1005:$AQ$1005,1,MATCH(COLUMNS($AB$1006:AM1006),$AB$1006:$AQ$1006,0))&gt;=100000), " ",IF(INDEX($AB$2:$AQ$1001,MATCH(ROWS($U$2:U430),$U$2:$U$1001,0),MATCH(COLUMNS($AB$1006:AM1006),$AB$1006:$AQ$1006,0)), HYPERLINK("#",""), HYPERLINK(CONCATENATE("#Metadata!", ADDRESS(INDEX($W$2:$W$1001,MATCH(ROWS($U$2:U430),$U$2:$U$1001,0),0), INDEX($AB$1004:$AQ$1004,1,MATCH(COLUMNS($AB$1006:AM1006),$AB$1006:$AQ$1006,0)))),"Fix")))</f>
        <v>0</v>
      </c>
      <c r="N430" s="5">
        <f>IF(OR(INDEX($V$2:$V$1001,MATCH(ROWS($U$2:U430),$U$2:$U$1001,0),1)&gt;=100000,INDEX($AB$1005:$AQ$1005,1,MATCH(COLUMNS($AB$1006:AN1006),$AB$1006:$AQ$1006,0))&gt;=100000), " ",IF(INDEX($AB$2:$AQ$1001,MATCH(ROWS($U$2:U430),$U$2:$U$1001,0),MATCH(COLUMNS($AB$1006:AN1006),$AB$1006:$AQ$1006,0)), HYPERLINK("#",""), HYPERLINK(CONCATENATE("#Metadata!", ADDRESS(INDEX($W$2:$W$1001,MATCH(ROWS($U$2:U430),$U$2:$U$1001,0),0), INDEX($AB$1004:$AQ$1004,1,MATCH(COLUMNS($AB$1006:AN1006),$AB$1006:$AQ$1006,0)))),"Fix")))</f>
        <v>0</v>
      </c>
      <c r="O430" s="5">
        <f>IF(OR(INDEX($V$2:$V$1001,MATCH(ROWS($U$2:U430),$U$2:$U$1001,0),1)&gt;=100000,INDEX($AB$1005:$AQ$1005,1,MATCH(COLUMNS($AB$1006:AO1006),$AB$1006:$AQ$1006,0))&gt;=100000), " ",IF(INDEX($AB$2:$AQ$1001,MATCH(ROWS($U$2:U430),$U$2:$U$1001,0),MATCH(COLUMNS($AB$1006:AO1006),$AB$1006:$AQ$1006,0)), HYPERLINK("#",""), HYPERLINK(CONCATENATE("#Metadata!", ADDRESS(INDEX($W$2:$W$1001,MATCH(ROWS($U$2:U430),$U$2:$U$1001,0),0), INDEX($AB$1004:$AQ$1004,1,MATCH(COLUMNS($AB$1006:AO1006),$AB$1006:$AQ$1006,0)))),"Fix")))</f>
        <v>0</v>
      </c>
      <c r="P430" s="5">
        <f>IF(OR(INDEX($V$2:$V$1001,MATCH(ROWS($U$2:U430),$U$2:$U$1001,0),1)&gt;=100000,INDEX($AB$1005:$AQ$1005,1,MATCH(COLUMNS($AB$1006:AP1006),$AB$1006:$AQ$1006,0))&gt;=100000), " ",IF(INDEX($AB$2:$AQ$1001,MATCH(ROWS($U$2:U430),$U$2:$U$1001,0),MATCH(COLUMNS($AB$1006:AP1006),$AB$1006:$AQ$1006,0)), HYPERLINK("#",""), HYPERLINK(CONCATENATE("#Metadata!", ADDRESS(INDEX($W$2:$W$1001,MATCH(ROWS($U$2:U430),$U$2:$U$1001,0),0), INDEX($AB$1004:$AQ$1004,1,MATCH(COLUMNS($AB$1006:AP1006),$AB$1006:$AQ$1006,0)))),"Fix")))</f>
        <v>0</v>
      </c>
      <c r="Q430" s="5">
        <f>IF(OR(INDEX($V$2:$V$1001,MATCH(ROWS($U$2:U430),$U$2:$U$1001,0),1)&gt;=100000,INDEX($AB$1005:$AQ$1005,1,MATCH(COLUMNS($AB$1006:AQ1006),$AB$1006:$AQ$1006,0))&gt;=100000), " ",IF(INDEX($AB$2:$AQ$1001,MATCH(ROWS($U$2:U430),$U$2:$U$1001,0),MATCH(COLUMNS($AB$1006:AQ1006),$AB$1006:$AQ$1006,0)), HYPERLINK("#",""), HYPERLINK(CONCATENATE("#Metadata!", ADDRESS(INDEX($W$2:$W$1001,MATCH(ROWS($U$2:U430),$U$2:$U$1001,0),0), INDEX($AB$1004:$AQ$1004,1,MATCH(COLUMNS($AB$1006:AQ1006),$AB$1006:$AQ$1006,0)))),"Fix")))</f>
        <v>0</v>
      </c>
      <c r="U430">
        <v>0</v>
      </c>
      <c r="V430">
        <v>0</v>
      </c>
      <c r="W430">
        <v>0</v>
      </c>
      <c r="X430">
        <f>IF(Y430,TRUE,AND(AB430:AQ430))</f>
        <v>0</v>
      </c>
      <c r="Y430">
        <f>COUNTBLANK(Metadata!B430:Q430)=COLUMNS(Metadata!B430:Q430)</f>
        <v>0</v>
      </c>
      <c r="Z430">
        <v>0</v>
      </c>
      <c r="AB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AC430">
        <f>AND(IF(Metadata!C430="",FALSE,TRUE),exact(Metadata!C430,"urban biome"))</f>
        <v>0</v>
      </c>
      <c r="AD430">
        <f>AND(IF(Metadata!D430="",FALSE,TRUE),exact(Metadata!D430,"human-associated habitat"))</f>
        <v>0</v>
      </c>
      <c r="AE430">
        <f>AND(IF(Metadata!E430="",FALSE,TRUE),OR(exact(Metadata!E430,"human-associated"),exact(Metadata!E430,"human-skin"),exact(Metadata!E430,"human-oral"),exact(Metadata!E430,"human-gut"),exact(Metadata!E430,"human-vaginal")))</f>
        <v>0</v>
      </c>
      <c r="AF430">
        <f>AND(IF(Metadata!F430="",FALSE,ISNUMBER(VALUE(Metadata!F430))),Metadata!F430&gt;0)</f>
        <v>0</v>
      </c>
      <c r="AG430">
        <f>AND(IF(Metadata!G430="",FALSE,TRUE),exact(Metadata!G430,"years"))</f>
        <v>0</v>
      </c>
      <c r="AH430">
        <f>OR(AND(IF(Metadata!H430="",FALSE,TRUE),OR(exact(Metadata!H430,"not applicable"),exact(Metadata!H430,"not collected"),exact(Metadata!H430,"not provided"),exact(Metadata!H430,"restricted access"))),AND(IF(Metadata!H430="",FALSE,ISNUMBER(VALUE(Metadata!H430))),Metadata!H430&gt;0))</f>
        <v>0</v>
      </c>
      <c r="AI430">
        <f>AND(IF(Metadata!I430="",FALSE,TRUE),exact(Metadata!I430,"human"))</f>
        <v>0</v>
      </c>
      <c r="AJ430">
        <f>AND(IF(Metadata!J430="",FALSE,ISNUMBER(VALUE(Metadata!J430))),Metadata!J430&gt;0)</f>
        <v>0</v>
      </c>
      <c r="AK430">
        <f>AND(IF(Metadata!K430="",FALSE,TRUE),exact(Metadata!K430,"cm"))</f>
        <v>0</v>
      </c>
      <c r="AL430">
        <f>AND(IF(Metadata!L430="",FALSE,TRUE),exact(Metadata!L430,"Homo sapiens"))</f>
        <v>0</v>
      </c>
      <c r="AM430">
        <f>AND(IF(Metadata!M430="",FALSE,TRUE),exact(Metadata!M430,"9606"))</f>
        <v>0</v>
      </c>
      <c r="AN430">
        <f>AND(IF(Metadata!N430="",FALSE,ISNUMBER(VALUE(Metadata!N430))),Metadata!N430&gt;0)</f>
        <v>0</v>
      </c>
      <c r="AO430">
        <f>AND(IF(Metadata!O430="",FALSE,TRUE),exact(Metadata!O430,"kg"))</f>
        <v>0</v>
      </c>
      <c r="AP430">
        <f>OR(AND(IF(Metadata!P430="",FALSE,TRUE),exact(Metadata!P430,"not provided")),IF(Metadata!P430="",FALSE,TRUE))</f>
        <v>0</v>
      </c>
      <c r="AQ430">
        <f>OR(AND(IF(Metadata!Q430="",FALSE,TRUE),exact(Metadata!Q430,"not provided")),IF(Metadata!Q430="",FALSE,TRUE))</f>
        <v>0</v>
      </c>
    </row>
    <row r="431" spans="1:43">
      <c r="A431" s="4">
        <f>IF(B431=" "," ",HYPERLINK(CONCATENATE("#metadata!",ADDRESS(INDEX($W$2:$W$1001,MATCH(ROWS($U$2:U431),$U$2:$U$1001,0),0),2)),INDEX($Z$2:$Z$1001,MATCH(ROWS($U$2:U431),$U$2:$U$1001,0),0)))</f>
        <v>0</v>
      </c>
      <c r="B431" s="5">
        <f>IF(OR(INDEX($V$2:$V$1001,MATCH(ROWS($U$2:U431),$U$2:$U$1001,0),1)&gt;=100000,INDEX($AB$1005:$AQ$1005,1,MATCH(COLUMNS($AB$1006:AB1006),$AB$1006:$AQ$1006,0))&gt;=100000), " ",IF(INDEX($AB$2:$AQ$1001,MATCH(ROWS($U$2:U431),$U$2:$U$1001,0),MATCH(COLUMNS($AB$1006:AB1006),$AB$1006:$AQ$1006,0)), HYPERLINK("#",""), HYPERLINK(CONCATENATE("#Metadata!", ADDRESS(INDEX($W$2:$W$1001,MATCH(ROWS($U$2:U431),$U$2:$U$1001,0),0), INDEX($AB$1004:$AQ$1004,1,MATCH(COLUMNS($AB$1006:AB1006),$AB$1006:$AQ$1006,0)))),"Fix")))</f>
        <v>0</v>
      </c>
      <c r="C431" s="5">
        <f>IF(OR(INDEX($V$2:$V$1001,MATCH(ROWS($U$2:U431),$U$2:$U$1001,0),1)&gt;=100000,INDEX($AB$1005:$AQ$1005,1,MATCH(COLUMNS($AB$1006:AC1006),$AB$1006:$AQ$1006,0))&gt;=100000), " ",IF(INDEX($AB$2:$AQ$1001,MATCH(ROWS($U$2:U431),$U$2:$U$1001,0),MATCH(COLUMNS($AB$1006:AC1006),$AB$1006:$AQ$1006,0)), HYPERLINK("#",""), HYPERLINK(CONCATENATE("#Metadata!", ADDRESS(INDEX($W$2:$W$1001,MATCH(ROWS($U$2:U431),$U$2:$U$1001,0),0), INDEX($AB$1004:$AQ$1004,1,MATCH(COLUMNS($AB$1006:AC1006),$AB$1006:$AQ$1006,0)))),"Fix")))</f>
        <v>0</v>
      </c>
      <c r="D431" s="5">
        <f>IF(OR(INDEX($V$2:$V$1001,MATCH(ROWS($U$2:U431),$U$2:$U$1001,0),1)&gt;=100000,INDEX($AB$1005:$AQ$1005,1,MATCH(COLUMNS($AB$1006:AD1006),$AB$1006:$AQ$1006,0))&gt;=100000), " ",IF(INDEX($AB$2:$AQ$1001,MATCH(ROWS($U$2:U431),$U$2:$U$1001,0),MATCH(COLUMNS($AB$1006:AD1006),$AB$1006:$AQ$1006,0)), HYPERLINK("#",""), HYPERLINK(CONCATENATE("#Metadata!", ADDRESS(INDEX($W$2:$W$1001,MATCH(ROWS($U$2:U431),$U$2:$U$1001,0),0), INDEX($AB$1004:$AQ$1004,1,MATCH(COLUMNS($AB$1006:AD1006),$AB$1006:$AQ$1006,0)))),"Fix")))</f>
        <v>0</v>
      </c>
      <c r="E431" s="5">
        <f>IF(OR(INDEX($V$2:$V$1001,MATCH(ROWS($U$2:U431),$U$2:$U$1001,0),1)&gt;=100000,INDEX($AB$1005:$AQ$1005,1,MATCH(COLUMNS($AB$1006:AE1006),$AB$1006:$AQ$1006,0))&gt;=100000), " ",IF(INDEX($AB$2:$AQ$1001,MATCH(ROWS($U$2:U431),$U$2:$U$1001,0),MATCH(COLUMNS($AB$1006:AE1006),$AB$1006:$AQ$1006,0)), HYPERLINK("#",""), HYPERLINK(CONCATENATE("#Metadata!", ADDRESS(INDEX($W$2:$W$1001,MATCH(ROWS($U$2:U431),$U$2:$U$1001,0),0), INDEX($AB$1004:$AQ$1004,1,MATCH(COLUMNS($AB$1006:AE1006),$AB$1006:$AQ$1006,0)))),"Fix")))</f>
        <v>0</v>
      </c>
      <c r="F431" s="5">
        <f>IF(OR(INDEX($V$2:$V$1001,MATCH(ROWS($U$2:U431),$U$2:$U$1001,0),1)&gt;=100000,INDEX($AB$1005:$AQ$1005,1,MATCH(COLUMNS($AB$1006:AF1006),$AB$1006:$AQ$1006,0))&gt;=100000), " ",IF(INDEX($AB$2:$AQ$1001,MATCH(ROWS($U$2:U431),$U$2:$U$1001,0),MATCH(COLUMNS($AB$1006:AF1006),$AB$1006:$AQ$1006,0)), HYPERLINK("#",""), HYPERLINK(CONCATENATE("#Metadata!", ADDRESS(INDEX($W$2:$W$1001,MATCH(ROWS($U$2:U431),$U$2:$U$1001,0),0), INDEX($AB$1004:$AQ$1004,1,MATCH(COLUMNS($AB$1006:AF1006),$AB$1006:$AQ$1006,0)))),"Fix")))</f>
        <v>0</v>
      </c>
      <c r="G431" s="5">
        <f>IF(OR(INDEX($V$2:$V$1001,MATCH(ROWS($U$2:U431),$U$2:$U$1001,0),1)&gt;=100000,INDEX($AB$1005:$AQ$1005,1,MATCH(COLUMNS($AB$1006:AG1006),$AB$1006:$AQ$1006,0))&gt;=100000), " ",IF(INDEX($AB$2:$AQ$1001,MATCH(ROWS($U$2:U431),$U$2:$U$1001,0),MATCH(COLUMNS($AB$1006:AG1006),$AB$1006:$AQ$1006,0)), HYPERLINK("#",""), HYPERLINK(CONCATENATE("#Metadata!", ADDRESS(INDEX($W$2:$W$1001,MATCH(ROWS($U$2:U431),$U$2:$U$1001,0),0), INDEX($AB$1004:$AQ$1004,1,MATCH(COLUMNS($AB$1006:AG1006),$AB$1006:$AQ$1006,0)))),"Fix")))</f>
        <v>0</v>
      </c>
      <c r="H431" s="5">
        <f>IF(OR(INDEX($V$2:$V$1001,MATCH(ROWS($U$2:U431),$U$2:$U$1001,0),1)&gt;=100000,INDEX($AB$1005:$AQ$1005,1,MATCH(COLUMNS($AB$1006:AH1006),$AB$1006:$AQ$1006,0))&gt;=100000), " ",IF(INDEX($AB$2:$AQ$1001,MATCH(ROWS($U$2:U431),$U$2:$U$1001,0),MATCH(COLUMNS($AB$1006:AH1006),$AB$1006:$AQ$1006,0)), HYPERLINK("#",""), HYPERLINK(CONCATENATE("#Metadata!", ADDRESS(INDEX($W$2:$W$1001,MATCH(ROWS($U$2:U431),$U$2:$U$1001,0),0), INDEX($AB$1004:$AQ$1004,1,MATCH(COLUMNS($AB$1006:AH1006),$AB$1006:$AQ$1006,0)))),"Fix")))</f>
        <v>0</v>
      </c>
      <c r="I431" s="5">
        <f>IF(OR(INDEX($V$2:$V$1001,MATCH(ROWS($U$2:U431),$U$2:$U$1001,0),1)&gt;=100000,INDEX($AB$1005:$AQ$1005,1,MATCH(COLUMNS($AB$1006:AI1006),$AB$1006:$AQ$1006,0))&gt;=100000), " ",IF(INDEX($AB$2:$AQ$1001,MATCH(ROWS($U$2:U431),$U$2:$U$1001,0),MATCH(COLUMNS($AB$1006:AI1006),$AB$1006:$AQ$1006,0)), HYPERLINK("#",""), HYPERLINK(CONCATENATE("#Metadata!", ADDRESS(INDEX($W$2:$W$1001,MATCH(ROWS($U$2:U431),$U$2:$U$1001,0),0), INDEX($AB$1004:$AQ$1004,1,MATCH(COLUMNS($AB$1006:AI1006),$AB$1006:$AQ$1006,0)))),"Fix")))</f>
        <v>0</v>
      </c>
      <c r="J431" s="5">
        <f>IF(OR(INDEX($V$2:$V$1001,MATCH(ROWS($U$2:U431),$U$2:$U$1001,0),1)&gt;=100000,INDEX($AB$1005:$AQ$1005,1,MATCH(COLUMNS($AB$1006:AJ1006),$AB$1006:$AQ$1006,0))&gt;=100000), " ",IF(INDEX($AB$2:$AQ$1001,MATCH(ROWS($U$2:U431),$U$2:$U$1001,0),MATCH(COLUMNS($AB$1006:AJ1006),$AB$1006:$AQ$1006,0)), HYPERLINK("#",""), HYPERLINK(CONCATENATE("#Metadata!", ADDRESS(INDEX($W$2:$W$1001,MATCH(ROWS($U$2:U431),$U$2:$U$1001,0),0), INDEX($AB$1004:$AQ$1004,1,MATCH(COLUMNS($AB$1006:AJ1006),$AB$1006:$AQ$1006,0)))),"Fix")))</f>
        <v>0</v>
      </c>
      <c r="K431" s="5">
        <f>IF(OR(INDEX($V$2:$V$1001,MATCH(ROWS($U$2:U431),$U$2:$U$1001,0),1)&gt;=100000,INDEX($AB$1005:$AQ$1005,1,MATCH(COLUMNS($AB$1006:AK1006),$AB$1006:$AQ$1006,0))&gt;=100000), " ",IF(INDEX($AB$2:$AQ$1001,MATCH(ROWS($U$2:U431),$U$2:$U$1001,0),MATCH(COLUMNS($AB$1006:AK1006),$AB$1006:$AQ$1006,0)), HYPERLINK("#",""), HYPERLINK(CONCATENATE("#Metadata!", ADDRESS(INDEX($W$2:$W$1001,MATCH(ROWS($U$2:U431),$U$2:$U$1001,0),0), INDEX($AB$1004:$AQ$1004,1,MATCH(COLUMNS($AB$1006:AK1006),$AB$1006:$AQ$1006,0)))),"Fix")))</f>
        <v>0</v>
      </c>
      <c r="L431" s="5">
        <f>IF(OR(INDEX($V$2:$V$1001,MATCH(ROWS($U$2:U431),$U$2:$U$1001,0),1)&gt;=100000,INDEX($AB$1005:$AQ$1005,1,MATCH(COLUMNS($AB$1006:AL1006),$AB$1006:$AQ$1006,0))&gt;=100000), " ",IF(INDEX($AB$2:$AQ$1001,MATCH(ROWS($U$2:U431),$U$2:$U$1001,0),MATCH(COLUMNS($AB$1006:AL1006),$AB$1006:$AQ$1006,0)), HYPERLINK("#",""), HYPERLINK(CONCATENATE("#Metadata!", ADDRESS(INDEX($W$2:$W$1001,MATCH(ROWS($U$2:U431),$U$2:$U$1001,0),0), INDEX($AB$1004:$AQ$1004,1,MATCH(COLUMNS($AB$1006:AL1006),$AB$1006:$AQ$1006,0)))),"Fix")))</f>
        <v>0</v>
      </c>
      <c r="M431" s="5">
        <f>IF(OR(INDEX($V$2:$V$1001,MATCH(ROWS($U$2:U431),$U$2:$U$1001,0),1)&gt;=100000,INDEX($AB$1005:$AQ$1005,1,MATCH(COLUMNS($AB$1006:AM1006),$AB$1006:$AQ$1006,0))&gt;=100000), " ",IF(INDEX($AB$2:$AQ$1001,MATCH(ROWS($U$2:U431),$U$2:$U$1001,0),MATCH(COLUMNS($AB$1006:AM1006),$AB$1006:$AQ$1006,0)), HYPERLINK("#",""), HYPERLINK(CONCATENATE("#Metadata!", ADDRESS(INDEX($W$2:$W$1001,MATCH(ROWS($U$2:U431),$U$2:$U$1001,0),0), INDEX($AB$1004:$AQ$1004,1,MATCH(COLUMNS($AB$1006:AM1006),$AB$1006:$AQ$1006,0)))),"Fix")))</f>
        <v>0</v>
      </c>
      <c r="N431" s="5">
        <f>IF(OR(INDEX($V$2:$V$1001,MATCH(ROWS($U$2:U431),$U$2:$U$1001,0),1)&gt;=100000,INDEX($AB$1005:$AQ$1005,1,MATCH(COLUMNS($AB$1006:AN1006),$AB$1006:$AQ$1006,0))&gt;=100000), " ",IF(INDEX($AB$2:$AQ$1001,MATCH(ROWS($U$2:U431),$U$2:$U$1001,0),MATCH(COLUMNS($AB$1006:AN1006),$AB$1006:$AQ$1006,0)), HYPERLINK("#",""), HYPERLINK(CONCATENATE("#Metadata!", ADDRESS(INDEX($W$2:$W$1001,MATCH(ROWS($U$2:U431),$U$2:$U$1001,0),0), INDEX($AB$1004:$AQ$1004,1,MATCH(COLUMNS($AB$1006:AN1006),$AB$1006:$AQ$1006,0)))),"Fix")))</f>
        <v>0</v>
      </c>
      <c r="O431" s="5">
        <f>IF(OR(INDEX($V$2:$V$1001,MATCH(ROWS($U$2:U431),$U$2:$U$1001,0),1)&gt;=100000,INDEX($AB$1005:$AQ$1005,1,MATCH(COLUMNS($AB$1006:AO1006),$AB$1006:$AQ$1006,0))&gt;=100000), " ",IF(INDEX($AB$2:$AQ$1001,MATCH(ROWS($U$2:U431),$U$2:$U$1001,0),MATCH(COLUMNS($AB$1006:AO1006),$AB$1006:$AQ$1006,0)), HYPERLINK("#",""), HYPERLINK(CONCATENATE("#Metadata!", ADDRESS(INDEX($W$2:$W$1001,MATCH(ROWS($U$2:U431),$U$2:$U$1001,0),0), INDEX($AB$1004:$AQ$1004,1,MATCH(COLUMNS($AB$1006:AO1006),$AB$1006:$AQ$1006,0)))),"Fix")))</f>
        <v>0</v>
      </c>
      <c r="P431" s="5">
        <f>IF(OR(INDEX($V$2:$V$1001,MATCH(ROWS($U$2:U431),$U$2:$U$1001,0),1)&gt;=100000,INDEX($AB$1005:$AQ$1005,1,MATCH(COLUMNS($AB$1006:AP1006),$AB$1006:$AQ$1006,0))&gt;=100000), " ",IF(INDEX($AB$2:$AQ$1001,MATCH(ROWS($U$2:U431),$U$2:$U$1001,0),MATCH(COLUMNS($AB$1006:AP1006),$AB$1006:$AQ$1006,0)), HYPERLINK("#",""), HYPERLINK(CONCATENATE("#Metadata!", ADDRESS(INDEX($W$2:$W$1001,MATCH(ROWS($U$2:U431),$U$2:$U$1001,0),0), INDEX($AB$1004:$AQ$1004,1,MATCH(COLUMNS($AB$1006:AP1006),$AB$1006:$AQ$1006,0)))),"Fix")))</f>
        <v>0</v>
      </c>
      <c r="Q431" s="5">
        <f>IF(OR(INDEX($V$2:$V$1001,MATCH(ROWS($U$2:U431),$U$2:$U$1001,0),1)&gt;=100000,INDEX($AB$1005:$AQ$1005,1,MATCH(COLUMNS($AB$1006:AQ1006),$AB$1006:$AQ$1006,0))&gt;=100000), " ",IF(INDEX($AB$2:$AQ$1001,MATCH(ROWS($U$2:U431),$U$2:$U$1001,0),MATCH(COLUMNS($AB$1006:AQ1006),$AB$1006:$AQ$1006,0)), HYPERLINK("#",""), HYPERLINK(CONCATENATE("#Metadata!", ADDRESS(INDEX($W$2:$W$1001,MATCH(ROWS($U$2:U431),$U$2:$U$1001,0),0), INDEX($AB$1004:$AQ$1004,1,MATCH(COLUMNS($AB$1006:AQ1006),$AB$1006:$AQ$1006,0)))),"Fix")))</f>
        <v>0</v>
      </c>
      <c r="U431">
        <v>0</v>
      </c>
      <c r="V431">
        <v>0</v>
      </c>
      <c r="W431">
        <v>0</v>
      </c>
      <c r="X431">
        <f>IF(Y431,TRUE,AND(AB431:AQ431))</f>
        <v>0</v>
      </c>
      <c r="Y431">
        <f>COUNTBLANK(Metadata!B431:Q431)=COLUMNS(Metadata!B431:Q431)</f>
        <v>0</v>
      </c>
      <c r="Z431">
        <v>0</v>
      </c>
      <c r="AB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AC431">
        <f>AND(IF(Metadata!C431="",FALSE,TRUE),exact(Metadata!C431,"urban biome"))</f>
        <v>0</v>
      </c>
      <c r="AD431">
        <f>AND(IF(Metadata!D431="",FALSE,TRUE),exact(Metadata!D431,"human-associated habitat"))</f>
        <v>0</v>
      </c>
      <c r="AE431">
        <f>AND(IF(Metadata!E431="",FALSE,TRUE),OR(exact(Metadata!E431,"human-associated"),exact(Metadata!E431,"human-skin"),exact(Metadata!E431,"human-oral"),exact(Metadata!E431,"human-gut"),exact(Metadata!E431,"human-vaginal")))</f>
        <v>0</v>
      </c>
      <c r="AF431">
        <f>AND(IF(Metadata!F431="",FALSE,ISNUMBER(VALUE(Metadata!F431))),Metadata!F431&gt;0)</f>
        <v>0</v>
      </c>
      <c r="AG431">
        <f>AND(IF(Metadata!G431="",FALSE,TRUE),exact(Metadata!G431,"years"))</f>
        <v>0</v>
      </c>
      <c r="AH431">
        <f>OR(AND(IF(Metadata!H431="",FALSE,TRUE),OR(exact(Metadata!H431,"not applicable"),exact(Metadata!H431,"not collected"),exact(Metadata!H431,"not provided"),exact(Metadata!H431,"restricted access"))),AND(IF(Metadata!H431="",FALSE,ISNUMBER(VALUE(Metadata!H431))),Metadata!H431&gt;0))</f>
        <v>0</v>
      </c>
      <c r="AI431">
        <f>AND(IF(Metadata!I431="",FALSE,TRUE),exact(Metadata!I431,"human"))</f>
        <v>0</v>
      </c>
      <c r="AJ431">
        <f>AND(IF(Metadata!J431="",FALSE,ISNUMBER(VALUE(Metadata!J431))),Metadata!J431&gt;0)</f>
        <v>0</v>
      </c>
      <c r="AK431">
        <f>AND(IF(Metadata!K431="",FALSE,TRUE),exact(Metadata!K431,"cm"))</f>
        <v>0</v>
      </c>
      <c r="AL431">
        <f>AND(IF(Metadata!L431="",FALSE,TRUE),exact(Metadata!L431,"Homo sapiens"))</f>
        <v>0</v>
      </c>
      <c r="AM431">
        <f>AND(IF(Metadata!M431="",FALSE,TRUE),exact(Metadata!M431,"9606"))</f>
        <v>0</v>
      </c>
      <c r="AN431">
        <f>AND(IF(Metadata!N431="",FALSE,ISNUMBER(VALUE(Metadata!N431))),Metadata!N431&gt;0)</f>
        <v>0</v>
      </c>
      <c r="AO431">
        <f>AND(IF(Metadata!O431="",FALSE,TRUE),exact(Metadata!O431,"kg"))</f>
        <v>0</v>
      </c>
      <c r="AP431">
        <f>OR(AND(IF(Metadata!P431="",FALSE,TRUE),exact(Metadata!P431,"not provided")),IF(Metadata!P431="",FALSE,TRUE))</f>
        <v>0</v>
      </c>
      <c r="AQ431">
        <f>OR(AND(IF(Metadata!Q431="",FALSE,TRUE),exact(Metadata!Q431,"not provided")),IF(Metadata!Q431="",FALSE,TRUE))</f>
        <v>0</v>
      </c>
    </row>
    <row r="432" spans="1:43">
      <c r="A432" s="4">
        <f>IF(B432=" "," ",HYPERLINK(CONCATENATE("#metadata!",ADDRESS(INDEX($W$2:$W$1001,MATCH(ROWS($U$2:U432),$U$2:$U$1001,0),0),2)),INDEX($Z$2:$Z$1001,MATCH(ROWS($U$2:U432),$U$2:$U$1001,0),0)))</f>
        <v>0</v>
      </c>
      <c r="B432" s="5">
        <f>IF(OR(INDEX($V$2:$V$1001,MATCH(ROWS($U$2:U432),$U$2:$U$1001,0),1)&gt;=100000,INDEX($AB$1005:$AQ$1005,1,MATCH(COLUMNS($AB$1006:AB1006),$AB$1006:$AQ$1006,0))&gt;=100000), " ",IF(INDEX($AB$2:$AQ$1001,MATCH(ROWS($U$2:U432),$U$2:$U$1001,0),MATCH(COLUMNS($AB$1006:AB1006),$AB$1006:$AQ$1006,0)), HYPERLINK("#",""), HYPERLINK(CONCATENATE("#Metadata!", ADDRESS(INDEX($W$2:$W$1001,MATCH(ROWS($U$2:U432),$U$2:$U$1001,0),0), INDEX($AB$1004:$AQ$1004,1,MATCH(COLUMNS($AB$1006:AB1006),$AB$1006:$AQ$1006,0)))),"Fix")))</f>
        <v>0</v>
      </c>
      <c r="C432" s="5">
        <f>IF(OR(INDEX($V$2:$V$1001,MATCH(ROWS($U$2:U432),$U$2:$U$1001,0),1)&gt;=100000,INDEX($AB$1005:$AQ$1005,1,MATCH(COLUMNS($AB$1006:AC1006),$AB$1006:$AQ$1006,0))&gt;=100000), " ",IF(INDEX($AB$2:$AQ$1001,MATCH(ROWS($U$2:U432),$U$2:$U$1001,0),MATCH(COLUMNS($AB$1006:AC1006),$AB$1006:$AQ$1006,0)), HYPERLINK("#",""), HYPERLINK(CONCATENATE("#Metadata!", ADDRESS(INDEX($W$2:$W$1001,MATCH(ROWS($U$2:U432),$U$2:$U$1001,0),0), INDEX($AB$1004:$AQ$1004,1,MATCH(COLUMNS($AB$1006:AC1006),$AB$1006:$AQ$1006,0)))),"Fix")))</f>
        <v>0</v>
      </c>
      <c r="D432" s="5">
        <f>IF(OR(INDEX($V$2:$V$1001,MATCH(ROWS($U$2:U432),$U$2:$U$1001,0),1)&gt;=100000,INDEX($AB$1005:$AQ$1005,1,MATCH(COLUMNS($AB$1006:AD1006),$AB$1006:$AQ$1006,0))&gt;=100000), " ",IF(INDEX($AB$2:$AQ$1001,MATCH(ROWS($U$2:U432),$U$2:$U$1001,0),MATCH(COLUMNS($AB$1006:AD1006),$AB$1006:$AQ$1006,0)), HYPERLINK("#",""), HYPERLINK(CONCATENATE("#Metadata!", ADDRESS(INDEX($W$2:$W$1001,MATCH(ROWS($U$2:U432),$U$2:$U$1001,0),0), INDEX($AB$1004:$AQ$1004,1,MATCH(COLUMNS($AB$1006:AD1006),$AB$1006:$AQ$1006,0)))),"Fix")))</f>
        <v>0</v>
      </c>
      <c r="E432" s="5">
        <f>IF(OR(INDEX($V$2:$V$1001,MATCH(ROWS($U$2:U432),$U$2:$U$1001,0),1)&gt;=100000,INDEX($AB$1005:$AQ$1005,1,MATCH(COLUMNS($AB$1006:AE1006),$AB$1006:$AQ$1006,0))&gt;=100000), " ",IF(INDEX($AB$2:$AQ$1001,MATCH(ROWS($U$2:U432),$U$2:$U$1001,0),MATCH(COLUMNS($AB$1006:AE1006),$AB$1006:$AQ$1006,0)), HYPERLINK("#",""), HYPERLINK(CONCATENATE("#Metadata!", ADDRESS(INDEX($W$2:$W$1001,MATCH(ROWS($U$2:U432),$U$2:$U$1001,0),0), INDEX($AB$1004:$AQ$1004,1,MATCH(COLUMNS($AB$1006:AE1006),$AB$1006:$AQ$1006,0)))),"Fix")))</f>
        <v>0</v>
      </c>
      <c r="F432" s="5">
        <f>IF(OR(INDEX($V$2:$V$1001,MATCH(ROWS($U$2:U432),$U$2:$U$1001,0),1)&gt;=100000,INDEX($AB$1005:$AQ$1005,1,MATCH(COLUMNS($AB$1006:AF1006),$AB$1006:$AQ$1006,0))&gt;=100000), " ",IF(INDEX($AB$2:$AQ$1001,MATCH(ROWS($U$2:U432),$U$2:$U$1001,0),MATCH(COLUMNS($AB$1006:AF1006),$AB$1006:$AQ$1006,0)), HYPERLINK("#",""), HYPERLINK(CONCATENATE("#Metadata!", ADDRESS(INDEX($W$2:$W$1001,MATCH(ROWS($U$2:U432),$U$2:$U$1001,0),0), INDEX($AB$1004:$AQ$1004,1,MATCH(COLUMNS($AB$1006:AF1006),$AB$1006:$AQ$1006,0)))),"Fix")))</f>
        <v>0</v>
      </c>
      <c r="G432" s="5">
        <f>IF(OR(INDEX($V$2:$V$1001,MATCH(ROWS($U$2:U432),$U$2:$U$1001,0),1)&gt;=100000,INDEX($AB$1005:$AQ$1005,1,MATCH(COLUMNS($AB$1006:AG1006),$AB$1006:$AQ$1006,0))&gt;=100000), " ",IF(INDEX($AB$2:$AQ$1001,MATCH(ROWS($U$2:U432),$U$2:$U$1001,0),MATCH(COLUMNS($AB$1006:AG1006),$AB$1006:$AQ$1006,0)), HYPERLINK("#",""), HYPERLINK(CONCATENATE("#Metadata!", ADDRESS(INDEX($W$2:$W$1001,MATCH(ROWS($U$2:U432),$U$2:$U$1001,0),0), INDEX($AB$1004:$AQ$1004,1,MATCH(COLUMNS($AB$1006:AG1006),$AB$1006:$AQ$1006,0)))),"Fix")))</f>
        <v>0</v>
      </c>
      <c r="H432" s="5">
        <f>IF(OR(INDEX($V$2:$V$1001,MATCH(ROWS($U$2:U432),$U$2:$U$1001,0),1)&gt;=100000,INDEX($AB$1005:$AQ$1005,1,MATCH(COLUMNS($AB$1006:AH1006),$AB$1006:$AQ$1006,0))&gt;=100000), " ",IF(INDEX($AB$2:$AQ$1001,MATCH(ROWS($U$2:U432),$U$2:$U$1001,0),MATCH(COLUMNS($AB$1006:AH1006),$AB$1006:$AQ$1006,0)), HYPERLINK("#",""), HYPERLINK(CONCATENATE("#Metadata!", ADDRESS(INDEX($W$2:$W$1001,MATCH(ROWS($U$2:U432),$U$2:$U$1001,0),0), INDEX($AB$1004:$AQ$1004,1,MATCH(COLUMNS($AB$1006:AH1006),$AB$1006:$AQ$1006,0)))),"Fix")))</f>
        <v>0</v>
      </c>
      <c r="I432" s="5">
        <f>IF(OR(INDEX($V$2:$V$1001,MATCH(ROWS($U$2:U432),$U$2:$U$1001,0),1)&gt;=100000,INDEX($AB$1005:$AQ$1005,1,MATCH(COLUMNS($AB$1006:AI1006),$AB$1006:$AQ$1006,0))&gt;=100000), " ",IF(INDEX($AB$2:$AQ$1001,MATCH(ROWS($U$2:U432),$U$2:$U$1001,0),MATCH(COLUMNS($AB$1006:AI1006),$AB$1006:$AQ$1006,0)), HYPERLINK("#",""), HYPERLINK(CONCATENATE("#Metadata!", ADDRESS(INDEX($W$2:$W$1001,MATCH(ROWS($U$2:U432),$U$2:$U$1001,0),0), INDEX($AB$1004:$AQ$1004,1,MATCH(COLUMNS($AB$1006:AI1006),$AB$1006:$AQ$1006,0)))),"Fix")))</f>
        <v>0</v>
      </c>
      <c r="J432" s="5">
        <f>IF(OR(INDEX($V$2:$V$1001,MATCH(ROWS($U$2:U432),$U$2:$U$1001,0),1)&gt;=100000,INDEX($AB$1005:$AQ$1005,1,MATCH(COLUMNS($AB$1006:AJ1006),$AB$1006:$AQ$1006,0))&gt;=100000), " ",IF(INDEX($AB$2:$AQ$1001,MATCH(ROWS($U$2:U432),$U$2:$U$1001,0),MATCH(COLUMNS($AB$1006:AJ1006),$AB$1006:$AQ$1006,0)), HYPERLINK("#",""), HYPERLINK(CONCATENATE("#Metadata!", ADDRESS(INDEX($W$2:$W$1001,MATCH(ROWS($U$2:U432),$U$2:$U$1001,0),0), INDEX($AB$1004:$AQ$1004,1,MATCH(COLUMNS($AB$1006:AJ1006),$AB$1006:$AQ$1006,0)))),"Fix")))</f>
        <v>0</v>
      </c>
      <c r="K432" s="5">
        <f>IF(OR(INDEX($V$2:$V$1001,MATCH(ROWS($U$2:U432),$U$2:$U$1001,0),1)&gt;=100000,INDEX($AB$1005:$AQ$1005,1,MATCH(COLUMNS($AB$1006:AK1006),$AB$1006:$AQ$1006,0))&gt;=100000), " ",IF(INDEX($AB$2:$AQ$1001,MATCH(ROWS($U$2:U432),$U$2:$U$1001,0),MATCH(COLUMNS($AB$1006:AK1006),$AB$1006:$AQ$1006,0)), HYPERLINK("#",""), HYPERLINK(CONCATENATE("#Metadata!", ADDRESS(INDEX($W$2:$W$1001,MATCH(ROWS($U$2:U432),$U$2:$U$1001,0),0), INDEX($AB$1004:$AQ$1004,1,MATCH(COLUMNS($AB$1006:AK1006),$AB$1006:$AQ$1006,0)))),"Fix")))</f>
        <v>0</v>
      </c>
      <c r="L432" s="5">
        <f>IF(OR(INDEX($V$2:$V$1001,MATCH(ROWS($U$2:U432),$U$2:$U$1001,0),1)&gt;=100000,INDEX($AB$1005:$AQ$1005,1,MATCH(COLUMNS($AB$1006:AL1006),$AB$1006:$AQ$1006,0))&gt;=100000), " ",IF(INDEX($AB$2:$AQ$1001,MATCH(ROWS($U$2:U432),$U$2:$U$1001,0),MATCH(COLUMNS($AB$1006:AL1006),$AB$1006:$AQ$1006,0)), HYPERLINK("#",""), HYPERLINK(CONCATENATE("#Metadata!", ADDRESS(INDEX($W$2:$W$1001,MATCH(ROWS($U$2:U432),$U$2:$U$1001,0),0), INDEX($AB$1004:$AQ$1004,1,MATCH(COLUMNS($AB$1006:AL1006),$AB$1006:$AQ$1006,0)))),"Fix")))</f>
        <v>0</v>
      </c>
      <c r="M432" s="5">
        <f>IF(OR(INDEX($V$2:$V$1001,MATCH(ROWS($U$2:U432),$U$2:$U$1001,0),1)&gt;=100000,INDEX($AB$1005:$AQ$1005,1,MATCH(COLUMNS($AB$1006:AM1006),$AB$1006:$AQ$1006,0))&gt;=100000), " ",IF(INDEX($AB$2:$AQ$1001,MATCH(ROWS($U$2:U432),$U$2:$U$1001,0),MATCH(COLUMNS($AB$1006:AM1006),$AB$1006:$AQ$1006,0)), HYPERLINK("#",""), HYPERLINK(CONCATENATE("#Metadata!", ADDRESS(INDEX($W$2:$W$1001,MATCH(ROWS($U$2:U432),$U$2:$U$1001,0),0), INDEX($AB$1004:$AQ$1004,1,MATCH(COLUMNS($AB$1006:AM1006),$AB$1006:$AQ$1006,0)))),"Fix")))</f>
        <v>0</v>
      </c>
      <c r="N432" s="5">
        <f>IF(OR(INDEX($V$2:$V$1001,MATCH(ROWS($U$2:U432),$U$2:$U$1001,0),1)&gt;=100000,INDEX($AB$1005:$AQ$1005,1,MATCH(COLUMNS($AB$1006:AN1006),$AB$1006:$AQ$1006,0))&gt;=100000), " ",IF(INDEX($AB$2:$AQ$1001,MATCH(ROWS($U$2:U432),$U$2:$U$1001,0),MATCH(COLUMNS($AB$1006:AN1006),$AB$1006:$AQ$1006,0)), HYPERLINK("#",""), HYPERLINK(CONCATENATE("#Metadata!", ADDRESS(INDEX($W$2:$W$1001,MATCH(ROWS($U$2:U432),$U$2:$U$1001,0),0), INDEX($AB$1004:$AQ$1004,1,MATCH(COLUMNS($AB$1006:AN1006),$AB$1006:$AQ$1006,0)))),"Fix")))</f>
        <v>0</v>
      </c>
      <c r="O432" s="5">
        <f>IF(OR(INDEX($V$2:$V$1001,MATCH(ROWS($U$2:U432),$U$2:$U$1001,0),1)&gt;=100000,INDEX($AB$1005:$AQ$1005,1,MATCH(COLUMNS($AB$1006:AO1006),$AB$1006:$AQ$1006,0))&gt;=100000), " ",IF(INDEX($AB$2:$AQ$1001,MATCH(ROWS($U$2:U432),$U$2:$U$1001,0),MATCH(COLUMNS($AB$1006:AO1006),$AB$1006:$AQ$1006,0)), HYPERLINK("#",""), HYPERLINK(CONCATENATE("#Metadata!", ADDRESS(INDEX($W$2:$W$1001,MATCH(ROWS($U$2:U432),$U$2:$U$1001,0),0), INDEX($AB$1004:$AQ$1004,1,MATCH(COLUMNS($AB$1006:AO1006),$AB$1006:$AQ$1006,0)))),"Fix")))</f>
        <v>0</v>
      </c>
      <c r="P432" s="5">
        <f>IF(OR(INDEX($V$2:$V$1001,MATCH(ROWS($U$2:U432),$U$2:$U$1001,0),1)&gt;=100000,INDEX($AB$1005:$AQ$1005,1,MATCH(COLUMNS($AB$1006:AP1006),$AB$1006:$AQ$1006,0))&gt;=100000), " ",IF(INDEX($AB$2:$AQ$1001,MATCH(ROWS($U$2:U432),$U$2:$U$1001,0),MATCH(COLUMNS($AB$1006:AP1006),$AB$1006:$AQ$1006,0)), HYPERLINK("#",""), HYPERLINK(CONCATENATE("#Metadata!", ADDRESS(INDEX($W$2:$W$1001,MATCH(ROWS($U$2:U432),$U$2:$U$1001,0),0), INDEX($AB$1004:$AQ$1004,1,MATCH(COLUMNS($AB$1006:AP1006),$AB$1006:$AQ$1006,0)))),"Fix")))</f>
        <v>0</v>
      </c>
      <c r="Q432" s="5">
        <f>IF(OR(INDEX($V$2:$V$1001,MATCH(ROWS($U$2:U432),$U$2:$U$1001,0),1)&gt;=100000,INDEX($AB$1005:$AQ$1005,1,MATCH(COLUMNS($AB$1006:AQ1006),$AB$1006:$AQ$1006,0))&gt;=100000), " ",IF(INDEX($AB$2:$AQ$1001,MATCH(ROWS($U$2:U432),$U$2:$U$1001,0),MATCH(COLUMNS($AB$1006:AQ1006),$AB$1006:$AQ$1006,0)), HYPERLINK("#",""), HYPERLINK(CONCATENATE("#Metadata!", ADDRESS(INDEX($W$2:$W$1001,MATCH(ROWS($U$2:U432),$U$2:$U$1001,0),0), INDEX($AB$1004:$AQ$1004,1,MATCH(COLUMNS($AB$1006:AQ1006),$AB$1006:$AQ$1006,0)))),"Fix")))</f>
        <v>0</v>
      </c>
      <c r="U432">
        <v>0</v>
      </c>
      <c r="V432">
        <v>0</v>
      </c>
      <c r="W432">
        <v>0</v>
      </c>
      <c r="X432">
        <f>IF(Y432,TRUE,AND(AB432:AQ432))</f>
        <v>0</v>
      </c>
      <c r="Y432">
        <f>COUNTBLANK(Metadata!B432:Q432)=COLUMNS(Metadata!B432:Q432)</f>
        <v>0</v>
      </c>
      <c r="Z432">
        <v>0</v>
      </c>
      <c r="AB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AC432">
        <f>AND(IF(Metadata!C432="",FALSE,TRUE),exact(Metadata!C432,"urban biome"))</f>
        <v>0</v>
      </c>
      <c r="AD432">
        <f>AND(IF(Metadata!D432="",FALSE,TRUE),exact(Metadata!D432,"human-associated habitat"))</f>
        <v>0</v>
      </c>
      <c r="AE432">
        <f>AND(IF(Metadata!E432="",FALSE,TRUE),OR(exact(Metadata!E432,"human-associated"),exact(Metadata!E432,"human-skin"),exact(Metadata!E432,"human-oral"),exact(Metadata!E432,"human-gut"),exact(Metadata!E432,"human-vaginal")))</f>
        <v>0</v>
      </c>
      <c r="AF432">
        <f>AND(IF(Metadata!F432="",FALSE,ISNUMBER(VALUE(Metadata!F432))),Metadata!F432&gt;0)</f>
        <v>0</v>
      </c>
      <c r="AG432">
        <f>AND(IF(Metadata!G432="",FALSE,TRUE),exact(Metadata!G432,"years"))</f>
        <v>0</v>
      </c>
      <c r="AH432">
        <f>OR(AND(IF(Metadata!H432="",FALSE,TRUE),OR(exact(Metadata!H432,"not applicable"),exact(Metadata!H432,"not collected"),exact(Metadata!H432,"not provided"),exact(Metadata!H432,"restricted access"))),AND(IF(Metadata!H432="",FALSE,ISNUMBER(VALUE(Metadata!H432))),Metadata!H432&gt;0))</f>
        <v>0</v>
      </c>
      <c r="AI432">
        <f>AND(IF(Metadata!I432="",FALSE,TRUE),exact(Metadata!I432,"human"))</f>
        <v>0</v>
      </c>
      <c r="AJ432">
        <f>AND(IF(Metadata!J432="",FALSE,ISNUMBER(VALUE(Metadata!J432))),Metadata!J432&gt;0)</f>
        <v>0</v>
      </c>
      <c r="AK432">
        <f>AND(IF(Metadata!K432="",FALSE,TRUE),exact(Metadata!K432,"cm"))</f>
        <v>0</v>
      </c>
      <c r="AL432">
        <f>AND(IF(Metadata!L432="",FALSE,TRUE),exact(Metadata!L432,"Homo sapiens"))</f>
        <v>0</v>
      </c>
      <c r="AM432">
        <f>AND(IF(Metadata!M432="",FALSE,TRUE),exact(Metadata!M432,"9606"))</f>
        <v>0</v>
      </c>
      <c r="AN432">
        <f>AND(IF(Metadata!N432="",FALSE,ISNUMBER(VALUE(Metadata!N432))),Metadata!N432&gt;0)</f>
        <v>0</v>
      </c>
      <c r="AO432">
        <f>AND(IF(Metadata!O432="",FALSE,TRUE),exact(Metadata!O432,"kg"))</f>
        <v>0</v>
      </c>
      <c r="AP432">
        <f>OR(AND(IF(Metadata!P432="",FALSE,TRUE),exact(Metadata!P432,"not provided")),IF(Metadata!P432="",FALSE,TRUE))</f>
        <v>0</v>
      </c>
      <c r="AQ432">
        <f>OR(AND(IF(Metadata!Q432="",FALSE,TRUE),exact(Metadata!Q432,"not provided")),IF(Metadata!Q432="",FALSE,TRUE))</f>
        <v>0</v>
      </c>
    </row>
    <row r="433" spans="1:43">
      <c r="A433" s="4">
        <f>IF(B433=" "," ",HYPERLINK(CONCATENATE("#metadata!",ADDRESS(INDEX($W$2:$W$1001,MATCH(ROWS($U$2:U433),$U$2:$U$1001,0),0),2)),INDEX($Z$2:$Z$1001,MATCH(ROWS($U$2:U433),$U$2:$U$1001,0),0)))</f>
        <v>0</v>
      </c>
      <c r="B433" s="5">
        <f>IF(OR(INDEX($V$2:$V$1001,MATCH(ROWS($U$2:U433),$U$2:$U$1001,0),1)&gt;=100000,INDEX($AB$1005:$AQ$1005,1,MATCH(COLUMNS($AB$1006:AB1006),$AB$1006:$AQ$1006,0))&gt;=100000), " ",IF(INDEX($AB$2:$AQ$1001,MATCH(ROWS($U$2:U433),$U$2:$U$1001,0),MATCH(COLUMNS($AB$1006:AB1006),$AB$1006:$AQ$1006,0)), HYPERLINK("#",""), HYPERLINK(CONCATENATE("#Metadata!", ADDRESS(INDEX($W$2:$W$1001,MATCH(ROWS($U$2:U433),$U$2:$U$1001,0),0), INDEX($AB$1004:$AQ$1004,1,MATCH(COLUMNS($AB$1006:AB1006),$AB$1006:$AQ$1006,0)))),"Fix")))</f>
        <v>0</v>
      </c>
      <c r="C433" s="5">
        <f>IF(OR(INDEX($V$2:$V$1001,MATCH(ROWS($U$2:U433),$U$2:$U$1001,0),1)&gt;=100000,INDEX($AB$1005:$AQ$1005,1,MATCH(COLUMNS($AB$1006:AC1006),$AB$1006:$AQ$1006,0))&gt;=100000), " ",IF(INDEX($AB$2:$AQ$1001,MATCH(ROWS($U$2:U433),$U$2:$U$1001,0),MATCH(COLUMNS($AB$1006:AC1006),$AB$1006:$AQ$1006,0)), HYPERLINK("#",""), HYPERLINK(CONCATENATE("#Metadata!", ADDRESS(INDEX($W$2:$W$1001,MATCH(ROWS($U$2:U433),$U$2:$U$1001,0),0), INDEX($AB$1004:$AQ$1004,1,MATCH(COLUMNS($AB$1006:AC1006),$AB$1006:$AQ$1006,0)))),"Fix")))</f>
        <v>0</v>
      </c>
      <c r="D433" s="5">
        <f>IF(OR(INDEX($V$2:$V$1001,MATCH(ROWS($U$2:U433),$U$2:$U$1001,0),1)&gt;=100000,INDEX($AB$1005:$AQ$1005,1,MATCH(COLUMNS($AB$1006:AD1006),$AB$1006:$AQ$1006,0))&gt;=100000), " ",IF(INDEX($AB$2:$AQ$1001,MATCH(ROWS($U$2:U433),$U$2:$U$1001,0),MATCH(COLUMNS($AB$1006:AD1006),$AB$1006:$AQ$1006,0)), HYPERLINK("#",""), HYPERLINK(CONCATENATE("#Metadata!", ADDRESS(INDEX($W$2:$W$1001,MATCH(ROWS($U$2:U433),$U$2:$U$1001,0),0), INDEX($AB$1004:$AQ$1004,1,MATCH(COLUMNS($AB$1006:AD1006),$AB$1006:$AQ$1006,0)))),"Fix")))</f>
        <v>0</v>
      </c>
      <c r="E433" s="5">
        <f>IF(OR(INDEX($V$2:$V$1001,MATCH(ROWS($U$2:U433),$U$2:$U$1001,0),1)&gt;=100000,INDEX($AB$1005:$AQ$1005,1,MATCH(COLUMNS($AB$1006:AE1006),$AB$1006:$AQ$1006,0))&gt;=100000), " ",IF(INDEX($AB$2:$AQ$1001,MATCH(ROWS($U$2:U433),$U$2:$U$1001,0),MATCH(COLUMNS($AB$1006:AE1006),$AB$1006:$AQ$1006,0)), HYPERLINK("#",""), HYPERLINK(CONCATENATE("#Metadata!", ADDRESS(INDEX($W$2:$W$1001,MATCH(ROWS($U$2:U433),$U$2:$U$1001,0),0), INDEX($AB$1004:$AQ$1004,1,MATCH(COLUMNS($AB$1006:AE1006),$AB$1006:$AQ$1006,0)))),"Fix")))</f>
        <v>0</v>
      </c>
      <c r="F433" s="5">
        <f>IF(OR(INDEX($V$2:$V$1001,MATCH(ROWS($U$2:U433),$U$2:$U$1001,0),1)&gt;=100000,INDEX($AB$1005:$AQ$1005,1,MATCH(COLUMNS($AB$1006:AF1006),$AB$1006:$AQ$1006,0))&gt;=100000), " ",IF(INDEX($AB$2:$AQ$1001,MATCH(ROWS($U$2:U433),$U$2:$U$1001,0),MATCH(COLUMNS($AB$1006:AF1006),$AB$1006:$AQ$1006,0)), HYPERLINK("#",""), HYPERLINK(CONCATENATE("#Metadata!", ADDRESS(INDEX($W$2:$W$1001,MATCH(ROWS($U$2:U433),$U$2:$U$1001,0),0), INDEX($AB$1004:$AQ$1004,1,MATCH(COLUMNS($AB$1006:AF1006),$AB$1006:$AQ$1006,0)))),"Fix")))</f>
        <v>0</v>
      </c>
      <c r="G433" s="5">
        <f>IF(OR(INDEX($V$2:$V$1001,MATCH(ROWS($U$2:U433),$U$2:$U$1001,0),1)&gt;=100000,INDEX($AB$1005:$AQ$1005,1,MATCH(COLUMNS($AB$1006:AG1006),$AB$1006:$AQ$1006,0))&gt;=100000), " ",IF(INDEX($AB$2:$AQ$1001,MATCH(ROWS($U$2:U433),$U$2:$U$1001,0),MATCH(COLUMNS($AB$1006:AG1006),$AB$1006:$AQ$1006,0)), HYPERLINK("#",""), HYPERLINK(CONCATENATE("#Metadata!", ADDRESS(INDEX($W$2:$W$1001,MATCH(ROWS($U$2:U433),$U$2:$U$1001,0),0), INDEX($AB$1004:$AQ$1004,1,MATCH(COLUMNS($AB$1006:AG1006),$AB$1006:$AQ$1006,0)))),"Fix")))</f>
        <v>0</v>
      </c>
      <c r="H433" s="5">
        <f>IF(OR(INDEX($V$2:$V$1001,MATCH(ROWS($U$2:U433),$U$2:$U$1001,0),1)&gt;=100000,INDEX($AB$1005:$AQ$1005,1,MATCH(COLUMNS($AB$1006:AH1006),$AB$1006:$AQ$1006,0))&gt;=100000), " ",IF(INDEX($AB$2:$AQ$1001,MATCH(ROWS($U$2:U433),$U$2:$U$1001,0),MATCH(COLUMNS($AB$1006:AH1006),$AB$1006:$AQ$1006,0)), HYPERLINK("#",""), HYPERLINK(CONCATENATE("#Metadata!", ADDRESS(INDEX($W$2:$W$1001,MATCH(ROWS($U$2:U433),$U$2:$U$1001,0),0), INDEX($AB$1004:$AQ$1004,1,MATCH(COLUMNS($AB$1006:AH1006),$AB$1006:$AQ$1006,0)))),"Fix")))</f>
        <v>0</v>
      </c>
      <c r="I433" s="5">
        <f>IF(OR(INDEX($V$2:$V$1001,MATCH(ROWS($U$2:U433),$U$2:$U$1001,0),1)&gt;=100000,INDEX($AB$1005:$AQ$1005,1,MATCH(COLUMNS($AB$1006:AI1006),$AB$1006:$AQ$1006,0))&gt;=100000), " ",IF(INDEX($AB$2:$AQ$1001,MATCH(ROWS($U$2:U433),$U$2:$U$1001,0),MATCH(COLUMNS($AB$1006:AI1006),$AB$1006:$AQ$1006,0)), HYPERLINK("#",""), HYPERLINK(CONCATENATE("#Metadata!", ADDRESS(INDEX($W$2:$W$1001,MATCH(ROWS($U$2:U433),$U$2:$U$1001,0),0), INDEX($AB$1004:$AQ$1004,1,MATCH(COLUMNS($AB$1006:AI1006),$AB$1006:$AQ$1006,0)))),"Fix")))</f>
        <v>0</v>
      </c>
      <c r="J433" s="5">
        <f>IF(OR(INDEX($V$2:$V$1001,MATCH(ROWS($U$2:U433),$U$2:$U$1001,0),1)&gt;=100000,INDEX($AB$1005:$AQ$1005,1,MATCH(COLUMNS($AB$1006:AJ1006),$AB$1006:$AQ$1006,0))&gt;=100000), " ",IF(INDEX($AB$2:$AQ$1001,MATCH(ROWS($U$2:U433),$U$2:$U$1001,0),MATCH(COLUMNS($AB$1006:AJ1006),$AB$1006:$AQ$1006,0)), HYPERLINK("#",""), HYPERLINK(CONCATENATE("#Metadata!", ADDRESS(INDEX($W$2:$W$1001,MATCH(ROWS($U$2:U433),$U$2:$U$1001,0),0), INDEX($AB$1004:$AQ$1004,1,MATCH(COLUMNS($AB$1006:AJ1006),$AB$1006:$AQ$1006,0)))),"Fix")))</f>
        <v>0</v>
      </c>
      <c r="K433" s="5">
        <f>IF(OR(INDEX($V$2:$V$1001,MATCH(ROWS($U$2:U433),$U$2:$U$1001,0),1)&gt;=100000,INDEX($AB$1005:$AQ$1005,1,MATCH(COLUMNS($AB$1006:AK1006),$AB$1006:$AQ$1006,0))&gt;=100000), " ",IF(INDEX($AB$2:$AQ$1001,MATCH(ROWS($U$2:U433),$U$2:$U$1001,0),MATCH(COLUMNS($AB$1006:AK1006),$AB$1006:$AQ$1006,0)), HYPERLINK("#",""), HYPERLINK(CONCATENATE("#Metadata!", ADDRESS(INDEX($W$2:$W$1001,MATCH(ROWS($U$2:U433),$U$2:$U$1001,0),0), INDEX($AB$1004:$AQ$1004,1,MATCH(COLUMNS($AB$1006:AK1006),$AB$1006:$AQ$1006,0)))),"Fix")))</f>
        <v>0</v>
      </c>
      <c r="L433" s="5">
        <f>IF(OR(INDEX($V$2:$V$1001,MATCH(ROWS($U$2:U433),$U$2:$U$1001,0),1)&gt;=100000,INDEX($AB$1005:$AQ$1005,1,MATCH(COLUMNS($AB$1006:AL1006),$AB$1006:$AQ$1006,0))&gt;=100000), " ",IF(INDEX($AB$2:$AQ$1001,MATCH(ROWS($U$2:U433),$U$2:$U$1001,0),MATCH(COLUMNS($AB$1006:AL1006),$AB$1006:$AQ$1006,0)), HYPERLINK("#",""), HYPERLINK(CONCATENATE("#Metadata!", ADDRESS(INDEX($W$2:$W$1001,MATCH(ROWS($U$2:U433),$U$2:$U$1001,0),0), INDEX($AB$1004:$AQ$1004,1,MATCH(COLUMNS($AB$1006:AL1006),$AB$1006:$AQ$1006,0)))),"Fix")))</f>
        <v>0</v>
      </c>
      <c r="M433" s="5">
        <f>IF(OR(INDEX($V$2:$V$1001,MATCH(ROWS($U$2:U433),$U$2:$U$1001,0),1)&gt;=100000,INDEX($AB$1005:$AQ$1005,1,MATCH(COLUMNS($AB$1006:AM1006),$AB$1006:$AQ$1006,0))&gt;=100000), " ",IF(INDEX($AB$2:$AQ$1001,MATCH(ROWS($U$2:U433),$U$2:$U$1001,0),MATCH(COLUMNS($AB$1006:AM1006),$AB$1006:$AQ$1006,0)), HYPERLINK("#",""), HYPERLINK(CONCATENATE("#Metadata!", ADDRESS(INDEX($W$2:$W$1001,MATCH(ROWS($U$2:U433),$U$2:$U$1001,0),0), INDEX($AB$1004:$AQ$1004,1,MATCH(COLUMNS($AB$1006:AM1006),$AB$1006:$AQ$1006,0)))),"Fix")))</f>
        <v>0</v>
      </c>
      <c r="N433" s="5">
        <f>IF(OR(INDEX($V$2:$V$1001,MATCH(ROWS($U$2:U433),$U$2:$U$1001,0),1)&gt;=100000,INDEX($AB$1005:$AQ$1005,1,MATCH(COLUMNS($AB$1006:AN1006),$AB$1006:$AQ$1006,0))&gt;=100000), " ",IF(INDEX($AB$2:$AQ$1001,MATCH(ROWS($U$2:U433),$U$2:$U$1001,0),MATCH(COLUMNS($AB$1006:AN1006),$AB$1006:$AQ$1006,0)), HYPERLINK("#",""), HYPERLINK(CONCATENATE("#Metadata!", ADDRESS(INDEX($W$2:$W$1001,MATCH(ROWS($U$2:U433),$U$2:$U$1001,0),0), INDEX($AB$1004:$AQ$1004,1,MATCH(COLUMNS($AB$1006:AN1006),$AB$1006:$AQ$1006,0)))),"Fix")))</f>
        <v>0</v>
      </c>
      <c r="O433" s="5">
        <f>IF(OR(INDEX($V$2:$V$1001,MATCH(ROWS($U$2:U433),$U$2:$U$1001,0),1)&gt;=100000,INDEX($AB$1005:$AQ$1005,1,MATCH(COLUMNS($AB$1006:AO1006),$AB$1006:$AQ$1006,0))&gt;=100000), " ",IF(INDEX($AB$2:$AQ$1001,MATCH(ROWS($U$2:U433),$U$2:$U$1001,0),MATCH(COLUMNS($AB$1006:AO1006),$AB$1006:$AQ$1006,0)), HYPERLINK("#",""), HYPERLINK(CONCATENATE("#Metadata!", ADDRESS(INDEX($W$2:$W$1001,MATCH(ROWS($U$2:U433),$U$2:$U$1001,0),0), INDEX($AB$1004:$AQ$1004,1,MATCH(COLUMNS($AB$1006:AO1006),$AB$1006:$AQ$1006,0)))),"Fix")))</f>
        <v>0</v>
      </c>
      <c r="P433" s="5">
        <f>IF(OR(INDEX($V$2:$V$1001,MATCH(ROWS($U$2:U433),$U$2:$U$1001,0),1)&gt;=100000,INDEX($AB$1005:$AQ$1005,1,MATCH(COLUMNS($AB$1006:AP1006),$AB$1006:$AQ$1006,0))&gt;=100000), " ",IF(INDEX($AB$2:$AQ$1001,MATCH(ROWS($U$2:U433),$U$2:$U$1001,0),MATCH(COLUMNS($AB$1006:AP1006),$AB$1006:$AQ$1006,0)), HYPERLINK("#",""), HYPERLINK(CONCATENATE("#Metadata!", ADDRESS(INDEX($W$2:$W$1001,MATCH(ROWS($U$2:U433),$U$2:$U$1001,0),0), INDEX($AB$1004:$AQ$1004,1,MATCH(COLUMNS($AB$1006:AP1006),$AB$1006:$AQ$1006,0)))),"Fix")))</f>
        <v>0</v>
      </c>
      <c r="Q433" s="5">
        <f>IF(OR(INDEX($V$2:$V$1001,MATCH(ROWS($U$2:U433),$U$2:$U$1001,0),1)&gt;=100000,INDEX($AB$1005:$AQ$1005,1,MATCH(COLUMNS($AB$1006:AQ1006),$AB$1006:$AQ$1006,0))&gt;=100000), " ",IF(INDEX($AB$2:$AQ$1001,MATCH(ROWS($U$2:U433),$U$2:$U$1001,0),MATCH(COLUMNS($AB$1006:AQ1006),$AB$1006:$AQ$1006,0)), HYPERLINK("#",""), HYPERLINK(CONCATENATE("#Metadata!", ADDRESS(INDEX($W$2:$W$1001,MATCH(ROWS($U$2:U433),$U$2:$U$1001,0),0), INDEX($AB$1004:$AQ$1004,1,MATCH(COLUMNS($AB$1006:AQ1006),$AB$1006:$AQ$1006,0)))),"Fix")))</f>
        <v>0</v>
      </c>
      <c r="U433">
        <v>0</v>
      </c>
      <c r="V433">
        <v>0</v>
      </c>
      <c r="W433">
        <v>0</v>
      </c>
      <c r="X433">
        <f>IF(Y433,TRUE,AND(AB433:AQ433))</f>
        <v>0</v>
      </c>
      <c r="Y433">
        <f>COUNTBLANK(Metadata!B433:Q433)=COLUMNS(Metadata!B433:Q433)</f>
        <v>0</v>
      </c>
      <c r="Z433">
        <v>0</v>
      </c>
      <c r="AB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AC433">
        <f>AND(IF(Metadata!C433="",FALSE,TRUE),exact(Metadata!C433,"urban biome"))</f>
        <v>0</v>
      </c>
      <c r="AD433">
        <f>AND(IF(Metadata!D433="",FALSE,TRUE),exact(Metadata!D433,"human-associated habitat"))</f>
        <v>0</v>
      </c>
      <c r="AE433">
        <f>AND(IF(Metadata!E433="",FALSE,TRUE),OR(exact(Metadata!E433,"human-associated"),exact(Metadata!E433,"human-skin"),exact(Metadata!E433,"human-oral"),exact(Metadata!E433,"human-gut"),exact(Metadata!E433,"human-vaginal")))</f>
        <v>0</v>
      </c>
      <c r="AF433">
        <f>AND(IF(Metadata!F433="",FALSE,ISNUMBER(VALUE(Metadata!F433))),Metadata!F433&gt;0)</f>
        <v>0</v>
      </c>
      <c r="AG433">
        <f>AND(IF(Metadata!G433="",FALSE,TRUE),exact(Metadata!G433,"years"))</f>
        <v>0</v>
      </c>
      <c r="AH433">
        <f>OR(AND(IF(Metadata!H433="",FALSE,TRUE),OR(exact(Metadata!H433,"not applicable"),exact(Metadata!H433,"not collected"),exact(Metadata!H433,"not provided"),exact(Metadata!H433,"restricted access"))),AND(IF(Metadata!H433="",FALSE,ISNUMBER(VALUE(Metadata!H433))),Metadata!H433&gt;0))</f>
        <v>0</v>
      </c>
      <c r="AI433">
        <f>AND(IF(Metadata!I433="",FALSE,TRUE),exact(Metadata!I433,"human"))</f>
        <v>0</v>
      </c>
      <c r="AJ433">
        <f>AND(IF(Metadata!J433="",FALSE,ISNUMBER(VALUE(Metadata!J433))),Metadata!J433&gt;0)</f>
        <v>0</v>
      </c>
      <c r="AK433">
        <f>AND(IF(Metadata!K433="",FALSE,TRUE),exact(Metadata!K433,"cm"))</f>
        <v>0</v>
      </c>
      <c r="AL433">
        <f>AND(IF(Metadata!L433="",FALSE,TRUE),exact(Metadata!L433,"Homo sapiens"))</f>
        <v>0</v>
      </c>
      <c r="AM433">
        <f>AND(IF(Metadata!M433="",FALSE,TRUE),exact(Metadata!M433,"9606"))</f>
        <v>0</v>
      </c>
      <c r="AN433">
        <f>AND(IF(Metadata!N433="",FALSE,ISNUMBER(VALUE(Metadata!N433))),Metadata!N433&gt;0)</f>
        <v>0</v>
      </c>
      <c r="AO433">
        <f>AND(IF(Metadata!O433="",FALSE,TRUE),exact(Metadata!O433,"kg"))</f>
        <v>0</v>
      </c>
      <c r="AP433">
        <f>OR(AND(IF(Metadata!P433="",FALSE,TRUE),exact(Metadata!P433,"not provided")),IF(Metadata!P433="",FALSE,TRUE))</f>
        <v>0</v>
      </c>
      <c r="AQ433">
        <f>OR(AND(IF(Metadata!Q433="",FALSE,TRUE),exact(Metadata!Q433,"not provided")),IF(Metadata!Q433="",FALSE,TRUE))</f>
        <v>0</v>
      </c>
    </row>
    <row r="434" spans="1:43">
      <c r="A434" s="4">
        <f>IF(B434=" "," ",HYPERLINK(CONCATENATE("#metadata!",ADDRESS(INDEX($W$2:$W$1001,MATCH(ROWS($U$2:U434),$U$2:$U$1001,0),0),2)),INDEX($Z$2:$Z$1001,MATCH(ROWS($U$2:U434),$U$2:$U$1001,0),0)))</f>
        <v>0</v>
      </c>
      <c r="B434" s="5">
        <f>IF(OR(INDEX($V$2:$V$1001,MATCH(ROWS($U$2:U434),$U$2:$U$1001,0),1)&gt;=100000,INDEX($AB$1005:$AQ$1005,1,MATCH(COLUMNS($AB$1006:AB1006),$AB$1006:$AQ$1006,0))&gt;=100000), " ",IF(INDEX($AB$2:$AQ$1001,MATCH(ROWS($U$2:U434),$U$2:$U$1001,0),MATCH(COLUMNS($AB$1006:AB1006),$AB$1006:$AQ$1006,0)), HYPERLINK("#",""), HYPERLINK(CONCATENATE("#Metadata!", ADDRESS(INDEX($W$2:$W$1001,MATCH(ROWS($U$2:U434),$U$2:$U$1001,0),0), INDEX($AB$1004:$AQ$1004,1,MATCH(COLUMNS($AB$1006:AB1006),$AB$1006:$AQ$1006,0)))),"Fix")))</f>
        <v>0</v>
      </c>
      <c r="C434" s="5">
        <f>IF(OR(INDEX($V$2:$V$1001,MATCH(ROWS($U$2:U434),$U$2:$U$1001,0),1)&gt;=100000,INDEX($AB$1005:$AQ$1005,1,MATCH(COLUMNS($AB$1006:AC1006),$AB$1006:$AQ$1006,0))&gt;=100000), " ",IF(INDEX($AB$2:$AQ$1001,MATCH(ROWS($U$2:U434),$U$2:$U$1001,0),MATCH(COLUMNS($AB$1006:AC1006),$AB$1006:$AQ$1006,0)), HYPERLINK("#",""), HYPERLINK(CONCATENATE("#Metadata!", ADDRESS(INDEX($W$2:$W$1001,MATCH(ROWS($U$2:U434),$U$2:$U$1001,0),0), INDEX($AB$1004:$AQ$1004,1,MATCH(COLUMNS($AB$1006:AC1006),$AB$1006:$AQ$1006,0)))),"Fix")))</f>
        <v>0</v>
      </c>
      <c r="D434" s="5">
        <f>IF(OR(INDEX($V$2:$V$1001,MATCH(ROWS($U$2:U434),$U$2:$U$1001,0),1)&gt;=100000,INDEX($AB$1005:$AQ$1005,1,MATCH(COLUMNS($AB$1006:AD1006),$AB$1006:$AQ$1006,0))&gt;=100000), " ",IF(INDEX($AB$2:$AQ$1001,MATCH(ROWS($U$2:U434),$U$2:$U$1001,0),MATCH(COLUMNS($AB$1006:AD1006),$AB$1006:$AQ$1006,0)), HYPERLINK("#",""), HYPERLINK(CONCATENATE("#Metadata!", ADDRESS(INDEX($W$2:$W$1001,MATCH(ROWS($U$2:U434),$U$2:$U$1001,0),0), INDEX($AB$1004:$AQ$1004,1,MATCH(COLUMNS($AB$1006:AD1006),$AB$1006:$AQ$1006,0)))),"Fix")))</f>
        <v>0</v>
      </c>
      <c r="E434" s="5">
        <f>IF(OR(INDEX($V$2:$V$1001,MATCH(ROWS($U$2:U434),$U$2:$U$1001,0),1)&gt;=100000,INDEX($AB$1005:$AQ$1005,1,MATCH(COLUMNS($AB$1006:AE1006),$AB$1006:$AQ$1006,0))&gt;=100000), " ",IF(INDEX($AB$2:$AQ$1001,MATCH(ROWS($U$2:U434),$U$2:$U$1001,0),MATCH(COLUMNS($AB$1006:AE1006),$AB$1006:$AQ$1006,0)), HYPERLINK("#",""), HYPERLINK(CONCATENATE("#Metadata!", ADDRESS(INDEX($W$2:$W$1001,MATCH(ROWS($U$2:U434),$U$2:$U$1001,0),0), INDEX($AB$1004:$AQ$1004,1,MATCH(COLUMNS($AB$1006:AE1006),$AB$1006:$AQ$1006,0)))),"Fix")))</f>
        <v>0</v>
      </c>
      <c r="F434" s="5">
        <f>IF(OR(INDEX($V$2:$V$1001,MATCH(ROWS($U$2:U434),$U$2:$U$1001,0),1)&gt;=100000,INDEX($AB$1005:$AQ$1005,1,MATCH(COLUMNS($AB$1006:AF1006),$AB$1006:$AQ$1006,0))&gt;=100000), " ",IF(INDEX($AB$2:$AQ$1001,MATCH(ROWS($U$2:U434),$U$2:$U$1001,0),MATCH(COLUMNS($AB$1006:AF1006),$AB$1006:$AQ$1006,0)), HYPERLINK("#",""), HYPERLINK(CONCATENATE("#Metadata!", ADDRESS(INDEX($W$2:$W$1001,MATCH(ROWS($U$2:U434),$U$2:$U$1001,0),0), INDEX($AB$1004:$AQ$1004,1,MATCH(COLUMNS($AB$1006:AF1006),$AB$1006:$AQ$1006,0)))),"Fix")))</f>
        <v>0</v>
      </c>
      <c r="G434" s="5">
        <f>IF(OR(INDEX($V$2:$V$1001,MATCH(ROWS($U$2:U434),$U$2:$U$1001,0),1)&gt;=100000,INDEX($AB$1005:$AQ$1005,1,MATCH(COLUMNS($AB$1006:AG1006),$AB$1006:$AQ$1006,0))&gt;=100000), " ",IF(INDEX($AB$2:$AQ$1001,MATCH(ROWS($U$2:U434),$U$2:$U$1001,0),MATCH(COLUMNS($AB$1006:AG1006),$AB$1006:$AQ$1006,0)), HYPERLINK("#",""), HYPERLINK(CONCATENATE("#Metadata!", ADDRESS(INDEX($W$2:$W$1001,MATCH(ROWS($U$2:U434),$U$2:$U$1001,0),0), INDEX($AB$1004:$AQ$1004,1,MATCH(COLUMNS($AB$1006:AG1006),$AB$1006:$AQ$1006,0)))),"Fix")))</f>
        <v>0</v>
      </c>
      <c r="H434" s="5">
        <f>IF(OR(INDEX($V$2:$V$1001,MATCH(ROWS($U$2:U434),$U$2:$U$1001,0),1)&gt;=100000,INDEX($AB$1005:$AQ$1005,1,MATCH(COLUMNS($AB$1006:AH1006),$AB$1006:$AQ$1006,0))&gt;=100000), " ",IF(INDEX($AB$2:$AQ$1001,MATCH(ROWS($U$2:U434),$U$2:$U$1001,0),MATCH(COLUMNS($AB$1006:AH1006),$AB$1006:$AQ$1006,0)), HYPERLINK("#",""), HYPERLINK(CONCATENATE("#Metadata!", ADDRESS(INDEX($W$2:$W$1001,MATCH(ROWS($U$2:U434),$U$2:$U$1001,0),0), INDEX($AB$1004:$AQ$1004,1,MATCH(COLUMNS($AB$1006:AH1006),$AB$1006:$AQ$1006,0)))),"Fix")))</f>
        <v>0</v>
      </c>
      <c r="I434" s="5">
        <f>IF(OR(INDEX($V$2:$V$1001,MATCH(ROWS($U$2:U434),$U$2:$U$1001,0),1)&gt;=100000,INDEX($AB$1005:$AQ$1005,1,MATCH(COLUMNS($AB$1006:AI1006),$AB$1006:$AQ$1006,0))&gt;=100000), " ",IF(INDEX($AB$2:$AQ$1001,MATCH(ROWS($U$2:U434),$U$2:$U$1001,0),MATCH(COLUMNS($AB$1006:AI1006),$AB$1006:$AQ$1006,0)), HYPERLINK("#",""), HYPERLINK(CONCATENATE("#Metadata!", ADDRESS(INDEX($W$2:$W$1001,MATCH(ROWS($U$2:U434),$U$2:$U$1001,0),0), INDEX($AB$1004:$AQ$1004,1,MATCH(COLUMNS($AB$1006:AI1006),$AB$1006:$AQ$1006,0)))),"Fix")))</f>
        <v>0</v>
      </c>
      <c r="J434" s="5">
        <f>IF(OR(INDEX($V$2:$V$1001,MATCH(ROWS($U$2:U434),$U$2:$U$1001,0),1)&gt;=100000,INDEX($AB$1005:$AQ$1005,1,MATCH(COLUMNS($AB$1006:AJ1006),$AB$1006:$AQ$1006,0))&gt;=100000), " ",IF(INDEX($AB$2:$AQ$1001,MATCH(ROWS($U$2:U434),$U$2:$U$1001,0),MATCH(COLUMNS($AB$1006:AJ1006),$AB$1006:$AQ$1006,0)), HYPERLINK("#",""), HYPERLINK(CONCATENATE("#Metadata!", ADDRESS(INDEX($W$2:$W$1001,MATCH(ROWS($U$2:U434),$U$2:$U$1001,0),0), INDEX($AB$1004:$AQ$1004,1,MATCH(COLUMNS($AB$1006:AJ1006),$AB$1006:$AQ$1006,0)))),"Fix")))</f>
        <v>0</v>
      </c>
      <c r="K434" s="5">
        <f>IF(OR(INDEX($V$2:$V$1001,MATCH(ROWS($U$2:U434),$U$2:$U$1001,0),1)&gt;=100000,INDEX($AB$1005:$AQ$1005,1,MATCH(COLUMNS($AB$1006:AK1006),$AB$1006:$AQ$1006,0))&gt;=100000), " ",IF(INDEX($AB$2:$AQ$1001,MATCH(ROWS($U$2:U434),$U$2:$U$1001,0),MATCH(COLUMNS($AB$1006:AK1006),$AB$1006:$AQ$1006,0)), HYPERLINK("#",""), HYPERLINK(CONCATENATE("#Metadata!", ADDRESS(INDEX($W$2:$W$1001,MATCH(ROWS($U$2:U434),$U$2:$U$1001,0),0), INDEX($AB$1004:$AQ$1004,1,MATCH(COLUMNS($AB$1006:AK1006),$AB$1006:$AQ$1006,0)))),"Fix")))</f>
        <v>0</v>
      </c>
      <c r="L434" s="5">
        <f>IF(OR(INDEX($V$2:$V$1001,MATCH(ROWS($U$2:U434),$U$2:$U$1001,0),1)&gt;=100000,INDEX($AB$1005:$AQ$1005,1,MATCH(COLUMNS($AB$1006:AL1006),$AB$1006:$AQ$1006,0))&gt;=100000), " ",IF(INDEX($AB$2:$AQ$1001,MATCH(ROWS($U$2:U434),$U$2:$U$1001,0),MATCH(COLUMNS($AB$1006:AL1006),$AB$1006:$AQ$1006,0)), HYPERLINK("#",""), HYPERLINK(CONCATENATE("#Metadata!", ADDRESS(INDEX($W$2:$W$1001,MATCH(ROWS($U$2:U434),$U$2:$U$1001,0),0), INDEX($AB$1004:$AQ$1004,1,MATCH(COLUMNS($AB$1006:AL1006),$AB$1006:$AQ$1006,0)))),"Fix")))</f>
        <v>0</v>
      </c>
      <c r="M434" s="5">
        <f>IF(OR(INDEX($V$2:$V$1001,MATCH(ROWS($U$2:U434),$U$2:$U$1001,0),1)&gt;=100000,INDEX($AB$1005:$AQ$1005,1,MATCH(COLUMNS($AB$1006:AM1006),$AB$1006:$AQ$1006,0))&gt;=100000), " ",IF(INDEX($AB$2:$AQ$1001,MATCH(ROWS($U$2:U434),$U$2:$U$1001,0),MATCH(COLUMNS($AB$1006:AM1006),$AB$1006:$AQ$1006,0)), HYPERLINK("#",""), HYPERLINK(CONCATENATE("#Metadata!", ADDRESS(INDEX($W$2:$W$1001,MATCH(ROWS($U$2:U434),$U$2:$U$1001,0),0), INDEX($AB$1004:$AQ$1004,1,MATCH(COLUMNS($AB$1006:AM1006),$AB$1006:$AQ$1006,0)))),"Fix")))</f>
        <v>0</v>
      </c>
      <c r="N434" s="5">
        <f>IF(OR(INDEX($V$2:$V$1001,MATCH(ROWS($U$2:U434),$U$2:$U$1001,0),1)&gt;=100000,INDEX($AB$1005:$AQ$1005,1,MATCH(COLUMNS($AB$1006:AN1006),$AB$1006:$AQ$1006,0))&gt;=100000), " ",IF(INDEX($AB$2:$AQ$1001,MATCH(ROWS($U$2:U434),$U$2:$U$1001,0),MATCH(COLUMNS($AB$1006:AN1006),$AB$1006:$AQ$1006,0)), HYPERLINK("#",""), HYPERLINK(CONCATENATE("#Metadata!", ADDRESS(INDEX($W$2:$W$1001,MATCH(ROWS($U$2:U434),$U$2:$U$1001,0),0), INDEX($AB$1004:$AQ$1004,1,MATCH(COLUMNS($AB$1006:AN1006),$AB$1006:$AQ$1006,0)))),"Fix")))</f>
        <v>0</v>
      </c>
      <c r="O434" s="5">
        <f>IF(OR(INDEX($V$2:$V$1001,MATCH(ROWS($U$2:U434),$U$2:$U$1001,0),1)&gt;=100000,INDEX($AB$1005:$AQ$1005,1,MATCH(COLUMNS($AB$1006:AO1006),$AB$1006:$AQ$1006,0))&gt;=100000), " ",IF(INDEX($AB$2:$AQ$1001,MATCH(ROWS($U$2:U434),$U$2:$U$1001,0),MATCH(COLUMNS($AB$1006:AO1006),$AB$1006:$AQ$1006,0)), HYPERLINK("#",""), HYPERLINK(CONCATENATE("#Metadata!", ADDRESS(INDEX($W$2:$W$1001,MATCH(ROWS($U$2:U434),$U$2:$U$1001,0),0), INDEX($AB$1004:$AQ$1004,1,MATCH(COLUMNS($AB$1006:AO1006),$AB$1006:$AQ$1006,0)))),"Fix")))</f>
        <v>0</v>
      </c>
      <c r="P434" s="5">
        <f>IF(OR(INDEX($V$2:$V$1001,MATCH(ROWS($U$2:U434),$U$2:$U$1001,0),1)&gt;=100000,INDEX($AB$1005:$AQ$1005,1,MATCH(COLUMNS($AB$1006:AP1006),$AB$1006:$AQ$1006,0))&gt;=100000), " ",IF(INDEX($AB$2:$AQ$1001,MATCH(ROWS($U$2:U434),$U$2:$U$1001,0),MATCH(COLUMNS($AB$1006:AP1006),$AB$1006:$AQ$1006,0)), HYPERLINK("#",""), HYPERLINK(CONCATENATE("#Metadata!", ADDRESS(INDEX($W$2:$W$1001,MATCH(ROWS($U$2:U434),$U$2:$U$1001,0),0), INDEX($AB$1004:$AQ$1004,1,MATCH(COLUMNS($AB$1006:AP1006),$AB$1006:$AQ$1006,0)))),"Fix")))</f>
        <v>0</v>
      </c>
      <c r="Q434" s="5">
        <f>IF(OR(INDEX($V$2:$V$1001,MATCH(ROWS($U$2:U434),$U$2:$U$1001,0),1)&gt;=100000,INDEX($AB$1005:$AQ$1005,1,MATCH(COLUMNS($AB$1006:AQ1006),$AB$1006:$AQ$1006,0))&gt;=100000), " ",IF(INDEX($AB$2:$AQ$1001,MATCH(ROWS($U$2:U434),$U$2:$U$1001,0),MATCH(COLUMNS($AB$1006:AQ1006),$AB$1006:$AQ$1006,0)), HYPERLINK("#",""), HYPERLINK(CONCATENATE("#Metadata!", ADDRESS(INDEX($W$2:$W$1001,MATCH(ROWS($U$2:U434),$U$2:$U$1001,0),0), INDEX($AB$1004:$AQ$1004,1,MATCH(COLUMNS($AB$1006:AQ1006),$AB$1006:$AQ$1006,0)))),"Fix")))</f>
        <v>0</v>
      </c>
      <c r="U434">
        <v>0</v>
      </c>
      <c r="V434">
        <v>0</v>
      </c>
      <c r="W434">
        <v>0</v>
      </c>
      <c r="X434">
        <f>IF(Y434,TRUE,AND(AB434:AQ434))</f>
        <v>0</v>
      </c>
      <c r="Y434">
        <f>COUNTBLANK(Metadata!B434:Q434)=COLUMNS(Metadata!B434:Q434)</f>
        <v>0</v>
      </c>
      <c r="Z434">
        <v>0</v>
      </c>
      <c r="AB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AC434">
        <f>AND(IF(Metadata!C434="",FALSE,TRUE),exact(Metadata!C434,"urban biome"))</f>
        <v>0</v>
      </c>
      <c r="AD434">
        <f>AND(IF(Metadata!D434="",FALSE,TRUE),exact(Metadata!D434,"human-associated habitat"))</f>
        <v>0</v>
      </c>
      <c r="AE434">
        <f>AND(IF(Metadata!E434="",FALSE,TRUE),OR(exact(Metadata!E434,"human-associated"),exact(Metadata!E434,"human-skin"),exact(Metadata!E434,"human-oral"),exact(Metadata!E434,"human-gut"),exact(Metadata!E434,"human-vaginal")))</f>
        <v>0</v>
      </c>
      <c r="AF434">
        <f>AND(IF(Metadata!F434="",FALSE,ISNUMBER(VALUE(Metadata!F434))),Metadata!F434&gt;0)</f>
        <v>0</v>
      </c>
      <c r="AG434">
        <f>AND(IF(Metadata!G434="",FALSE,TRUE),exact(Metadata!G434,"years"))</f>
        <v>0</v>
      </c>
      <c r="AH434">
        <f>OR(AND(IF(Metadata!H434="",FALSE,TRUE),OR(exact(Metadata!H434,"not applicable"),exact(Metadata!H434,"not collected"),exact(Metadata!H434,"not provided"),exact(Metadata!H434,"restricted access"))),AND(IF(Metadata!H434="",FALSE,ISNUMBER(VALUE(Metadata!H434))),Metadata!H434&gt;0))</f>
        <v>0</v>
      </c>
      <c r="AI434">
        <f>AND(IF(Metadata!I434="",FALSE,TRUE),exact(Metadata!I434,"human"))</f>
        <v>0</v>
      </c>
      <c r="AJ434">
        <f>AND(IF(Metadata!J434="",FALSE,ISNUMBER(VALUE(Metadata!J434))),Metadata!J434&gt;0)</f>
        <v>0</v>
      </c>
      <c r="AK434">
        <f>AND(IF(Metadata!K434="",FALSE,TRUE),exact(Metadata!K434,"cm"))</f>
        <v>0</v>
      </c>
      <c r="AL434">
        <f>AND(IF(Metadata!L434="",FALSE,TRUE),exact(Metadata!L434,"Homo sapiens"))</f>
        <v>0</v>
      </c>
      <c r="AM434">
        <f>AND(IF(Metadata!M434="",FALSE,TRUE),exact(Metadata!M434,"9606"))</f>
        <v>0</v>
      </c>
      <c r="AN434">
        <f>AND(IF(Metadata!N434="",FALSE,ISNUMBER(VALUE(Metadata!N434))),Metadata!N434&gt;0)</f>
        <v>0</v>
      </c>
      <c r="AO434">
        <f>AND(IF(Metadata!O434="",FALSE,TRUE),exact(Metadata!O434,"kg"))</f>
        <v>0</v>
      </c>
      <c r="AP434">
        <f>OR(AND(IF(Metadata!P434="",FALSE,TRUE),exact(Metadata!P434,"not provided")),IF(Metadata!P434="",FALSE,TRUE))</f>
        <v>0</v>
      </c>
      <c r="AQ434">
        <f>OR(AND(IF(Metadata!Q434="",FALSE,TRUE),exact(Metadata!Q434,"not provided")),IF(Metadata!Q434="",FALSE,TRUE))</f>
        <v>0</v>
      </c>
    </row>
    <row r="435" spans="1:43">
      <c r="A435" s="4">
        <f>IF(B435=" "," ",HYPERLINK(CONCATENATE("#metadata!",ADDRESS(INDEX($W$2:$W$1001,MATCH(ROWS($U$2:U435),$U$2:$U$1001,0),0),2)),INDEX($Z$2:$Z$1001,MATCH(ROWS($U$2:U435),$U$2:$U$1001,0),0)))</f>
        <v>0</v>
      </c>
      <c r="B435" s="5">
        <f>IF(OR(INDEX($V$2:$V$1001,MATCH(ROWS($U$2:U435),$U$2:$U$1001,0),1)&gt;=100000,INDEX($AB$1005:$AQ$1005,1,MATCH(COLUMNS($AB$1006:AB1006),$AB$1006:$AQ$1006,0))&gt;=100000), " ",IF(INDEX($AB$2:$AQ$1001,MATCH(ROWS($U$2:U435),$U$2:$U$1001,0),MATCH(COLUMNS($AB$1006:AB1006),$AB$1006:$AQ$1006,0)), HYPERLINK("#",""), HYPERLINK(CONCATENATE("#Metadata!", ADDRESS(INDEX($W$2:$W$1001,MATCH(ROWS($U$2:U435),$U$2:$U$1001,0),0), INDEX($AB$1004:$AQ$1004,1,MATCH(COLUMNS($AB$1006:AB1006),$AB$1006:$AQ$1006,0)))),"Fix")))</f>
        <v>0</v>
      </c>
      <c r="C435" s="5">
        <f>IF(OR(INDEX($V$2:$V$1001,MATCH(ROWS($U$2:U435),$U$2:$U$1001,0),1)&gt;=100000,INDEX($AB$1005:$AQ$1005,1,MATCH(COLUMNS($AB$1006:AC1006),$AB$1006:$AQ$1006,0))&gt;=100000), " ",IF(INDEX($AB$2:$AQ$1001,MATCH(ROWS($U$2:U435),$U$2:$U$1001,0),MATCH(COLUMNS($AB$1006:AC1006),$AB$1006:$AQ$1006,0)), HYPERLINK("#",""), HYPERLINK(CONCATENATE("#Metadata!", ADDRESS(INDEX($W$2:$W$1001,MATCH(ROWS($U$2:U435),$U$2:$U$1001,0),0), INDEX($AB$1004:$AQ$1004,1,MATCH(COLUMNS($AB$1006:AC1006),$AB$1006:$AQ$1006,0)))),"Fix")))</f>
        <v>0</v>
      </c>
      <c r="D435" s="5">
        <f>IF(OR(INDEX($V$2:$V$1001,MATCH(ROWS($U$2:U435),$U$2:$U$1001,0),1)&gt;=100000,INDEX($AB$1005:$AQ$1005,1,MATCH(COLUMNS($AB$1006:AD1006),$AB$1006:$AQ$1006,0))&gt;=100000), " ",IF(INDEX($AB$2:$AQ$1001,MATCH(ROWS($U$2:U435),$U$2:$U$1001,0),MATCH(COLUMNS($AB$1006:AD1006),$AB$1006:$AQ$1006,0)), HYPERLINK("#",""), HYPERLINK(CONCATENATE("#Metadata!", ADDRESS(INDEX($W$2:$W$1001,MATCH(ROWS($U$2:U435),$U$2:$U$1001,0),0), INDEX($AB$1004:$AQ$1004,1,MATCH(COLUMNS($AB$1006:AD1006),$AB$1006:$AQ$1006,0)))),"Fix")))</f>
        <v>0</v>
      </c>
      <c r="E435" s="5">
        <f>IF(OR(INDEX($V$2:$V$1001,MATCH(ROWS($U$2:U435),$U$2:$U$1001,0),1)&gt;=100000,INDEX($AB$1005:$AQ$1005,1,MATCH(COLUMNS($AB$1006:AE1006),$AB$1006:$AQ$1006,0))&gt;=100000), " ",IF(INDEX($AB$2:$AQ$1001,MATCH(ROWS($U$2:U435),$U$2:$U$1001,0),MATCH(COLUMNS($AB$1006:AE1006),$AB$1006:$AQ$1006,0)), HYPERLINK("#",""), HYPERLINK(CONCATENATE("#Metadata!", ADDRESS(INDEX($W$2:$W$1001,MATCH(ROWS($U$2:U435),$U$2:$U$1001,0),0), INDEX($AB$1004:$AQ$1004,1,MATCH(COLUMNS($AB$1006:AE1006),$AB$1006:$AQ$1006,0)))),"Fix")))</f>
        <v>0</v>
      </c>
      <c r="F435" s="5">
        <f>IF(OR(INDEX($V$2:$V$1001,MATCH(ROWS($U$2:U435),$U$2:$U$1001,0),1)&gt;=100000,INDEX($AB$1005:$AQ$1005,1,MATCH(COLUMNS($AB$1006:AF1006),$AB$1006:$AQ$1006,0))&gt;=100000), " ",IF(INDEX($AB$2:$AQ$1001,MATCH(ROWS($U$2:U435),$U$2:$U$1001,0),MATCH(COLUMNS($AB$1006:AF1006),$AB$1006:$AQ$1006,0)), HYPERLINK("#",""), HYPERLINK(CONCATENATE("#Metadata!", ADDRESS(INDEX($W$2:$W$1001,MATCH(ROWS($U$2:U435),$U$2:$U$1001,0),0), INDEX($AB$1004:$AQ$1004,1,MATCH(COLUMNS($AB$1006:AF1006),$AB$1006:$AQ$1006,0)))),"Fix")))</f>
        <v>0</v>
      </c>
      <c r="G435" s="5">
        <f>IF(OR(INDEX($V$2:$V$1001,MATCH(ROWS($U$2:U435),$U$2:$U$1001,0),1)&gt;=100000,INDEX($AB$1005:$AQ$1005,1,MATCH(COLUMNS($AB$1006:AG1006),$AB$1006:$AQ$1006,0))&gt;=100000), " ",IF(INDEX($AB$2:$AQ$1001,MATCH(ROWS($U$2:U435),$U$2:$U$1001,0),MATCH(COLUMNS($AB$1006:AG1006),$AB$1006:$AQ$1006,0)), HYPERLINK("#",""), HYPERLINK(CONCATENATE("#Metadata!", ADDRESS(INDEX($W$2:$W$1001,MATCH(ROWS($U$2:U435),$U$2:$U$1001,0),0), INDEX($AB$1004:$AQ$1004,1,MATCH(COLUMNS($AB$1006:AG1006),$AB$1006:$AQ$1006,0)))),"Fix")))</f>
        <v>0</v>
      </c>
      <c r="H435" s="5">
        <f>IF(OR(INDEX($V$2:$V$1001,MATCH(ROWS($U$2:U435),$U$2:$U$1001,0),1)&gt;=100000,INDEX($AB$1005:$AQ$1005,1,MATCH(COLUMNS($AB$1006:AH1006),$AB$1006:$AQ$1006,0))&gt;=100000), " ",IF(INDEX($AB$2:$AQ$1001,MATCH(ROWS($U$2:U435),$U$2:$U$1001,0),MATCH(COLUMNS($AB$1006:AH1006),$AB$1006:$AQ$1006,0)), HYPERLINK("#",""), HYPERLINK(CONCATENATE("#Metadata!", ADDRESS(INDEX($W$2:$W$1001,MATCH(ROWS($U$2:U435),$U$2:$U$1001,0),0), INDEX($AB$1004:$AQ$1004,1,MATCH(COLUMNS($AB$1006:AH1006),$AB$1006:$AQ$1006,0)))),"Fix")))</f>
        <v>0</v>
      </c>
      <c r="I435" s="5">
        <f>IF(OR(INDEX($V$2:$V$1001,MATCH(ROWS($U$2:U435),$U$2:$U$1001,0),1)&gt;=100000,INDEX($AB$1005:$AQ$1005,1,MATCH(COLUMNS($AB$1006:AI1006),$AB$1006:$AQ$1006,0))&gt;=100000), " ",IF(INDEX($AB$2:$AQ$1001,MATCH(ROWS($U$2:U435),$U$2:$U$1001,0),MATCH(COLUMNS($AB$1006:AI1006),$AB$1006:$AQ$1006,0)), HYPERLINK("#",""), HYPERLINK(CONCATENATE("#Metadata!", ADDRESS(INDEX($W$2:$W$1001,MATCH(ROWS($U$2:U435),$U$2:$U$1001,0),0), INDEX($AB$1004:$AQ$1004,1,MATCH(COLUMNS($AB$1006:AI1006),$AB$1006:$AQ$1006,0)))),"Fix")))</f>
        <v>0</v>
      </c>
      <c r="J435" s="5">
        <f>IF(OR(INDEX($V$2:$V$1001,MATCH(ROWS($U$2:U435),$U$2:$U$1001,0),1)&gt;=100000,INDEX($AB$1005:$AQ$1005,1,MATCH(COLUMNS($AB$1006:AJ1006),$AB$1006:$AQ$1006,0))&gt;=100000), " ",IF(INDEX($AB$2:$AQ$1001,MATCH(ROWS($U$2:U435),$U$2:$U$1001,0),MATCH(COLUMNS($AB$1006:AJ1006),$AB$1006:$AQ$1006,0)), HYPERLINK("#",""), HYPERLINK(CONCATENATE("#Metadata!", ADDRESS(INDEX($W$2:$W$1001,MATCH(ROWS($U$2:U435),$U$2:$U$1001,0),0), INDEX($AB$1004:$AQ$1004,1,MATCH(COLUMNS($AB$1006:AJ1006),$AB$1006:$AQ$1006,0)))),"Fix")))</f>
        <v>0</v>
      </c>
      <c r="K435" s="5">
        <f>IF(OR(INDEX($V$2:$V$1001,MATCH(ROWS($U$2:U435),$U$2:$U$1001,0),1)&gt;=100000,INDEX($AB$1005:$AQ$1005,1,MATCH(COLUMNS($AB$1006:AK1006),$AB$1006:$AQ$1006,0))&gt;=100000), " ",IF(INDEX($AB$2:$AQ$1001,MATCH(ROWS($U$2:U435),$U$2:$U$1001,0),MATCH(COLUMNS($AB$1006:AK1006),$AB$1006:$AQ$1006,0)), HYPERLINK("#",""), HYPERLINK(CONCATENATE("#Metadata!", ADDRESS(INDEX($W$2:$W$1001,MATCH(ROWS($U$2:U435),$U$2:$U$1001,0),0), INDEX($AB$1004:$AQ$1004,1,MATCH(COLUMNS($AB$1006:AK1006),$AB$1006:$AQ$1006,0)))),"Fix")))</f>
        <v>0</v>
      </c>
      <c r="L435" s="5">
        <f>IF(OR(INDEX($V$2:$V$1001,MATCH(ROWS($U$2:U435),$U$2:$U$1001,0),1)&gt;=100000,INDEX($AB$1005:$AQ$1005,1,MATCH(COLUMNS($AB$1006:AL1006),$AB$1006:$AQ$1006,0))&gt;=100000), " ",IF(INDEX($AB$2:$AQ$1001,MATCH(ROWS($U$2:U435),$U$2:$U$1001,0),MATCH(COLUMNS($AB$1006:AL1006),$AB$1006:$AQ$1006,0)), HYPERLINK("#",""), HYPERLINK(CONCATENATE("#Metadata!", ADDRESS(INDEX($W$2:$W$1001,MATCH(ROWS($U$2:U435),$U$2:$U$1001,0),0), INDEX($AB$1004:$AQ$1004,1,MATCH(COLUMNS($AB$1006:AL1006),$AB$1006:$AQ$1006,0)))),"Fix")))</f>
        <v>0</v>
      </c>
      <c r="M435" s="5">
        <f>IF(OR(INDEX($V$2:$V$1001,MATCH(ROWS($U$2:U435),$U$2:$U$1001,0),1)&gt;=100000,INDEX($AB$1005:$AQ$1005,1,MATCH(COLUMNS($AB$1006:AM1006),$AB$1006:$AQ$1006,0))&gt;=100000), " ",IF(INDEX($AB$2:$AQ$1001,MATCH(ROWS($U$2:U435),$U$2:$U$1001,0),MATCH(COLUMNS($AB$1006:AM1006),$AB$1006:$AQ$1006,0)), HYPERLINK("#",""), HYPERLINK(CONCATENATE("#Metadata!", ADDRESS(INDEX($W$2:$W$1001,MATCH(ROWS($U$2:U435),$U$2:$U$1001,0),0), INDEX($AB$1004:$AQ$1004,1,MATCH(COLUMNS($AB$1006:AM1006),$AB$1006:$AQ$1006,0)))),"Fix")))</f>
        <v>0</v>
      </c>
      <c r="N435" s="5">
        <f>IF(OR(INDEX($V$2:$V$1001,MATCH(ROWS($U$2:U435),$U$2:$U$1001,0),1)&gt;=100000,INDEX($AB$1005:$AQ$1005,1,MATCH(COLUMNS($AB$1006:AN1006),$AB$1006:$AQ$1006,0))&gt;=100000), " ",IF(INDEX($AB$2:$AQ$1001,MATCH(ROWS($U$2:U435),$U$2:$U$1001,0),MATCH(COLUMNS($AB$1006:AN1006),$AB$1006:$AQ$1006,0)), HYPERLINK("#",""), HYPERLINK(CONCATENATE("#Metadata!", ADDRESS(INDEX($W$2:$W$1001,MATCH(ROWS($U$2:U435),$U$2:$U$1001,0),0), INDEX($AB$1004:$AQ$1004,1,MATCH(COLUMNS($AB$1006:AN1006),$AB$1006:$AQ$1006,0)))),"Fix")))</f>
        <v>0</v>
      </c>
      <c r="O435" s="5">
        <f>IF(OR(INDEX($V$2:$V$1001,MATCH(ROWS($U$2:U435),$U$2:$U$1001,0),1)&gt;=100000,INDEX($AB$1005:$AQ$1005,1,MATCH(COLUMNS($AB$1006:AO1006),$AB$1006:$AQ$1006,0))&gt;=100000), " ",IF(INDEX($AB$2:$AQ$1001,MATCH(ROWS($U$2:U435),$U$2:$U$1001,0),MATCH(COLUMNS($AB$1006:AO1006),$AB$1006:$AQ$1006,0)), HYPERLINK("#",""), HYPERLINK(CONCATENATE("#Metadata!", ADDRESS(INDEX($W$2:$W$1001,MATCH(ROWS($U$2:U435),$U$2:$U$1001,0),0), INDEX($AB$1004:$AQ$1004,1,MATCH(COLUMNS($AB$1006:AO1006),$AB$1006:$AQ$1006,0)))),"Fix")))</f>
        <v>0</v>
      </c>
      <c r="P435" s="5">
        <f>IF(OR(INDEX($V$2:$V$1001,MATCH(ROWS($U$2:U435),$U$2:$U$1001,0),1)&gt;=100000,INDEX($AB$1005:$AQ$1005,1,MATCH(COLUMNS($AB$1006:AP1006),$AB$1006:$AQ$1006,0))&gt;=100000), " ",IF(INDEX($AB$2:$AQ$1001,MATCH(ROWS($U$2:U435),$U$2:$U$1001,0),MATCH(COLUMNS($AB$1006:AP1006),$AB$1006:$AQ$1006,0)), HYPERLINK("#",""), HYPERLINK(CONCATENATE("#Metadata!", ADDRESS(INDEX($W$2:$W$1001,MATCH(ROWS($U$2:U435),$U$2:$U$1001,0),0), INDEX($AB$1004:$AQ$1004,1,MATCH(COLUMNS($AB$1006:AP1006),$AB$1006:$AQ$1006,0)))),"Fix")))</f>
        <v>0</v>
      </c>
      <c r="Q435" s="5">
        <f>IF(OR(INDEX($V$2:$V$1001,MATCH(ROWS($U$2:U435),$U$2:$U$1001,0),1)&gt;=100000,INDEX($AB$1005:$AQ$1005,1,MATCH(COLUMNS($AB$1006:AQ1006),$AB$1006:$AQ$1006,0))&gt;=100000), " ",IF(INDEX($AB$2:$AQ$1001,MATCH(ROWS($U$2:U435),$U$2:$U$1001,0),MATCH(COLUMNS($AB$1006:AQ1006),$AB$1006:$AQ$1006,0)), HYPERLINK("#",""), HYPERLINK(CONCATENATE("#Metadata!", ADDRESS(INDEX($W$2:$W$1001,MATCH(ROWS($U$2:U435),$U$2:$U$1001,0),0), INDEX($AB$1004:$AQ$1004,1,MATCH(COLUMNS($AB$1006:AQ1006),$AB$1006:$AQ$1006,0)))),"Fix")))</f>
        <v>0</v>
      </c>
      <c r="U435">
        <v>0</v>
      </c>
      <c r="V435">
        <v>0</v>
      </c>
      <c r="W435">
        <v>0</v>
      </c>
      <c r="X435">
        <f>IF(Y435,TRUE,AND(AB435:AQ435))</f>
        <v>0</v>
      </c>
      <c r="Y435">
        <f>COUNTBLANK(Metadata!B435:Q435)=COLUMNS(Metadata!B435:Q435)</f>
        <v>0</v>
      </c>
      <c r="Z435">
        <v>0</v>
      </c>
      <c r="AB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AC435">
        <f>AND(IF(Metadata!C435="",FALSE,TRUE),exact(Metadata!C435,"urban biome"))</f>
        <v>0</v>
      </c>
      <c r="AD435">
        <f>AND(IF(Metadata!D435="",FALSE,TRUE),exact(Metadata!D435,"human-associated habitat"))</f>
        <v>0</v>
      </c>
      <c r="AE435">
        <f>AND(IF(Metadata!E435="",FALSE,TRUE),OR(exact(Metadata!E435,"human-associated"),exact(Metadata!E435,"human-skin"),exact(Metadata!E435,"human-oral"),exact(Metadata!E435,"human-gut"),exact(Metadata!E435,"human-vaginal")))</f>
        <v>0</v>
      </c>
      <c r="AF435">
        <f>AND(IF(Metadata!F435="",FALSE,ISNUMBER(VALUE(Metadata!F435))),Metadata!F435&gt;0)</f>
        <v>0</v>
      </c>
      <c r="AG435">
        <f>AND(IF(Metadata!G435="",FALSE,TRUE),exact(Metadata!G435,"years"))</f>
        <v>0</v>
      </c>
      <c r="AH435">
        <f>OR(AND(IF(Metadata!H435="",FALSE,TRUE),OR(exact(Metadata!H435,"not applicable"),exact(Metadata!H435,"not collected"),exact(Metadata!H435,"not provided"),exact(Metadata!H435,"restricted access"))),AND(IF(Metadata!H435="",FALSE,ISNUMBER(VALUE(Metadata!H435))),Metadata!H435&gt;0))</f>
        <v>0</v>
      </c>
      <c r="AI435">
        <f>AND(IF(Metadata!I435="",FALSE,TRUE),exact(Metadata!I435,"human"))</f>
        <v>0</v>
      </c>
      <c r="AJ435">
        <f>AND(IF(Metadata!J435="",FALSE,ISNUMBER(VALUE(Metadata!J435))),Metadata!J435&gt;0)</f>
        <v>0</v>
      </c>
      <c r="AK435">
        <f>AND(IF(Metadata!K435="",FALSE,TRUE),exact(Metadata!K435,"cm"))</f>
        <v>0</v>
      </c>
      <c r="AL435">
        <f>AND(IF(Metadata!L435="",FALSE,TRUE),exact(Metadata!L435,"Homo sapiens"))</f>
        <v>0</v>
      </c>
      <c r="AM435">
        <f>AND(IF(Metadata!M435="",FALSE,TRUE),exact(Metadata!M435,"9606"))</f>
        <v>0</v>
      </c>
      <c r="AN435">
        <f>AND(IF(Metadata!N435="",FALSE,ISNUMBER(VALUE(Metadata!N435))),Metadata!N435&gt;0)</f>
        <v>0</v>
      </c>
      <c r="AO435">
        <f>AND(IF(Metadata!O435="",FALSE,TRUE),exact(Metadata!O435,"kg"))</f>
        <v>0</v>
      </c>
      <c r="AP435">
        <f>OR(AND(IF(Metadata!P435="",FALSE,TRUE),exact(Metadata!P435,"not provided")),IF(Metadata!P435="",FALSE,TRUE))</f>
        <v>0</v>
      </c>
      <c r="AQ435">
        <f>OR(AND(IF(Metadata!Q435="",FALSE,TRUE),exact(Metadata!Q435,"not provided")),IF(Metadata!Q435="",FALSE,TRUE))</f>
        <v>0</v>
      </c>
    </row>
    <row r="436" spans="1:43">
      <c r="A436" s="4">
        <f>IF(B436=" "," ",HYPERLINK(CONCATENATE("#metadata!",ADDRESS(INDEX($W$2:$W$1001,MATCH(ROWS($U$2:U436),$U$2:$U$1001,0),0),2)),INDEX($Z$2:$Z$1001,MATCH(ROWS($U$2:U436),$U$2:$U$1001,0),0)))</f>
        <v>0</v>
      </c>
      <c r="B436" s="5">
        <f>IF(OR(INDEX($V$2:$V$1001,MATCH(ROWS($U$2:U436),$U$2:$U$1001,0),1)&gt;=100000,INDEX($AB$1005:$AQ$1005,1,MATCH(COLUMNS($AB$1006:AB1006),$AB$1006:$AQ$1006,0))&gt;=100000), " ",IF(INDEX($AB$2:$AQ$1001,MATCH(ROWS($U$2:U436),$U$2:$U$1001,0),MATCH(COLUMNS($AB$1006:AB1006),$AB$1006:$AQ$1006,0)), HYPERLINK("#",""), HYPERLINK(CONCATENATE("#Metadata!", ADDRESS(INDEX($W$2:$W$1001,MATCH(ROWS($U$2:U436),$U$2:$U$1001,0),0), INDEX($AB$1004:$AQ$1004,1,MATCH(COLUMNS($AB$1006:AB1006),$AB$1006:$AQ$1006,0)))),"Fix")))</f>
        <v>0</v>
      </c>
      <c r="C436" s="5">
        <f>IF(OR(INDEX($V$2:$V$1001,MATCH(ROWS($U$2:U436),$U$2:$U$1001,0),1)&gt;=100000,INDEX($AB$1005:$AQ$1005,1,MATCH(COLUMNS($AB$1006:AC1006),$AB$1006:$AQ$1006,0))&gt;=100000), " ",IF(INDEX($AB$2:$AQ$1001,MATCH(ROWS($U$2:U436),$U$2:$U$1001,0),MATCH(COLUMNS($AB$1006:AC1006),$AB$1006:$AQ$1006,0)), HYPERLINK("#",""), HYPERLINK(CONCATENATE("#Metadata!", ADDRESS(INDEX($W$2:$W$1001,MATCH(ROWS($U$2:U436),$U$2:$U$1001,0),0), INDEX($AB$1004:$AQ$1004,1,MATCH(COLUMNS($AB$1006:AC1006),$AB$1006:$AQ$1006,0)))),"Fix")))</f>
        <v>0</v>
      </c>
      <c r="D436" s="5">
        <f>IF(OR(INDEX($V$2:$V$1001,MATCH(ROWS($U$2:U436),$U$2:$U$1001,0),1)&gt;=100000,INDEX($AB$1005:$AQ$1005,1,MATCH(COLUMNS($AB$1006:AD1006),$AB$1006:$AQ$1006,0))&gt;=100000), " ",IF(INDEX($AB$2:$AQ$1001,MATCH(ROWS($U$2:U436),$U$2:$U$1001,0),MATCH(COLUMNS($AB$1006:AD1006),$AB$1006:$AQ$1006,0)), HYPERLINK("#",""), HYPERLINK(CONCATENATE("#Metadata!", ADDRESS(INDEX($W$2:$W$1001,MATCH(ROWS($U$2:U436),$U$2:$U$1001,0),0), INDEX($AB$1004:$AQ$1004,1,MATCH(COLUMNS($AB$1006:AD1006),$AB$1006:$AQ$1006,0)))),"Fix")))</f>
        <v>0</v>
      </c>
      <c r="E436" s="5">
        <f>IF(OR(INDEX($V$2:$V$1001,MATCH(ROWS($U$2:U436),$U$2:$U$1001,0),1)&gt;=100000,INDEX($AB$1005:$AQ$1005,1,MATCH(COLUMNS($AB$1006:AE1006),$AB$1006:$AQ$1006,0))&gt;=100000), " ",IF(INDEX($AB$2:$AQ$1001,MATCH(ROWS($U$2:U436),$U$2:$U$1001,0),MATCH(COLUMNS($AB$1006:AE1006),$AB$1006:$AQ$1006,0)), HYPERLINK("#",""), HYPERLINK(CONCATENATE("#Metadata!", ADDRESS(INDEX($W$2:$W$1001,MATCH(ROWS($U$2:U436),$U$2:$U$1001,0),0), INDEX($AB$1004:$AQ$1004,1,MATCH(COLUMNS($AB$1006:AE1006),$AB$1006:$AQ$1006,0)))),"Fix")))</f>
        <v>0</v>
      </c>
      <c r="F436" s="5">
        <f>IF(OR(INDEX($V$2:$V$1001,MATCH(ROWS($U$2:U436),$U$2:$U$1001,0),1)&gt;=100000,INDEX($AB$1005:$AQ$1005,1,MATCH(COLUMNS($AB$1006:AF1006),$AB$1006:$AQ$1006,0))&gt;=100000), " ",IF(INDEX($AB$2:$AQ$1001,MATCH(ROWS($U$2:U436),$U$2:$U$1001,0),MATCH(COLUMNS($AB$1006:AF1006),$AB$1006:$AQ$1006,0)), HYPERLINK("#",""), HYPERLINK(CONCATENATE("#Metadata!", ADDRESS(INDEX($W$2:$W$1001,MATCH(ROWS($U$2:U436),$U$2:$U$1001,0),0), INDEX($AB$1004:$AQ$1004,1,MATCH(COLUMNS($AB$1006:AF1006),$AB$1006:$AQ$1006,0)))),"Fix")))</f>
        <v>0</v>
      </c>
      <c r="G436" s="5">
        <f>IF(OR(INDEX($V$2:$V$1001,MATCH(ROWS($U$2:U436),$U$2:$U$1001,0),1)&gt;=100000,INDEX($AB$1005:$AQ$1005,1,MATCH(COLUMNS($AB$1006:AG1006),$AB$1006:$AQ$1006,0))&gt;=100000), " ",IF(INDEX($AB$2:$AQ$1001,MATCH(ROWS($U$2:U436),$U$2:$U$1001,0),MATCH(COLUMNS($AB$1006:AG1006),$AB$1006:$AQ$1006,0)), HYPERLINK("#",""), HYPERLINK(CONCATENATE("#Metadata!", ADDRESS(INDEX($W$2:$W$1001,MATCH(ROWS($U$2:U436),$U$2:$U$1001,0),0), INDEX($AB$1004:$AQ$1004,1,MATCH(COLUMNS($AB$1006:AG1006),$AB$1006:$AQ$1006,0)))),"Fix")))</f>
        <v>0</v>
      </c>
      <c r="H436" s="5">
        <f>IF(OR(INDEX($V$2:$V$1001,MATCH(ROWS($U$2:U436),$U$2:$U$1001,0),1)&gt;=100000,INDEX($AB$1005:$AQ$1005,1,MATCH(COLUMNS($AB$1006:AH1006),$AB$1006:$AQ$1006,0))&gt;=100000), " ",IF(INDEX($AB$2:$AQ$1001,MATCH(ROWS($U$2:U436),$U$2:$U$1001,0),MATCH(COLUMNS($AB$1006:AH1006),$AB$1006:$AQ$1006,0)), HYPERLINK("#",""), HYPERLINK(CONCATENATE("#Metadata!", ADDRESS(INDEX($W$2:$W$1001,MATCH(ROWS($U$2:U436),$U$2:$U$1001,0),0), INDEX($AB$1004:$AQ$1004,1,MATCH(COLUMNS($AB$1006:AH1006),$AB$1006:$AQ$1006,0)))),"Fix")))</f>
        <v>0</v>
      </c>
      <c r="I436" s="5">
        <f>IF(OR(INDEX($V$2:$V$1001,MATCH(ROWS($U$2:U436),$U$2:$U$1001,0),1)&gt;=100000,INDEX($AB$1005:$AQ$1005,1,MATCH(COLUMNS($AB$1006:AI1006),$AB$1006:$AQ$1006,0))&gt;=100000), " ",IF(INDEX($AB$2:$AQ$1001,MATCH(ROWS($U$2:U436),$U$2:$U$1001,0),MATCH(COLUMNS($AB$1006:AI1006),$AB$1006:$AQ$1006,0)), HYPERLINK("#",""), HYPERLINK(CONCATENATE("#Metadata!", ADDRESS(INDEX($W$2:$W$1001,MATCH(ROWS($U$2:U436),$U$2:$U$1001,0),0), INDEX($AB$1004:$AQ$1004,1,MATCH(COLUMNS($AB$1006:AI1006),$AB$1006:$AQ$1006,0)))),"Fix")))</f>
        <v>0</v>
      </c>
      <c r="J436" s="5">
        <f>IF(OR(INDEX($V$2:$V$1001,MATCH(ROWS($U$2:U436),$U$2:$U$1001,0),1)&gt;=100000,INDEX($AB$1005:$AQ$1005,1,MATCH(COLUMNS($AB$1006:AJ1006),$AB$1006:$AQ$1006,0))&gt;=100000), " ",IF(INDEX($AB$2:$AQ$1001,MATCH(ROWS($U$2:U436),$U$2:$U$1001,0),MATCH(COLUMNS($AB$1006:AJ1006),$AB$1006:$AQ$1006,0)), HYPERLINK("#",""), HYPERLINK(CONCATENATE("#Metadata!", ADDRESS(INDEX($W$2:$W$1001,MATCH(ROWS($U$2:U436),$U$2:$U$1001,0),0), INDEX($AB$1004:$AQ$1004,1,MATCH(COLUMNS($AB$1006:AJ1006),$AB$1006:$AQ$1006,0)))),"Fix")))</f>
        <v>0</v>
      </c>
      <c r="K436" s="5">
        <f>IF(OR(INDEX($V$2:$V$1001,MATCH(ROWS($U$2:U436),$U$2:$U$1001,0),1)&gt;=100000,INDEX($AB$1005:$AQ$1005,1,MATCH(COLUMNS($AB$1006:AK1006),$AB$1006:$AQ$1006,0))&gt;=100000), " ",IF(INDEX($AB$2:$AQ$1001,MATCH(ROWS($U$2:U436),$U$2:$U$1001,0),MATCH(COLUMNS($AB$1006:AK1006),$AB$1006:$AQ$1006,0)), HYPERLINK("#",""), HYPERLINK(CONCATENATE("#Metadata!", ADDRESS(INDEX($W$2:$W$1001,MATCH(ROWS($U$2:U436),$U$2:$U$1001,0),0), INDEX($AB$1004:$AQ$1004,1,MATCH(COLUMNS($AB$1006:AK1006),$AB$1006:$AQ$1006,0)))),"Fix")))</f>
        <v>0</v>
      </c>
      <c r="L436" s="5">
        <f>IF(OR(INDEX($V$2:$V$1001,MATCH(ROWS($U$2:U436),$U$2:$U$1001,0),1)&gt;=100000,INDEX($AB$1005:$AQ$1005,1,MATCH(COLUMNS($AB$1006:AL1006),$AB$1006:$AQ$1006,0))&gt;=100000), " ",IF(INDEX($AB$2:$AQ$1001,MATCH(ROWS($U$2:U436),$U$2:$U$1001,0),MATCH(COLUMNS($AB$1006:AL1006),$AB$1006:$AQ$1006,0)), HYPERLINK("#",""), HYPERLINK(CONCATENATE("#Metadata!", ADDRESS(INDEX($W$2:$W$1001,MATCH(ROWS($U$2:U436),$U$2:$U$1001,0),0), INDEX($AB$1004:$AQ$1004,1,MATCH(COLUMNS($AB$1006:AL1006),$AB$1006:$AQ$1006,0)))),"Fix")))</f>
        <v>0</v>
      </c>
      <c r="M436" s="5">
        <f>IF(OR(INDEX($V$2:$V$1001,MATCH(ROWS($U$2:U436),$U$2:$U$1001,0),1)&gt;=100000,INDEX($AB$1005:$AQ$1005,1,MATCH(COLUMNS($AB$1006:AM1006),$AB$1006:$AQ$1006,0))&gt;=100000), " ",IF(INDEX($AB$2:$AQ$1001,MATCH(ROWS($U$2:U436),$U$2:$U$1001,0),MATCH(COLUMNS($AB$1006:AM1006),$AB$1006:$AQ$1006,0)), HYPERLINK("#",""), HYPERLINK(CONCATENATE("#Metadata!", ADDRESS(INDEX($W$2:$W$1001,MATCH(ROWS($U$2:U436),$U$2:$U$1001,0),0), INDEX($AB$1004:$AQ$1004,1,MATCH(COLUMNS($AB$1006:AM1006),$AB$1006:$AQ$1006,0)))),"Fix")))</f>
        <v>0</v>
      </c>
      <c r="N436" s="5">
        <f>IF(OR(INDEX($V$2:$V$1001,MATCH(ROWS($U$2:U436),$U$2:$U$1001,0),1)&gt;=100000,INDEX($AB$1005:$AQ$1005,1,MATCH(COLUMNS($AB$1006:AN1006),$AB$1006:$AQ$1006,0))&gt;=100000), " ",IF(INDEX($AB$2:$AQ$1001,MATCH(ROWS($U$2:U436),$U$2:$U$1001,0),MATCH(COLUMNS($AB$1006:AN1006),$AB$1006:$AQ$1006,0)), HYPERLINK("#",""), HYPERLINK(CONCATENATE("#Metadata!", ADDRESS(INDEX($W$2:$W$1001,MATCH(ROWS($U$2:U436),$U$2:$U$1001,0),0), INDEX($AB$1004:$AQ$1004,1,MATCH(COLUMNS($AB$1006:AN1006),$AB$1006:$AQ$1006,0)))),"Fix")))</f>
        <v>0</v>
      </c>
      <c r="O436" s="5">
        <f>IF(OR(INDEX($V$2:$V$1001,MATCH(ROWS($U$2:U436),$U$2:$U$1001,0),1)&gt;=100000,INDEX($AB$1005:$AQ$1005,1,MATCH(COLUMNS($AB$1006:AO1006),$AB$1006:$AQ$1006,0))&gt;=100000), " ",IF(INDEX($AB$2:$AQ$1001,MATCH(ROWS($U$2:U436),$U$2:$U$1001,0),MATCH(COLUMNS($AB$1006:AO1006),$AB$1006:$AQ$1006,0)), HYPERLINK("#",""), HYPERLINK(CONCATENATE("#Metadata!", ADDRESS(INDEX($W$2:$W$1001,MATCH(ROWS($U$2:U436),$U$2:$U$1001,0),0), INDEX($AB$1004:$AQ$1004,1,MATCH(COLUMNS($AB$1006:AO1006),$AB$1006:$AQ$1006,0)))),"Fix")))</f>
        <v>0</v>
      </c>
      <c r="P436" s="5">
        <f>IF(OR(INDEX($V$2:$V$1001,MATCH(ROWS($U$2:U436),$U$2:$U$1001,0),1)&gt;=100000,INDEX($AB$1005:$AQ$1005,1,MATCH(COLUMNS($AB$1006:AP1006),$AB$1006:$AQ$1006,0))&gt;=100000), " ",IF(INDEX($AB$2:$AQ$1001,MATCH(ROWS($U$2:U436),$U$2:$U$1001,0),MATCH(COLUMNS($AB$1006:AP1006),$AB$1006:$AQ$1006,0)), HYPERLINK("#",""), HYPERLINK(CONCATENATE("#Metadata!", ADDRESS(INDEX($W$2:$W$1001,MATCH(ROWS($U$2:U436),$U$2:$U$1001,0),0), INDEX($AB$1004:$AQ$1004,1,MATCH(COLUMNS($AB$1006:AP1006),$AB$1006:$AQ$1006,0)))),"Fix")))</f>
        <v>0</v>
      </c>
      <c r="Q436" s="5">
        <f>IF(OR(INDEX($V$2:$V$1001,MATCH(ROWS($U$2:U436),$U$2:$U$1001,0),1)&gt;=100000,INDEX($AB$1005:$AQ$1005,1,MATCH(COLUMNS($AB$1006:AQ1006),$AB$1006:$AQ$1006,0))&gt;=100000), " ",IF(INDEX($AB$2:$AQ$1001,MATCH(ROWS($U$2:U436),$U$2:$U$1001,0),MATCH(COLUMNS($AB$1006:AQ1006),$AB$1006:$AQ$1006,0)), HYPERLINK("#",""), HYPERLINK(CONCATENATE("#Metadata!", ADDRESS(INDEX($W$2:$W$1001,MATCH(ROWS($U$2:U436),$U$2:$U$1001,0),0), INDEX($AB$1004:$AQ$1004,1,MATCH(COLUMNS($AB$1006:AQ1006),$AB$1006:$AQ$1006,0)))),"Fix")))</f>
        <v>0</v>
      </c>
      <c r="U436">
        <v>0</v>
      </c>
      <c r="V436">
        <v>0</v>
      </c>
      <c r="W436">
        <v>0</v>
      </c>
      <c r="X436">
        <f>IF(Y436,TRUE,AND(AB436:AQ436))</f>
        <v>0</v>
      </c>
      <c r="Y436">
        <f>COUNTBLANK(Metadata!B436:Q436)=COLUMNS(Metadata!B436:Q436)</f>
        <v>0</v>
      </c>
      <c r="Z436">
        <v>0</v>
      </c>
      <c r="AB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AC436">
        <f>AND(IF(Metadata!C436="",FALSE,TRUE),exact(Metadata!C436,"urban biome"))</f>
        <v>0</v>
      </c>
      <c r="AD436">
        <f>AND(IF(Metadata!D436="",FALSE,TRUE),exact(Metadata!D436,"human-associated habitat"))</f>
        <v>0</v>
      </c>
      <c r="AE436">
        <f>AND(IF(Metadata!E436="",FALSE,TRUE),OR(exact(Metadata!E436,"human-associated"),exact(Metadata!E436,"human-skin"),exact(Metadata!E436,"human-oral"),exact(Metadata!E436,"human-gut"),exact(Metadata!E436,"human-vaginal")))</f>
        <v>0</v>
      </c>
      <c r="AF436">
        <f>AND(IF(Metadata!F436="",FALSE,ISNUMBER(VALUE(Metadata!F436))),Metadata!F436&gt;0)</f>
        <v>0</v>
      </c>
      <c r="AG436">
        <f>AND(IF(Metadata!G436="",FALSE,TRUE),exact(Metadata!G436,"years"))</f>
        <v>0</v>
      </c>
      <c r="AH436">
        <f>OR(AND(IF(Metadata!H436="",FALSE,TRUE),OR(exact(Metadata!H436,"not applicable"),exact(Metadata!H436,"not collected"),exact(Metadata!H436,"not provided"),exact(Metadata!H436,"restricted access"))),AND(IF(Metadata!H436="",FALSE,ISNUMBER(VALUE(Metadata!H436))),Metadata!H436&gt;0))</f>
        <v>0</v>
      </c>
      <c r="AI436">
        <f>AND(IF(Metadata!I436="",FALSE,TRUE),exact(Metadata!I436,"human"))</f>
        <v>0</v>
      </c>
      <c r="AJ436">
        <f>AND(IF(Metadata!J436="",FALSE,ISNUMBER(VALUE(Metadata!J436))),Metadata!J436&gt;0)</f>
        <v>0</v>
      </c>
      <c r="AK436">
        <f>AND(IF(Metadata!K436="",FALSE,TRUE),exact(Metadata!K436,"cm"))</f>
        <v>0</v>
      </c>
      <c r="AL436">
        <f>AND(IF(Metadata!L436="",FALSE,TRUE),exact(Metadata!L436,"Homo sapiens"))</f>
        <v>0</v>
      </c>
      <c r="AM436">
        <f>AND(IF(Metadata!M436="",FALSE,TRUE),exact(Metadata!M436,"9606"))</f>
        <v>0</v>
      </c>
      <c r="AN436">
        <f>AND(IF(Metadata!N436="",FALSE,ISNUMBER(VALUE(Metadata!N436))),Metadata!N436&gt;0)</f>
        <v>0</v>
      </c>
      <c r="AO436">
        <f>AND(IF(Metadata!O436="",FALSE,TRUE),exact(Metadata!O436,"kg"))</f>
        <v>0</v>
      </c>
      <c r="AP436">
        <f>OR(AND(IF(Metadata!P436="",FALSE,TRUE),exact(Metadata!P436,"not provided")),IF(Metadata!P436="",FALSE,TRUE))</f>
        <v>0</v>
      </c>
      <c r="AQ436">
        <f>OR(AND(IF(Metadata!Q436="",FALSE,TRUE),exact(Metadata!Q436,"not provided")),IF(Metadata!Q436="",FALSE,TRUE))</f>
        <v>0</v>
      </c>
    </row>
    <row r="437" spans="1:43">
      <c r="A437" s="4">
        <f>IF(B437=" "," ",HYPERLINK(CONCATENATE("#metadata!",ADDRESS(INDEX($W$2:$W$1001,MATCH(ROWS($U$2:U437),$U$2:$U$1001,0),0),2)),INDEX($Z$2:$Z$1001,MATCH(ROWS($U$2:U437),$U$2:$U$1001,0),0)))</f>
        <v>0</v>
      </c>
      <c r="B437" s="5">
        <f>IF(OR(INDEX($V$2:$V$1001,MATCH(ROWS($U$2:U437),$U$2:$U$1001,0),1)&gt;=100000,INDEX($AB$1005:$AQ$1005,1,MATCH(COLUMNS($AB$1006:AB1006),$AB$1006:$AQ$1006,0))&gt;=100000), " ",IF(INDEX($AB$2:$AQ$1001,MATCH(ROWS($U$2:U437),$U$2:$U$1001,0),MATCH(COLUMNS($AB$1006:AB1006),$AB$1006:$AQ$1006,0)), HYPERLINK("#",""), HYPERLINK(CONCATENATE("#Metadata!", ADDRESS(INDEX($W$2:$W$1001,MATCH(ROWS($U$2:U437),$U$2:$U$1001,0),0), INDEX($AB$1004:$AQ$1004,1,MATCH(COLUMNS($AB$1006:AB1006),$AB$1006:$AQ$1006,0)))),"Fix")))</f>
        <v>0</v>
      </c>
      <c r="C437" s="5">
        <f>IF(OR(INDEX($V$2:$V$1001,MATCH(ROWS($U$2:U437),$U$2:$U$1001,0),1)&gt;=100000,INDEX($AB$1005:$AQ$1005,1,MATCH(COLUMNS($AB$1006:AC1006),$AB$1006:$AQ$1006,0))&gt;=100000), " ",IF(INDEX($AB$2:$AQ$1001,MATCH(ROWS($U$2:U437),$U$2:$U$1001,0),MATCH(COLUMNS($AB$1006:AC1006),$AB$1006:$AQ$1006,0)), HYPERLINK("#",""), HYPERLINK(CONCATENATE("#Metadata!", ADDRESS(INDEX($W$2:$W$1001,MATCH(ROWS($U$2:U437),$U$2:$U$1001,0),0), INDEX($AB$1004:$AQ$1004,1,MATCH(COLUMNS($AB$1006:AC1006),$AB$1006:$AQ$1006,0)))),"Fix")))</f>
        <v>0</v>
      </c>
      <c r="D437" s="5">
        <f>IF(OR(INDEX($V$2:$V$1001,MATCH(ROWS($U$2:U437),$U$2:$U$1001,0),1)&gt;=100000,INDEX($AB$1005:$AQ$1005,1,MATCH(COLUMNS($AB$1006:AD1006),$AB$1006:$AQ$1006,0))&gt;=100000), " ",IF(INDEX($AB$2:$AQ$1001,MATCH(ROWS($U$2:U437),$U$2:$U$1001,0),MATCH(COLUMNS($AB$1006:AD1006),$AB$1006:$AQ$1006,0)), HYPERLINK("#",""), HYPERLINK(CONCATENATE("#Metadata!", ADDRESS(INDEX($W$2:$W$1001,MATCH(ROWS($U$2:U437),$U$2:$U$1001,0),0), INDEX($AB$1004:$AQ$1004,1,MATCH(COLUMNS($AB$1006:AD1006),$AB$1006:$AQ$1006,0)))),"Fix")))</f>
        <v>0</v>
      </c>
      <c r="E437" s="5">
        <f>IF(OR(INDEX($V$2:$V$1001,MATCH(ROWS($U$2:U437),$U$2:$U$1001,0),1)&gt;=100000,INDEX($AB$1005:$AQ$1005,1,MATCH(COLUMNS($AB$1006:AE1006),$AB$1006:$AQ$1006,0))&gt;=100000), " ",IF(INDEX($AB$2:$AQ$1001,MATCH(ROWS($U$2:U437),$U$2:$U$1001,0),MATCH(COLUMNS($AB$1006:AE1006),$AB$1006:$AQ$1006,0)), HYPERLINK("#",""), HYPERLINK(CONCATENATE("#Metadata!", ADDRESS(INDEX($W$2:$W$1001,MATCH(ROWS($U$2:U437),$U$2:$U$1001,0),0), INDEX($AB$1004:$AQ$1004,1,MATCH(COLUMNS($AB$1006:AE1006),$AB$1006:$AQ$1006,0)))),"Fix")))</f>
        <v>0</v>
      </c>
      <c r="F437" s="5">
        <f>IF(OR(INDEX($V$2:$V$1001,MATCH(ROWS($U$2:U437),$U$2:$U$1001,0),1)&gt;=100000,INDEX($AB$1005:$AQ$1005,1,MATCH(COLUMNS($AB$1006:AF1006),$AB$1006:$AQ$1006,0))&gt;=100000), " ",IF(INDEX($AB$2:$AQ$1001,MATCH(ROWS($U$2:U437),$U$2:$U$1001,0),MATCH(COLUMNS($AB$1006:AF1006),$AB$1006:$AQ$1006,0)), HYPERLINK("#",""), HYPERLINK(CONCATENATE("#Metadata!", ADDRESS(INDEX($W$2:$W$1001,MATCH(ROWS($U$2:U437),$U$2:$U$1001,0),0), INDEX($AB$1004:$AQ$1004,1,MATCH(COLUMNS($AB$1006:AF1006),$AB$1006:$AQ$1006,0)))),"Fix")))</f>
        <v>0</v>
      </c>
      <c r="G437" s="5">
        <f>IF(OR(INDEX($V$2:$V$1001,MATCH(ROWS($U$2:U437),$U$2:$U$1001,0),1)&gt;=100000,INDEX($AB$1005:$AQ$1005,1,MATCH(COLUMNS($AB$1006:AG1006),$AB$1006:$AQ$1006,0))&gt;=100000), " ",IF(INDEX($AB$2:$AQ$1001,MATCH(ROWS($U$2:U437),$U$2:$U$1001,0),MATCH(COLUMNS($AB$1006:AG1006),$AB$1006:$AQ$1006,0)), HYPERLINK("#",""), HYPERLINK(CONCATENATE("#Metadata!", ADDRESS(INDEX($W$2:$W$1001,MATCH(ROWS($U$2:U437),$U$2:$U$1001,0),0), INDEX($AB$1004:$AQ$1004,1,MATCH(COLUMNS($AB$1006:AG1006),$AB$1006:$AQ$1006,0)))),"Fix")))</f>
        <v>0</v>
      </c>
      <c r="H437" s="5">
        <f>IF(OR(INDEX($V$2:$V$1001,MATCH(ROWS($U$2:U437),$U$2:$U$1001,0),1)&gt;=100000,INDEX($AB$1005:$AQ$1005,1,MATCH(COLUMNS($AB$1006:AH1006),$AB$1006:$AQ$1006,0))&gt;=100000), " ",IF(INDEX($AB$2:$AQ$1001,MATCH(ROWS($U$2:U437),$U$2:$U$1001,0),MATCH(COLUMNS($AB$1006:AH1006),$AB$1006:$AQ$1006,0)), HYPERLINK("#",""), HYPERLINK(CONCATENATE("#Metadata!", ADDRESS(INDEX($W$2:$W$1001,MATCH(ROWS($U$2:U437),$U$2:$U$1001,0),0), INDEX($AB$1004:$AQ$1004,1,MATCH(COLUMNS($AB$1006:AH1006),$AB$1006:$AQ$1006,0)))),"Fix")))</f>
        <v>0</v>
      </c>
      <c r="I437" s="5">
        <f>IF(OR(INDEX($V$2:$V$1001,MATCH(ROWS($U$2:U437),$U$2:$U$1001,0),1)&gt;=100000,INDEX($AB$1005:$AQ$1005,1,MATCH(COLUMNS($AB$1006:AI1006),$AB$1006:$AQ$1006,0))&gt;=100000), " ",IF(INDEX($AB$2:$AQ$1001,MATCH(ROWS($U$2:U437),$U$2:$U$1001,0),MATCH(COLUMNS($AB$1006:AI1006),$AB$1006:$AQ$1006,0)), HYPERLINK("#",""), HYPERLINK(CONCATENATE("#Metadata!", ADDRESS(INDEX($W$2:$W$1001,MATCH(ROWS($U$2:U437),$U$2:$U$1001,0),0), INDEX($AB$1004:$AQ$1004,1,MATCH(COLUMNS($AB$1006:AI1006),$AB$1006:$AQ$1006,0)))),"Fix")))</f>
        <v>0</v>
      </c>
      <c r="J437" s="5">
        <f>IF(OR(INDEX($V$2:$V$1001,MATCH(ROWS($U$2:U437),$U$2:$U$1001,0),1)&gt;=100000,INDEX($AB$1005:$AQ$1005,1,MATCH(COLUMNS($AB$1006:AJ1006),$AB$1006:$AQ$1006,0))&gt;=100000), " ",IF(INDEX($AB$2:$AQ$1001,MATCH(ROWS($U$2:U437),$U$2:$U$1001,0),MATCH(COLUMNS($AB$1006:AJ1006),$AB$1006:$AQ$1006,0)), HYPERLINK("#",""), HYPERLINK(CONCATENATE("#Metadata!", ADDRESS(INDEX($W$2:$W$1001,MATCH(ROWS($U$2:U437),$U$2:$U$1001,0),0), INDEX($AB$1004:$AQ$1004,1,MATCH(COLUMNS($AB$1006:AJ1006),$AB$1006:$AQ$1006,0)))),"Fix")))</f>
        <v>0</v>
      </c>
      <c r="K437" s="5">
        <f>IF(OR(INDEX($V$2:$V$1001,MATCH(ROWS($U$2:U437),$U$2:$U$1001,0),1)&gt;=100000,INDEX($AB$1005:$AQ$1005,1,MATCH(COLUMNS($AB$1006:AK1006),$AB$1006:$AQ$1006,0))&gt;=100000), " ",IF(INDEX($AB$2:$AQ$1001,MATCH(ROWS($U$2:U437),$U$2:$U$1001,0),MATCH(COLUMNS($AB$1006:AK1006),$AB$1006:$AQ$1006,0)), HYPERLINK("#",""), HYPERLINK(CONCATENATE("#Metadata!", ADDRESS(INDEX($W$2:$W$1001,MATCH(ROWS($U$2:U437),$U$2:$U$1001,0),0), INDEX($AB$1004:$AQ$1004,1,MATCH(COLUMNS($AB$1006:AK1006),$AB$1006:$AQ$1006,0)))),"Fix")))</f>
        <v>0</v>
      </c>
      <c r="L437" s="5">
        <f>IF(OR(INDEX($V$2:$V$1001,MATCH(ROWS($U$2:U437),$U$2:$U$1001,0),1)&gt;=100000,INDEX($AB$1005:$AQ$1005,1,MATCH(COLUMNS($AB$1006:AL1006),$AB$1006:$AQ$1006,0))&gt;=100000), " ",IF(INDEX($AB$2:$AQ$1001,MATCH(ROWS($U$2:U437),$U$2:$U$1001,0),MATCH(COLUMNS($AB$1006:AL1006),$AB$1006:$AQ$1006,0)), HYPERLINK("#",""), HYPERLINK(CONCATENATE("#Metadata!", ADDRESS(INDEX($W$2:$W$1001,MATCH(ROWS($U$2:U437),$U$2:$U$1001,0),0), INDEX($AB$1004:$AQ$1004,1,MATCH(COLUMNS($AB$1006:AL1006),$AB$1006:$AQ$1006,0)))),"Fix")))</f>
        <v>0</v>
      </c>
      <c r="M437" s="5">
        <f>IF(OR(INDEX($V$2:$V$1001,MATCH(ROWS($U$2:U437),$U$2:$U$1001,0),1)&gt;=100000,INDEX($AB$1005:$AQ$1005,1,MATCH(COLUMNS($AB$1006:AM1006),$AB$1006:$AQ$1006,0))&gt;=100000), " ",IF(INDEX($AB$2:$AQ$1001,MATCH(ROWS($U$2:U437),$U$2:$U$1001,0),MATCH(COLUMNS($AB$1006:AM1006),$AB$1006:$AQ$1006,0)), HYPERLINK("#",""), HYPERLINK(CONCATENATE("#Metadata!", ADDRESS(INDEX($W$2:$W$1001,MATCH(ROWS($U$2:U437),$U$2:$U$1001,0),0), INDEX($AB$1004:$AQ$1004,1,MATCH(COLUMNS($AB$1006:AM1006),$AB$1006:$AQ$1006,0)))),"Fix")))</f>
        <v>0</v>
      </c>
      <c r="N437" s="5">
        <f>IF(OR(INDEX($V$2:$V$1001,MATCH(ROWS($U$2:U437),$U$2:$U$1001,0),1)&gt;=100000,INDEX($AB$1005:$AQ$1005,1,MATCH(COLUMNS($AB$1006:AN1006),$AB$1006:$AQ$1006,0))&gt;=100000), " ",IF(INDEX($AB$2:$AQ$1001,MATCH(ROWS($U$2:U437),$U$2:$U$1001,0),MATCH(COLUMNS($AB$1006:AN1006),$AB$1006:$AQ$1006,0)), HYPERLINK("#",""), HYPERLINK(CONCATENATE("#Metadata!", ADDRESS(INDEX($W$2:$W$1001,MATCH(ROWS($U$2:U437),$U$2:$U$1001,0),0), INDEX($AB$1004:$AQ$1004,1,MATCH(COLUMNS($AB$1006:AN1006),$AB$1006:$AQ$1006,0)))),"Fix")))</f>
        <v>0</v>
      </c>
      <c r="O437" s="5">
        <f>IF(OR(INDEX($V$2:$V$1001,MATCH(ROWS($U$2:U437),$U$2:$U$1001,0),1)&gt;=100000,INDEX($AB$1005:$AQ$1005,1,MATCH(COLUMNS($AB$1006:AO1006),$AB$1006:$AQ$1006,0))&gt;=100000), " ",IF(INDEX($AB$2:$AQ$1001,MATCH(ROWS($U$2:U437),$U$2:$U$1001,0),MATCH(COLUMNS($AB$1006:AO1006),$AB$1006:$AQ$1006,0)), HYPERLINK("#",""), HYPERLINK(CONCATENATE("#Metadata!", ADDRESS(INDEX($W$2:$W$1001,MATCH(ROWS($U$2:U437),$U$2:$U$1001,0),0), INDEX($AB$1004:$AQ$1004,1,MATCH(COLUMNS($AB$1006:AO1006),$AB$1006:$AQ$1006,0)))),"Fix")))</f>
        <v>0</v>
      </c>
      <c r="P437" s="5">
        <f>IF(OR(INDEX($V$2:$V$1001,MATCH(ROWS($U$2:U437),$U$2:$U$1001,0),1)&gt;=100000,INDEX($AB$1005:$AQ$1005,1,MATCH(COLUMNS($AB$1006:AP1006),$AB$1006:$AQ$1006,0))&gt;=100000), " ",IF(INDEX($AB$2:$AQ$1001,MATCH(ROWS($U$2:U437),$U$2:$U$1001,0),MATCH(COLUMNS($AB$1006:AP1006),$AB$1006:$AQ$1006,0)), HYPERLINK("#",""), HYPERLINK(CONCATENATE("#Metadata!", ADDRESS(INDEX($W$2:$W$1001,MATCH(ROWS($U$2:U437),$U$2:$U$1001,0),0), INDEX($AB$1004:$AQ$1004,1,MATCH(COLUMNS($AB$1006:AP1006),$AB$1006:$AQ$1006,0)))),"Fix")))</f>
        <v>0</v>
      </c>
      <c r="Q437" s="5">
        <f>IF(OR(INDEX($V$2:$V$1001,MATCH(ROWS($U$2:U437),$U$2:$U$1001,0),1)&gt;=100000,INDEX($AB$1005:$AQ$1005,1,MATCH(COLUMNS($AB$1006:AQ1006),$AB$1006:$AQ$1006,0))&gt;=100000), " ",IF(INDEX($AB$2:$AQ$1001,MATCH(ROWS($U$2:U437),$U$2:$U$1001,0),MATCH(COLUMNS($AB$1006:AQ1006),$AB$1006:$AQ$1006,0)), HYPERLINK("#",""), HYPERLINK(CONCATENATE("#Metadata!", ADDRESS(INDEX($W$2:$W$1001,MATCH(ROWS($U$2:U437),$U$2:$U$1001,0),0), INDEX($AB$1004:$AQ$1004,1,MATCH(COLUMNS($AB$1006:AQ1006),$AB$1006:$AQ$1006,0)))),"Fix")))</f>
        <v>0</v>
      </c>
      <c r="U437">
        <v>0</v>
      </c>
      <c r="V437">
        <v>0</v>
      </c>
      <c r="W437">
        <v>0</v>
      </c>
      <c r="X437">
        <f>IF(Y437,TRUE,AND(AB437:AQ437))</f>
        <v>0</v>
      </c>
      <c r="Y437">
        <f>COUNTBLANK(Metadata!B437:Q437)=COLUMNS(Metadata!B437:Q437)</f>
        <v>0</v>
      </c>
      <c r="Z437">
        <v>0</v>
      </c>
      <c r="AB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AC437">
        <f>AND(IF(Metadata!C437="",FALSE,TRUE),exact(Metadata!C437,"urban biome"))</f>
        <v>0</v>
      </c>
      <c r="AD437">
        <f>AND(IF(Metadata!D437="",FALSE,TRUE),exact(Metadata!D437,"human-associated habitat"))</f>
        <v>0</v>
      </c>
      <c r="AE437">
        <f>AND(IF(Metadata!E437="",FALSE,TRUE),OR(exact(Metadata!E437,"human-associated"),exact(Metadata!E437,"human-skin"),exact(Metadata!E437,"human-oral"),exact(Metadata!E437,"human-gut"),exact(Metadata!E437,"human-vaginal")))</f>
        <v>0</v>
      </c>
      <c r="AF437">
        <f>AND(IF(Metadata!F437="",FALSE,ISNUMBER(VALUE(Metadata!F437))),Metadata!F437&gt;0)</f>
        <v>0</v>
      </c>
      <c r="AG437">
        <f>AND(IF(Metadata!G437="",FALSE,TRUE),exact(Metadata!G437,"years"))</f>
        <v>0</v>
      </c>
      <c r="AH437">
        <f>OR(AND(IF(Metadata!H437="",FALSE,TRUE),OR(exact(Metadata!H437,"not applicable"),exact(Metadata!H437,"not collected"),exact(Metadata!H437,"not provided"),exact(Metadata!H437,"restricted access"))),AND(IF(Metadata!H437="",FALSE,ISNUMBER(VALUE(Metadata!H437))),Metadata!H437&gt;0))</f>
        <v>0</v>
      </c>
      <c r="AI437">
        <f>AND(IF(Metadata!I437="",FALSE,TRUE),exact(Metadata!I437,"human"))</f>
        <v>0</v>
      </c>
      <c r="AJ437">
        <f>AND(IF(Metadata!J437="",FALSE,ISNUMBER(VALUE(Metadata!J437))),Metadata!J437&gt;0)</f>
        <v>0</v>
      </c>
      <c r="AK437">
        <f>AND(IF(Metadata!K437="",FALSE,TRUE),exact(Metadata!K437,"cm"))</f>
        <v>0</v>
      </c>
      <c r="AL437">
        <f>AND(IF(Metadata!L437="",FALSE,TRUE),exact(Metadata!L437,"Homo sapiens"))</f>
        <v>0</v>
      </c>
      <c r="AM437">
        <f>AND(IF(Metadata!M437="",FALSE,TRUE),exact(Metadata!M437,"9606"))</f>
        <v>0</v>
      </c>
      <c r="AN437">
        <f>AND(IF(Metadata!N437="",FALSE,ISNUMBER(VALUE(Metadata!N437))),Metadata!N437&gt;0)</f>
        <v>0</v>
      </c>
      <c r="AO437">
        <f>AND(IF(Metadata!O437="",FALSE,TRUE),exact(Metadata!O437,"kg"))</f>
        <v>0</v>
      </c>
      <c r="AP437">
        <f>OR(AND(IF(Metadata!P437="",FALSE,TRUE),exact(Metadata!P437,"not provided")),IF(Metadata!P437="",FALSE,TRUE))</f>
        <v>0</v>
      </c>
      <c r="AQ437">
        <f>OR(AND(IF(Metadata!Q437="",FALSE,TRUE),exact(Metadata!Q437,"not provided")),IF(Metadata!Q437="",FALSE,TRUE))</f>
        <v>0</v>
      </c>
    </row>
    <row r="438" spans="1:43">
      <c r="A438" s="4">
        <f>IF(B438=" "," ",HYPERLINK(CONCATENATE("#metadata!",ADDRESS(INDEX($W$2:$W$1001,MATCH(ROWS($U$2:U438),$U$2:$U$1001,0),0),2)),INDEX($Z$2:$Z$1001,MATCH(ROWS($U$2:U438),$U$2:$U$1001,0),0)))</f>
        <v>0</v>
      </c>
      <c r="B438" s="5">
        <f>IF(OR(INDEX($V$2:$V$1001,MATCH(ROWS($U$2:U438),$U$2:$U$1001,0),1)&gt;=100000,INDEX($AB$1005:$AQ$1005,1,MATCH(COLUMNS($AB$1006:AB1006),$AB$1006:$AQ$1006,0))&gt;=100000), " ",IF(INDEX($AB$2:$AQ$1001,MATCH(ROWS($U$2:U438),$U$2:$U$1001,0),MATCH(COLUMNS($AB$1006:AB1006),$AB$1006:$AQ$1006,0)), HYPERLINK("#",""), HYPERLINK(CONCATENATE("#Metadata!", ADDRESS(INDEX($W$2:$W$1001,MATCH(ROWS($U$2:U438),$U$2:$U$1001,0),0), INDEX($AB$1004:$AQ$1004,1,MATCH(COLUMNS($AB$1006:AB1006),$AB$1006:$AQ$1006,0)))),"Fix")))</f>
        <v>0</v>
      </c>
      <c r="C438" s="5">
        <f>IF(OR(INDEX($V$2:$V$1001,MATCH(ROWS($U$2:U438),$U$2:$U$1001,0),1)&gt;=100000,INDEX($AB$1005:$AQ$1005,1,MATCH(COLUMNS($AB$1006:AC1006),$AB$1006:$AQ$1006,0))&gt;=100000), " ",IF(INDEX($AB$2:$AQ$1001,MATCH(ROWS($U$2:U438),$U$2:$U$1001,0),MATCH(COLUMNS($AB$1006:AC1006),$AB$1006:$AQ$1006,0)), HYPERLINK("#",""), HYPERLINK(CONCATENATE("#Metadata!", ADDRESS(INDEX($W$2:$W$1001,MATCH(ROWS($U$2:U438),$U$2:$U$1001,0),0), INDEX($AB$1004:$AQ$1004,1,MATCH(COLUMNS($AB$1006:AC1006),$AB$1006:$AQ$1006,0)))),"Fix")))</f>
        <v>0</v>
      </c>
      <c r="D438" s="5">
        <f>IF(OR(INDEX($V$2:$V$1001,MATCH(ROWS($U$2:U438),$U$2:$U$1001,0),1)&gt;=100000,INDEX($AB$1005:$AQ$1005,1,MATCH(COLUMNS($AB$1006:AD1006),$AB$1006:$AQ$1006,0))&gt;=100000), " ",IF(INDEX($AB$2:$AQ$1001,MATCH(ROWS($U$2:U438),$U$2:$U$1001,0),MATCH(COLUMNS($AB$1006:AD1006),$AB$1006:$AQ$1006,0)), HYPERLINK("#",""), HYPERLINK(CONCATENATE("#Metadata!", ADDRESS(INDEX($W$2:$W$1001,MATCH(ROWS($U$2:U438),$U$2:$U$1001,0),0), INDEX($AB$1004:$AQ$1004,1,MATCH(COLUMNS($AB$1006:AD1006),$AB$1006:$AQ$1006,0)))),"Fix")))</f>
        <v>0</v>
      </c>
      <c r="E438" s="5">
        <f>IF(OR(INDEX($V$2:$V$1001,MATCH(ROWS($U$2:U438),$U$2:$U$1001,0),1)&gt;=100000,INDEX($AB$1005:$AQ$1005,1,MATCH(COLUMNS($AB$1006:AE1006),$AB$1006:$AQ$1006,0))&gt;=100000), " ",IF(INDEX($AB$2:$AQ$1001,MATCH(ROWS($U$2:U438),$U$2:$U$1001,0),MATCH(COLUMNS($AB$1006:AE1006),$AB$1006:$AQ$1006,0)), HYPERLINK("#",""), HYPERLINK(CONCATENATE("#Metadata!", ADDRESS(INDEX($W$2:$W$1001,MATCH(ROWS($U$2:U438),$U$2:$U$1001,0),0), INDEX($AB$1004:$AQ$1004,1,MATCH(COLUMNS($AB$1006:AE1006),$AB$1006:$AQ$1006,0)))),"Fix")))</f>
        <v>0</v>
      </c>
      <c r="F438" s="5">
        <f>IF(OR(INDEX($V$2:$V$1001,MATCH(ROWS($U$2:U438),$U$2:$U$1001,0),1)&gt;=100000,INDEX($AB$1005:$AQ$1005,1,MATCH(COLUMNS($AB$1006:AF1006),$AB$1006:$AQ$1006,0))&gt;=100000), " ",IF(INDEX($AB$2:$AQ$1001,MATCH(ROWS($U$2:U438),$U$2:$U$1001,0),MATCH(COLUMNS($AB$1006:AF1006),$AB$1006:$AQ$1006,0)), HYPERLINK("#",""), HYPERLINK(CONCATENATE("#Metadata!", ADDRESS(INDEX($W$2:$W$1001,MATCH(ROWS($U$2:U438),$U$2:$U$1001,0),0), INDEX($AB$1004:$AQ$1004,1,MATCH(COLUMNS($AB$1006:AF1006),$AB$1006:$AQ$1006,0)))),"Fix")))</f>
        <v>0</v>
      </c>
      <c r="G438" s="5">
        <f>IF(OR(INDEX($V$2:$V$1001,MATCH(ROWS($U$2:U438),$U$2:$U$1001,0),1)&gt;=100000,INDEX($AB$1005:$AQ$1005,1,MATCH(COLUMNS($AB$1006:AG1006),$AB$1006:$AQ$1006,0))&gt;=100000), " ",IF(INDEX($AB$2:$AQ$1001,MATCH(ROWS($U$2:U438),$U$2:$U$1001,0),MATCH(COLUMNS($AB$1006:AG1006),$AB$1006:$AQ$1006,0)), HYPERLINK("#",""), HYPERLINK(CONCATENATE("#Metadata!", ADDRESS(INDEX($W$2:$W$1001,MATCH(ROWS($U$2:U438),$U$2:$U$1001,0),0), INDEX($AB$1004:$AQ$1004,1,MATCH(COLUMNS($AB$1006:AG1006),$AB$1006:$AQ$1006,0)))),"Fix")))</f>
        <v>0</v>
      </c>
      <c r="H438" s="5">
        <f>IF(OR(INDEX($V$2:$V$1001,MATCH(ROWS($U$2:U438),$U$2:$U$1001,0),1)&gt;=100000,INDEX($AB$1005:$AQ$1005,1,MATCH(COLUMNS($AB$1006:AH1006),$AB$1006:$AQ$1006,0))&gt;=100000), " ",IF(INDEX($AB$2:$AQ$1001,MATCH(ROWS($U$2:U438),$U$2:$U$1001,0),MATCH(COLUMNS($AB$1006:AH1006),$AB$1006:$AQ$1006,0)), HYPERLINK("#",""), HYPERLINK(CONCATENATE("#Metadata!", ADDRESS(INDEX($W$2:$W$1001,MATCH(ROWS($U$2:U438),$U$2:$U$1001,0),0), INDEX($AB$1004:$AQ$1004,1,MATCH(COLUMNS($AB$1006:AH1006),$AB$1006:$AQ$1006,0)))),"Fix")))</f>
        <v>0</v>
      </c>
      <c r="I438" s="5">
        <f>IF(OR(INDEX($V$2:$V$1001,MATCH(ROWS($U$2:U438),$U$2:$U$1001,0),1)&gt;=100000,INDEX($AB$1005:$AQ$1005,1,MATCH(COLUMNS($AB$1006:AI1006),$AB$1006:$AQ$1006,0))&gt;=100000), " ",IF(INDEX($AB$2:$AQ$1001,MATCH(ROWS($U$2:U438),$U$2:$U$1001,0),MATCH(COLUMNS($AB$1006:AI1006),$AB$1006:$AQ$1006,0)), HYPERLINK("#",""), HYPERLINK(CONCATENATE("#Metadata!", ADDRESS(INDEX($W$2:$W$1001,MATCH(ROWS($U$2:U438),$U$2:$U$1001,0),0), INDEX($AB$1004:$AQ$1004,1,MATCH(COLUMNS($AB$1006:AI1006),$AB$1006:$AQ$1006,0)))),"Fix")))</f>
        <v>0</v>
      </c>
      <c r="J438" s="5">
        <f>IF(OR(INDEX($V$2:$V$1001,MATCH(ROWS($U$2:U438),$U$2:$U$1001,0),1)&gt;=100000,INDEX($AB$1005:$AQ$1005,1,MATCH(COLUMNS($AB$1006:AJ1006),$AB$1006:$AQ$1006,0))&gt;=100000), " ",IF(INDEX($AB$2:$AQ$1001,MATCH(ROWS($U$2:U438),$U$2:$U$1001,0),MATCH(COLUMNS($AB$1006:AJ1006),$AB$1006:$AQ$1006,0)), HYPERLINK("#",""), HYPERLINK(CONCATENATE("#Metadata!", ADDRESS(INDEX($W$2:$W$1001,MATCH(ROWS($U$2:U438),$U$2:$U$1001,0),0), INDEX($AB$1004:$AQ$1004,1,MATCH(COLUMNS($AB$1006:AJ1006),$AB$1006:$AQ$1006,0)))),"Fix")))</f>
        <v>0</v>
      </c>
      <c r="K438" s="5">
        <f>IF(OR(INDEX($V$2:$V$1001,MATCH(ROWS($U$2:U438),$U$2:$U$1001,0),1)&gt;=100000,INDEX($AB$1005:$AQ$1005,1,MATCH(COLUMNS($AB$1006:AK1006),$AB$1006:$AQ$1006,0))&gt;=100000), " ",IF(INDEX($AB$2:$AQ$1001,MATCH(ROWS($U$2:U438),$U$2:$U$1001,0),MATCH(COLUMNS($AB$1006:AK1006),$AB$1006:$AQ$1006,0)), HYPERLINK("#",""), HYPERLINK(CONCATENATE("#Metadata!", ADDRESS(INDEX($W$2:$W$1001,MATCH(ROWS($U$2:U438),$U$2:$U$1001,0),0), INDEX($AB$1004:$AQ$1004,1,MATCH(COLUMNS($AB$1006:AK1006),$AB$1006:$AQ$1006,0)))),"Fix")))</f>
        <v>0</v>
      </c>
      <c r="L438" s="5">
        <f>IF(OR(INDEX($V$2:$V$1001,MATCH(ROWS($U$2:U438),$U$2:$U$1001,0),1)&gt;=100000,INDEX($AB$1005:$AQ$1005,1,MATCH(COLUMNS($AB$1006:AL1006),$AB$1006:$AQ$1006,0))&gt;=100000), " ",IF(INDEX($AB$2:$AQ$1001,MATCH(ROWS($U$2:U438),$U$2:$U$1001,0),MATCH(COLUMNS($AB$1006:AL1006),$AB$1006:$AQ$1006,0)), HYPERLINK("#",""), HYPERLINK(CONCATENATE("#Metadata!", ADDRESS(INDEX($W$2:$W$1001,MATCH(ROWS($U$2:U438),$U$2:$U$1001,0),0), INDEX($AB$1004:$AQ$1004,1,MATCH(COLUMNS($AB$1006:AL1006),$AB$1006:$AQ$1006,0)))),"Fix")))</f>
        <v>0</v>
      </c>
      <c r="M438" s="5">
        <f>IF(OR(INDEX($V$2:$V$1001,MATCH(ROWS($U$2:U438),$U$2:$U$1001,0),1)&gt;=100000,INDEX($AB$1005:$AQ$1005,1,MATCH(COLUMNS($AB$1006:AM1006),$AB$1006:$AQ$1006,0))&gt;=100000), " ",IF(INDEX($AB$2:$AQ$1001,MATCH(ROWS($U$2:U438),$U$2:$U$1001,0),MATCH(COLUMNS($AB$1006:AM1006),$AB$1006:$AQ$1006,0)), HYPERLINK("#",""), HYPERLINK(CONCATENATE("#Metadata!", ADDRESS(INDEX($W$2:$W$1001,MATCH(ROWS($U$2:U438),$U$2:$U$1001,0),0), INDEX($AB$1004:$AQ$1004,1,MATCH(COLUMNS($AB$1006:AM1006),$AB$1006:$AQ$1006,0)))),"Fix")))</f>
        <v>0</v>
      </c>
      <c r="N438" s="5">
        <f>IF(OR(INDEX($V$2:$V$1001,MATCH(ROWS($U$2:U438),$U$2:$U$1001,0),1)&gt;=100000,INDEX($AB$1005:$AQ$1005,1,MATCH(COLUMNS($AB$1006:AN1006),$AB$1006:$AQ$1006,0))&gt;=100000), " ",IF(INDEX($AB$2:$AQ$1001,MATCH(ROWS($U$2:U438),$U$2:$U$1001,0),MATCH(COLUMNS($AB$1006:AN1006),$AB$1006:$AQ$1006,0)), HYPERLINK("#",""), HYPERLINK(CONCATENATE("#Metadata!", ADDRESS(INDEX($W$2:$W$1001,MATCH(ROWS($U$2:U438),$U$2:$U$1001,0),0), INDEX($AB$1004:$AQ$1004,1,MATCH(COLUMNS($AB$1006:AN1006),$AB$1006:$AQ$1006,0)))),"Fix")))</f>
        <v>0</v>
      </c>
      <c r="O438" s="5">
        <f>IF(OR(INDEX($V$2:$V$1001,MATCH(ROWS($U$2:U438),$U$2:$U$1001,0),1)&gt;=100000,INDEX($AB$1005:$AQ$1005,1,MATCH(COLUMNS($AB$1006:AO1006),$AB$1006:$AQ$1006,0))&gt;=100000), " ",IF(INDEX($AB$2:$AQ$1001,MATCH(ROWS($U$2:U438),$U$2:$U$1001,0),MATCH(COLUMNS($AB$1006:AO1006),$AB$1006:$AQ$1006,0)), HYPERLINK("#",""), HYPERLINK(CONCATENATE("#Metadata!", ADDRESS(INDEX($W$2:$W$1001,MATCH(ROWS($U$2:U438),$U$2:$U$1001,0),0), INDEX($AB$1004:$AQ$1004,1,MATCH(COLUMNS($AB$1006:AO1006),$AB$1006:$AQ$1006,0)))),"Fix")))</f>
        <v>0</v>
      </c>
      <c r="P438" s="5">
        <f>IF(OR(INDEX($V$2:$V$1001,MATCH(ROWS($U$2:U438),$U$2:$U$1001,0),1)&gt;=100000,INDEX($AB$1005:$AQ$1005,1,MATCH(COLUMNS($AB$1006:AP1006),$AB$1006:$AQ$1006,0))&gt;=100000), " ",IF(INDEX($AB$2:$AQ$1001,MATCH(ROWS($U$2:U438),$U$2:$U$1001,0),MATCH(COLUMNS($AB$1006:AP1006),$AB$1006:$AQ$1006,0)), HYPERLINK("#",""), HYPERLINK(CONCATENATE("#Metadata!", ADDRESS(INDEX($W$2:$W$1001,MATCH(ROWS($U$2:U438),$U$2:$U$1001,0),0), INDEX($AB$1004:$AQ$1004,1,MATCH(COLUMNS($AB$1006:AP1006),$AB$1006:$AQ$1006,0)))),"Fix")))</f>
        <v>0</v>
      </c>
      <c r="Q438" s="5">
        <f>IF(OR(INDEX($V$2:$V$1001,MATCH(ROWS($U$2:U438),$U$2:$U$1001,0),1)&gt;=100000,INDEX($AB$1005:$AQ$1005,1,MATCH(COLUMNS($AB$1006:AQ1006),$AB$1006:$AQ$1006,0))&gt;=100000), " ",IF(INDEX($AB$2:$AQ$1001,MATCH(ROWS($U$2:U438),$U$2:$U$1001,0),MATCH(COLUMNS($AB$1006:AQ1006),$AB$1006:$AQ$1006,0)), HYPERLINK("#",""), HYPERLINK(CONCATENATE("#Metadata!", ADDRESS(INDEX($W$2:$W$1001,MATCH(ROWS($U$2:U438),$U$2:$U$1001,0),0), INDEX($AB$1004:$AQ$1004,1,MATCH(COLUMNS($AB$1006:AQ1006),$AB$1006:$AQ$1006,0)))),"Fix")))</f>
        <v>0</v>
      </c>
      <c r="U438">
        <v>0</v>
      </c>
      <c r="V438">
        <v>0</v>
      </c>
      <c r="W438">
        <v>0</v>
      </c>
      <c r="X438">
        <f>IF(Y438,TRUE,AND(AB438:AQ438))</f>
        <v>0</v>
      </c>
      <c r="Y438">
        <f>COUNTBLANK(Metadata!B438:Q438)=COLUMNS(Metadata!B438:Q438)</f>
        <v>0</v>
      </c>
      <c r="Z438">
        <v>0</v>
      </c>
      <c r="AB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AC438">
        <f>AND(IF(Metadata!C438="",FALSE,TRUE),exact(Metadata!C438,"urban biome"))</f>
        <v>0</v>
      </c>
      <c r="AD438">
        <f>AND(IF(Metadata!D438="",FALSE,TRUE),exact(Metadata!D438,"human-associated habitat"))</f>
        <v>0</v>
      </c>
      <c r="AE438">
        <f>AND(IF(Metadata!E438="",FALSE,TRUE),OR(exact(Metadata!E438,"human-associated"),exact(Metadata!E438,"human-skin"),exact(Metadata!E438,"human-oral"),exact(Metadata!E438,"human-gut"),exact(Metadata!E438,"human-vaginal")))</f>
        <v>0</v>
      </c>
      <c r="AF438">
        <f>AND(IF(Metadata!F438="",FALSE,ISNUMBER(VALUE(Metadata!F438))),Metadata!F438&gt;0)</f>
        <v>0</v>
      </c>
      <c r="AG438">
        <f>AND(IF(Metadata!G438="",FALSE,TRUE),exact(Metadata!G438,"years"))</f>
        <v>0</v>
      </c>
      <c r="AH438">
        <f>OR(AND(IF(Metadata!H438="",FALSE,TRUE),OR(exact(Metadata!H438,"not applicable"),exact(Metadata!H438,"not collected"),exact(Metadata!H438,"not provided"),exact(Metadata!H438,"restricted access"))),AND(IF(Metadata!H438="",FALSE,ISNUMBER(VALUE(Metadata!H438))),Metadata!H438&gt;0))</f>
        <v>0</v>
      </c>
      <c r="AI438">
        <f>AND(IF(Metadata!I438="",FALSE,TRUE),exact(Metadata!I438,"human"))</f>
        <v>0</v>
      </c>
      <c r="AJ438">
        <f>AND(IF(Metadata!J438="",FALSE,ISNUMBER(VALUE(Metadata!J438))),Metadata!J438&gt;0)</f>
        <v>0</v>
      </c>
      <c r="AK438">
        <f>AND(IF(Metadata!K438="",FALSE,TRUE),exact(Metadata!K438,"cm"))</f>
        <v>0</v>
      </c>
      <c r="AL438">
        <f>AND(IF(Metadata!L438="",FALSE,TRUE),exact(Metadata!L438,"Homo sapiens"))</f>
        <v>0</v>
      </c>
      <c r="AM438">
        <f>AND(IF(Metadata!M438="",FALSE,TRUE),exact(Metadata!M438,"9606"))</f>
        <v>0</v>
      </c>
      <c r="AN438">
        <f>AND(IF(Metadata!N438="",FALSE,ISNUMBER(VALUE(Metadata!N438))),Metadata!N438&gt;0)</f>
        <v>0</v>
      </c>
      <c r="AO438">
        <f>AND(IF(Metadata!O438="",FALSE,TRUE),exact(Metadata!O438,"kg"))</f>
        <v>0</v>
      </c>
      <c r="AP438">
        <f>OR(AND(IF(Metadata!P438="",FALSE,TRUE),exact(Metadata!P438,"not provided")),IF(Metadata!P438="",FALSE,TRUE))</f>
        <v>0</v>
      </c>
      <c r="AQ438">
        <f>OR(AND(IF(Metadata!Q438="",FALSE,TRUE),exact(Metadata!Q438,"not provided")),IF(Metadata!Q438="",FALSE,TRUE))</f>
        <v>0</v>
      </c>
    </row>
    <row r="439" spans="1:43">
      <c r="A439" s="4">
        <f>IF(B439=" "," ",HYPERLINK(CONCATENATE("#metadata!",ADDRESS(INDEX($W$2:$W$1001,MATCH(ROWS($U$2:U439),$U$2:$U$1001,0),0),2)),INDEX($Z$2:$Z$1001,MATCH(ROWS($U$2:U439),$U$2:$U$1001,0),0)))</f>
        <v>0</v>
      </c>
      <c r="B439" s="5">
        <f>IF(OR(INDEX($V$2:$V$1001,MATCH(ROWS($U$2:U439),$U$2:$U$1001,0),1)&gt;=100000,INDEX($AB$1005:$AQ$1005,1,MATCH(COLUMNS($AB$1006:AB1006),$AB$1006:$AQ$1006,0))&gt;=100000), " ",IF(INDEX($AB$2:$AQ$1001,MATCH(ROWS($U$2:U439),$U$2:$U$1001,0),MATCH(COLUMNS($AB$1006:AB1006),$AB$1006:$AQ$1006,0)), HYPERLINK("#",""), HYPERLINK(CONCATENATE("#Metadata!", ADDRESS(INDEX($W$2:$W$1001,MATCH(ROWS($U$2:U439),$U$2:$U$1001,0),0), INDEX($AB$1004:$AQ$1004,1,MATCH(COLUMNS($AB$1006:AB1006),$AB$1006:$AQ$1006,0)))),"Fix")))</f>
        <v>0</v>
      </c>
      <c r="C439" s="5">
        <f>IF(OR(INDEX($V$2:$V$1001,MATCH(ROWS($U$2:U439),$U$2:$U$1001,0),1)&gt;=100000,INDEX($AB$1005:$AQ$1005,1,MATCH(COLUMNS($AB$1006:AC1006),$AB$1006:$AQ$1006,0))&gt;=100000), " ",IF(INDEX($AB$2:$AQ$1001,MATCH(ROWS($U$2:U439),$U$2:$U$1001,0),MATCH(COLUMNS($AB$1006:AC1006),$AB$1006:$AQ$1006,0)), HYPERLINK("#",""), HYPERLINK(CONCATENATE("#Metadata!", ADDRESS(INDEX($W$2:$W$1001,MATCH(ROWS($U$2:U439),$U$2:$U$1001,0),0), INDEX($AB$1004:$AQ$1004,1,MATCH(COLUMNS($AB$1006:AC1006),$AB$1006:$AQ$1006,0)))),"Fix")))</f>
        <v>0</v>
      </c>
      <c r="D439" s="5">
        <f>IF(OR(INDEX($V$2:$V$1001,MATCH(ROWS($U$2:U439),$U$2:$U$1001,0),1)&gt;=100000,INDEX($AB$1005:$AQ$1005,1,MATCH(COLUMNS($AB$1006:AD1006),$AB$1006:$AQ$1006,0))&gt;=100000), " ",IF(INDEX($AB$2:$AQ$1001,MATCH(ROWS($U$2:U439),$U$2:$U$1001,0),MATCH(COLUMNS($AB$1006:AD1006),$AB$1006:$AQ$1006,0)), HYPERLINK("#",""), HYPERLINK(CONCATENATE("#Metadata!", ADDRESS(INDEX($W$2:$W$1001,MATCH(ROWS($U$2:U439),$U$2:$U$1001,0),0), INDEX($AB$1004:$AQ$1004,1,MATCH(COLUMNS($AB$1006:AD1006),$AB$1006:$AQ$1006,0)))),"Fix")))</f>
        <v>0</v>
      </c>
      <c r="E439" s="5">
        <f>IF(OR(INDEX($V$2:$V$1001,MATCH(ROWS($U$2:U439),$U$2:$U$1001,0),1)&gt;=100000,INDEX($AB$1005:$AQ$1005,1,MATCH(COLUMNS($AB$1006:AE1006),$AB$1006:$AQ$1006,0))&gt;=100000), " ",IF(INDEX($AB$2:$AQ$1001,MATCH(ROWS($U$2:U439),$U$2:$U$1001,0),MATCH(COLUMNS($AB$1006:AE1006),$AB$1006:$AQ$1006,0)), HYPERLINK("#",""), HYPERLINK(CONCATENATE("#Metadata!", ADDRESS(INDEX($W$2:$W$1001,MATCH(ROWS($U$2:U439),$U$2:$U$1001,0),0), INDEX($AB$1004:$AQ$1004,1,MATCH(COLUMNS($AB$1006:AE1006),$AB$1006:$AQ$1006,0)))),"Fix")))</f>
        <v>0</v>
      </c>
      <c r="F439" s="5">
        <f>IF(OR(INDEX($V$2:$V$1001,MATCH(ROWS($U$2:U439),$U$2:$U$1001,0),1)&gt;=100000,INDEX($AB$1005:$AQ$1005,1,MATCH(COLUMNS($AB$1006:AF1006),$AB$1006:$AQ$1006,0))&gt;=100000), " ",IF(INDEX($AB$2:$AQ$1001,MATCH(ROWS($U$2:U439),$U$2:$U$1001,0),MATCH(COLUMNS($AB$1006:AF1006),$AB$1006:$AQ$1006,0)), HYPERLINK("#",""), HYPERLINK(CONCATENATE("#Metadata!", ADDRESS(INDEX($W$2:$W$1001,MATCH(ROWS($U$2:U439),$U$2:$U$1001,0),0), INDEX($AB$1004:$AQ$1004,1,MATCH(COLUMNS($AB$1006:AF1006),$AB$1006:$AQ$1006,0)))),"Fix")))</f>
        <v>0</v>
      </c>
      <c r="G439" s="5">
        <f>IF(OR(INDEX($V$2:$V$1001,MATCH(ROWS($U$2:U439),$U$2:$U$1001,0),1)&gt;=100000,INDEX($AB$1005:$AQ$1005,1,MATCH(COLUMNS($AB$1006:AG1006),$AB$1006:$AQ$1006,0))&gt;=100000), " ",IF(INDEX($AB$2:$AQ$1001,MATCH(ROWS($U$2:U439),$U$2:$U$1001,0),MATCH(COLUMNS($AB$1006:AG1006),$AB$1006:$AQ$1006,0)), HYPERLINK("#",""), HYPERLINK(CONCATENATE("#Metadata!", ADDRESS(INDEX($W$2:$W$1001,MATCH(ROWS($U$2:U439),$U$2:$U$1001,0),0), INDEX($AB$1004:$AQ$1004,1,MATCH(COLUMNS($AB$1006:AG1006),$AB$1006:$AQ$1006,0)))),"Fix")))</f>
        <v>0</v>
      </c>
      <c r="H439" s="5">
        <f>IF(OR(INDEX($V$2:$V$1001,MATCH(ROWS($U$2:U439),$U$2:$U$1001,0),1)&gt;=100000,INDEX($AB$1005:$AQ$1005,1,MATCH(COLUMNS($AB$1006:AH1006),$AB$1006:$AQ$1006,0))&gt;=100000), " ",IF(INDEX($AB$2:$AQ$1001,MATCH(ROWS($U$2:U439),$U$2:$U$1001,0),MATCH(COLUMNS($AB$1006:AH1006),$AB$1006:$AQ$1006,0)), HYPERLINK("#",""), HYPERLINK(CONCATENATE("#Metadata!", ADDRESS(INDEX($W$2:$W$1001,MATCH(ROWS($U$2:U439),$U$2:$U$1001,0),0), INDEX($AB$1004:$AQ$1004,1,MATCH(COLUMNS($AB$1006:AH1006),$AB$1006:$AQ$1006,0)))),"Fix")))</f>
        <v>0</v>
      </c>
      <c r="I439" s="5">
        <f>IF(OR(INDEX($V$2:$V$1001,MATCH(ROWS($U$2:U439),$U$2:$U$1001,0),1)&gt;=100000,INDEX($AB$1005:$AQ$1005,1,MATCH(COLUMNS($AB$1006:AI1006),$AB$1006:$AQ$1006,0))&gt;=100000), " ",IF(INDEX($AB$2:$AQ$1001,MATCH(ROWS($U$2:U439),$U$2:$U$1001,0),MATCH(COLUMNS($AB$1006:AI1006),$AB$1006:$AQ$1006,0)), HYPERLINK("#",""), HYPERLINK(CONCATENATE("#Metadata!", ADDRESS(INDEX($W$2:$W$1001,MATCH(ROWS($U$2:U439),$U$2:$U$1001,0),0), INDEX($AB$1004:$AQ$1004,1,MATCH(COLUMNS($AB$1006:AI1006),$AB$1006:$AQ$1006,0)))),"Fix")))</f>
        <v>0</v>
      </c>
      <c r="J439" s="5">
        <f>IF(OR(INDEX($V$2:$V$1001,MATCH(ROWS($U$2:U439),$U$2:$U$1001,0),1)&gt;=100000,INDEX($AB$1005:$AQ$1005,1,MATCH(COLUMNS($AB$1006:AJ1006),$AB$1006:$AQ$1006,0))&gt;=100000), " ",IF(INDEX($AB$2:$AQ$1001,MATCH(ROWS($U$2:U439),$U$2:$U$1001,0),MATCH(COLUMNS($AB$1006:AJ1006),$AB$1006:$AQ$1006,0)), HYPERLINK("#",""), HYPERLINK(CONCATENATE("#Metadata!", ADDRESS(INDEX($W$2:$W$1001,MATCH(ROWS($U$2:U439),$U$2:$U$1001,0),0), INDEX($AB$1004:$AQ$1004,1,MATCH(COLUMNS($AB$1006:AJ1006),$AB$1006:$AQ$1006,0)))),"Fix")))</f>
        <v>0</v>
      </c>
      <c r="K439" s="5">
        <f>IF(OR(INDEX($V$2:$V$1001,MATCH(ROWS($U$2:U439),$U$2:$U$1001,0),1)&gt;=100000,INDEX($AB$1005:$AQ$1005,1,MATCH(COLUMNS($AB$1006:AK1006),$AB$1006:$AQ$1006,0))&gt;=100000), " ",IF(INDEX($AB$2:$AQ$1001,MATCH(ROWS($U$2:U439),$U$2:$U$1001,0),MATCH(COLUMNS($AB$1006:AK1006),$AB$1006:$AQ$1006,0)), HYPERLINK("#",""), HYPERLINK(CONCATENATE("#Metadata!", ADDRESS(INDEX($W$2:$W$1001,MATCH(ROWS($U$2:U439),$U$2:$U$1001,0),0), INDEX($AB$1004:$AQ$1004,1,MATCH(COLUMNS($AB$1006:AK1006),$AB$1006:$AQ$1006,0)))),"Fix")))</f>
        <v>0</v>
      </c>
      <c r="L439" s="5">
        <f>IF(OR(INDEX($V$2:$V$1001,MATCH(ROWS($U$2:U439),$U$2:$U$1001,0),1)&gt;=100000,INDEX($AB$1005:$AQ$1005,1,MATCH(COLUMNS($AB$1006:AL1006),$AB$1006:$AQ$1006,0))&gt;=100000), " ",IF(INDEX($AB$2:$AQ$1001,MATCH(ROWS($U$2:U439),$U$2:$U$1001,0),MATCH(COLUMNS($AB$1006:AL1006),$AB$1006:$AQ$1006,0)), HYPERLINK("#",""), HYPERLINK(CONCATENATE("#Metadata!", ADDRESS(INDEX($W$2:$W$1001,MATCH(ROWS($U$2:U439),$U$2:$U$1001,0),0), INDEX($AB$1004:$AQ$1004,1,MATCH(COLUMNS($AB$1006:AL1006),$AB$1006:$AQ$1006,0)))),"Fix")))</f>
        <v>0</v>
      </c>
      <c r="M439" s="5">
        <f>IF(OR(INDEX($V$2:$V$1001,MATCH(ROWS($U$2:U439),$U$2:$U$1001,0),1)&gt;=100000,INDEX($AB$1005:$AQ$1005,1,MATCH(COLUMNS($AB$1006:AM1006),$AB$1006:$AQ$1006,0))&gt;=100000), " ",IF(INDEX($AB$2:$AQ$1001,MATCH(ROWS($U$2:U439),$U$2:$U$1001,0),MATCH(COLUMNS($AB$1006:AM1006),$AB$1006:$AQ$1006,0)), HYPERLINK("#",""), HYPERLINK(CONCATENATE("#Metadata!", ADDRESS(INDEX($W$2:$W$1001,MATCH(ROWS($U$2:U439),$U$2:$U$1001,0),0), INDEX($AB$1004:$AQ$1004,1,MATCH(COLUMNS($AB$1006:AM1006),$AB$1006:$AQ$1006,0)))),"Fix")))</f>
        <v>0</v>
      </c>
      <c r="N439" s="5">
        <f>IF(OR(INDEX($V$2:$V$1001,MATCH(ROWS($U$2:U439),$U$2:$U$1001,0),1)&gt;=100000,INDEX($AB$1005:$AQ$1005,1,MATCH(COLUMNS($AB$1006:AN1006),$AB$1006:$AQ$1006,0))&gt;=100000), " ",IF(INDEX($AB$2:$AQ$1001,MATCH(ROWS($U$2:U439),$U$2:$U$1001,0),MATCH(COLUMNS($AB$1006:AN1006),$AB$1006:$AQ$1006,0)), HYPERLINK("#",""), HYPERLINK(CONCATENATE("#Metadata!", ADDRESS(INDEX($W$2:$W$1001,MATCH(ROWS($U$2:U439),$U$2:$U$1001,0),0), INDEX($AB$1004:$AQ$1004,1,MATCH(COLUMNS($AB$1006:AN1006),$AB$1006:$AQ$1006,0)))),"Fix")))</f>
        <v>0</v>
      </c>
      <c r="O439" s="5">
        <f>IF(OR(INDEX($V$2:$V$1001,MATCH(ROWS($U$2:U439),$U$2:$U$1001,0),1)&gt;=100000,INDEX($AB$1005:$AQ$1005,1,MATCH(COLUMNS($AB$1006:AO1006),$AB$1006:$AQ$1006,0))&gt;=100000), " ",IF(INDEX($AB$2:$AQ$1001,MATCH(ROWS($U$2:U439),$U$2:$U$1001,0),MATCH(COLUMNS($AB$1006:AO1006),$AB$1006:$AQ$1006,0)), HYPERLINK("#",""), HYPERLINK(CONCATENATE("#Metadata!", ADDRESS(INDEX($W$2:$W$1001,MATCH(ROWS($U$2:U439),$U$2:$U$1001,0),0), INDEX($AB$1004:$AQ$1004,1,MATCH(COLUMNS($AB$1006:AO1006),$AB$1006:$AQ$1006,0)))),"Fix")))</f>
        <v>0</v>
      </c>
      <c r="P439" s="5">
        <f>IF(OR(INDEX($V$2:$V$1001,MATCH(ROWS($U$2:U439),$U$2:$U$1001,0),1)&gt;=100000,INDEX($AB$1005:$AQ$1005,1,MATCH(COLUMNS($AB$1006:AP1006),$AB$1006:$AQ$1006,0))&gt;=100000), " ",IF(INDEX($AB$2:$AQ$1001,MATCH(ROWS($U$2:U439),$U$2:$U$1001,0),MATCH(COLUMNS($AB$1006:AP1006),$AB$1006:$AQ$1006,0)), HYPERLINK("#",""), HYPERLINK(CONCATENATE("#Metadata!", ADDRESS(INDEX($W$2:$W$1001,MATCH(ROWS($U$2:U439),$U$2:$U$1001,0),0), INDEX($AB$1004:$AQ$1004,1,MATCH(COLUMNS($AB$1006:AP1006),$AB$1006:$AQ$1006,0)))),"Fix")))</f>
        <v>0</v>
      </c>
      <c r="Q439" s="5">
        <f>IF(OR(INDEX($V$2:$V$1001,MATCH(ROWS($U$2:U439),$U$2:$U$1001,0),1)&gt;=100000,INDEX($AB$1005:$AQ$1005,1,MATCH(COLUMNS($AB$1006:AQ1006),$AB$1006:$AQ$1006,0))&gt;=100000), " ",IF(INDEX($AB$2:$AQ$1001,MATCH(ROWS($U$2:U439),$U$2:$U$1001,0),MATCH(COLUMNS($AB$1006:AQ1006),$AB$1006:$AQ$1006,0)), HYPERLINK("#",""), HYPERLINK(CONCATENATE("#Metadata!", ADDRESS(INDEX($W$2:$W$1001,MATCH(ROWS($U$2:U439),$U$2:$U$1001,0),0), INDEX($AB$1004:$AQ$1004,1,MATCH(COLUMNS($AB$1006:AQ1006),$AB$1006:$AQ$1006,0)))),"Fix")))</f>
        <v>0</v>
      </c>
      <c r="U439">
        <v>0</v>
      </c>
      <c r="V439">
        <v>0</v>
      </c>
      <c r="W439">
        <v>0</v>
      </c>
      <c r="X439">
        <f>IF(Y439,TRUE,AND(AB439:AQ439))</f>
        <v>0</v>
      </c>
      <c r="Y439">
        <f>COUNTBLANK(Metadata!B439:Q439)=COLUMNS(Metadata!B439:Q439)</f>
        <v>0</v>
      </c>
      <c r="Z439">
        <v>0</v>
      </c>
      <c r="AB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AC439">
        <f>AND(IF(Metadata!C439="",FALSE,TRUE),exact(Metadata!C439,"urban biome"))</f>
        <v>0</v>
      </c>
      <c r="AD439">
        <f>AND(IF(Metadata!D439="",FALSE,TRUE),exact(Metadata!D439,"human-associated habitat"))</f>
        <v>0</v>
      </c>
      <c r="AE439">
        <f>AND(IF(Metadata!E439="",FALSE,TRUE),OR(exact(Metadata!E439,"human-associated"),exact(Metadata!E439,"human-skin"),exact(Metadata!E439,"human-oral"),exact(Metadata!E439,"human-gut"),exact(Metadata!E439,"human-vaginal")))</f>
        <v>0</v>
      </c>
      <c r="AF439">
        <f>AND(IF(Metadata!F439="",FALSE,ISNUMBER(VALUE(Metadata!F439))),Metadata!F439&gt;0)</f>
        <v>0</v>
      </c>
      <c r="AG439">
        <f>AND(IF(Metadata!G439="",FALSE,TRUE),exact(Metadata!G439,"years"))</f>
        <v>0</v>
      </c>
      <c r="AH439">
        <f>OR(AND(IF(Metadata!H439="",FALSE,TRUE),OR(exact(Metadata!H439,"not applicable"),exact(Metadata!H439,"not collected"),exact(Metadata!H439,"not provided"),exact(Metadata!H439,"restricted access"))),AND(IF(Metadata!H439="",FALSE,ISNUMBER(VALUE(Metadata!H439))),Metadata!H439&gt;0))</f>
        <v>0</v>
      </c>
      <c r="AI439">
        <f>AND(IF(Metadata!I439="",FALSE,TRUE),exact(Metadata!I439,"human"))</f>
        <v>0</v>
      </c>
      <c r="AJ439">
        <f>AND(IF(Metadata!J439="",FALSE,ISNUMBER(VALUE(Metadata!J439))),Metadata!J439&gt;0)</f>
        <v>0</v>
      </c>
      <c r="AK439">
        <f>AND(IF(Metadata!K439="",FALSE,TRUE),exact(Metadata!K439,"cm"))</f>
        <v>0</v>
      </c>
      <c r="AL439">
        <f>AND(IF(Metadata!L439="",FALSE,TRUE),exact(Metadata!L439,"Homo sapiens"))</f>
        <v>0</v>
      </c>
      <c r="AM439">
        <f>AND(IF(Metadata!M439="",FALSE,TRUE),exact(Metadata!M439,"9606"))</f>
        <v>0</v>
      </c>
      <c r="AN439">
        <f>AND(IF(Metadata!N439="",FALSE,ISNUMBER(VALUE(Metadata!N439))),Metadata!N439&gt;0)</f>
        <v>0</v>
      </c>
      <c r="AO439">
        <f>AND(IF(Metadata!O439="",FALSE,TRUE),exact(Metadata!O439,"kg"))</f>
        <v>0</v>
      </c>
      <c r="AP439">
        <f>OR(AND(IF(Metadata!P439="",FALSE,TRUE),exact(Metadata!P439,"not provided")),IF(Metadata!P439="",FALSE,TRUE))</f>
        <v>0</v>
      </c>
      <c r="AQ439">
        <f>OR(AND(IF(Metadata!Q439="",FALSE,TRUE),exact(Metadata!Q439,"not provided")),IF(Metadata!Q439="",FALSE,TRUE))</f>
        <v>0</v>
      </c>
    </row>
    <row r="440" spans="1:43">
      <c r="A440" s="4">
        <f>IF(B440=" "," ",HYPERLINK(CONCATENATE("#metadata!",ADDRESS(INDEX($W$2:$W$1001,MATCH(ROWS($U$2:U440),$U$2:$U$1001,0),0),2)),INDEX($Z$2:$Z$1001,MATCH(ROWS($U$2:U440),$U$2:$U$1001,0),0)))</f>
        <v>0</v>
      </c>
      <c r="B440" s="5">
        <f>IF(OR(INDEX($V$2:$V$1001,MATCH(ROWS($U$2:U440),$U$2:$U$1001,0),1)&gt;=100000,INDEX($AB$1005:$AQ$1005,1,MATCH(COLUMNS($AB$1006:AB1006),$AB$1006:$AQ$1006,0))&gt;=100000), " ",IF(INDEX($AB$2:$AQ$1001,MATCH(ROWS($U$2:U440),$U$2:$U$1001,0),MATCH(COLUMNS($AB$1006:AB1006),$AB$1006:$AQ$1006,0)), HYPERLINK("#",""), HYPERLINK(CONCATENATE("#Metadata!", ADDRESS(INDEX($W$2:$W$1001,MATCH(ROWS($U$2:U440),$U$2:$U$1001,0),0), INDEX($AB$1004:$AQ$1004,1,MATCH(COLUMNS($AB$1006:AB1006),$AB$1006:$AQ$1006,0)))),"Fix")))</f>
        <v>0</v>
      </c>
      <c r="C440" s="5">
        <f>IF(OR(INDEX($V$2:$V$1001,MATCH(ROWS($U$2:U440),$U$2:$U$1001,0),1)&gt;=100000,INDEX($AB$1005:$AQ$1005,1,MATCH(COLUMNS($AB$1006:AC1006),$AB$1006:$AQ$1006,0))&gt;=100000), " ",IF(INDEX($AB$2:$AQ$1001,MATCH(ROWS($U$2:U440),$U$2:$U$1001,0),MATCH(COLUMNS($AB$1006:AC1006),$AB$1006:$AQ$1006,0)), HYPERLINK("#",""), HYPERLINK(CONCATENATE("#Metadata!", ADDRESS(INDEX($W$2:$W$1001,MATCH(ROWS($U$2:U440),$U$2:$U$1001,0),0), INDEX($AB$1004:$AQ$1004,1,MATCH(COLUMNS($AB$1006:AC1006),$AB$1006:$AQ$1006,0)))),"Fix")))</f>
        <v>0</v>
      </c>
      <c r="D440" s="5">
        <f>IF(OR(INDEX($V$2:$V$1001,MATCH(ROWS($U$2:U440),$U$2:$U$1001,0),1)&gt;=100000,INDEX($AB$1005:$AQ$1005,1,MATCH(COLUMNS($AB$1006:AD1006),$AB$1006:$AQ$1006,0))&gt;=100000), " ",IF(INDEX($AB$2:$AQ$1001,MATCH(ROWS($U$2:U440),$U$2:$U$1001,0),MATCH(COLUMNS($AB$1006:AD1006),$AB$1006:$AQ$1006,0)), HYPERLINK("#",""), HYPERLINK(CONCATENATE("#Metadata!", ADDRESS(INDEX($W$2:$W$1001,MATCH(ROWS($U$2:U440),$U$2:$U$1001,0),0), INDEX($AB$1004:$AQ$1004,1,MATCH(COLUMNS($AB$1006:AD1006),$AB$1006:$AQ$1006,0)))),"Fix")))</f>
        <v>0</v>
      </c>
      <c r="E440" s="5">
        <f>IF(OR(INDEX($V$2:$V$1001,MATCH(ROWS($U$2:U440),$U$2:$U$1001,0),1)&gt;=100000,INDEX($AB$1005:$AQ$1005,1,MATCH(COLUMNS($AB$1006:AE1006),$AB$1006:$AQ$1006,0))&gt;=100000), " ",IF(INDEX($AB$2:$AQ$1001,MATCH(ROWS($U$2:U440),$U$2:$U$1001,0),MATCH(COLUMNS($AB$1006:AE1006),$AB$1006:$AQ$1006,0)), HYPERLINK("#",""), HYPERLINK(CONCATENATE("#Metadata!", ADDRESS(INDEX($W$2:$W$1001,MATCH(ROWS($U$2:U440),$U$2:$U$1001,0),0), INDEX($AB$1004:$AQ$1004,1,MATCH(COLUMNS($AB$1006:AE1006),$AB$1006:$AQ$1006,0)))),"Fix")))</f>
        <v>0</v>
      </c>
      <c r="F440" s="5">
        <f>IF(OR(INDEX($V$2:$V$1001,MATCH(ROWS($U$2:U440),$U$2:$U$1001,0),1)&gt;=100000,INDEX($AB$1005:$AQ$1005,1,MATCH(COLUMNS($AB$1006:AF1006),$AB$1006:$AQ$1006,0))&gt;=100000), " ",IF(INDEX($AB$2:$AQ$1001,MATCH(ROWS($U$2:U440),$U$2:$U$1001,0),MATCH(COLUMNS($AB$1006:AF1006),$AB$1006:$AQ$1006,0)), HYPERLINK("#",""), HYPERLINK(CONCATENATE("#Metadata!", ADDRESS(INDEX($W$2:$W$1001,MATCH(ROWS($U$2:U440),$U$2:$U$1001,0),0), INDEX($AB$1004:$AQ$1004,1,MATCH(COLUMNS($AB$1006:AF1006),$AB$1006:$AQ$1006,0)))),"Fix")))</f>
        <v>0</v>
      </c>
      <c r="G440" s="5">
        <f>IF(OR(INDEX($V$2:$V$1001,MATCH(ROWS($U$2:U440),$U$2:$U$1001,0),1)&gt;=100000,INDEX($AB$1005:$AQ$1005,1,MATCH(COLUMNS($AB$1006:AG1006),$AB$1006:$AQ$1006,0))&gt;=100000), " ",IF(INDEX($AB$2:$AQ$1001,MATCH(ROWS($U$2:U440),$U$2:$U$1001,0),MATCH(COLUMNS($AB$1006:AG1006),$AB$1006:$AQ$1006,0)), HYPERLINK("#",""), HYPERLINK(CONCATENATE("#Metadata!", ADDRESS(INDEX($W$2:$W$1001,MATCH(ROWS($U$2:U440),$U$2:$U$1001,0),0), INDEX($AB$1004:$AQ$1004,1,MATCH(COLUMNS($AB$1006:AG1006),$AB$1006:$AQ$1006,0)))),"Fix")))</f>
        <v>0</v>
      </c>
      <c r="H440" s="5">
        <f>IF(OR(INDEX($V$2:$V$1001,MATCH(ROWS($U$2:U440),$U$2:$U$1001,0),1)&gt;=100000,INDEX($AB$1005:$AQ$1005,1,MATCH(COLUMNS($AB$1006:AH1006),$AB$1006:$AQ$1006,0))&gt;=100000), " ",IF(INDEX($AB$2:$AQ$1001,MATCH(ROWS($U$2:U440),$U$2:$U$1001,0),MATCH(COLUMNS($AB$1006:AH1006),$AB$1006:$AQ$1006,0)), HYPERLINK("#",""), HYPERLINK(CONCATENATE("#Metadata!", ADDRESS(INDEX($W$2:$W$1001,MATCH(ROWS($U$2:U440),$U$2:$U$1001,0),0), INDEX($AB$1004:$AQ$1004,1,MATCH(COLUMNS($AB$1006:AH1006),$AB$1006:$AQ$1006,0)))),"Fix")))</f>
        <v>0</v>
      </c>
      <c r="I440" s="5">
        <f>IF(OR(INDEX($V$2:$V$1001,MATCH(ROWS($U$2:U440),$U$2:$U$1001,0),1)&gt;=100000,INDEX($AB$1005:$AQ$1005,1,MATCH(COLUMNS($AB$1006:AI1006),$AB$1006:$AQ$1006,0))&gt;=100000), " ",IF(INDEX($AB$2:$AQ$1001,MATCH(ROWS($U$2:U440),$U$2:$U$1001,0),MATCH(COLUMNS($AB$1006:AI1006),$AB$1006:$AQ$1006,0)), HYPERLINK("#",""), HYPERLINK(CONCATENATE("#Metadata!", ADDRESS(INDEX($W$2:$W$1001,MATCH(ROWS($U$2:U440),$U$2:$U$1001,0),0), INDEX($AB$1004:$AQ$1004,1,MATCH(COLUMNS($AB$1006:AI1006),$AB$1006:$AQ$1006,0)))),"Fix")))</f>
        <v>0</v>
      </c>
      <c r="J440" s="5">
        <f>IF(OR(INDEX($V$2:$V$1001,MATCH(ROWS($U$2:U440),$U$2:$U$1001,0),1)&gt;=100000,INDEX($AB$1005:$AQ$1005,1,MATCH(COLUMNS($AB$1006:AJ1006),$AB$1006:$AQ$1006,0))&gt;=100000), " ",IF(INDEX($AB$2:$AQ$1001,MATCH(ROWS($U$2:U440),$U$2:$U$1001,0),MATCH(COLUMNS($AB$1006:AJ1006),$AB$1006:$AQ$1006,0)), HYPERLINK("#",""), HYPERLINK(CONCATENATE("#Metadata!", ADDRESS(INDEX($W$2:$W$1001,MATCH(ROWS($U$2:U440),$U$2:$U$1001,0),0), INDEX($AB$1004:$AQ$1004,1,MATCH(COLUMNS($AB$1006:AJ1006),$AB$1006:$AQ$1006,0)))),"Fix")))</f>
        <v>0</v>
      </c>
      <c r="K440" s="5">
        <f>IF(OR(INDEX($V$2:$V$1001,MATCH(ROWS($U$2:U440),$U$2:$U$1001,0),1)&gt;=100000,INDEX($AB$1005:$AQ$1005,1,MATCH(COLUMNS($AB$1006:AK1006),$AB$1006:$AQ$1006,0))&gt;=100000), " ",IF(INDEX($AB$2:$AQ$1001,MATCH(ROWS($U$2:U440),$U$2:$U$1001,0),MATCH(COLUMNS($AB$1006:AK1006),$AB$1006:$AQ$1006,0)), HYPERLINK("#",""), HYPERLINK(CONCATENATE("#Metadata!", ADDRESS(INDEX($W$2:$W$1001,MATCH(ROWS($U$2:U440),$U$2:$U$1001,0),0), INDEX($AB$1004:$AQ$1004,1,MATCH(COLUMNS($AB$1006:AK1006),$AB$1006:$AQ$1006,0)))),"Fix")))</f>
        <v>0</v>
      </c>
      <c r="L440" s="5">
        <f>IF(OR(INDEX($V$2:$V$1001,MATCH(ROWS($U$2:U440),$U$2:$U$1001,0),1)&gt;=100000,INDEX($AB$1005:$AQ$1005,1,MATCH(COLUMNS($AB$1006:AL1006),$AB$1006:$AQ$1006,0))&gt;=100000), " ",IF(INDEX($AB$2:$AQ$1001,MATCH(ROWS($U$2:U440),$U$2:$U$1001,0),MATCH(COLUMNS($AB$1006:AL1006),$AB$1006:$AQ$1006,0)), HYPERLINK("#",""), HYPERLINK(CONCATENATE("#Metadata!", ADDRESS(INDEX($W$2:$W$1001,MATCH(ROWS($U$2:U440),$U$2:$U$1001,0),0), INDEX($AB$1004:$AQ$1004,1,MATCH(COLUMNS($AB$1006:AL1006),$AB$1006:$AQ$1006,0)))),"Fix")))</f>
        <v>0</v>
      </c>
      <c r="M440" s="5">
        <f>IF(OR(INDEX($V$2:$V$1001,MATCH(ROWS($U$2:U440),$U$2:$U$1001,0),1)&gt;=100000,INDEX($AB$1005:$AQ$1005,1,MATCH(COLUMNS($AB$1006:AM1006),$AB$1006:$AQ$1006,0))&gt;=100000), " ",IF(INDEX($AB$2:$AQ$1001,MATCH(ROWS($U$2:U440),$U$2:$U$1001,0),MATCH(COLUMNS($AB$1006:AM1006),$AB$1006:$AQ$1006,0)), HYPERLINK("#",""), HYPERLINK(CONCATENATE("#Metadata!", ADDRESS(INDEX($W$2:$W$1001,MATCH(ROWS($U$2:U440),$U$2:$U$1001,0),0), INDEX($AB$1004:$AQ$1004,1,MATCH(COLUMNS($AB$1006:AM1006),$AB$1006:$AQ$1006,0)))),"Fix")))</f>
        <v>0</v>
      </c>
      <c r="N440" s="5">
        <f>IF(OR(INDEX($V$2:$V$1001,MATCH(ROWS($U$2:U440),$U$2:$U$1001,0),1)&gt;=100000,INDEX($AB$1005:$AQ$1005,1,MATCH(COLUMNS($AB$1006:AN1006),$AB$1006:$AQ$1006,0))&gt;=100000), " ",IF(INDEX($AB$2:$AQ$1001,MATCH(ROWS($U$2:U440),$U$2:$U$1001,0),MATCH(COLUMNS($AB$1006:AN1006),$AB$1006:$AQ$1006,0)), HYPERLINK("#",""), HYPERLINK(CONCATENATE("#Metadata!", ADDRESS(INDEX($W$2:$W$1001,MATCH(ROWS($U$2:U440),$U$2:$U$1001,0),0), INDEX($AB$1004:$AQ$1004,1,MATCH(COLUMNS($AB$1006:AN1006),$AB$1006:$AQ$1006,0)))),"Fix")))</f>
        <v>0</v>
      </c>
      <c r="O440" s="5">
        <f>IF(OR(INDEX($V$2:$V$1001,MATCH(ROWS($U$2:U440),$U$2:$U$1001,0),1)&gt;=100000,INDEX($AB$1005:$AQ$1005,1,MATCH(COLUMNS($AB$1006:AO1006),$AB$1006:$AQ$1006,0))&gt;=100000), " ",IF(INDEX($AB$2:$AQ$1001,MATCH(ROWS($U$2:U440),$U$2:$U$1001,0),MATCH(COLUMNS($AB$1006:AO1006),$AB$1006:$AQ$1006,0)), HYPERLINK("#",""), HYPERLINK(CONCATENATE("#Metadata!", ADDRESS(INDEX($W$2:$W$1001,MATCH(ROWS($U$2:U440),$U$2:$U$1001,0),0), INDEX($AB$1004:$AQ$1004,1,MATCH(COLUMNS($AB$1006:AO1006),$AB$1006:$AQ$1006,0)))),"Fix")))</f>
        <v>0</v>
      </c>
      <c r="P440" s="5">
        <f>IF(OR(INDEX($V$2:$V$1001,MATCH(ROWS($U$2:U440),$U$2:$U$1001,0),1)&gt;=100000,INDEX($AB$1005:$AQ$1005,1,MATCH(COLUMNS($AB$1006:AP1006),$AB$1006:$AQ$1006,0))&gt;=100000), " ",IF(INDEX($AB$2:$AQ$1001,MATCH(ROWS($U$2:U440),$U$2:$U$1001,0),MATCH(COLUMNS($AB$1006:AP1006),$AB$1006:$AQ$1006,0)), HYPERLINK("#",""), HYPERLINK(CONCATENATE("#Metadata!", ADDRESS(INDEX($W$2:$W$1001,MATCH(ROWS($U$2:U440),$U$2:$U$1001,0),0), INDEX($AB$1004:$AQ$1004,1,MATCH(COLUMNS($AB$1006:AP1006),$AB$1006:$AQ$1006,0)))),"Fix")))</f>
        <v>0</v>
      </c>
      <c r="Q440" s="5">
        <f>IF(OR(INDEX($V$2:$V$1001,MATCH(ROWS($U$2:U440),$U$2:$U$1001,0),1)&gt;=100000,INDEX($AB$1005:$AQ$1005,1,MATCH(COLUMNS($AB$1006:AQ1006),$AB$1006:$AQ$1006,0))&gt;=100000), " ",IF(INDEX($AB$2:$AQ$1001,MATCH(ROWS($U$2:U440),$U$2:$U$1001,0),MATCH(COLUMNS($AB$1006:AQ1006),$AB$1006:$AQ$1006,0)), HYPERLINK("#",""), HYPERLINK(CONCATENATE("#Metadata!", ADDRESS(INDEX($W$2:$W$1001,MATCH(ROWS($U$2:U440),$U$2:$U$1001,0),0), INDEX($AB$1004:$AQ$1004,1,MATCH(COLUMNS($AB$1006:AQ1006),$AB$1006:$AQ$1006,0)))),"Fix")))</f>
        <v>0</v>
      </c>
      <c r="U440">
        <v>0</v>
      </c>
      <c r="V440">
        <v>0</v>
      </c>
      <c r="W440">
        <v>0</v>
      </c>
      <c r="X440">
        <f>IF(Y440,TRUE,AND(AB440:AQ440))</f>
        <v>0</v>
      </c>
      <c r="Y440">
        <f>COUNTBLANK(Metadata!B440:Q440)=COLUMNS(Metadata!B440:Q440)</f>
        <v>0</v>
      </c>
      <c r="Z440">
        <v>0</v>
      </c>
      <c r="AB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AC440">
        <f>AND(IF(Metadata!C440="",FALSE,TRUE),exact(Metadata!C440,"urban biome"))</f>
        <v>0</v>
      </c>
      <c r="AD440">
        <f>AND(IF(Metadata!D440="",FALSE,TRUE),exact(Metadata!D440,"human-associated habitat"))</f>
        <v>0</v>
      </c>
      <c r="AE440">
        <f>AND(IF(Metadata!E440="",FALSE,TRUE),OR(exact(Metadata!E440,"human-associated"),exact(Metadata!E440,"human-skin"),exact(Metadata!E440,"human-oral"),exact(Metadata!E440,"human-gut"),exact(Metadata!E440,"human-vaginal")))</f>
        <v>0</v>
      </c>
      <c r="AF440">
        <f>AND(IF(Metadata!F440="",FALSE,ISNUMBER(VALUE(Metadata!F440))),Metadata!F440&gt;0)</f>
        <v>0</v>
      </c>
      <c r="AG440">
        <f>AND(IF(Metadata!G440="",FALSE,TRUE),exact(Metadata!G440,"years"))</f>
        <v>0</v>
      </c>
      <c r="AH440">
        <f>OR(AND(IF(Metadata!H440="",FALSE,TRUE),OR(exact(Metadata!H440,"not applicable"),exact(Metadata!H440,"not collected"),exact(Metadata!H440,"not provided"),exact(Metadata!H440,"restricted access"))),AND(IF(Metadata!H440="",FALSE,ISNUMBER(VALUE(Metadata!H440))),Metadata!H440&gt;0))</f>
        <v>0</v>
      </c>
      <c r="AI440">
        <f>AND(IF(Metadata!I440="",FALSE,TRUE),exact(Metadata!I440,"human"))</f>
        <v>0</v>
      </c>
      <c r="AJ440">
        <f>AND(IF(Metadata!J440="",FALSE,ISNUMBER(VALUE(Metadata!J440))),Metadata!J440&gt;0)</f>
        <v>0</v>
      </c>
      <c r="AK440">
        <f>AND(IF(Metadata!K440="",FALSE,TRUE),exact(Metadata!K440,"cm"))</f>
        <v>0</v>
      </c>
      <c r="AL440">
        <f>AND(IF(Metadata!L440="",FALSE,TRUE),exact(Metadata!L440,"Homo sapiens"))</f>
        <v>0</v>
      </c>
      <c r="AM440">
        <f>AND(IF(Metadata!M440="",FALSE,TRUE),exact(Metadata!M440,"9606"))</f>
        <v>0</v>
      </c>
      <c r="AN440">
        <f>AND(IF(Metadata!N440="",FALSE,ISNUMBER(VALUE(Metadata!N440))),Metadata!N440&gt;0)</f>
        <v>0</v>
      </c>
      <c r="AO440">
        <f>AND(IF(Metadata!O440="",FALSE,TRUE),exact(Metadata!O440,"kg"))</f>
        <v>0</v>
      </c>
      <c r="AP440">
        <f>OR(AND(IF(Metadata!P440="",FALSE,TRUE),exact(Metadata!P440,"not provided")),IF(Metadata!P440="",FALSE,TRUE))</f>
        <v>0</v>
      </c>
      <c r="AQ440">
        <f>OR(AND(IF(Metadata!Q440="",FALSE,TRUE),exact(Metadata!Q440,"not provided")),IF(Metadata!Q440="",FALSE,TRUE))</f>
        <v>0</v>
      </c>
    </row>
    <row r="441" spans="1:43">
      <c r="A441" s="4">
        <f>IF(B441=" "," ",HYPERLINK(CONCATENATE("#metadata!",ADDRESS(INDEX($W$2:$W$1001,MATCH(ROWS($U$2:U441),$U$2:$U$1001,0),0),2)),INDEX($Z$2:$Z$1001,MATCH(ROWS($U$2:U441),$U$2:$U$1001,0),0)))</f>
        <v>0</v>
      </c>
      <c r="B441" s="5">
        <f>IF(OR(INDEX($V$2:$V$1001,MATCH(ROWS($U$2:U441),$U$2:$U$1001,0),1)&gt;=100000,INDEX($AB$1005:$AQ$1005,1,MATCH(COLUMNS($AB$1006:AB1006),$AB$1006:$AQ$1006,0))&gt;=100000), " ",IF(INDEX($AB$2:$AQ$1001,MATCH(ROWS($U$2:U441),$U$2:$U$1001,0),MATCH(COLUMNS($AB$1006:AB1006),$AB$1006:$AQ$1006,0)), HYPERLINK("#",""), HYPERLINK(CONCATENATE("#Metadata!", ADDRESS(INDEX($W$2:$W$1001,MATCH(ROWS($U$2:U441),$U$2:$U$1001,0),0), INDEX($AB$1004:$AQ$1004,1,MATCH(COLUMNS($AB$1006:AB1006),$AB$1006:$AQ$1006,0)))),"Fix")))</f>
        <v>0</v>
      </c>
      <c r="C441" s="5">
        <f>IF(OR(INDEX($V$2:$V$1001,MATCH(ROWS($U$2:U441),$U$2:$U$1001,0),1)&gt;=100000,INDEX($AB$1005:$AQ$1005,1,MATCH(COLUMNS($AB$1006:AC1006),$AB$1006:$AQ$1006,0))&gt;=100000), " ",IF(INDEX($AB$2:$AQ$1001,MATCH(ROWS($U$2:U441),$U$2:$U$1001,0),MATCH(COLUMNS($AB$1006:AC1006),$AB$1006:$AQ$1006,0)), HYPERLINK("#",""), HYPERLINK(CONCATENATE("#Metadata!", ADDRESS(INDEX($W$2:$W$1001,MATCH(ROWS($U$2:U441),$U$2:$U$1001,0),0), INDEX($AB$1004:$AQ$1004,1,MATCH(COLUMNS($AB$1006:AC1006),$AB$1006:$AQ$1006,0)))),"Fix")))</f>
        <v>0</v>
      </c>
      <c r="D441" s="5">
        <f>IF(OR(INDEX($V$2:$V$1001,MATCH(ROWS($U$2:U441),$U$2:$U$1001,0),1)&gt;=100000,INDEX($AB$1005:$AQ$1005,1,MATCH(COLUMNS($AB$1006:AD1006),$AB$1006:$AQ$1006,0))&gt;=100000), " ",IF(INDEX($AB$2:$AQ$1001,MATCH(ROWS($U$2:U441),$U$2:$U$1001,0),MATCH(COLUMNS($AB$1006:AD1006),$AB$1006:$AQ$1006,0)), HYPERLINK("#",""), HYPERLINK(CONCATENATE("#Metadata!", ADDRESS(INDEX($W$2:$W$1001,MATCH(ROWS($U$2:U441),$U$2:$U$1001,0),0), INDEX($AB$1004:$AQ$1004,1,MATCH(COLUMNS($AB$1006:AD1006),$AB$1006:$AQ$1006,0)))),"Fix")))</f>
        <v>0</v>
      </c>
      <c r="E441" s="5">
        <f>IF(OR(INDEX($V$2:$V$1001,MATCH(ROWS($U$2:U441),$U$2:$U$1001,0),1)&gt;=100000,INDEX($AB$1005:$AQ$1005,1,MATCH(COLUMNS($AB$1006:AE1006),$AB$1006:$AQ$1006,0))&gt;=100000), " ",IF(INDEX($AB$2:$AQ$1001,MATCH(ROWS($U$2:U441),$U$2:$U$1001,0),MATCH(COLUMNS($AB$1006:AE1006),$AB$1006:$AQ$1006,0)), HYPERLINK("#",""), HYPERLINK(CONCATENATE("#Metadata!", ADDRESS(INDEX($W$2:$W$1001,MATCH(ROWS($U$2:U441),$U$2:$U$1001,0),0), INDEX($AB$1004:$AQ$1004,1,MATCH(COLUMNS($AB$1006:AE1006),$AB$1006:$AQ$1006,0)))),"Fix")))</f>
        <v>0</v>
      </c>
      <c r="F441" s="5">
        <f>IF(OR(INDEX($V$2:$V$1001,MATCH(ROWS($U$2:U441),$U$2:$U$1001,0),1)&gt;=100000,INDEX($AB$1005:$AQ$1005,1,MATCH(COLUMNS($AB$1006:AF1006),$AB$1006:$AQ$1006,0))&gt;=100000), " ",IF(INDEX($AB$2:$AQ$1001,MATCH(ROWS($U$2:U441),$U$2:$U$1001,0),MATCH(COLUMNS($AB$1006:AF1006),$AB$1006:$AQ$1006,0)), HYPERLINK("#",""), HYPERLINK(CONCATENATE("#Metadata!", ADDRESS(INDEX($W$2:$W$1001,MATCH(ROWS($U$2:U441),$U$2:$U$1001,0),0), INDEX($AB$1004:$AQ$1004,1,MATCH(COLUMNS($AB$1006:AF1006),$AB$1006:$AQ$1006,0)))),"Fix")))</f>
        <v>0</v>
      </c>
      <c r="G441" s="5">
        <f>IF(OR(INDEX($V$2:$V$1001,MATCH(ROWS($U$2:U441),$U$2:$U$1001,0),1)&gt;=100000,INDEX($AB$1005:$AQ$1005,1,MATCH(COLUMNS($AB$1006:AG1006),$AB$1006:$AQ$1006,0))&gt;=100000), " ",IF(INDEX($AB$2:$AQ$1001,MATCH(ROWS($U$2:U441),$U$2:$U$1001,0),MATCH(COLUMNS($AB$1006:AG1006),$AB$1006:$AQ$1006,0)), HYPERLINK("#",""), HYPERLINK(CONCATENATE("#Metadata!", ADDRESS(INDEX($W$2:$W$1001,MATCH(ROWS($U$2:U441),$U$2:$U$1001,0),0), INDEX($AB$1004:$AQ$1004,1,MATCH(COLUMNS($AB$1006:AG1006),$AB$1006:$AQ$1006,0)))),"Fix")))</f>
        <v>0</v>
      </c>
      <c r="H441" s="5">
        <f>IF(OR(INDEX($V$2:$V$1001,MATCH(ROWS($U$2:U441),$U$2:$U$1001,0),1)&gt;=100000,INDEX($AB$1005:$AQ$1005,1,MATCH(COLUMNS($AB$1006:AH1006),$AB$1006:$AQ$1006,0))&gt;=100000), " ",IF(INDEX($AB$2:$AQ$1001,MATCH(ROWS($U$2:U441),$U$2:$U$1001,0),MATCH(COLUMNS($AB$1006:AH1006),$AB$1006:$AQ$1006,0)), HYPERLINK("#",""), HYPERLINK(CONCATENATE("#Metadata!", ADDRESS(INDEX($W$2:$W$1001,MATCH(ROWS($U$2:U441),$U$2:$U$1001,0),0), INDEX($AB$1004:$AQ$1004,1,MATCH(COLUMNS($AB$1006:AH1006),$AB$1006:$AQ$1006,0)))),"Fix")))</f>
        <v>0</v>
      </c>
      <c r="I441" s="5">
        <f>IF(OR(INDEX($V$2:$V$1001,MATCH(ROWS($U$2:U441),$U$2:$U$1001,0),1)&gt;=100000,INDEX($AB$1005:$AQ$1005,1,MATCH(COLUMNS($AB$1006:AI1006),$AB$1006:$AQ$1006,0))&gt;=100000), " ",IF(INDEX($AB$2:$AQ$1001,MATCH(ROWS($U$2:U441),$U$2:$U$1001,0),MATCH(COLUMNS($AB$1006:AI1006),$AB$1006:$AQ$1006,0)), HYPERLINK("#",""), HYPERLINK(CONCATENATE("#Metadata!", ADDRESS(INDEX($W$2:$W$1001,MATCH(ROWS($U$2:U441),$U$2:$U$1001,0),0), INDEX($AB$1004:$AQ$1004,1,MATCH(COLUMNS($AB$1006:AI1006),$AB$1006:$AQ$1006,0)))),"Fix")))</f>
        <v>0</v>
      </c>
      <c r="J441" s="5">
        <f>IF(OR(INDEX($V$2:$V$1001,MATCH(ROWS($U$2:U441),$U$2:$U$1001,0),1)&gt;=100000,INDEX($AB$1005:$AQ$1005,1,MATCH(COLUMNS($AB$1006:AJ1006),$AB$1006:$AQ$1006,0))&gt;=100000), " ",IF(INDEX($AB$2:$AQ$1001,MATCH(ROWS($U$2:U441),$U$2:$U$1001,0),MATCH(COLUMNS($AB$1006:AJ1006),$AB$1006:$AQ$1006,0)), HYPERLINK("#",""), HYPERLINK(CONCATENATE("#Metadata!", ADDRESS(INDEX($W$2:$W$1001,MATCH(ROWS($U$2:U441),$U$2:$U$1001,0),0), INDEX($AB$1004:$AQ$1004,1,MATCH(COLUMNS($AB$1006:AJ1006),$AB$1006:$AQ$1006,0)))),"Fix")))</f>
        <v>0</v>
      </c>
      <c r="K441" s="5">
        <f>IF(OR(INDEX($V$2:$V$1001,MATCH(ROWS($U$2:U441),$U$2:$U$1001,0),1)&gt;=100000,INDEX($AB$1005:$AQ$1005,1,MATCH(COLUMNS($AB$1006:AK1006),$AB$1006:$AQ$1006,0))&gt;=100000), " ",IF(INDEX($AB$2:$AQ$1001,MATCH(ROWS($U$2:U441),$U$2:$U$1001,0),MATCH(COLUMNS($AB$1006:AK1006),$AB$1006:$AQ$1006,0)), HYPERLINK("#",""), HYPERLINK(CONCATENATE("#Metadata!", ADDRESS(INDEX($W$2:$W$1001,MATCH(ROWS($U$2:U441),$U$2:$U$1001,0),0), INDEX($AB$1004:$AQ$1004,1,MATCH(COLUMNS($AB$1006:AK1006),$AB$1006:$AQ$1006,0)))),"Fix")))</f>
        <v>0</v>
      </c>
      <c r="L441" s="5">
        <f>IF(OR(INDEX($V$2:$V$1001,MATCH(ROWS($U$2:U441),$U$2:$U$1001,0),1)&gt;=100000,INDEX($AB$1005:$AQ$1005,1,MATCH(COLUMNS($AB$1006:AL1006),$AB$1006:$AQ$1006,0))&gt;=100000), " ",IF(INDEX($AB$2:$AQ$1001,MATCH(ROWS($U$2:U441),$U$2:$U$1001,0),MATCH(COLUMNS($AB$1006:AL1006),$AB$1006:$AQ$1006,0)), HYPERLINK("#",""), HYPERLINK(CONCATENATE("#Metadata!", ADDRESS(INDEX($W$2:$W$1001,MATCH(ROWS($U$2:U441),$U$2:$U$1001,0),0), INDEX($AB$1004:$AQ$1004,1,MATCH(COLUMNS($AB$1006:AL1006),$AB$1006:$AQ$1006,0)))),"Fix")))</f>
        <v>0</v>
      </c>
      <c r="M441" s="5">
        <f>IF(OR(INDEX($V$2:$V$1001,MATCH(ROWS($U$2:U441),$U$2:$U$1001,0),1)&gt;=100000,INDEX($AB$1005:$AQ$1005,1,MATCH(COLUMNS($AB$1006:AM1006),$AB$1006:$AQ$1006,0))&gt;=100000), " ",IF(INDEX($AB$2:$AQ$1001,MATCH(ROWS($U$2:U441),$U$2:$U$1001,0),MATCH(COLUMNS($AB$1006:AM1006),$AB$1006:$AQ$1006,0)), HYPERLINK("#",""), HYPERLINK(CONCATENATE("#Metadata!", ADDRESS(INDEX($W$2:$W$1001,MATCH(ROWS($U$2:U441),$U$2:$U$1001,0),0), INDEX($AB$1004:$AQ$1004,1,MATCH(COLUMNS($AB$1006:AM1006),$AB$1006:$AQ$1006,0)))),"Fix")))</f>
        <v>0</v>
      </c>
      <c r="N441" s="5">
        <f>IF(OR(INDEX($V$2:$V$1001,MATCH(ROWS($U$2:U441),$U$2:$U$1001,0),1)&gt;=100000,INDEX($AB$1005:$AQ$1005,1,MATCH(COLUMNS($AB$1006:AN1006),$AB$1006:$AQ$1006,0))&gt;=100000), " ",IF(INDEX($AB$2:$AQ$1001,MATCH(ROWS($U$2:U441),$U$2:$U$1001,0),MATCH(COLUMNS($AB$1006:AN1006),$AB$1006:$AQ$1006,0)), HYPERLINK("#",""), HYPERLINK(CONCATENATE("#Metadata!", ADDRESS(INDEX($W$2:$W$1001,MATCH(ROWS($U$2:U441),$U$2:$U$1001,0),0), INDEX($AB$1004:$AQ$1004,1,MATCH(COLUMNS($AB$1006:AN1006),$AB$1006:$AQ$1006,0)))),"Fix")))</f>
        <v>0</v>
      </c>
      <c r="O441" s="5">
        <f>IF(OR(INDEX($V$2:$V$1001,MATCH(ROWS($U$2:U441),$U$2:$U$1001,0),1)&gt;=100000,INDEX($AB$1005:$AQ$1005,1,MATCH(COLUMNS($AB$1006:AO1006),$AB$1006:$AQ$1006,0))&gt;=100000), " ",IF(INDEX($AB$2:$AQ$1001,MATCH(ROWS($U$2:U441),$U$2:$U$1001,0),MATCH(COLUMNS($AB$1006:AO1006),$AB$1006:$AQ$1006,0)), HYPERLINK("#",""), HYPERLINK(CONCATENATE("#Metadata!", ADDRESS(INDEX($W$2:$W$1001,MATCH(ROWS($U$2:U441),$U$2:$U$1001,0),0), INDEX($AB$1004:$AQ$1004,1,MATCH(COLUMNS($AB$1006:AO1006),$AB$1006:$AQ$1006,0)))),"Fix")))</f>
        <v>0</v>
      </c>
      <c r="P441" s="5">
        <f>IF(OR(INDEX($V$2:$V$1001,MATCH(ROWS($U$2:U441),$U$2:$U$1001,0),1)&gt;=100000,INDEX($AB$1005:$AQ$1005,1,MATCH(COLUMNS($AB$1006:AP1006),$AB$1006:$AQ$1006,0))&gt;=100000), " ",IF(INDEX($AB$2:$AQ$1001,MATCH(ROWS($U$2:U441),$U$2:$U$1001,0),MATCH(COLUMNS($AB$1006:AP1006),$AB$1006:$AQ$1006,0)), HYPERLINK("#",""), HYPERLINK(CONCATENATE("#Metadata!", ADDRESS(INDEX($W$2:$W$1001,MATCH(ROWS($U$2:U441),$U$2:$U$1001,0),0), INDEX($AB$1004:$AQ$1004,1,MATCH(COLUMNS($AB$1006:AP1006),$AB$1006:$AQ$1006,0)))),"Fix")))</f>
        <v>0</v>
      </c>
      <c r="Q441" s="5">
        <f>IF(OR(INDEX($V$2:$V$1001,MATCH(ROWS($U$2:U441),$U$2:$U$1001,0),1)&gt;=100000,INDEX($AB$1005:$AQ$1005,1,MATCH(COLUMNS($AB$1006:AQ1006),$AB$1006:$AQ$1006,0))&gt;=100000), " ",IF(INDEX($AB$2:$AQ$1001,MATCH(ROWS($U$2:U441),$U$2:$U$1001,0),MATCH(COLUMNS($AB$1006:AQ1006),$AB$1006:$AQ$1006,0)), HYPERLINK("#",""), HYPERLINK(CONCATENATE("#Metadata!", ADDRESS(INDEX($W$2:$W$1001,MATCH(ROWS($U$2:U441),$U$2:$U$1001,0),0), INDEX($AB$1004:$AQ$1004,1,MATCH(COLUMNS($AB$1006:AQ1006),$AB$1006:$AQ$1006,0)))),"Fix")))</f>
        <v>0</v>
      </c>
      <c r="U441">
        <v>0</v>
      </c>
      <c r="V441">
        <v>0</v>
      </c>
      <c r="W441">
        <v>0</v>
      </c>
      <c r="X441">
        <f>IF(Y441,TRUE,AND(AB441:AQ441))</f>
        <v>0</v>
      </c>
      <c r="Y441">
        <f>COUNTBLANK(Metadata!B441:Q441)=COLUMNS(Metadata!B441:Q441)</f>
        <v>0</v>
      </c>
      <c r="Z441">
        <v>0</v>
      </c>
      <c r="AB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AC441">
        <f>AND(IF(Metadata!C441="",FALSE,TRUE),exact(Metadata!C441,"urban biome"))</f>
        <v>0</v>
      </c>
      <c r="AD441">
        <f>AND(IF(Metadata!D441="",FALSE,TRUE),exact(Metadata!D441,"human-associated habitat"))</f>
        <v>0</v>
      </c>
      <c r="AE441">
        <f>AND(IF(Metadata!E441="",FALSE,TRUE),OR(exact(Metadata!E441,"human-associated"),exact(Metadata!E441,"human-skin"),exact(Metadata!E441,"human-oral"),exact(Metadata!E441,"human-gut"),exact(Metadata!E441,"human-vaginal")))</f>
        <v>0</v>
      </c>
      <c r="AF441">
        <f>AND(IF(Metadata!F441="",FALSE,ISNUMBER(VALUE(Metadata!F441))),Metadata!F441&gt;0)</f>
        <v>0</v>
      </c>
      <c r="AG441">
        <f>AND(IF(Metadata!G441="",FALSE,TRUE),exact(Metadata!G441,"years"))</f>
        <v>0</v>
      </c>
      <c r="AH441">
        <f>OR(AND(IF(Metadata!H441="",FALSE,TRUE),OR(exact(Metadata!H441,"not applicable"),exact(Metadata!H441,"not collected"),exact(Metadata!H441,"not provided"),exact(Metadata!H441,"restricted access"))),AND(IF(Metadata!H441="",FALSE,ISNUMBER(VALUE(Metadata!H441))),Metadata!H441&gt;0))</f>
        <v>0</v>
      </c>
      <c r="AI441">
        <f>AND(IF(Metadata!I441="",FALSE,TRUE),exact(Metadata!I441,"human"))</f>
        <v>0</v>
      </c>
      <c r="AJ441">
        <f>AND(IF(Metadata!J441="",FALSE,ISNUMBER(VALUE(Metadata!J441))),Metadata!J441&gt;0)</f>
        <v>0</v>
      </c>
      <c r="AK441">
        <f>AND(IF(Metadata!K441="",FALSE,TRUE),exact(Metadata!K441,"cm"))</f>
        <v>0</v>
      </c>
      <c r="AL441">
        <f>AND(IF(Metadata!L441="",FALSE,TRUE),exact(Metadata!L441,"Homo sapiens"))</f>
        <v>0</v>
      </c>
      <c r="AM441">
        <f>AND(IF(Metadata!M441="",FALSE,TRUE),exact(Metadata!M441,"9606"))</f>
        <v>0</v>
      </c>
      <c r="AN441">
        <f>AND(IF(Metadata!N441="",FALSE,ISNUMBER(VALUE(Metadata!N441))),Metadata!N441&gt;0)</f>
        <v>0</v>
      </c>
      <c r="AO441">
        <f>AND(IF(Metadata!O441="",FALSE,TRUE),exact(Metadata!O441,"kg"))</f>
        <v>0</v>
      </c>
      <c r="AP441">
        <f>OR(AND(IF(Metadata!P441="",FALSE,TRUE),exact(Metadata!P441,"not provided")),IF(Metadata!P441="",FALSE,TRUE))</f>
        <v>0</v>
      </c>
      <c r="AQ441">
        <f>OR(AND(IF(Metadata!Q441="",FALSE,TRUE),exact(Metadata!Q441,"not provided")),IF(Metadata!Q441="",FALSE,TRUE))</f>
        <v>0</v>
      </c>
    </row>
    <row r="442" spans="1:43">
      <c r="A442" s="4">
        <f>IF(B442=" "," ",HYPERLINK(CONCATENATE("#metadata!",ADDRESS(INDEX($W$2:$W$1001,MATCH(ROWS($U$2:U442),$U$2:$U$1001,0),0),2)),INDEX($Z$2:$Z$1001,MATCH(ROWS($U$2:U442),$U$2:$U$1001,0),0)))</f>
        <v>0</v>
      </c>
      <c r="B442" s="5">
        <f>IF(OR(INDEX($V$2:$V$1001,MATCH(ROWS($U$2:U442),$U$2:$U$1001,0),1)&gt;=100000,INDEX($AB$1005:$AQ$1005,1,MATCH(COLUMNS($AB$1006:AB1006),$AB$1006:$AQ$1006,0))&gt;=100000), " ",IF(INDEX($AB$2:$AQ$1001,MATCH(ROWS($U$2:U442),$U$2:$U$1001,0),MATCH(COLUMNS($AB$1006:AB1006),$AB$1006:$AQ$1006,0)), HYPERLINK("#",""), HYPERLINK(CONCATENATE("#Metadata!", ADDRESS(INDEX($W$2:$W$1001,MATCH(ROWS($U$2:U442),$U$2:$U$1001,0),0), INDEX($AB$1004:$AQ$1004,1,MATCH(COLUMNS($AB$1006:AB1006),$AB$1006:$AQ$1006,0)))),"Fix")))</f>
        <v>0</v>
      </c>
      <c r="C442" s="5">
        <f>IF(OR(INDEX($V$2:$V$1001,MATCH(ROWS($U$2:U442),$U$2:$U$1001,0),1)&gt;=100000,INDEX($AB$1005:$AQ$1005,1,MATCH(COLUMNS($AB$1006:AC1006),$AB$1006:$AQ$1006,0))&gt;=100000), " ",IF(INDEX($AB$2:$AQ$1001,MATCH(ROWS($U$2:U442),$U$2:$U$1001,0),MATCH(COLUMNS($AB$1006:AC1006),$AB$1006:$AQ$1006,0)), HYPERLINK("#",""), HYPERLINK(CONCATENATE("#Metadata!", ADDRESS(INDEX($W$2:$W$1001,MATCH(ROWS($U$2:U442),$U$2:$U$1001,0),0), INDEX($AB$1004:$AQ$1004,1,MATCH(COLUMNS($AB$1006:AC1006),$AB$1006:$AQ$1006,0)))),"Fix")))</f>
        <v>0</v>
      </c>
      <c r="D442" s="5">
        <f>IF(OR(INDEX($V$2:$V$1001,MATCH(ROWS($U$2:U442),$U$2:$U$1001,0),1)&gt;=100000,INDEX($AB$1005:$AQ$1005,1,MATCH(COLUMNS($AB$1006:AD1006),$AB$1006:$AQ$1006,0))&gt;=100000), " ",IF(INDEX($AB$2:$AQ$1001,MATCH(ROWS($U$2:U442),$U$2:$U$1001,0),MATCH(COLUMNS($AB$1006:AD1006),$AB$1006:$AQ$1006,0)), HYPERLINK("#",""), HYPERLINK(CONCATENATE("#Metadata!", ADDRESS(INDEX($W$2:$W$1001,MATCH(ROWS($U$2:U442),$U$2:$U$1001,0),0), INDEX($AB$1004:$AQ$1004,1,MATCH(COLUMNS($AB$1006:AD1006),$AB$1006:$AQ$1006,0)))),"Fix")))</f>
        <v>0</v>
      </c>
      <c r="E442" s="5">
        <f>IF(OR(INDEX($V$2:$V$1001,MATCH(ROWS($U$2:U442),$U$2:$U$1001,0),1)&gt;=100000,INDEX($AB$1005:$AQ$1005,1,MATCH(COLUMNS($AB$1006:AE1006),$AB$1006:$AQ$1006,0))&gt;=100000), " ",IF(INDEX($AB$2:$AQ$1001,MATCH(ROWS($U$2:U442),$U$2:$U$1001,0),MATCH(COLUMNS($AB$1006:AE1006),$AB$1006:$AQ$1006,0)), HYPERLINK("#",""), HYPERLINK(CONCATENATE("#Metadata!", ADDRESS(INDEX($W$2:$W$1001,MATCH(ROWS($U$2:U442),$U$2:$U$1001,0),0), INDEX($AB$1004:$AQ$1004,1,MATCH(COLUMNS($AB$1006:AE1006),$AB$1006:$AQ$1006,0)))),"Fix")))</f>
        <v>0</v>
      </c>
      <c r="F442" s="5">
        <f>IF(OR(INDEX($V$2:$V$1001,MATCH(ROWS($U$2:U442),$U$2:$U$1001,0),1)&gt;=100000,INDEX($AB$1005:$AQ$1005,1,MATCH(COLUMNS($AB$1006:AF1006),$AB$1006:$AQ$1006,0))&gt;=100000), " ",IF(INDEX($AB$2:$AQ$1001,MATCH(ROWS($U$2:U442),$U$2:$U$1001,0),MATCH(COLUMNS($AB$1006:AF1006),$AB$1006:$AQ$1006,0)), HYPERLINK("#",""), HYPERLINK(CONCATENATE("#Metadata!", ADDRESS(INDEX($W$2:$W$1001,MATCH(ROWS($U$2:U442),$U$2:$U$1001,0),0), INDEX($AB$1004:$AQ$1004,1,MATCH(COLUMNS($AB$1006:AF1006),$AB$1006:$AQ$1006,0)))),"Fix")))</f>
        <v>0</v>
      </c>
      <c r="G442" s="5">
        <f>IF(OR(INDEX($V$2:$V$1001,MATCH(ROWS($U$2:U442),$U$2:$U$1001,0),1)&gt;=100000,INDEX($AB$1005:$AQ$1005,1,MATCH(COLUMNS($AB$1006:AG1006),$AB$1006:$AQ$1006,0))&gt;=100000), " ",IF(INDEX($AB$2:$AQ$1001,MATCH(ROWS($U$2:U442),$U$2:$U$1001,0),MATCH(COLUMNS($AB$1006:AG1006),$AB$1006:$AQ$1006,0)), HYPERLINK("#",""), HYPERLINK(CONCATENATE("#Metadata!", ADDRESS(INDEX($W$2:$W$1001,MATCH(ROWS($U$2:U442),$U$2:$U$1001,0),0), INDEX($AB$1004:$AQ$1004,1,MATCH(COLUMNS($AB$1006:AG1006),$AB$1006:$AQ$1006,0)))),"Fix")))</f>
        <v>0</v>
      </c>
      <c r="H442" s="5">
        <f>IF(OR(INDEX($V$2:$V$1001,MATCH(ROWS($U$2:U442),$U$2:$U$1001,0),1)&gt;=100000,INDEX($AB$1005:$AQ$1005,1,MATCH(COLUMNS($AB$1006:AH1006),$AB$1006:$AQ$1006,0))&gt;=100000), " ",IF(INDEX($AB$2:$AQ$1001,MATCH(ROWS($U$2:U442),$U$2:$U$1001,0),MATCH(COLUMNS($AB$1006:AH1006),$AB$1006:$AQ$1006,0)), HYPERLINK("#",""), HYPERLINK(CONCATENATE("#Metadata!", ADDRESS(INDEX($W$2:$W$1001,MATCH(ROWS($U$2:U442),$U$2:$U$1001,0),0), INDEX($AB$1004:$AQ$1004,1,MATCH(COLUMNS($AB$1006:AH1006),$AB$1006:$AQ$1006,0)))),"Fix")))</f>
        <v>0</v>
      </c>
      <c r="I442" s="5">
        <f>IF(OR(INDEX($V$2:$V$1001,MATCH(ROWS($U$2:U442),$U$2:$U$1001,0),1)&gt;=100000,INDEX($AB$1005:$AQ$1005,1,MATCH(COLUMNS($AB$1006:AI1006),$AB$1006:$AQ$1006,0))&gt;=100000), " ",IF(INDEX($AB$2:$AQ$1001,MATCH(ROWS($U$2:U442),$U$2:$U$1001,0),MATCH(COLUMNS($AB$1006:AI1006),$AB$1006:$AQ$1006,0)), HYPERLINK("#",""), HYPERLINK(CONCATENATE("#Metadata!", ADDRESS(INDEX($W$2:$W$1001,MATCH(ROWS($U$2:U442),$U$2:$U$1001,0),0), INDEX($AB$1004:$AQ$1004,1,MATCH(COLUMNS($AB$1006:AI1006),$AB$1006:$AQ$1006,0)))),"Fix")))</f>
        <v>0</v>
      </c>
      <c r="J442" s="5">
        <f>IF(OR(INDEX($V$2:$V$1001,MATCH(ROWS($U$2:U442),$U$2:$U$1001,0),1)&gt;=100000,INDEX($AB$1005:$AQ$1005,1,MATCH(COLUMNS($AB$1006:AJ1006),$AB$1006:$AQ$1006,0))&gt;=100000), " ",IF(INDEX($AB$2:$AQ$1001,MATCH(ROWS($U$2:U442),$U$2:$U$1001,0),MATCH(COLUMNS($AB$1006:AJ1006),$AB$1006:$AQ$1006,0)), HYPERLINK("#",""), HYPERLINK(CONCATENATE("#Metadata!", ADDRESS(INDEX($W$2:$W$1001,MATCH(ROWS($U$2:U442),$U$2:$U$1001,0),0), INDEX($AB$1004:$AQ$1004,1,MATCH(COLUMNS($AB$1006:AJ1006),$AB$1006:$AQ$1006,0)))),"Fix")))</f>
        <v>0</v>
      </c>
      <c r="K442" s="5">
        <f>IF(OR(INDEX($V$2:$V$1001,MATCH(ROWS($U$2:U442),$U$2:$U$1001,0),1)&gt;=100000,INDEX($AB$1005:$AQ$1005,1,MATCH(COLUMNS($AB$1006:AK1006),$AB$1006:$AQ$1006,0))&gt;=100000), " ",IF(INDEX($AB$2:$AQ$1001,MATCH(ROWS($U$2:U442),$U$2:$U$1001,0),MATCH(COLUMNS($AB$1006:AK1006),$AB$1006:$AQ$1006,0)), HYPERLINK("#",""), HYPERLINK(CONCATENATE("#Metadata!", ADDRESS(INDEX($W$2:$W$1001,MATCH(ROWS($U$2:U442),$U$2:$U$1001,0),0), INDEX($AB$1004:$AQ$1004,1,MATCH(COLUMNS($AB$1006:AK1006),$AB$1006:$AQ$1006,0)))),"Fix")))</f>
        <v>0</v>
      </c>
      <c r="L442" s="5">
        <f>IF(OR(INDEX($V$2:$V$1001,MATCH(ROWS($U$2:U442),$U$2:$U$1001,0),1)&gt;=100000,INDEX($AB$1005:$AQ$1005,1,MATCH(COLUMNS($AB$1006:AL1006),$AB$1006:$AQ$1006,0))&gt;=100000), " ",IF(INDEX($AB$2:$AQ$1001,MATCH(ROWS($U$2:U442),$U$2:$U$1001,0),MATCH(COLUMNS($AB$1006:AL1006),$AB$1006:$AQ$1006,0)), HYPERLINK("#",""), HYPERLINK(CONCATENATE("#Metadata!", ADDRESS(INDEX($W$2:$W$1001,MATCH(ROWS($U$2:U442),$U$2:$U$1001,0),0), INDEX($AB$1004:$AQ$1004,1,MATCH(COLUMNS($AB$1006:AL1006),$AB$1006:$AQ$1006,0)))),"Fix")))</f>
        <v>0</v>
      </c>
      <c r="M442" s="5">
        <f>IF(OR(INDEX($V$2:$V$1001,MATCH(ROWS($U$2:U442),$U$2:$U$1001,0),1)&gt;=100000,INDEX($AB$1005:$AQ$1005,1,MATCH(COLUMNS($AB$1006:AM1006),$AB$1006:$AQ$1006,0))&gt;=100000), " ",IF(INDEX($AB$2:$AQ$1001,MATCH(ROWS($U$2:U442),$U$2:$U$1001,0),MATCH(COLUMNS($AB$1006:AM1006),$AB$1006:$AQ$1006,0)), HYPERLINK("#",""), HYPERLINK(CONCATENATE("#Metadata!", ADDRESS(INDEX($W$2:$W$1001,MATCH(ROWS($U$2:U442),$U$2:$U$1001,0),0), INDEX($AB$1004:$AQ$1004,1,MATCH(COLUMNS($AB$1006:AM1006),$AB$1006:$AQ$1006,0)))),"Fix")))</f>
        <v>0</v>
      </c>
      <c r="N442" s="5">
        <f>IF(OR(INDEX($V$2:$V$1001,MATCH(ROWS($U$2:U442),$U$2:$U$1001,0),1)&gt;=100000,INDEX($AB$1005:$AQ$1005,1,MATCH(COLUMNS($AB$1006:AN1006),$AB$1006:$AQ$1006,0))&gt;=100000), " ",IF(INDEX($AB$2:$AQ$1001,MATCH(ROWS($U$2:U442),$U$2:$U$1001,0),MATCH(COLUMNS($AB$1006:AN1006),$AB$1006:$AQ$1006,0)), HYPERLINK("#",""), HYPERLINK(CONCATENATE("#Metadata!", ADDRESS(INDEX($W$2:$W$1001,MATCH(ROWS($U$2:U442),$U$2:$U$1001,0),0), INDEX($AB$1004:$AQ$1004,1,MATCH(COLUMNS($AB$1006:AN1006),$AB$1006:$AQ$1006,0)))),"Fix")))</f>
        <v>0</v>
      </c>
      <c r="O442" s="5">
        <f>IF(OR(INDEX($V$2:$V$1001,MATCH(ROWS($U$2:U442),$U$2:$U$1001,0),1)&gt;=100000,INDEX($AB$1005:$AQ$1005,1,MATCH(COLUMNS($AB$1006:AO1006),$AB$1006:$AQ$1006,0))&gt;=100000), " ",IF(INDEX($AB$2:$AQ$1001,MATCH(ROWS($U$2:U442),$U$2:$U$1001,0),MATCH(COLUMNS($AB$1006:AO1006),$AB$1006:$AQ$1006,0)), HYPERLINK("#",""), HYPERLINK(CONCATENATE("#Metadata!", ADDRESS(INDEX($W$2:$W$1001,MATCH(ROWS($U$2:U442),$U$2:$U$1001,0),0), INDEX($AB$1004:$AQ$1004,1,MATCH(COLUMNS($AB$1006:AO1006),$AB$1006:$AQ$1006,0)))),"Fix")))</f>
        <v>0</v>
      </c>
      <c r="P442" s="5">
        <f>IF(OR(INDEX($V$2:$V$1001,MATCH(ROWS($U$2:U442),$U$2:$U$1001,0),1)&gt;=100000,INDEX($AB$1005:$AQ$1005,1,MATCH(COLUMNS($AB$1006:AP1006),$AB$1006:$AQ$1006,0))&gt;=100000), " ",IF(INDEX($AB$2:$AQ$1001,MATCH(ROWS($U$2:U442),$U$2:$U$1001,0),MATCH(COLUMNS($AB$1006:AP1006),$AB$1006:$AQ$1006,0)), HYPERLINK("#",""), HYPERLINK(CONCATENATE("#Metadata!", ADDRESS(INDEX($W$2:$W$1001,MATCH(ROWS($U$2:U442),$U$2:$U$1001,0),0), INDEX($AB$1004:$AQ$1004,1,MATCH(COLUMNS($AB$1006:AP1006),$AB$1006:$AQ$1006,0)))),"Fix")))</f>
        <v>0</v>
      </c>
      <c r="Q442" s="5">
        <f>IF(OR(INDEX($V$2:$V$1001,MATCH(ROWS($U$2:U442),$U$2:$U$1001,0),1)&gt;=100000,INDEX($AB$1005:$AQ$1005,1,MATCH(COLUMNS($AB$1006:AQ1006),$AB$1006:$AQ$1006,0))&gt;=100000), " ",IF(INDEX($AB$2:$AQ$1001,MATCH(ROWS($U$2:U442),$U$2:$U$1001,0),MATCH(COLUMNS($AB$1006:AQ1006),$AB$1006:$AQ$1006,0)), HYPERLINK("#",""), HYPERLINK(CONCATENATE("#Metadata!", ADDRESS(INDEX($W$2:$W$1001,MATCH(ROWS($U$2:U442),$U$2:$U$1001,0),0), INDEX($AB$1004:$AQ$1004,1,MATCH(COLUMNS($AB$1006:AQ1006),$AB$1006:$AQ$1006,0)))),"Fix")))</f>
        <v>0</v>
      </c>
      <c r="U442">
        <v>0</v>
      </c>
      <c r="V442">
        <v>0</v>
      </c>
      <c r="W442">
        <v>0</v>
      </c>
      <c r="X442">
        <f>IF(Y442,TRUE,AND(AB442:AQ442))</f>
        <v>0</v>
      </c>
      <c r="Y442">
        <f>COUNTBLANK(Metadata!B442:Q442)=COLUMNS(Metadata!B442:Q442)</f>
        <v>0</v>
      </c>
      <c r="Z442">
        <v>0</v>
      </c>
      <c r="AB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AC442">
        <f>AND(IF(Metadata!C442="",FALSE,TRUE),exact(Metadata!C442,"urban biome"))</f>
        <v>0</v>
      </c>
      <c r="AD442">
        <f>AND(IF(Metadata!D442="",FALSE,TRUE),exact(Metadata!D442,"human-associated habitat"))</f>
        <v>0</v>
      </c>
      <c r="AE442">
        <f>AND(IF(Metadata!E442="",FALSE,TRUE),OR(exact(Metadata!E442,"human-associated"),exact(Metadata!E442,"human-skin"),exact(Metadata!E442,"human-oral"),exact(Metadata!E442,"human-gut"),exact(Metadata!E442,"human-vaginal")))</f>
        <v>0</v>
      </c>
      <c r="AF442">
        <f>AND(IF(Metadata!F442="",FALSE,ISNUMBER(VALUE(Metadata!F442))),Metadata!F442&gt;0)</f>
        <v>0</v>
      </c>
      <c r="AG442">
        <f>AND(IF(Metadata!G442="",FALSE,TRUE),exact(Metadata!G442,"years"))</f>
        <v>0</v>
      </c>
      <c r="AH442">
        <f>OR(AND(IF(Metadata!H442="",FALSE,TRUE),OR(exact(Metadata!H442,"not applicable"),exact(Metadata!H442,"not collected"),exact(Metadata!H442,"not provided"),exact(Metadata!H442,"restricted access"))),AND(IF(Metadata!H442="",FALSE,ISNUMBER(VALUE(Metadata!H442))),Metadata!H442&gt;0))</f>
        <v>0</v>
      </c>
      <c r="AI442">
        <f>AND(IF(Metadata!I442="",FALSE,TRUE),exact(Metadata!I442,"human"))</f>
        <v>0</v>
      </c>
      <c r="AJ442">
        <f>AND(IF(Metadata!J442="",FALSE,ISNUMBER(VALUE(Metadata!J442))),Metadata!J442&gt;0)</f>
        <v>0</v>
      </c>
      <c r="AK442">
        <f>AND(IF(Metadata!K442="",FALSE,TRUE),exact(Metadata!K442,"cm"))</f>
        <v>0</v>
      </c>
      <c r="AL442">
        <f>AND(IF(Metadata!L442="",FALSE,TRUE),exact(Metadata!L442,"Homo sapiens"))</f>
        <v>0</v>
      </c>
      <c r="AM442">
        <f>AND(IF(Metadata!M442="",FALSE,TRUE),exact(Metadata!M442,"9606"))</f>
        <v>0</v>
      </c>
      <c r="AN442">
        <f>AND(IF(Metadata!N442="",FALSE,ISNUMBER(VALUE(Metadata!N442))),Metadata!N442&gt;0)</f>
        <v>0</v>
      </c>
      <c r="AO442">
        <f>AND(IF(Metadata!O442="",FALSE,TRUE),exact(Metadata!O442,"kg"))</f>
        <v>0</v>
      </c>
      <c r="AP442">
        <f>OR(AND(IF(Metadata!P442="",FALSE,TRUE),exact(Metadata!P442,"not provided")),IF(Metadata!P442="",FALSE,TRUE))</f>
        <v>0</v>
      </c>
      <c r="AQ442">
        <f>OR(AND(IF(Metadata!Q442="",FALSE,TRUE),exact(Metadata!Q442,"not provided")),IF(Metadata!Q442="",FALSE,TRUE))</f>
        <v>0</v>
      </c>
    </row>
    <row r="443" spans="1:43">
      <c r="A443" s="4">
        <f>IF(B443=" "," ",HYPERLINK(CONCATENATE("#metadata!",ADDRESS(INDEX($W$2:$W$1001,MATCH(ROWS($U$2:U443),$U$2:$U$1001,0),0),2)),INDEX($Z$2:$Z$1001,MATCH(ROWS($U$2:U443),$U$2:$U$1001,0),0)))</f>
        <v>0</v>
      </c>
      <c r="B443" s="5">
        <f>IF(OR(INDEX($V$2:$V$1001,MATCH(ROWS($U$2:U443),$U$2:$U$1001,0),1)&gt;=100000,INDEX($AB$1005:$AQ$1005,1,MATCH(COLUMNS($AB$1006:AB1006),$AB$1006:$AQ$1006,0))&gt;=100000), " ",IF(INDEX($AB$2:$AQ$1001,MATCH(ROWS($U$2:U443),$U$2:$U$1001,0),MATCH(COLUMNS($AB$1006:AB1006),$AB$1006:$AQ$1006,0)), HYPERLINK("#",""), HYPERLINK(CONCATENATE("#Metadata!", ADDRESS(INDEX($W$2:$W$1001,MATCH(ROWS($U$2:U443),$U$2:$U$1001,0),0), INDEX($AB$1004:$AQ$1004,1,MATCH(COLUMNS($AB$1006:AB1006),$AB$1006:$AQ$1006,0)))),"Fix")))</f>
        <v>0</v>
      </c>
      <c r="C443" s="5">
        <f>IF(OR(INDEX($V$2:$V$1001,MATCH(ROWS($U$2:U443),$U$2:$U$1001,0),1)&gt;=100000,INDEX($AB$1005:$AQ$1005,1,MATCH(COLUMNS($AB$1006:AC1006),$AB$1006:$AQ$1006,0))&gt;=100000), " ",IF(INDEX($AB$2:$AQ$1001,MATCH(ROWS($U$2:U443),$U$2:$U$1001,0),MATCH(COLUMNS($AB$1006:AC1006),$AB$1006:$AQ$1006,0)), HYPERLINK("#",""), HYPERLINK(CONCATENATE("#Metadata!", ADDRESS(INDEX($W$2:$W$1001,MATCH(ROWS($U$2:U443),$U$2:$U$1001,0),0), INDEX($AB$1004:$AQ$1004,1,MATCH(COLUMNS($AB$1006:AC1006),$AB$1006:$AQ$1006,0)))),"Fix")))</f>
        <v>0</v>
      </c>
      <c r="D443" s="5">
        <f>IF(OR(INDEX($V$2:$V$1001,MATCH(ROWS($U$2:U443),$U$2:$U$1001,0),1)&gt;=100000,INDEX($AB$1005:$AQ$1005,1,MATCH(COLUMNS($AB$1006:AD1006),$AB$1006:$AQ$1006,0))&gt;=100000), " ",IF(INDEX($AB$2:$AQ$1001,MATCH(ROWS($U$2:U443),$U$2:$U$1001,0),MATCH(COLUMNS($AB$1006:AD1006),$AB$1006:$AQ$1006,0)), HYPERLINK("#",""), HYPERLINK(CONCATENATE("#Metadata!", ADDRESS(INDEX($W$2:$W$1001,MATCH(ROWS($U$2:U443),$U$2:$U$1001,0),0), INDEX($AB$1004:$AQ$1004,1,MATCH(COLUMNS($AB$1006:AD1006),$AB$1006:$AQ$1006,0)))),"Fix")))</f>
        <v>0</v>
      </c>
      <c r="E443" s="5">
        <f>IF(OR(INDEX($V$2:$V$1001,MATCH(ROWS($U$2:U443),$U$2:$U$1001,0),1)&gt;=100000,INDEX($AB$1005:$AQ$1005,1,MATCH(COLUMNS($AB$1006:AE1006),$AB$1006:$AQ$1006,0))&gt;=100000), " ",IF(INDEX($AB$2:$AQ$1001,MATCH(ROWS($U$2:U443),$U$2:$U$1001,0),MATCH(COLUMNS($AB$1006:AE1006),$AB$1006:$AQ$1006,0)), HYPERLINK("#",""), HYPERLINK(CONCATENATE("#Metadata!", ADDRESS(INDEX($W$2:$W$1001,MATCH(ROWS($U$2:U443),$U$2:$U$1001,0),0), INDEX($AB$1004:$AQ$1004,1,MATCH(COLUMNS($AB$1006:AE1006),$AB$1006:$AQ$1006,0)))),"Fix")))</f>
        <v>0</v>
      </c>
      <c r="F443" s="5">
        <f>IF(OR(INDEX($V$2:$V$1001,MATCH(ROWS($U$2:U443),$U$2:$U$1001,0),1)&gt;=100000,INDEX($AB$1005:$AQ$1005,1,MATCH(COLUMNS($AB$1006:AF1006),$AB$1006:$AQ$1006,0))&gt;=100000), " ",IF(INDEX($AB$2:$AQ$1001,MATCH(ROWS($U$2:U443),$U$2:$U$1001,0),MATCH(COLUMNS($AB$1006:AF1006),$AB$1006:$AQ$1006,0)), HYPERLINK("#",""), HYPERLINK(CONCATENATE("#Metadata!", ADDRESS(INDEX($W$2:$W$1001,MATCH(ROWS($U$2:U443),$U$2:$U$1001,0),0), INDEX($AB$1004:$AQ$1004,1,MATCH(COLUMNS($AB$1006:AF1006),$AB$1006:$AQ$1006,0)))),"Fix")))</f>
        <v>0</v>
      </c>
      <c r="G443" s="5">
        <f>IF(OR(INDEX($V$2:$V$1001,MATCH(ROWS($U$2:U443),$U$2:$U$1001,0),1)&gt;=100000,INDEX($AB$1005:$AQ$1005,1,MATCH(COLUMNS($AB$1006:AG1006),$AB$1006:$AQ$1006,0))&gt;=100000), " ",IF(INDEX($AB$2:$AQ$1001,MATCH(ROWS($U$2:U443),$U$2:$U$1001,0),MATCH(COLUMNS($AB$1006:AG1006),$AB$1006:$AQ$1006,0)), HYPERLINK("#",""), HYPERLINK(CONCATENATE("#Metadata!", ADDRESS(INDEX($W$2:$W$1001,MATCH(ROWS($U$2:U443),$U$2:$U$1001,0),0), INDEX($AB$1004:$AQ$1004,1,MATCH(COLUMNS($AB$1006:AG1006),$AB$1006:$AQ$1006,0)))),"Fix")))</f>
        <v>0</v>
      </c>
      <c r="H443" s="5">
        <f>IF(OR(INDEX($V$2:$V$1001,MATCH(ROWS($U$2:U443),$U$2:$U$1001,0),1)&gt;=100000,INDEX($AB$1005:$AQ$1005,1,MATCH(COLUMNS($AB$1006:AH1006),$AB$1006:$AQ$1006,0))&gt;=100000), " ",IF(INDEX($AB$2:$AQ$1001,MATCH(ROWS($U$2:U443),$U$2:$U$1001,0),MATCH(COLUMNS($AB$1006:AH1006),$AB$1006:$AQ$1006,0)), HYPERLINK("#",""), HYPERLINK(CONCATENATE("#Metadata!", ADDRESS(INDEX($W$2:$W$1001,MATCH(ROWS($U$2:U443),$U$2:$U$1001,0),0), INDEX($AB$1004:$AQ$1004,1,MATCH(COLUMNS($AB$1006:AH1006),$AB$1006:$AQ$1006,0)))),"Fix")))</f>
        <v>0</v>
      </c>
      <c r="I443" s="5">
        <f>IF(OR(INDEX($V$2:$V$1001,MATCH(ROWS($U$2:U443),$U$2:$U$1001,0),1)&gt;=100000,INDEX($AB$1005:$AQ$1005,1,MATCH(COLUMNS($AB$1006:AI1006),$AB$1006:$AQ$1006,0))&gt;=100000), " ",IF(INDEX($AB$2:$AQ$1001,MATCH(ROWS($U$2:U443),$U$2:$U$1001,0),MATCH(COLUMNS($AB$1006:AI1006),$AB$1006:$AQ$1006,0)), HYPERLINK("#",""), HYPERLINK(CONCATENATE("#Metadata!", ADDRESS(INDEX($W$2:$W$1001,MATCH(ROWS($U$2:U443),$U$2:$U$1001,0),0), INDEX($AB$1004:$AQ$1004,1,MATCH(COLUMNS($AB$1006:AI1006),$AB$1006:$AQ$1006,0)))),"Fix")))</f>
        <v>0</v>
      </c>
      <c r="J443" s="5">
        <f>IF(OR(INDEX($V$2:$V$1001,MATCH(ROWS($U$2:U443),$U$2:$U$1001,0),1)&gt;=100000,INDEX($AB$1005:$AQ$1005,1,MATCH(COLUMNS($AB$1006:AJ1006),$AB$1006:$AQ$1006,0))&gt;=100000), " ",IF(INDEX($AB$2:$AQ$1001,MATCH(ROWS($U$2:U443),$U$2:$U$1001,0),MATCH(COLUMNS($AB$1006:AJ1006),$AB$1006:$AQ$1006,0)), HYPERLINK("#",""), HYPERLINK(CONCATENATE("#Metadata!", ADDRESS(INDEX($W$2:$W$1001,MATCH(ROWS($U$2:U443),$U$2:$U$1001,0),0), INDEX($AB$1004:$AQ$1004,1,MATCH(COLUMNS($AB$1006:AJ1006),$AB$1006:$AQ$1006,0)))),"Fix")))</f>
        <v>0</v>
      </c>
      <c r="K443" s="5">
        <f>IF(OR(INDEX($V$2:$V$1001,MATCH(ROWS($U$2:U443),$U$2:$U$1001,0),1)&gt;=100000,INDEX($AB$1005:$AQ$1005,1,MATCH(COLUMNS($AB$1006:AK1006),$AB$1006:$AQ$1006,0))&gt;=100000), " ",IF(INDEX($AB$2:$AQ$1001,MATCH(ROWS($U$2:U443),$U$2:$U$1001,0),MATCH(COLUMNS($AB$1006:AK1006),$AB$1006:$AQ$1006,0)), HYPERLINK("#",""), HYPERLINK(CONCATENATE("#Metadata!", ADDRESS(INDEX($W$2:$W$1001,MATCH(ROWS($U$2:U443),$U$2:$U$1001,0),0), INDEX($AB$1004:$AQ$1004,1,MATCH(COLUMNS($AB$1006:AK1006),$AB$1006:$AQ$1006,0)))),"Fix")))</f>
        <v>0</v>
      </c>
      <c r="L443" s="5">
        <f>IF(OR(INDEX($V$2:$V$1001,MATCH(ROWS($U$2:U443),$U$2:$U$1001,0),1)&gt;=100000,INDEX($AB$1005:$AQ$1005,1,MATCH(COLUMNS($AB$1006:AL1006),$AB$1006:$AQ$1006,0))&gt;=100000), " ",IF(INDEX($AB$2:$AQ$1001,MATCH(ROWS($U$2:U443),$U$2:$U$1001,0),MATCH(COLUMNS($AB$1006:AL1006),$AB$1006:$AQ$1006,0)), HYPERLINK("#",""), HYPERLINK(CONCATENATE("#Metadata!", ADDRESS(INDEX($W$2:$W$1001,MATCH(ROWS($U$2:U443),$U$2:$U$1001,0),0), INDEX($AB$1004:$AQ$1004,1,MATCH(COLUMNS($AB$1006:AL1006),$AB$1006:$AQ$1006,0)))),"Fix")))</f>
        <v>0</v>
      </c>
      <c r="M443" s="5">
        <f>IF(OR(INDEX($V$2:$V$1001,MATCH(ROWS($U$2:U443),$U$2:$U$1001,0),1)&gt;=100000,INDEX($AB$1005:$AQ$1005,1,MATCH(COLUMNS($AB$1006:AM1006),$AB$1006:$AQ$1006,0))&gt;=100000), " ",IF(INDEX($AB$2:$AQ$1001,MATCH(ROWS($U$2:U443),$U$2:$U$1001,0),MATCH(COLUMNS($AB$1006:AM1006),$AB$1006:$AQ$1006,0)), HYPERLINK("#",""), HYPERLINK(CONCATENATE("#Metadata!", ADDRESS(INDEX($W$2:$W$1001,MATCH(ROWS($U$2:U443),$U$2:$U$1001,0),0), INDEX($AB$1004:$AQ$1004,1,MATCH(COLUMNS($AB$1006:AM1006),$AB$1006:$AQ$1006,0)))),"Fix")))</f>
        <v>0</v>
      </c>
      <c r="N443" s="5">
        <f>IF(OR(INDEX($V$2:$V$1001,MATCH(ROWS($U$2:U443),$U$2:$U$1001,0),1)&gt;=100000,INDEX($AB$1005:$AQ$1005,1,MATCH(COLUMNS($AB$1006:AN1006),$AB$1006:$AQ$1006,0))&gt;=100000), " ",IF(INDEX($AB$2:$AQ$1001,MATCH(ROWS($U$2:U443),$U$2:$U$1001,0),MATCH(COLUMNS($AB$1006:AN1006),$AB$1006:$AQ$1006,0)), HYPERLINK("#",""), HYPERLINK(CONCATENATE("#Metadata!", ADDRESS(INDEX($W$2:$W$1001,MATCH(ROWS($U$2:U443),$U$2:$U$1001,0),0), INDEX($AB$1004:$AQ$1004,1,MATCH(COLUMNS($AB$1006:AN1006),$AB$1006:$AQ$1006,0)))),"Fix")))</f>
        <v>0</v>
      </c>
      <c r="O443" s="5">
        <f>IF(OR(INDEX($V$2:$V$1001,MATCH(ROWS($U$2:U443),$U$2:$U$1001,0),1)&gt;=100000,INDEX($AB$1005:$AQ$1005,1,MATCH(COLUMNS($AB$1006:AO1006),$AB$1006:$AQ$1006,0))&gt;=100000), " ",IF(INDEX($AB$2:$AQ$1001,MATCH(ROWS($U$2:U443),$U$2:$U$1001,0),MATCH(COLUMNS($AB$1006:AO1006),$AB$1006:$AQ$1006,0)), HYPERLINK("#",""), HYPERLINK(CONCATENATE("#Metadata!", ADDRESS(INDEX($W$2:$W$1001,MATCH(ROWS($U$2:U443),$U$2:$U$1001,0),0), INDEX($AB$1004:$AQ$1004,1,MATCH(COLUMNS($AB$1006:AO1006),$AB$1006:$AQ$1006,0)))),"Fix")))</f>
        <v>0</v>
      </c>
      <c r="P443" s="5">
        <f>IF(OR(INDEX($V$2:$V$1001,MATCH(ROWS($U$2:U443),$U$2:$U$1001,0),1)&gt;=100000,INDEX($AB$1005:$AQ$1005,1,MATCH(COLUMNS($AB$1006:AP1006),$AB$1006:$AQ$1006,0))&gt;=100000), " ",IF(INDEX($AB$2:$AQ$1001,MATCH(ROWS($U$2:U443),$U$2:$U$1001,0),MATCH(COLUMNS($AB$1006:AP1006),$AB$1006:$AQ$1006,0)), HYPERLINK("#",""), HYPERLINK(CONCATENATE("#Metadata!", ADDRESS(INDEX($W$2:$W$1001,MATCH(ROWS($U$2:U443),$U$2:$U$1001,0),0), INDEX($AB$1004:$AQ$1004,1,MATCH(COLUMNS($AB$1006:AP1006),$AB$1006:$AQ$1006,0)))),"Fix")))</f>
        <v>0</v>
      </c>
      <c r="Q443" s="5">
        <f>IF(OR(INDEX($V$2:$V$1001,MATCH(ROWS($U$2:U443),$U$2:$U$1001,0),1)&gt;=100000,INDEX($AB$1005:$AQ$1005,1,MATCH(COLUMNS($AB$1006:AQ1006),$AB$1006:$AQ$1006,0))&gt;=100000), " ",IF(INDEX($AB$2:$AQ$1001,MATCH(ROWS($U$2:U443),$U$2:$U$1001,0),MATCH(COLUMNS($AB$1006:AQ1006),$AB$1006:$AQ$1006,0)), HYPERLINK("#",""), HYPERLINK(CONCATENATE("#Metadata!", ADDRESS(INDEX($W$2:$W$1001,MATCH(ROWS($U$2:U443),$U$2:$U$1001,0),0), INDEX($AB$1004:$AQ$1004,1,MATCH(COLUMNS($AB$1006:AQ1006),$AB$1006:$AQ$1006,0)))),"Fix")))</f>
        <v>0</v>
      </c>
      <c r="U443">
        <v>0</v>
      </c>
      <c r="V443">
        <v>0</v>
      </c>
      <c r="W443">
        <v>0</v>
      </c>
      <c r="X443">
        <f>IF(Y443,TRUE,AND(AB443:AQ443))</f>
        <v>0</v>
      </c>
      <c r="Y443">
        <f>COUNTBLANK(Metadata!B443:Q443)=COLUMNS(Metadata!B443:Q443)</f>
        <v>0</v>
      </c>
      <c r="Z443">
        <v>0</v>
      </c>
      <c r="AB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AC443">
        <f>AND(IF(Metadata!C443="",FALSE,TRUE),exact(Metadata!C443,"urban biome"))</f>
        <v>0</v>
      </c>
      <c r="AD443">
        <f>AND(IF(Metadata!D443="",FALSE,TRUE),exact(Metadata!D443,"human-associated habitat"))</f>
        <v>0</v>
      </c>
      <c r="AE443">
        <f>AND(IF(Metadata!E443="",FALSE,TRUE),OR(exact(Metadata!E443,"human-associated"),exact(Metadata!E443,"human-skin"),exact(Metadata!E443,"human-oral"),exact(Metadata!E443,"human-gut"),exact(Metadata!E443,"human-vaginal")))</f>
        <v>0</v>
      </c>
      <c r="AF443">
        <f>AND(IF(Metadata!F443="",FALSE,ISNUMBER(VALUE(Metadata!F443))),Metadata!F443&gt;0)</f>
        <v>0</v>
      </c>
      <c r="AG443">
        <f>AND(IF(Metadata!G443="",FALSE,TRUE),exact(Metadata!G443,"years"))</f>
        <v>0</v>
      </c>
      <c r="AH443">
        <f>OR(AND(IF(Metadata!H443="",FALSE,TRUE),OR(exact(Metadata!H443,"not applicable"),exact(Metadata!H443,"not collected"),exact(Metadata!H443,"not provided"),exact(Metadata!H443,"restricted access"))),AND(IF(Metadata!H443="",FALSE,ISNUMBER(VALUE(Metadata!H443))),Metadata!H443&gt;0))</f>
        <v>0</v>
      </c>
      <c r="AI443">
        <f>AND(IF(Metadata!I443="",FALSE,TRUE),exact(Metadata!I443,"human"))</f>
        <v>0</v>
      </c>
      <c r="AJ443">
        <f>AND(IF(Metadata!J443="",FALSE,ISNUMBER(VALUE(Metadata!J443))),Metadata!J443&gt;0)</f>
        <v>0</v>
      </c>
      <c r="AK443">
        <f>AND(IF(Metadata!K443="",FALSE,TRUE),exact(Metadata!K443,"cm"))</f>
        <v>0</v>
      </c>
      <c r="AL443">
        <f>AND(IF(Metadata!L443="",FALSE,TRUE),exact(Metadata!L443,"Homo sapiens"))</f>
        <v>0</v>
      </c>
      <c r="AM443">
        <f>AND(IF(Metadata!M443="",FALSE,TRUE),exact(Metadata!M443,"9606"))</f>
        <v>0</v>
      </c>
      <c r="AN443">
        <f>AND(IF(Metadata!N443="",FALSE,ISNUMBER(VALUE(Metadata!N443))),Metadata!N443&gt;0)</f>
        <v>0</v>
      </c>
      <c r="AO443">
        <f>AND(IF(Metadata!O443="",FALSE,TRUE),exact(Metadata!O443,"kg"))</f>
        <v>0</v>
      </c>
      <c r="AP443">
        <f>OR(AND(IF(Metadata!P443="",FALSE,TRUE),exact(Metadata!P443,"not provided")),IF(Metadata!P443="",FALSE,TRUE))</f>
        <v>0</v>
      </c>
      <c r="AQ443">
        <f>OR(AND(IF(Metadata!Q443="",FALSE,TRUE),exact(Metadata!Q443,"not provided")),IF(Metadata!Q443="",FALSE,TRUE))</f>
        <v>0</v>
      </c>
    </row>
    <row r="444" spans="1:43">
      <c r="A444" s="4">
        <f>IF(B444=" "," ",HYPERLINK(CONCATENATE("#metadata!",ADDRESS(INDEX($W$2:$W$1001,MATCH(ROWS($U$2:U444),$U$2:$U$1001,0),0),2)),INDEX($Z$2:$Z$1001,MATCH(ROWS($U$2:U444),$U$2:$U$1001,0),0)))</f>
        <v>0</v>
      </c>
      <c r="B444" s="5">
        <f>IF(OR(INDEX($V$2:$V$1001,MATCH(ROWS($U$2:U444),$U$2:$U$1001,0),1)&gt;=100000,INDEX($AB$1005:$AQ$1005,1,MATCH(COLUMNS($AB$1006:AB1006),$AB$1006:$AQ$1006,0))&gt;=100000), " ",IF(INDEX($AB$2:$AQ$1001,MATCH(ROWS($U$2:U444),$U$2:$U$1001,0),MATCH(COLUMNS($AB$1006:AB1006),$AB$1006:$AQ$1006,0)), HYPERLINK("#",""), HYPERLINK(CONCATENATE("#Metadata!", ADDRESS(INDEX($W$2:$W$1001,MATCH(ROWS($U$2:U444),$U$2:$U$1001,0),0), INDEX($AB$1004:$AQ$1004,1,MATCH(COLUMNS($AB$1006:AB1006),$AB$1006:$AQ$1006,0)))),"Fix")))</f>
        <v>0</v>
      </c>
      <c r="C444" s="5">
        <f>IF(OR(INDEX($V$2:$V$1001,MATCH(ROWS($U$2:U444),$U$2:$U$1001,0),1)&gt;=100000,INDEX($AB$1005:$AQ$1005,1,MATCH(COLUMNS($AB$1006:AC1006),$AB$1006:$AQ$1006,0))&gt;=100000), " ",IF(INDEX($AB$2:$AQ$1001,MATCH(ROWS($U$2:U444),$U$2:$U$1001,0),MATCH(COLUMNS($AB$1006:AC1006),$AB$1006:$AQ$1006,0)), HYPERLINK("#",""), HYPERLINK(CONCATENATE("#Metadata!", ADDRESS(INDEX($W$2:$W$1001,MATCH(ROWS($U$2:U444),$U$2:$U$1001,0),0), INDEX($AB$1004:$AQ$1004,1,MATCH(COLUMNS($AB$1006:AC1006),$AB$1006:$AQ$1006,0)))),"Fix")))</f>
        <v>0</v>
      </c>
      <c r="D444" s="5">
        <f>IF(OR(INDEX($V$2:$V$1001,MATCH(ROWS($U$2:U444),$U$2:$U$1001,0),1)&gt;=100000,INDEX($AB$1005:$AQ$1005,1,MATCH(COLUMNS($AB$1006:AD1006),$AB$1006:$AQ$1006,0))&gt;=100000), " ",IF(INDEX($AB$2:$AQ$1001,MATCH(ROWS($U$2:U444),$U$2:$U$1001,0),MATCH(COLUMNS($AB$1006:AD1006),$AB$1006:$AQ$1006,0)), HYPERLINK("#",""), HYPERLINK(CONCATENATE("#Metadata!", ADDRESS(INDEX($W$2:$W$1001,MATCH(ROWS($U$2:U444),$U$2:$U$1001,0),0), INDEX($AB$1004:$AQ$1004,1,MATCH(COLUMNS($AB$1006:AD1006),$AB$1006:$AQ$1006,0)))),"Fix")))</f>
        <v>0</v>
      </c>
      <c r="E444" s="5">
        <f>IF(OR(INDEX($V$2:$V$1001,MATCH(ROWS($U$2:U444),$U$2:$U$1001,0),1)&gt;=100000,INDEX($AB$1005:$AQ$1005,1,MATCH(COLUMNS($AB$1006:AE1006),$AB$1006:$AQ$1006,0))&gt;=100000), " ",IF(INDEX($AB$2:$AQ$1001,MATCH(ROWS($U$2:U444),$U$2:$U$1001,0),MATCH(COLUMNS($AB$1006:AE1006),$AB$1006:$AQ$1006,0)), HYPERLINK("#",""), HYPERLINK(CONCATENATE("#Metadata!", ADDRESS(INDEX($W$2:$W$1001,MATCH(ROWS($U$2:U444),$U$2:$U$1001,0),0), INDEX($AB$1004:$AQ$1004,1,MATCH(COLUMNS($AB$1006:AE1006),$AB$1006:$AQ$1006,0)))),"Fix")))</f>
        <v>0</v>
      </c>
      <c r="F444" s="5">
        <f>IF(OR(INDEX($V$2:$V$1001,MATCH(ROWS($U$2:U444),$U$2:$U$1001,0),1)&gt;=100000,INDEX($AB$1005:$AQ$1005,1,MATCH(COLUMNS($AB$1006:AF1006),$AB$1006:$AQ$1006,0))&gt;=100000), " ",IF(INDEX($AB$2:$AQ$1001,MATCH(ROWS($U$2:U444),$U$2:$U$1001,0),MATCH(COLUMNS($AB$1006:AF1006),$AB$1006:$AQ$1006,0)), HYPERLINK("#",""), HYPERLINK(CONCATENATE("#Metadata!", ADDRESS(INDEX($W$2:$W$1001,MATCH(ROWS($U$2:U444),$U$2:$U$1001,0),0), INDEX($AB$1004:$AQ$1004,1,MATCH(COLUMNS($AB$1006:AF1006),$AB$1006:$AQ$1006,0)))),"Fix")))</f>
        <v>0</v>
      </c>
      <c r="G444" s="5">
        <f>IF(OR(INDEX($V$2:$V$1001,MATCH(ROWS($U$2:U444),$U$2:$U$1001,0),1)&gt;=100000,INDEX($AB$1005:$AQ$1005,1,MATCH(COLUMNS($AB$1006:AG1006),$AB$1006:$AQ$1006,0))&gt;=100000), " ",IF(INDEX($AB$2:$AQ$1001,MATCH(ROWS($U$2:U444),$U$2:$U$1001,0),MATCH(COLUMNS($AB$1006:AG1006),$AB$1006:$AQ$1006,0)), HYPERLINK("#",""), HYPERLINK(CONCATENATE("#Metadata!", ADDRESS(INDEX($W$2:$W$1001,MATCH(ROWS($U$2:U444),$U$2:$U$1001,0),0), INDEX($AB$1004:$AQ$1004,1,MATCH(COLUMNS($AB$1006:AG1006),$AB$1006:$AQ$1006,0)))),"Fix")))</f>
        <v>0</v>
      </c>
      <c r="H444" s="5">
        <f>IF(OR(INDEX($V$2:$V$1001,MATCH(ROWS($U$2:U444),$U$2:$U$1001,0),1)&gt;=100000,INDEX($AB$1005:$AQ$1005,1,MATCH(COLUMNS($AB$1006:AH1006),$AB$1006:$AQ$1006,0))&gt;=100000), " ",IF(INDEX($AB$2:$AQ$1001,MATCH(ROWS($U$2:U444),$U$2:$U$1001,0),MATCH(COLUMNS($AB$1006:AH1006),$AB$1006:$AQ$1006,0)), HYPERLINK("#",""), HYPERLINK(CONCATENATE("#Metadata!", ADDRESS(INDEX($W$2:$W$1001,MATCH(ROWS($U$2:U444),$U$2:$U$1001,0),0), INDEX($AB$1004:$AQ$1004,1,MATCH(COLUMNS($AB$1006:AH1006),$AB$1006:$AQ$1006,0)))),"Fix")))</f>
        <v>0</v>
      </c>
      <c r="I444" s="5">
        <f>IF(OR(INDEX($V$2:$V$1001,MATCH(ROWS($U$2:U444),$U$2:$U$1001,0),1)&gt;=100000,INDEX($AB$1005:$AQ$1005,1,MATCH(COLUMNS($AB$1006:AI1006),$AB$1006:$AQ$1006,0))&gt;=100000), " ",IF(INDEX($AB$2:$AQ$1001,MATCH(ROWS($U$2:U444),$U$2:$U$1001,0),MATCH(COLUMNS($AB$1006:AI1006),$AB$1006:$AQ$1006,0)), HYPERLINK("#",""), HYPERLINK(CONCATENATE("#Metadata!", ADDRESS(INDEX($W$2:$W$1001,MATCH(ROWS($U$2:U444),$U$2:$U$1001,0),0), INDEX($AB$1004:$AQ$1004,1,MATCH(COLUMNS($AB$1006:AI1006),$AB$1006:$AQ$1006,0)))),"Fix")))</f>
        <v>0</v>
      </c>
      <c r="J444" s="5">
        <f>IF(OR(INDEX($V$2:$V$1001,MATCH(ROWS($U$2:U444),$U$2:$U$1001,0),1)&gt;=100000,INDEX($AB$1005:$AQ$1005,1,MATCH(COLUMNS($AB$1006:AJ1006),$AB$1006:$AQ$1006,0))&gt;=100000), " ",IF(INDEX($AB$2:$AQ$1001,MATCH(ROWS($U$2:U444),$U$2:$U$1001,0),MATCH(COLUMNS($AB$1006:AJ1006),$AB$1006:$AQ$1006,0)), HYPERLINK("#",""), HYPERLINK(CONCATENATE("#Metadata!", ADDRESS(INDEX($W$2:$W$1001,MATCH(ROWS($U$2:U444),$U$2:$U$1001,0),0), INDEX($AB$1004:$AQ$1004,1,MATCH(COLUMNS($AB$1006:AJ1006),$AB$1006:$AQ$1006,0)))),"Fix")))</f>
        <v>0</v>
      </c>
      <c r="K444" s="5">
        <f>IF(OR(INDEX($V$2:$V$1001,MATCH(ROWS($U$2:U444),$U$2:$U$1001,0),1)&gt;=100000,INDEX($AB$1005:$AQ$1005,1,MATCH(COLUMNS($AB$1006:AK1006),$AB$1006:$AQ$1006,0))&gt;=100000), " ",IF(INDEX($AB$2:$AQ$1001,MATCH(ROWS($U$2:U444),$U$2:$U$1001,0),MATCH(COLUMNS($AB$1006:AK1006),$AB$1006:$AQ$1006,0)), HYPERLINK("#",""), HYPERLINK(CONCATENATE("#Metadata!", ADDRESS(INDEX($W$2:$W$1001,MATCH(ROWS($U$2:U444),$U$2:$U$1001,0),0), INDEX($AB$1004:$AQ$1004,1,MATCH(COLUMNS($AB$1006:AK1006),$AB$1006:$AQ$1006,0)))),"Fix")))</f>
        <v>0</v>
      </c>
      <c r="L444" s="5">
        <f>IF(OR(INDEX($V$2:$V$1001,MATCH(ROWS($U$2:U444),$U$2:$U$1001,0),1)&gt;=100000,INDEX($AB$1005:$AQ$1005,1,MATCH(COLUMNS($AB$1006:AL1006),$AB$1006:$AQ$1006,0))&gt;=100000), " ",IF(INDEX($AB$2:$AQ$1001,MATCH(ROWS($U$2:U444),$U$2:$U$1001,0),MATCH(COLUMNS($AB$1006:AL1006),$AB$1006:$AQ$1006,0)), HYPERLINK("#",""), HYPERLINK(CONCATENATE("#Metadata!", ADDRESS(INDEX($W$2:$W$1001,MATCH(ROWS($U$2:U444),$U$2:$U$1001,0),0), INDEX($AB$1004:$AQ$1004,1,MATCH(COLUMNS($AB$1006:AL1006),$AB$1006:$AQ$1006,0)))),"Fix")))</f>
        <v>0</v>
      </c>
      <c r="M444" s="5">
        <f>IF(OR(INDEX($V$2:$V$1001,MATCH(ROWS($U$2:U444),$U$2:$U$1001,0),1)&gt;=100000,INDEX($AB$1005:$AQ$1005,1,MATCH(COLUMNS($AB$1006:AM1006),$AB$1006:$AQ$1006,0))&gt;=100000), " ",IF(INDEX($AB$2:$AQ$1001,MATCH(ROWS($U$2:U444),$U$2:$U$1001,0),MATCH(COLUMNS($AB$1006:AM1006),$AB$1006:$AQ$1006,0)), HYPERLINK("#",""), HYPERLINK(CONCATENATE("#Metadata!", ADDRESS(INDEX($W$2:$W$1001,MATCH(ROWS($U$2:U444),$U$2:$U$1001,0),0), INDEX($AB$1004:$AQ$1004,1,MATCH(COLUMNS($AB$1006:AM1006),$AB$1006:$AQ$1006,0)))),"Fix")))</f>
        <v>0</v>
      </c>
      <c r="N444" s="5">
        <f>IF(OR(INDEX($V$2:$V$1001,MATCH(ROWS($U$2:U444),$U$2:$U$1001,0),1)&gt;=100000,INDEX($AB$1005:$AQ$1005,1,MATCH(COLUMNS($AB$1006:AN1006),$AB$1006:$AQ$1006,0))&gt;=100000), " ",IF(INDEX($AB$2:$AQ$1001,MATCH(ROWS($U$2:U444),$U$2:$U$1001,0),MATCH(COLUMNS($AB$1006:AN1006),$AB$1006:$AQ$1006,0)), HYPERLINK("#",""), HYPERLINK(CONCATENATE("#Metadata!", ADDRESS(INDEX($W$2:$W$1001,MATCH(ROWS($U$2:U444),$U$2:$U$1001,0),0), INDEX($AB$1004:$AQ$1004,1,MATCH(COLUMNS($AB$1006:AN1006),$AB$1006:$AQ$1006,0)))),"Fix")))</f>
        <v>0</v>
      </c>
      <c r="O444" s="5">
        <f>IF(OR(INDEX($V$2:$V$1001,MATCH(ROWS($U$2:U444),$U$2:$U$1001,0),1)&gt;=100000,INDEX($AB$1005:$AQ$1005,1,MATCH(COLUMNS($AB$1006:AO1006),$AB$1006:$AQ$1006,0))&gt;=100000), " ",IF(INDEX($AB$2:$AQ$1001,MATCH(ROWS($U$2:U444),$U$2:$U$1001,0),MATCH(COLUMNS($AB$1006:AO1006),$AB$1006:$AQ$1006,0)), HYPERLINK("#",""), HYPERLINK(CONCATENATE("#Metadata!", ADDRESS(INDEX($W$2:$W$1001,MATCH(ROWS($U$2:U444),$U$2:$U$1001,0),0), INDEX($AB$1004:$AQ$1004,1,MATCH(COLUMNS($AB$1006:AO1006),$AB$1006:$AQ$1006,0)))),"Fix")))</f>
        <v>0</v>
      </c>
      <c r="P444" s="5">
        <f>IF(OR(INDEX($V$2:$V$1001,MATCH(ROWS($U$2:U444),$U$2:$U$1001,0),1)&gt;=100000,INDEX($AB$1005:$AQ$1005,1,MATCH(COLUMNS($AB$1006:AP1006),$AB$1006:$AQ$1006,0))&gt;=100000), " ",IF(INDEX($AB$2:$AQ$1001,MATCH(ROWS($U$2:U444),$U$2:$U$1001,0),MATCH(COLUMNS($AB$1006:AP1006),$AB$1006:$AQ$1006,0)), HYPERLINK("#",""), HYPERLINK(CONCATENATE("#Metadata!", ADDRESS(INDEX($W$2:$W$1001,MATCH(ROWS($U$2:U444),$U$2:$U$1001,0),0), INDEX($AB$1004:$AQ$1004,1,MATCH(COLUMNS($AB$1006:AP1006),$AB$1006:$AQ$1006,0)))),"Fix")))</f>
        <v>0</v>
      </c>
      <c r="Q444" s="5">
        <f>IF(OR(INDEX($V$2:$V$1001,MATCH(ROWS($U$2:U444),$U$2:$U$1001,0),1)&gt;=100000,INDEX($AB$1005:$AQ$1005,1,MATCH(COLUMNS($AB$1006:AQ1006),$AB$1006:$AQ$1006,0))&gt;=100000), " ",IF(INDEX($AB$2:$AQ$1001,MATCH(ROWS($U$2:U444),$U$2:$U$1001,0),MATCH(COLUMNS($AB$1006:AQ1006),$AB$1006:$AQ$1006,0)), HYPERLINK("#",""), HYPERLINK(CONCATENATE("#Metadata!", ADDRESS(INDEX($W$2:$W$1001,MATCH(ROWS($U$2:U444),$U$2:$U$1001,0),0), INDEX($AB$1004:$AQ$1004,1,MATCH(COLUMNS($AB$1006:AQ1006),$AB$1006:$AQ$1006,0)))),"Fix")))</f>
        <v>0</v>
      </c>
      <c r="U444">
        <v>0</v>
      </c>
      <c r="V444">
        <v>0</v>
      </c>
      <c r="W444">
        <v>0</v>
      </c>
      <c r="X444">
        <f>IF(Y444,TRUE,AND(AB444:AQ444))</f>
        <v>0</v>
      </c>
      <c r="Y444">
        <f>COUNTBLANK(Metadata!B444:Q444)=COLUMNS(Metadata!B444:Q444)</f>
        <v>0</v>
      </c>
      <c r="Z444">
        <v>0</v>
      </c>
      <c r="AB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AC444">
        <f>AND(IF(Metadata!C444="",FALSE,TRUE),exact(Metadata!C444,"urban biome"))</f>
        <v>0</v>
      </c>
      <c r="AD444">
        <f>AND(IF(Metadata!D444="",FALSE,TRUE),exact(Metadata!D444,"human-associated habitat"))</f>
        <v>0</v>
      </c>
      <c r="AE444">
        <f>AND(IF(Metadata!E444="",FALSE,TRUE),OR(exact(Metadata!E444,"human-associated"),exact(Metadata!E444,"human-skin"),exact(Metadata!E444,"human-oral"),exact(Metadata!E444,"human-gut"),exact(Metadata!E444,"human-vaginal")))</f>
        <v>0</v>
      </c>
      <c r="AF444">
        <f>AND(IF(Metadata!F444="",FALSE,ISNUMBER(VALUE(Metadata!F444))),Metadata!F444&gt;0)</f>
        <v>0</v>
      </c>
      <c r="AG444">
        <f>AND(IF(Metadata!G444="",FALSE,TRUE),exact(Metadata!G444,"years"))</f>
        <v>0</v>
      </c>
      <c r="AH444">
        <f>OR(AND(IF(Metadata!H444="",FALSE,TRUE),OR(exact(Metadata!H444,"not applicable"),exact(Metadata!H444,"not collected"),exact(Metadata!H444,"not provided"),exact(Metadata!H444,"restricted access"))),AND(IF(Metadata!H444="",FALSE,ISNUMBER(VALUE(Metadata!H444))),Metadata!H444&gt;0))</f>
        <v>0</v>
      </c>
      <c r="AI444">
        <f>AND(IF(Metadata!I444="",FALSE,TRUE),exact(Metadata!I444,"human"))</f>
        <v>0</v>
      </c>
      <c r="AJ444">
        <f>AND(IF(Metadata!J444="",FALSE,ISNUMBER(VALUE(Metadata!J444))),Metadata!J444&gt;0)</f>
        <v>0</v>
      </c>
      <c r="AK444">
        <f>AND(IF(Metadata!K444="",FALSE,TRUE),exact(Metadata!K444,"cm"))</f>
        <v>0</v>
      </c>
      <c r="AL444">
        <f>AND(IF(Metadata!L444="",FALSE,TRUE),exact(Metadata!L444,"Homo sapiens"))</f>
        <v>0</v>
      </c>
      <c r="AM444">
        <f>AND(IF(Metadata!M444="",FALSE,TRUE),exact(Metadata!M444,"9606"))</f>
        <v>0</v>
      </c>
      <c r="AN444">
        <f>AND(IF(Metadata!N444="",FALSE,ISNUMBER(VALUE(Metadata!N444))),Metadata!N444&gt;0)</f>
        <v>0</v>
      </c>
      <c r="AO444">
        <f>AND(IF(Metadata!O444="",FALSE,TRUE),exact(Metadata!O444,"kg"))</f>
        <v>0</v>
      </c>
      <c r="AP444">
        <f>OR(AND(IF(Metadata!P444="",FALSE,TRUE),exact(Metadata!P444,"not provided")),IF(Metadata!P444="",FALSE,TRUE))</f>
        <v>0</v>
      </c>
      <c r="AQ444">
        <f>OR(AND(IF(Metadata!Q444="",FALSE,TRUE),exact(Metadata!Q444,"not provided")),IF(Metadata!Q444="",FALSE,TRUE))</f>
        <v>0</v>
      </c>
    </row>
    <row r="445" spans="1:43">
      <c r="A445" s="4">
        <f>IF(B445=" "," ",HYPERLINK(CONCATENATE("#metadata!",ADDRESS(INDEX($W$2:$W$1001,MATCH(ROWS($U$2:U445),$U$2:$U$1001,0),0),2)),INDEX($Z$2:$Z$1001,MATCH(ROWS($U$2:U445),$U$2:$U$1001,0),0)))</f>
        <v>0</v>
      </c>
      <c r="B445" s="5">
        <f>IF(OR(INDEX($V$2:$V$1001,MATCH(ROWS($U$2:U445),$U$2:$U$1001,0),1)&gt;=100000,INDEX($AB$1005:$AQ$1005,1,MATCH(COLUMNS($AB$1006:AB1006),$AB$1006:$AQ$1006,0))&gt;=100000), " ",IF(INDEX($AB$2:$AQ$1001,MATCH(ROWS($U$2:U445),$U$2:$U$1001,0),MATCH(COLUMNS($AB$1006:AB1006),$AB$1006:$AQ$1006,0)), HYPERLINK("#",""), HYPERLINK(CONCATENATE("#Metadata!", ADDRESS(INDEX($W$2:$W$1001,MATCH(ROWS($U$2:U445),$U$2:$U$1001,0),0), INDEX($AB$1004:$AQ$1004,1,MATCH(COLUMNS($AB$1006:AB1006),$AB$1006:$AQ$1006,0)))),"Fix")))</f>
        <v>0</v>
      </c>
      <c r="C445" s="5">
        <f>IF(OR(INDEX($V$2:$V$1001,MATCH(ROWS($U$2:U445),$U$2:$U$1001,0),1)&gt;=100000,INDEX($AB$1005:$AQ$1005,1,MATCH(COLUMNS($AB$1006:AC1006),$AB$1006:$AQ$1006,0))&gt;=100000), " ",IF(INDEX($AB$2:$AQ$1001,MATCH(ROWS($U$2:U445),$U$2:$U$1001,0),MATCH(COLUMNS($AB$1006:AC1006),$AB$1006:$AQ$1006,0)), HYPERLINK("#",""), HYPERLINK(CONCATENATE("#Metadata!", ADDRESS(INDEX($W$2:$W$1001,MATCH(ROWS($U$2:U445),$U$2:$U$1001,0),0), INDEX($AB$1004:$AQ$1004,1,MATCH(COLUMNS($AB$1006:AC1006),$AB$1006:$AQ$1006,0)))),"Fix")))</f>
        <v>0</v>
      </c>
      <c r="D445" s="5">
        <f>IF(OR(INDEX($V$2:$V$1001,MATCH(ROWS($U$2:U445),$U$2:$U$1001,0),1)&gt;=100000,INDEX($AB$1005:$AQ$1005,1,MATCH(COLUMNS($AB$1006:AD1006),$AB$1006:$AQ$1006,0))&gt;=100000), " ",IF(INDEX($AB$2:$AQ$1001,MATCH(ROWS($U$2:U445),$U$2:$U$1001,0),MATCH(COLUMNS($AB$1006:AD1006),$AB$1006:$AQ$1006,0)), HYPERLINK("#",""), HYPERLINK(CONCATENATE("#Metadata!", ADDRESS(INDEX($W$2:$W$1001,MATCH(ROWS($U$2:U445),$U$2:$U$1001,0),0), INDEX($AB$1004:$AQ$1004,1,MATCH(COLUMNS($AB$1006:AD1006),$AB$1006:$AQ$1006,0)))),"Fix")))</f>
        <v>0</v>
      </c>
      <c r="E445" s="5">
        <f>IF(OR(INDEX($V$2:$V$1001,MATCH(ROWS($U$2:U445),$U$2:$U$1001,0),1)&gt;=100000,INDEX($AB$1005:$AQ$1005,1,MATCH(COLUMNS($AB$1006:AE1006),$AB$1006:$AQ$1006,0))&gt;=100000), " ",IF(INDEX($AB$2:$AQ$1001,MATCH(ROWS($U$2:U445),$U$2:$U$1001,0),MATCH(COLUMNS($AB$1006:AE1006),$AB$1006:$AQ$1006,0)), HYPERLINK("#",""), HYPERLINK(CONCATENATE("#Metadata!", ADDRESS(INDEX($W$2:$W$1001,MATCH(ROWS($U$2:U445),$U$2:$U$1001,0),0), INDEX($AB$1004:$AQ$1004,1,MATCH(COLUMNS($AB$1006:AE1006),$AB$1006:$AQ$1006,0)))),"Fix")))</f>
        <v>0</v>
      </c>
      <c r="F445" s="5">
        <f>IF(OR(INDEX($V$2:$V$1001,MATCH(ROWS($U$2:U445),$U$2:$U$1001,0),1)&gt;=100000,INDEX($AB$1005:$AQ$1005,1,MATCH(COLUMNS($AB$1006:AF1006),$AB$1006:$AQ$1006,0))&gt;=100000), " ",IF(INDEX($AB$2:$AQ$1001,MATCH(ROWS($U$2:U445),$U$2:$U$1001,0),MATCH(COLUMNS($AB$1006:AF1006),$AB$1006:$AQ$1006,0)), HYPERLINK("#",""), HYPERLINK(CONCATENATE("#Metadata!", ADDRESS(INDEX($W$2:$W$1001,MATCH(ROWS($U$2:U445),$U$2:$U$1001,0),0), INDEX($AB$1004:$AQ$1004,1,MATCH(COLUMNS($AB$1006:AF1006),$AB$1006:$AQ$1006,0)))),"Fix")))</f>
        <v>0</v>
      </c>
      <c r="G445" s="5">
        <f>IF(OR(INDEX($V$2:$V$1001,MATCH(ROWS($U$2:U445),$U$2:$U$1001,0),1)&gt;=100000,INDEX($AB$1005:$AQ$1005,1,MATCH(COLUMNS($AB$1006:AG1006),$AB$1006:$AQ$1006,0))&gt;=100000), " ",IF(INDEX($AB$2:$AQ$1001,MATCH(ROWS($U$2:U445),$U$2:$U$1001,0),MATCH(COLUMNS($AB$1006:AG1006),$AB$1006:$AQ$1006,0)), HYPERLINK("#",""), HYPERLINK(CONCATENATE("#Metadata!", ADDRESS(INDEX($W$2:$W$1001,MATCH(ROWS($U$2:U445),$U$2:$U$1001,0),0), INDEX($AB$1004:$AQ$1004,1,MATCH(COLUMNS($AB$1006:AG1006),$AB$1006:$AQ$1006,0)))),"Fix")))</f>
        <v>0</v>
      </c>
      <c r="H445" s="5">
        <f>IF(OR(INDEX($V$2:$V$1001,MATCH(ROWS($U$2:U445),$U$2:$U$1001,0),1)&gt;=100000,INDEX($AB$1005:$AQ$1005,1,MATCH(COLUMNS($AB$1006:AH1006),$AB$1006:$AQ$1006,0))&gt;=100000), " ",IF(INDEX($AB$2:$AQ$1001,MATCH(ROWS($U$2:U445),$U$2:$U$1001,0),MATCH(COLUMNS($AB$1006:AH1006),$AB$1006:$AQ$1006,0)), HYPERLINK("#",""), HYPERLINK(CONCATENATE("#Metadata!", ADDRESS(INDEX($W$2:$W$1001,MATCH(ROWS($U$2:U445),$U$2:$U$1001,0),0), INDEX($AB$1004:$AQ$1004,1,MATCH(COLUMNS($AB$1006:AH1006),$AB$1006:$AQ$1006,0)))),"Fix")))</f>
        <v>0</v>
      </c>
      <c r="I445" s="5">
        <f>IF(OR(INDEX($V$2:$V$1001,MATCH(ROWS($U$2:U445),$U$2:$U$1001,0),1)&gt;=100000,INDEX($AB$1005:$AQ$1005,1,MATCH(COLUMNS($AB$1006:AI1006),$AB$1006:$AQ$1006,0))&gt;=100000), " ",IF(INDEX($AB$2:$AQ$1001,MATCH(ROWS($U$2:U445),$U$2:$U$1001,0),MATCH(COLUMNS($AB$1006:AI1006),$AB$1006:$AQ$1006,0)), HYPERLINK("#",""), HYPERLINK(CONCATENATE("#Metadata!", ADDRESS(INDEX($W$2:$W$1001,MATCH(ROWS($U$2:U445),$U$2:$U$1001,0),0), INDEX($AB$1004:$AQ$1004,1,MATCH(COLUMNS($AB$1006:AI1006),$AB$1006:$AQ$1006,0)))),"Fix")))</f>
        <v>0</v>
      </c>
      <c r="J445" s="5">
        <f>IF(OR(INDEX($V$2:$V$1001,MATCH(ROWS($U$2:U445),$U$2:$U$1001,0),1)&gt;=100000,INDEX($AB$1005:$AQ$1005,1,MATCH(COLUMNS($AB$1006:AJ1006),$AB$1006:$AQ$1006,0))&gt;=100000), " ",IF(INDEX($AB$2:$AQ$1001,MATCH(ROWS($U$2:U445),$U$2:$U$1001,0),MATCH(COLUMNS($AB$1006:AJ1006),$AB$1006:$AQ$1006,0)), HYPERLINK("#",""), HYPERLINK(CONCATENATE("#Metadata!", ADDRESS(INDEX($W$2:$W$1001,MATCH(ROWS($U$2:U445),$U$2:$U$1001,0),0), INDEX($AB$1004:$AQ$1004,1,MATCH(COLUMNS($AB$1006:AJ1006),$AB$1006:$AQ$1006,0)))),"Fix")))</f>
        <v>0</v>
      </c>
      <c r="K445" s="5">
        <f>IF(OR(INDEX($V$2:$V$1001,MATCH(ROWS($U$2:U445),$U$2:$U$1001,0),1)&gt;=100000,INDEX($AB$1005:$AQ$1005,1,MATCH(COLUMNS($AB$1006:AK1006),$AB$1006:$AQ$1006,0))&gt;=100000), " ",IF(INDEX($AB$2:$AQ$1001,MATCH(ROWS($U$2:U445),$U$2:$U$1001,0),MATCH(COLUMNS($AB$1006:AK1006),$AB$1006:$AQ$1006,0)), HYPERLINK("#",""), HYPERLINK(CONCATENATE("#Metadata!", ADDRESS(INDEX($W$2:$W$1001,MATCH(ROWS($U$2:U445),$U$2:$U$1001,0),0), INDEX($AB$1004:$AQ$1004,1,MATCH(COLUMNS($AB$1006:AK1006),$AB$1006:$AQ$1006,0)))),"Fix")))</f>
        <v>0</v>
      </c>
      <c r="L445" s="5">
        <f>IF(OR(INDEX($V$2:$V$1001,MATCH(ROWS($U$2:U445),$U$2:$U$1001,0),1)&gt;=100000,INDEX($AB$1005:$AQ$1005,1,MATCH(COLUMNS($AB$1006:AL1006),$AB$1006:$AQ$1006,0))&gt;=100000), " ",IF(INDEX($AB$2:$AQ$1001,MATCH(ROWS($U$2:U445),$U$2:$U$1001,0),MATCH(COLUMNS($AB$1006:AL1006),$AB$1006:$AQ$1006,0)), HYPERLINK("#",""), HYPERLINK(CONCATENATE("#Metadata!", ADDRESS(INDEX($W$2:$W$1001,MATCH(ROWS($U$2:U445),$U$2:$U$1001,0),0), INDEX($AB$1004:$AQ$1004,1,MATCH(COLUMNS($AB$1006:AL1006),$AB$1006:$AQ$1006,0)))),"Fix")))</f>
        <v>0</v>
      </c>
      <c r="M445" s="5">
        <f>IF(OR(INDEX($V$2:$V$1001,MATCH(ROWS($U$2:U445),$U$2:$U$1001,0),1)&gt;=100000,INDEX($AB$1005:$AQ$1005,1,MATCH(COLUMNS($AB$1006:AM1006),$AB$1006:$AQ$1006,0))&gt;=100000), " ",IF(INDEX($AB$2:$AQ$1001,MATCH(ROWS($U$2:U445),$U$2:$U$1001,0),MATCH(COLUMNS($AB$1006:AM1006),$AB$1006:$AQ$1006,0)), HYPERLINK("#",""), HYPERLINK(CONCATENATE("#Metadata!", ADDRESS(INDEX($W$2:$W$1001,MATCH(ROWS($U$2:U445),$U$2:$U$1001,0),0), INDEX($AB$1004:$AQ$1004,1,MATCH(COLUMNS($AB$1006:AM1006),$AB$1006:$AQ$1006,0)))),"Fix")))</f>
        <v>0</v>
      </c>
      <c r="N445" s="5">
        <f>IF(OR(INDEX($V$2:$V$1001,MATCH(ROWS($U$2:U445),$U$2:$U$1001,0),1)&gt;=100000,INDEX($AB$1005:$AQ$1005,1,MATCH(COLUMNS($AB$1006:AN1006),$AB$1006:$AQ$1006,0))&gt;=100000), " ",IF(INDEX($AB$2:$AQ$1001,MATCH(ROWS($U$2:U445),$U$2:$U$1001,0),MATCH(COLUMNS($AB$1006:AN1006),$AB$1006:$AQ$1006,0)), HYPERLINK("#",""), HYPERLINK(CONCATENATE("#Metadata!", ADDRESS(INDEX($W$2:$W$1001,MATCH(ROWS($U$2:U445),$U$2:$U$1001,0),0), INDEX($AB$1004:$AQ$1004,1,MATCH(COLUMNS($AB$1006:AN1006),$AB$1006:$AQ$1006,0)))),"Fix")))</f>
        <v>0</v>
      </c>
      <c r="O445" s="5">
        <f>IF(OR(INDEX($V$2:$V$1001,MATCH(ROWS($U$2:U445),$U$2:$U$1001,0),1)&gt;=100000,INDEX($AB$1005:$AQ$1005,1,MATCH(COLUMNS($AB$1006:AO1006),$AB$1006:$AQ$1006,0))&gt;=100000), " ",IF(INDEX($AB$2:$AQ$1001,MATCH(ROWS($U$2:U445),$U$2:$U$1001,0),MATCH(COLUMNS($AB$1006:AO1006),$AB$1006:$AQ$1006,0)), HYPERLINK("#",""), HYPERLINK(CONCATENATE("#Metadata!", ADDRESS(INDEX($W$2:$W$1001,MATCH(ROWS($U$2:U445),$U$2:$U$1001,0),0), INDEX($AB$1004:$AQ$1004,1,MATCH(COLUMNS($AB$1006:AO1006),$AB$1006:$AQ$1006,0)))),"Fix")))</f>
        <v>0</v>
      </c>
      <c r="P445" s="5">
        <f>IF(OR(INDEX($V$2:$V$1001,MATCH(ROWS($U$2:U445),$U$2:$U$1001,0),1)&gt;=100000,INDEX($AB$1005:$AQ$1005,1,MATCH(COLUMNS($AB$1006:AP1006),$AB$1006:$AQ$1006,0))&gt;=100000), " ",IF(INDEX($AB$2:$AQ$1001,MATCH(ROWS($U$2:U445),$U$2:$U$1001,0),MATCH(COLUMNS($AB$1006:AP1006),$AB$1006:$AQ$1006,0)), HYPERLINK("#",""), HYPERLINK(CONCATENATE("#Metadata!", ADDRESS(INDEX($W$2:$W$1001,MATCH(ROWS($U$2:U445),$U$2:$U$1001,0),0), INDEX($AB$1004:$AQ$1004,1,MATCH(COLUMNS($AB$1006:AP1006),$AB$1006:$AQ$1006,0)))),"Fix")))</f>
        <v>0</v>
      </c>
      <c r="Q445" s="5">
        <f>IF(OR(INDEX($V$2:$V$1001,MATCH(ROWS($U$2:U445),$U$2:$U$1001,0),1)&gt;=100000,INDEX($AB$1005:$AQ$1005,1,MATCH(COLUMNS($AB$1006:AQ1006),$AB$1006:$AQ$1006,0))&gt;=100000), " ",IF(INDEX($AB$2:$AQ$1001,MATCH(ROWS($U$2:U445),$U$2:$U$1001,0),MATCH(COLUMNS($AB$1006:AQ1006),$AB$1006:$AQ$1006,0)), HYPERLINK("#",""), HYPERLINK(CONCATENATE("#Metadata!", ADDRESS(INDEX($W$2:$W$1001,MATCH(ROWS($U$2:U445),$U$2:$U$1001,0),0), INDEX($AB$1004:$AQ$1004,1,MATCH(COLUMNS($AB$1006:AQ1006),$AB$1006:$AQ$1006,0)))),"Fix")))</f>
        <v>0</v>
      </c>
      <c r="U445">
        <v>0</v>
      </c>
      <c r="V445">
        <v>0</v>
      </c>
      <c r="W445">
        <v>0</v>
      </c>
      <c r="X445">
        <f>IF(Y445,TRUE,AND(AB445:AQ445))</f>
        <v>0</v>
      </c>
      <c r="Y445">
        <f>COUNTBLANK(Metadata!B445:Q445)=COLUMNS(Metadata!B445:Q445)</f>
        <v>0</v>
      </c>
      <c r="Z445">
        <v>0</v>
      </c>
      <c r="AB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AC445">
        <f>AND(IF(Metadata!C445="",FALSE,TRUE),exact(Metadata!C445,"urban biome"))</f>
        <v>0</v>
      </c>
      <c r="AD445">
        <f>AND(IF(Metadata!D445="",FALSE,TRUE),exact(Metadata!D445,"human-associated habitat"))</f>
        <v>0</v>
      </c>
      <c r="AE445">
        <f>AND(IF(Metadata!E445="",FALSE,TRUE),OR(exact(Metadata!E445,"human-associated"),exact(Metadata!E445,"human-skin"),exact(Metadata!E445,"human-oral"),exact(Metadata!E445,"human-gut"),exact(Metadata!E445,"human-vaginal")))</f>
        <v>0</v>
      </c>
      <c r="AF445">
        <f>AND(IF(Metadata!F445="",FALSE,ISNUMBER(VALUE(Metadata!F445))),Metadata!F445&gt;0)</f>
        <v>0</v>
      </c>
      <c r="AG445">
        <f>AND(IF(Metadata!G445="",FALSE,TRUE),exact(Metadata!G445,"years"))</f>
        <v>0</v>
      </c>
      <c r="AH445">
        <f>OR(AND(IF(Metadata!H445="",FALSE,TRUE),OR(exact(Metadata!H445,"not applicable"),exact(Metadata!H445,"not collected"),exact(Metadata!H445,"not provided"),exact(Metadata!H445,"restricted access"))),AND(IF(Metadata!H445="",FALSE,ISNUMBER(VALUE(Metadata!H445))),Metadata!H445&gt;0))</f>
        <v>0</v>
      </c>
      <c r="AI445">
        <f>AND(IF(Metadata!I445="",FALSE,TRUE),exact(Metadata!I445,"human"))</f>
        <v>0</v>
      </c>
      <c r="AJ445">
        <f>AND(IF(Metadata!J445="",FALSE,ISNUMBER(VALUE(Metadata!J445))),Metadata!J445&gt;0)</f>
        <v>0</v>
      </c>
      <c r="AK445">
        <f>AND(IF(Metadata!K445="",FALSE,TRUE),exact(Metadata!K445,"cm"))</f>
        <v>0</v>
      </c>
      <c r="AL445">
        <f>AND(IF(Metadata!L445="",FALSE,TRUE),exact(Metadata!L445,"Homo sapiens"))</f>
        <v>0</v>
      </c>
      <c r="AM445">
        <f>AND(IF(Metadata!M445="",FALSE,TRUE),exact(Metadata!M445,"9606"))</f>
        <v>0</v>
      </c>
      <c r="AN445">
        <f>AND(IF(Metadata!N445="",FALSE,ISNUMBER(VALUE(Metadata!N445))),Metadata!N445&gt;0)</f>
        <v>0</v>
      </c>
      <c r="AO445">
        <f>AND(IF(Metadata!O445="",FALSE,TRUE),exact(Metadata!O445,"kg"))</f>
        <v>0</v>
      </c>
      <c r="AP445">
        <f>OR(AND(IF(Metadata!P445="",FALSE,TRUE),exact(Metadata!P445,"not provided")),IF(Metadata!P445="",FALSE,TRUE))</f>
        <v>0</v>
      </c>
      <c r="AQ445">
        <f>OR(AND(IF(Metadata!Q445="",FALSE,TRUE),exact(Metadata!Q445,"not provided")),IF(Metadata!Q445="",FALSE,TRUE))</f>
        <v>0</v>
      </c>
    </row>
    <row r="446" spans="1:43">
      <c r="A446" s="4">
        <f>IF(B446=" "," ",HYPERLINK(CONCATENATE("#metadata!",ADDRESS(INDEX($W$2:$W$1001,MATCH(ROWS($U$2:U446),$U$2:$U$1001,0),0),2)),INDEX($Z$2:$Z$1001,MATCH(ROWS($U$2:U446),$U$2:$U$1001,0),0)))</f>
        <v>0</v>
      </c>
      <c r="B446" s="5">
        <f>IF(OR(INDEX($V$2:$V$1001,MATCH(ROWS($U$2:U446),$U$2:$U$1001,0),1)&gt;=100000,INDEX($AB$1005:$AQ$1005,1,MATCH(COLUMNS($AB$1006:AB1006),$AB$1006:$AQ$1006,0))&gt;=100000), " ",IF(INDEX($AB$2:$AQ$1001,MATCH(ROWS($U$2:U446),$U$2:$U$1001,0),MATCH(COLUMNS($AB$1006:AB1006),$AB$1006:$AQ$1006,0)), HYPERLINK("#",""), HYPERLINK(CONCATENATE("#Metadata!", ADDRESS(INDEX($W$2:$W$1001,MATCH(ROWS($U$2:U446),$U$2:$U$1001,0),0), INDEX($AB$1004:$AQ$1004,1,MATCH(COLUMNS($AB$1006:AB1006),$AB$1006:$AQ$1006,0)))),"Fix")))</f>
        <v>0</v>
      </c>
      <c r="C446" s="5">
        <f>IF(OR(INDEX($V$2:$V$1001,MATCH(ROWS($U$2:U446),$U$2:$U$1001,0),1)&gt;=100000,INDEX($AB$1005:$AQ$1005,1,MATCH(COLUMNS($AB$1006:AC1006),$AB$1006:$AQ$1006,0))&gt;=100000), " ",IF(INDEX($AB$2:$AQ$1001,MATCH(ROWS($U$2:U446),$U$2:$U$1001,0),MATCH(COLUMNS($AB$1006:AC1006),$AB$1006:$AQ$1006,0)), HYPERLINK("#",""), HYPERLINK(CONCATENATE("#Metadata!", ADDRESS(INDEX($W$2:$W$1001,MATCH(ROWS($U$2:U446),$U$2:$U$1001,0),0), INDEX($AB$1004:$AQ$1004,1,MATCH(COLUMNS($AB$1006:AC1006),$AB$1006:$AQ$1006,0)))),"Fix")))</f>
        <v>0</v>
      </c>
      <c r="D446" s="5">
        <f>IF(OR(INDEX($V$2:$V$1001,MATCH(ROWS($U$2:U446),$U$2:$U$1001,0),1)&gt;=100000,INDEX($AB$1005:$AQ$1005,1,MATCH(COLUMNS($AB$1006:AD1006),$AB$1006:$AQ$1006,0))&gt;=100000), " ",IF(INDEX($AB$2:$AQ$1001,MATCH(ROWS($U$2:U446),$U$2:$U$1001,0),MATCH(COLUMNS($AB$1006:AD1006),$AB$1006:$AQ$1006,0)), HYPERLINK("#",""), HYPERLINK(CONCATENATE("#Metadata!", ADDRESS(INDEX($W$2:$W$1001,MATCH(ROWS($U$2:U446),$U$2:$U$1001,0),0), INDEX($AB$1004:$AQ$1004,1,MATCH(COLUMNS($AB$1006:AD1006),$AB$1006:$AQ$1006,0)))),"Fix")))</f>
        <v>0</v>
      </c>
      <c r="E446" s="5">
        <f>IF(OR(INDEX($V$2:$V$1001,MATCH(ROWS($U$2:U446),$U$2:$U$1001,0),1)&gt;=100000,INDEX($AB$1005:$AQ$1005,1,MATCH(COLUMNS($AB$1006:AE1006),$AB$1006:$AQ$1006,0))&gt;=100000), " ",IF(INDEX($AB$2:$AQ$1001,MATCH(ROWS($U$2:U446),$U$2:$U$1001,0),MATCH(COLUMNS($AB$1006:AE1006),$AB$1006:$AQ$1006,0)), HYPERLINK("#",""), HYPERLINK(CONCATENATE("#Metadata!", ADDRESS(INDEX($W$2:$W$1001,MATCH(ROWS($U$2:U446),$U$2:$U$1001,0),0), INDEX($AB$1004:$AQ$1004,1,MATCH(COLUMNS($AB$1006:AE1006),$AB$1006:$AQ$1006,0)))),"Fix")))</f>
        <v>0</v>
      </c>
      <c r="F446" s="5">
        <f>IF(OR(INDEX($V$2:$V$1001,MATCH(ROWS($U$2:U446),$U$2:$U$1001,0),1)&gt;=100000,INDEX($AB$1005:$AQ$1005,1,MATCH(COLUMNS($AB$1006:AF1006),$AB$1006:$AQ$1006,0))&gt;=100000), " ",IF(INDEX($AB$2:$AQ$1001,MATCH(ROWS($U$2:U446),$U$2:$U$1001,0),MATCH(COLUMNS($AB$1006:AF1006),$AB$1006:$AQ$1006,0)), HYPERLINK("#",""), HYPERLINK(CONCATENATE("#Metadata!", ADDRESS(INDEX($W$2:$W$1001,MATCH(ROWS($U$2:U446),$U$2:$U$1001,0),0), INDEX($AB$1004:$AQ$1004,1,MATCH(COLUMNS($AB$1006:AF1006),$AB$1006:$AQ$1006,0)))),"Fix")))</f>
        <v>0</v>
      </c>
      <c r="G446" s="5">
        <f>IF(OR(INDEX($V$2:$V$1001,MATCH(ROWS($U$2:U446),$U$2:$U$1001,0),1)&gt;=100000,INDEX($AB$1005:$AQ$1005,1,MATCH(COLUMNS($AB$1006:AG1006),$AB$1006:$AQ$1006,0))&gt;=100000), " ",IF(INDEX($AB$2:$AQ$1001,MATCH(ROWS($U$2:U446),$U$2:$U$1001,0),MATCH(COLUMNS($AB$1006:AG1006),$AB$1006:$AQ$1006,0)), HYPERLINK("#",""), HYPERLINK(CONCATENATE("#Metadata!", ADDRESS(INDEX($W$2:$W$1001,MATCH(ROWS($U$2:U446),$U$2:$U$1001,0),0), INDEX($AB$1004:$AQ$1004,1,MATCH(COLUMNS($AB$1006:AG1006),$AB$1006:$AQ$1006,0)))),"Fix")))</f>
        <v>0</v>
      </c>
      <c r="H446" s="5">
        <f>IF(OR(INDEX($V$2:$V$1001,MATCH(ROWS($U$2:U446),$U$2:$U$1001,0),1)&gt;=100000,INDEX($AB$1005:$AQ$1005,1,MATCH(COLUMNS($AB$1006:AH1006),$AB$1006:$AQ$1006,0))&gt;=100000), " ",IF(INDEX($AB$2:$AQ$1001,MATCH(ROWS($U$2:U446),$U$2:$U$1001,0),MATCH(COLUMNS($AB$1006:AH1006),$AB$1006:$AQ$1006,0)), HYPERLINK("#",""), HYPERLINK(CONCATENATE("#Metadata!", ADDRESS(INDEX($W$2:$W$1001,MATCH(ROWS($U$2:U446),$U$2:$U$1001,0),0), INDEX($AB$1004:$AQ$1004,1,MATCH(COLUMNS($AB$1006:AH1006),$AB$1006:$AQ$1006,0)))),"Fix")))</f>
        <v>0</v>
      </c>
      <c r="I446" s="5">
        <f>IF(OR(INDEX($V$2:$V$1001,MATCH(ROWS($U$2:U446),$U$2:$U$1001,0),1)&gt;=100000,INDEX($AB$1005:$AQ$1005,1,MATCH(COLUMNS($AB$1006:AI1006),$AB$1006:$AQ$1006,0))&gt;=100000), " ",IF(INDEX($AB$2:$AQ$1001,MATCH(ROWS($U$2:U446),$U$2:$U$1001,0),MATCH(COLUMNS($AB$1006:AI1006),$AB$1006:$AQ$1006,0)), HYPERLINK("#",""), HYPERLINK(CONCATENATE("#Metadata!", ADDRESS(INDEX($W$2:$W$1001,MATCH(ROWS($U$2:U446),$U$2:$U$1001,0),0), INDEX($AB$1004:$AQ$1004,1,MATCH(COLUMNS($AB$1006:AI1006),$AB$1006:$AQ$1006,0)))),"Fix")))</f>
        <v>0</v>
      </c>
      <c r="J446" s="5">
        <f>IF(OR(INDEX($V$2:$V$1001,MATCH(ROWS($U$2:U446),$U$2:$U$1001,0),1)&gt;=100000,INDEX($AB$1005:$AQ$1005,1,MATCH(COLUMNS($AB$1006:AJ1006),$AB$1006:$AQ$1006,0))&gt;=100000), " ",IF(INDEX($AB$2:$AQ$1001,MATCH(ROWS($U$2:U446),$U$2:$U$1001,0),MATCH(COLUMNS($AB$1006:AJ1006),$AB$1006:$AQ$1006,0)), HYPERLINK("#",""), HYPERLINK(CONCATENATE("#Metadata!", ADDRESS(INDEX($W$2:$W$1001,MATCH(ROWS($U$2:U446),$U$2:$U$1001,0),0), INDEX($AB$1004:$AQ$1004,1,MATCH(COLUMNS($AB$1006:AJ1006),$AB$1006:$AQ$1006,0)))),"Fix")))</f>
        <v>0</v>
      </c>
      <c r="K446" s="5">
        <f>IF(OR(INDEX($V$2:$V$1001,MATCH(ROWS($U$2:U446),$U$2:$U$1001,0),1)&gt;=100000,INDEX($AB$1005:$AQ$1005,1,MATCH(COLUMNS($AB$1006:AK1006),$AB$1006:$AQ$1006,0))&gt;=100000), " ",IF(INDEX($AB$2:$AQ$1001,MATCH(ROWS($U$2:U446),$U$2:$U$1001,0),MATCH(COLUMNS($AB$1006:AK1006),$AB$1006:$AQ$1006,0)), HYPERLINK("#",""), HYPERLINK(CONCATENATE("#Metadata!", ADDRESS(INDEX($W$2:$W$1001,MATCH(ROWS($U$2:U446),$U$2:$U$1001,0),0), INDEX($AB$1004:$AQ$1004,1,MATCH(COLUMNS($AB$1006:AK1006),$AB$1006:$AQ$1006,0)))),"Fix")))</f>
        <v>0</v>
      </c>
      <c r="L446" s="5">
        <f>IF(OR(INDEX($V$2:$V$1001,MATCH(ROWS($U$2:U446),$U$2:$U$1001,0),1)&gt;=100000,INDEX($AB$1005:$AQ$1005,1,MATCH(COLUMNS($AB$1006:AL1006),$AB$1006:$AQ$1006,0))&gt;=100000), " ",IF(INDEX($AB$2:$AQ$1001,MATCH(ROWS($U$2:U446),$U$2:$U$1001,0),MATCH(COLUMNS($AB$1006:AL1006),$AB$1006:$AQ$1006,0)), HYPERLINK("#",""), HYPERLINK(CONCATENATE("#Metadata!", ADDRESS(INDEX($W$2:$W$1001,MATCH(ROWS($U$2:U446),$U$2:$U$1001,0),0), INDEX($AB$1004:$AQ$1004,1,MATCH(COLUMNS($AB$1006:AL1006),$AB$1006:$AQ$1006,0)))),"Fix")))</f>
        <v>0</v>
      </c>
      <c r="M446" s="5">
        <f>IF(OR(INDEX($V$2:$V$1001,MATCH(ROWS($U$2:U446),$U$2:$U$1001,0),1)&gt;=100000,INDEX($AB$1005:$AQ$1005,1,MATCH(COLUMNS($AB$1006:AM1006),$AB$1006:$AQ$1006,0))&gt;=100000), " ",IF(INDEX($AB$2:$AQ$1001,MATCH(ROWS($U$2:U446),$U$2:$U$1001,0),MATCH(COLUMNS($AB$1006:AM1006),$AB$1006:$AQ$1006,0)), HYPERLINK("#",""), HYPERLINK(CONCATENATE("#Metadata!", ADDRESS(INDEX($W$2:$W$1001,MATCH(ROWS($U$2:U446),$U$2:$U$1001,0),0), INDEX($AB$1004:$AQ$1004,1,MATCH(COLUMNS($AB$1006:AM1006),$AB$1006:$AQ$1006,0)))),"Fix")))</f>
        <v>0</v>
      </c>
      <c r="N446" s="5">
        <f>IF(OR(INDEX($V$2:$V$1001,MATCH(ROWS($U$2:U446),$U$2:$U$1001,0),1)&gt;=100000,INDEX($AB$1005:$AQ$1005,1,MATCH(COLUMNS($AB$1006:AN1006),$AB$1006:$AQ$1006,0))&gt;=100000), " ",IF(INDEX($AB$2:$AQ$1001,MATCH(ROWS($U$2:U446),$U$2:$U$1001,0),MATCH(COLUMNS($AB$1006:AN1006),$AB$1006:$AQ$1006,0)), HYPERLINK("#",""), HYPERLINK(CONCATENATE("#Metadata!", ADDRESS(INDEX($W$2:$W$1001,MATCH(ROWS($U$2:U446),$U$2:$U$1001,0),0), INDEX($AB$1004:$AQ$1004,1,MATCH(COLUMNS($AB$1006:AN1006),$AB$1006:$AQ$1006,0)))),"Fix")))</f>
        <v>0</v>
      </c>
      <c r="O446" s="5">
        <f>IF(OR(INDEX($V$2:$V$1001,MATCH(ROWS($U$2:U446),$U$2:$U$1001,0),1)&gt;=100000,INDEX($AB$1005:$AQ$1005,1,MATCH(COLUMNS($AB$1006:AO1006),$AB$1006:$AQ$1006,0))&gt;=100000), " ",IF(INDEX($AB$2:$AQ$1001,MATCH(ROWS($U$2:U446),$U$2:$U$1001,0),MATCH(COLUMNS($AB$1006:AO1006),$AB$1006:$AQ$1006,0)), HYPERLINK("#",""), HYPERLINK(CONCATENATE("#Metadata!", ADDRESS(INDEX($W$2:$W$1001,MATCH(ROWS($U$2:U446),$U$2:$U$1001,0),0), INDEX($AB$1004:$AQ$1004,1,MATCH(COLUMNS($AB$1006:AO1006),$AB$1006:$AQ$1006,0)))),"Fix")))</f>
        <v>0</v>
      </c>
      <c r="P446" s="5">
        <f>IF(OR(INDEX($V$2:$V$1001,MATCH(ROWS($U$2:U446),$U$2:$U$1001,0),1)&gt;=100000,INDEX($AB$1005:$AQ$1005,1,MATCH(COLUMNS($AB$1006:AP1006),$AB$1006:$AQ$1006,0))&gt;=100000), " ",IF(INDEX($AB$2:$AQ$1001,MATCH(ROWS($U$2:U446),$U$2:$U$1001,0),MATCH(COLUMNS($AB$1006:AP1006),$AB$1006:$AQ$1006,0)), HYPERLINK("#",""), HYPERLINK(CONCATENATE("#Metadata!", ADDRESS(INDEX($W$2:$W$1001,MATCH(ROWS($U$2:U446),$U$2:$U$1001,0),0), INDEX($AB$1004:$AQ$1004,1,MATCH(COLUMNS($AB$1006:AP1006),$AB$1006:$AQ$1006,0)))),"Fix")))</f>
        <v>0</v>
      </c>
      <c r="Q446" s="5">
        <f>IF(OR(INDEX($V$2:$V$1001,MATCH(ROWS($U$2:U446),$U$2:$U$1001,0),1)&gt;=100000,INDEX($AB$1005:$AQ$1005,1,MATCH(COLUMNS($AB$1006:AQ1006),$AB$1006:$AQ$1006,0))&gt;=100000), " ",IF(INDEX($AB$2:$AQ$1001,MATCH(ROWS($U$2:U446),$U$2:$U$1001,0),MATCH(COLUMNS($AB$1006:AQ1006),$AB$1006:$AQ$1006,0)), HYPERLINK("#",""), HYPERLINK(CONCATENATE("#Metadata!", ADDRESS(INDEX($W$2:$W$1001,MATCH(ROWS($U$2:U446),$U$2:$U$1001,0),0), INDEX($AB$1004:$AQ$1004,1,MATCH(COLUMNS($AB$1006:AQ1006),$AB$1006:$AQ$1006,0)))),"Fix")))</f>
        <v>0</v>
      </c>
      <c r="U446">
        <v>0</v>
      </c>
      <c r="V446">
        <v>0</v>
      </c>
      <c r="W446">
        <v>0</v>
      </c>
      <c r="X446">
        <f>IF(Y446,TRUE,AND(AB446:AQ446))</f>
        <v>0</v>
      </c>
      <c r="Y446">
        <f>COUNTBLANK(Metadata!B446:Q446)=COLUMNS(Metadata!B446:Q446)</f>
        <v>0</v>
      </c>
      <c r="Z446">
        <v>0</v>
      </c>
      <c r="AB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AC446">
        <f>AND(IF(Metadata!C446="",FALSE,TRUE),exact(Metadata!C446,"urban biome"))</f>
        <v>0</v>
      </c>
      <c r="AD446">
        <f>AND(IF(Metadata!D446="",FALSE,TRUE),exact(Metadata!D446,"human-associated habitat"))</f>
        <v>0</v>
      </c>
      <c r="AE446">
        <f>AND(IF(Metadata!E446="",FALSE,TRUE),OR(exact(Metadata!E446,"human-associated"),exact(Metadata!E446,"human-skin"),exact(Metadata!E446,"human-oral"),exact(Metadata!E446,"human-gut"),exact(Metadata!E446,"human-vaginal")))</f>
        <v>0</v>
      </c>
      <c r="AF446">
        <f>AND(IF(Metadata!F446="",FALSE,ISNUMBER(VALUE(Metadata!F446))),Metadata!F446&gt;0)</f>
        <v>0</v>
      </c>
      <c r="AG446">
        <f>AND(IF(Metadata!G446="",FALSE,TRUE),exact(Metadata!G446,"years"))</f>
        <v>0</v>
      </c>
      <c r="AH446">
        <f>OR(AND(IF(Metadata!H446="",FALSE,TRUE),OR(exact(Metadata!H446,"not applicable"),exact(Metadata!H446,"not collected"),exact(Metadata!H446,"not provided"),exact(Metadata!H446,"restricted access"))),AND(IF(Metadata!H446="",FALSE,ISNUMBER(VALUE(Metadata!H446))),Metadata!H446&gt;0))</f>
        <v>0</v>
      </c>
      <c r="AI446">
        <f>AND(IF(Metadata!I446="",FALSE,TRUE),exact(Metadata!I446,"human"))</f>
        <v>0</v>
      </c>
      <c r="AJ446">
        <f>AND(IF(Metadata!J446="",FALSE,ISNUMBER(VALUE(Metadata!J446))),Metadata!J446&gt;0)</f>
        <v>0</v>
      </c>
      <c r="AK446">
        <f>AND(IF(Metadata!K446="",FALSE,TRUE),exact(Metadata!K446,"cm"))</f>
        <v>0</v>
      </c>
      <c r="AL446">
        <f>AND(IF(Metadata!L446="",FALSE,TRUE),exact(Metadata!L446,"Homo sapiens"))</f>
        <v>0</v>
      </c>
      <c r="AM446">
        <f>AND(IF(Metadata!M446="",FALSE,TRUE),exact(Metadata!M446,"9606"))</f>
        <v>0</v>
      </c>
      <c r="AN446">
        <f>AND(IF(Metadata!N446="",FALSE,ISNUMBER(VALUE(Metadata!N446))),Metadata!N446&gt;0)</f>
        <v>0</v>
      </c>
      <c r="AO446">
        <f>AND(IF(Metadata!O446="",FALSE,TRUE),exact(Metadata!O446,"kg"))</f>
        <v>0</v>
      </c>
      <c r="AP446">
        <f>OR(AND(IF(Metadata!P446="",FALSE,TRUE),exact(Metadata!P446,"not provided")),IF(Metadata!P446="",FALSE,TRUE))</f>
        <v>0</v>
      </c>
      <c r="AQ446">
        <f>OR(AND(IF(Metadata!Q446="",FALSE,TRUE),exact(Metadata!Q446,"not provided")),IF(Metadata!Q446="",FALSE,TRUE))</f>
        <v>0</v>
      </c>
    </row>
    <row r="447" spans="1:43">
      <c r="A447" s="4">
        <f>IF(B447=" "," ",HYPERLINK(CONCATENATE("#metadata!",ADDRESS(INDEX($W$2:$W$1001,MATCH(ROWS($U$2:U447),$U$2:$U$1001,0),0),2)),INDEX($Z$2:$Z$1001,MATCH(ROWS($U$2:U447),$U$2:$U$1001,0),0)))</f>
        <v>0</v>
      </c>
      <c r="B447" s="5">
        <f>IF(OR(INDEX($V$2:$V$1001,MATCH(ROWS($U$2:U447),$U$2:$U$1001,0),1)&gt;=100000,INDEX($AB$1005:$AQ$1005,1,MATCH(COLUMNS($AB$1006:AB1006),$AB$1006:$AQ$1006,0))&gt;=100000), " ",IF(INDEX($AB$2:$AQ$1001,MATCH(ROWS($U$2:U447),$U$2:$U$1001,0),MATCH(COLUMNS($AB$1006:AB1006),$AB$1006:$AQ$1006,0)), HYPERLINK("#",""), HYPERLINK(CONCATENATE("#Metadata!", ADDRESS(INDEX($W$2:$W$1001,MATCH(ROWS($U$2:U447),$U$2:$U$1001,0),0), INDEX($AB$1004:$AQ$1004,1,MATCH(COLUMNS($AB$1006:AB1006),$AB$1006:$AQ$1006,0)))),"Fix")))</f>
        <v>0</v>
      </c>
      <c r="C447" s="5">
        <f>IF(OR(INDEX($V$2:$V$1001,MATCH(ROWS($U$2:U447),$U$2:$U$1001,0),1)&gt;=100000,INDEX($AB$1005:$AQ$1005,1,MATCH(COLUMNS($AB$1006:AC1006),$AB$1006:$AQ$1006,0))&gt;=100000), " ",IF(INDEX($AB$2:$AQ$1001,MATCH(ROWS($U$2:U447),$U$2:$U$1001,0),MATCH(COLUMNS($AB$1006:AC1006),$AB$1006:$AQ$1006,0)), HYPERLINK("#",""), HYPERLINK(CONCATENATE("#Metadata!", ADDRESS(INDEX($W$2:$W$1001,MATCH(ROWS($U$2:U447),$U$2:$U$1001,0),0), INDEX($AB$1004:$AQ$1004,1,MATCH(COLUMNS($AB$1006:AC1006),$AB$1006:$AQ$1006,0)))),"Fix")))</f>
        <v>0</v>
      </c>
      <c r="D447" s="5">
        <f>IF(OR(INDEX($V$2:$V$1001,MATCH(ROWS($U$2:U447),$U$2:$U$1001,0),1)&gt;=100000,INDEX($AB$1005:$AQ$1005,1,MATCH(COLUMNS($AB$1006:AD1006),$AB$1006:$AQ$1006,0))&gt;=100000), " ",IF(INDEX($AB$2:$AQ$1001,MATCH(ROWS($U$2:U447),$U$2:$U$1001,0),MATCH(COLUMNS($AB$1006:AD1006),$AB$1006:$AQ$1006,0)), HYPERLINK("#",""), HYPERLINK(CONCATENATE("#Metadata!", ADDRESS(INDEX($W$2:$W$1001,MATCH(ROWS($U$2:U447),$U$2:$U$1001,0),0), INDEX($AB$1004:$AQ$1004,1,MATCH(COLUMNS($AB$1006:AD1006),$AB$1006:$AQ$1006,0)))),"Fix")))</f>
        <v>0</v>
      </c>
      <c r="E447" s="5">
        <f>IF(OR(INDEX($V$2:$V$1001,MATCH(ROWS($U$2:U447),$U$2:$U$1001,0),1)&gt;=100000,INDEX($AB$1005:$AQ$1005,1,MATCH(COLUMNS($AB$1006:AE1006),$AB$1006:$AQ$1006,0))&gt;=100000), " ",IF(INDEX($AB$2:$AQ$1001,MATCH(ROWS($U$2:U447),$U$2:$U$1001,0),MATCH(COLUMNS($AB$1006:AE1006),$AB$1006:$AQ$1006,0)), HYPERLINK("#",""), HYPERLINK(CONCATENATE("#Metadata!", ADDRESS(INDEX($W$2:$W$1001,MATCH(ROWS($U$2:U447),$U$2:$U$1001,0),0), INDEX($AB$1004:$AQ$1004,1,MATCH(COLUMNS($AB$1006:AE1006),$AB$1006:$AQ$1006,0)))),"Fix")))</f>
        <v>0</v>
      </c>
      <c r="F447" s="5">
        <f>IF(OR(INDEX($V$2:$V$1001,MATCH(ROWS($U$2:U447),$U$2:$U$1001,0),1)&gt;=100000,INDEX($AB$1005:$AQ$1005,1,MATCH(COLUMNS($AB$1006:AF1006),$AB$1006:$AQ$1006,0))&gt;=100000), " ",IF(INDEX($AB$2:$AQ$1001,MATCH(ROWS($U$2:U447),$U$2:$U$1001,0),MATCH(COLUMNS($AB$1006:AF1006),$AB$1006:$AQ$1006,0)), HYPERLINK("#",""), HYPERLINK(CONCATENATE("#Metadata!", ADDRESS(INDEX($W$2:$W$1001,MATCH(ROWS($U$2:U447),$U$2:$U$1001,0),0), INDEX($AB$1004:$AQ$1004,1,MATCH(COLUMNS($AB$1006:AF1006),$AB$1006:$AQ$1006,0)))),"Fix")))</f>
        <v>0</v>
      </c>
      <c r="G447" s="5">
        <f>IF(OR(INDEX($V$2:$V$1001,MATCH(ROWS($U$2:U447),$U$2:$U$1001,0),1)&gt;=100000,INDEX($AB$1005:$AQ$1005,1,MATCH(COLUMNS($AB$1006:AG1006),$AB$1006:$AQ$1006,0))&gt;=100000), " ",IF(INDEX($AB$2:$AQ$1001,MATCH(ROWS($U$2:U447),$U$2:$U$1001,0),MATCH(COLUMNS($AB$1006:AG1006),$AB$1006:$AQ$1006,0)), HYPERLINK("#",""), HYPERLINK(CONCATENATE("#Metadata!", ADDRESS(INDEX($W$2:$W$1001,MATCH(ROWS($U$2:U447),$U$2:$U$1001,0),0), INDEX($AB$1004:$AQ$1004,1,MATCH(COLUMNS($AB$1006:AG1006),$AB$1006:$AQ$1006,0)))),"Fix")))</f>
        <v>0</v>
      </c>
      <c r="H447" s="5">
        <f>IF(OR(INDEX($V$2:$V$1001,MATCH(ROWS($U$2:U447),$U$2:$U$1001,0),1)&gt;=100000,INDEX($AB$1005:$AQ$1005,1,MATCH(COLUMNS($AB$1006:AH1006),$AB$1006:$AQ$1006,0))&gt;=100000), " ",IF(INDEX($AB$2:$AQ$1001,MATCH(ROWS($U$2:U447),$U$2:$U$1001,0),MATCH(COLUMNS($AB$1006:AH1006),$AB$1006:$AQ$1006,0)), HYPERLINK("#",""), HYPERLINK(CONCATENATE("#Metadata!", ADDRESS(INDEX($W$2:$W$1001,MATCH(ROWS($U$2:U447),$U$2:$U$1001,0),0), INDEX($AB$1004:$AQ$1004,1,MATCH(COLUMNS($AB$1006:AH1006),$AB$1006:$AQ$1006,0)))),"Fix")))</f>
        <v>0</v>
      </c>
      <c r="I447" s="5">
        <f>IF(OR(INDEX($V$2:$V$1001,MATCH(ROWS($U$2:U447),$U$2:$U$1001,0),1)&gt;=100000,INDEX($AB$1005:$AQ$1005,1,MATCH(COLUMNS($AB$1006:AI1006),$AB$1006:$AQ$1006,0))&gt;=100000), " ",IF(INDEX($AB$2:$AQ$1001,MATCH(ROWS($U$2:U447),$U$2:$U$1001,0),MATCH(COLUMNS($AB$1006:AI1006),$AB$1006:$AQ$1006,0)), HYPERLINK("#",""), HYPERLINK(CONCATENATE("#Metadata!", ADDRESS(INDEX($W$2:$W$1001,MATCH(ROWS($U$2:U447),$U$2:$U$1001,0),0), INDEX($AB$1004:$AQ$1004,1,MATCH(COLUMNS($AB$1006:AI1006),$AB$1006:$AQ$1006,0)))),"Fix")))</f>
        <v>0</v>
      </c>
      <c r="J447" s="5">
        <f>IF(OR(INDEX($V$2:$V$1001,MATCH(ROWS($U$2:U447),$U$2:$U$1001,0),1)&gt;=100000,INDEX($AB$1005:$AQ$1005,1,MATCH(COLUMNS($AB$1006:AJ1006),$AB$1006:$AQ$1006,0))&gt;=100000), " ",IF(INDEX($AB$2:$AQ$1001,MATCH(ROWS($U$2:U447),$U$2:$U$1001,0),MATCH(COLUMNS($AB$1006:AJ1006),$AB$1006:$AQ$1006,0)), HYPERLINK("#",""), HYPERLINK(CONCATENATE("#Metadata!", ADDRESS(INDEX($W$2:$W$1001,MATCH(ROWS($U$2:U447),$U$2:$U$1001,0),0), INDEX($AB$1004:$AQ$1004,1,MATCH(COLUMNS($AB$1006:AJ1006),$AB$1006:$AQ$1006,0)))),"Fix")))</f>
        <v>0</v>
      </c>
      <c r="K447" s="5">
        <f>IF(OR(INDEX($V$2:$V$1001,MATCH(ROWS($U$2:U447),$U$2:$U$1001,0),1)&gt;=100000,INDEX($AB$1005:$AQ$1005,1,MATCH(COLUMNS($AB$1006:AK1006),$AB$1006:$AQ$1006,0))&gt;=100000), " ",IF(INDEX($AB$2:$AQ$1001,MATCH(ROWS($U$2:U447),$U$2:$U$1001,0),MATCH(COLUMNS($AB$1006:AK1006),$AB$1006:$AQ$1006,0)), HYPERLINK("#",""), HYPERLINK(CONCATENATE("#Metadata!", ADDRESS(INDEX($W$2:$W$1001,MATCH(ROWS($U$2:U447),$U$2:$U$1001,0),0), INDEX($AB$1004:$AQ$1004,1,MATCH(COLUMNS($AB$1006:AK1006),$AB$1006:$AQ$1006,0)))),"Fix")))</f>
        <v>0</v>
      </c>
      <c r="L447" s="5">
        <f>IF(OR(INDEX($V$2:$V$1001,MATCH(ROWS($U$2:U447),$U$2:$U$1001,0),1)&gt;=100000,INDEX($AB$1005:$AQ$1005,1,MATCH(COLUMNS($AB$1006:AL1006),$AB$1006:$AQ$1006,0))&gt;=100000), " ",IF(INDEX($AB$2:$AQ$1001,MATCH(ROWS($U$2:U447),$U$2:$U$1001,0),MATCH(COLUMNS($AB$1006:AL1006),$AB$1006:$AQ$1006,0)), HYPERLINK("#",""), HYPERLINK(CONCATENATE("#Metadata!", ADDRESS(INDEX($W$2:$W$1001,MATCH(ROWS($U$2:U447),$U$2:$U$1001,0),0), INDEX($AB$1004:$AQ$1004,1,MATCH(COLUMNS($AB$1006:AL1006),$AB$1006:$AQ$1006,0)))),"Fix")))</f>
        <v>0</v>
      </c>
      <c r="M447" s="5">
        <f>IF(OR(INDEX($V$2:$V$1001,MATCH(ROWS($U$2:U447),$U$2:$U$1001,0),1)&gt;=100000,INDEX($AB$1005:$AQ$1005,1,MATCH(COLUMNS($AB$1006:AM1006),$AB$1006:$AQ$1006,0))&gt;=100000), " ",IF(INDEX($AB$2:$AQ$1001,MATCH(ROWS($U$2:U447),$U$2:$U$1001,0),MATCH(COLUMNS($AB$1006:AM1006),$AB$1006:$AQ$1006,0)), HYPERLINK("#",""), HYPERLINK(CONCATENATE("#Metadata!", ADDRESS(INDEX($W$2:$W$1001,MATCH(ROWS($U$2:U447),$U$2:$U$1001,0),0), INDEX($AB$1004:$AQ$1004,1,MATCH(COLUMNS($AB$1006:AM1006),$AB$1006:$AQ$1006,0)))),"Fix")))</f>
        <v>0</v>
      </c>
      <c r="N447" s="5">
        <f>IF(OR(INDEX($V$2:$V$1001,MATCH(ROWS($U$2:U447),$U$2:$U$1001,0),1)&gt;=100000,INDEX($AB$1005:$AQ$1005,1,MATCH(COLUMNS($AB$1006:AN1006),$AB$1006:$AQ$1006,0))&gt;=100000), " ",IF(INDEX($AB$2:$AQ$1001,MATCH(ROWS($U$2:U447),$U$2:$U$1001,0),MATCH(COLUMNS($AB$1006:AN1006),$AB$1006:$AQ$1006,0)), HYPERLINK("#",""), HYPERLINK(CONCATENATE("#Metadata!", ADDRESS(INDEX($W$2:$W$1001,MATCH(ROWS($U$2:U447),$U$2:$U$1001,0),0), INDEX($AB$1004:$AQ$1004,1,MATCH(COLUMNS($AB$1006:AN1006),$AB$1006:$AQ$1006,0)))),"Fix")))</f>
        <v>0</v>
      </c>
      <c r="O447" s="5">
        <f>IF(OR(INDEX($V$2:$V$1001,MATCH(ROWS($U$2:U447),$U$2:$U$1001,0),1)&gt;=100000,INDEX($AB$1005:$AQ$1005,1,MATCH(COLUMNS($AB$1006:AO1006),$AB$1006:$AQ$1006,0))&gt;=100000), " ",IF(INDEX($AB$2:$AQ$1001,MATCH(ROWS($U$2:U447),$U$2:$U$1001,0),MATCH(COLUMNS($AB$1006:AO1006),$AB$1006:$AQ$1006,0)), HYPERLINK("#",""), HYPERLINK(CONCATENATE("#Metadata!", ADDRESS(INDEX($W$2:$W$1001,MATCH(ROWS($U$2:U447),$U$2:$U$1001,0),0), INDEX($AB$1004:$AQ$1004,1,MATCH(COLUMNS($AB$1006:AO1006),$AB$1006:$AQ$1006,0)))),"Fix")))</f>
        <v>0</v>
      </c>
      <c r="P447" s="5">
        <f>IF(OR(INDEX($V$2:$V$1001,MATCH(ROWS($U$2:U447),$U$2:$U$1001,0),1)&gt;=100000,INDEX($AB$1005:$AQ$1005,1,MATCH(COLUMNS($AB$1006:AP1006),$AB$1006:$AQ$1006,0))&gt;=100000), " ",IF(INDEX($AB$2:$AQ$1001,MATCH(ROWS($U$2:U447),$U$2:$U$1001,0),MATCH(COLUMNS($AB$1006:AP1006),$AB$1006:$AQ$1006,0)), HYPERLINK("#",""), HYPERLINK(CONCATENATE("#Metadata!", ADDRESS(INDEX($W$2:$W$1001,MATCH(ROWS($U$2:U447),$U$2:$U$1001,0),0), INDEX($AB$1004:$AQ$1004,1,MATCH(COLUMNS($AB$1006:AP1006),$AB$1006:$AQ$1006,0)))),"Fix")))</f>
        <v>0</v>
      </c>
      <c r="Q447" s="5">
        <f>IF(OR(INDEX($V$2:$V$1001,MATCH(ROWS($U$2:U447),$U$2:$U$1001,0),1)&gt;=100000,INDEX($AB$1005:$AQ$1005,1,MATCH(COLUMNS($AB$1006:AQ1006),$AB$1006:$AQ$1006,0))&gt;=100000), " ",IF(INDEX($AB$2:$AQ$1001,MATCH(ROWS($U$2:U447),$U$2:$U$1001,0),MATCH(COLUMNS($AB$1006:AQ1006),$AB$1006:$AQ$1006,0)), HYPERLINK("#",""), HYPERLINK(CONCATENATE("#Metadata!", ADDRESS(INDEX($W$2:$W$1001,MATCH(ROWS($U$2:U447),$U$2:$U$1001,0),0), INDEX($AB$1004:$AQ$1004,1,MATCH(COLUMNS($AB$1006:AQ1006),$AB$1006:$AQ$1006,0)))),"Fix")))</f>
        <v>0</v>
      </c>
      <c r="U447">
        <v>0</v>
      </c>
      <c r="V447">
        <v>0</v>
      </c>
      <c r="W447">
        <v>0</v>
      </c>
      <c r="X447">
        <f>IF(Y447,TRUE,AND(AB447:AQ447))</f>
        <v>0</v>
      </c>
      <c r="Y447">
        <f>COUNTBLANK(Metadata!B447:Q447)=COLUMNS(Metadata!B447:Q447)</f>
        <v>0</v>
      </c>
      <c r="Z447">
        <v>0</v>
      </c>
      <c r="AB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AC447">
        <f>AND(IF(Metadata!C447="",FALSE,TRUE),exact(Metadata!C447,"urban biome"))</f>
        <v>0</v>
      </c>
      <c r="AD447">
        <f>AND(IF(Metadata!D447="",FALSE,TRUE),exact(Metadata!D447,"human-associated habitat"))</f>
        <v>0</v>
      </c>
      <c r="AE447">
        <f>AND(IF(Metadata!E447="",FALSE,TRUE),OR(exact(Metadata!E447,"human-associated"),exact(Metadata!E447,"human-skin"),exact(Metadata!E447,"human-oral"),exact(Metadata!E447,"human-gut"),exact(Metadata!E447,"human-vaginal")))</f>
        <v>0</v>
      </c>
      <c r="AF447">
        <f>AND(IF(Metadata!F447="",FALSE,ISNUMBER(VALUE(Metadata!F447))),Metadata!F447&gt;0)</f>
        <v>0</v>
      </c>
      <c r="AG447">
        <f>AND(IF(Metadata!G447="",FALSE,TRUE),exact(Metadata!G447,"years"))</f>
        <v>0</v>
      </c>
      <c r="AH447">
        <f>OR(AND(IF(Metadata!H447="",FALSE,TRUE),OR(exact(Metadata!H447,"not applicable"),exact(Metadata!H447,"not collected"),exact(Metadata!H447,"not provided"),exact(Metadata!H447,"restricted access"))),AND(IF(Metadata!H447="",FALSE,ISNUMBER(VALUE(Metadata!H447))),Metadata!H447&gt;0))</f>
        <v>0</v>
      </c>
      <c r="AI447">
        <f>AND(IF(Metadata!I447="",FALSE,TRUE),exact(Metadata!I447,"human"))</f>
        <v>0</v>
      </c>
      <c r="AJ447">
        <f>AND(IF(Metadata!J447="",FALSE,ISNUMBER(VALUE(Metadata!J447))),Metadata!J447&gt;0)</f>
        <v>0</v>
      </c>
      <c r="AK447">
        <f>AND(IF(Metadata!K447="",FALSE,TRUE),exact(Metadata!K447,"cm"))</f>
        <v>0</v>
      </c>
      <c r="AL447">
        <f>AND(IF(Metadata!L447="",FALSE,TRUE),exact(Metadata!L447,"Homo sapiens"))</f>
        <v>0</v>
      </c>
      <c r="AM447">
        <f>AND(IF(Metadata!M447="",FALSE,TRUE),exact(Metadata!M447,"9606"))</f>
        <v>0</v>
      </c>
      <c r="AN447">
        <f>AND(IF(Metadata!N447="",FALSE,ISNUMBER(VALUE(Metadata!N447))),Metadata!N447&gt;0)</f>
        <v>0</v>
      </c>
      <c r="AO447">
        <f>AND(IF(Metadata!O447="",FALSE,TRUE),exact(Metadata!O447,"kg"))</f>
        <v>0</v>
      </c>
      <c r="AP447">
        <f>OR(AND(IF(Metadata!P447="",FALSE,TRUE),exact(Metadata!P447,"not provided")),IF(Metadata!P447="",FALSE,TRUE))</f>
        <v>0</v>
      </c>
      <c r="AQ447">
        <f>OR(AND(IF(Metadata!Q447="",FALSE,TRUE),exact(Metadata!Q447,"not provided")),IF(Metadata!Q447="",FALSE,TRUE))</f>
        <v>0</v>
      </c>
    </row>
    <row r="448" spans="1:43">
      <c r="A448" s="4">
        <f>IF(B448=" "," ",HYPERLINK(CONCATENATE("#metadata!",ADDRESS(INDEX($W$2:$W$1001,MATCH(ROWS($U$2:U448),$U$2:$U$1001,0),0),2)),INDEX($Z$2:$Z$1001,MATCH(ROWS($U$2:U448),$U$2:$U$1001,0),0)))</f>
        <v>0</v>
      </c>
      <c r="B448" s="5">
        <f>IF(OR(INDEX($V$2:$V$1001,MATCH(ROWS($U$2:U448),$U$2:$U$1001,0),1)&gt;=100000,INDEX($AB$1005:$AQ$1005,1,MATCH(COLUMNS($AB$1006:AB1006),$AB$1006:$AQ$1006,0))&gt;=100000), " ",IF(INDEX($AB$2:$AQ$1001,MATCH(ROWS($U$2:U448),$U$2:$U$1001,0),MATCH(COLUMNS($AB$1006:AB1006),$AB$1006:$AQ$1006,0)), HYPERLINK("#",""), HYPERLINK(CONCATENATE("#Metadata!", ADDRESS(INDEX($W$2:$W$1001,MATCH(ROWS($U$2:U448),$U$2:$U$1001,0),0), INDEX($AB$1004:$AQ$1004,1,MATCH(COLUMNS($AB$1006:AB1006),$AB$1006:$AQ$1006,0)))),"Fix")))</f>
        <v>0</v>
      </c>
      <c r="C448" s="5">
        <f>IF(OR(INDEX($V$2:$V$1001,MATCH(ROWS($U$2:U448),$U$2:$U$1001,0),1)&gt;=100000,INDEX($AB$1005:$AQ$1005,1,MATCH(COLUMNS($AB$1006:AC1006),$AB$1006:$AQ$1006,0))&gt;=100000), " ",IF(INDEX($AB$2:$AQ$1001,MATCH(ROWS($U$2:U448),$U$2:$U$1001,0),MATCH(COLUMNS($AB$1006:AC1006),$AB$1006:$AQ$1006,0)), HYPERLINK("#",""), HYPERLINK(CONCATENATE("#Metadata!", ADDRESS(INDEX($W$2:$W$1001,MATCH(ROWS($U$2:U448),$U$2:$U$1001,0),0), INDEX($AB$1004:$AQ$1004,1,MATCH(COLUMNS($AB$1006:AC1006),$AB$1006:$AQ$1006,0)))),"Fix")))</f>
        <v>0</v>
      </c>
      <c r="D448" s="5">
        <f>IF(OR(INDEX($V$2:$V$1001,MATCH(ROWS($U$2:U448),$U$2:$U$1001,0),1)&gt;=100000,INDEX($AB$1005:$AQ$1005,1,MATCH(COLUMNS($AB$1006:AD1006),$AB$1006:$AQ$1006,0))&gt;=100000), " ",IF(INDEX($AB$2:$AQ$1001,MATCH(ROWS($U$2:U448),$U$2:$U$1001,0),MATCH(COLUMNS($AB$1006:AD1006),$AB$1006:$AQ$1006,0)), HYPERLINK("#",""), HYPERLINK(CONCATENATE("#Metadata!", ADDRESS(INDEX($W$2:$W$1001,MATCH(ROWS($U$2:U448),$U$2:$U$1001,0),0), INDEX($AB$1004:$AQ$1004,1,MATCH(COLUMNS($AB$1006:AD1006),$AB$1006:$AQ$1006,0)))),"Fix")))</f>
        <v>0</v>
      </c>
      <c r="E448" s="5">
        <f>IF(OR(INDEX($V$2:$V$1001,MATCH(ROWS($U$2:U448),$U$2:$U$1001,0),1)&gt;=100000,INDEX($AB$1005:$AQ$1005,1,MATCH(COLUMNS($AB$1006:AE1006),$AB$1006:$AQ$1006,0))&gt;=100000), " ",IF(INDEX($AB$2:$AQ$1001,MATCH(ROWS($U$2:U448),$U$2:$U$1001,0),MATCH(COLUMNS($AB$1006:AE1006),$AB$1006:$AQ$1006,0)), HYPERLINK("#",""), HYPERLINK(CONCATENATE("#Metadata!", ADDRESS(INDEX($W$2:$W$1001,MATCH(ROWS($U$2:U448),$U$2:$U$1001,0),0), INDEX($AB$1004:$AQ$1004,1,MATCH(COLUMNS($AB$1006:AE1006),$AB$1006:$AQ$1006,0)))),"Fix")))</f>
        <v>0</v>
      </c>
      <c r="F448" s="5">
        <f>IF(OR(INDEX($V$2:$V$1001,MATCH(ROWS($U$2:U448),$U$2:$U$1001,0),1)&gt;=100000,INDEX($AB$1005:$AQ$1005,1,MATCH(COLUMNS($AB$1006:AF1006),$AB$1006:$AQ$1006,0))&gt;=100000), " ",IF(INDEX($AB$2:$AQ$1001,MATCH(ROWS($U$2:U448),$U$2:$U$1001,0),MATCH(COLUMNS($AB$1006:AF1006),$AB$1006:$AQ$1006,0)), HYPERLINK("#",""), HYPERLINK(CONCATENATE("#Metadata!", ADDRESS(INDEX($W$2:$W$1001,MATCH(ROWS($U$2:U448),$U$2:$U$1001,0),0), INDEX($AB$1004:$AQ$1004,1,MATCH(COLUMNS($AB$1006:AF1006),$AB$1006:$AQ$1006,0)))),"Fix")))</f>
        <v>0</v>
      </c>
      <c r="G448" s="5">
        <f>IF(OR(INDEX($V$2:$V$1001,MATCH(ROWS($U$2:U448),$U$2:$U$1001,0),1)&gt;=100000,INDEX($AB$1005:$AQ$1005,1,MATCH(COLUMNS($AB$1006:AG1006),$AB$1006:$AQ$1006,0))&gt;=100000), " ",IF(INDEX($AB$2:$AQ$1001,MATCH(ROWS($U$2:U448),$U$2:$U$1001,0),MATCH(COLUMNS($AB$1006:AG1006),$AB$1006:$AQ$1006,0)), HYPERLINK("#",""), HYPERLINK(CONCATENATE("#Metadata!", ADDRESS(INDEX($W$2:$W$1001,MATCH(ROWS($U$2:U448),$U$2:$U$1001,0),0), INDEX($AB$1004:$AQ$1004,1,MATCH(COLUMNS($AB$1006:AG1006),$AB$1006:$AQ$1006,0)))),"Fix")))</f>
        <v>0</v>
      </c>
      <c r="H448" s="5">
        <f>IF(OR(INDEX($V$2:$V$1001,MATCH(ROWS($U$2:U448),$U$2:$U$1001,0),1)&gt;=100000,INDEX($AB$1005:$AQ$1005,1,MATCH(COLUMNS($AB$1006:AH1006),$AB$1006:$AQ$1006,0))&gt;=100000), " ",IF(INDEX($AB$2:$AQ$1001,MATCH(ROWS($U$2:U448),$U$2:$U$1001,0),MATCH(COLUMNS($AB$1006:AH1006),$AB$1006:$AQ$1006,0)), HYPERLINK("#",""), HYPERLINK(CONCATENATE("#Metadata!", ADDRESS(INDEX($W$2:$W$1001,MATCH(ROWS($U$2:U448),$U$2:$U$1001,0),0), INDEX($AB$1004:$AQ$1004,1,MATCH(COLUMNS($AB$1006:AH1006),$AB$1006:$AQ$1006,0)))),"Fix")))</f>
        <v>0</v>
      </c>
      <c r="I448" s="5">
        <f>IF(OR(INDEX($V$2:$V$1001,MATCH(ROWS($U$2:U448),$U$2:$U$1001,0),1)&gt;=100000,INDEX($AB$1005:$AQ$1005,1,MATCH(COLUMNS($AB$1006:AI1006),$AB$1006:$AQ$1006,0))&gt;=100000), " ",IF(INDEX($AB$2:$AQ$1001,MATCH(ROWS($U$2:U448),$U$2:$U$1001,0),MATCH(COLUMNS($AB$1006:AI1006),$AB$1006:$AQ$1006,0)), HYPERLINK("#",""), HYPERLINK(CONCATENATE("#Metadata!", ADDRESS(INDEX($W$2:$W$1001,MATCH(ROWS($U$2:U448),$U$2:$U$1001,0),0), INDEX($AB$1004:$AQ$1004,1,MATCH(COLUMNS($AB$1006:AI1006),$AB$1006:$AQ$1006,0)))),"Fix")))</f>
        <v>0</v>
      </c>
      <c r="J448" s="5">
        <f>IF(OR(INDEX($V$2:$V$1001,MATCH(ROWS($U$2:U448),$U$2:$U$1001,0),1)&gt;=100000,INDEX($AB$1005:$AQ$1005,1,MATCH(COLUMNS($AB$1006:AJ1006),$AB$1006:$AQ$1006,0))&gt;=100000), " ",IF(INDEX($AB$2:$AQ$1001,MATCH(ROWS($U$2:U448),$U$2:$U$1001,0),MATCH(COLUMNS($AB$1006:AJ1006),$AB$1006:$AQ$1006,0)), HYPERLINK("#",""), HYPERLINK(CONCATENATE("#Metadata!", ADDRESS(INDEX($W$2:$W$1001,MATCH(ROWS($U$2:U448),$U$2:$U$1001,0),0), INDEX($AB$1004:$AQ$1004,1,MATCH(COLUMNS($AB$1006:AJ1006),$AB$1006:$AQ$1006,0)))),"Fix")))</f>
        <v>0</v>
      </c>
      <c r="K448" s="5">
        <f>IF(OR(INDEX($V$2:$V$1001,MATCH(ROWS($U$2:U448),$U$2:$U$1001,0),1)&gt;=100000,INDEX($AB$1005:$AQ$1005,1,MATCH(COLUMNS($AB$1006:AK1006),$AB$1006:$AQ$1006,0))&gt;=100000), " ",IF(INDEX($AB$2:$AQ$1001,MATCH(ROWS($U$2:U448),$U$2:$U$1001,0),MATCH(COLUMNS($AB$1006:AK1006),$AB$1006:$AQ$1006,0)), HYPERLINK("#",""), HYPERLINK(CONCATENATE("#Metadata!", ADDRESS(INDEX($W$2:$W$1001,MATCH(ROWS($U$2:U448),$U$2:$U$1001,0),0), INDEX($AB$1004:$AQ$1004,1,MATCH(COLUMNS($AB$1006:AK1006),$AB$1006:$AQ$1006,0)))),"Fix")))</f>
        <v>0</v>
      </c>
      <c r="L448" s="5">
        <f>IF(OR(INDEX($V$2:$V$1001,MATCH(ROWS($U$2:U448),$U$2:$U$1001,0),1)&gt;=100000,INDEX($AB$1005:$AQ$1005,1,MATCH(COLUMNS($AB$1006:AL1006),$AB$1006:$AQ$1006,0))&gt;=100000), " ",IF(INDEX($AB$2:$AQ$1001,MATCH(ROWS($U$2:U448),$U$2:$U$1001,0),MATCH(COLUMNS($AB$1006:AL1006),$AB$1006:$AQ$1006,0)), HYPERLINK("#",""), HYPERLINK(CONCATENATE("#Metadata!", ADDRESS(INDEX($W$2:$W$1001,MATCH(ROWS($U$2:U448),$U$2:$U$1001,0),0), INDEX($AB$1004:$AQ$1004,1,MATCH(COLUMNS($AB$1006:AL1006),$AB$1006:$AQ$1006,0)))),"Fix")))</f>
        <v>0</v>
      </c>
      <c r="M448" s="5">
        <f>IF(OR(INDEX($V$2:$V$1001,MATCH(ROWS($U$2:U448),$U$2:$U$1001,0),1)&gt;=100000,INDEX($AB$1005:$AQ$1005,1,MATCH(COLUMNS($AB$1006:AM1006),$AB$1006:$AQ$1006,0))&gt;=100000), " ",IF(INDEX($AB$2:$AQ$1001,MATCH(ROWS($U$2:U448),$U$2:$U$1001,0),MATCH(COLUMNS($AB$1006:AM1006),$AB$1006:$AQ$1006,0)), HYPERLINK("#",""), HYPERLINK(CONCATENATE("#Metadata!", ADDRESS(INDEX($W$2:$W$1001,MATCH(ROWS($U$2:U448),$U$2:$U$1001,0),0), INDEX($AB$1004:$AQ$1004,1,MATCH(COLUMNS($AB$1006:AM1006),$AB$1006:$AQ$1006,0)))),"Fix")))</f>
        <v>0</v>
      </c>
      <c r="N448" s="5">
        <f>IF(OR(INDEX($V$2:$V$1001,MATCH(ROWS($U$2:U448),$U$2:$U$1001,0),1)&gt;=100000,INDEX($AB$1005:$AQ$1005,1,MATCH(COLUMNS($AB$1006:AN1006),$AB$1006:$AQ$1006,0))&gt;=100000), " ",IF(INDEX($AB$2:$AQ$1001,MATCH(ROWS($U$2:U448),$U$2:$U$1001,0),MATCH(COLUMNS($AB$1006:AN1006),$AB$1006:$AQ$1006,0)), HYPERLINK("#",""), HYPERLINK(CONCATENATE("#Metadata!", ADDRESS(INDEX($W$2:$W$1001,MATCH(ROWS($U$2:U448),$U$2:$U$1001,0),0), INDEX($AB$1004:$AQ$1004,1,MATCH(COLUMNS($AB$1006:AN1006),$AB$1006:$AQ$1006,0)))),"Fix")))</f>
        <v>0</v>
      </c>
      <c r="O448" s="5">
        <f>IF(OR(INDEX($V$2:$V$1001,MATCH(ROWS($U$2:U448),$U$2:$U$1001,0),1)&gt;=100000,INDEX($AB$1005:$AQ$1005,1,MATCH(COLUMNS($AB$1006:AO1006),$AB$1006:$AQ$1006,0))&gt;=100000), " ",IF(INDEX($AB$2:$AQ$1001,MATCH(ROWS($U$2:U448),$U$2:$U$1001,0),MATCH(COLUMNS($AB$1006:AO1006),$AB$1006:$AQ$1006,0)), HYPERLINK("#",""), HYPERLINK(CONCATENATE("#Metadata!", ADDRESS(INDEX($W$2:$W$1001,MATCH(ROWS($U$2:U448),$U$2:$U$1001,0),0), INDEX($AB$1004:$AQ$1004,1,MATCH(COLUMNS($AB$1006:AO1006),$AB$1006:$AQ$1006,0)))),"Fix")))</f>
        <v>0</v>
      </c>
      <c r="P448" s="5">
        <f>IF(OR(INDEX($V$2:$V$1001,MATCH(ROWS($U$2:U448),$U$2:$U$1001,0),1)&gt;=100000,INDEX($AB$1005:$AQ$1005,1,MATCH(COLUMNS($AB$1006:AP1006),$AB$1006:$AQ$1006,0))&gt;=100000), " ",IF(INDEX($AB$2:$AQ$1001,MATCH(ROWS($U$2:U448),$U$2:$U$1001,0),MATCH(COLUMNS($AB$1006:AP1006),$AB$1006:$AQ$1006,0)), HYPERLINK("#",""), HYPERLINK(CONCATENATE("#Metadata!", ADDRESS(INDEX($W$2:$W$1001,MATCH(ROWS($U$2:U448),$U$2:$U$1001,0),0), INDEX($AB$1004:$AQ$1004,1,MATCH(COLUMNS($AB$1006:AP1006),$AB$1006:$AQ$1006,0)))),"Fix")))</f>
        <v>0</v>
      </c>
      <c r="Q448" s="5">
        <f>IF(OR(INDEX($V$2:$V$1001,MATCH(ROWS($U$2:U448),$U$2:$U$1001,0),1)&gt;=100000,INDEX($AB$1005:$AQ$1005,1,MATCH(COLUMNS($AB$1006:AQ1006),$AB$1006:$AQ$1006,0))&gt;=100000), " ",IF(INDEX($AB$2:$AQ$1001,MATCH(ROWS($U$2:U448),$U$2:$U$1001,0),MATCH(COLUMNS($AB$1006:AQ1006),$AB$1006:$AQ$1006,0)), HYPERLINK("#",""), HYPERLINK(CONCATENATE("#Metadata!", ADDRESS(INDEX($W$2:$W$1001,MATCH(ROWS($U$2:U448),$U$2:$U$1001,0),0), INDEX($AB$1004:$AQ$1004,1,MATCH(COLUMNS($AB$1006:AQ1006),$AB$1006:$AQ$1006,0)))),"Fix")))</f>
        <v>0</v>
      </c>
      <c r="U448">
        <v>0</v>
      </c>
      <c r="V448">
        <v>0</v>
      </c>
      <c r="W448">
        <v>0</v>
      </c>
      <c r="X448">
        <f>IF(Y448,TRUE,AND(AB448:AQ448))</f>
        <v>0</v>
      </c>
      <c r="Y448">
        <f>COUNTBLANK(Metadata!B448:Q448)=COLUMNS(Metadata!B448:Q448)</f>
        <v>0</v>
      </c>
      <c r="Z448">
        <v>0</v>
      </c>
      <c r="AB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AC448">
        <f>AND(IF(Metadata!C448="",FALSE,TRUE),exact(Metadata!C448,"urban biome"))</f>
        <v>0</v>
      </c>
      <c r="AD448">
        <f>AND(IF(Metadata!D448="",FALSE,TRUE),exact(Metadata!D448,"human-associated habitat"))</f>
        <v>0</v>
      </c>
      <c r="AE448">
        <f>AND(IF(Metadata!E448="",FALSE,TRUE),OR(exact(Metadata!E448,"human-associated"),exact(Metadata!E448,"human-skin"),exact(Metadata!E448,"human-oral"),exact(Metadata!E448,"human-gut"),exact(Metadata!E448,"human-vaginal")))</f>
        <v>0</v>
      </c>
      <c r="AF448">
        <f>AND(IF(Metadata!F448="",FALSE,ISNUMBER(VALUE(Metadata!F448))),Metadata!F448&gt;0)</f>
        <v>0</v>
      </c>
      <c r="AG448">
        <f>AND(IF(Metadata!G448="",FALSE,TRUE),exact(Metadata!G448,"years"))</f>
        <v>0</v>
      </c>
      <c r="AH448">
        <f>OR(AND(IF(Metadata!H448="",FALSE,TRUE),OR(exact(Metadata!H448,"not applicable"),exact(Metadata!H448,"not collected"),exact(Metadata!H448,"not provided"),exact(Metadata!H448,"restricted access"))),AND(IF(Metadata!H448="",FALSE,ISNUMBER(VALUE(Metadata!H448))),Metadata!H448&gt;0))</f>
        <v>0</v>
      </c>
      <c r="AI448">
        <f>AND(IF(Metadata!I448="",FALSE,TRUE),exact(Metadata!I448,"human"))</f>
        <v>0</v>
      </c>
      <c r="AJ448">
        <f>AND(IF(Metadata!J448="",FALSE,ISNUMBER(VALUE(Metadata!J448))),Metadata!J448&gt;0)</f>
        <v>0</v>
      </c>
      <c r="AK448">
        <f>AND(IF(Metadata!K448="",FALSE,TRUE),exact(Metadata!K448,"cm"))</f>
        <v>0</v>
      </c>
      <c r="AL448">
        <f>AND(IF(Metadata!L448="",FALSE,TRUE),exact(Metadata!L448,"Homo sapiens"))</f>
        <v>0</v>
      </c>
      <c r="AM448">
        <f>AND(IF(Metadata!M448="",FALSE,TRUE),exact(Metadata!M448,"9606"))</f>
        <v>0</v>
      </c>
      <c r="AN448">
        <f>AND(IF(Metadata!N448="",FALSE,ISNUMBER(VALUE(Metadata!N448))),Metadata!N448&gt;0)</f>
        <v>0</v>
      </c>
      <c r="AO448">
        <f>AND(IF(Metadata!O448="",FALSE,TRUE),exact(Metadata!O448,"kg"))</f>
        <v>0</v>
      </c>
      <c r="AP448">
        <f>OR(AND(IF(Metadata!P448="",FALSE,TRUE),exact(Metadata!P448,"not provided")),IF(Metadata!P448="",FALSE,TRUE))</f>
        <v>0</v>
      </c>
      <c r="AQ448">
        <f>OR(AND(IF(Metadata!Q448="",FALSE,TRUE),exact(Metadata!Q448,"not provided")),IF(Metadata!Q448="",FALSE,TRUE))</f>
        <v>0</v>
      </c>
    </row>
    <row r="449" spans="1:43">
      <c r="A449" s="4">
        <f>IF(B449=" "," ",HYPERLINK(CONCATENATE("#metadata!",ADDRESS(INDEX($W$2:$W$1001,MATCH(ROWS($U$2:U449),$U$2:$U$1001,0),0),2)),INDEX($Z$2:$Z$1001,MATCH(ROWS($U$2:U449),$U$2:$U$1001,0),0)))</f>
        <v>0</v>
      </c>
      <c r="B449" s="5">
        <f>IF(OR(INDEX($V$2:$V$1001,MATCH(ROWS($U$2:U449),$U$2:$U$1001,0),1)&gt;=100000,INDEX($AB$1005:$AQ$1005,1,MATCH(COLUMNS($AB$1006:AB1006),$AB$1006:$AQ$1006,0))&gt;=100000), " ",IF(INDEX($AB$2:$AQ$1001,MATCH(ROWS($U$2:U449),$U$2:$U$1001,0),MATCH(COLUMNS($AB$1006:AB1006),$AB$1006:$AQ$1006,0)), HYPERLINK("#",""), HYPERLINK(CONCATENATE("#Metadata!", ADDRESS(INDEX($W$2:$W$1001,MATCH(ROWS($U$2:U449),$U$2:$U$1001,0),0), INDEX($AB$1004:$AQ$1004,1,MATCH(COLUMNS($AB$1006:AB1006),$AB$1006:$AQ$1006,0)))),"Fix")))</f>
        <v>0</v>
      </c>
      <c r="C449" s="5">
        <f>IF(OR(INDEX($V$2:$V$1001,MATCH(ROWS($U$2:U449),$U$2:$U$1001,0),1)&gt;=100000,INDEX($AB$1005:$AQ$1005,1,MATCH(COLUMNS($AB$1006:AC1006),$AB$1006:$AQ$1006,0))&gt;=100000), " ",IF(INDEX($AB$2:$AQ$1001,MATCH(ROWS($U$2:U449),$U$2:$U$1001,0),MATCH(COLUMNS($AB$1006:AC1006),$AB$1006:$AQ$1006,0)), HYPERLINK("#",""), HYPERLINK(CONCATENATE("#Metadata!", ADDRESS(INDEX($W$2:$W$1001,MATCH(ROWS($U$2:U449),$U$2:$U$1001,0),0), INDEX($AB$1004:$AQ$1004,1,MATCH(COLUMNS($AB$1006:AC1006),$AB$1006:$AQ$1006,0)))),"Fix")))</f>
        <v>0</v>
      </c>
      <c r="D449" s="5">
        <f>IF(OR(INDEX($V$2:$V$1001,MATCH(ROWS($U$2:U449),$U$2:$U$1001,0),1)&gt;=100000,INDEX($AB$1005:$AQ$1005,1,MATCH(COLUMNS($AB$1006:AD1006),$AB$1006:$AQ$1006,0))&gt;=100000), " ",IF(INDEX($AB$2:$AQ$1001,MATCH(ROWS($U$2:U449),$U$2:$U$1001,0),MATCH(COLUMNS($AB$1006:AD1006),$AB$1006:$AQ$1006,0)), HYPERLINK("#",""), HYPERLINK(CONCATENATE("#Metadata!", ADDRESS(INDEX($W$2:$W$1001,MATCH(ROWS($U$2:U449),$U$2:$U$1001,0),0), INDEX($AB$1004:$AQ$1004,1,MATCH(COLUMNS($AB$1006:AD1006),$AB$1006:$AQ$1006,0)))),"Fix")))</f>
        <v>0</v>
      </c>
      <c r="E449" s="5">
        <f>IF(OR(INDEX($V$2:$V$1001,MATCH(ROWS($U$2:U449),$U$2:$U$1001,0),1)&gt;=100000,INDEX($AB$1005:$AQ$1005,1,MATCH(COLUMNS($AB$1006:AE1006),$AB$1006:$AQ$1006,0))&gt;=100000), " ",IF(INDEX($AB$2:$AQ$1001,MATCH(ROWS($U$2:U449),$U$2:$U$1001,0),MATCH(COLUMNS($AB$1006:AE1006),$AB$1006:$AQ$1006,0)), HYPERLINK("#",""), HYPERLINK(CONCATENATE("#Metadata!", ADDRESS(INDEX($W$2:$W$1001,MATCH(ROWS($U$2:U449),$U$2:$U$1001,0),0), INDEX($AB$1004:$AQ$1004,1,MATCH(COLUMNS($AB$1006:AE1006),$AB$1006:$AQ$1006,0)))),"Fix")))</f>
        <v>0</v>
      </c>
      <c r="F449" s="5">
        <f>IF(OR(INDEX($V$2:$V$1001,MATCH(ROWS($U$2:U449),$U$2:$U$1001,0),1)&gt;=100000,INDEX($AB$1005:$AQ$1005,1,MATCH(COLUMNS($AB$1006:AF1006),$AB$1006:$AQ$1006,0))&gt;=100000), " ",IF(INDEX($AB$2:$AQ$1001,MATCH(ROWS($U$2:U449),$U$2:$U$1001,0),MATCH(COLUMNS($AB$1006:AF1006),$AB$1006:$AQ$1006,0)), HYPERLINK("#",""), HYPERLINK(CONCATENATE("#Metadata!", ADDRESS(INDEX($W$2:$W$1001,MATCH(ROWS($U$2:U449),$U$2:$U$1001,0),0), INDEX($AB$1004:$AQ$1004,1,MATCH(COLUMNS($AB$1006:AF1006),$AB$1006:$AQ$1006,0)))),"Fix")))</f>
        <v>0</v>
      </c>
      <c r="G449" s="5">
        <f>IF(OR(INDEX($V$2:$V$1001,MATCH(ROWS($U$2:U449),$U$2:$U$1001,0),1)&gt;=100000,INDEX($AB$1005:$AQ$1005,1,MATCH(COLUMNS($AB$1006:AG1006),$AB$1006:$AQ$1006,0))&gt;=100000), " ",IF(INDEX($AB$2:$AQ$1001,MATCH(ROWS($U$2:U449),$U$2:$U$1001,0),MATCH(COLUMNS($AB$1006:AG1006),$AB$1006:$AQ$1006,0)), HYPERLINK("#",""), HYPERLINK(CONCATENATE("#Metadata!", ADDRESS(INDEX($W$2:$W$1001,MATCH(ROWS($U$2:U449),$U$2:$U$1001,0),0), INDEX($AB$1004:$AQ$1004,1,MATCH(COLUMNS($AB$1006:AG1006),$AB$1006:$AQ$1006,0)))),"Fix")))</f>
        <v>0</v>
      </c>
      <c r="H449" s="5">
        <f>IF(OR(INDEX($V$2:$V$1001,MATCH(ROWS($U$2:U449),$U$2:$U$1001,0),1)&gt;=100000,INDEX($AB$1005:$AQ$1005,1,MATCH(COLUMNS($AB$1006:AH1006),$AB$1006:$AQ$1006,0))&gt;=100000), " ",IF(INDEX($AB$2:$AQ$1001,MATCH(ROWS($U$2:U449),$U$2:$U$1001,0),MATCH(COLUMNS($AB$1006:AH1006),$AB$1006:$AQ$1006,0)), HYPERLINK("#",""), HYPERLINK(CONCATENATE("#Metadata!", ADDRESS(INDEX($W$2:$W$1001,MATCH(ROWS($U$2:U449),$U$2:$U$1001,0),0), INDEX($AB$1004:$AQ$1004,1,MATCH(COLUMNS($AB$1006:AH1006),$AB$1006:$AQ$1006,0)))),"Fix")))</f>
        <v>0</v>
      </c>
      <c r="I449" s="5">
        <f>IF(OR(INDEX($V$2:$V$1001,MATCH(ROWS($U$2:U449),$U$2:$U$1001,0),1)&gt;=100000,INDEX($AB$1005:$AQ$1005,1,MATCH(COLUMNS($AB$1006:AI1006),$AB$1006:$AQ$1006,0))&gt;=100000), " ",IF(INDEX($AB$2:$AQ$1001,MATCH(ROWS($U$2:U449),$U$2:$U$1001,0),MATCH(COLUMNS($AB$1006:AI1006),$AB$1006:$AQ$1006,0)), HYPERLINK("#",""), HYPERLINK(CONCATENATE("#Metadata!", ADDRESS(INDEX($W$2:$W$1001,MATCH(ROWS($U$2:U449),$U$2:$U$1001,0),0), INDEX($AB$1004:$AQ$1004,1,MATCH(COLUMNS($AB$1006:AI1006),$AB$1006:$AQ$1006,0)))),"Fix")))</f>
        <v>0</v>
      </c>
      <c r="J449" s="5">
        <f>IF(OR(INDEX($V$2:$V$1001,MATCH(ROWS($U$2:U449),$U$2:$U$1001,0),1)&gt;=100000,INDEX($AB$1005:$AQ$1005,1,MATCH(COLUMNS($AB$1006:AJ1006),$AB$1006:$AQ$1006,0))&gt;=100000), " ",IF(INDEX($AB$2:$AQ$1001,MATCH(ROWS($U$2:U449),$U$2:$U$1001,0),MATCH(COLUMNS($AB$1006:AJ1006),$AB$1006:$AQ$1006,0)), HYPERLINK("#",""), HYPERLINK(CONCATENATE("#Metadata!", ADDRESS(INDEX($W$2:$W$1001,MATCH(ROWS($U$2:U449),$U$2:$U$1001,0),0), INDEX($AB$1004:$AQ$1004,1,MATCH(COLUMNS($AB$1006:AJ1006),$AB$1006:$AQ$1006,0)))),"Fix")))</f>
        <v>0</v>
      </c>
      <c r="K449" s="5">
        <f>IF(OR(INDEX($V$2:$V$1001,MATCH(ROWS($U$2:U449),$U$2:$U$1001,0),1)&gt;=100000,INDEX($AB$1005:$AQ$1005,1,MATCH(COLUMNS($AB$1006:AK1006),$AB$1006:$AQ$1006,0))&gt;=100000), " ",IF(INDEX($AB$2:$AQ$1001,MATCH(ROWS($U$2:U449),$U$2:$U$1001,0),MATCH(COLUMNS($AB$1006:AK1006),$AB$1006:$AQ$1006,0)), HYPERLINK("#",""), HYPERLINK(CONCATENATE("#Metadata!", ADDRESS(INDEX($W$2:$W$1001,MATCH(ROWS($U$2:U449),$U$2:$U$1001,0),0), INDEX($AB$1004:$AQ$1004,1,MATCH(COLUMNS($AB$1006:AK1006),$AB$1006:$AQ$1006,0)))),"Fix")))</f>
        <v>0</v>
      </c>
      <c r="L449" s="5">
        <f>IF(OR(INDEX($V$2:$V$1001,MATCH(ROWS($U$2:U449),$U$2:$U$1001,0),1)&gt;=100000,INDEX($AB$1005:$AQ$1005,1,MATCH(COLUMNS($AB$1006:AL1006),$AB$1006:$AQ$1006,0))&gt;=100000), " ",IF(INDEX($AB$2:$AQ$1001,MATCH(ROWS($U$2:U449),$U$2:$U$1001,0),MATCH(COLUMNS($AB$1006:AL1006),$AB$1006:$AQ$1006,0)), HYPERLINK("#",""), HYPERLINK(CONCATENATE("#Metadata!", ADDRESS(INDEX($W$2:$W$1001,MATCH(ROWS($U$2:U449),$U$2:$U$1001,0),0), INDEX($AB$1004:$AQ$1004,1,MATCH(COLUMNS($AB$1006:AL1006),$AB$1006:$AQ$1006,0)))),"Fix")))</f>
        <v>0</v>
      </c>
      <c r="M449" s="5">
        <f>IF(OR(INDEX($V$2:$V$1001,MATCH(ROWS($U$2:U449),$U$2:$U$1001,0),1)&gt;=100000,INDEX($AB$1005:$AQ$1005,1,MATCH(COLUMNS($AB$1006:AM1006),$AB$1006:$AQ$1006,0))&gt;=100000), " ",IF(INDEX($AB$2:$AQ$1001,MATCH(ROWS($U$2:U449),$U$2:$U$1001,0),MATCH(COLUMNS($AB$1006:AM1006),$AB$1006:$AQ$1006,0)), HYPERLINK("#",""), HYPERLINK(CONCATENATE("#Metadata!", ADDRESS(INDEX($W$2:$W$1001,MATCH(ROWS($U$2:U449),$U$2:$U$1001,0),0), INDEX($AB$1004:$AQ$1004,1,MATCH(COLUMNS($AB$1006:AM1006),$AB$1006:$AQ$1006,0)))),"Fix")))</f>
        <v>0</v>
      </c>
      <c r="N449" s="5">
        <f>IF(OR(INDEX($V$2:$V$1001,MATCH(ROWS($U$2:U449),$U$2:$U$1001,0),1)&gt;=100000,INDEX($AB$1005:$AQ$1005,1,MATCH(COLUMNS($AB$1006:AN1006),$AB$1006:$AQ$1006,0))&gt;=100000), " ",IF(INDEX($AB$2:$AQ$1001,MATCH(ROWS($U$2:U449),$U$2:$U$1001,0),MATCH(COLUMNS($AB$1006:AN1006),$AB$1006:$AQ$1006,0)), HYPERLINK("#",""), HYPERLINK(CONCATENATE("#Metadata!", ADDRESS(INDEX($W$2:$W$1001,MATCH(ROWS($U$2:U449),$U$2:$U$1001,0),0), INDEX($AB$1004:$AQ$1004,1,MATCH(COLUMNS($AB$1006:AN1006),$AB$1006:$AQ$1006,0)))),"Fix")))</f>
        <v>0</v>
      </c>
      <c r="O449" s="5">
        <f>IF(OR(INDEX($V$2:$V$1001,MATCH(ROWS($U$2:U449),$U$2:$U$1001,0),1)&gt;=100000,INDEX($AB$1005:$AQ$1005,1,MATCH(COLUMNS($AB$1006:AO1006),$AB$1006:$AQ$1006,0))&gt;=100000), " ",IF(INDEX($AB$2:$AQ$1001,MATCH(ROWS($U$2:U449),$U$2:$U$1001,0),MATCH(COLUMNS($AB$1006:AO1006),$AB$1006:$AQ$1006,0)), HYPERLINK("#",""), HYPERLINK(CONCATENATE("#Metadata!", ADDRESS(INDEX($W$2:$W$1001,MATCH(ROWS($U$2:U449),$U$2:$U$1001,0),0), INDEX($AB$1004:$AQ$1004,1,MATCH(COLUMNS($AB$1006:AO1006),$AB$1006:$AQ$1006,0)))),"Fix")))</f>
        <v>0</v>
      </c>
      <c r="P449" s="5">
        <f>IF(OR(INDEX($V$2:$V$1001,MATCH(ROWS($U$2:U449),$U$2:$U$1001,0),1)&gt;=100000,INDEX($AB$1005:$AQ$1005,1,MATCH(COLUMNS($AB$1006:AP1006),$AB$1006:$AQ$1006,0))&gt;=100000), " ",IF(INDEX($AB$2:$AQ$1001,MATCH(ROWS($U$2:U449),$U$2:$U$1001,0),MATCH(COLUMNS($AB$1006:AP1006),$AB$1006:$AQ$1006,0)), HYPERLINK("#",""), HYPERLINK(CONCATENATE("#Metadata!", ADDRESS(INDEX($W$2:$W$1001,MATCH(ROWS($U$2:U449),$U$2:$U$1001,0),0), INDEX($AB$1004:$AQ$1004,1,MATCH(COLUMNS($AB$1006:AP1006),$AB$1006:$AQ$1006,0)))),"Fix")))</f>
        <v>0</v>
      </c>
      <c r="Q449" s="5">
        <f>IF(OR(INDEX($V$2:$V$1001,MATCH(ROWS($U$2:U449),$U$2:$U$1001,0),1)&gt;=100000,INDEX($AB$1005:$AQ$1005,1,MATCH(COLUMNS($AB$1006:AQ1006),$AB$1006:$AQ$1006,0))&gt;=100000), " ",IF(INDEX($AB$2:$AQ$1001,MATCH(ROWS($U$2:U449),$U$2:$U$1001,0),MATCH(COLUMNS($AB$1006:AQ1006),$AB$1006:$AQ$1006,0)), HYPERLINK("#",""), HYPERLINK(CONCATENATE("#Metadata!", ADDRESS(INDEX($W$2:$W$1001,MATCH(ROWS($U$2:U449),$U$2:$U$1001,0),0), INDEX($AB$1004:$AQ$1004,1,MATCH(COLUMNS($AB$1006:AQ1006),$AB$1006:$AQ$1006,0)))),"Fix")))</f>
        <v>0</v>
      </c>
      <c r="U449">
        <v>0</v>
      </c>
      <c r="V449">
        <v>0</v>
      </c>
      <c r="W449">
        <v>0</v>
      </c>
      <c r="X449">
        <f>IF(Y449,TRUE,AND(AB449:AQ449))</f>
        <v>0</v>
      </c>
      <c r="Y449">
        <f>COUNTBLANK(Metadata!B449:Q449)=COLUMNS(Metadata!B449:Q449)</f>
        <v>0</v>
      </c>
      <c r="Z449">
        <v>0</v>
      </c>
      <c r="AB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AC449">
        <f>AND(IF(Metadata!C449="",FALSE,TRUE),exact(Metadata!C449,"urban biome"))</f>
        <v>0</v>
      </c>
      <c r="AD449">
        <f>AND(IF(Metadata!D449="",FALSE,TRUE),exact(Metadata!D449,"human-associated habitat"))</f>
        <v>0</v>
      </c>
      <c r="AE449">
        <f>AND(IF(Metadata!E449="",FALSE,TRUE),OR(exact(Metadata!E449,"human-associated"),exact(Metadata!E449,"human-skin"),exact(Metadata!E449,"human-oral"),exact(Metadata!E449,"human-gut"),exact(Metadata!E449,"human-vaginal")))</f>
        <v>0</v>
      </c>
      <c r="AF449">
        <f>AND(IF(Metadata!F449="",FALSE,ISNUMBER(VALUE(Metadata!F449))),Metadata!F449&gt;0)</f>
        <v>0</v>
      </c>
      <c r="AG449">
        <f>AND(IF(Metadata!G449="",FALSE,TRUE),exact(Metadata!G449,"years"))</f>
        <v>0</v>
      </c>
      <c r="AH449">
        <f>OR(AND(IF(Metadata!H449="",FALSE,TRUE),OR(exact(Metadata!H449,"not applicable"),exact(Metadata!H449,"not collected"),exact(Metadata!H449,"not provided"),exact(Metadata!H449,"restricted access"))),AND(IF(Metadata!H449="",FALSE,ISNUMBER(VALUE(Metadata!H449))),Metadata!H449&gt;0))</f>
        <v>0</v>
      </c>
      <c r="AI449">
        <f>AND(IF(Metadata!I449="",FALSE,TRUE),exact(Metadata!I449,"human"))</f>
        <v>0</v>
      </c>
      <c r="AJ449">
        <f>AND(IF(Metadata!J449="",FALSE,ISNUMBER(VALUE(Metadata!J449))),Metadata!J449&gt;0)</f>
        <v>0</v>
      </c>
      <c r="AK449">
        <f>AND(IF(Metadata!K449="",FALSE,TRUE),exact(Metadata!K449,"cm"))</f>
        <v>0</v>
      </c>
      <c r="AL449">
        <f>AND(IF(Metadata!L449="",FALSE,TRUE),exact(Metadata!L449,"Homo sapiens"))</f>
        <v>0</v>
      </c>
      <c r="AM449">
        <f>AND(IF(Metadata!M449="",FALSE,TRUE),exact(Metadata!M449,"9606"))</f>
        <v>0</v>
      </c>
      <c r="AN449">
        <f>AND(IF(Metadata!N449="",FALSE,ISNUMBER(VALUE(Metadata!N449))),Metadata!N449&gt;0)</f>
        <v>0</v>
      </c>
      <c r="AO449">
        <f>AND(IF(Metadata!O449="",FALSE,TRUE),exact(Metadata!O449,"kg"))</f>
        <v>0</v>
      </c>
      <c r="AP449">
        <f>OR(AND(IF(Metadata!P449="",FALSE,TRUE),exact(Metadata!P449,"not provided")),IF(Metadata!P449="",FALSE,TRUE))</f>
        <v>0</v>
      </c>
      <c r="AQ449">
        <f>OR(AND(IF(Metadata!Q449="",FALSE,TRUE),exact(Metadata!Q449,"not provided")),IF(Metadata!Q449="",FALSE,TRUE))</f>
        <v>0</v>
      </c>
    </row>
    <row r="450" spans="1:43">
      <c r="A450" s="4">
        <f>IF(B450=" "," ",HYPERLINK(CONCATENATE("#metadata!",ADDRESS(INDEX($W$2:$W$1001,MATCH(ROWS($U$2:U450),$U$2:$U$1001,0),0),2)),INDEX($Z$2:$Z$1001,MATCH(ROWS($U$2:U450),$U$2:$U$1001,0),0)))</f>
        <v>0</v>
      </c>
      <c r="B450" s="5">
        <f>IF(OR(INDEX($V$2:$V$1001,MATCH(ROWS($U$2:U450),$U$2:$U$1001,0),1)&gt;=100000,INDEX($AB$1005:$AQ$1005,1,MATCH(COLUMNS($AB$1006:AB1006),$AB$1006:$AQ$1006,0))&gt;=100000), " ",IF(INDEX($AB$2:$AQ$1001,MATCH(ROWS($U$2:U450),$U$2:$U$1001,0),MATCH(COLUMNS($AB$1006:AB1006),$AB$1006:$AQ$1006,0)), HYPERLINK("#",""), HYPERLINK(CONCATENATE("#Metadata!", ADDRESS(INDEX($W$2:$W$1001,MATCH(ROWS($U$2:U450),$U$2:$U$1001,0),0), INDEX($AB$1004:$AQ$1004,1,MATCH(COLUMNS($AB$1006:AB1006),$AB$1006:$AQ$1006,0)))),"Fix")))</f>
        <v>0</v>
      </c>
      <c r="C450" s="5">
        <f>IF(OR(INDEX($V$2:$V$1001,MATCH(ROWS($U$2:U450),$U$2:$U$1001,0),1)&gt;=100000,INDEX($AB$1005:$AQ$1005,1,MATCH(COLUMNS($AB$1006:AC1006),$AB$1006:$AQ$1006,0))&gt;=100000), " ",IF(INDEX($AB$2:$AQ$1001,MATCH(ROWS($U$2:U450),$U$2:$U$1001,0),MATCH(COLUMNS($AB$1006:AC1006),$AB$1006:$AQ$1006,0)), HYPERLINK("#",""), HYPERLINK(CONCATENATE("#Metadata!", ADDRESS(INDEX($W$2:$W$1001,MATCH(ROWS($U$2:U450),$U$2:$U$1001,0),0), INDEX($AB$1004:$AQ$1004,1,MATCH(COLUMNS($AB$1006:AC1006),$AB$1006:$AQ$1006,0)))),"Fix")))</f>
        <v>0</v>
      </c>
      <c r="D450" s="5">
        <f>IF(OR(INDEX($V$2:$V$1001,MATCH(ROWS($U$2:U450),$U$2:$U$1001,0),1)&gt;=100000,INDEX($AB$1005:$AQ$1005,1,MATCH(COLUMNS($AB$1006:AD1006),$AB$1006:$AQ$1006,0))&gt;=100000), " ",IF(INDEX($AB$2:$AQ$1001,MATCH(ROWS($U$2:U450),$U$2:$U$1001,0),MATCH(COLUMNS($AB$1006:AD1006),$AB$1006:$AQ$1006,0)), HYPERLINK("#",""), HYPERLINK(CONCATENATE("#Metadata!", ADDRESS(INDEX($W$2:$W$1001,MATCH(ROWS($U$2:U450),$U$2:$U$1001,0),0), INDEX($AB$1004:$AQ$1004,1,MATCH(COLUMNS($AB$1006:AD1006),$AB$1006:$AQ$1006,0)))),"Fix")))</f>
        <v>0</v>
      </c>
      <c r="E450" s="5">
        <f>IF(OR(INDEX($V$2:$V$1001,MATCH(ROWS($U$2:U450),$U$2:$U$1001,0),1)&gt;=100000,INDEX($AB$1005:$AQ$1005,1,MATCH(COLUMNS($AB$1006:AE1006),$AB$1006:$AQ$1006,0))&gt;=100000), " ",IF(INDEX($AB$2:$AQ$1001,MATCH(ROWS($U$2:U450),$U$2:$U$1001,0),MATCH(COLUMNS($AB$1006:AE1006),$AB$1006:$AQ$1006,0)), HYPERLINK("#",""), HYPERLINK(CONCATENATE("#Metadata!", ADDRESS(INDEX($W$2:$W$1001,MATCH(ROWS($U$2:U450),$U$2:$U$1001,0),0), INDEX($AB$1004:$AQ$1004,1,MATCH(COLUMNS($AB$1006:AE1006),$AB$1006:$AQ$1006,0)))),"Fix")))</f>
        <v>0</v>
      </c>
      <c r="F450" s="5">
        <f>IF(OR(INDEX($V$2:$V$1001,MATCH(ROWS($U$2:U450),$U$2:$U$1001,0),1)&gt;=100000,INDEX($AB$1005:$AQ$1005,1,MATCH(COLUMNS($AB$1006:AF1006),$AB$1006:$AQ$1006,0))&gt;=100000), " ",IF(INDEX($AB$2:$AQ$1001,MATCH(ROWS($U$2:U450),$U$2:$U$1001,0),MATCH(COLUMNS($AB$1006:AF1006),$AB$1006:$AQ$1006,0)), HYPERLINK("#",""), HYPERLINK(CONCATENATE("#Metadata!", ADDRESS(INDEX($W$2:$W$1001,MATCH(ROWS($U$2:U450),$U$2:$U$1001,0),0), INDEX($AB$1004:$AQ$1004,1,MATCH(COLUMNS($AB$1006:AF1006),$AB$1006:$AQ$1006,0)))),"Fix")))</f>
        <v>0</v>
      </c>
      <c r="G450" s="5">
        <f>IF(OR(INDEX($V$2:$V$1001,MATCH(ROWS($U$2:U450),$U$2:$U$1001,0),1)&gt;=100000,INDEX($AB$1005:$AQ$1005,1,MATCH(COLUMNS($AB$1006:AG1006),$AB$1006:$AQ$1006,0))&gt;=100000), " ",IF(INDEX($AB$2:$AQ$1001,MATCH(ROWS($U$2:U450),$U$2:$U$1001,0),MATCH(COLUMNS($AB$1006:AG1006),$AB$1006:$AQ$1006,0)), HYPERLINK("#",""), HYPERLINK(CONCATENATE("#Metadata!", ADDRESS(INDEX($W$2:$W$1001,MATCH(ROWS($U$2:U450),$U$2:$U$1001,0),0), INDEX($AB$1004:$AQ$1004,1,MATCH(COLUMNS($AB$1006:AG1006),$AB$1006:$AQ$1006,0)))),"Fix")))</f>
        <v>0</v>
      </c>
      <c r="H450" s="5">
        <f>IF(OR(INDEX($V$2:$V$1001,MATCH(ROWS($U$2:U450),$U$2:$U$1001,0),1)&gt;=100000,INDEX($AB$1005:$AQ$1005,1,MATCH(COLUMNS($AB$1006:AH1006),$AB$1006:$AQ$1006,0))&gt;=100000), " ",IF(INDEX($AB$2:$AQ$1001,MATCH(ROWS($U$2:U450),$U$2:$U$1001,0),MATCH(COLUMNS($AB$1006:AH1006),$AB$1006:$AQ$1006,0)), HYPERLINK("#",""), HYPERLINK(CONCATENATE("#Metadata!", ADDRESS(INDEX($W$2:$W$1001,MATCH(ROWS($U$2:U450),$U$2:$U$1001,0),0), INDEX($AB$1004:$AQ$1004,1,MATCH(COLUMNS($AB$1006:AH1006),$AB$1006:$AQ$1006,0)))),"Fix")))</f>
        <v>0</v>
      </c>
      <c r="I450" s="5">
        <f>IF(OR(INDEX($V$2:$V$1001,MATCH(ROWS($U$2:U450),$U$2:$U$1001,0),1)&gt;=100000,INDEX($AB$1005:$AQ$1005,1,MATCH(COLUMNS($AB$1006:AI1006),$AB$1006:$AQ$1006,0))&gt;=100000), " ",IF(INDEX($AB$2:$AQ$1001,MATCH(ROWS($U$2:U450),$U$2:$U$1001,0),MATCH(COLUMNS($AB$1006:AI1006),$AB$1006:$AQ$1006,0)), HYPERLINK("#",""), HYPERLINK(CONCATENATE("#Metadata!", ADDRESS(INDEX($W$2:$W$1001,MATCH(ROWS($U$2:U450),$U$2:$U$1001,0),0), INDEX($AB$1004:$AQ$1004,1,MATCH(COLUMNS($AB$1006:AI1006),$AB$1006:$AQ$1006,0)))),"Fix")))</f>
        <v>0</v>
      </c>
      <c r="J450" s="5">
        <f>IF(OR(INDEX($V$2:$V$1001,MATCH(ROWS($U$2:U450),$U$2:$U$1001,0),1)&gt;=100000,INDEX($AB$1005:$AQ$1005,1,MATCH(COLUMNS($AB$1006:AJ1006),$AB$1006:$AQ$1006,0))&gt;=100000), " ",IF(INDEX($AB$2:$AQ$1001,MATCH(ROWS($U$2:U450),$U$2:$U$1001,0),MATCH(COLUMNS($AB$1006:AJ1006),$AB$1006:$AQ$1006,0)), HYPERLINK("#",""), HYPERLINK(CONCATENATE("#Metadata!", ADDRESS(INDEX($W$2:$W$1001,MATCH(ROWS($U$2:U450),$U$2:$U$1001,0),0), INDEX($AB$1004:$AQ$1004,1,MATCH(COLUMNS($AB$1006:AJ1006),$AB$1006:$AQ$1006,0)))),"Fix")))</f>
        <v>0</v>
      </c>
      <c r="K450" s="5">
        <f>IF(OR(INDEX($V$2:$V$1001,MATCH(ROWS($U$2:U450),$U$2:$U$1001,0),1)&gt;=100000,INDEX($AB$1005:$AQ$1005,1,MATCH(COLUMNS($AB$1006:AK1006),$AB$1006:$AQ$1006,0))&gt;=100000), " ",IF(INDEX($AB$2:$AQ$1001,MATCH(ROWS($U$2:U450),$U$2:$U$1001,0),MATCH(COLUMNS($AB$1006:AK1006),$AB$1006:$AQ$1006,0)), HYPERLINK("#",""), HYPERLINK(CONCATENATE("#Metadata!", ADDRESS(INDEX($W$2:$W$1001,MATCH(ROWS($U$2:U450),$U$2:$U$1001,0),0), INDEX($AB$1004:$AQ$1004,1,MATCH(COLUMNS($AB$1006:AK1006),$AB$1006:$AQ$1006,0)))),"Fix")))</f>
        <v>0</v>
      </c>
      <c r="L450" s="5">
        <f>IF(OR(INDEX($V$2:$V$1001,MATCH(ROWS($U$2:U450),$U$2:$U$1001,0),1)&gt;=100000,INDEX($AB$1005:$AQ$1005,1,MATCH(COLUMNS($AB$1006:AL1006),$AB$1006:$AQ$1006,0))&gt;=100000), " ",IF(INDEX($AB$2:$AQ$1001,MATCH(ROWS($U$2:U450),$U$2:$U$1001,0),MATCH(COLUMNS($AB$1006:AL1006),$AB$1006:$AQ$1006,0)), HYPERLINK("#",""), HYPERLINK(CONCATENATE("#Metadata!", ADDRESS(INDEX($W$2:$W$1001,MATCH(ROWS($U$2:U450),$U$2:$U$1001,0),0), INDEX($AB$1004:$AQ$1004,1,MATCH(COLUMNS($AB$1006:AL1006),$AB$1006:$AQ$1006,0)))),"Fix")))</f>
        <v>0</v>
      </c>
      <c r="M450" s="5">
        <f>IF(OR(INDEX($V$2:$V$1001,MATCH(ROWS($U$2:U450),$U$2:$U$1001,0),1)&gt;=100000,INDEX($AB$1005:$AQ$1005,1,MATCH(COLUMNS($AB$1006:AM1006),$AB$1006:$AQ$1006,0))&gt;=100000), " ",IF(INDEX($AB$2:$AQ$1001,MATCH(ROWS($U$2:U450),$U$2:$U$1001,0),MATCH(COLUMNS($AB$1006:AM1006),$AB$1006:$AQ$1006,0)), HYPERLINK("#",""), HYPERLINK(CONCATENATE("#Metadata!", ADDRESS(INDEX($W$2:$W$1001,MATCH(ROWS($U$2:U450),$U$2:$U$1001,0),0), INDEX($AB$1004:$AQ$1004,1,MATCH(COLUMNS($AB$1006:AM1006),$AB$1006:$AQ$1006,0)))),"Fix")))</f>
        <v>0</v>
      </c>
      <c r="N450" s="5">
        <f>IF(OR(INDEX($V$2:$V$1001,MATCH(ROWS($U$2:U450),$U$2:$U$1001,0),1)&gt;=100000,INDEX($AB$1005:$AQ$1005,1,MATCH(COLUMNS($AB$1006:AN1006),$AB$1006:$AQ$1006,0))&gt;=100000), " ",IF(INDEX($AB$2:$AQ$1001,MATCH(ROWS($U$2:U450),$U$2:$U$1001,0),MATCH(COLUMNS($AB$1006:AN1006),$AB$1006:$AQ$1006,0)), HYPERLINK("#",""), HYPERLINK(CONCATENATE("#Metadata!", ADDRESS(INDEX($W$2:$W$1001,MATCH(ROWS($U$2:U450),$U$2:$U$1001,0),0), INDEX($AB$1004:$AQ$1004,1,MATCH(COLUMNS($AB$1006:AN1006),$AB$1006:$AQ$1006,0)))),"Fix")))</f>
        <v>0</v>
      </c>
      <c r="O450" s="5">
        <f>IF(OR(INDEX($V$2:$V$1001,MATCH(ROWS($U$2:U450),$U$2:$U$1001,0),1)&gt;=100000,INDEX($AB$1005:$AQ$1005,1,MATCH(COLUMNS($AB$1006:AO1006),$AB$1006:$AQ$1006,0))&gt;=100000), " ",IF(INDEX($AB$2:$AQ$1001,MATCH(ROWS($U$2:U450),$U$2:$U$1001,0),MATCH(COLUMNS($AB$1006:AO1006),$AB$1006:$AQ$1006,0)), HYPERLINK("#",""), HYPERLINK(CONCATENATE("#Metadata!", ADDRESS(INDEX($W$2:$W$1001,MATCH(ROWS($U$2:U450),$U$2:$U$1001,0),0), INDEX($AB$1004:$AQ$1004,1,MATCH(COLUMNS($AB$1006:AO1006),$AB$1006:$AQ$1006,0)))),"Fix")))</f>
        <v>0</v>
      </c>
      <c r="P450" s="5">
        <f>IF(OR(INDEX($V$2:$V$1001,MATCH(ROWS($U$2:U450),$U$2:$U$1001,0),1)&gt;=100000,INDEX($AB$1005:$AQ$1005,1,MATCH(COLUMNS($AB$1006:AP1006),$AB$1006:$AQ$1006,0))&gt;=100000), " ",IF(INDEX($AB$2:$AQ$1001,MATCH(ROWS($U$2:U450),$U$2:$U$1001,0),MATCH(COLUMNS($AB$1006:AP1006),$AB$1006:$AQ$1006,0)), HYPERLINK("#",""), HYPERLINK(CONCATENATE("#Metadata!", ADDRESS(INDEX($W$2:$W$1001,MATCH(ROWS($U$2:U450),$U$2:$U$1001,0),0), INDEX($AB$1004:$AQ$1004,1,MATCH(COLUMNS($AB$1006:AP1006),$AB$1006:$AQ$1006,0)))),"Fix")))</f>
        <v>0</v>
      </c>
      <c r="Q450" s="5">
        <f>IF(OR(INDEX($V$2:$V$1001,MATCH(ROWS($U$2:U450),$U$2:$U$1001,0),1)&gt;=100000,INDEX($AB$1005:$AQ$1005,1,MATCH(COLUMNS($AB$1006:AQ1006),$AB$1006:$AQ$1006,0))&gt;=100000), " ",IF(INDEX($AB$2:$AQ$1001,MATCH(ROWS($U$2:U450),$U$2:$U$1001,0),MATCH(COLUMNS($AB$1006:AQ1006),$AB$1006:$AQ$1006,0)), HYPERLINK("#",""), HYPERLINK(CONCATENATE("#Metadata!", ADDRESS(INDEX($W$2:$W$1001,MATCH(ROWS($U$2:U450),$U$2:$U$1001,0),0), INDEX($AB$1004:$AQ$1004,1,MATCH(COLUMNS($AB$1006:AQ1006),$AB$1006:$AQ$1006,0)))),"Fix")))</f>
        <v>0</v>
      </c>
      <c r="U450">
        <v>0</v>
      </c>
      <c r="V450">
        <v>0</v>
      </c>
      <c r="W450">
        <v>0</v>
      </c>
      <c r="X450">
        <f>IF(Y450,TRUE,AND(AB450:AQ450))</f>
        <v>0</v>
      </c>
      <c r="Y450">
        <f>COUNTBLANK(Metadata!B450:Q450)=COLUMNS(Metadata!B450:Q450)</f>
        <v>0</v>
      </c>
      <c r="Z450">
        <v>0</v>
      </c>
      <c r="AB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AC450">
        <f>AND(IF(Metadata!C450="",FALSE,TRUE),exact(Metadata!C450,"urban biome"))</f>
        <v>0</v>
      </c>
      <c r="AD450">
        <f>AND(IF(Metadata!D450="",FALSE,TRUE),exact(Metadata!D450,"human-associated habitat"))</f>
        <v>0</v>
      </c>
      <c r="AE450">
        <f>AND(IF(Metadata!E450="",FALSE,TRUE),OR(exact(Metadata!E450,"human-associated"),exact(Metadata!E450,"human-skin"),exact(Metadata!E450,"human-oral"),exact(Metadata!E450,"human-gut"),exact(Metadata!E450,"human-vaginal")))</f>
        <v>0</v>
      </c>
      <c r="AF450">
        <f>AND(IF(Metadata!F450="",FALSE,ISNUMBER(VALUE(Metadata!F450))),Metadata!F450&gt;0)</f>
        <v>0</v>
      </c>
      <c r="AG450">
        <f>AND(IF(Metadata!G450="",FALSE,TRUE),exact(Metadata!G450,"years"))</f>
        <v>0</v>
      </c>
      <c r="AH450">
        <f>OR(AND(IF(Metadata!H450="",FALSE,TRUE),OR(exact(Metadata!H450,"not applicable"),exact(Metadata!H450,"not collected"),exact(Metadata!H450,"not provided"),exact(Metadata!H450,"restricted access"))),AND(IF(Metadata!H450="",FALSE,ISNUMBER(VALUE(Metadata!H450))),Metadata!H450&gt;0))</f>
        <v>0</v>
      </c>
      <c r="AI450">
        <f>AND(IF(Metadata!I450="",FALSE,TRUE),exact(Metadata!I450,"human"))</f>
        <v>0</v>
      </c>
      <c r="AJ450">
        <f>AND(IF(Metadata!J450="",FALSE,ISNUMBER(VALUE(Metadata!J450))),Metadata!J450&gt;0)</f>
        <v>0</v>
      </c>
      <c r="AK450">
        <f>AND(IF(Metadata!K450="",FALSE,TRUE),exact(Metadata!K450,"cm"))</f>
        <v>0</v>
      </c>
      <c r="AL450">
        <f>AND(IF(Metadata!L450="",FALSE,TRUE),exact(Metadata!L450,"Homo sapiens"))</f>
        <v>0</v>
      </c>
      <c r="AM450">
        <f>AND(IF(Metadata!M450="",FALSE,TRUE),exact(Metadata!M450,"9606"))</f>
        <v>0</v>
      </c>
      <c r="AN450">
        <f>AND(IF(Metadata!N450="",FALSE,ISNUMBER(VALUE(Metadata!N450))),Metadata!N450&gt;0)</f>
        <v>0</v>
      </c>
      <c r="AO450">
        <f>AND(IF(Metadata!O450="",FALSE,TRUE),exact(Metadata!O450,"kg"))</f>
        <v>0</v>
      </c>
      <c r="AP450">
        <f>OR(AND(IF(Metadata!P450="",FALSE,TRUE),exact(Metadata!P450,"not provided")),IF(Metadata!P450="",FALSE,TRUE))</f>
        <v>0</v>
      </c>
      <c r="AQ450">
        <f>OR(AND(IF(Metadata!Q450="",FALSE,TRUE),exact(Metadata!Q450,"not provided")),IF(Metadata!Q450="",FALSE,TRUE))</f>
        <v>0</v>
      </c>
    </row>
    <row r="451" spans="1:43">
      <c r="A451" s="4">
        <f>IF(B451=" "," ",HYPERLINK(CONCATENATE("#metadata!",ADDRESS(INDEX($W$2:$W$1001,MATCH(ROWS($U$2:U451),$U$2:$U$1001,0),0),2)),INDEX($Z$2:$Z$1001,MATCH(ROWS($U$2:U451),$U$2:$U$1001,0),0)))</f>
        <v>0</v>
      </c>
      <c r="B451" s="5">
        <f>IF(OR(INDEX($V$2:$V$1001,MATCH(ROWS($U$2:U451),$U$2:$U$1001,0),1)&gt;=100000,INDEX($AB$1005:$AQ$1005,1,MATCH(COLUMNS($AB$1006:AB1006),$AB$1006:$AQ$1006,0))&gt;=100000), " ",IF(INDEX($AB$2:$AQ$1001,MATCH(ROWS($U$2:U451),$U$2:$U$1001,0),MATCH(COLUMNS($AB$1006:AB1006),$AB$1006:$AQ$1006,0)), HYPERLINK("#",""), HYPERLINK(CONCATENATE("#Metadata!", ADDRESS(INDEX($W$2:$W$1001,MATCH(ROWS($U$2:U451),$U$2:$U$1001,0),0), INDEX($AB$1004:$AQ$1004,1,MATCH(COLUMNS($AB$1006:AB1006),$AB$1006:$AQ$1006,0)))),"Fix")))</f>
        <v>0</v>
      </c>
      <c r="C451" s="5">
        <f>IF(OR(INDEX($V$2:$V$1001,MATCH(ROWS($U$2:U451),$U$2:$U$1001,0),1)&gt;=100000,INDEX($AB$1005:$AQ$1005,1,MATCH(COLUMNS($AB$1006:AC1006),$AB$1006:$AQ$1006,0))&gt;=100000), " ",IF(INDEX($AB$2:$AQ$1001,MATCH(ROWS($U$2:U451),$U$2:$U$1001,0),MATCH(COLUMNS($AB$1006:AC1006),$AB$1006:$AQ$1006,0)), HYPERLINK("#",""), HYPERLINK(CONCATENATE("#Metadata!", ADDRESS(INDEX($W$2:$W$1001,MATCH(ROWS($U$2:U451),$U$2:$U$1001,0),0), INDEX($AB$1004:$AQ$1004,1,MATCH(COLUMNS($AB$1006:AC1006),$AB$1006:$AQ$1006,0)))),"Fix")))</f>
        <v>0</v>
      </c>
      <c r="D451" s="5">
        <f>IF(OR(INDEX($V$2:$V$1001,MATCH(ROWS($U$2:U451),$U$2:$U$1001,0),1)&gt;=100000,INDEX($AB$1005:$AQ$1005,1,MATCH(COLUMNS($AB$1006:AD1006),$AB$1006:$AQ$1006,0))&gt;=100000), " ",IF(INDEX($AB$2:$AQ$1001,MATCH(ROWS($U$2:U451),$U$2:$U$1001,0),MATCH(COLUMNS($AB$1006:AD1006),$AB$1006:$AQ$1006,0)), HYPERLINK("#",""), HYPERLINK(CONCATENATE("#Metadata!", ADDRESS(INDEX($W$2:$W$1001,MATCH(ROWS($U$2:U451),$U$2:$U$1001,0),0), INDEX($AB$1004:$AQ$1004,1,MATCH(COLUMNS($AB$1006:AD1006),$AB$1006:$AQ$1006,0)))),"Fix")))</f>
        <v>0</v>
      </c>
      <c r="E451" s="5">
        <f>IF(OR(INDEX($V$2:$V$1001,MATCH(ROWS($U$2:U451),$U$2:$U$1001,0),1)&gt;=100000,INDEX($AB$1005:$AQ$1005,1,MATCH(COLUMNS($AB$1006:AE1006),$AB$1006:$AQ$1006,0))&gt;=100000), " ",IF(INDEX($AB$2:$AQ$1001,MATCH(ROWS($U$2:U451),$U$2:$U$1001,0),MATCH(COLUMNS($AB$1006:AE1006),$AB$1006:$AQ$1006,0)), HYPERLINK("#",""), HYPERLINK(CONCATENATE("#Metadata!", ADDRESS(INDEX($W$2:$W$1001,MATCH(ROWS($U$2:U451),$U$2:$U$1001,0),0), INDEX($AB$1004:$AQ$1004,1,MATCH(COLUMNS($AB$1006:AE1006),$AB$1006:$AQ$1006,0)))),"Fix")))</f>
        <v>0</v>
      </c>
      <c r="F451" s="5">
        <f>IF(OR(INDEX($V$2:$V$1001,MATCH(ROWS($U$2:U451),$U$2:$U$1001,0),1)&gt;=100000,INDEX($AB$1005:$AQ$1005,1,MATCH(COLUMNS($AB$1006:AF1006),$AB$1006:$AQ$1006,0))&gt;=100000), " ",IF(INDEX($AB$2:$AQ$1001,MATCH(ROWS($U$2:U451),$U$2:$U$1001,0),MATCH(COLUMNS($AB$1006:AF1006),$AB$1006:$AQ$1006,0)), HYPERLINK("#",""), HYPERLINK(CONCATENATE("#Metadata!", ADDRESS(INDEX($W$2:$W$1001,MATCH(ROWS($U$2:U451),$U$2:$U$1001,0),0), INDEX($AB$1004:$AQ$1004,1,MATCH(COLUMNS($AB$1006:AF1006),$AB$1006:$AQ$1006,0)))),"Fix")))</f>
        <v>0</v>
      </c>
      <c r="G451" s="5">
        <f>IF(OR(INDEX($V$2:$V$1001,MATCH(ROWS($U$2:U451),$U$2:$U$1001,0),1)&gt;=100000,INDEX($AB$1005:$AQ$1005,1,MATCH(COLUMNS($AB$1006:AG1006),$AB$1006:$AQ$1006,0))&gt;=100000), " ",IF(INDEX($AB$2:$AQ$1001,MATCH(ROWS($U$2:U451),$U$2:$U$1001,0),MATCH(COLUMNS($AB$1006:AG1006),$AB$1006:$AQ$1006,0)), HYPERLINK("#",""), HYPERLINK(CONCATENATE("#Metadata!", ADDRESS(INDEX($W$2:$W$1001,MATCH(ROWS($U$2:U451),$U$2:$U$1001,0),0), INDEX($AB$1004:$AQ$1004,1,MATCH(COLUMNS($AB$1006:AG1006),$AB$1006:$AQ$1006,0)))),"Fix")))</f>
        <v>0</v>
      </c>
      <c r="H451" s="5">
        <f>IF(OR(INDEX($V$2:$V$1001,MATCH(ROWS($U$2:U451),$U$2:$U$1001,0),1)&gt;=100000,INDEX($AB$1005:$AQ$1005,1,MATCH(COLUMNS($AB$1006:AH1006),$AB$1006:$AQ$1006,0))&gt;=100000), " ",IF(INDEX($AB$2:$AQ$1001,MATCH(ROWS($U$2:U451),$U$2:$U$1001,0),MATCH(COLUMNS($AB$1006:AH1006),$AB$1006:$AQ$1006,0)), HYPERLINK("#",""), HYPERLINK(CONCATENATE("#Metadata!", ADDRESS(INDEX($W$2:$W$1001,MATCH(ROWS($U$2:U451),$U$2:$U$1001,0),0), INDEX($AB$1004:$AQ$1004,1,MATCH(COLUMNS($AB$1006:AH1006),$AB$1006:$AQ$1006,0)))),"Fix")))</f>
        <v>0</v>
      </c>
      <c r="I451" s="5">
        <f>IF(OR(INDEX($V$2:$V$1001,MATCH(ROWS($U$2:U451),$U$2:$U$1001,0),1)&gt;=100000,INDEX($AB$1005:$AQ$1005,1,MATCH(COLUMNS($AB$1006:AI1006),$AB$1006:$AQ$1006,0))&gt;=100000), " ",IF(INDEX($AB$2:$AQ$1001,MATCH(ROWS($U$2:U451),$U$2:$U$1001,0),MATCH(COLUMNS($AB$1006:AI1006),$AB$1006:$AQ$1006,0)), HYPERLINK("#",""), HYPERLINK(CONCATENATE("#Metadata!", ADDRESS(INDEX($W$2:$W$1001,MATCH(ROWS($U$2:U451),$U$2:$U$1001,0),0), INDEX($AB$1004:$AQ$1004,1,MATCH(COLUMNS($AB$1006:AI1006),$AB$1006:$AQ$1006,0)))),"Fix")))</f>
        <v>0</v>
      </c>
      <c r="J451" s="5">
        <f>IF(OR(INDEX($V$2:$V$1001,MATCH(ROWS($U$2:U451),$U$2:$U$1001,0),1)&gt;=100000,INDEX($AB$1005:$AQ$1005,1,MATCH(COLUMNS($AB$1006:AJ1006),$AB$1006:$AQ$1006,0))&gt;=100000), " ",IF(INDEX($AB$2:$AQ$1001,MATCH(ROWS($U$2:U451),$U$2:$U$1001,0),MATCH(COLUMNS($AB$1006:AJ1006),$AB$1006:$AQ$1006,0)), HYPERLINK("#",""), HYPERLINK(CONCATENATE("#Metadata!", ADDRESS(INDEX($W$2:$W$1001,MATCH(ROWS($U$2:U451),$U$2:$U$1001,0),0), INDEX($AB$1004:$AQ$1004,1,MATCH(COLUMNS($AB$1006:AJ1006),$AB$1006:$AQ$1006,0)))),"Fix")))</f>
        <v>0</v>
      </c>
      <c r="K451" s="5">
        <f>IF(OR(INDEX($V$2:$V$1001,MATCH(ROWS($U$2:U451),$U$2:$U$1001,0),1)&gt;=100000,INDEX($AB$1005:$AQ$1005,1,MATCH(COLUMNS($AB$1006:AK1006),$AB$1006:$AQ$1006,0))&gt;=100000), " ",IF(INDEX($AB$2:$AQ$1001,MATCH(ROWS($U$2:U451),$U$2:$U$1001,0),MATCH(COLUMNS($AB$1006:AK1006),$AB$1006:$AQ$1006,0)), HYPERLINK("#",""), HYPERLINK(CONCATENATE("#Metadata!", ADDRESS(INDEX($W$2:$W$1001,MATCH(ROWS($U$2:U451),$U$2:$U$1001,0),0), INDEX($AB$1004:$AQ$1004,1,MATCH(COLUMNS($AB$1006:AK1006),$AB$1006:$AQ$1006,0)))),"Fix")))</f>
        <v>0</v>
      </c>
      <c r="L451" s="5">
        <f>IF(OR(INDEX($V$2:$V$1001,MATCH(ROWS($U$2:U451),$U$2:$U$1001,0),1)&gt;=100000,INDEX($AB$1005:$AQ$1005,1,MATCH(COLUMNS($AB$1006:AL1006),$AB$1006:$AQ$1006,0))&gt;=100000), " ",IF(INDEX($AB$2:$AQ$1001,MATCH(ROWS($U$2:U451),$U$2:$U$1001,0),MATCH(COLUMNS($AB$1006:AL1006),$AB$1006:$AQ$1006,0)), HYPERLINK("#",""), HYPERLINK(CONCATENATE("#Metadata!", ADDRESS(INDEX($W$2:$W$1001,MATCH(ROWS($U$2:U451),$U$2:$U$1001,0),0), INDEX($AB$1004:$AQ$1004,1,MATCH(COLUMNS($AB$1006:AL1006),$AB$1006:$AQ$1006,0)))),"Fix")))</f>
        <v>0</v>
      </c>
      <c r="M451" s="5">
        <f>IF(OR(INDEX($V$2:$V$1001,MATCH(ROWS($U$2:U451),$U$2:$U$1001,0),1)&gt;=100000,INDEX($AB$1005:$AQ$1005,1,MATCH(COLUMNS($AB$1006:AM1006),$AB$1006:$AQ$1006,0))&gt;=100000), " ",IF(INDEX($AB$2:$AQ$1001,MATCH(ROWS($U$2:U451),$U$2:$U$1001,0),MATCH(COLUMNS($AB$1006:AM1006),$AB$1006:$AQ$1006,0)), HYPERLINK("#",""), HYPERLINK(CONCATENATE("#Metadata!", ADDRESS(INDEX($W$2:$W$1001,MATCH(ROWS($U$2:U451),$U$2:$U$1001,0),0), INDEX($AB$1004:$AQ$1004,1,MATCH(COLUMNS($AB$1006:AM1006),$AB$1006:$AQ$1006,0)))),"Fix")))</f>
        <v>0</v>
      </c>
      <c r="N451" s="5">
        <f>IF(OR(INDEX($V$2:$V$1001,MATCH(ROWS($U$2:U451),$U$2:$U$1001,0),1)&gt;=100000,INDEX($AB$1005:$AQ$1005,1,MATCH(COLUMNS($AB$1006:AN1006),$AB$1006:$AQ$1006,0))&gt;=100000), " ",IF(INDEX($AB$2:$AQ$1001,MATCH(ROWS($U$2:U451),$U$2:$U$1001,0),MATCH(COLUMNS($AB$1006:AN1006),$AB$1006:$AQ$1006,0)), HYPERLINK("#",""), HYPERLINK(CONCATENATE("#Metadata!", ADDRESS(INDEX($W$2:$W$1001,MATCH(ROWS($U$2:U451),$U$2:$U$1001,0),0), INDEX($AB$1004:$AQ$1004,1,MATCH(COLUMNS($AB$1006:AN1006),$AB$1006:$AQ$1006,0)))),"Fix")))</f>
        <v>0</v>
      </c>
      <c r="O451" s="5">
        <f>IF(OR(INDEX($V$2:$V$1001,MATCH(ROWS($U$2:U451),$U$2:$U$1001,0),1)&gt;=100000,INDEX($AB$1005:$AQ$1005,1,MATCH(COLUMNS($AB$1006:AO1006),$AB$1006:$AQ$1006,0))&gt;=100000), " ",IF(INDEX($AB$2:$AQ$1001,MATCH(ROWS($U$2:U451),$U$2:$U$1001,0),MATCH(COLUMNS($AB$1006:AO1006),$AB$1006:$AQ$1006,0)), HYPERLINK("#",""), HYPERLINK(CONCATENATE("#Metadata!", ADDRESS(INDEX($W$2:$W$1001,MATCH(ROWS($U$2:U451),$U$2:$U$1001,0),0), INDEX($AB$1004:$AQ$1004,1,MATCH(COLUMNS($AB$1006:AO1006),$AB$1006:$AQ$1006,0)))),"Fix")))</f>
        <v>0</v>
      </c>
      <c r="P451" s="5">
        <f>IF(OR(INDEX($V$2:$V$1001,MATCH(ROWS($U$2:U451),$U$2:$U$1001,0),1)&gt;=100000,INDEX($AB$1005:$AQ$1005,1,MATCH(COLUMNS($AB$1006:AP1006),$AB$1006:$AQ$1006,0))&gt;=100000), " ",IF(INDEX($AB$2:$AQ$1001,MATCH(ROWS($U$2:U451),$U$2:$U$1001,0),MATCH(COLUMNS($AB$1006:AP1006),$AB$1006:$AQ$1006,0)), HYPERLINK("#",""), HYPERLINK(CONCATENATE("#Metadata!", ADDRESS(INDEX($W$2:$W$1001,MATCH(ROWS($U$2:U451),$U$2:$U$1001,0),0), INDEX($AB$1004:$AQ$1004,1,MATCH(COLUMNS($AB$1006:AP1006),$AB$1006:$AQ$1006,0)))),"Fix")))</f>
        <v>0</v>
      </c>
      <c r="Q451" s="5">
        <f>IF(OR(INDEX($V$2:$V$1001,MATCH(ROWS($U$2:U451),$U$2:$U$1001,0),1)&gt;=100000,INDEX($AB$1005:$AQ$1005,1,MATCH(COLUMNS($AB$1006:AQ1006),$AB$1006:$AQ$1006,0))&gt;=100000), " ",IF(INDEX($AB$2:$AQ$1001,MATCH(ROWS($U$2:U451),$U$2:$U$1001,0),MATCH(COLUMNS($AB$1006:AQ1006),$AB$1006:$AQ$1006,0)), HYPERLINK("#",""), HYPERLINK(CONCATENATE("#Metadata!", ADDRESS(INDEX($W$2:$W$1001,MATCH(ROWS($U$2:U451),$U$2:$U$1001,0),0), INDEX($AB$1004:$AQ$1004,1,MATCH(COLUMNS($AB$1006:AQ1006),$AB$1006:$AQ$1006,0)))),"Fix")))</f>
        <v>0</v>
      </c>
      <c r="U451">
        <v>0</v>
      </c>
      <c r="V451">
        <v>0</v>
      </c>
      <c r="W451">
        <v>0</v>
      </c>
      <c r="X451">
        <f>IF(Y451,TRUE,AND(AB451:AQ451))</f>
        <v>0</v>
      </c>
      <c r="Y451">
        <f>COUNTBLANK(Metadata!B451:Q451)=COLUMNS(Metadata!B451:Q451)</f>
        <v>0</v>
      </c>
      <c r="Z451">
        <v>0</v>
      </c>
      <c r="AB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AC451">
        <f>AND(IF(Metadata!C451="",FALSE,TRUE),exact(Metadata!C451,"urban biome"))</f>
        <v>0</v>
      </c>
      <c r="AD451">
        <f>AND(IF(Metadata!D451="",FALSE,TRUE),exact(Metadata!D451,"human-associated habitat"))</f>
        <v>0</v>
      </c>
      <c r="AE451">
        <f>AND(IF(Metadata!E451="",FALSE,TRUE),OR(exact(Metadata!E451,"human-associated"),exact(Metadata!E451,"human-skin"),exact(Metadata!E451,"human-oral"),exact(Metadata!E451,"human-gut"),exact(Metadata!E451,"human-vaginal")))</f>
        <v>0</v>
      </c>
      <c r="AF451">
        <f>AND(IF(Metadata!F451="",FALSE,ISNUMBER(VALUE(Metadata!F451))),Metadata!F451&gt;0)</f>
        <v>0</v>
      </c>
      <c r="AG451">
        <f>AND(IF(Metadata!G451="",FALSE,TRUE),exact(Metadata!G451,"years"))</f>
        <v>0</v>
      </c>
      <c r="AH451">
        <f>OR(AND(IF(Metadata!H451="",FALSE,TRUE),OR(exact(Metadata!H451,"not applicable"),exact(Metadata!H451,"not collected"),exact(Metadata!H451,"not provided"),exact(Metadata!H451,"restricted access"))),AND(IF(Metadata!H451="",FALSE,ISNUMBER(VALUE(Metadata!H451))),Metadata!H451&gt;0))</f>
        <v>0</v>
      </c>
      <c r="AI451">
        <f>AND(IF(Metadata!I451="",FALSE,TRUE),exact(Metadata!I451,"human"))</f>
        <v>0</v>
      </c>
      <c r="AJ451">
        <f>AND(IF(Metadata!J451="",FALSE,ISNUMBER(VALUE(Metadata!J451))),Metadata!J451&gt;0)</f>
        <v>0</v>
      </c>
      <c r="AK451">
        <f>AND(IF(Metadata!K451="",FALSE,TRUE),exact(Metadata!K451,"cm"))</f>
        <v>0</v>
      </c>
      <c r="AL451">
        <f>AND(IF(Metadata!L451="",FALSE,TRUE),exact(Metadata!L451,"Homo sapiens"))</f>
        <v>0</v>
      </c>
      <c r="AM451">
        <f>AND(IF(Metadata!M451="",FALSE,TRUE),exact(Metadata!M451,"9606"))</f>
        <v>0</v>
      </c>
      <c r="AN451">
        <f>AND(IF(Metadata!N451="",FALSE,ISNUMBER(VALUE(Metadata!N451))),Metadata!N451&gt;0)</f>
        <v>0</v>
      </c>
      <c r="AO451">
        <f>AND(IF(Metadata!O451="",FALSE,TRUE),exact(Metadata!O451,"kg"))</f>
        <v>0</v>
      </c>
      <c r="AP451">
        <f>OR(AND(IF(Metadata!P451="",FALSE,TRUE),exact(Metadata!P451,"not provided")),IF(Metadata!P451="",FALSE,TRUE))</f>
        <v>0</v>
      </c>
      <c r="AQ451">
        <f>OR(AND(IF(Metadata!Q451="",FALSE,TRUE),exact(Metadata!Q451,"not provided")),IF(Metadata!Q451="",FALSE,TRUE))</f>
        <v>0</v>
      </c>
    </row>
    <row r="452" spans="1:43">
      <c r="A452" s="4">
        <f>IF(B452=" "," ",HYPERLINK(CONCATENATE("#metadata!",ADDRESS(INDEX($W$2:$W$1001,MATCH(ROWS($U$2:U452),$U$2:$U$1001,0),0),2)),INDEX($Z$2:$Z$1001,MATCH(ROWS($U$2:U452),$U$2:$U$1001,0),0)))</f>
        <v>0</v>
      </c>
      <c r="B452" s="5">
        <f>IF(OR(INDEX($V$2:$V$1001,MATCH(ROWS($U$2:U452),$U$2:$U$1001,0),1)&gt;=100000,INDEX($AB$1005:$AQ$1005,1,MATCH(COLUMNS($AB$1006:AB1006),$AB$1006:$AQ$1006,0))&gt;=100000), " ",IF(INDEX($AB$2:$AQ$1001,MATCH(ROWS($U$2:U452),$U$2:$U$1001,0),MATCH(COLUMNS($AB$1006:AB1006),$AB$1006:$AQ$1006,0)), HYPERLINK("#",""), HYPERLINK(CONCATENATE("#Metadata!", ADDRESS(INDEX($W$2:$W$1001,MATCH(ROWS($U$2:U452),$U$2:$U$1001,0),0), INDEX($AB$1004:$AQ$1004,1,MATCH(COLUMNS($AB$1006:AB1006),$AB$1006:$AQ$1006,0)))),"Fix")))</f>
        <v>0</v>
      </c>
      <c r="C452" s="5">
        <f>IF(OR(INDEX($V$2:$V$1001,MATCH(ROWS($U$2:U452),$U$2:$U$1001,0),1)&gt;=100000,INDEX($AB$1005:$AQ$1005,1,MATCH(COLUMNS($AB$1006:AC1006),$AB$1006:$AQ$1006,0))&gt;=100000), " ",IF(INDEX($AB$2:$AQ$1001,MATCH(ROWS($U$2:U452),$U$2:$U$1001,0),MATCH(COLUMNS($AB$1006:AC1006),$AB$1006:$AQ$1006,0)), HYPERLINK("#",""), HYPERLINK(CONCATENATE("#Metadata!", ADDRESS(INDEX($W$2:$W$1001,MATCH(ROWS($U$2:U452),$U$2:$U$1001,0),0), INDEX($AB$1004:$AQ$1004,1,MATCH(COLUMNS($AB$1006:AC1006),$AB$1006:$AQ$1006,0)))),"Fix")))</f>
        <v>0</v>
      </c>
      <c r="D452" s="5">
        <f>IF(OR(INDEX($V$2:$V$1001,MATCH(ROWS($U$2:U452),$U$2:$U$1001,0),1)&gt;=100000,INDEX($AB$1005:$AQ$1005,1,MATCH(COLUMNS($AB$1006:AD1006),$AB$1006:$AQ$1006,0))&gt;=100000), " ",IF(INDEX($AB$2:$AQ$1001,MATCH(ROWS($U$2:U452),$U$2:$U$1001,0),MATCH(COLUMNS($AB$1006:AD1006),$AB$1006:$AQ$1006,0)), HYPERLINK("#",""), HYPERLINK(CONCATENATE("#Metadata!", ADDRESS(INDEX($W$2:$W$1001,MATCH(ROWS($U$2:U452),$U$2:$U$1001,0),0), INDEX($AB$1004:$AQ$1004,1,MATCH(COLUMNS($AB$1006:AD1006),$AB$1006:$AQ$1006,0)))),"Fix")))</f>
        <v>0</v>
      </c>
      <c r="E452" s="5">
        <f>IF(OR(INDEX($V$2:$V$1001,MATCH(ROWS($U$2:U452),$U$2:$U$1001,0),1)&gt;=100000,INDEX($AB$1005:$AQ$1005,1,MATCH(COLUMNS($AB$1006:AE1006),$AB$1006:$AQ$1006,0))&gt;=100000), " ",IF(INDEX($AB$2:$AQ$1001,MATCH(ROWS($U$2:U452),$U$2:$U$1001,0),MATCH(COLUMNS($AB$1006:AE1006),$AB$1006:$AQ$1006,0)), HYPERLINK("#",""), HYPERLINK(CONCATENATE("#Metadata!", ADDRESS(INDEX($W$2:$W$1001,MATCH(ROWS($U$2:U452),$U$2:$U$1001,0),0), INDEX($AB$1004:$AQ$1004,1,MATCH(COLUMNS($AB$1006:AE1006),$AB$1006:$AQ$1006,0)))),"Fix")))</f>
        <v>0</v>
      </c>
      <c r="F452" s="5">
        <f>IF(OR(INDEX($V$2:$V$1001,MATCH(ROWS($U$2:U452),$U$2:$U$1001,0),1)&gt;=100000,INDEX($AB$1005:$AQ$1005,1,MATCH(COLUMNS($AB$1006:AF1006),$AB$1006:$AQ$1006,0))&gt;=100000), " ",IF(INDEX($AB$2:$AQ$1001,MATCH(ROWS($U$2:U452),$U$2:$U$1001,0),MATCH(COLUMNS($AB$1006:AF1006),$AB$1006:$AQ$1006,0)), HYPERLINK("#",""), HYPERLINK(CONCATENATE("#Metadata!", ADDRESS(INDEX($W$2:$W$1001,MATCH(ROWS($U$2:U452),$U$2:$U$1001,0),0), INDEX($AB$1004:$AQ$1004,1,MATCH(COLUMNS($AB$1006:AF1006),$AB$1006:$AQ$1006,0)))),"Fix")))</f>
        <v>0</v>
      </c>
      <c r="G452" s="5">
        <f>IF(OR(INDEX($V$2:$V$1001,MATCH(ROWS($U$2:U452),$U$2:$U$1001,0),1)&gt;=100000,INDEX($AB$1005:$AQ$1005,1,MATCH(COLUMNS($AB$1006:AG1006),$AB$1006:$AQ$1006,0))&gt;=100000), " ",IF(INDEX($AB$2:$AQ$1001,MATCH(ROWS($U$2:U452),$U$2:$U$1001,0),MATCH(COLUMNS($AB$1006:AG1006),$AB$1006:$AQ$1006,0)), HYPERLINK("#",""), HYPERLINK(CONCATENATE("#Metadata!", ADDRESS(INDEX($W$2:$W$1001,MATCH(ROWS($U$2:U452),$U$2:$U$1001,0),0), INDEX($AB$1004:$AQ$1004,1,MATCH(COLUMNS($AB$1006:AG1006),$AB$1006:$AQ$1006,0)))),"Fix")))</f>
        <v>0</v>
      </c>
      <c r="H452" s="5">
        <f>IF(OR(INDEX($V$2:$V$1001,MATCH(ROWS($U$2:U452),$U$2:$U$1001,0),1)&gt;=100000,INDEX($AB$1005:$AQ$1005,1,MATCH(COLUMNS($AB$1006:AH1006),$AB$1006:$AQ$1006,0))&gt;=100000), " ",IF(INDEX($AB$2:$AQ$1001,MATCH(ROWS($U$2:U452),$U$2:$U$1001,0),MATCH(COLUMNS($AB$1006:AH1006),$AB$1006:$AQ$1006,0)), HYPERLINK("#",""), HYPERLINK(CONCATENATE("#Metadata!", ADDRESS(INDEX($W$2:$W$1001,MATCH(ROWS($U$2:U452),$U$2:$U$1001,0),0), INDEX($AB$1004:$AQ$1004,1,MATCH(COLUMNS($AB$1006:AH1006),$AB$1006:$AQ$1006,0)))),"Fix")))</f>
        <v>0</v>
      </c>
      <c r="I452" s="5">
        <f>IF(OR(INDEX($V$2:$V$1001,MATCH(ROWS($U$2:U452),$U$2:$U$1001,0),1)&gt;=100000,INDEX($AB$1005:$AQ$1005,1,MATCH(COLUMNS($AB$1006:AI1006),$AB$1006:$AQ$1006,0))&gt;=100000), " ",IF(INDEX($AB$2:$AQ$1001,MATCH(ROWS($U$2:U452),$U$2:$U$1001,0),MATCH(COLUMNS($AB$1006:AI1006),$AB$1006:$AQ$1006,0)), HYPERLINK("#",""), HYPERLINK(CONCATENATE("#Metadata!", ADDRESS(INDEX($W$2:$W$1001,MATCH(ROWS($U$2:U452),$U$2:$U$1001,0),0), INDEX($AB$1004:$AQ$1004,1,MATCH(COLUMNS($AB$1006:AI1006),$AB$1006:$AQ$1006,0)))),"Fix")))</f>
        <v>0</v>
      </c>
      <c r="J452" s="5">
        <f>IF(OR(INDEX($V$2:$V$1001,MATCH(ROWS($U$2:U452),$U$2:$U$1001,0),1)&gt;=100000,INDEX($AB$1005:$AQ$1005,1,MATCH(COLUMNS($AB$1006:AJ1006),$AB$1006:$AQ$1006,0))&gt;=100000), " ",IF(INDEX($AB$2:$AQ$1001,MATCH(ROWS($U$2:U452),$U$2:$U$1001,0),MATCH(COLUMNS($AB$1006:AJ1006),$AB$1006:$AQ$1006,0)), HYPERLINK("#",""), HYPERLINK(CONCATENATE("#Metadata!", ADDRESS(INDEX($W$2:$W$1001,MATCH(ROWS($U$2:U452),$U$2:$U$1001,0),0), INDEX($AB$1004:$AQ$1004,1,MATCH(COLUMNS($AB$1006:AJ1006),$AB$1006:$AQ$1006,0)))),"Fix")))</f>
        <v>0</v>
      </c>
      <c r="K452" s="5">
        <f>IF(OR(INDEX($V$2:$V$1001,MATCH(ROWS($U$2:U452),$U$2:$U$1001,0),1)&gt;=100000,INDEX($AB$1005:$AQ$1005,1,MATCH(COLUMNS($AB$1006:AK1006),$AB$1006:$AQ$1006,0))&gt;=100000), " ",IF(INDEX($AB$2:$AQ$1001,MATCH(ROWS($U$2:U452),$U$2:$U$1001,0),MATCH(COLUMNS($AB$1006:AK1006),$AB$1006:$AQ$1006,0)), HYPERLINK("#",""), HYPERLINK(CONCATENATE("#Metadata!", ADDRESS(INDEX($W$2:$W$1001,MATCH(ROWS($U$2:U452),$U$2:$U$1001,0),0), INDEX($AB$1004:$AQ$1004,1,MATCH(COLUMNS($AB$1006:AK1006),$AB$1006:$AQ$1006,0)))),"Fix")))</f>
        <v>0</v>
      </c>
      <c r="L452" s="5">
        <f>IF(OR(INDEX($V$2:$V$1001,MATCH(ROWS($U$2:U452),$U$2:$U$1001,0),1)&gt;=100000,INDEX($AB$1005:$AQ$1005,1,MATCH(COLUMNS($AB$1006:AL1006),$AB$1006:$AQ$1006,0))&gt;=100000), " ",IF(INDEX($AB$2:$AQ$1001,MATCH(ROWS($U$2:U452),$U$2:$U$1001,0),MATCH(COLUMNS($AB$1006:AL1006),$AB$1006:$AQ$1006,0)), HYPERLINK("#",""), HYPERLINK(CONCATENATE("#Metadata!", ADDRESS(INDEX($W$2:$W$1001,MATCH(ROWS($U$2:U452),$U$2:$U$1001,0),0), INDEX($AB$1004:$AQ$1004,1,MATCH(COLUMNS($AB$1006:AL1006),$AB$1006:$AQ$1006,0)))),"Fix")))</f>
        <v>0</v>
      </c>
      <c r="M452" s="5">
        <f>IF(OR(INDEX($V$2:$V$1001,MATCH(ROWS($U$2:U452),$U$2:$U$1001,0),1)&gt;=100000,INDEX($AB$1005:$AQ$1005,1,MATCH(COLUMNS($AB$1006:AM1006),$AB$1006:$AQ$1006,0))&gt;=100000), " ",IF(INDEX($AB$2:$AQ$1001,MATCH(ROWS($U$2:U452),$U$2:$U$1001,0),MATCH(COLUMNS($AB$1006:AM1006),$AB$1006:$AQ$1006,0)), HYPERLINK("#",""), HYPERLINK(CONCATENATE("#Metadata!", ADDRESS(INDEX($W$2:$W$1001,MATCH(ROWS($U$2:U452),$U$2:$U$1001,0),0), INDEX($AB$1004:$AQ$1004,1,MATCH(COLUMNS($AB$1006:AM1006),$AB$1006:$AQ$1006,0)))),"Fix")))</f>
        <v>0</v>
      </c>
      <c r="N452" s="5">
        <f>IF(OR(INDEX($V$2:$V$1001,MATCH(ROWS($U$2:U452),$U$2:$U$1001,0),1)&gt;=100000,INDEX($AB$1005:$AQ$1005,1,MATCH(COLUMNS($AB$1006:AN1006),$AB$1006:$AQ$1006,0))&gt;=100000), " ",IF(INDEX($AB$2:$AQ$1001,MATCH(ROWS($U$2:U452),$U$2:$U$1001,0),MATCH(COLUMNS($AB$1006:AN1006),$AB$1006:$AQ$1006,0)), HYPERLINK("#",""), HYPERLINK(CONCATENATE("#Metadata!", ADDRESS(INDEX($W$2:$W$1001,MATCH(ROWS($U$2:U452),$U$2:$U$1001,0),0), INDEX($AB$1004:$AQ$1004,1,MATCH(COLUMNS($AB$1006:AN1006),$AB$1006:$AQ$1006,0)))),"Fix")))</f>
        <v>0</v>
      </c>
      <c r="O452" s="5">
        <f>IF(OR(INDEX($V$2:$V$1001,MATCH(ROWS($U$2:U452),$U$2:$U$1001,0),1)&gt;=100000,INDEX($AB$1005:$AQ$1005,1,MATCH(COLUMNS($AB$1006:AO1006),$AB$1006:$AQ$1006,0))&gt;=100000), " ",IF(INDEX($AB$2:$AQ$1001,MATCH(ROWS($U$2:U452),$U$2:$U$1001,0),MATCH(COLUMNS($AB$1006:AO1006),$AB$1006:$AQ$1006,0)), HYPERLINK("#",""), HYPERLINK(CONCATENATE("#Metadata!", ADDRESS(INDEX($W$2:$W$1001,MATCH(ROWS($U$2:U452),$U$2:$U$1001,0),0), INDEX($AB$1004:$AQ$1004,1,MATCH(COLUMNS($AB$1006:AO1006),$AB$1006:$AQ$1006,0)))),"Fix")))</f>
        <v>0</v>
      </c>
      <c r="P452" s="5">
        <f>IF(OR(INDEX($V$2:$V$1001,MATCH(ROWS($U$2:U452),$U$2:$U$1001,0),1)&gt;=100000,INDEX($AB$1005:$AQ$1005,1,MATCH(COLUMNS($AB$1006:AP1006),$AB$1006:$AQ$1006,0))&gt;=100000), " ",IF(INDEX($AB$2:$AQ$1001,MATCH(ROWS($U$2:U452),$U$2:$U$1001,0),MATCH(COLUMNS($AB$1006:AP1006),$AB$1006:$AQ$1006,0)), HYPERLINK("#",""), HYPERLINK(CONCATENATE("#Metadata!", ADDRESS(INDEX($W$2:$W$1001,MATCH(ROWS($U$2:U452),$U$2:$U$1001,0),0), INDEX($AB$1004:$AQ$1004,1,MATCH(COLUMNS($AB$1006:AP1006),$AB$1006:$AQ$1006,0)))),"Fix")))</f>
        <v>0</v>
      </c>
      <c r="Q452" s="5">
        <f>IF(OR(INDEX($V$2:$V$1001,MATCH(ROWS($U$2:U452),$U$2:$U$1001,0),1)&gt;=100000,INDEX($AB$1005:$AQ$1005,1,MATCH(COLUMNS($AB$1006:AQ1006),$AB$1006:$AQ$1006,0))&gt;=100000), " ",IF(INDEX($AB$2:$AQ$1001,MATCH(ROWS($U$2:U452),$U$2:$U$1001,0),MATCH(COLUMNS($AB$1006:AQ1006),$AB$1006:$AQ$1006,0)), HYPERLINK("#",""), HYPERLINK(CONCATENATE("#Metadata!", ADDRESS(INDEX($W$2:$W$1001,MATCH(ROWS($U$2:U452),$U$2:$U$1001,0),0), INDEX($AB$1004:$AQ$1004,1,MATCH(COLUMNS($AB$1006:AQ1006),$AB$1006:$AQ$1006,0)))),"Fix")))</f>
        <v>0</v>
      </c>
      <c r="U452">
        <v>0</v>
      </c>
      <c r="V452">
        <v>0</v>
      </c>
      <c r="W452">
        <v>0</v>
      </c>
      <c r="X452">
        <f>IF(Y452,TRUE,AND(AB452:AQ452))</f>
        <v>0</v>
      </c>
      <c r="Y452">
        <f>COUNTBLANK(Metadata!B452:Q452)=COLUMNS(Metadata!B452:Q452)</f>
        <v>0</v>
      </c>
      <c r="Z452">
        <v>0</v>
      </c>
      <c r="AB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AC452">
        <f>AND(IF(Metadata!C452="",FALSE,TRUE),exact(Metadata!C452,"urban biome"))</f>
        <v>0</v>
      </c>
      <c r="AD452">
        <f>AND(IF(Metadata!D452="",FALSE,TRUE),exact(Metadata!D452,"human-associated habitat"))</f>
        <v>0</v>
      </c>
      <c r="AE452">
        <f>AND(IF(Metadata!E452="",FALSE,TRUE),OR(exact(Metadata!E452,"human-associated"),exact(Metadata!E452,"human-skin"),exact(Metadata!E452,"human-oral"),exact(Metadata!E452,"human-gut"),exact(Metadata!E452,"human-vaginal")))</f>
        <v>0</v>
      </c>
      <c r="AF452">
        <f>AND(IF(Metadata!F452="",FALSE,ISNUMBER(VALUE(Metadata!F452))),Metadata!F452&gt;0)</f>
        <v>0</v>
      </c>
      <c r="AG452">
        <f>AND(IF(Metadata!G452="",FALSE,TRUE),exact(Metadata!G452,"years"))</f>
        <v>0</v>
      </c>
      <c r="AH452">
        <f>OR(AND(IF(Metadata!H452="",FALSE,TRUE),OR(exact(Metadata!H452,"not applicable"),exact(Metadata!H452,"not collected"),exact(Metadata!H452,"not provided"),exact(Metadata!H452,"restricted access"))),AND(IF(Metadata!H452="",FALSE,ISNUMBER(VALUE(Metadata!H452))),Metadata!H452&gt;0))</f>
        <v>0</v>
      </c>
      <c r="AI452">
        <f>AND(IF(Metadata!I452="",FALSE,TRUE),exact(Metadata!I452,"human"))</f>
        <v>0</v>
      </c>
      <c r="AJ452">
        <f>AND(IF(Metadata!J452="",FALSE,ISNUMBER(VALUE(Metadata!J452))),Metadata!J452&gt;0)</f>
        <v>0</v>
      </c>
      <c r="AK452">
        <f>AND(IF(Metadata!K452="",FALSE,TRUE),exact(Metadata!K452,"cm"))</f>
        <v>0</v>
      </c>
      <c r="AL452">
        <f>AND(IF(Metadata!L452="",FALSE,TRUE),exact(Metadata!L452,"Homo sapiens"))</f>
        <v>0</v>
      </c>
      <c r="AM452">
        <f>AND(IF(Metadata!M452="",FALSE,TRUE),exact(Metadata!M452,"9606"))</f>
        <v>0</v>
      </c>
      <c r="AN452">
        <f>AND(IF(Metadata!N452="",FALSE,ISNUMBER(VALUE(Metadata!N452))),Metadata!N452&gt;0)</f>
        <v>0</v>
      </c>
      <c r="AO452">
        <f>AND(IF(Metadata!O452="",FALSE,TRUE),exact(Metadata!O452,"kg"))</f>
        <v>0</v>
      </c>
      <c r="AP452">
        <f>OR(AND(IF(Metadata!P452="",FALSE,TRUE),exact(Metadata!P452,"not provided")),IF(Metadata!P452="",FALSE,TRUE))</f>
        <v>0</v>
      </c>
      <c r="AQ452">
        <f>OR(AND(IF(Metadata!Q452="",FALSE,TRUE),exact(Metadata!Q452,"not provided")),IF(Metadata!Q452="",FALSE,TRUE))</f>
        <v>0</v>
      </c>
    </row>
    <row r="453" spans="1:43">
      <c r="A453" s="4">
        <f>IF(B453=" "," ",HYPERLINK(CONCATENATE("#metadata!",ADDRESS(INDEX($W$2:$W$1001,MATCH(ROWS($U$2:U453),$U$2:$U$1001,0),0),2)),INDEX($Z$2:$Z$1001,MATCH(ROWS($U$2:U453),$U$2:$U$1001,0),0)))</f>
        <v>0</v>
      </c>
      <c r="B453" s="5">
        <f>IF(OR(INDEX($V$2:$V$1001,MATCH(ROWS($U$2:U453),$U$2:$U$1001,0),1)&gt;=100000,INDEX($AB$1005:$AQ$1005,1,MATCH(COLUMNS($AB$1006:AB1006),$AB$1006:$AQ$1006,0))&gt;=100000), " ",IF(INDEX($AB$2:$AQ$1001,MATCH(ROWS($U$2:U453),$U$2:$U$1001,0),MATCH(COLUMNS($AB$1006:AB1006),$AB$1006:$AQ$1006,0)), HYPERLINK("#",""), HYPERLINK(CONCATENATE("#Metadata!", ADDRESS(INDEX($W$2:$W$1001,MATCH(ROWS($U$2:U453),$U$2:$U$1001,0),0), INDEX($AB$1004:$AQ$1004,1,MATCH(COLUMNS($AB$1006:AB1006),$AB$1006:$AQ$1006,0)))),"Fix")))</f>
        <v>0</v>
      </c>
      <c r="C453" s="5">
        <f>IF(OR(INDEX($V$2:$V$1001,MATCH(ROWS($U$2:U453),$U$2:$U$1001,0),1)&gt;=100000,INDEX($AB$1005:$AQ$1005,1,MATCH(COLUMNS($AB$1006:AC1006),$AB$1006:$AQ$1006,0))&gt;=100000), " ",IF(INDEX($AB$2:$AQ$1001,MATCH(ROWS($U$2:U453),$U$2:$U$1001,0),MATCH(COLUMNS($AB$1006:AC1006),$AB$1006:$AQ$1006,0)), HYPERLINK("#",""), HYPERLINK(CONCATENATE("#Metadata!", ADDRESS(INDEX($W$2:$W$1001,MATCH(ROWS($U$2:U453),$U$2:$U$1001,0),0), INDEX($AB$1004:$AQ$1004,1,MATCH(COLUMNS($AB$1006:AC1006),$AB$1006:$AQ$1006,0)))),"Fix")))</f>
        <v>0</v>
      </c>
      <c r="D453" s="5">
        <f>IF(OR(INDEX($V$2:$V$1001,MATCH(ROWS($U$2:U453),$U$2:$U$1001,0),1)&gt;=100000,INDEX($AB$1005:$AQ$1005,1,MATCH(COLUMNS($AB$1006:AD1006),$AB$1006:$AQ$1006,0))&gt;=100000), " ",IF(INDEX($AB$2:$AQ$1001,MATCH(ROWS($U$2:U453),$U$2:$U$1001,0),MATCH(COLUMNS($AB$1006:AD1006),$AB$1006:$AQ$1006,0)), HYPERLINK("#",""), HYPERLINK(CONCATENATE("#Metadata!", ADDRESS(INDEX($W$2:$W$1001,MATCH(ROWS($U$2:U453),$U$2:$U$1001,0),0), INDEX($AB$1004:$AQ$1004,1,MATCH(COLUMNS($AB$1006:AD1006),$AB$1006:$AQ$1006,0)))),"Fix")))</f>
        <v>0</v>
      </c>
      <c r="E453" s="5">
        <f>IF(OR(INDEX($V$2:$V$1001,MATCH(ROWS($U$2:U453),$U$2:$U$1001,0),1)&gt;=100000,INDEX($AB$1005:$AQ$1005,1,MATCH(COLUMNS($AB$1006:AE1006),$AB$1006:$AQ$1006,0))&gt;=100000), " ",IF(INDEX($AB$2:$AQ$1001,MATCH(ROWS($U$2:U453),$U$2:$U$1001,0),MATCH(COLUMNS($AB$1006:AE1006),$AB$1006:$AQ$1006,0)), HYPERLINK("#",""), HYPERLINK(CONCATENATE("#Metadata!", ADDRESS(INDEX($W$2:$W$1001,MATCH(ROWS($U$2:U453),$U$2:$U$1001,0),0), INDEX($AB$1004:$AQ$1004,1,MATCH(COLUMNS($AB$1006:AE1006),$AB$1006:$AQ$1006,0)))),"Fix")))</f>
        <v>0</v>
      </c>
      <c r="F453" s="5">
        <f>IF(OR(INDEX($V$2:$V$1001,MATCH(ROWS($U$2:U453),$U$2:$U$1001,0),1)&gt;=100000,INDEX($AB$1005:$AQ$1005,1,MATCH(COLUMNS($AB$1006:AF1006),$AB$1006:$AQ$1006,0))&gt;=100000), " ",IF(INDEX($AB$2:$AQ$1001,MATCH(ROWS($U$2:U453),$U$2:$U$1001,0),MATCH(COLUMNS($AB$1006:AF1006),$AB$1006:$AQ$1006,0)), HYPERLINK("#",""), HYPERLINK(CONCATENATE("#Metadata!", ADDRESS(INDEX($W$2:$W$1001,MATCH(ROWS($U$2:U453),$U$2:$U$1001,0),0), INDEX($AB$1004:$AQ$1004,1,MATCH(COLUMNS($AB$1006:AF1006),$AB$1006:$AQ$1006,0)))),"Fix")))</f>
        <v>0</v>
      </c>
      <c r="G453" s="5">
        <f>IF(OR(INDEX($V$2:$V$1001,MATCH(ROWS($U$2:U453),$U$2:$U$1001,0),1)&gt;=100000,INDEX($AB$1005:$AQ$1005,1,MATCH(COLUMNS($AB$1006:AG1006),$AB$1006:$AQ$1006,0))&gt;=100000), " ",IF(INDEX($AB$2:$AQ$1001,MATCH(ROWS($U$2:U453),$U$2:$U$1001,0),MATCH(COLUMNS($AB$1006:AG1006),$AB$1006:$AQ$1006,0)), HYPERLINK("#",""), HYPERLINK(CONCATENATE("#Metadata!", ADDRESS(INDEX($W$2:$W$1001,MATCH(ROWS($U$2:U453),$U$2:$U$1001,0),0), INDEX($AB$1004:$AQ$1004,1,MATCH(COLUMNS($AB$1006:AG1006),$AB$1006:$AQ$1006,0)))),"Fix")))</f>
        <v>0</v>
      </c>
      <c r="H453" s="5">
        <f>IF(OR(INDEX($V$2:$V$1001,MATCH(ROWS($U$2:U453),$U$2:$U$1001,0),1)&gt;=100000,INDEX($AB$1005:$AQ$1005,1,MATCH(COLUMNS($AB$1006:AH1006),$AB$1006:$AQ$1006,0))&gt;=100000), " ",IF(INDEX($AB$2:$AQ$1001,MATCH(ROWS($U$2:U453),$U$2:$U$1001,0),MATCH(COLUMNS($AB$1006:AH1006),$AB$1006:$AQ$1006,0)), HYPERLINK("#",""), HYPERLINK(CONCATENATE("#Metadata!", ADDRESS(INDEX($W$2:$W$1001,MATCH(ROWS($U$2:U453),$U$2:$U$1001,0),0), INDEX($AB$1004:$AQ$1004,1,MATCH(COLUMNS($AB$1006:AH1006),$AB$1006:$AQ$1006,0)))),"Fix")))</f>
        <v>0</v>
      </c>
      <c r="I453" s="5">
        <f>IF(OR(INDEX($V$2:$V$1001,MATCH(ROWS($U$2:U453),$U$2:$U$1001,0),1)&gt;=100000,INDEX($AB$1005:$AQ$1005,1,MATCH(COLUMNS($AB$1006:AI1006),$AB$1006:$AQ$1006,0))&gt;=100000), " ",IF(INDEX($AB$2:$AQ$1001,MATCH(ROWS($U$2:U453),$U$2:$U$1001,0),MATCH(COLUMNS($AB$1006:AI1006),$AB$1006:$AQ$1006,0)), HYPERLINK("#",""), HYPERLINK(CONCATENATE("#Metadata!", ADDRESS(INDEX($W$2:$W$1001,MATCH(ROWS($U$2:U453),$U$2:$U$1001,0),0), INDEX($AB$1004:$AQ$1004,1,MATCH(COLUMNS($AB$1006:AI1006),$AB$1006:$AQ$1006,0)))),"Fix")))</f>
        <v>0</v>
      </c>
      <c r="J453" s="5">
        <f>IF(OR(INDEX($V$2:$V$1001,MATCH(ROWS($U$2:U453),$U$2:$U$1001,0),1)&gt;=100000,INDEX($AB$1005:$AQ$1005,1,MATCH(COLUMNS($AB$1006:AJ1006),$AB$1006:$AQ$1006,0))&gt;=100000), " ",IF(INDEX($AB$2:$AQ$1001,MATCH(ROWS($U$2:U453),$U$2:$U$1001,0),MATCH(COLUMNS($AB$1006:AJ1006),$AB$1006:$AQ$1006,0)), HYPERLINK("#",""), HYPERLINK(CONCATENATE("#Metadata!", ADDRESS(INDEX($W$2:$W$1001,MATCH(ROWS($U$2:U453),$U$2:$U$1001,0),0), INDEX($AB$1004:$AQ$1004,1,MATCH(COLUMNS($AB$1006:AJ1006),$AB$1006:$AQ$1006,0)))),"Fix")))</f>
        <v>0</v>
      </c>
      <c r="K453" s="5">
        <f>IF(OR(INDEX($V$2:$V$1001,MATCH(ROWS($U$2:U453),$U$2:$U$1001,0),1)&gt;=100000,INDEX($AB$1005:$AQ$1005,1,MATCH(COLUMNS($AB$1006:AK1006),$AB$1006:$AQ$1006,0))&gt;=100000), " ",IF(INDEX($AB$2:$AQ$1001,MATCH(ROWS($U$2:U453),$U$2:$U$1001,0),MATCH(COLUMNS($AB$1006:AK1006),$AB$1006:$AQ$1006,0)), HYPERLINK("#",""), HYPERLINK(CONCATENATE("#Metadata!", ADDRESS(INDEX($W$2:$W$1001,MATCH(ROWS($U$2:U453),$U$2:$U$1001,0),0), INDEX($AB$1004:$AQ$1004,1,MATCH(COLUMNS($AB$1006:AK1006),$AB$1006:$AQ$1006,0)))),"Fix")))</f>
        <v>0</v>
      </c>
      <c r="L453" s="5">
        <f>IF(OR(INDEX($V$2:$V$1001,MATCH(ROWS($U$2:U453),$U$2:$U$1001,0),1)&gt;=100000,INDEX($AB$1005:$AQ$1005,1,MATCH(COLUMNS($AB$1006:AL1006),$AB$1006:$AQ$1006,0))&gt;=100000), " ",IF(INDEX($AB$2:$AQ$1001,MATCH(ROWS($U$2:U453),$U$2:$U$1001,0),MATCH(COLUMNS($AB$1006:AL1006),$AB$1006:$AQ$1006,0)), HYPERLINK("#",""), HYPERLINK(CONCATENATE("#Metadata!", ADDRESS(INDEX($W$2:$W$1001,MATCH(ROWS($U$2:U453),$U$2:$U$1001,0),0), INDEX($AB$1004:$AQ$1004,1,MATCH(COLUMNS($AB$1006:AL1006),$AB$1006:$AQ$1006,0)))),"Fix")))</f>
        <v>0</v>
      </c>
      <c r="M453" s="5">
        <f>IF(OR(INDEX($V$2:$V$1001,MATCH(ROWS($U$2:U453),$U$2:$U$1001,0),1)&gt;=100000,INDEX($AB$1005:$AQ$1005,1,MATCH(COLUMNS($AB$1006:AM1006),$AB$1006:$AQ$1006,0))&gt;=100000), " ",IF(INDEX($AB$2:$AQ$1001,MATCH(ROWS($U$2:U453),$U$2:$U$1001,0),MATCH(COLUMNS($AB$1006:AM1006),$AB$1006:$AQ$1006,0)), HYPERLINK("#",""), HYPERLINK(CONCATENATE("#Metadata!", ADDRESS(INDEX($W$2:$W$1001,MATCH(ROWS($U$2:U453),$U$2:$U$1001,0),0), INDEX($AB$1004:$AQ$1004,1,MATCH(COLUMNS($AB$1006:AM1006),$AB$1006:$AQ$1006,0)))),"Fix")))</f>
        <v>0</v>
      </c>
      <c r="N453" s="5">
        <f>IF(OR(INDEX($V$2:$V$1001,MATCH(ROWS($U$2:U453),$U$2:$U$1001,0),1)&gt;=100000,INDEX($AB$1005:$AQ$1005,1,MATCH(COLUMNS($AB$1006:AN1006),$AB$1006:$AQ$1006,0))&gt;=100000), " ",IF(INDEX($AB$2:$AQ$1001,MATCH(ROWS($U$2:U453),$U$2:$U$1001,0),MATCH(COLUMNS($AB$1006:AN1006),$AB$1006:$AQ$1006,0)), HYPERLINK("#",""), HYPERLINK(CONCATENATE("#Metadata!", ADDRESS(INDEX($W$2:$W$1001,MATCH(ROWS($U$2:U453),$U$2:$U$1001,0),0), INDEX($AB$1004:$AQ$1004,1,MATCH(COLUMNS($AB$1006:AN1006),$AB$1006:$AQ$1006,0)))),"Fix")))</f>
        <v>0</v>
      </c>
      <c r="O453" s="5">
        <f>IF(OR(INDEX($V$2:$V$1001,MATCH(ROWS($U$2:U453),$U$2:$U$1001,0),1)&gt;=100000,INDEX($AB$1005:$AQ$1005,1,MATCH(COLUMNS($AB$1006:AO1006),$AB$1006:$AQ$1006,0))&gt;=100000), " ",IF(INDEX($AB$2:$AQ$1001,MATCH(ROWS($U$2:U453),$U$2:$U$1001,0),MATCH(COLUMNS($AB$1006:AO1006),$AB$1006:$AQ$1006,0)), HYPERLINK("#",""), HYPERLINK(CONCATENATE("#Metadata!", ADDRESS(INDEX($W$2:$W$1001,MATCH(ROWS($U$2:U453),$U$2:$U$1001,0),0), INDEX($AB$1004:$AQ$1004,1,MATCH(COLUMNS($AB$1006:AO1006),$AB$1006:$AQ$1006,0)))),"Fix")))</f>
        <v>0</v>
      </c>
      <c r="P453" s="5">
        <f>IF(OR(INDEX($V$2:$V$1001,MATCH(ROWS($U$2:U453),$U$2:$U$1001,0),1)&gt;=100000,INDEX($AB$1005:$AQ$1005,1,MATCH(COLUMNS($AB$1006:AP1006),$AB$1006:$AQ$1006,0))&gt;=100000), " ",IF(INDEX($AB$2:$AQ$1001,MATCH(ROWS($U$2:U453),$U$2:$U$1001,0),MATCH(COLUMNS($AB$1006:AP1006),$AB$1006:$AQ$1006,0)), HYPERLINK("#",""), HYPERLINK(CONCATENATE("#Metadata!", ADDRESS(INDEX($W$2:$W$1001,MATCH(ROWS($U$2:U453),$U$2:$U$1001,0),0), INDEX($AB$1004:$AQ$1004,1,MATCH(COLUMNS($AB$1006:AP1006),$AB$1006:$AQ$1006,0)))),"Fix")))</f>
        <v>0</v>
      </c>
      <c r="Q453" s="5">
        <f>IF(OR(INDEX($V$2:$V$1001,MATCH(ROWS($U$2:U453),$U$2:$U$1001,0),1)&gt;=100000,INDEX($AB$1005:$AQ$1005,1,MATCH(COLUMNS($AB$1006:AQ1006),$AB$1006:$AQ$1006,0))&gt;=100000), " ",IF(INDEX($AB$2:$AQ$1001,MATCH(ROWS($U$2:U453),$U$2:$U$1001,0),MATCH(COLUMNS($AB$1006:AQ1006),$AB$1006:$AQ$1006,0)), HYPERLINK("#",""), HYPERLINK(CONCATENATE("#Metadata!", ADDRESS(INDEX($W$2:$W$1001,MATCH(ROWS($U$2:U453),$U$2:$U$1001,0),0), INDEX($AB$1004:$AQ$1004,1,MATCH(COLUMNS($AB$1006:AQ1006),$AB$1006:$AQ$1006,0)))),"Fix")))</f>
        <v>0</v>
      </c>
      <c r="U453">
        <v>0</v>
      </c>
      <c r="V453">
        <v>0</v>
      </c>
      <c r="W453">
        <v>0</v>
      </c>
      <c r="X453">
        <f>IF(Y453,TRUE,AND(AB453:AQ453))</f>
        <v>0</v>
      </c>
      <c r="Y453">
        <f>COUNTBLANK(Metadata!B453:Q453)=COLUMNS(Metadata!B453:Q453)</f>
        <v>0</v>
      </c>
      <c r="Z453">
        <v>0</v>
      </c>
      <c r="AB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AC453">
        <f>AND(IF(Metadata!C453="",FALSE,TRUE),exact(Metadata!C453,"urban biome"))</f>
        <v>0</v>
      </c>
      <c r="AD453">
        <f>AND(IF(Metadata!D453="",FALSE,TRUE),exact(Metadata!D453,"human-associated habitat"))</f>
        <v>0</v>
      </c>
      <c r="AE453">
        <f>AND(IF(Metadata!E453="",FALSE,TRUE),OR(exact(Metadata!E453,"human-associated"),exact(Metadata!E453,"human-skin"),exact(Metadata!E453,"human-oral"),exact(Metadata!E453,"human-gut"),exact(Metadata!E453,"human-vaginal")))</f>
        <v>0</v>
      </c>
      <c r="AF453">
        <f>AND(IF(Metadata!F453="",FALSE,ISNUMBER(VALUE(Metadata!F453))),Metadata!F453&gt;0)</f>
        <v>0</v>
      </c>
      <c r="AG453">
        <f>AND(IF(Metadata!G453="",FALSE,TRUE),exact(Metadata!G453,"years"))</f>
        <v>0</v>
      </c>
      <c r="AH453">
        <f>OR(AND(IF(Metadata!H453="",FALSE,TRUE),OR(exact(Metadata!H453,"not applicable"),exact(Metadata!H453,"not collected"),exact(Metadata!H453,"not provided"),exact(Metadata!H453,"restricted access"))),AND(IF(Metadata!H453="",FALSE,ISNUMBER(VALUE(Metadata!H453))),Metadata!H453&gt;0))</f>
        <v>0</v>
      </c>
      <c r="AI453">
        <f>AND(IF(Metadata!I453="",FALSE,TRUE),exact(Metadata!I453,"human"))</f>
        <v>0</v>
      </c>
      <c r="AJ453">
        <f>AND(IF(Metadata!J453="",FALSE,ISNUMBER(VALUE(Metadata!J453))),Metadata!J453&gt;0)</f>
        <v>0</v>
      </c>
      <c r="AK453">
        <f>AND(IF(Metadata!K453="",FALSE,TRUE),exact(Metadata!K453,"cm"))</f>
        <v>0</v>
      </c>
      <c r="AL453">
        <f>AND(IF(Metadata!L453="",FALSE,TRUE),exact(Metadata!L453,"Homo sapiens"))</f>
        <v>0</v>
      </c>
      <c r="AM453">
        <f>AND(IF(Metadata!M453="",FALSE,TRUE),exact(Metadata!M453,"9606"))</f>
        <v>0</v>
      </c>
      <c r="AN453">
        <f>AND(IF(Metadata!N453="",FALSE,ISNUMBER(VALUE(Metadata!N453))),Metadata!N453&gt;0)</f>
        <v>0</v>
      </c>
      <c r="AO453">
        <f>AND(IF(Metadata!O453="",FALSE,TRUE),exact(Metadata!O453,"kg"))</f>
        <v>0</v>
      </c>
      <c r="AP453">
        <f>OR(AND(IF(Metadata!P453="",FALSE,TRUE),exact(Metadata!P453,"not provided")),IF(Metadata!P453="",FALSE,TRUE))</f>
        <v>0</v>
      </c>
      <c r="AQ453">
        <f>OR(AND(IF(Metadata!Q453="",FALSE,TRUE),exact(Metadata!Q453,"not provided")),IF(Metadata!Q453="",FALSE,TRUE))</f>
        <v>0</v>
      </c>
    </row>
    <row r="454" spans="1:43">
      <c r="A454" s="4">
        <f>IF(B454=" "," ",HYPERLINK(CONCATENATE("#metadata!",ADDRESS(INDEX($W$2:$W$1001,MATCH(ROWS($U$2:U454),$U$2:$U$1001,0),0),2)),INDEX($Z$2:$Z$1001,MATCH(ROWS($U$2:U454),$U$2:$U$1001,0),0)))</f>
        <v>0</v>
      </c>
      <c r="B454" s="5">
        <f>IF(OR(INDEX($V$2:$V$1001,MATCH(ROWS($U$2:U454),$U$2:$U$1001,0),1)&gt;=100000,INDEX($AB$1005:$AQ$1005,1,MATCH(COLUMNS($AB$1006:AB1006),$AB$1006:$AQ$1006,0))&gt;=100000), " ",IF(INDEX($AB$2:$AQ$1001,MATCH(ROWS($U$2:U454),$U$2:$U$1001,0),MATCH(COLUMNS($AB$1006:AB1006),$AB$1006:$AQ$1006,0)), HYPERLINK("#",""), HYPERLINK(CONCATENATE("#Metadata!", ADDRESS(INDEX($W$2:$W$1001,MATCH(ROWS($U$2:U454),$U$2:$U$1001,0),0), INDEX($AB$1004:$AQ$1004,1,MATCH(COLUMNS($AB$1006:AB1006),$AB$1006:$AQ$1006,0)))),"Fix")))</f>
        <v>0</v>
      </c>
      <c r="C454" s="5">
        <f>IF(OR(INDEX($V$2:$V$1001,MATCH(ROWS($U$2:U454),$U$2:$U$1001,0),1)&gt;=100000,INDEX($AB$1005:$AQ$1005,1,MATCH(COLUMNS($AB$1006:AC1006),$AB$1006:$AQ$1006,0))&gt;=100000), " ",IF(INDEX($AB$2:$AQ$1001,MATCH(ROWS($U$2:U454),$U$2:$U$1001,0),MATCH(COLUMNS($AB$1006:AC1006),$AB$1006:$AQ$1006,0)), HYPERLINK("#",""), HYPERLINK(CONCATENATE("#Metadata!", ADDRESS(INDEX($W$2:$W$1001,MATCH(ROWS($U$2:U454),$U$2:$U$1001,0),0), INDEX($AB$1004:$AQ$1004,1,MATCH(COLUMNS($AB$1006:AC1006),$AB$1006:$AQ$1006,0)))),"Fix")))</f>
        <v>0</v>
      </c>
      <c r="D454" s="5">
        <f>IF(OR(INDEX($V$2:$V$1001,MATCH(ROWS($U$2:U454),$U$2:$U$1001,0),1)&gt;=100000,INDEX($AB$1005:$AQ$1005,1,MATCH(COLUMNS($AB$1006:AD1006),$AB$1006:$AQ$1006,0))&gt;=100000), " ",IF(INDEX($AB$2:$AQ$1001,MATCH(ROWS($U$2:U454),$U$2:$U$1001,0),MATCH(COLUMNS($AB$1006:AD1006),$AB$1006:$AQ$1006,0)), HYPERLINK("#",""), HYPERLINK(CONCATENATE("#Metadata!", ADDRESS(INDEX($W$2:$W$1001,MATCH(ROWS($U$2:U454),$U$2:$U$1001,0),0), INDEX($AB$1004:$AQ$1004,1,MATCH(COLUMNS($AB$1006:AD1006),$AB$1006:$AQ$1006,0)))),"Fix")))</f>
        <v>0</v>
      </c>
      <c r="E454" s="5">
        <f>IF(OR(INDEX($V$2:$V$1001,MATCH(ROWS($U$2:U454),$U$2:$U$1001,0),1)&gt;=100000,INDEX($AB$1005:$AQ$1005,1,MATCH(COLUMNS($AB$1006:AE1006),$AB$1006:$AQ$1006,0))&gt;=100000), " ",IF(INDEX($AB$2:$AQ$1001,MATCH(ROWS($U$2:U454),$U$2:$U$1001,0),MATCH(COLUMNS($AB$1006:AE1006),$AB$1006:$AQ$1006,0)), HYPERLINK("#",""), HYPERLINK(CONCATENATE("#Metadata!", ADDRESS(INDEX($W$2:$W$1001,MATCH(ROWS($U$2:U454),$U$2:$U$1001,0),0), INDEX($AB$1004:$AQ$1004,1,MATCH(COLUMNS($AB$1006:AE1006),$AB$1006:$AQ$1006,0)))),"Fix")))</f>
        <v>0</v>
      </c>
      <c r="F454" s="5">
        <f>IF(OR(INDEX($V$2:$V$1001,MATCH(ROWS($U$2:U454),$U$2:$U$1001,0),1)&gt;=100000,INDEX($AB$1005:$AQ$1005,1,MATCH(COLUMNS($AB$1006:AF1006),$AB$1006:$AQ$1006,0))&gt;=100000), " ",IF(INDEX($AB$2:$AQ$1001,MATCH(ROWS($U$2:U454),$U$2:$U$1001,0),MATCH(COLUMNS($AB$1006:AF1006),$AB$1006:$AQ$1006,0)), HYPERLINK("#",""), HYPERLINK(CONCATENATE("#Metadata!", ADDRESS(INDEX($W$2:$W$1001,MATCH(ROWS($U$2:U454),$U$2:$U$1001,0),0), INDEX($AB$1004:$AQ$1004,1,MATCH(COLUMNS($AB$1006:AF1006),$AB$1006:$AQ$1006,0)))),"Fix")))</f>
        <v>0</v>
      </c>
      <c r="G454" s="5">
        <f>IF(OR(INDEX($V$2:$V$1001,MATCH(ROWS($U$2:U454),$U$2:$U$1001,0),1)&gt;=100000,INDEX($AB$1005:$AQ$1005,1,MATCH(COLUMNS($AB$1006:AG1006),$AB$1006:$AQ$1006,0))&gt;=100000), " ",IF(INDEX($AB$2:$AQ$1001,MATCH(ROWS($U$2:U454),$U$2:$U$1001,0),MATCH(COLUMNS($AB$1006:AG1006),$AB$1006:$AQ$1006,0)), HYPERLINK("#",""), HYPERLINK(CONCATENATE("#Metadata!", ADDRESS(INDEX($W$2:$W$1001,MATCH(ROWS($U$2:U454),$U$2:$U$1001,0),0), INDEX($AB$1004:$AQ$1004,1,MATCH(COLUMNS($AB$1006:AG1006),$AB$1006:$AQ$1006,0)))),"Fix")))</f>
        <v>0</v>
      </c>
      <c r="H454" s="5">
        <f>IF(OR(INDEX($V$2:$V$1001,MATCH(ROWS($U$2:U454),$U$2:$U$1001,0),1)&gt;=100000,INDEX($AB$1005:$AQ$1005,1,MATCH(COLUMNS($AB$1006:AH1006),$AB$1006:$AQ$1006,0))&gt;=100000), " ",IF(INDEX($AB$2:$AQ$1001,MATCH(ROWS($U$2:U454),$U$2:$U$1001,0),MATCH(COLUMNS($AB$1006:AH1006),$AB$1006:$AQ$1006,0)), HYPERLINK("#",""), HYPERLINK(CONCATENATE("#Metadata!", ADDRESS(INDEX($W$2:$W$1001,MATCH(ROWS($U$2:U454),$U$2:$U$1001,0),0), INDEX($AB$1004:$AQ$1004,1,MATCH(COLUMNS($AB$1006:AH1006),$AB$1006:$AQ$1006,0)))),"Fix")))</f>
        <v>0</v>
      </c>
      <c r="I454" s="5">
        <f>IF(OR(INDEX($V$2:$V$1001,MATCH(ROWS($U$2:U454),$U$2:$U$1001,0),1)&gt;=100000,INDEX($AB$1005:$AQ$1005,1,MATCH(COLUMNS($AB$1006:AI1006),$AB$1006:$AQ$1006,0))&gt;=100000), " ",IF(INDEX($AB$2:$AQ$1001,MATCH(ROWS($U$2:U454),$U$2:$U$1001,0),MATCH(COLUMNS($AB$1006:AI1006),$AB$1006:$AQ$1006,0)), HYPERLINK("#",""), HYPERLINK(CONCATENATE("#Metadata!", ADDRESS(INDEX($W$2:$W$1001,MATCH(ROWS($U$2:U454),$U$2:$U$1001,0),0), INDEX($AB$1004:$AQ$1004,1,MATCH(COLUMNS($AB$1006:AI1006),$AB$1006:$AQ$1006,0)))),"Fix")))</f>
        <v>0</v>
      </c>
      <c r="J454" s="5">
        <f>IF(OR(INDEX($V$2:$V$1001,MATCH(ROWS($U$2:U454),$U$2:$U$1001,0),1)&gt;=100000,INDEX($AB$1005:$AQ$1005,1,MATCH(COLUMNS($AB$1006:AJ1006),$AB$1006:$AQ$1006,0))&gt;=100000), " ",IF(INDEX($AB$2:$AQ$1001,MATCH(ROWS($U$2:U454),$U$2:$U$1001,0),MATCH(COLUMNS($AB$1006:AJ1006),$AB$1006:$AQ$1006,0)), HYPERLINK("#",""), HYPERLINK(CONCATENATE("#Metadata!", ADDRESS(INDEX($W$2:$W$1001,MATCH(ROWS($U$2:U454),$U$2:$U$1001,0),0), INDEX($AB$1004:$AQ$1004,1,MATCH(COLUMNS($AB$1006:AJ1006),$AB$1006:$AQ$1006,0)))),"Fix")))</f>
        <v>0</v>
      </c>
      <c r="K454" s="5">
        <f>IF(OR(INDEX($V$2:$V$1001,MATCH(ROWS($U$2:U454),$U$2:$U$1001,0),1)&gt;=100000,INDEX($AB$1005:$AQ$1005,1,MATCH(COLUMNS($AB$1006:AK1006),$AB$1006:$AQ$1006,0))&gt;=100000), " ",IF(INDEX($AB$2:$AQ$1001,MATCH(ROWS($U$2:U454),$U$2:$U$1001,0),MATCH(COLUMNS($AB$1006:AK1006),$AB$1006:$AQ$1006,0)), HYPERLINK("#",""), HYPERLINK(CONCATENATE("#Metadata!", ADDRESS(INDEX($W$2:$W$1001,MATCH(ROWS($U$2:U454),$U$2:$U$1001,0),0), INDEX($AB$1004:$AQ$1004,1,MATCH(COLUMNS($AB$1006:AK1006),$AB$1006:$AQ$1006,0)))),"Fix")))</f>
        <v>0</v>
      </c>
      <c r="L454" s="5">
        <f>IF(OR(INDEX($V$2:$V$1001,MATCH(ROWS($U$2:U454),$U$2:$U$1001,0),1)&gt;=100000,INDEX($AB$1005:$AQ$1005,1,MATCH(COLUMNS($AB$1006:AL1006),$AB$1006:$AQ$1006,0))&gt;=100000), " ",IF(INDEX($AB$2:$AQ$1001,MATCH(ROWS($U$2:U454),$U$2:$U$1001,0),MATCH(COLUMNS($AB$1006:AL1006),$AB$1006:$AQ$1006,0)), HYPERLINK("#",""), HYPERLINK(CONCATENATE("#Metadata!", ADDRESS(INDEX($W$2:$W$1001,MATCH(ROWS($U$2:U454),$U$2:$U$1001,0),0), INDEX($AB$1004:$AQ$1004,1,MATCH(COLUMNS($AB$1006:AL1006),$AB$1006:$AQ$1006,0)))),"Fix")))</f>
        <v>0</v>
      </c>
      <c r="M454" s="5">
        <f>IF(OR(INDEX($V$2:$V$1001,MATCH(ROWS($U$2:U454),$U$2:$U$1001,0),1)&gt;=100000,INDEX($AB$1005:$AQ$1005,1,MATCH(COLUMNS($AB$1006:AM1006),$AB$1006:$AQ$1006,0))&gt;=100000), " ",IF(INDEX($AB$2:$AQ$1001,MATCH(ROWS($U$2:U454),$U$2:$U$1001,0),MATCH(COLUMNS($AB$1006:AM1006),$AB$1006:$AQ$1006,0)), HYPERLINK("#",""), HYPERLINK(CONCATENATE("#Metadata!", ADDRESS(INDEX($W$2:$W$1001,MATCH(ROWS($U$2:U454),$U$2:$U$1001,0),0), INDEX($AB$1004:$AQ$1004,1,MATCH(COLUMNS($AB$1006:AM1006),$AB$1006:$AQ$1006,0)))),"Fix")))</f>
        <v>0</v>
      </c>
      <c r="N454" s="5">
        <f>IF(OR(INDEX($V$2:$V$1001,MATCH(ROWS($U$2:U454),$U$2:$U$1001,0),1)&gt;=100000,INDEX($AB$1005:$AQ$1005,1,MATCH(COLUMNS($AB$1006:AN1006),$AB$1006:$AQ$1006,0))&gt;=100000), " ",IF(INDEX($AB$2:$AQ$1001,MATCH(ROWS($U$2:U454),$U$2:$U$1001,0),MATCH(COLUMNS($AB$1006:AN1006),$AB$1006:$AQ$1006,0)), HYPERLINK("#",""), HYPERLINK(CONCATENATE("#Metadata!", ADDRESS(INDEX($W$2:$W$1001,MATCH(ROWS($U$2:U454),$U$2:$U$1001,0),0), INDEX($AB$1004:$AQ$1004,1,MATCH(COLUMNS($AB$1006:AN1006),$AB$1006:$AQ$1006,0)))),"Fix")))</f>
        <v>0</v>
      </c>
      <c r="O454" s="5">
        <f>IF(OR(INDEX($V$2:$V$1001,MATCH(ROWS($U$2:U454),$U$2:$U$1001,0),1)&gt;=100000,INDEX($AB$1005:$AQ$1005,1,MATCH(COLUMNS($AB$1006:AO1006),$AB$1006:$AQ$1006,0))&gt;=100000), " ",IF(INDEX($AB$2:$AQ$1001,MATCH(ROWS($U$2:U454),$U$2:$U$1001,0),MATCH(COLUMNS($AB$1006:AO1006),$AB$1006:$AQ$1006,0)), HYPERLINK("#",""), HYPERLINK(CONCATENATE("#Metadata!", ADDRESS(INDEX($W$2:$W$1001,MATCH(ROWS($U$2:U454),$U$2:$U$1001,0),0), INDEX($AB$1004:$AQ$1004,1,MATCH(COLUMNS($AB$1006:AO1006),$AB$1006:$AQ$1006,0)))),"Fix")))</f>
        <v>0</v>
      </c>
      <c r="P454" s="5">
        <f>IF(OR(INDEX($V$2:$V$1001,MATCH(ROWS($U$2:U454),$U$2:$U$1001,0),1)&gt;=100000,INDEX($AB$1005:$AQ$1005,1,MATCH(COLUMNS($AB$1006:AP1006),$AB$1006:$AQ$1006,0))&gt;=100000), " ",IF(INDEX($AB$2:$AQ$1001,MATCH(ROWS($U$2:U454),$U$2:$U$1001,0),MATCH(COLUMNS($AB$1006:AP1006),$AB$1006:$AQ$1006,0)), HYPERLINK("#",""), HYPERLINK(CONCATENATE("#Metadata!", ADDRESS(INDEX($W$2:$W$1001,MATCH(ROWS($U$2:U454),$U$2:$U$1001,0),0), INDEX($AB$1004:$AQ$1004,1,MATCH(COLUMNS($AB$1006:AP1006),$AB$1006:$AQ$1006,0)))),"Fix")))</f>
        <v>0</v>
      </c>
      <c r="Q454" s="5">
        <f>IF(OR(INDEX($V$2:$V$1001,MATCH(ROWS($U$2:U454),$U$2:$U$1001,0),1)&gt;=100000,INDEX($AB$1005:$AQ$1005,1,MATCH(COLUMNS($AB$1006:AQ1006),$AB$1006:$AQ$1006,0))&gt;=100000), " ",IF(INDEX($AB$2:$AQ$1001,MATCH(ROWS($U$2:U454),$U$2:$U$1001,0),MATCH(COLUMNS($AB$1006:AQ1006),$AB$1006:$AQ$1006,0)), HYPERLINK("#",""), HYPERLINK(CONCATENATE("#Metadata!", ADDRESS(INDEX($W$2:$W$1001,MATCH(ROWS($U$2:U454),$U$2:$U$1001,0),0), INDEX($AB$1004:$AQ$1004,1,MATCH(COLUMNS($AB$1006:AQ1006),$AB$1006:$AQ$1006,0)))),"Fix")))</f>
        <v>0</v>
      </c>
      <c r="U454">
        <v>0</v>
      </c>
      <c r="V454">
        <v>0</v>
      </c>
      <c r="W454">
        <v>0</v>
      </c>
      <c r="X454">
        <f>IF(Y454,TRUE,AND(AB454:AQ454))</f>
        <v>0</v>
      </c>
      <c r="Y454">
        <f>COUNTBLANK(Metadata!B454:Q454)=COLUMNS(Metadata!B454:Q454)</f>
        <v>0</v>
      </c>
      <c r="Z454">
        <v>0</v>
      </c>
      <c r="AB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AC454">
        <f>AND(IF(Metadata!C454="",FALSE,TRUE),exact(Metadata!C454,"urban biome"))</f>
        <v>0</v>
      </c>
      <c r="AD454">
        <f>AND(IF(Metadata!D454="",FALSE,TRUE),exact(Metadata!D454,"human-associated habitat"))</f>
        <v>0</v>
      </c>
      <c r="AE454">
        <f>AND(IF(Metadata!E454="",FALSE,TRUE),OR(exact(Metadata!E454,"human-associated"),exact(Metadata!E454,"human-skin"),exact(Metadata!E454,"human-oral"),exact(Metadata!E454,"human-gut"),exact(Metadata!E454,"human-vaginal")))</f>
        <v>0</v>
      </c>
      <c r="AF454">
        <f>AND(IF(Metadata!F454="",FALSE,ISNUMBER(VALUE(Metadata!F454))),Metadata!F454&gt;0)</f>
        <v>0</v>
      </c>
      <c r="AG454">
        <f>AND(IF(Metadata!G454="",FALSE,TRUE),exact(Metadata!G454,"years"))</f>
        <v>0</v>
      </c>
      <c r="AH454">
        <f>OR(AND(IF(Metadata!H454="",FALSE,TRUE),OR(exact(Metadata!H454,"not applicable"),exact(Metadata!H454,"not collected"),exact(Metadata!H454,"not provided"),exact(Metadata!H454,"restricted access"))),AND(IF(Metadata!H454="",FALSE,ISNUMBER(VALUE(Metadata!H454))),Metadata!H454&gt;0))</f>
        <v>0</v>
      </c>
      <c r="AI454">
        <f>AND(IF(Metadata!I454="",FALSE,TRUE),exact(Metadata!I454,"human"))</f>
        <v>0</v>
      </c>
      <c r="AJ454">
        <f>AND(IF(Metadata!J454="",FALSE,ISNUMBER(VALUE(Metadata!J454))),Metadata!J454&gt;0)</f>
        <v>0</v>
      </c>
      <c r="AK454">
        <f>AND(IF(Metadata!K454="",FALSE,TRUE),exact(Metadata!K454,"cm"))</f>
        <v>0</v>
      </c>
      <c r="AL454">
        <f>AND(IF(Metadata!L454="",FALSE,TRUE),exact(Metadata!L454,"Homo sapiens"))</f>
        <v>0</v>
      </c>
      <c r="AM454">
        <f>AND(IF(Metadata!M454="",FALSE,TRUE),exact(Metadata!M454,"9606"))</f>
        <v>0</v>
      </c>
      <c r="AN454">
        <f>AND(IF(Metadata!N454="",FALSE,ISNUMBER(VALUE(Metadata!N454))),Metadata!N454&gt;0)</f>
        <v>0</v>
      </c>
      <c r="AO454">
        <f>AND(IF(Metadata!O454="",FALSE,TRUE),exact(Metadata!O454,"kg"))</f>
        <v>0</v>
      </c>
      <c r="AP454">
        <f>OR(AND(IF(Metadata!P454="",FALSE,TRUE),exact(Metadata!P454,"not provided")),IF(Metadata!P454="",FALSE,TRUE))</f>
        <v>0</v>
      </c>
      <c r="AQ454">
        <f>OR(AND(IF(Metadata!Q454="",FALSE,TRUE),exact(Metadata!Q454,"not provided")),IF(Metadata!Q454="",FALSE,TRUE))</f>
        <v>0</v>
      </c>
    </row>
    <row r="455" spans="1:43">
      <c r="A455" s="4">
        <f>IF(B455=" "," ",HYPERLINK(CONCATENATE("#metadata!",ADDRESS(INDEX($W$2:$W$1001,MATCH(ROWS($U$2:U455),$U$2:$U$1001,0),0),2)),INDEX($Z$2:$Z$1001,MATCH(ROWS($U$2:U455),$U$2:$U$1001,0),0)))</f>
        <v>0</v>
      </c>
      <c r="B455" s="5">
        <f>IF(OR(INDEX($V$2:$V$1001,MATCH(ROWS($U$2:U455),$U$2:$U$1001,0),1)&gt;=100000,INDEX($AB$1005:$AQ$1005,1,MATCH(COLUMNS($AB$1006:AB1006),$AB$1006:$AQ$1006,0))&gt;=100000), " ",IF(INDEX($AB$2:$AQ$1001,MATCH(ROWS($U$2:U455),$U$2:$U$1001,0),MATCH(COLUMNS($AB$1006:AB1006),$AB$1006:$AQ$1006,0)), HYPERLINK("#",""), HYPERLINK(CONCATENATE("#Metadata!", ADDRESS(INDEX($W$2:$W$1001,MATCH(ROWS($U$2:U455),$U$2:$U$1001,0),0), INDEX($AB$1004:$AQ$1004,1,MATCH(COLUMNS($AB$1006:AB1006),$AB$1006:$AQ$1006,0)))),"Fix")))</f>
        <v>0</v>
      </c>
      <c r="C455" s="5">
        <f>IF(OR(INDEX($V$2:$V$1001,MATCH(ROWS($U$2:U455),$U$2:$U$1001,0),1)&gt;=100000,INDEX($AB$1005:$AQ$1005,1,MATCH(COLUMNS($AB$1006:AC1006),$AB$1006:$AQ$1006,0))&gt;=100000), " ",IF(INDEX($AB$2:$AQ$1001,MATCH(ROWS($U$2:U455),$U$2:$U$1001,0),MATCH(COLUMNS($AB$1006:AC1006),$AB$1006:$AQ$1006,0)), HYPERLINK("#",""), HYPERLINK(CONCATENATE("#Metadata!", ADDRESS(INDEX($W$2:$W$1001,MATCH(ROWS($U$2:U455),$U$2:$U$1001,0),0), INDEX($AB$1004:$AQ$1004,1,MATCH(COLUMNS($AB$1006:AC1006),$AB$1006:$AQ$1006,0)))),"Fix")))</f>
        <v>0</v>
      </c>
      <c r="D455" s="5">
        <f>IF(OR(INDEX($V$2:$V$1001,MATCH(ROWS($U$2:U455),$U$2:$U$1001,0),1)&gt;=100000,INDEX($AB$1005:$AQ$1005,1,MATCH(COLUMNS($AB$1006:AD1006),$AB$1006:$AQ$1006,0))&gt;=100000), " ",IF(INDEX($AB$2:$AQ$1001,MATCH(ROWS($U$2:U455),$U$2:$U$1001,0),MATCH(COLUMNS($AB$1006:AD1006),$AB$1006:$AQ$1006,0)), HYPERLINK("#",""), HYPERLINK(CONCATENATE("#Metadata!", ADDRESS(INDEX($W$2:$W$1001,MATCH(ROWS($U$2:U455),$U$2:$U$1001,0),0), INDEX($AB$1004:$AQ$1004,1,MATCH(COLUMNS($AB$1006:AD1006),$AB$1006:$AQ$1006,0)))),"Fix")))</f>
        <v>0</v>
      </c>
      <c r="E455" s="5">
        <f>IF(OR(INDEX($V$2:$V$1001,MATCH(ROWS($U$2:U455),$U$2:$U$1001,0),1)&gt;=100000,INDEX($AB$1005:$AQ$1005,1,MATCH(COLUMNS($AB$1006:AE1006),$AB$1006:$AQ$1006,0))&gt;=100000), " ",IF(INDEX($AB$2:$AQ$1001,MATCH(ROWS($U$2:U455),$U$2:$U$1001,0),MATCH(COLUMNS($AB$1006:AE1006),$AB$1006:$AQ$1006,0)), HYPERLINK("#",""), HYPERLINK(CONCATENATE("#Metadata!", ADDRESS(INDEX($W$2:$W$1001,MATCH(ROWS($U$2:U455),$U$2:$U$1001,0),0), INDEX($AB$1004:$AQ$1004,1,MATCH(COLUMNS($AB$1006:AE1006),$AB$1006:$AQ$1006,0)))),"Fix")))</f>
        <v>0</v>
      </c>
      <c r="F455" s="5">
        <f>IF(OR(INDEX($V$2:$V$1001,MATCH(ROWS($U$2:U455),$U$2:$U$1001,0),1)&gt;=100000,INDEX($AB$1005:$AQ$1005,1,MATCH(COLUMNS($AB$1006:AF1006),$AB$1006:$AQ$1006,0))&gt;=100000), " ",IF(INDEX($AB$2:$AQ$1001,MATCH(ROWS($U$2:U455),$U$2:$U$1001,0),MATCH(COLUMNS($AB$1006:AF1006),$AB$1006:$AQ$1006,0)), HYPERLINK("#",""), HYPERLINK(CONCATENATE("#Metadata!", ADDRESS(INDEX($W$2:$W$1001,MATCH(ROWS($U$2:U455),$U$2:$U$1001,0),0), INDEX($AB$1004:$AQ$1004,1,MATCH(COLUMNS($AB$1006:AF1006),$AB$1006:$AQ$1006,0)))),"Fix")))</f>
        <v>0</v>
      </c>
      <c r="G455" s="5">
        <f>IF(OR(INDEX($V$2:$V$1001,MATCH(ROWS($U$2:U455),$U$2:$U$1001,0),1)&gt;=100000,INDEX($AB$1005:$AQ$1005,1,MATCH(COLUMNS($AB$1006:AG1006),$AB$1006:$AQ$1006,0))&gt;=100000), " ",IF(INDEX($AB$2:$AQ$1001,MATCH(ROWS($U$2:U455),$U$2:$U$1001,0),MATCH(COLUMNS($AB$1006:AG1006),$AB$1006:$AQ$1006,0)), HYPERLINK("#",""), HYPERLINK(CONCATENATE("#Metadata!", ADDRESS(INDEX($W$2:$W$1001,MATCH(ROWS($U$2:U455),$U$2:$U$1001,0),0), INDEX($AB$1004:$AQ$1004,1,MATCH(COLUMNS($AB$1006:AG1006),$AB$1006:$AQ$1006,0)))),"Fix")))</f>
        <v>0</v>
      </c>
      <c r="H455" s="5">
        <f>IF(OR(INDEX($V$2:$V$1001,MATCH(ROWS($U$2:U455),$U$2:$U$1001,0),1)&gt;=100000,INDEX($AB$1005:$AQ$1005,1,MATCH(COLUMNS($AB$1006:AH1006),$AB$1006:$AQ$1006,0))&gt;=100000), " ",IF(INDEX($AB$2:$AQ$1001,MATCH(ROWS($U$2:U455),$U$2:$U$1001,0),MATCH(COLUMNS($AB$1006:AH1006),$AB$1006:$AQ$1006,0)), HYPERLINK("#",""), HYPERLINK(CONCATENATE("#Metadata!", ADDRESS(INDEX($W$2:$W$1001,MATCH(ROWS($U$2:U455),$U$2:$U$1001,0),0), INDEX($AB$1004:$AQ$1004,1,MATCH(COLUMNS($AB$1006:AH1006),$AB$1006:$AQ$1006,0)))),"Fix")))</f>
        <v>0</v>
      </c>
      <c r="I455" s="5">
        <f>IF(OR(INDEX($V$2:$V$1001,MATCH(ROWS($U$2:U455),$U$2:$U$1001,0),1)&gt;=100000,INDEX($AB$1005:$AQ$1005,1,MATCH(COLUMNS($AB$1006:AI1006),$AB$1006:$AQ$1006,0))&gt;=100000), " ",IF(INDEX($AB$2:$AQ$1001,MATCH(ROWS($U$2:U455),$U$2:$U$1001,0),MATCH(COLUMNS($AB$1006:AI1006),$AB$1006:$AQ$1006,0)), HYPERLINK("#",""), HYPERLINK(CONCATENATE("#Metadata!", ADDRESS(INDEX($W$2:$W$1001,MATCH(ROWS($U$2:U455),$U$2:$U$1001,0),0), INDEX($AB$1004:$AQ$1004,1,MATCH(COLUMNS($AB$1006:AI1006),$AB$1006:$AQ$1006,0)))),"Fix")))</f>
        <v>0</v>
      </c>
      <c r="J455" s="5">
        <f>IF(OR(INDEX($V$2:$V$1001,MATCH(ROWS($U$2:U455),$U$2:$U$1001,0),1)&gt;=100000,INDEX($AB$1005:$AQ$1005,1,MATCH(COLUMNS($AB$1006:AJ1006),$AB$1006:$AQ$1006,0))&gt;=100000), " ",IF(INDEX($AB$2:$AQ$1001,MATCH(ROWS($U$2:U455),$U$2:$U$1001,0),MATCH(COLUMNS($AB$1006:AJ1006),$AB$1006:$AQ$1006,0)), HYPERLINK("#",""), HYPERLINK(CONCATENATE("#Metadata!", ADDRESS(INDEX($W$2:$W$1001,MATCH(ROWS($U$2:U455),$U$2:$U$1001,0),0), INDEX($AB$1004:$AQ$1004,1,MATCH(COLUMNS($AB$1006:AJ1006),$AB$1006:$AQ$1006,0)))),"Fix")))</f>
        <v>0</v>
      </c>
      <c r="K455" s="5">
        <f>IF(OR(INDEX($V$2:$V$1001,MATCH(ROWS($U$2:U455),$U$2:$U$1001,0),1)&gt;=100000,INDEX($AB$1005:$AQ$1005,1,MATCH(COLUMNS($AB$1006:AK1006),$AB$1006:$AQ$1006,0))&gt;=100000), " ",IF(INDEX($AB$2:$AQ$1001,MATCH(ROWS($U$2:U455),$U$2:$U$1001,0),MATCH(COLUMNS($AB$1006:AK1006),$AB$1006:$AQ$1006,0)), HYPERLINK("#",""), HYPERLINK(CONCATENATE("#Metadata!", ADDRESS(INDEX($W$2:$W$1001,MATCH(ROWS($U$2:U455),$U$2:$U$1001,0),0), INDEX($AB$1004:$AQ$1004,1,MATCH(COLUMNS($AB$1006:AK1006),$AB$1006:$AQ$1006,0)))),"Fix")))</f>
        <v>0</v>
      </c>
      <c r="L455" s="5">
        <f>IF(OR(INDEX($V$2:$V$1001,MATCH(ROWS($U$2:U455),$U$2:$U$1001,0),1)&gt;=100000,INDEX($AB$1005:$AQ$1005,1,MATCH(COLUMNS($AB$1006:AL1006),$AB$1006:$AQ$1006,0))&gt;=100000), " ",IF(INDEX($AB$2:$AQ$1001,MATCH(ROWS($U$2:U455),$U$2:$U$1001,0),MATCH(COLUMNS($AB$1006:AL1006),$AB$1006:$AQ$1006,0)), HYPERLINK("#",""), HYPERLINK(CONCATENATE("#Metadata!", ADDRESS(INDEX($W$2:$W$1001,MATCH(ROWS($U$2:U455),$U$2:$U$1001,0),0), INDEX($AB$1004:$AQ$1004,1,MATCH(COLUMNS($AB$1006:AL1006),$AB$1006:$AQ$1006,0)))),"Fix")))</f>
        <v>0</v>
      </c>
      <c r="M455" s="5">
        <f>IF(OR(INDEX($V$2:$V$1001,MATCH(ROWS($U$2:U455),$U$2:$U$1001,0),1)&gt;=100000,INDEX($AB$1005:$AQ$1005,1,MATCH(COLUMNS($AB$1006:AM1006),$AB$1006:$AQ$1006,0))&gt;=100000), " ",IF(INDEX($AB$2:$AQ$1001,MATCH(ROWS($U$2:U455),$U$2:$U$1001,0),MATCH(COLUMNS($AB$1006:AM1006),$AB$1006:$AQ$1006,0)), HYPERLINK("#",""), HYPERLINK(CONCATENATE("#Metadata!", ADDRESS(INDEX($W$2:$W$1001,MATCH(ROWS($U$2:U455),$U$2:$U$1001,0),0), INDEX($AB$1004:$AQ$1004,1,MATCH(COLUMNS($AB$1006:AM1006),$AB$1006:$AQ$1006,0)))),"Fix")))</f>
        <v>0</v>
      </c>
      <c r="N455" s="5">
        <f>IF(OR(INDEX($V$2:$V$1001,MATCH(ROWS($U$2:U455),$U$2:$U$1001,0),1)&gt;=100000,INDEX($AB$1005:$AQ$1005,1,MATCH(COLUMNS($AB$1006:AN1006),$AB$1006:$AQ$1006,0))&gt;=100000), " ",IF(INDEX($AB$2:$AQ$1001,MATCH(ROWS($U$2:U455),$U$2:$U$1001,0),MATCH(COLUMNS($AB$1006:AN1006),$AB$1006:$AQ$1006,0)), HYPERLINK("#",""), HYPERLINK(CONCATENATE("#Metadata!", ADDRESS(INDEX($W$2:$W$1001,MATCH(ROWS($U$2:U455),$U$2:$U$1001,0),0), INDEX($AB$1004:$AQ$1004,1,MATCH(COLUMNS($AB$1006:AN1006),$AB$1006:$AQ$1006,0)))),"Fix")))</f>
        <v>0</v>
      </c>
      <c r="O455" s="5">
        <f>IF(OR(INDEX($V$2:$V$1001,MATCH(ROWS($U$2:U455),$U$2:$U$1001,0),1)&gt;=100000,INDEX($AB$1005:$AQ$1005,1,MATCH(COLUMNS($AB$1006:AO1006),$AB$1006:$AQ$1006,0))&gt;=100000), " ",IF(INDEX($AB$2:$AQ$1001,MATCH(ROWS($U$2:U455),$U$2:$U$1001,0),MATCH(COLUMNS($AB$1006:AO1006),$AB$1006:$AQ$1006,0)), HYPERLINK("#",""), HYPERLINK(CONCATENATE("#Metadata!", ADDRESS(INDEX($W$2:$W$1001,MATCH(ROWS($U$2:U455),$U$2:$U$1001,0),0), INDEX($AB$1004:$AQ$1004,1,MATCH(COLUMNS($AB$1006:AO1006),$AB$1006:$AQ$1006,0)))),"Fix")))</f>
        <v>0</v>
      </c>
      <c r="P455" s="5">
        <f>IF(OR(INDEX($V$2:$V$1001,MATCH(ROWS($U$2:U455),$U$2:$U$1001,0),1)&gt;=100000,INDEX($AB$1005:$AQ$1005,1,MATCH(COLUMNS($AB$1006:AP1006),$AB$1006:$AQ$1006,0))&gt;=100000), " ",IF(INDEX($AB$2:$AQ$1001,MATCH(ROWS($U$2:U455),$U$2:$U$1001,0),MATCH(COLUMNS($AB$1006:AP1006),$AB$1006:$AQ$1006,0)), HYPERLINK("#",""), HYPERLINK(CONCATENATE("#Metadata!", ADDRESS(INDEX($W$2:$W$1001,MATCH(ROWS($U$2:U455),$U$2:$U$1001,0),0), INDEX($AB$1004:$AQ$1004,1,MATCH(COLUMNS($AB$1006:AP1006),$AB$1006:$AQ$1006,0)))),"Fix")))</f>
        <v>0</v>
      </c>
      <c r="Q455" s="5">
        <f>IF(OR(INDEX($V$2:$V$1001,MATCH(ROWS($U$2:U455),$U$2:$U$1001,0),1)&gt;=100000,INDEX($AB$1005:$AQ$1005,1,MATCH(COLUMNS($AB$1006:AQ1006),$AB$1006:$AQ$1006,0))&gt;=100000), " ",IF(INDEX($AB$2:$AQ$1001,MATCH(ROWS($U$2:U455),$U$2:$U$1001,0),MATCH(COLUMNS($AB$1006:AQ1006),$AB$1006:$AQ$1006,0)), HYPERLINK("#",""), HYPERLINK(CONCATENATE("#Metadata!", ADDRESS(INDEX($W$2:$W$1001,MATCH(ROWS($U$2:U455),$U$2:$U$1001,0),0), INDEX($AB$1004:$AQ$1004,1,MATCH(COLUMNS($AB$1006:AQ1006),$AB$1006:$AQ$1006,0)))),"Fix")))</f>
        <v>0</v>
      </c>
      <c r="U455">
        <v>0</v>
      </c>
      <c r="V455">
        <v>0</v>
      </c>
      <c r="W455">
        <v>0</v>
      </c>
      <c r="X455">
        <f>IF(Y455,TRUE,AND(AB455:AQ455))</f>
        <v>0</v>
      </c>
      <c r="Y455">
        <f>COUNTBLANK(Metadata!B455:Q455)=COLUMNS(Metadata!B455:Q455)</f>
        <v>0</v>
      </c>
      <c r="Z455">
        <v>0</v>
      </c>
      <c r="AB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AC455">
        <f>AND(IF(Metadata!C455="",FALSE,TRUE),exact(Metadata!C455,"urban biome"))</f>
        <v>0</v>
      </c>
      <c r="AD455">
        <f>AND(IF(Metadata!D455="",FALSE,TRUE),exact(Metadata!D455,"human-associated habitat"))</f>
        <v>0</v>
      </c>
      <c r="AE455">
        <f>AND(IF(Metadata!E455="",FALSE,TRUE),OR(exact(Metadata!E455,"human-associated"),exact(Metadata!E455,"human-skin"),exact(Metadata!E455,"human-oral"),exact(Metadata!E455,"human-gut"),exact(Metadata!E455,"human-vaginal")))</f>
        <v>0</v>
      </c>
      <c r="AF455">
        <f>AND(IF(Metadata!F455="",FALSE,ISNUMBER(VALUE(Metadata!F455))),Metadata!F455&gt;0)</f>
        <v>0</v>
      </c>
      <c r="AG455">
        <f>AND(IF(Metadata!G455="",FALSE,TRUE),exact(Metadata!G455,"years"))</f>
        <v>0</v>
      </c>
      <c r="AH455">
        <f>OR(AND(IF(Metadata!H455="",FALSE,TRUE),OR(exact(Metadata!H455,"not applicable"),exact(Metadata!H455,"not collected"),exact(Metadata!H455,"not provided"),exact(Metadata!H455,"restricted access"))),AND(IF(Metadata!H455="",FALSE,ISNUMBER(VALUE(Metadata!H455))),Metadata!H455&gt;0))</f>
        <v>0</v>
      </c>
      <c r="AI455">
        <f>AND(IF(Metadata!I455="",FALSE,TRUE),exact(Metadata!I455,"human"))</f>
        <v>0</v>
      </c>
      <c r="AJ455">
        <f>AND(IF(Metadata!J455="",FALSE,ISNUMBER(VALUE(Metadata!J455))),Metadata!J455&gt;0)</f>
        <v>0</v>
      </c>
      <c r="AK455">
        <f>AND(IF(Metadata!K455="",FALSE,TRUE),exact(Metadata!K455,"cm"))</f>
        <v>0</v>
      </c>
      <c r="AL455">
        <f>AND(IF(Metadata!L455="",FALSE,TRUE),exact(Metadata!L455,"Homo sapiens"))</f>
        <v>0</v>
      </c>
      <c r="AM455">
        <f>AND(IF(Metadata!M455="",FALSE,TRUE),exact(Metadata!M455,"9606"))</f>
        <v>0</v>
      </c>
      <c r="AN455">
        <f>AND(IF(Metadata!N455="",FALSE,ISNUMBER(VALUE(Metadata!N455))),Metadata!N455&gt;0)</f>
        <v>0</v>
      </c>
      <c r="AO455">
        <f>AND(IF(Metadata!O455="",FALSE,TRUE),exact(Metadata!O455,"kg"))</f>
        <v>0</v>
      </c>
      <c r="AP455">
        <f>OR(AND(IF(Metadata!P455="",FALSE,TRUE),exact(Metadata!P455,"not provided")),IF(Metadata!P455="",FALSE,TRUE))</f>
        <v>0</v>
      </c>
      <c r="AQ455">
        <f>OR(AND(IF(Metadata!Q455="",FALSE,TRUE),exact(Metadata!Q455,"not provided")),IF(Metadata!Q455="",FALSE,TRUE))</f>
        <v>0</v>
      </c>
    </row>
    <row r="456" spans="1:43">
      <c r="A456" s="4">
        <f>IF(B456=" "," ",HYPERLINK(CONCATENATE("#metadata!",ADDRESS(INDEX($W$2:$W$1001,MATCH(ROWS($U$2:U456),$U$2:$U$1001,0),0),2)),INDEX($Z$2:$Z$1001,MATCH(ROWS($U$2:U456),$U$2:$U$1001,0),0)))</f>
        <v>0</v>
      </c>
      <c r="B456" s="5">
        <f>IF(OR(INDEX($V$2:$V$1001,MATCH(ROWS($U$2:U456),$U$2:$U$1001,0),1)&gt;=100000,INDEX($AB$1005:$AQ$1005,1,MATCH(COLUMNS($AB$1006:AB1006),$AB$1006:$AQ$1006,0))&gt;=100000), " ",IF(INDEX($AB$2:$AQ$1001,MATCH(ROWS($U$2:U456),$U$2:$U$1001,0),MATCH(COLUMNS($AB$1006:AB1006),$AB$1006:$AQ$1006,0)), HYPERLINK("#",""), HYPERLINK(CONCATENATE("#Metadata!", ADDRESS(INDEX($W$2:$W$1001,MATCH(ROWS($U$2:U456),$U$2:$U$1001,0),0), INDEX($AB$1004:$AQ$1004,1,MATCH(COLUMNS($AB$1006:AB1006),$AB$1006:$AQ$1006,0)))),"Fix")))</f>
        <v>0</v>
      </c>
      <c r="C456" s="5">
        <f>IF(OR(INDEX($V$2:$V$1001,MATCH(ROWS($U$2:U456),$U$2:$U$1001,0),1)&gt;=100000,INDEX($AB$1005:$AQ$1005,1,MATCH(COLUMNS($AB$1006:AC1006),$AB$1006:$AQ$1006,0))&gt;=100000), " ",IF(INDEX($AB$2:$AQ$1001,MATCH(ROWS($U$2:U456),$U$2:$U$1001,0),MATCH(COLUMNS($AB$1006:AC1006),$AB$1006:$AQ$1006,0)), HYPERLINK("#",""), HYPERLINK(CONCATENATE("#Metadata!", ADDRESS(INDEX($W$2:$W$1001,MATCH(ROWS($U$2:U456),$U$2:$U$1001,0),0), INDEX($AB$1004:$AQ$1004,1,MATCH(COLUMNS($AB$1006:AC1006),$AB$1006:$AQ$1006,0)))),"Fix")))</f>
        <v>0</v>
      </c>
      <c r="D456" s="5">
        <f>IF(OR(INDEX($V$2:$V$1001,MATCH(ROWS($U$2:U456),$U$2:$U$1001,0),1)&gt;=100000,INDEX($AB$1005:$AQ$1005,1,MATCH(COLUMNS($AB$1006:AD1006),$AB$1006:$AQ$1006,0))&gt;=100000), " ",IF(INDEX($AB$2:$AQ$1001,MATCH(ROWS($U$2:U456),$U$2:$U$1001,0),MATCH(COLUMNS($AB$1006:AD1006),$AB$1006:$AQ$1006,0)), HYPERLINK("#",""), HYPERLINK(CONCATENATE("#Metadata!", ADDRESS(INDEX($W$2:$W$1001,MATCH(ROWS($U$2:U456),$U$2:$U$1001,0),0), INDEX($AB$1004:$AQ$1004,1,MATCH(COLUMNS($AB$1006:AD1006),$AB$1006:$AQ$1006,0)))),"Fix")))</f>
        <v>0</v>
      </c>
      <c r="E456" s="5">
        <f>IF(OR(INDEX($V$2:$V$1001,MATCH(ROWS($U$2:U456),$U$2:$U$1001,0),1)&gt;=100000,INDEX($AB$1005:$AQ$1005,1,MATCH(COLUMNS($AB$1006:AE1006),$AB$1006:$AQ$1006,0))&gt;=100000), " ",IF(INDEX($AB$2:$AQ$1001,MATCH(ROWS($U$2:U456),$U$2:$U$1001,0),MATCH(COLUMNS($AB$1006:AE1006),$AB$1006:$AQ$1006,0)), HYPERLINK("#",""), HYPERLINK(CONCATENATE("#Metadata!", ADDRESS(INDEX($W$2:$W$1001,MATCH(ROWS($U$2:U456),$U$2:$U$1001,0),0), INDEX($AB$1004:$AQ$1004,1,MATCH(COLUMNS($AB$1006:AE1006),$AB$1006:$AQ$1006,0)))),"Fix")))</f>
        <v>0</v>
      </c>
      <c r="F456" s="5">
        <f>IF(OR(INDEX($V$2:$V$1001,MATCH(ROWS($U$2:U456),$U$2:$U$1001,0),1)&gt;=100000,INDEX($AB$1005:$AQ$1005,1,MATCH(COLUMNS($AB$1006:AF1006),$AB$1006:$AQ$1006,0))&gt;=100000), " ",IF(INDEX($AB$2:$AQ$1001,MATCH(ROWS($U$2:U456),$U$2:$U$1001,0),MATCH(COLUMNS($AB$1006:AF1006),$AB$1006:$AQ$1006,0)), HYPERLINK("#",""), HYPERLINK(CONCATENATE("#Metadata!", ADDRESS(INDEX($W$2:$W$1001,MATCH(ROWS($U$2:U456),$U$2:$U$1001,0),0), INDEX($AB$1004:$AQ$1004,1,MATCH(COLUMNS($AB$1006:AF1006),$AB$1006:$AQ$1006,0)))),"Fix")))</f>
        <v>0</v>
      </c>
      <c r="G456" s="5">
        <f>IF(OR(INDEX($V$2:$V$1001,MATCH(ROWS($U$2:U456),$U$2:$U$1001,0),1)&gt;=100000,INDEX($AB$1005:$AQ$1005,1,MATCH(COLUMNS($AB$1006:AG1006),$AB$1006:$AQ$1006,0))&gt;=100000), " ",IF(INDEX($AB$2:$AQ$1001,MATCH(ROWS($U$2:U456),$U$2:$U$1001,0),MATCH(COLUMNS($AB$1006:AG1006),$AB$1006:$AQ$1006,0)), HYPERLINK("#",""), HYPERLINK(CONCATENATE("#Metadata!", ADDRESS(INDEX($W$2:$W$1001,MATCH(ROWS($U$2:U456),$U$2:$U$1001,0),0), INDEX($AB$1004:$AQ$1004,1,MATCH(COLUMNS($AB$1006:AG1006),$AB$1006:$AQ$1006,0)))),"Fix")))</f>
        <v>0</v>
      </c>
      <c r="H456" s="5">
        <f>IF(OR(INDEX($V$2:$V$1001,MATCH(ROWS($U$2:U456),$U$2:$U$1001,0),1)&gt;=100000,INDEX($AB$1005:$AQ$1005,1,MATCH(COLUMNS($AB$1006:AH1006),$AB$1006:$AQ$1006,0))&gt;=100000), " ",IF(INDEX($AB$2:$AQ$1001,MATCH(ROWS($U$2:U456),$U$2:$U$1001,0),MATCH(COLUMNS($AB$1006:AH1006),$AB$1006:$AQ$1006,0)), HYPERLINK("#",""), HYPERLINK(CONCATENATE("#Metadata!", ADDRESS(INDEX($W$2:$W$1001,MATCH(ROWS($U$2:U456),$U$2:$U$1001,0),0), INDEX($AB$1004:$AQ$1004,1,MATCH(COLUMNS($AB$1006:AH1006),$AB$1006:$AQ$1006,0)))),"Fix")))</f>
        <v>0</v>
      </c>
      <c r="I456" s="5">
        <f>IF(OR(INDEX($V$2:$V$1001,MATCH(ROWS($U$2:U456),$U$2:$U$1001,0),1)&gt;=100000,INDEX($AB$1005:$AQ$1005,1,MATCH(COLUMNS($AB$1006:AI1006),$AB$1006:$AQ$1006,0))&gt;=100000), " ",IF(INDEX($AB$2:$AQ$1001,MATCH(ROWS($U$2:U456),$U$2:$U$1001,0),MATCH(COLUMNS($AB$1006:AI1006),$AB$1006:$AQ$1006,0)), HYPERLINK("#",""), HYPERLINK(CONCATENATE("#Metadata!", ADDRESS(INDEX($W$2:$W$1001,MATCH(ROWS($U$2:U456),$U$2:$U$1001,0),0), INDEX($AB$1004:$AQ$1004,1,MATCH(COLUMNS($AB$1006:AI1006),$AB$1006:$AQ$1006,0)))),"Fix")))</f>
        <v>0</v>
      </c>
      <c r="J456" s="5">
        <f>IF(OR(INDEX($V$2:$V$1001,MATCH(ROWS($U$2:U456),$U$2:$U$1001,0),1)&gt;=100000,INDEX($AB$1005:$AQ$1005,1,MATCH(COLUMNS($AB$1006:AJ1006),$AB$1006:$AQ$1006,0))&gt;=100000), " ",IF(INDEX($AB$2:$AQ$1001,MATCH(ROWS($U$2:U456),$U$2:$U$1001,0),MATCH(COLUMNS($AB$1006:AJ1006),$AB$1006:$AQ$1006,0)), HYPERLINK("#",""), HYPERLINK(CONCATENATE("#Metadata!", ADDRESS(INDEX($W$2:$W$1001,MATCH(ROWS($U$2:U456),$U$2:$U$1001,0),0), INDEX($AB$1004:$AQ$1004,1,MATCH(COLUMNS($AB$1006:AJ1006),$AB$1006:$AQ$1006,0)))),"Fix")))</f>
        <v>0</v>
      </c>
      <c r="K456" s="5">
        <f>IF(OR(INDEX($V$2:$V$1001,MATCH(ROWS($U$2:U456),$U$2:$U$1001,0),1)&gt;=100000,INDEX($AB$1005:$AQ$1005,1,MATCH(COLUMNS($AB$1006:AK1006),$AB$1006:$AQ$1006,0))&gt;=100000), " ",IF(INDEX($AB$2:$AQ$1001,MATCH(ROWS($U$2:U456),$U$2:$U$1001,0),MATCH(COLUMNS($AB$1006:AK1006),$AB$1006:$AQ$1006,0)), HYPERLINK("#",""), HYPERLINK(CONCATENATE("#Metadata!", ADDRESS(INDEX($W$2:$W$1001,MATCH(ROWS($U$2:U456),$U$2:$U$1001,0),0), INDEX($AB$1004:$AQ$1004,1,MATCH(COLUMNS($AB$1006:AK1006),$AB$1006:$AQ$1006,0)))),"Fix")))</f>
        <v>0</v>
      </c>
      <c r="L456" s="5">
        <f>IF(OR(INDEX($V$2:$V$1001,MATCH(ROWS($U$2:U456),$U$2:$U$1001,0),1)&gt;=100000,INDEX($AB$1005:$AQ$1005,1,MATCH(COLUMNS($AB$1006:AL1006),$AB$1006:$AQ$1006,0))&gt;=100000), " ",IF(INDEX($AB$2:$AQ$1001,MATCH(ROWS($U$2:U456),$U$2:$U$1001,0),MATCH(COLUMNS($AB$1006:AL1006),$AB$1006:$AQ$1006,0)), HYPERLINK("#",""), HYPERLINK(CONCATENATE("#Metadata!", ADDRESS(INDEX($W$2:$W$1001,MATCH(ROWS($U$2:U456),$U$2:$U$1001,0),0), INDEX($AB$1004:$AQ$1004,1,MATCH(COLUMNS($AB$1006:AL1006),$AB$1006:$AQ$1006,0)))),"Fix")))</f>
        <v>0</v>
      </c>
      <c r="M456" s="5">
        <f>IF(OR(INDEX($V$2:$V$1001,MATCH(ROWS($U$2:U456),$U$2:$U$1001,0),1)&gt;=100000,INDEX($AB$1005:$AQ$1005,1,MATCH(COLUMNS($AB$1006:AM1006),$AB$1006:$AQ$1006,0))&gt;=100000), " ",IF(INDEX($AB$2:$AQ$1001,MATCH(ROWS($U$2:U456),$U$2:$U$1001,0),MATCH(COLUMNS($AB$1006:AM1006),$AB$1006:$AQ$1006,0)), HYPERLINK("#",""), HYPERLINK(CONCATENATE("#Metadata!", ADDRESS(INDEX($W$2:$W$1001,MATCH(ROWS($U$2:U456),$U$2:$U$1001,0),0), INDEX($AB$1004:$AQ$1004,1,MATCH(COLUMNS($AB$1006:AM1006),$AB$1006:$AQ$1006,0)))),"Fix")))</f>
        <v>0</v>
      </c>
      <c r="N456" s="5">
        <f>IF(OR(INDEX($V$2:$V$1001,MATCH(ROWS($U$2:U456),$U$2:$U$1001,0),1)&gt;=100000,INDEX($AB$1005:$AQ$1005,1,MATCH(COLUMNS($AB$1006:AN1006),$AB$1006:$AQ$1006,0))&gt;=100000), " ",IF(INDEX($AB$2:$AQ$1001,MATCH(ROWS($U$2:U456),$U$2:$U$1001,0),MATCH(COLUMNS($AB$1006:AN1006),$AB$1006:$AQ$1006,0)), HYPERLINK("#",""), HYPERLINK(CONCATENATE("#Metadata!", ADDRESS(INDEX($W$2:$W$1001,MATCH(ROWS($U$2:U456),$U$2:$U$1001,0),0), INDEX($AB$1004:$AQ$1004,1,MATCH(COLUMNS($AB$1006:AN1006),$AB$1006:$AQ$1006,0)))),"Fix")))</f>
        <v>0</v>
      </c>
      <c r="O456" s="5">
        <f>IF(OR(INDEX($V$2:$V$1001,MATCH(ROWS($U$2:U456),$U$2:$U$1001,0),1)&gt;=100000,INDEX($AB$1005:$AQ$1005,1,MATCH(COLUMNS($AB$1006:AO1006),$AB$1006:$AQ$1006,0))&gt;=100000), " ",IF(INDEX($AB$2:$AQ$1001,MATCH(ROWS($U$2:U456),$U$2:$U$1001,0),MATCH(COLUMNS($AB$1006:AO1006),$AB$1006:$AQ$1006,0)), HYPERLINK("#",""), HYPERLINK(CONCATENATE("#Metadata!", ADDRESS(INDEX($W$2:$W$1001,MATCH(ROWS($U$2:U456),$U$2:$U$1001,0),0), INDEX($AB$1004:$AQ$1004,1,MATCH(COLUMNS($AB$1006:AO1006),$AB$1006:$AQ$1006,0)))),"Fix")))</f>
        <v>0</v>
      </c>
      <c r="P456" s="5">
        <f>IF(OR(INDEX($V$2:$V$1001,MATCH(ROWS($U$2:U456),$U$2:$U$1001,0),1)&gt;=100000,INDEX($AB$1005:$AQ$1005,1,MATCH(COLUMNS($AB$1006:AP1006),$AB$1006:$AQ$1006,0))&gt;=100000), " ",IF(INDEX($AB$2:$AQ$1001,MATCH(ROWS($U$2:U456),$U$2:$U$1001,0),MATCH(COLUMNS($AB$1006:AP1006),$AB$1006:$AQ$1006,0)), HYPERLINK("#",""), HYPERLINK(CONCATENATE("#Metadata!", ADDRESS(INDEX($W$2:$W$1001,MATCH(ROWS($U$2:U456),$U$2:$U$1001,0),0), INDEX($AB$1004:$AQ$1004,1,MATCH(COLUMNS($AB$1006:AP1006),$AB$1006:$AQ$1006,0)))),"Fix")))</f>
        <v>0</v>
      </c>
      <c r="Q456" s="5">
        <f>IF(OR(INDEX($V$2:$V$1001,MATCH(ROWS($U$2:U456),$U$2:$U$1001,0),1)&gt;=100000,INDEX($AB$1005:$AQ$1005,1,MATCH(COLUMNS($AB$1006:AQ1006),$AB$1006:$AQ$1006,0))&gt;=100000), " ",IF(INDEX($AB$2:$AQ$1001,MATCH(ROWS($U$2:U456),$U$2:$U$1001,0),MATCH(COLUMNS($AB$1006:AQ1006),$AB$1006:$AQ$1006,0)), HYPERLINK("#",""), HYPERLINK(CONCATENATE("#Metadata!", ADDRESS(INDEX($W$2:$W$1001,MATCH(ROWS($U$2:U456),$U$2:$U$1001,0),0), INDEX($AB$1004:$AQ$1004,1,MATCH(COLUMNS($AB$1006:AQ1006),$AB$1006:$AQ$1006,0)))),"Fix")))</f>
        <v>0</v>
      </c>
      <c r="U456">
        <v>0</v>
      </c>
      <c r="V456">
        <v>0</v>
      </c>
      <c r="W456">
        <v>0</v>
      </c>
      <c r="X456">
        <f>IF(Y456,TRUE,AND(AB456:AQ456))</f>
        <v>0</v>
      </c>
      <c r="Y456">
        <f>COUNTBLANK(Metadata!B456:Q456)=COLUMNS(Metadata!B456:Q456)</f>
        <v>0</v>
      </c>
      <c r="Z456">
        <v>0</v>
      </c>
      <c r="AB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AC456">
        <f>AND(IF(Metadata!C456="",FALSE,TRUE),exact(Metadata!C456,"urban biome"))</f>
        <v>0</v>
      </c>
      <c r="AD456">
        <f>AND(IF(Metadata!D456="",FALSE,TRUE),exact(Metadata!D456,"human-associated habitat"))</f>
        <v>0</v>
      </c>
      <c r="AE456">
        <f>AND(IF(Metadata!E456="",FALSE,TRUE),OR(exact(Metadata!E456,"human-associated"),exact(Metadata!E456,"human-skin"),exact(Metadata!E456,"human-oral"),exact(Metadata!E456,"human-gut"),exact(Metadata!E456,"human-vaginal")))</f>
        <v>0</v>
      </c>
      <c r="AF456">
        <f>AND(IF(Metadata!F456="",FALSE,ISNUMBER(VALUE(Metadata!F456))),Metadata!F456&gt;0)</f>
        <v>0</v>
      </c>
      <c r="AG456">
        <f>AND(IF(Metadata!G456="",FALSE,TRUE),exact(Metadata!G456,"years"))</f>
        <v>0</v>
      </c>
      <c r="AH456">
        <f>OR(AND(IF(Metadata!H456="",FALSE,TRUE),OR(exact(Metadata!H456,"not applicable"),exact(Metadata!H456,"not collected"),exact(Metadata!H456,"not provided"),exact(Metadata!H456,"restricted access"))),AND(IF(Metadata!H456="",FALSE,ISNUMBER(VALUE(Metadata!H456))),Metadata!H456&gt;0))</f>
        <v>0</v>
      </c>
      <c r="AI456">
        <f>AND(IF(Metadata!I456="",FALSE,TRUE),exact(Metadata!I456,"human"))</f>
        <v>0</v>
      </c>
      <c r="AJ456">
        <f>AND(IF(Metadata!J456="",FALSE,ISNUMBER(VALUE(Metadata!J456))),Metadata!J456&gt;0)</f>
        <v>0</v>
      </c>
      <c r="AK456">
        <f>AND(IF(Metadata!K456="",FALSE,TRUE),exact(Metadata!K456,"cm"))</f>
        <v>0</v>
      </c>
      <c r="AL456">
        <f>AND(IF(Metadata!L456="",FALSE,TRUE),exact(Metadata!L456,"Homo sapiens"))</f>
        <v>0</v>
      </c>
      <c r="AM456">
        <f>AND(IF(Metadata!M456="",FALSE,TRUE),exact(Metadata!M456,"9606"))</f>
        <v>0</v>
      </c>
      <c r="AN456">
        <f>AND(IF(Metadata!N456="",FALSE,ISNUMBER(VALUE(Metadata!N456))),Metadata!N456&gt;0)</f>
        <v>0</v>
      </c>
      <c r="AO456">
        <f>AND(IF(Metadata!O456="",FALSE,TRUE),exact(Metadata!O456,"kg"))</f>
        <v>0</v>
      </c>
      <c r="AP456">
        <f>OR(AND(IF(Metadata!P456="",FALSE,TRUE),exact(Metadata!P456,"not provided")),IF(Metadata!P456="",FALSE,TRUE))</f>
        <v>0</v>
      </c>
      <c r="AQ456">
        <f>OR(AND(IF(Metadata!Q456="",FALSE,TRUE),exact(Metadata!Q456,"not provided")),IF(Metadata!Q456="",FALSE,TRUE))</f>
        <v>0</v>
      </c>
    </row>
    <row r="457" spans="1:43">
      <c r="A457" s="4">
        <f>IF(B457=" "," ",HYPERLINK(CONCATENATE("#metadata!",ADDRESS(INDEX($W$2:$W$1001,MATCH(ROWS($U$2:U457),$U$2:$U$1001,0),0),2)),INDEX($Z$2:$Z$1001,MATCH(ROWS($U$2:U457),$U$2:$U$1001,0),0)))</f>
        <v>0</v>
      </c>
      <c r="B457" s="5">
        <f>IF(OR(INDEX($V$2:$V$1001,MATCH(ROWS($U$2:U457),$U$2:$U$1001,0),1)&gt;=100000,INDEX($AB$1005:$AQ$1005,1,MATCH(COLUMNS($AB$1006:AB1006),$AB$1006:$AQ$1006,0))&gt;=100000), " ",IF(INDEX($AB$2:$AQ$1001,MATCH(ROWS($U$2:U457),$U$2:$U$1001,0),MATCH(COLUMNS($AB$1006:AB1006),$AB$1006:$AQ$1006,0)), HYPERLINK("#",""), HYPERLINK(CONCATENATE("#Metadata!", ADDRESS(INDEX($W$2:$W$1001,MATCH(ROWS($U$2:U457),$U$2:$U$1001,0),0), INDEX($AB$1004:$AQ$1004,1,MATCH(COLUMNS($AB$1006:AB1006),$AB$1006:$AQ$1006,0)))),"Fix")))</f>
        <v>0</v>
      </c>
      <c r="C457" s="5">
        <f>IF(OR(INDEX($V$2:$V$1001,MATCH(ROWS($U$2:U457),$U$2:$U$1001,0),1)&gt;=100000,INDEX($AB$1005:$AQ$1005,1,MATCH(COLUMNS($AB$1006:AC1006),$AB$1006:$AQ$1006,0))&gt;=100000), " ",IF(INDEX($AB$2:$AQ$1001,MATCH(ROWS($U$2:U457),$U$2:$U$1001,0),MATCH(COLUMNS($AB$1006:AC1006),$AB$1006:$AQ$1006,0)), HYPERLINK("#",""), HYPERLINK(CONCATENATE("#Metadata!", ADDRESS(INDEX($W$2:$W$1001,MATCH(ROWS($U$2:U457),$U$2:$U$1001,0),0), INDEX($AB$1004:$AQ$1004,1,MATCH(COLUMNS($AB$1006:AC1006),$AB$1006:$AQ$1006,0)))),"Fix")))</f>
        <v>0</v>
      </c>
      <c r="D457" s="5">
        <f>IF(OR(INDEX($V$2:$V$1001,MATCH(ROWS($U$2:U457),$U$2:$U$1001,0),1)&gt;=100000,INDEX($AB$1005:$AQ$1005,1,MATCH(COLUMNS($AB$1006:AD1006),$AB$1006:$AQ$1006,0))&gt;=100000), " ",IF(INDEX($AB$2:$AQ$1001,MATCH(ROWS($U$2:U457),$U$2:$U$1001,0),MATCH(COLUMNS($AB$1006:AD1006),$AB$1006:$AQ$1006,0)), HYPERLINK("#",""), HYPERLINK(CONCATENATE("#Metadata!", ADDRESS(INDEX($W$2:$W$1001,MATCH(ROWS($U$2:U457),$U$2:$U$1001,0),0), INDEX($AB$1004:$AQ$1004,1,MATCH(COLUMNS($AB$1006:AD1006),$AB$1006:$AQ$1006,0)))),"Fix")))</f>
        <v>0</v>
      </c>
      <c r="E457" s="5">
        <f>IF(OR(INDEX($V$2:$V$1001,MATCH(ROWS($U$2:U457),$U$2:$U$1001,0),1)&gt;=100000,INDEX($AB$1005:$AQ$1005,1,MATCH(COLUMNS($AB$1006:AE1006),$AB$1006:$AQ$1006,0))&gt;=100000), " ",IF(INDEX($AB$2:$AQ$1001,MATCH(ROWS($U$2:U457),$U$2:$U$1001,0),MATCH(COLUMNS($AB$1006:AE1006),$AB$1006:$AQ$1006,0)), HYPERLINK("#",""), HYPERLINK(CONCATENATE("#Metadata!", ADDRESS(INDEX($W$2:$W$1001,MATCH(ROWS($U$2:U457),$U$2:$U$1001,0),0), INDEX($AB$1004:$AQ$1004,1,MATCH(COLUMNS($AB$1006:AE1006),$AB$1006:$AQ$1006,0)))),"Fix")))</f>
        <v>0</v>
      </c>
      <c r="F457" s="5">
        <f>IF(OR(INDEX($V$2:$V$1001,MATCH(ROWS($U$2:U457),$U$2:$U$1001,0),1)&gt;=100000,INDEX($AB$1005:$AQ$1005,1,MATCH(COLUMNS($AB$1006:AF1006),$AB$1006:$AQ$1006,0))&gt;=100000), " ",IF(INDEX($AB$2:$AQ$1001,MATCH(ROWS($U$2:U457),$U$2:$U$1001,0),MATCH(COLUMNS($AB$1006:AF1006),$AB$1006:$AQ$1006,0)), HYPERLINK("#",""), HYPERLINK(CONCATENATE("#Metadata!", ADDRESS(INDEX($W$2:$W$1001,MATCH(ROWS($U$2:U457),$U$2:$U$1001,0),0), INDEX($AB$1004:$AQ$1004,1,MATCH(COLUMNS($AB$1006:AF1006),$AB$1006:$AQ$1006,0)))),"Fix")))</f>
        <v>0</v>
      </c>
      <c r="G457" s="5">
        <f>IF(OR(INDEX($V$2:$V$1001,MATCH(ROWS($U$2:U457),$U$2:$U$1001,0),1)&gt;=100000,INDEX($AB$1005:$AQ$1005,1,MATCH(COLUMNS($AB$1006:AG1006),$AB$1006:$AQ$1006,0))&gt;=100000), " ",IF(INDEX($AB$2:$AQ$1001,MATCH(ROWS($U$2:U457),$U$2:$U$1001,0),MATCH(COLUMNS($AB$1006:AG1006),$AB$1006:$AQ$1006,0)), HYPERLINK("#",""), HYPERLINK(CONCATENATE("#Metadata!", ADDRESS(INDEX($W$2:$W$1001,MATCH(ROWS($U$2:U457),$U$2:$U$1001,0),0), INDEX($AB$1004:$AQ$1004,1,MATCH(COLUMNS($AB$1006:AG1006),$AB$1006:$AQ$1006,0)))),"Fix")))</f>
        <v>0</v>
      </c>
      <c r="H457" s="5">
        <f>IF(OR(INDEX($V$2:$V$1001,MATCH(ROWS($U$2:U457),$U$2:$U$1001,0),1)&gt;=100000,INDEX($AB$1005:$AQ$1005,1,MATCH(COLUMNS($AB$1006:AH1006),$AB$1006:$AQ$1006,0))&gt;=100000), " ",IF(INDEX($AB$2:$AQ$1001,MATCH(ROWS($U$2:U457),$U$2:$U$1001,0),MATCH(COLUMNS($AB$1006:AH1006),$AB$1006:$AQ$1006,0)), HYPERLINK("#",""), HYPERLINK(CONCATENATE("#Metadata!", ADDRESS(INDEX($W$2:$W$1001,MATCH(ROWS($U$2:U457),$U$2:$U$1001,0),0), INDEX($AB$1004:$AQ$1004,1,MATCH(COLUMNS($AB$1006:AH1006),$AB$1006:$AQ$1006,0)))),"Fix")))</f>
        <v>0</v>
      </c>
      <c r="I457" s="5">
        <f>IF(OR(INDEX($V$2:$V$1001,MATCH(ROWS($U$2:U457),$U$2:$U$1001,0),1)&gt;=100000,INDEX($AB$1005:$AQ$1005,1,MATCH(COLUMNS($AB$1006:AI1006),$AB$1006:$AQ$1006,0))&gt;=100000), " ",IF(INDEX($AB$2:$AQ$1001,MATCH(ROWS($U$2:U457),$U$2:$U$1001,0),MATCH(COLUMNS($AB$1006:AI1006),$AB$1006:$AQ$1006,0)), HYPERLINK("#",""), HYPERLINK(CONCATENATE("#Metadata!", ADDRESS(INDEX($W$2:$W$1001,MATCH(ROWS($U$2:U457),$U$2:$U$1001,0),0), INDEX($AB$1004:$AQ$1004,1,MATCH(COLUMNS($AB$1006:AI1006),$AB$1006:$AQ$1006,0)))),"Fix")))</f>
        <v>0</v>
      </c>
      <c r="J457" s="5">
        <f>IF(OR(INDEX($V$2:$V$1001,MATCH(ROWS($U$2:U457),$U$2:$U$1001,0),1)&gt;=100000,INDEX($AB$1005:$AQ$1005,1,MATCH(COLUMNS($AB$1006:AJ1006),$AB$1006:$AQ$1006,0))&gt;=100000), " ",IF(INDEX($AB$2:$AQ$1001,MATCH(ROWS($U$2:U457),$U$2:$U$1001,0),MATCH(COLUMNS($AB$1006:AJ1006),$AB$1006:$AQ$1006,0)), HYPERLINK("#",""), HYPERLINK(CONCATENATE("#Metadata!", ADDRESS(INDEX($W$2:$W$1001,MATCH(ROWS($U$2:U457),$U$2:$U$1001,0),0), INDEX($AB$1004:$AQ$1004,1,MATCH(COLUMNS($AB$1006:AJ1006),$AB$1006:$AQ$1006,0)))),"Fix")))</f>
        <v>0</v>
      </c>
      <c r="K457" s="5">
        <f>IF(OR(INDEX($V$2:$V$1001,MATCH(ROWS($U$2:U457),$U$2:$U$1001,0),1)&gt;=100000,INDEX($AB$1005:$AQ$1005,1,MATCH(COLUMNS($AB$1006:AK1006),$AB$1006:$AQ$1006,0))&gt;=100000), " ",IF(INDEX($AB$2:$AQ$1001,MATCH(ROWS($U$2:U457),$U$2:$U$1001,0),MATCH(COLUMNS($AB$1006:AK1006),$AB$1006:$AQ$1006,0)), HYPERLINK("#",""), HYPERLINK(CONCATENATE("#Metadata!", ADDRESS(INDEX($W$2:$W$1001,MATCH(ROWS($U$2:U457),$U$2:$U$1001,0),0), INDEX($AB$1004:$AQ$1004,1,MATCH(COLUMNS($AB$1006:AK1006),$AB$1006:$AQ$1006,0)))),"Fix")))</f>
        <v>0</v>
      </c>
      <c r="L457" s="5">
        <f>IF(OR(INDEX($V$2:$V$1001,MATCH(ROWS($U$2:U457),$U$2:$U$1001,0),1)&gt;=100000,INDEX($AB$1005:$AQ$1005,1,MATCH(COLUMNS($AB$1006:AL1006),$AB$1006:$AQ$1006,0))&gt;=100000), " ",IF(INDEX($AB$2:$AQ$1001,MATCH(ROWS($U$2:U457),$U$2:$U$1001,0),MATCH(COLUMNS($AB$1006:AL1006),$AB$1006:$AQ$1006,0)), HYPERLINK("#",""), HYPERLINK(CONCATENATE("#Metadata!", ADDRESS(INDEX($W$2:$W$1001,MATCH(ROWS($U$2:U457),$U$2:$U$1001,0),0), INDEX($AB$1004:$AQ$1004,1,MATCH(COLUMNS($AB$1006:AL1006),$AB$1006:$AQ$1006,0)))),"Fix")))</f>
        <v>0</v>
      </c>
      <c r="M457" s="5">
        <f>IF(OR(INDEX($V$2:$V$1001,MATCH(ROWS($U$2:U457),$U$2:$U$1001,0),1)&gt;=100000,INDEX($AB$1005:$AQ$1005,1,MATCH(COLUMNS($AB$1006:AM1006),$AB$1006:$AQ$1006,0))&gt;=100000), " ",IF(INDEX($AB$2:$AQ$1001,MATCH(ROWS($U$2:U457),$U$2:$U$1001,0),MATCH(COLUMNS($AB$1006:AM1006),$AB$1006:$AQ$1006,0)), HYPERLINK("#",""), HYPERLINK(CONCATENATE("#Metadata!", ADDRESS(INDEX($W$2:$W$1001,MATCH(ROWS($U$2:U457),$U$2:$U$1001,0),0), INDEX($AB$1004:$AQ$1004,1,MATCH(COLUMNS($AB$1006:AM1006),$AB$1006:$AQ$1006,0)))),"Fix")))</f>
        <v>0</v>
      </c>
      <c r="N457" s="5">
        <f>IF(OR(INDEX($V$2:$V$1001,MATCH(ROWS($U$2:U457),$U$2:$U$1001,0),1)&gt;=100000,INDEX($AB$1005:$AQ$1005,1,MATCH(COLUMNS($AB$1006:AN1006),$AB$1006:$AQ$1006,0))&gt;=100000), " ",IF(INDEX($AB$2:$AQ$1001,MATCH(ROWS($U$2:U457),$U$2:$U$1001,0),MATCH(COLUMNS($AB$1006:AN1006),$AB$1006:$AQ$1006,0)), HYPERLINK("#",""), HYPERLINK(CONCATENATE("#Metadata!", ADDRESS(INDEX($W$2:$W$1001,MATCH(ROWS($U$2:U457),$U$2:$U$1001,0),0), INDEX($AB$1004:$AQ$1004,1,MATCH(COLUMNS($AB$1006:AN1006),$AB$1006:$AQ$1006,0)))),"Fix")))</f>
        <v>0</v>
      </c>
      <c r="O457" s="5">
        <f>IF(OR(INDEX($V$2:$V$1001,MATCH(ROWS($U$2:U457),$U$2:$U$1001,0),1)&gt;=100000,INDEX($AB$1005:$AQ$1005,1,MATCH(COLUMNS($AB$1006:AO1006),$AB$1006:$AQ$1006,0))&gt;=100000), " ",IF(INDEX($AB$2:$AQ$1001,MATCH(ROWS($U$2:U457),$U$2:$U$1001,0),MATCH(COLUMNS($AB$1006:AO1006),$AB$1006:$AQ$1006,0)), HYPERLINK("#",""), HYPERLINK(CONCATENATE("#Metadata!", ADDRESS(INDEX($W$2:$W$1001,MATCH(ROWS($U$2:U457),$U$2:$U$1001,0),0), INDEX($AB$1004:$AQ$1004,1,MATCH(COLUMNS($AB$1006:AO1006),$AB$1006:$AQ$1006,0)))),"Fix")))</f>
        <v>0</v>
      </c>
      <c r="P457" s="5">
        <f>IF(OR(INDEX($V$2:$V$1001,MATCH(ROWS($U$2:U457),$U$2:$U$1001,0),1)&gt;=100000,INDEX($AB$1005:$AQ$1005,1,MATCH(COLUMNS($AB$1006:AP1006),$AB$1006:$AQ$1006,0))&gt;=100000), " ",IF(INDEX($AB$2:$AQ$1001,MATCH(ROWS($U$2:U457),$U$2:$U$1001,0),MATCH(COLUMNS($AB$1006:AP1006),$AB$1006:$AQ$1006,0)), HYPERLINK("#",""), HYPERLINK(CONCATENATE("#Metadata!", ADDRESS(INDEX($W$2:$W$1001,MATCH(ROWS($U$2:U457),$U$2:$U$1001,0),0), INDEX($AB$1004:$AQ$1004,1,MATCH(COLUMNS($AB$1006:AP1006),$AB$1006:$AQ$1006,0)))),"Fix")))</f>
        <v>0</v>
      </c>
      <c r="Q457" s="5">
        <f>IF(OR(INDEX($V$2:$V$1001,MATCH(ROWS($U$2:U457),$U$2:$U$1001,0),1)&gt;=100000,INDEX($AB$1005:$AQ$1005,1,MATCH(COLUMNS($AB$1006:AQ1006),$AB$1006:$AQ$1006,0))&gt;=100000), " ",IF(INDEX($AB$2:$AQ$1001,MATCH(ROWS($U$2:U457),$U$2:$U$1001,0),MATCH(COLUMNS($AB$1006:AQ1006),$AB$1006:$AQ$1006,0)), HYPERLINK("#",""), HYPERLINK(CONCATENATE("#Metadata!", ADDRESS(INDEX($W$2:$W$1001,MATCH(ROWS($U$2:U457),$U$2:$U$1001,0),0), INDEX($AB$1004:$AQ$1004,1,MATCH(COLUMNS($AB$1006:AQ1006),$AB$1006:$AQ$1006,0)))),"Fix")))</f>
        <v>0</v>
      </c>
      <c r="U457">
        <v>0</v>
      </c>
      <c r="V457">
        <v>0</v>
      </c>
      <c r="W457">
        <v>0</v>
      </c>
      <c r="X457">
        <f>IF(Y457,TRUE,AND(AB457:AQ457))</f>
        <v>0</v>
      </c>
      <c r="Y457">
        <f>COUNTBLANK(Metadata!B457:Q457)=COLUMNS(Metadata!B457:Q457)</f>
        <v>0</v>
      </c>
      <c r="Z457">
        <v>0</v>
      </c>
      <c r="AB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AC457">
        <f>AND(IF(Metadata!C457="",FALSE,TRUE),exact(Metadata!C457,"urban biome"))</f>
        <v>0</v>
      </c>
      <c r="AD457">
        <f>AND(IF(Metadata!D457="",FALSE,TRUE),exact(Metadata!D457,"human-associated habitat"))</f>
        <v>0</v>
      </c>
      <c r="AE457">
        <f>AND(IF(Metadata!E457="",FALSE,TRUE),OR(exact(Metadata!E457,"human-associated"),exact(Metadata!E457,"human-skin"),exact(Metadata!E457,"human-oral"),exact(Metadata!E457,"human-gut"),exact(Metadata!E457,"human-vaginal")))</f>
        <v>0</v>
      </c>
      <c r="AF457">
        <f>AND(IF(Metadata!F457="",FALSE,ISNUMBER(VALUE(Metadata!F457))),Metadata!F457&gt;0)</f>
        <v>0</v>
      </c>
      <c r="AG457">
        <f>AND(IF(Metadata!G457="",FALSE,TRUE),exact(Metadata!G457,"years"))</f>
        <v>0</v>
      </c>
      <c r="AH457">
        <f>OR(AND(IF(Metadata!H457="",FALSE,TRUE),OR(exact(Metadata!H457,"not applicable"),exact(Metadata!H457,"not collected"),exact(Metadata!H457,"not provided"),exact(Metadata!H457,"restricted access"))),AND(IF(Metadata!H457="",FALSE,ISNUMBER(VALUE(Metadata!H457))),Metadata!H457&gt;0))</f>
        <v>0</v>
      </c>
      <c r="AI457">
        <f>AND(IF(Metadata!I457="",FALSE,TRUE),exact(Metadata!I457,"human"))</f>
        <v>0</v>
      </c>
      <c r="AJ457">
        <f>AND(IF(Metadata!J457="",FALSE,ISNUMBER(VALUE(Metadata!J457))),Metadata!J457&gt;0)</f>
        <v>0</v>
      </c>
      <c r="AK457">
        <f>AND(IF(Metadata!K457="",FALSE,TRUE),exact(Metadata!K457,"cm"))</f>
        <v>0</v>
      </c>
      <c r="AL457">
        <f>AND(IF(Metadata!L457="",FALSE,TRUE),exact(Metadata!L457,"Homo sapiens"))</f>
        <v>0</v>
      </c>
      <c r="AM457">
        <f>AND(IF(Metadata!M457="",FALSE,TRUE),exact(Metadata!M457,"9606"))</f>
        <v>0</v>
      </c>
      <c r="AN457">
        <f>AND(IF(Metadata!N457="",FALSE,ISNUMBER(VALUE(Metadata!N457))),Metadata!N457&gt;0)</f>
        <v>0</v>
      </c>
      <c r="AO457">
        <f>AND(IF(Metadata!O457="",FALSE,TRUE),exact(Metadata!O457,"kg"))</f>
        <v>0</v>
      </c>
      <c r="AP457">
        <f>OR(AND(IF(Metadata!P457="",FALSE,TRUE),exact(Metadata!P457,"not provided")),IF(Metadata!P457="",FALSE,TRUE))</f>
        <v>0</v>
      </c>
      <c r="AQ457">
        <f>OR(AND(IF(Metadata!Q457="",FALSE,TRUE),exact(Metadata!Q457,"not provided")),IF(Metadata!Q457="",FALSE,TRUE))</f>
        <v>0</v>
      </c>
    </row>
    <row r="458" spans="1:43">
      <c r="A458" s="4">
        <f>IF(B458=" "," ",HYPERLINK(CONCATENATE("#metadata!",ADDRESS(INDEX($W$2:$W$1001,MATCH(ROWS($U$2:U458),$U$2:$U$1001,0),0),2)),INDEX($Z$2:$Z$1001,MATCH(ROWS($U$2:U458),$U$2:$U$1001,0),0)))</f>
        <v>0</v>
      </c>
      <c r="B458" s="5">
        <f>IF(OR(INDEX($V$2:$V$1001,MATCH(ROWS($U$2:U458),$U$2:$U$1001,0),1)&gt;=100000,INDEX($AB$1005:$AQ$1005,1,MATCH(COLUMNS($AB$1006:AB1006),$AB$1006:$AQ$1006,0))&gt;=100000), " ",IF(INDEX($AB$2:$AQ$1001,MATCH(ROWS($U$2:U458),$U$2:$U$1001,0),MATCH(COLUMNS($AB$1006:AB1006),$AB$1006:$AQ$1006,0)), HYPERLINK("#",""), HYPERLINK(CONCATENATE("#Metadata!", ADDRESS(INDEX($W$2:$W$1001,MATCH(ROWS($U$2:U458),$U$2:$U$1001,0),0), INDEX($AB$1004:$AQ$1004,1,MATCH(COLUMNS($AB$1006:AB1006),$AB$1006:$AQ$1006,0)))),"Fix")))</f>
        <v>0</v>
      </c>
      <c r="C458" s="5">
        <f>IF(OR(INDEX($V$2:$V$1001,MATCH(ROWS($U$2:U458),$U$2:$U$1001,0),1)&gt;=100000,INDEX($AB$1005:$AQ$1005,1,MATCH(COLUMNS($AB$1006:AC1006),$AB$1006:$AQ$1006,0))&gt;=100000), " ",IF(INDEX($AB$2:$AQ$1001,MATCH(ROWS($U$2:U458),$U$2:$U$1001,0),MATCH(COLUMNS($AB$1006:AC1006),$AB$1006:$AQ$1006,0)), HYPERLINK("#",""), HYPERLINK(CONCATENATE("#Metadata!", ADDRESS(INDEX($W$2:$W$1001,MATCH(ROWS($U$2:U458),$U$2:$U$1001,0),0), INDEX($AB$1004:$AQ$1004,1,MATCH(COLUMNS($AB$1006:AC1006),$AB$1006:$AQ$1006,0)))),"Fix")))</f>
        <v>0</v>
      </c>
      <c r="D458" s="5">
        <f>IF(OR(INDEX($V$2:$V$1001,MATCH(ROWS($U$2:U458),$U$2:$U$1001,0),1)&gt;=100000,INDEX($AB$1005:$AQ$1005,1,MATCH(COLUMNS($AB$1006:AD1006),$AB$1006:$AQ$1006,0))&gt;=100000), " ",IF(INDEX($AB$2:$AQ$1001,MATCH(ROWS($U$2:U458),$U$2:$U$1001,0),MATCH(COLUMNS($AB$1006:AD1006),$AB$1006:$AQ$1006,0)), HYPERLINK("#",""), HYPERLINK(CONCATENATE("#Metadata!", ADDRESS(INDEX($W$2:$W$1001,MATCH(ROWS($U$2:U458),$U$2:$U$1001,0),0), INDEX($AB$1004:$AQ$1004,1,MATCH(COLUMNS($AB$1006:AD1006),$AB$1006:$AQ$1006,0)))),"Fix")))</f>
        <v>0</v>
      </c>
      <c r="E458" s="5">
        <f>IF(OR(INDEX($V$2:$V$1001,MATCH(ROWS($U$2:U458),$U$2:$U$1001,0),1)&gt;=100000,INDEX($AB$1005:$AQ$1005,1,MATCH(COLUMNS($AB$1006:AE1006),$AB$1006:$AQ$1006,0))&gt;=100000), " ",IF(INDEX($AB$2:$AQ$1001,MATCH(ROWS($U$2:U458),$U$2:$U$1001,0),MATCH(COLUMNS($AB$1006:AE1006),$AB$1006:$AQ$1006,0)), HYPERLINK("#",""), HYPERLINK(CONCATENATE("#Metadata!", ADDRESS(INDEX($W$2:$W$1001,MATCH(ROWS($U$2:U458),$U$2:$U$1001,0),0), INDEX($AB$1004:$AQ$1004,1,MATCH(COLUMNS($AB$1006:AE1006),$AB$1006:$AQ$1006,0)))),"Fix")))</f>
        <v>0</v>
      </c>
      <c r="F458" s="5">
        <f>IF(OR(INDEX($V$2:$V$1001,MATCH(ROWS($U$2:U458),$U$2:$U$1001,0),1)&gt;=100000,INDEX($AB$1005:$AQ$1005,1,MATCH(COLUMNS($AB$1006:AF1006),$AB$1006:$AQ$1006,0))&gt;=100000), " ",IF(INDEX($AB$2:$AQ$1001,MATCH(ROWS($U$2:U458),$U$2:$U$1001,0),MATCH(COLUMNS($AB$1006:AF1006),$AB$1006:$AQ$1006,0)), HYPERLINK("#",""), HYPERLINK(CONCATENATE("#Metadata!", ADDRESS(INDEX($W$2:$W$1001,MATCH(ROWS($U$2:U458),$U$2:$U$1001,0),0), INDEX($AB$1004:$AQ$1004,1,MATCH(COLUMNS($AB$1006:AF1006),$AB$1006:$AQ$1006,0)))),"Fix")))</f>
        <v>0</v>
      </c>
      <c r="G458" s="5">
        <f>IF(OR(INDEX($V$2:$V$1001,MATCH(ROWS($U$2:U458),$U$2:$U$1001,0),1)&gt;=100000,INDEX($AB$1005:$AQ$1005,1,MATCH(COLUMNS($AB$1006:AG1006),$AB$1006:$AQ$1006,0))&gt;=100000), " ",IF(INDEX($AB$2:$AQ$1001,MATCH(ROWS($U$2:U458),$U$2:$U$1001,0),MATCH(COLUMNS($AB$1006:AG1006),$AB$1006:$AQ$1006,0)), HYPERLINK("#",""), HYPERLINK(CONCATENATE("#Metadata!", ADDRESS(INDEX($W$2:$W$1001,MATCH(ROWS($U$2:U458),$U$2:$U$1001,0),0), INDEX($AB$1004:$AQ$1004,1,MATCH(COLUMNS($AB$1006:AG1006),$AB$1006:$AQ$1006,0)))),"Fix")))</f>
        <v>0</v>
      </c>
      <c r="H458" s="5">
        <f>IF(OR(INDEX($V$2:$V$1001,MATCH(ROWS($U$2:U458),$U$2:$U$1001,0),1)&gt;=100000,INDEX($AB$1005:$AQ$1005,1,MATCH(COLUMNS($AB$1006:AH1006),$AB$1006:$AQ$1006,0))&gt;=100000), " ",IF(INDEX($AB$2:$AQ$1001,MATCH(ROWS($U$2:U458),$U$2:$U$1001,0),MATCH(COLUMNS($AB$1006:AH1006),$AB$1006:$AQ$1006,0)), HYPERLINK("#",""), HYPERLINK(CONCATENATE("#Metadata!", ADDRESS(INDEX($W$2:$W$1001,MATCH(ROWS($U$2:U458),$U$2:$U$1001,0),0), INDEX($AB$1004:$AQ$1004,1,MATCH(COLUMNS($AB$1006:AH1006),$AB$1006:$AQ$1006,0)))),"Fix")))</f>
        <v>0</v>
      </c>
      <c r="I458" s="5">
        <f>IF(OR(INDEX($V$2:$V$1001,MATCH(ROWS($U$2:U458),$U$2:$U$1001,0),1)&gt;=100000,INDEX($AB$1005:$AQ$1005,1,MATCH(COLUMNS($AB$1006:AI1006),$AB$1006:$AQ$1006,0))&gt;=100000), " ",IF(INDEX($AB$2:$AQ$1001,MATCH(ROWS($U$2:U458),$U$2:$U$1001,0),MATCH(COLUMNS($AB$1006:AI1006),$AB$1006:$AQ$1006,0)), HYPERLINK("#",""), HYPERLINK(CONCATENATE("#Metadata!", ADDRESS(INDEX($W$2:$W$1001,MATCH(ROWS($U$2:U458),$U$2:$U$1001,0),0), INDEX($AB$1004:$AQ$1004,1,MATCH(COLUMNS($AB$1006:AI1006),$AB$1006:$AQ$1006,0)))),"Fix")))</f>
        <v>0</v>
      </c>
      <c r="J458" s="5">
        <f>IF(OR(INDEX($V$2:$V$1001,MATCH(ROWS($U$2:U458),$U$2:$U$1001,0),1)&gt;=100000,INDEX($AB$1005:$AQ$1005,1,MATCH(COLUMNS($AB$1006:AJ1006),$AB$1006:$AQ$1006,0))&gt;=100000), " ",IF(INDEX($AB$2:$AQ$1001,MATCH(ROWS($U$2:U458),$U$2:$U$1001,0),MATCH(COLUMNS($AB$1006:AJ1006),$AB$1006:$AQ$1006,0)), HYPERLINK("#",""), HYPERLINK(CONCATENATE("#Metadata!", ADDRESS(INDEX($W$2:$W$1001,MATCH(ROWS($U$2:U458),$U$2:$U$1001,0),0), INDEX($AB$1004:$AQ$1004,1,MATCH(COLUMNS($AB$1006:AJ1006),$AB$1006:$AQ$1006,0)))),"Fix")))</f>
        <v>0</v>
      </c>
      <c r="K458" s="5">
        <f>IF(OR(INDEX($V$2:$V$1001,MATCH(ROWS($U$2:U458),$U$2:$U$1001,0),1)&gt;=100000,INDEX($AB$1005:$AQ$1005,1,MATCH(COLUMNS($AB$1006:AK1006),$AB$1006:$AQ$1006,0))&gt;=100000), " ",IF(INDEX($AB$2:$AQ$1001,MATCH(ROWS($U$2:U458),$U$2:$U$1001,0),MATCH(COLUMNS($AB$1006:AK1006),$AB$1006:$AQ$1006,0)), HYPERLINK("#",""), HYPERLINK(CONCATENATE("#Metadata!", ADDRESS(INDEX($W$2:$W$1001,MATCH(ROWS($U$2:U458),$U$2:$U$1001,0),0), INDEX($AB$1004:$AQ$1004,1,MATCH(COLUMNS($AB$1006:AK1006),$AB$1006:$AQ$1006,0)))),"Fix")))</f>
        <v>0</v>
      </c>
      <c r="L458" s="5">
        <f>IF(OR(INDEX($V$2:$V$1001,MATCH(ROWS($U$2:U458),$U$2:$U$1001,0),1)&gt;=100000,INDEX($AB$1005:$AQ$1005,1,MATCH(COLUMNS($AB$1006:AL1006),$AB$1006:$AQ$1006,0))&gt;=100000), " ",IF(INDEX($AB$2:$AQ$1001,MATCH(ROWS($U$2:U458),$U$2:$U$1001,0),MATCH(COLUMNS($AB$1006:AL1006),$AB$1006:$AQ$1006,0)), HYPERLINK("#",""), HYPERLINK(CONCATENATE("#Metadata!", ADDRESS(INDEX($W$2:$W$1001,MATCH(ROWS($U$2:U458),$U$2:$U$1001,0),0), INDEX($AB$1004:$AQ$1004,1,MATCH(COLUMNS($AB$1006:AL1006),$AB$1006:$AQ$1006,0)))),"Fix")))</f>
        <v>0</v>
      </c>
      <c r="M458" s="5">
        <f>IF(OR(INDEX($V$2:$V$1001,MATCH(ROWS($U$2:U458),$U$2:$U$1001,0),1)&gt;=100000,INDEX($AB$1005:$AQ$1005,1,MATCH(COLUMNS($AB$1006:AM1006),$AB$1006:$AQ$1006,0))&gt;=100000), " ",IF(INDEX($AB$2:$AQ$1001,MATCH(ROWS($U$2:U458),$U$2:$U$1001,0),MATCH(COLUMNS($AB$1006:AM1006),$AB$1006:$AQ$1006,0)), HYPERLINK("#",""), HYPERLINK(CONCATENATE("#Metadata!", ADDRESS(INDEX($W$2:$W$1001,MATCH(ROWS($U$2:U458),$U$2:$U$1001,0),0), INDEX($AB$1004:$AQ$1004,1,MATCH(COLUMNS($AB$1006:AM1006),$AB$1006:$AQ$1006,0)))),"Fix")))</f>
        <v>0</v>
      </c>
      <c r="N458" s="5">
        <f>IF(OR(INDEX($V$2:$V$1001,MATCH(ROWS($U$2:U458),$U$2:$U$1001,0),1)&gt;=100000,INDEX($AB$1005:$AQ$1005,1,MATCH(COLUMNS($AB$1006:AN1006),$AB$1006:$AQ$1006,0))&gt;=100000), " ",IF(INDEX($AB$2:$AQ$1001,MATCH(ROWS($U$2:U458),$U$2:$U$1001,0),MATCH(COLUMNS($AB$1006:AN1006),$AB$1006:$AQ$1006,0)), HYPERLINK("#",""), HYPERLINK(CONCATENATE("#Metadata!", ADDRESS(INDEX($W$2:$W$1001,MATCH(ROWS($U$2:U458),$U$2:$U$1001,0),0), INDEX($AB$1004:$AQ$1004,1,MATCH(COLUMNS($AB$1006:AN1006),$AB$1006:$AQ$1006,0)))),"Fix")))</f>
        <v>0</v>
      </c>
      <c r="O458" s="5">
        <f>IF(OR(INDEX($V$2:$V$1001,MATCH(ROWS($U$2:U458),$U$2:$U$1001,0),1)&gt;=100000,INDEX($AB$1005:$AQ$1005,1,MATCH(COLUMNS($AB$1006:AO1006),$AB$1006:$AQ$1006,0))&gt;=100000), " ",IF(INDEX($AB$2:$AQ$1001,MATCH(ROWS($U$2:U458),$U$2:$U$1001,0),MATCH(COLUMNS($AB$1006:AO1006),$AB$1006:$AQ$1006,0)), HYPERLINK("#",""), HYPERLINK(CONCATENATE("#Metadata!", ADDRESS(INDEX($W$2:$W$1001,MATCH(ROWS($U$2:U458),$U$2:$U$1001,0),0), INDEX($AB$1004:$AQ$1004,1,MATCH(COLUMNS($AB$1006:AO1006),$AB$1006:$AQ$1006,0)))),"Fix")))</f>
        <v>0</v>
      </c>
      <c r="P458" s="5">
        <f>IF(OR(INDEX($V$2:$V$1001,MATCH(ROWS($U$2:U458),$U$2:$U$1001,0),1)&gt;=100000,INDEX($AB$1005:$AQ$1005,1,MATCH(COLUMNS($AB$1006:AP1006),$AB$1006:$AQ$1006,0))&gt;=100000), " ",IF(INDEX($AB$2:$AQ$1001,MATCH(ROWS($U$2:U458),$U$2:$U$1001,0),MATCH(COLUMNS($AB$1006:AP1006),$AB$1006:$AQ$1006,0)), HYPERLINK("#",""), HYPERLINK(CONCATENATE("#Metadata!", ADDRESS(INDEX($W$2:$W$1001,MATCH(ROWS($U$2:U458),$U$2:$U$1001,0),0), INDEX($AB$1004:$AQ$1004,1,MATCH(COLUMNS($AB$1006:AP1006),$AB$1006:$AQ$1006,0)))),"Fix")))</f>
        <v>0</v>
      </c>
      <c r="Q458" s="5">
        <f>IF(OR(INDEX($V$2:$V$1001,MATCH(ROWS($U$2:U458),$U$2:$U$1001,0),1)&gt;=100000,INDEX($AB$1005:$AQ$1005,1,MATCH(COLUMNS($AB$1006:AQ1006),$AB$1006:$AQ$1006,0))&gt;=100000), " ",IF(INDEX($AB$2:$AQ$1001,MATCH(ROWS($U$2:U458),$U$2:$U$1001,0),MATCH(COLUMNS($AB$1006:AQ1006),$AB$1006:$AQ$1006,0)), HYPERLINK("#",""), HYPERLINK(CONCATENATE("#Metadata!", ADDRESS(INDEX($W$2:$W$1001,MATCH(ROWS($U$2:U458),$U$2:$U$1001,0),0), INDEX($AB$1004:$AQ$1004,1,MATCH(COLUMNS($AB$1006:AQ1006),$AB$1006:$AQ$1006,0)))),"Fix")))</f>
        <v>0</v>
      </c>
      <c r="U458">
        <v>0</v>
      </c>
      <c r="V458">
        <v>0</v>
      </c>
      <c r="W458">
        <v>0</v>
      </c>
      <c r="X458">
        <f>IF(Y458,TRUE,AND(AB458:AQ458))</f>
        <v>0</v>
      </c>
      <c r="Y458">
        <f>COUNTBLANK(Metadata!B458:Q458)=COLUMNS(Metadata!B458:Q458)</f>
        <v>0</v>
      </c>
      <c r="Z458">
        <v>0</v>
      </c>
      <c r="AB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AC458">
        <f>AND(IF(Metadata!C458="",FALSE,TRUE),exact(Metadata!C458,"urban biome"))</f>
        <v>0</v>
      </c>
      <c r="AD458">
        <f>AND(IF(Metadata!D458="",FALSE,TRUE),exact(Metadata!D458,"human-associated habitat"))</f>
        <v>0</v>
      </c>
      <c r="AE458">
        <f>AND(IF(Metadata!E458="",FALSE,TRUE),OR(exact(Metadata!E458,"human-associated"),exact(Metadata!E458,"human-skin"),exact(Metadata!E458,"human-oral"),exact(Metadata!E458,"human-gut"),exact(Metadata!E458,"human-vaginal")))</f>
        <v>0</v>
      </c>
      <c r="AF458">
        <f>AND(IF(Metadata!F458="",FALSE,ISNUMBER(VALUE(Metadata!F458))),Metadata!F458&gt;0)</f>
        <v>0</v>
      </c>
      <c r="AG458">
        <f>AND(IF(Metadata!G458="",FALSE,TRUE),exact(Metadata!G458,"years"))</f>
        <v>0</v>
      </c>
      <c r="AH458">
        <f>OR(AND(IF(Metadata!H458="",FALSE,TRUE),OR(exact(Metadata!H458,"not applicable"),exact(Metadata!H458,"not collected"),exact(Metadata!H458,"not provided"),exact(Metadata!H458,"restricted access"))),AND(IF(Metadata!H458="",FALSE,ISNUMBER(VALUE(Metadata!H458))),Metadata!H458&gt;0))</f>
        <v>0</v>
      </c>
      <c r="AI458">
        <f>AND(IF(Metadata!I458="",FALSE,TRUE),exact(Metadata!I458,"human"))</f>
        <v>0</v>
      </c>
      <c r="AJ458">
        <f>AND(IF(Metadata!J458="",FALSE,ISNUMBER(VALUE(Metadata!J458))),Metadata!J458&gt;0)</f>
        <v>0</v>
      </c>
      <c r="AK458">
        <f>AND(IF(Metadata!K458="",FALSE,TRUE),exact(Metadata!K458,"cm"))</f>
        <v>0</v>
      </c>
      <c r="AL458">
        <f>AND(IF(Metadata!L458="",FALSE,TRUE),exact(Metadata!L458,"Homo sapiens"))</f>
        <v>0</v>
      </c>
      <c r="AM458">
        <f>AND(IF(Metadata!M458="",FALSE,TRUE),exact(Metadata!M458,"9606"))</f>
        <v>0</v>
      </c>
      <c r="AN458">
        <f>AND(IF(Metadata!N458="",FALSE,ISNUMBER(VALUE(Metadata!N458))),Metadata!N458&gt;0)</f>
        <v>0</v>
      </c>
      <c r="AO458">
        <f>AND(IF(Metadata!O458="",FALSE,TRUE),exact(Metadata!O458,"kg"))</f>
        <v>0</v>
      </c>
      <c r="AP458">
        <f>OR(AND(IF(Metadata!P458="",FALSE,TRUE),exact(Metadata!P458,"not provided")),IF(Metadata!P458="",FALSE,TRUE))</f>
        <v>0</v>
      </c>
      <c r="AQ458">
        <f>OR(AND(IF(Metadata!Q458="",FALSE,TRUE),exact(Metadata!Q458,"not provided")),IF(Metadata!Q458="",FALSE,TRUE))</f>
        <v>0</v>
      </c>
    </row>
    <row r="459" spans="1:43">
      <c r="A459" s="4">
        <f>IF(B459=" "," ",HYPERLINK(CONCATENATE("#metadata!",ADDRESS(INDEX($W$2:$W$1001,MATCH(ROWS($U$2:U459),$U$2:$U$1001,0),0),2)),INDEX($Z$2:$Z$1001,MATCH(ROWS($U$2:U459),$U$2:$U$1001,0),0)))</f>
        <v>0</v>
      </c>
      <c r="B459" s="5">
        <f>IF(OR(INDEX($V$2:$V$1001,MATCH(ROWS($U$2:U459),$U$2:$U$1001,0),1)&gt;=100000,INDEX($AB$1005:$AQ$1005,1,MATCH(COLUMNS($AB$1006:AB1006),$AB$1006:$AQ$1006,0))&gt;=100000), " ",IF(INDEX($AB$2:$AQ$1001,MATCH(ROWS($U$2:U459),$U$2:$U$1001,0),MATCH(COLUMNS($AB$1006:AB1006),$AB$1006:$AQ$1006,0)), HYPERLINK("#",""), HYPERLINK(CONCATENATE("#Metadata!", ADDRESS(INDEX($W$2:$W$1001,MATCH(ROWS($U$2:U459),$U$2:$U$1001,0),0), INDEX($AB$1004:$AQ$1004,1,MATCH(COLUMNS($AB$1006:AB1006),$AB$1006:$AQ$1006,0)))),"Fix")))</f>
        <v>0</v>
      </c>
      <c r="C459" s="5">
        <f>IF(OR(INDEX($V$2:$V$1001,MATCH(ROWS($U$2:U459),$U$2:$U$1001,0),1)&gt;=100000,INDEX($AB$1005:$AQ$1005,1,MATCH(COLUMNS($AB$1006:AC1006),$AB$1006:$AQ$1006,0))&gt;=100000), " ",IF(INDEX($AB$2:$AQ$1001,MATCH(ROWS($U$2:U459),$U$2:$U$1001,0),MATCH(COLUMNS($AB$1006:AC1006),$AB$1006:$AQ$1006,0)), HYPERLINK("#",""), HYPERLINK(CONCATENATE("#Metadata!", ADDRESS(INDEX($W$2:$W$1001,MATCH(ROWS($U$2:U459),$U$2:$U$1001,0),0), INDEX($AB$1004:$AQ$1004,1,MATCH(COLUMNS($AB$1006:AC1006),$AB$1006:$AQ$1006,0)))),"Fix")))</f>
        <v>0</v>
      </c>
      <c r="D459" s="5">
        <f>IF(OR(INDEX($V$2:$V$1001,MATCH(ROWS($U$2:U459),$U$2:$U$1001,0),1)&gt;=100000,INDEX($AB$1005:$AQ$1005,1,MATCH(COLUMNS($AB$1006:AD1006),$AB$1006:$AQ$1006,0))&gt;=100000), " ",IF(INDEX($AB$2:$AQ$1001,MATCH(ROWS($U$2:U459),$U$2:$U$1001,0),MATCH(COLUMNS($AB$1006:AD1006),$AB$1006:$AQ$1006,0)), HYPERLINK("#",""), HYPERLINK(CONCATENATE("#Metadata!", ADDRESS(INDEX($W$2:$W$1001,MATCH(ROWS($U$2:U459),$U$2:$U$1001,0),0), INDEX($AB$1004:$AQ$1004,1,MATCH(COLUMNS($AB$1006:AD1006),$AB$1006:$AQ$1006,0)))),"Fix")))</f>
        <v>0</v>
      </c>
      <c r="E459" s="5">
        <f>IF(OR(INDEX($V$2:$V$1001,MATCH(ROWS($U$2:U459),$U$2:$U$1001,0),1)&gt;=100000,INDEX($AB$1005:$AQ$1005,1,MATCH(COLUMNS($AB$1006:AE1006),$AB$1006:$AQ$1006,0))&gt;=100000), " ",IF(INDEX($AB$2:$AQ$1001,MATCH(ROWS($U$2:U459),$U$2:$U$1001,0),MATCH(COLUMNS($AB$1006:AE1006),$AB$1006:$AQ$1006,0)), HYPERLINK("#",""), HYPERLINK(CONCATENATE("#Metadata!", ADDRESS(INDEX($W$2:$W$1001,MATCH(ROWS($U$2:U459),$U$2:$U$1001,0),0), INDEX($AB$1004:$AQ$1004,1,MATCH(COLUMNS($AB$1006:AE1006),$AB$1006:$AQ$1006,0)))),"Fix")))</f>
        <v>0</v>
      </c>
      <c r="F459" s="5">
        <f>IF(OR(INDEX($V$2:$V$1001,MATCH(ROWS($U$2:U459),$U$2:$U$1001,0),1)&gt;=100000,INDEX($AB$1005:$AQ$1005,1,MATCH(COLUMNS($AB$1006:AF1006),$AB$1006:$AQ$1006,0))&gt;=100000), " ",IF(INDEX($AB$2:$AQ$1001,MATCH(ROWS($U$2:U459),$U$2:$U$1001,0),MATCH(COLUMNS($AB$1006:AF1006),$AB$1006:$AQ$1006,0)), HYPERLINK("#",""), HYPERLINK(CONCATENATE("#Metadata!", ADDRESS(INDEX($W$2:$W$1001,MATCH(ROWS($U$2:U459),$U$2:$U$1001,0),0), INDEX($AB$1004:$AQ$1004,1,MATCH(COLUMNS($AB$1006:AF1006),$AB$1006:$AQ$1006,0)))),"Fix")))</f>
        <v>0</v>
      </c>
      <c r="G459" s="5">
        <f>IF(OR(INDEX($V$2:$V$1001,MATCH(ROWS($U$2:U459),$U$2:$U$1001,0),1)&gt;=100000,INDEX($AB$1005:$AQ$1005,1,MATCH(COLUMNS($AB$1006:AG1006),$AB$1006:$AQ$1006,0))&gt;=100000), " ",IF(INDEX($AB$2:$AQ$1001,MATCH(ROWS($U$2:U459),$U$2:$U$1001,0),MATCH(COLUMNS($AB$1006:AG1006),$AB$1006:$AQ$1006,0)), HYPERLINK("#",""), HYPERLINK(CONCATENATE("#Metadata!", ADDRESS(INDEX($W$2:$W$1001,MATCH(ROWS($U$2:U459),$U$2:$U$1001,0),0), INDEX($AB$1004:$AQ$1004,1,MATCH(COLUMNS($AB$1006:AG1006),$AB$1006:$AQ$1006,0)))),"Fix")))</f>
        <v>0</v>
      </c>
      <c r="H459" s="5">
        <f>IF(OR(INDEX($V$2:$V$1001,MATCH(ROWS($U$2:U459),$U$2:$U$1001,0),1)&gt;=100000,INDEX($AB$1005:$AQ$1005,1,MATCH(COLUMNS($AB$1006:AH1006),$AB$1006:$AQ$1006,0))&gt;=100000), " ",IF(INDEX($AB$2:$AQ$1001,MATCH(ROWS($U$2:U459),$U$2:$U$1001,0),MATCH(COLUMNS($AB$1006:AH1006),$AB$1006:$AQ$1006,0)), HYPERLINK("#",""), HYPERLINK(CONCATENATE("#Metadata!", ADDRESS(INDEX($W$2:$W$1001,MATCH(ROWS($U$2:U459),$U$2:$U$1001,0),0), INDEX($AB$1004:$AQ$1004,1,MATCH(COLUMNS($AB$1006:AH1006),$AB$1006:$AQ$1006,0)))),"Fix")))</f>
        <v>0</v>
      </c>
      <c r="I459" s="5">
        <f>IF(OR(INDEX($V$2:$V$1001,MATCH(ROWS($U$2:U459),$U$2:$U$1001,0),1)&gt;=100000,INDEX($AB$1005:$AQ$1005,1,MATCH(COLUMNS($AB$1006:AI1006),$AB$1006:$AQ$1006,0))&gt;=100000), " ",IF(INDEX($AB$2:$AQ$1001,MATCH(ROWS($U$2:U459),$U$2:$U$1001,0),MATCH(COLUMNS($AB$1006:AI1006),$AB$1006:$AQ$1006,0)), HYPERLINK("#",""), HYPERLINK(CONCATENATE("#Metadata!", ADDRESS(INDEX($W$2:$W$1001,MATCH(ROWS($U$2:U459),$U$2:$U$1001,0),0), INDEX($AB$1004:$AQ$1004,1,MATCH(COLUMNS($AB$1006:AI1006),$AB$1006:$AQ$1006,0)))),"Fix")))</f>
        <v>0</v>
      </c>
      <c r="J459" s="5">
        <f>IF(OR(INDEX($V$2:$V$1001,MATCH(ROWS($U$2:U459),$U$2:$U$1001,0),1)&gt;=100000,INDEX($AB$1005:$AQ$1005,1,MATCH(COLUMNS($AB$1006:AJ1006),$AB$1006:$AQ$1006,0))&gt;=100000), " ",IF(INDEX($AB$2:$AQ$1001,MATCH(ROWS($U$2:U459),$U$2:$U$1001,0),MATCH(COLUMNS($AB$1006:AJ1006),$AB$1006:$AQ$1006,0)), HYPERLINK("#",""), HYPERLINK(CONCATENATE("#Metadata!", ADDRESS(INDEX($W$2:$W$1001,MATCH(ROWS($U$2:U459),$U$2:$U$1001,0),0), INDEX($AB$1004:$AQ$1004,1,MATCH(COLUMNS($AB$1006:AJ1006),$AB$1006:$AQ$1006,0)))),"Fix")))</f>
        <v>0</v>
      </c>
      <c r="K459" s="5">
        <f>IF(OR(INDEX($V$2:$V$1001,MATCH(ROWS($U$2:U459),$U$2:$U$1001,0),1)&gt;=100000,INDEX($AB$1005:$AQ$1005,1,MATCH(COLUMNS($AB$1006:AK1006),$AB$1006:$AQ$1006,0))&gt;=100000), " ",IF(INDEX($AB$2:$AQ$1001,MATCH(ROWS($U$2:U459),$U$2:$U$1001,0),MATCH(COLUMNS($AB$1006:AK1006),$AB$1006:$AQ$1006,0)), HYPERLINK("#",""), HYPERLINK(CONCATENATE("#Metadata!", ADDRESS(INDEX($W$2:$W$1001,MATCH(ROWS($U$2:U459),$U$2:$U$1001,0),0), INDEX($AB$1004:$AQ$1004,1,MATCH(COLUMNS($AB$1006:AK1006),$AB$1006:$AQ$1006,0)))),"Fix")))</f>
        <v>0</v>
      </c>
      <c r="L459" s="5">
        <f>IF(OR(INDEX($V$2:$V$1001,MATCH(ROWS($U$2:U459),$U$2:$U$1001,0),1)&gt;=100000,INDEX($AB$1005:$AQ$1005,1,MATCH(COLUMNS($AB$1006:AL1006),$AB$1006:$AQ$1006,0))&gt;=100000), " ",IF(INDEX($AB$2:$AQ$1001,MATCH(ROWS($U$2:U459),$U$2:$U$1001,0),MATCH(COLUMNS($AB$1006:AL1006),$AB$1006:$AQ$1006,0)), HYPERLINK("#",""), HYPERLINK(CONCATENATE("#Metadata!", ADDRESS(INDEX($W$2:$W$1001,MATCH(ROWS($U$2:U459),$U$2:$U$1001,0),0), INDEX($AB$1004:$AQ$1004,1,MATCH(COLUMNS($AB$1006:AL1006),$AB$1006:$AQ$1006,0)))),"Fix")))</f>
        <v>0</v>
      </c>
      <c r="M459" s="5">
        <f>IF(OR(INDEX($V$2:$V$1001,MATCH(ROWS($U$2:U459),$U$2:$U$1001,0),1)&gt;=100000,INDEX($AB$1005:$AQ$1005,1,MATCH(COLUMNS($AB$1006:AM1006),$AB$1006:$AQ$1006,0))&gt;=100000), " ",IF(INDEX($AB$2:$AQ$1001,MATCH(ROWS($U$2:U459),$U$2:$U$1001,0),MATCH(COLUMNS($AB$1006:AM1006),$AB$1006:$AQ$1006,0)), HYPERLINK("#",""), HYPERLINK(CONCATENATE("#Metadata!", ADDRESS(INDEX($W$2:$W$1001,MATCH(ROWS($U$2:U459),$U$2:$U$1001,0),0), INDEX($AB$1004:$AQ$1004,1,MATCH(COLUMNS($AB$1006:AM1006),$AB$1006:$AQ$1006,0)))),"Fix")))</f>
        <v>0</v>
      </c>
      <c r="N459" s="5">
        <f>IF(OR(INDEX($V$2:$V$1001,MATCH(ROWS($U$2:U459),$U$2:$U$1001,0),1)&gt;=100000,INDEX($AB$1005:$AQ$1005,1,MATCH(COLUMNS($AB$1006:AN1006),$AB$1006:$AQ$1006,0))&gt;=100000), " ",IF(INDEX($AB$2:$AQ$1001,MATCH(ROWS($U$2:U459),$U$2:$U$1001,0),MATCH(COLUMNS($AB$1006:AN1006),$AB$1006:$AQ$1006,0)), HYPERLINK("#",""), HYPERLINK(CONCATENATE("#Metadata!", ADDRESS(INDEX($W$2:$W$1001,MATCH(ROWS($U$2:U459),$U$2:$U$1001,0),0), INDEX($AB$1004:$AQ$1004,1,MATCH(COLUMNS($AB$1006:AN1006),$AB$1006:$AQ$1006,0)))),"Fix")))</f>
        <v>0</v>
      </c>
      <c r="O459" s="5">
        <f>IF(OR(INDEX($V$2:$V$1001,MATCH(ROWS($U$2:U459),$U$2:$U$1001,0),1)&gt;=100000,INDEX($AB$1005:$AQ$1005,1,MATCH(COLUMNS($AB$1006:AO1006),$AB$1006:$AQ$1006,0))&gt;=100000), " ",IF(INDEX($AB$2:$AQ$1001,MATCH(ROWS($U$2:U459),$U$2:$U$1001,0),MATCH(COLUMNS($AB$1006:AO1006),$AB$1006:$AQ$1006,0)), HYPERLINK("#",""), HYPERLINK(CONCATENATE("#Metadata!", ADDRESS(INDEX($W$2:$W$1001,MATCH(ROWS($U$2:U459),$U$2:$U$1001,0),0), INDEX($AB$1004:$AQ$1004,1,MATCH(COLUMNS($AB$1006:AO1006),$AB$1006:$AQ$1006,0)))),"Fix")))</f>
        <v>0</v>
      </c>
      <c r="P459" s="5">
        <f>IF(OR(INDEX($V$2:$V$1001,MATCH(ROWS($U$2:U459),$U$2:$U$1001,0),1)&gt;=100000,INDEX($AB$1005:$AQ$1005,1,MATCH(COLUMNS($AB$1006:AP1006),$AB$1006:$AQ$1006,0))&gt;=100000), " ",IF(INDEX($AB$2:$AQ$1001,MATCH(ROWS($U$2:U459),$U$2:$U$1001,0),MATCH(COLUMNS($AB$1006:AP1006),$AB$1006:$AQ$1006,0)), HYPERLINK("#",""), HYPERLINK(CONCATENATE("#Metadata!", ADDRESS(INDEX($W$2:$W$1001,MATCH(ROWS($U$2:U459),$U$2:$U$1001,0),0), INDEX($AB$1004:$AQ$1004,1,MATCH(COLUMNS($AB$1006:AP1006),$AB$1006:$AQ$1006,0)))),"Fix")))</f>
        <v>0</v>
      </c>
      <c r="Q459" s="5">
        <f>IF(OR(INDEX($V$2:$V$1001,MATCH(ROWS($U$2:U459),$U$2:$U$1001,0),1)&gt;=100000,INDEX($AB$1005:$AQ$1005,1,MATCH(COLUMNS($AB$1006:AQ1006),$AB$1006:$AQ$1006,0))&gt;=100000), " ",IF(INDEX($AB$2:$AQ$1001,MATCH(ROWS($U$2:U459),$U$2:$U$1001,0),MATCH(COLUMNS($AB$1006:AQ1006),$AB$1006:$AQ$1006,0)), HYPERLINK("#",""), HYPERLINK(CONCATENATE("#Metadata!", ADDRESS(INDEX($W$2:$W$1001,MATCH(ROWS($U$2:U459),$U$2:$U$1001,0),0), INDEX($AB$1004:$AQ$1004,1,MATCH(COLUMNS($AB$1006:AQ1006),$AB$1006:$AQ$1006,0)))),"Fix")))</f>
        <v>0</v>
      </c>
      <c r="U459">
        <v>0</v>
      </c>
      <c r="V459">
        <v>0</v>
      </c>
      <c r="W459">
        <v>0</v>
      </c>
      <c r="X459">
        <f>IF(Y459,TRUE,AND(AB459:AQ459))</f>
        <v>0</v>
      </c>
      <c r="Y459">
        <f>COUNTBLANK(Metadata!B459:Q459)=COLUMNS(Metadata!B459:Q459)</f>
        <v>0</v>
      </c>
      <c r="Z459">
        <v>0</v>
      </c>
      <c r="AB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AC459">
        <f>AND(IF(Metadata!C459="",FALSE,TRUE),exact(Metadata!C459,"urban biome"))</f>
        <v>0</v>
      </c>
      <c r="AD459">
        <f>AND(IF(Metadata!D459="",FALSE,TRUE),exact(Metadata!D459,"human-associated habitat"))</f>
        <v>0</v>
      </c>
      <c r="AE459">
        <f>AND(IF(Metadata!E459="",FALSE,TRUE),OR(exact(Metadata!E459,"human-associated"),exact(Metadata!E459,"human-skin"),exact(Metadata!E459,"human-oral"),exact(Metadata!E459,"human-gut"),exact(Metadata!E459,"human-vaginal")))</f>
        <v>0</v>
      </c>
      <c r="AF459">
        <f>AND(IF(Metadata!F459="",FALSE,ISNUMBER(VALUE(Metadata!F459))),Metadata!F459&gt;0)</f>
        <v>0</v>
      </c>
      <c r="AG459">
        <f>AND(IF(Metadata!G459="",FALSE,TRUE),exact(Metadata!G459,"years"))</f>
        <v>0</v>
      </c>
      <c r="AH459">
        <f>OR(AND(IF(Metadata!H459="",FALSE,TRUE),OR(exact(Metadata!H459,"not applicable"),exact(Metadata!H459,"not collected"),exact(Metadata!H459,"not provided"),exact(Metadata!H459,"restricted access"))),AND(IF(Metadata!H459="",FALSE,ISNUMBER(VALUE(Metadata!H459))),Metadata!H459&gt;0))</f>
        <v>0</v>
      </c>
      <c r="AI459">
        <f>AND(IF(Metadata!I459="",FALSE,TRUE),exact(Metadata!I459,"human"))</f>
        <v>0</v>
      </c>
      <c r="AJ459">
        <f>AND(IF(Metadata!J459="",FALSE,ISNUMBER(VALUE(Metadata!J459))),Metadata!J459&gt;0)</f>
        <v>0</v>
      </c>
      <c r="AK459">
        <f>AND(IF(Metadata!K459="",FALSE,TRUE),exact(Metadata!K459,"cm"))</f>
        <v>0</v>
      </c>
      <c r="AL459">
        <f>AND(IF(Metadata!L459="",FALSE,TRUE),exact(Metadata!L459,"Homo sapiens"))</f>
        <v>0</v>
      </c>
      <c r="AM459">
        <f>AND(IF(Metadata!M459="",FALSE,TRUE),exact(Metadata!M459,"9606"))</f>
        <v>0</v>
      </c>
      <c r="AN459">
        <f>AND(IF(Metadata!N459="",FALSE,ISNUMBER(VALUE(Metadata!N459))),Metadata!N459&gt;0)</f>
        <v>0</v>
      </c>
      <c r="AO459">
        <f>AND(IF(Metadata!O459="",FALSE,TRUE),exact(Metadata!O459,"kg"))</f>
        <v>0</v>
      </c>
      <c r="AP459">
        <f>OR(AND(IF(Metadata!P459="",FALSE,TRUE),exact(Metadata!P459,"not provided")),IF(Metadata!P459="",FALSE,TRUE))</f>
        <v>0</v>
      </c>
      <c r="AQ459">
        <f>OR(AND(IF(Metadata!Q459="",FALSE,TRUE),exact(Metadata!Q459,"not provided")),IF(Metadata!Q459="",FALSE,TRUE))</f>
        <v>0</v>
      </c>
    </row>
    <row r="460" spans="1:43">
      <c r="A460" s="4">
        <f>IF(B460=" "," ",HYPERLINK(CONCATENATE("#metadata!",ADDRESS(INDEX($W$2:$W$1001,MATCH(ROWS($U$2:U460),$U$2:$U$1001,0),0),2)),INDEX($Z$2:$Z$1001,MATCH(ROWS($U$2:U460),$U$2:$U$1001,0),0)))</f>
        <v>0</v>
      </c>
      <c r="B460" s="5">
        <f>IF(OR(INDEX($V$2:$V$1001,MATCH(ROWS($U$2:U460),$U$2:$U$1001,0),1)&gt;=100000,INDEX($AB$1005:$AQ$1005,1,MATCH(COLUMNS($AB$1006:AB1006),$AB$1006:$AQ$1006,0))&gt;=100000), " ",IF(INDEX($AB$2:$AQ$1001,MATCH(ROWS($U$2:U460),$U$2:$U$1001,0),MATCH(COLUMNS($AB$1006:AB1006),$AB$1006:$AQ$1006,0)), HYPERLINK("#",""), HYPERLINK(CONCATENATE("#Metadata!", ADDRESS(INDEX($W$2:$W$1001,MATCH(ROWS($U$2:U460),$U$2:$U$1001,0),0), INDEX($AB$1004:$AQ$1004,1,MATCH(COLUMNS($AB$1006:AB1006),$AB$1006:$AQ$1006,0)))),"Fix")))</f>
        <v>0</v>
      </c>
      <c r="C460" s="5">
        <f>IF(OR(INDEX($V$2:$V$1001,MATCH(ROWS($U$2:U460),$U$2:$U$1001,0),1)&gt;=100000,INDEX($AB$1005:$AQ$1005,1,MATCH(COLUMNS($AB$1006:AC1006),$AB$1006:$AQ$1006,0))&gt;=100000), " ",IF(INDEX($AB$2:$AQ$1001,MATCH(ROWS($U$2:U460),$U$2:$U$1001,0),MATCH(COLUMNS($AB$1006:AC1006),$AB$1006:$AQ$1006,0)), HYPERLINK("#",""), HYPERLINK(CONCATENATE("#Metadata!", ADDRESS(INDEX($W$2:$W$1001,MATCH(ROWS($U$2:U460),$U$2:$U$1001,0),0), INDEX($AB$1004:$AQ$1004,1,MATCH(COLUMNS($AB$1006:AC1006),$AB$1006:$AQ$1006,0)))),"Fix")))</f>
        <v>0</v>
      </c>
      <c r="D460" s="5">
        <f>IF(OR(INDEX($V$2:$V$1001,MATCH(ROWS($U$2:U460),$U$2:$U$1001,0),1)&gt;=100000,INDEX($AB$1005:$AQ$1005,1,MATCH(COLUMNS($AB$1006:AD1006),$AB$1006:$AQ$1006,0))&gt;=100000), " ",IF(INDEX($AB$2:$AQ$1001,MATCH(ROWS($U$2:U460),$U$2:$U$1001,0),MATCH(COLUMNS($AB$1006:AD1006),$AB$1006:$AQ$1006,0)), HYPERLINK("#",""), HYPERLINK(CONCATENATE("#Metadata!", ADDRESS(INDEX($W$2:$W$1001,MATCH(ROWS($U$2:U460),$U$2:$U$1001,0),0), INDEX($AB$1004:$AQ$1004,1,MATCH(COLUMNS($AB$1006:AD1006),$AB$1006:$AQ$1006,0)))),"Fix")))</f>
        <v>0</v>
      </c>
      <c r="E460" s="5">
        <f>IF(OR(INDEX($V$2:$V$1001,MATCH(ROWS($U$2:U460),$U$2:$U$1001,0),1)&gt;=100000,INDEX($AB$1005:$AQ$1005,1,MATCH(COLUMNS($AB$1006:AE1006),$AB$1006:$AQ$1006,0))&gt;=100000), " ",IF(INDEX($AB$2:$AQ$1001,MATCH(ROWS($U$2:U460),$U$2:$U$1001,0),MATCH(COLUMNS($AB$1006:AE1006),$AB$1006:$AQ$1006,0)), HYPERLINK("#",""), HYPERLINK(CONCATENATE("#Metadata!", ADDRESS(INDEX($W$2:$W$1001,MATCH(ROWS($U$2:U460),$U$2:$U$1001,0),0), INDEX($AB$1004:$AQ$1004,1,MATCH(COLUMNS($AB$1006:AE1006),$AB$1006:$AQ$1006,0)))),"Fix")))</f>
        <v>0</v>
      </c>
      <c r="F460" s="5">
        <f>IF(OR(INDEX($V$2:$V$1001,MATCH(ROWS($U$2:U460),$U$2:$U$1001,0),1)&gt;=100000,INDEX($AB$1005:$AQ$1005,1,MATCH(COLUMNS($AB$1006:AF1006),$AB$1006:$AQ$1006,0))&gt;=100000), " ",IF(INDEX($AB$2:$AQ$1001,MATCH(ROWS($U$2:U460),$U$2:$U$1001,0),MATCH(COLUMNS($AB$1006:AF1006),$AB$1006:$AQ$1006,0)), HYPERLINK("#",""), HYPERLINK(CONCATENATE("#Metadata!", ADDRESS(INDEX($W$2:$W$1001,MATCH(ROWS($U$2:U460),$U$2:$U$1001,0),0), INDEX($AB$1004:$AQ$1004,1,MATCH(COLUMNS($AB$1006:AF1006),$AB$1006:$AQ$1006,0)))),"Fix")))</f>
        <v>0</v>
      </c>
      <c r="G460" s="5">
        <f>IF(OR(INDEX($V$2:$V$1001,MATCH(ROWS($U$2:U460),$U$2:$U$1001,0),1)&gt;=100000,INDEX($AB$1005:$AQ$1005,1,MATCH(COLUMNS($AB$1006:AG1006),$AB$1006:$AQ$1006,0))&gt;=100000), " ",IF(INDEX($AB$2:$AQ$1001,MATCH(ROWS($U$2:U460),$U$2:$U$1001,0),MATCH(COLUMNS($AB$1006:AG1006),$AB$1006:$AQ$1006,0)), HYPERLINK("#",""), HYPERLINK(CONCATENATE("#Metadata!", ADDRESS(INDEX($W$2:$W$1001,MATCH(ROWS($U$2:U460),$U$2:$U$1001,0),0), INDEX($AB$1004:$AQ$1004,1,MATCH(COLUMNS($AB$1006:AG1006),$AB$1006:$AQ$1006,0)))),"Fix")))</f>
        <v>0</v>
      </c>
      <c r="H460" s="5">
        <f>IF(OR(INDEX($V$2:$V$1001,MATCH(ROWS($U$2:U460),$U$2:$U$1001,0),1)&gt;=100000,INDEX($AB$1005:$AQ$1005,1,MATCH(COLUMNS($AB$1006:AH1006),$AB$1006:$AQ$1006,0))&gt;=100000), " ",IF(INDEX($AB$2:$AQ$1001,MATCH(ROWS($U$2:U460),$U$2:$U$1001,0),MATCH(COLUMNS($AB$1006:AH1006),$AB$1006:$AQ$1006,0)), HYPERLINK("#",""), HYPERLINK(CONCATENATE("#Metadata!", ADDRESS(INDEX($W$2:$W$1001,MATCH(ROWS($U$2:U460),$U$2:$U$1001,0),0), INDEX($AB$1004:$AQ$1004,1,MATCH(COLUMNS($AB$1006:AH1006),$AB$1006:$AQ$1006,0)))),"Fix")))</f>
        <v>0</v>
      </c>
      <c r="I460" s="5">
        <f>IF(OR(INDEX($V$2:$V$1001,MATCH(ROWS($U$2:U460),$U$2:$U$1001,0),1)&gt;=100000,INDEX($AB$1005:$AQ$1005,1,MATCH(COLUMNS($AB$1006:AI1006),$AB$1006:$AQ$1006,0))&gt;=100000), " ",IF(INDEX($AB$2:$AQ$1001,MATCH(ROWS($U$2:U460),$U$2:$U$1001,0),MATCH(COLUMNS($AB$1006:AI1006),$AB$1006:$AQ$1006,0)), HYPERLINK("#",""), HYPERLINK(CONCATENATE("#Metadata!", ADDRESS(INDEX($W$2:$W$1001,MATCH(ROWS($U$2:U460),$U$2:$U$1001,0),0), INDEX($AB$1004:$AQ$1004,1,MATCH(COLUMNS($AB$1006:AI1006),$AB$1006:$AQ$1006,0)))),"Fix")))</f>
        <v>0</v>
      </c>
      <c r="J460" s="5">
        <f>IF(OR(INDEX($V$2:$V$1001,MATCH(ROWS($U$2:U460),$U$2:$U$1001,0),1)&gt;=100000,INDEX($AB$1005:$AQ$1005,1,MATCH(COLUMNS($AB$1006:AJ1006),$AB$1006:$AQ$1006,0))&gt;=100000), " ",IF(INDEX($AB$2:$AQ$1001,MATCH(ROWS($U$2:U460),$U$2:$U$1001,0),MATCH(COLUMNS($AB$1006:AJ1006),$AB$1006:$AQ$1006,0)), HYPERLINK("#",""), HYPERLINK(CONCATENATE("#Metadata!", ADDRESS(INDEX($W$2:$W$1001,MATCH(ROWS($U$2:U460),$U$2:$U$1001,0),0), INDEX($AB$1004:$AQ$1004,1,MATCH(COLUMNS($AB$1006:AJ1006),$AB$1006:$AQ$1006,0)))),"Fix")))</f>
        <v>0</v>
      </c>
      <c r="K460" s="5">
        <f>IF(OR(INDEX($V$2:$V$1001,MATCH(ROWS($U$2:U460),$U$2:$U$1001,0),1)&gt;=100000,INDEX($AB$1005:$AQ$1005,1,MATCH(COLUMNS($AB$1006:AK1006),$AB$1006:$AQ$1006,0))&gt;=100000), " ",IF(INDEX($AB$2:$AQ$1001,MATCH(ROWS($U$2:U460),$U$2:$U$1001,0),MATCH(COLUMNS($AB$1006:AK1006),$AB$1006:$AQ$1006,0)), HYPERLINK("#",""), HYPERLINK(CONCATENATE("#Metadata!", ADDRESS(INDEX($W$2:$W$1001,MATCH(ROWS($U$2:U460),$U$2:$U$1001,0),0), INDEX($AB$1004:$AQ$1004,1,MATCH(COLUMNS($AB$1006:AK1006),$AB$1006:$AQ$1006,0)))),"Fix")))</f>
        <v>0</v>
      </c>
      <c r="L460" s="5">
        <f>IF(OR(INDEX($V$2:$V$1001,MATCH(ROWS($U$2:U460),$U$2:$U$1001,0),1)&gt;=100000,INDEX($AB$1005:$AQ$1005,1,MATCH(COLUMNS($AB$1006:AL1006),$AB$1006:$AQ$1006,0))&gt;=100000), " ",IF(INDEX($AB$2:$AQ$1001,MATCH(ROWS($U$2:U460),$U$2:$U$1001,0),MATCH(COLUMNS($AB$1006:AL1006),$AB$1006:$AQ$1006,0)), HYPERLINK("#",""), HYPERLINK(CONCATENATE("#Metadata!", ADDRESS(INDEX($W$2:$W$1001,MATCH(ROWS($U$2:U460),$U$2:$U$1001,0),0), INDEX($AB$1004:$AQ$1004,1,MATCH(COLUMNS($AB$1006:AL1006),$AB$1006:$AQ$1006,0)))),"Fix")))</f>
        <v>0</v>
      </c>
      <c r="M460" s="5">
        <f>IF(OR(INDEX($V$2:$V$1001,MATCH(ROWS($U$2:U460),$U$2:$U$1001,0),1)&gt;=100000,INDEX($AB$1005:$AQ$1005,1,MATCH(COLUMNS($AB$1006:AM1006),$AB$1006:$AQ$1006,0))&gt;=100000), " ",IF(INDEX($AB$2:$AQ$1001,MATCH(ROWS($U$2:U460),$U$2:$U$1001,0),MATCH(COLUMNS($AB$1006:AM1006),$AB$1006:$AQ$1006,0)), HYPERLINK("#",""), HYPERLINK(CONCATENATE("#Metadata!", ADDRESS(INDEX($W$2:$W$1001,MATCH(ROWS($U$2:U460),$U$2:$U$1001,0),0), INDEX($AB$1004:$AQ$1004,1,MATCH(COLUMNS($AB$1006:AM1006),$AB$1006:$AQ$1006,0)))),"Fix")))</f>
        <v>0</v>
      </c>
      <c r="N460" s="5">
        <f>IF(OR(INDEX($V$2:$V$1001,MATCH(ROWS($U$2:U460),$U$2:$U$1001,0),1)&gt;=100000,INDEX($AB$1005:$AQ$1005,1,MATCH(COLUMNS($AB$1006:AN1006),$AB$1006:$AQ$1006,0))&gt;=100000), " ",IF(INDEX($AB$2:$AQ$1001,MATCH(ROWS($U$2:U460),$U$2:$U$1001,0),MATCH(COLUMNS($AB$1006:AN1006),$AB$1006:$AQ$1006,0)), HYPERLINK("#",""), HYPERLINK(CONCATENATE("#Metadata!", ADDRESS(INDEX($W$2:$W$1001,MATCH(ROWS($U$2:U460),$U$2:$U$1001,0),0), INDEX($AB$1004:$AQ$1004,1,MATCH(COLUMNS($AB$1006:AN1006),$AB$1006:$AQ$1006,0)))),"Fix")))</f>
        <v>0</v>
      </c>
      <c r="O460" s="5">
        <f>IF(OR(INDEX($V$2:$V$1001,MATCH(ROWS($U$2:U460),$U$2:$U$1001,0),1)&gt;=100000,INDEX($AB$1005:$AQ$1005,1,MATCH(COLUMNS($AB$1006:AO1006),$AB$1006:$AQ$1006,0))&gt;=100000), " ",IF(INDEX($AB$2:$AQ$1001,MATCH(ROWS($U$2:U460),$U$2:$U$1001,0),MATCH(COLUMNS($AB$1006:AO1006),$AB$1006:$AQ$1006,0)), HYPERLINK("#",""), HYPERLINK(CONCATENATE("#Metadata!", ADDRESS(INDEX($W$2:$W$1001,MATCH(ROWS($U$2:U460),$U$2:$U$1001,0),0), INDEX($AB$1004:$AQ$1004,1,MATCH(COLUMNS($AB$1006:AO1006),$AB$1006:$AQ$1006,0)))),"Fix")))</f>
        <v>0</v>
      </c>
      <c r="P460" s="5">
        <f>IF(OR(INDEX($V$2:$V$1001,MATCH(ROWS($U$2:U460),$U$2:$U$1001,0),1)&gt;=100000,INDEX($AB$1005:$AQ$1005,1,MATCH(COLUMNS($AB$1006:AP1006),$AB$1006:$AQ$1006,0))&gt;=100000), " ",IF(INDEX($AB$2:$AQ$1001,MATCH(ROWS($U$2:U460),$U$2:$U$1001,0),MATCH(COLUMNS($AB$1006:AP1006),$AB$1006:$AQ$1006,0)), HYPERLINK("#",""), HYPERLINK(CONCATENATE("#Metadata!", ADDRESS(INDEX($W$2:$W$1001,MATCH(ROWS($U$2:U460),$U$2:$U$1001,0),0), INDEX($AB$1004:$AQ$1004,1,MATCH(COLUMNS($AB$1006:AP1006),$AB$1006:$AQ$1006,0)))),"Fix")))</f>
        <v>0</v>
      </c>
      <c r="Q460" s="5">
        <f>IF(OR(INDEX($V$2:$V$1001,MATCH(ROWS($U$2:U460),$U$2:$U$1001,0),1)&gt;=100000,INDEX($AB$1005:$AQ$1005,1,MATCH(COLUMNS($AB$1006:AQ1006),$AB$1006:$AQ$1006,0))&gt;=100000), " ",IF(INDEX($AB$2:$AQ$1001,MATCH(ROWS($U$2:U460),$U$2:$U$1001,0),MATCH(COLUMNS($AB$1006:AQ1006),$AB$1006:$AQ$1006,0)), HYPERLINK("#",""), HYPERLINK(CONCATENATE("#Metadata!", ADDRESS(INDEX($W$2:$W$1001,MATCH(ROWS($U$2:U460),$U$2:$U$1001,0),0), INDEX($AB$1004:$AQ$1004,1,MATCH(COLUMNS($AB$1006:AQ1006),$AB$1006:$AQ$1006,0)))),"Fix")))</f>
        <v>0</v>
      </c>
      <c r="U460">
        <v>0</v>
      </c>
      <c r="V460">
        <v>0</v>
      </c>
      <c r="W460">
        <v>0</v>
      </c>
      <c r="X460">
        <f>IF(Y460,TRUE,AND(AB460:AQ460))</f>
        <v>0</v>
      </c>
      <c r="Y460">
        <f>COUNTBLANK(Metadata!B460:Q460)=COLUMNS(Metadata!B460:Q460)</f>
        <v>0</v>
      </c>
      <c r="Z460">
        <v>0</v>
      </c>
      <c r="AB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AC460">
        <f>AND(IF(Metadata!C460="",FALSE,TRUE),exact(Metadata!C460,"urban biome"))</f>
        <v>0</v>
      </c>
      <c r="AD460">
        <f>AND(IF(Metadata!D460="",FALSE,TRUE),exact(Metadata!D460,"human-associated habitat"))</f>
        <v>0</v>
      </c>
      <c r="AE460">
        <f>AND(IF(Metadata!E460="",FALSE,TRUE),OR(exact(Metadata!E460,"human-associated"),exact(Metadata!E460,"human-skin"),exact(Metadata!E460,"human-oral"),exact(Metadata!E460,"human-gut"),exact(Metadata!E460,"human-vaginal")))</f>
        <v>0</v>
      </c>
      <c r="AF460">
        <f>AND(IF(Metadata!F460="",FALSE,ISNUMBER(VALUE(Metadata!F460))),Metadata!F460&gt;0)</f>
        <v>0</v>
      </c>
      <c r="AG460">
        <f>AND(IF(Metadata!G460="",FALSE,TRUE),exact(Metadata!G460,"years"))</f>
        <v>0</v>
      </c>
      <c r="AH460">
        <f>OR(AND(IF(Metadata!H460="",FALSE,TRUE),OR(exact(Metadata!H460,"not applicable"),exact(Metadata!H460,"not collected"),exact(Metadata!H460,"not provided"),exact(Metadata!H460,"restricted access"))),AND(IF(Metadata!H460="",FALSE,ISNUMBER(VALUE(Metadata!H460))),Metadata!H460&gt;0))</f>
        <v>0</v>
      </c>
      <c r="AI460">
        <f>AND(IF(Metadata!I460="",FALSE,TRUE),exact(Metadata!I460,"human"))</f>
        <v>0</v>
      </c>
      <c r="AJ460">
        <f>AND(IF(Metadata!J460="",FALSE,ISNUMBER(VALUE(Metadata!J460))),Metadata!J460&gt;0)</f>
        <v>0</v>
      </c>
      <c r="AK460">
        <f>AND(IF(Metadata!K460="",FALSE,TRUE),exact(Metadata!K460,"cm"))</f>
        <v>0</v>
      </c>
      <c r="AL460">
        <f>AND(IF(Metadata!L460="",FALSE,TRUE),exact(Metadata!L460,"Homo sapiens"))</f>
        <v>0</v>
      </c>
      <c r="AM460">
        <f>AND(IF(Metadata!M460="",FALSE,TRUE),exact(Metadata!M460,"9606"))</f>
        <v>0</v>
      </c>
      <c r="AN460">
        <f>AND(IF(Metadata!N460="",FALSE,ISNUMBER(VALUE(Metadata!N460))),Metadata!N460&gt;0)</f>
        <v>0</v>
      </c>
      <c r="AO460">
        <f>AND(IF(Metadata!O460="",FALSE,TRUE),exact(Metadata!O460,"kg"))</f>
        <v>0</v>
      </c>
      <c r="AP460">
        <f>OR(AND(IF(Metadata!P460="",FALSE,TRUE),exact(Metadata!P460,"not provided")),IF(Metadata!P460="",FALSE,TRUE))</f>
        <v>0</v>
      </c>
      <c r="AQ460">
        <f>OR(AND(IF(Metadata!Q460="",FALSE,TRUE),exact(Metadata!Q460,"not provided")),IF(Metadata!Q460="",FALSE,TRUE))</f>
        <v>0</v>
      </c>
    </row>
    <row r="461" spans="1:43">
      <c r="A461" s="4">
        <f>IF(B461=" "," ",HYPERLINK(CONCATENATE("#metadata!",ADDRESS(INDEX($W$2:$W$1001,MATCH(ROWS($U$2:U461),$U$2:$U$1001,0),0),2)),INDEX($Z$2:$Z$1001,MATCH(ROWS($U$2:U461),$U$2:$U$1001,0),0)))</f>
        <v>0</v>
      </c>
      <c r="B461" s="5">
        <f>IF(OR(INDEX($V$2:$V$1001,MATCH(ROWS($U$2:U461),$U$2:$U$1001,0),1)&gt;=100000,INDEX($AB$1005:$AQ$1005,1,MATCH(COLUMNS($AB$1006:AB1006),$AB$1006:$AQ$1006,0))&gt;=100000), " ",IF(INDEX($AB$2:$AQ$1001,MATCH(ROWS($U$2:U461),$U$2:$U$1001,0),MATCH(COLUMNS($AB$1006:AB1006),$AB$1006:$AQ$1006,0)), HYPERLINK("#",""), HYPERLINK(CONCATENATE("#Metadata!", ADDRESS(INDEX($W$2:$W$1001,MATCH(ROWS($U$2:U461),$U$2:$U$1001,0),0), INDEX($AB$1004:$AQ$1004,1,MATCH(COLUMNS($AB$1006:AB1006),$AB$1006:$AQ$1006,0)))),"Fix")))</f>
        <v>0</v>
      </c>
      <c r="C461" s="5">
        <f>IF(OR(INDEX($V$2:$V$1001,MATCH(ROWS($U$2:U461),$U$2:$U$1001,0),1)&gt;=100000,INDEX($AB$1005:$AQ$1005,1,MATCH(COLUMNS($AB$1006:AC1006),$AB$1006:$AQ$1006,0))&gt;=100000), " ",IF(INDEX($AB$2:$AQ$1001,MATCH(ROWS($U$2:U461),$U$2:$U$1001,0),MATCH(COLUMNS($AB$1006:AC1006),$AB$1006:$AQ$1006,0)), HYPERLINK("#",""), HYPERLINK(CONCATENATE("#Metadata!", ADDRESS(INDEX($W$2:$W$1001,MATCH(ROWS($U$2:U461),$U$2:$U$1001,0),0), INDEX($AB$1004:$AQ$1004,1,MATCH(COLUMNS($AB$1006:AC1006),$AB$1006:$AQ$1006,0)))),"Fix")))</f>
        <v>0</v>
      </c>
      <c r="D461" s="5">
        <f>IF(OR(INDEX($V$2:$V$1001,MATCH(ROWS($U$2:U461),$U$2:$U$1001,0),1)&gt;=100000,INDEX($AB$1005:$AQ$1005,1,MATCH(COLUMNS($AB$1006:AD1006),$AB$1006:$AQ$1006,0))&gt;=100000), " ",IF(INDEX($AB$2:$AQ$1001,MATCH(ROWS($U$2:U461),$U$2:$U$1001,0),MATCH(COLUMNS($AB$1006:AD1006),$AB$1006:$AQ$1006,0)), HYPERLINK("#",""), HYPERLINK(CONCATENATE("#Metadata!", ADDRESS(INDEX($W$2:$W$1001,MATCH(ROWS($U$2:U461),$U$2:$U$1001,0),0), INDEX($AB$1004:$AQ$1004,1,MATCH(COLUMNS($AB$1006:AD1006),$AB$1006:$AQ$1006,0)))),"Fix")))</f>
        <v>0</v>
      </c>
      <c r="E461" s="5">
        <f>IF(OR(INDEX($V$2:$V$1001,MATCH(ROWS($U$2:U461),$U$2:$U$1001,0),1)&gt;=100000,INDEX($AB$1005:$AQ$1005,1,MATCH(COLUMNS($AB$1006:AE1006),$AB$1006:$AQ$1006,0))&gt;=100000), " ",IF(INDEX($AB$2:$AQ$1001,MATCH(ROWS($U$2:U461),$U$2:$U$1001,0),MATCH(COLUMNS($AB$1006:AE1006),$AB$1006:$AQ$1006,0)), HYPERLINK("#",""), HYPERLINK(CONCATENATE("#Metadata!", ADDRESS(INDEX($W$2:$W$1001,MATCH(ROWS($U$2:U461),$U$2:$U$1001,0),0), INDEX($AB$1004:$AQ$1004,1,MATCH(COLUMNS($AB$1006:AE1006),$AB$1006:$AQ$1006,0)))),"Fix")))</f>
        <v>0</v>
      </c>
      <c r="F461" s="5">
        <f>IF(OR(INDEX($V$2:$V$1001,MATCH(ROWS($U$2:U461),$U$2:$U$1001,0),1)&gt;=100000,INDEX($AB$1005:$AQ$1005,1,MATCH(COLUMNS($AB$1006:AF1006),$AB$1006:$AQ$1006,0))&gt;=100000), " ",IF(INDEX($AB$2:$AQ$1001,MATCH(ROWS($U$2:U461),$U$2:$U$1001,0),MATCH(COLUMNS($AB$1006:AF1006),$AB$1006:$AQ$1006,0)), HYPERLINK("#",""), HYPERLINK(CONCATENATE("#Metadata!", ADDRESS(INDEX($W$2:$W$1001,MATCH(ROWS($U$2:U461),$U$2:$U$1001,0),0), INDEX($AB$1004:$AQ$1004,1,MATCH(COLUMNS($AB$1006:AF1006),$AB$1006:$AQ$1006,0)))),"Fix")))</f>
        <v>0</v>
      </c>
      <c r="G461" s="5">
        <f>IF(OR(INDEX($V$2:$V$1001,MATCH(ROWS($U$2:U461),$U$2:$U$1001,0),1)&gt;=100000,INDEX($AB$1005:$AQ$1005,1,MATCH(COLUMNS($AB$1006:AG1006),$AB$1006:$AQ$1006,0))&gt;=100000), " ",IF(INDEX($AB$2:$AQ$1001,MATCH(ROWS($U$2:U461),$U$2:$U$1001,0),MATCH(COLUMNS($AB$1006:AG1006),$AB$1006:$AQ$1006,0)), HYPERLINK("#",""), HYPERLINK(CONCATENATE("#Metadata!", ADDRESS(INDEX($W$2:$W$1001,MATCH(ROWS($U$2:U461),$U$2:$U$1001,0),0), INDEX($AB$1004:$AQ$1004,1,MATCH(COLUMNS($AB$1006:AG1006),$AB$1006:$AQ$1006,0)))),"Fix")))</f>
        <v>0</v>
      </c>
      <c r="H461" s="5">
        <f>IF(OR(INDEX($V$2:$V$1001,MATCH(ROWS($U$2:U461),$U$2:$U$1001,0),1)&gt;=100000,INDEX($AB$1005:$AQ$1005,1,MATCH(COLUMNS($AB$1006:AH1006),$AB$1006:$AQ$1006,0))&gt;=100000), " ",IF(INDEX($AB$2:$AQ$1001,MATCH(ROWS($U$2:U461),$U$2:$U$1001,0),MATCH(COLUMNS($AB$1006:AH1006),$AB$1006:$AQ$1006,0)), HYPERLINK("#",""), HYPERLINK(CONCATENATE("#Metadata!", ADDRESS(INDEX($W$2:$W$1001,MATCH(ROWS($U$2:U461),$U$2:$U$1001,0),0), INDEX($AB$1004:$AQ$1004,1,MATCH(COLUMNS($AB$1006:AH1006),$AB$1006:$AQ$1006,0)))),"Fix")))</f>
        <v>0</v>
      </c>
      <c r="I461" s="5">
        <f>IF(OR(INDEX($V$2:$V$1001,MATCH(ROWS($U$2:U461),$U$2:$U$1001,0),1)&gt;=100000,INDEX($AB$1005:$AQ$1005,1,MATCH(COLUMNS($AB$1006:AI1006),$AB$1006:$AQ$1006,0))&gt;=100000), " ",IF(INDEX($AB$2:$AQ$1001,MATCH(ROWS($U$2:U461),$U$2:$U$1001,0),MATCH(COLUMNS($AB$1006:AI1006),$AB$1006:$AQ$1006,0)), HYPERLINK("#",""), HYPERLINK(CONCATENATE("#Metadata!", ADDRESS(INDEX($W$2:$W$1001,MATCH(ROWS($U$2:U461),$U$2:$U$1001,0),0), INDEX($AB$1004:$AQ$1004,1,MATCH(COLUMNS($AB$1006:AI1006),$AB$1006:$AQ$1006,0)))),"Fix")))</f>
        <v>0</v>
      </c>
      <c r="J461" s="5">
        <f>IF(OR(INDEX($V$2:$V$1001,MATCH(ROWS($U$2:U461),$U$2:$U$1001,0),1)&gt;=100000,INDEX($AB$1005:$AQ$1005,1,MATCH(COLUMNS($AB$1006:AJ1006),$AB$1006:$AQ$1006,0))&gt;=100000), " ",IF(INDEX($AB$2:$AQ$1001,MATCH(ROWS($U$2:U461),$U$2:$U$1001,0),MATCH(COLUMNS($AB$1006:AJ1006),$AB$1006:$AQ$1006,0)), HYPERLINK("#",""), HYPERLINK(CONCATENATE("#Metadata!", ADDRESS(INDEX($W$2:$W$1001,MATCH(ROWS($U$2:U461),$U$2:$U$1001,0),0), INDEX($AB$1004:$AQ$1004,1,MATCH(COLUMNS($AB$1006:AJ1006),$AB$1006:$AQ$1006,0)))),"Fix")))</f>
        <v>0</v>
      </c>
      <c r="K461" s="5">
        <f>IF(OR(INDEX($V$2:$V$1001,MATCH(ROWS($U$2:U461),$U$2:$U$1001,0),1)&gt;=100000,INDEX($AB$1005:$AQ$1005,1,MATCH(COLUMNS($AB$1006:AK1006),$AB$1006:$AQ$1006,0))&gt;=100000), " ",IF(INDEX($AB$2:$AQ$1001,MATCH(ROWS($U$2:U461),$U$2:$U$1001,0),MATCH(COLUMNS($AB$1006:AK1006),$AB$1006:$AQ$1006,0)), HYPERLINK("#",""), HYPERLINK(CONCATENATE("#Metadata!", ADDRESS(INDEX($W$2:$W$1001,MATCH(ROWS($U$2:U461),$U$2:$U$1001,0),0), INDEX($AB$1004:$AQ$1004,1,MATCH(COLUMNS($AB$1006:AK1006),$AB$1006:$AQ$1006,0)))),"Fix")))</f>
        <v>0</v>
      </c>
      <c r="L461" s="5">
        <f>IF(OR(INDEX($V$2:$V$1001,MATCH(ROWS($U$2:U461),$U$2:$U$1001,0),1)&gt;=100000,INDEX($AB$1005:$AQ$1005,1,MATCH(COLUMNS($AB$1006:AL1006),$AB$1006:$AQ$1006,0))&gt;=100000), " ",IF(INDEX($AB$2:$AQ$1001,MATCH(ROWS($U$2:U461),$U$2:$U$1001,0),MATCH(COLUMNS($AB$1006:AL1006),$AB$1006:$AQ$1006,0)), HYPERLINK("#",""), HYPERLINK(CONCATENATE("#Metadata!", ADDRESS(INDEX($W$2:$W$1001,MATCH(ROWS($U$2:U461),$U$2:$U$1001,0),0), INDEX($AB$1004:$AQ$1004,1,MATCH(COLUMNS($AB$1006:AL1006),$AB$1006:$AQ$1006,0)))),"Fix")))</f>
        <v>0</v>
      </c>
      <c r="M461" s="5">
        <f>IF(OR(INDEX($V$2:$V$1001,MATCH(ROWS($U$2:U461),$U$2:$U$1001,0),1)&gt;=100000,INDEX($AB$1005:$AQ$1005,1,MATCH(COLUMNS($AB$1006:AM1006),$AB$1006:$AQ$1006,0))&gt;=100000), " ",IF(INDEX($AB$2:$AQ$1001,MATCH(ROWS($U$2:U461),$U$2:$U$1001,0),MATCH(COLUMNS($AB$1006:AM1006),$AB$1006:$AQ$1006,0)), HYPERLINK("#",""), HYPERLINK(CONCATENATE("#Metadata!", ADDRESS(INDEX($W$2:$W$1001,MATCH(ROWS($U$2:U461),$U$2:$U$1001,0),0), INDEX($AB$1004:$AQ$1004,1,MATCH(COLUMNS($AB$1006:AM1006),$AB$1006:$AQ$1006,0)))),"Fix")))</f>
        <v>0</v>
      </c>
      <c r="N461" s="5">
        <f>IF(OR(INDEX($V$2:$V$1001,MATCH(ROWS($U$2:U461),$U$2:$U$1001,0),1)&gt;=100000,INDEX($AB$1005:$AQ$1005,1,MATCH(COLUMNS($AB$1006:AN1006),$AB$1006:$AQ$1006,0))&gt;=100000), " ",IF(INDEX($AB$2:$AQ$1001,MATCH(ROWS($U$2:U461),$U$2:$U$1001,0),MATCH(COLUMNS($AB$1006:AN1006),$AB$1006:$AQ$1006,0)), HYPERLINK("#",""), HYPERLINK(CONCATENATE("#Metadata!", ADDRESS(INDEX($W$2:$W$1001,MATCH(ROWS($U$2:U461),$U$2:$U$1001,0),0), INDEX($AB$1004:$AQ$1004,1,MATCH(COLUMNS($AB$1006:AN1006),$AB$1006:$AQ$1006,0)))),"Fix")))</f>
        <v>0</v>
      </c>
      <c r="O461" s="5">
        <f>IF(OR(INDEX($V$2:$V$1001,MATCH(ROWS($U$2:U461),$U$2:$U$1001,0),1)&gt;=100000,INDEX($AB$1005:$AQ$1005,1,MATCH(COLUMNS($AB$1006:AO1006),$AB$1006:$AQ$1006,0))&gt;=100000), " ",IF(INDEX($AB$2:$AQ$1001,MATCH(ROWS($U$2:U461),$U$2:$U$1001,0),MATCH(COLUMNS($AB$1006:AO1006),$AB$1006:$AQ$1006,0)), HYPERLINK("#",""), HYPERLINK(CONCATENATE("#Metadata!", ADDRESS(INDEX($W$2:$W$1001,MATCH(ROWS($U$2:U461),$U$2:$U$1001,0),0), INDEX($AB$1004:$AQ$1004,1,MATCH(COLUMNS($AB$1006:AO1006),$AB$1006:$AQ$1006,0)))),"Fix")))</f>
        <v>0</v>
      </c>
      <c r="P461" s="5">
        <f>IF(OR(INDEX($V$2:$V$1001,MATCH(ROWS($U$2:U461),$U$2:$U$1001,0),1)&gt;=100000,INDEX($AB$1005:$AQ$1005,1,MATCH(COLUMNS($AB$1006:AP1006),$AB$1006:$AQ$1006,0))&gt;=100000), " ",IF(INDEX($AB$2:$AQ$1001,MATCH(ROWS($U$2:U461),$U$2:$U$1001,0),MATCH(COLUMNS($AB$1006:AP1006),$AB$1006:$AQ$1006,0)), HYPERLINK("#",""), HYPERLINK(CONCATENATE("#Metadata!", ADDRESS(INDEX($W$2:$W$1001,MATCH(ROWS($U$2:U461),$U$2:$U$1001,0),0), INDEX($AB$1004:$AQ$1004,1,MATCH(COLUMNS($AB$1006:AP1006),$AB$1006:$AQ$1006,0)))),"Fix")))</f>
        <v>0</v>
      </c>
      <c r="Q461" s="5">
        <f>IF(OR(INDEX($V$2:$V$1001,MATCH(ROWS($U$2:U461),$U$2:$U$1001,0),1)&gt;=100000,INDEX($AB$1005:$AQ$1005,1,MATCH(COLUMNS($AB$1006:AQ1006),$AB$1006:$AQ$1006,0))&gt;=100000), " ",IF(INDEX($AB$2:$AQ$1001,MATCH(ROWS($U$2:U461),$U$2:$U$1001,0),MATCH(COLUMNS($AB$1006:AQ1006),$AB$1006:$AQ$1006,0)), HYPERLINK("#",""), HYPERLINK(CONCATENATE("#Metadata!", ADDRESS(INDEX($W$2:$W$1001,MATCH(ROWS($U$2:U461),$U$2:$U$1001,0),0), INDEX($AB$1004:$AQ$1004,1,MATCH(COLUMNS($AB$1006:AQ1006),$AB$1006:$AQ$1006,0)))),"Fix")))</f>
        <v>0</v>
      </c>
      <c r="U461">
        <v>0</v>
      </c>
      <c r="V461">
        <v>0</v>
      </c>
      <c r="W461">
        <v>0</v>
      </c>
      <c r="X461">
        <f>IF(Y461,TRUE,AND(AB461:AQ461))</f>
        <v>0</v>
      </c>
      <c r="Y461">
        <f>COUNTBLANK(Metadata!B461:Q461)=COLUMNS(Metadata!B461:Q461)</f>
        <v>0</v>
      </c>
      <c r="Z461">
        <v>0</v>
      </c>
      <c r="AB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AC461">
        <f>AND(IF(Metadata!C461="",FALSE,TRUE),exact(Metadata!C461,"urban biome"))</f>
        <v>0</v>
      </c>
      <c r="AD461">
        <f>AND(IF(Metadata!D461="",FALSE,TRUE),exact(Metadata!D461,"human-associated habitat"))</f>
        <v>0</v>
      </c>
      <c r="AE461">
        <f>AND(IF(Metadata!E461="",FALSE,TRUE),OR(exact(Metadata!E461,"human-associated"),exact(Metadata!E461,"human-skin"),exact(Metadata!E461,"human-oral"),exact(Metadata!E461,"human-gut"),exact(Metadata!E461,"human-vaginal")))</f>
        <v>0</v>
      </c>
      <c r="AF461">
        <f>AND(IF(Metadata!F461="",FALSE,ISNUMBER(VALUE(Metadata!F461))),Metadata!F461&gt;0)</f>
        <v>0</v>
      </c>
      <c r="AG461">
        <f>AND(IF(Metadata!G461="",FALSE,TRUE),exact(Metadata!G461,"years"))</f>
        <v>0</v>
      </c>
      <c r="AH461">
        <f>OR(AND(IF(Metadata!H461="",FALSE,TRUE),OR(exact(Metadata!H461,"not applicable"),exact(Metadata!H461,"not collected"),exact(Metadata!H461,"not provided"),exact(Metadata!H461,"restricted access"))),AND(IF(Metadata!H461="",FALSE,ISNUMBER(VALUE(Metadata!H461))),Metadata!H461&gt;0))</f>
        <v>0</v>
      </c>
      <c r="AI461">
        <f>AND(IF(Metadata!I461="",FALSE,TRUE),exact(Metadata!I461,"human"))</f>
        <v>0</v>
      </c>
      <c r="AJ461">
        <f>AND(IF(Metadata!J461="",FALSE,ISNUMBER(VALUE(Metadata!J461))),Metadata!J461&gt;0)</f>
        <v>0</v>
      </c>
      <c r="AK461">
        <f>AND(IF(Metadata!K461="",FALSE,TRUE),exact(Metadata!K461,"cm"))</f>
        <v>0</v>
      </c>
      <c r="AL461">
        <f>AND(IF(Metadata!L461="",FALSE,TRUE),exact(Metadata!L461,"Homo sapiens"))</f>
        <v>0</v>
      </c>
      <c r="AM461">
        <f>AND(IF(Metadata!M461="",FALSE,TRUE),exact(Metadata!M461,"9606"))</f>
        <v>0</v>
      </c>
      <c r="AN461">
        <f>AND(IF(Metadata!N461="",FALSE,ISNUMBER(VALUE(Metadata!N461))),Metadata!N461&gt;0)</f>
        <v>0</v>
      </c>
      <c r="AO461">
        <f>AND(IF(Metadata!O461="",FALSE,TRUE),exact(Metadata!O461,"kg"))</f>
        <v>0</v>
      </c>
      <c r="AP461">
        <f>OR(AND(IF(Metadata!P461="",FALSE,TRUE),exact(Metadata!P461,"not provided")),IF(Metadata!P461="",FALSE,TRUE))</f>
        <v>0</v>
      </c>
      <c r="AQ461">
        <f>OR(AND(IF(Metadata!Q461="",FALSE,TRUE),exact(Metadata!Q461,"not provided")),IF(Metadata!Q461="",FALSE,TRUE))</f>
        <v>0</v>
      </c>
    </row>
    <row r="462" spans="1:43">
      <c r="A462" s="4">
        <f>IF(B462=" "," ",HYPERLINK(CONCATENATE("#metadata!",ADDRESS(INDEX($W$2:$W$1001,MATCH(ROWS($U$2:U462),$U$2:$U$1001,0),0),2)),INDEX($Z$2:$Z$1001,MATCH(ROWS($U$2:U462),$U$2:$U$1001,0),0)))</f>
        <v>0</v>
      </c>
      <c r="B462" s="5">
        <f>IF(OR(INDEX($V$2:$V$1001,MATCH(ROWS($U$2:U462),$U$2:$U$1001,0),1)&gt;=100000,INDEX($AB$1005:$AQ$1005,1,MATCH(COLUMNS($AB$1006:AB1006),$AB$1006:$AQ$1006,0))&gt;=100000), " ",IF(INDEX($AB$2:$AQ$1001,MATCH(ROWS($U$2:U462),$U$2:$U$1001,0),MATCH(COLUMNS($AB$1006:AB1006),$AB$1006:$AQ$1006,0)), HYPERLINK("#",""), HYPERLINK(CONCATENATE("#Metadata!", ADDRESS(INDEX($W$2:$W$1001,MATCH(ROWS($U$2:U462),$U$2:$U$1001,0),0), INDEX($AB$1004:$AQ$1004,1,MATCH(COLUMNS($AB$1006:AB1006),$AB$1006:$AQ$1006,0)))),"Fix")))</f>
        <v>0</v>
      </c>
      <c r="C462" s="5">
        <f>IF(OR(INDEX($V$2:$V$1001,MATCH(ROWS($U$2:U462),$U$2:$U$1001,0),1)&gt;=100000,INDEX($AB$1005:$AQ$1005,1,MATCH(COLUMNS($AB$1006:AC1006),$AB$1006:$AQ$1006,0))&gt;=100000), " ",IF(INDEX($AB$2:$AQ$1001,MATCH(ROWS($U$2:U462),$U$2:$U$1001,0),MATCH(COLUMNS($AB$1006:AC1006),$AB$1006:$AQ$1006,0)), HYPERLINK("#",""), HYPERLINK(CONCATENATE("#Metadata!", ADDRESS(INDEX($W$2:$W$1001,MATCH(ROWS($U$2:U462),$U$2:$U$1001,0),0), INDEX($AB$1004:$AQ$1004,1,MATCH(COLUMNS($AB$1006:AC1006),$AB$1006:$AQ$1006,0)))),"Fix")))</f>
        <v>0</v>
      </c>
      <c r="D462" s="5">
        <f>IF(OR(INDEX($V$2:$V$1001,MATCH(ROWS($U$2:U462),$U$2:$U$1001,0),1)&gt;=100000,INDEX($AB$1005:$AQ$1005,1,MATCH(COLUMNS($AB$1006:AD1006),$AB$1006:$AQ$1006,0))&gt;=100000), " ",IF(INDEX($AB$2:$AQ$1001,MATCH(ROWS($U$2:U462),$U$2:$U$1001,0),MATCH(COLUMNS($AB$1006:AD1006),$AB$1006:$AQ$1006,0)), HYPERLINK("#",""), HYPERLINK(CONCATENATE("#Metadata!", ADDRESS(INDEX($W$2:$W$1001,MATCH(ROWS($U$2:U462),$U$2:$U$1001,0),0), INDEX($AB$1004:$AQ$1004,1,MATCH(COLUMNS($AB$1006:AD1006),$AB$1006:$AQ$1006,0)))),"Fix")))</f>
        <v>0</v>
      </c>
      <c r="E462" s="5">
        <f>IF(OR(INDEX($V$2:$V$1001,MATCH(ROWS($U$2:U462),$U$2:$U$1001,0),1)&gt;=100000,INDEX($AB$1005:$AQ$1005,1,MATCH(COLUMNS($AB$1006:AE1006),$AB$1006:$AQ$1006,0))&gt;=100000), " ",IF(INDEX($AB$2:$AQ$1001,MATCH(ROWS($U$2:U462),$U$2:$U$1001,0),MATCH(COLUMNS($AB$1006:AE1006),$AB$1006:$AQ$1006,0)), HYPERLINK("#",""), HYPERLINK(CONCATENATE("#Metadata!", ADDRESS(INDEX($W$2:$W$1001,MATCH(ROWS($U$2:U462),$U$2:$U$1001,0),0), INDEX($AB$1004:$AQ$1004,1,MATCH(COLUMNS($AB$1006:AE1006),$AB$1006:$AQ$1006,0)))),"Fix")))</f>
        <v>0</v>
      </c>
      <c r="F462" s="5">
        <f>IF(OR(INDEX($V$2:$V$1001,MATCH(ROWS($U$2:U462),$U$2:$U$1001,0),1)&gt;=100000,INDEX($AB$1005:$AQ$1005,1,MATCH(COLUMNS($AB$1006:AF1006),$AB$1006:$AQ$1006,0))&gt;=100000), " ",IF(INDEX($AB$2:$AQ$1001,MATCH(ROWS($U$2:U462),$U$2:$U$1001,0),MATCH(COLUMNS($AB$1006:AF1006),$AB$1006:$AQ$1006,0)), HYPERLINK("#",""), HYPERLINK(CONCATENATE("#Metadata!", ADDRESS(INDEX($W$2:$W$1001,MATCH(ROWS($U$2:U462),$U$2:$U$1001,0),0), INDEX($AB$1004:$AQ$1004,1,MATCH(COLUMNS($AB$1006:AF1006),$AB$1006:$AQ$1006,0)))),"Fix")))</f>
        <v>0</v>
      </c>
      <c r="G462" s="5">
        <f>IF(OR(INDEX($V$2:$V$1001,MATCH(ROWS($U$2:U462),$U$2:$U$1001,0),1)&gt;=100000,INDEX($AB$1005:$AQ$1005,1,MATCH(COLUMNS($AB$1006:AG1006),$AB$1006:$AQ$1006,0))&gt;=100000), " ",IF(INDEX($AB$2:$AQ$1001,MATCH(ROWS($U$2:U462),$U$2:$U$1001,0),MATCH(COLUMNS($AB$1006:AG1006),$AB$1006:$AQ$1006,0)), HYPERLINK("#",""), HYPERLINK(CONCATENATE("#Metadata!", ADDRESS(INDEX($W$2:$W$1001,MATCH(ROWS($U$2:U462),$U$2:$U$1001,0),0), INDEX($AB$1004:$AQ$1004,1,MATCH(COLUMNS($AB$1006:AG1006),$AB$1006:$AQ$1006,0)))),"Fix")))</f>
        <v>0</v>
      </c>
      <c r="H462" s="5">
        <f>IF(OR(INDEX($V$2:$V$1001,MATCH(ROWS($U$2:U462),$U$2:$U$1001,0),1)&gt;=100000,INDEX($AB$1005:$AQ$1005,1,MATCH(COLUMNS($AB$1006:AH1006),$AB$1006:$AQ$1006,0))&gt;=100000), " ",IF(INDEX($AB$2:$AQ$1001,MATCH(ROWS($U$2:U462),$U$2:$U$1001,0),MATCH(COLUMNS($AB$1006:AH1006),$AB$1006:$AQ$1006,0)), HYPERLINK("#",""), HYPERLINK(CONCATENATE("#Metadata!", ADDRESS(INDEX($W$2:$W$1001,MATCH(ROWS($U$2:U462),$U$2:$U$1001,0),0), INDEX($AB$1004:$AQ$1004,1,MATCH(COLUMNS($AB$1006:AH1006),$AB$1006:$AQ$1006,0)))),"Fix")))</f>
        <v>0</v>
      </c>
      <c r="I462" s="5">
        <f>IF(OR(INDEX($V$2:$V$1001,MATCH(ROWS($U$2:U462),$U$2:$U$1001,0),1)&gt;=100000,INDEX($AB$1005:$AQ$1005,1,MATCH(COLUMNS($AB$1006:AI1006),$AB$1006:$AQ$1006,0))&gt;=100000), " ",IF(INDEX($AB$2:$AQ$1001,MATCH(ROWS($U$2:U462),$U$2:$U$1001,0),MATCH(COLUMNS($AB$1006:AI1006),$AB$1006:$AQ$1006,0)), HYPERLINK("#",""), HYPERLINK(CONCATENATE("#Metadata!", ADDRESS(INDEX($W$2:$W$1001,MATCH(ROWS($U$2:U462),$U$2:$U$1001,0),0), INDEX($AB$1004:$AQ$1004,1,MATCH(COLUMNS($AB$1006:AI1006),$AB$1006:$AQ$1006,0)))),"Fix")))</f>
        <v>0</v>
      </c>
      <c r="J462" s="5">
        <f>IF(OR(INDEX($V$2:$V$1001,MATCH(ROWS($U$2:U462),$U$2:$U$1001,0),1)&gt;=100000,INDEX($AB$1005:$AQ$1005,1,MATCH(COLUMNS($AB$1006:AJ1006),$AB$1006:$AQ$1006,0))&gt;=100000), " ",IF(INDEX($AB$2:$AQ$1001,MATCH(ROWS($U$2:U462),$U$2:$U$1001,0),MATCH(COLUMNS($AB$1006:AJ1006),$AB$1006:$AQ$1006,0)), HYPERLINK("#",""), HYPERLINK(CONCATENATE("#Metadata!", ADDRESS(INDEX($W$2:$W$1001,MATCH(ROWS($U$2:U462),$U$2:$U$1001,0),0), INDEX($AB$1004:$AQ$1004,1,MATCH(COLUMNS($AB$1006:AJ1006),$AB$1006:$AQ$1006,0)))),"Fix")))</f>
        <v>0</v>
      </c>
      <c r="K462" s="5">
        <f>IF(OR(INDEX($V$2:$V$1001,MATCH(ROWS($U$2:U462),$U$2:$U$1001,0),1)&gt;=100000,INDEX($AB$1005:$AQ$1005,1,MATCH(COLUMNS($AB$1006:AK1006),$AB$1006:$AQ$1006,0))&gt;=100000), " ",IF(INDEX($AB$2:$AQ$1001,MATCH(ROWS($U$2:U462),$U$2:$U$1001,0),MATCH(COLUMNS($AB$1006:AK1006),$AB$1006:$AQ$1006,0)), HYPERLINK("#",""), HYPERLINK(CONCATENATE("#Metadata!", ADDRESS(INDEX($W$2:$W$1001,MATCH(ROWS($U$2:U462),$U$2:$U$1001,0),0), INDEX($AB$1004:$AQ$1004,1,MATCH(COLUMNS($AB$1006:AK1006),$AB$1006:$AQ$1006,0)))),"Fix")))</f>
        <v>0</v>
      </c>
      <c r="L462" s="5">
        <f>IF(OR(INDEX($V$2:$V$1001,MATCH(ROWS($U$2:U462),$U$2:$U$1001,0),1)&gt;=100000,INDEX($AB$1005:$AQ$1005,1,MATCH(COLUMNS($AB$1006:AL1006),$AB$1006:$AQ$1006,0))&gt;=100000), " ",IF(INDEX($AB$2:$AQ$1001,MATCH(ROWS($U$2:U462),$U$2:$U$1001,0),MATCH(COLUMNS($AB$1006:AL1006),$AB$1006:$AQ$1006,0)), HYPERLINK("#",""), HYPERLINK(CONCATENATE("#Metadata!", ADDRESS(INDEX($W$2:$W$1001,MATCH(ROWS($U$2:U462),$U$2:$U$1001,0),0), INDEX($AB$1004:$AQ$1004,1,MATCH(COLUMNS($AB$1006:AL1006),$AB$1006:$AQ$1006,0)))),"Fix")))</f>
        <v>0</v>
      </c>
      <c r="M462" s="5">
        <f>IF(OR(INDEX($V$2:$V$1001,MATCH(ROWS($U$2:U462),$U$2:$U$1001,0),1)&gt;=100000,INDEX($AB$1005:$AQ$1005,1,MATCH(COLUMNS($AB$1006:AM1006),$AB$1006:$AQ$1006,0))&gt;=100000), " ",IF(INDEX($AB$2:$AQ$1001,MATCH(ROWS($U$2:U462),$U$2:$U$1001,0),MATCH(COLUMNS($AB$1006:AM1006),$AB$1006:$AQ$1006,0)), HYPERLINK("#",""), HYPERLINK(CONCATENATE("#Metadata!", ADDRESS(INDEX($W$2:$W$1001,MATCH(ROWS($U$2:U462),$U$2:$U$1001,0),0), INDEX($AB$1004:$AQ$1004,1,MATCH(COLUMNS($AB$1006:AM1006),$AB$1006:$AQ$1006,0)))),"Fix")))</f>
        <v>0</v>
      </c>
      <c r="N462" s="5">
        <f>IF(OR(INDEX($V$2:$V$1001,MATCH(ROWS($U$2:U462),$U$2:$U$1001,0),1)&gt;=100000,INDEX($AB$1005:$AQ$1005,1,MATCH(COLUMNS($AB$1006:AN1006),$AB$1006:$AQ$1006,0))&gt;=100000), " ",IF(INDEX($AB$2:$AQ$1001,MATCH(ROWS($U$2:U462),$U$2:$U$1001,0),MATCH(COLUMNS($AB$1006:AN1006),$AB$1006:$AQ$1006,0)), HYPERLINK("#",""), HYPERLINK(CONCATENATE("#Metadata!", ADDRESS(INDEX($W$2:$W$1001,MATCH(ROWS($U$2:U462),$U$2:$U$1001,0),0), INDEX($AB$1004:$AQ$1004,1,MATCH(COLUMNS($AB$1006:AN1006),$AB$1006:$AQ$1006,0)))),"Fix")))</f>
        <v>0</v>
      </c>
      <c r="O462" s="5">
        <f>IF(OR(INDEX($V$2:$V$1001,MATCH(ROWS($U$2:U462),$U$2:$U$1001,0),1)&gt;=100000,INDEX($AB$1005:$AQ$1005,1,MATCH(COLUMNS($AB$1006:AO1006),$AB$1006:$AQ$1006,0))&gt;=100000), " ",IF(INDEX($AB$2:$AQ$1001,MATCH(ROWS($U$2:U462),$U$2:$U$1001,0),MATCH(COLUMNS($AB$1006:AO1006),$AB$1006:$AQ$1006,0)), HYPERLINK("#",""), HYPERLINK(CONCATENATE("#Metadata!", ADDRESS(INDEX($W$2:$W$1001,MATCH(ROWS($U$2:U462),$U$2:$U$1001,0),0), INDEX($AB$1004:$AQ$1004,1,MATCH(COLUMNS($AB$1006:AO1006),$AB$1006:$AQ$1006,0)))),"Fix")))</f>
        <v>0</v>
      </c>
      <c r="P462" s="5">
        <f>IF(OR(INDEX($V$2:$V$1001,MATCH(ROWS($U$2:U462),$U$2:$U$1001,0),1)&gt;=100000,INDEX($AB$1005:$AQ$1005,1,MATCH(COLUMNS($AB$1006:AP1006),$AB$1006:$AQ$1006,0))&gt;=100000), " ",IF(INDEX($AB$2:$AQ$1001,MATCH(ROWS($U$2:U462),$U$2:$U$1001,0),MATCH(COLUMNS($AB$1006:AP1006),$AB$1006:$AQ$1006,0)), HYPERLINK("#",""), HYPERLINK(CONCATENATE("#Metadata!", ADDRESS(INDEX($W$2:$W$1001,MATCH(ROWS($U$2:U462),$U$2:$U$1001,0),0), INDEX($AB$1004:$AQ$1004,1,MATCH(COLUMNS($AB$1006:AP1006),$AB$1006:$AQ$1006,0)))),"Fix")))</f>
        <v>0</v>
      </c>
      <c r="Q462" s="5">
        <f>IF(OR(INDEX($V$2:$V$1001,MATCH(ROWS($U$2:U462),$U$2:$U$1001,0),1)&gt;=100000,INDEX($AB$1005:$AQ$1005,1,MATCH(COLUMNS($AB$1006:AQ1006),$AB$1006:$AQ$1006,0))&gt;=100000), " ",IF(INDEX($AB$2:$AQ$1001,MATCH(ROWS($U$2:U462),$U$2:$U$1001,0),MATCH(COLUMNS($AB$1006:AQ1006),$AB$1006:$AQ$1006,0)), HYPERLINK("#",""), HYPERLINK(CONCATENATE("#Metadata!", ADDRESS(INDEX($W$2:$W$1001,MATCH(ROWS($U$2:U462),$U$2:$U$1001,0),0), INDEX($AB$1004:$AQ$1004,1,MATCH(COLUMNS($AB$1006:AQ1006),$AB$1006:$AQ$1006,0)))),"Fix")))</f>
        <v>0</v>
      </c>
      <c r="U462">
        <v>0</v>
      </c>
      <c r="V462">
        <v>0</v>
      </c>
      <c r="W462">
        <v>0</v>
      </c>
      <c r="X462">
        <f>IF(Y462,TRUE,AND(AB462:AQ462))</f>
        <v>0</v>
      </c>
      <c r="Y462">
        <f>COUNTBLANK(Metadata!B462:Q462)=COLUMNS(Metadata!B462:Q462)</f>
        <v>0</v>
      </c>
      <c r="Z462">
        <v>0</v>
      </c>
      <c r="AB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AC462">
        <f>AND(IF(Metadata!C462="",FALSE,TRUE),exact(Metadata!C462,"urban biome"))</f>
        <v>0</v>
      </c>
      <c r="AD462">
        <f>AND(IF(Metadata!D462="",FALSE,TRUE),exact(Metadata!D462,"human-associated habitat"))</f>
        <v>0</v>
      </c>
      <c r="AE462">
        <f>AND(IF(Metadata!E462="",FALSE,TRUE),OR(exact(Metadata!E462,"human-associated"),exact(Metadata!E462,"human-skin"),exact(Metadata!E462,"human-oral"),exact(Metadata!E462,"human-gut"),exact(Metadata!E462,"human-vaginal")))</f>
        <v>0</v>
      </c>
      <c r="AF462">
        <f>AND(IF(Metadata!F462="",FALSE,ISNUMBER(VALUE(Metadata!F462))),Metadata!F462&gt;0)</f>
        <v>0</v>
      </c>
      <c r="AG462">
        <f>AND(IF(Metadata!G462="",FALSE,TRUE),exact(Metadata!G462,"years"))</f>
        <v>0</v>
      </c>
      <c r="AH462">
        <f>OR(AND(IF(Metadata!H462="",FALSE,TRUE),OR(exact(Metadata!H462,"not applicable"),exact(Metadata!H462,"not collected"),exact(Metadata!H462,"not provided"),exact(Metadata!H462,"restricted access"))),AND(IF(Metadata!H462="",FALSE,ISNUMBER(VALUE(Metadata!H462))),Metadata!H462&gt;0))</f>
        <v>0</v>
      </c>
      <c r="AI462">
        <f>AND(IF(Metadata!I462="",FALSE,TRUE),exact(Metadata!I462,"human"))</f>
        <v>0</v>
      </c>
      <c r="AJ462">
        <f>AND(IF(Metadata!J462="",FALSE,ISNUMBER(VALUE(Metadata!J462))),Metadata!J462&gt;0)</f>
        <v>0</v>
      </c>
      <c r="AK462">
        <f>AND(IF(Metadata!K462="",FALSE,TRUE),exact(Metadata!K462,"cm"))</f>
        <v>0</v>
      </c>
      <c r="AL462">
        <f>AND(IF(Metadata!L462="",FALSE,TRUE),exact(Metadata!L462,"Homo sapiens"))</f>
        <v>0</v>
      </c>
      <c r="AM462">
        <f>AND(IF(Metadata!M462="",FALSE,TRUE),exact(Metadata!M462,"9606"))</f>
        <v>0</v>
      </c>
      <c r="AN462">
        <f>AND(IF(Metadata!N462="",FALSE,ISNUMBER(VALUE(Metadata!N462))),Metadata!N462&gt;0)</f>
        <v>0</v>
      </c>
      <c r="AO462">
        <f>AND(IF(Metadata!O462="",FALSE,TRUE),exact(Metadata!O462,"kg"))</f>
        <v>0</v>
      </c>
      <c r="AP462">
        <f>OR(AND(IF(Metadata!P462="",FALSE,TRUE),exact(Metadata!P462,"not provided")),IF(Metadata!P462="",FALSE,TRUE))</f>
        <v>0</v>
      </c>
      <c r="AQ462">
        <f>OR(AND(IF(Metadata!Q462="",FALSE,TRUE),exact(Metadata!Q462,"not provided")),IF(Metadata!Q462="",FALSE,TRUE))</f>
        <v>0</v>
      </c>
    </row>
    <row r="463" spans="1:43">
      <c r="A463" s="4">
        <f>IF(B463=" "," ",HYPERLINK(CONCATENATE("#metadata!",ADDRESS(INDEX($W$2:$W$1001,MATCH(ROWS($U$2:U463),$U$2:$U$1001,0),0),2)),INDEX($Z$2:$Z$1001,MATCH(ROWS($U$2:U463),$U$2:$U$1001,0),0)))</f>
        <v>0</v>
      </c>
      <c r="B463" s="5">
        <f>IF(OR(INDEX($V$2:$V$1001,MATCH(ROWS($U$2:U463),$U$2:$U$1001,0),1)&gt;=100000,INDEX($AB$1005:$AQ$1005,1,MATCH(COLUMNS($AB$1006:AB1006),$AB$1006:$AQ$1006,0))&gt;=100000), " ",IF(INDEX($AB$2:$AQ$1001,MATCH(ROWS($U$2:U463),$U$2:$U$1001,0),MATCH(COLUMNS($AB$1006:AB1006),$AB$1006:$AQ$1006,0)), HYPERLINK("#",""), HYPERLINK(CONCATENATE("#Metadata!", ADDRESS(INDEX($W$2:$W$1001,MATCH(ROWS($U$2:U463),$U$2:$U$1001,0),0), INDEX($AB$1004:$AQ$1004,1,MATCH(COLUMNS($AB$1006:AB1006),$AB$1006:$AQ$1006,0)))),"Fix")))</f>
        <v>0</v>
      </c>
      <c r="C463" s="5">
        <f>IF(OR(INDEX($V$2:$V$1001,MATCH(ROWS($U$2:U463),$U$2:$U$1001,0),1)&gt;=100000,INDEX($AB$1005:$AQ$1005,1,MATCH(COLUMNS($AB$1006:AC1006),$AB$1006:$AQ$1006,0))&gt;=100000), " ",IF(INDEX($AB$2:$AQ$1001,MATCH(ROWS($U$2:U463),$U$2:$U$1001,0),MATCH(COLUMNS($AB$1006:AC1006),$AB$1006:$AQ$1006,0)), HYPERLINK("#",""), HYPERLINK(CONCATENATE("#Metadata!", ADDRESS(INDEX($W$2:$W$1001,MATCH(ROWS($U$2:U463),$U$2:$U$1001,0),0), INDEX($AB$1004:$AQ$1004,1,MATCH(COLUMNS($AB$1006:AC1006),$AB$1006:$AQ$1006,0)))),"Fix")))</f>
        <v>0</v>
      </c>
      <c r="D463" s="5">
        <f>IF(OR(INDEX($V$2:$V$1001,MATCH(ROWS($U$2:U463),$U$2:$U$1001,0),1)&gt;=100000,INDEX($AB$1005:$AQ$1005,1,MATCH(COLUMNS($AB$1006:AD1006),$AB$1006:$AQ$1006,0))&gt;=100000), " ",IF(INDEX($AB$2:$AQ$1001,MATCH(ROWS($U$2:U463),$U$2:$U$1001,0),MATCH(COLUMNS($AB$1006:AD1006),$AB$1006:$AQ$1006,0)), HYPERLINK("#",""), HYPERLINK(CONCATENATE("#Metadata!", ADDRESS(INDEX($W$2:$W$1001,MATCH(ROWS($U$2:U463),$U$2:$U$1001,0),0), INDEX($AB$1004:$AQ$1004,1,MATCH(COLUMNS($AB$1006:AD1006),$AB$1006:$AQ$1006,0)))),"Fix")))</f>
        <v>0</v>
      </c>
      <c r="E463" s="5">
        <f>IF(OR(INDEX($V$2:$V$1001,MATCH(ROWS($U$2:U463),$U$2:$U$1001,0),1)&gt;=100000,INDEX($AB$1005:$AQ$1005,1,MATCH(COLUMNS($AB$1006:AE1006),$AB$1006:$AQ$1006,0))&gt;=100000), " ",IF(INDEX($AB$2:$AQ$1001,MATCH(ROWS($U$2:U463),$U$2:$U$1001,0),MATCH(COLUMNS($AB$1006:AE1006),$AB$1006:$AQ$1006,0)), HYPERLINK("#",""), HYPERLINK(CONCATENATE("#Metadata!", ADDRESS(INDEX($W$2:$W$1001,MATCH(ROWS($U$2:U463),$U$2:$U$1001,0),0), INDEX($AB$1004:$AQ$1004,1,MATCH(COLUMNS($AB$1006:AE1006),$AB$1006:$AQ$1006,0)))),"Fix")))</f>
        <v>0</v>
      </c>
      <c r="F463" s="5">
        <f>IF(OR(INDEX($V$2:$V$1001,MATCH(ROWS($U$2:U463),$U$2:$U$1001,0),1)&gt;=100000,INDEX($AB$1005:$AQ$1005,1,MATCH(COLUMNS($AB$1006:AF1006),$AB$1006:$AQ$1006,0))&gt;=100000), " ",IF(INDEX($AB$2:$AQ$1001,MATCH(ROWS($U$2:U463),$U$2:$U$1001,0),MATCH(COLUMNS($AB$1006:AF1006),$AB$1006:$AQ$1006,0)), HYPERLINK("#",""), HYPERLINK(CONCATENATE("#Metadata!", ADDRESS(INDEX($W$2:$W$1001,MATCH(ROWS($U$2:U463),$U$2:$U$1001,0),0), INDEX($AB$1004:$AQ$1004,1,MATCH(COLUMNS($AB$1006:AF1006),$AB$1006:$AQ$1006,0)))),"Fix")))</f>
        <v>0</v>
      </c>
      <c r="G463" s="5">
        <f>IF(OR(INDEX($V$2:$V$1001,MATCH(ROWS($U$2:U463),$U$2:$U$1001,0),1)&gt;=100000,INDEX($AB$1005:$AQ$1005,1,MATCH(COLUMNS($AB$1006:AG1006),$AB$1006:$AQ$1006,0))&gt;=100000), " ",IF(INDEX($AB$2:$AQ$1001,MATCH(ROWS($U$2:U463),$U$2:$U$1001,0),MATCH(COLUMNS($AB$1006:AG1006),$AB$1006:$AQ$1006,0)), HYPERLINK("#",""), HYPERLINK(CONCATENATE("#Metadata!", ADDRESS(INDEX($W$2:$W$1001,MATCH(ROWS($U$2:U463),$U$2:$U$1001,0),0), INDEX($AB$1004:$AQ$1004,1,MATCH(COLUMNS($AB$1006:AG1006),$AB$1006:$AQ$1006,0)))),"Fix")))</f>
        <v>0</v>
      </c>
      <c r="H463" s="5">
        <f>IF(OR(INDEX($V$2:$V$1001,MATCH(ROWS($U$2:U463),$U$2:$U$1001,0),1)&gt;=100000,INDEX($AB$1005:$AQ$1005,1,MATCH(COLUMNS($AB$1006:AH1006),$AB$1006:$AQ$1006,0))&gt;=100000), " ",IF(INDEX($AB$2:$AQ$1001,MATCH(ROWS($U$2:U463),$U$2:$U$1001,0),MATCH(COLUMNS($AB$1006:AH1006),$AB$1006:$AQ$1006,0)), HYPERLINK("#",""), HYPERLINK(CONCATENATE("#Metadata!", ADDRESS(INDEX($W$2:$W$1001,MATCH(ROWS($U$2:U463),$U$2:$U$1001,0),0), INDEX($AB$1004:$AQ$1004,1,MATCH(COLUMNS($AB$1006:AH1006),$AB$1006:$AQ$1006,0)))),"Fix")))</f>
        <v>0</v>
      </c>
      <c r="I463" s="5">
        <f>IF(OR(INDEX($V$2:$V$1001,MATCH(ROWS($U$2:U463),$U$2:$U$1001,0),1)&gt;=100000,INDEX($AB$1005:$AQ$1005,1,MATCH(COLUMNS($AB$1006:AI1006),$AB$1006:$AQ$1006,0))&gt;=100000), " ",IF(INDEX($AB$2:$AQ$1001,MATCH(ROWS($U$2:U463),$U$2:$U$1001,0),MATCH(COLUMNS($AB$1006:AI1006),$AB$1006:$AQ$1006,0)), HYPERLINK("#",""), HYPERLINK(CONCATENATE("#Metadata!", ADDRESS(INDEX($W$2:$W$1001,MATCH(ROWS($U$2:U463),$U$2:$U$1001,0),0), INDEX($AB$1004:$AQ$1004,1,MATCH(COLUMNS($AB$1006:AI1006),$AB$1006:$AQ$1006,0)))),"Fix")))</f>
        <v>0</v>
      </c>
      <c r="J463" s="5">
        <f>IF(OR(INDEX($V$2:$V$1001,MATCH(ROWS($U$2:U463),$U$2:$U$1001,0),1)&gt;=100000,INDEX($AB$1005:$AQ$1005,1,MATCH(COLUMNS($AB$1006:AJ1006),$AB$1006:$AQ$1006,0))&gt;=100000), " ",IF(INDEX($AB$2:$AQ$1001,MATCH(ROWS($U$2:U463),$U$2:$U$1001,0),MATCH(COLUMNS($AB$1006:AJ1006),$AB$1006:$AQ$1006,0)), HYPERLINK("#",""), HYPERLINK(CONCATENATE("#Metadata!", ADDRESS(INDEX($W$2:$W$1001,MATCH(ROWS($U$2:U463),$U$2:$U$1001,0),0), INDEX($AB$1004:$AQ$1004,1,MATCH(COLUMNS($AB$1006:AJ1006),$AB$1006:$AQ$1006,0)))),"Fix")))</f>
        <v>0</v>
      </c>
      <c r="K463" s="5">
        <f>IF(OR(INDEX($V$2:$V$1001,MATCH(ROWS($U$2:U463),$U$2:$U$1001,0),1)&gt;=100000,INDEX($AB$1005:$AQ$1005,1,MATCH(COLUMNS($AB$1006:AK1006),$AB$1006:$AQ$1006,0))&gt;=100000), " ",IF(INDEX($AB$2:$AQ$1001,MATCH(ROWS($U$2:U463),$U$2:$U$1001,0),MATCH(COLUMNS($AB$1006:AK1006),$AB$1006:$AQ$1006,0)), HYPERLINK("#",""), HYPERLINK(CONCATENATE("#Metadata!", ADDRESS(INDEX($W$2:$W$1001,MATCH(ROWS($U$2:U463),$U$2:$U$1001,0),0), INDEX($AB$1004:$AQ$1004,1,MATCH(COLUMNS($AB$1006:AK1006),$AB$1006:$AQ$1006,0)))),"Fix")))</f>
        <v>0</v>
      </c>
      <c r="L463" s="5">
        <f>IF(OR(INDEX($V$2:$V$1001,MATCH(ROWS($U$2:U463),$U$2:$U$1001,0),1)&gt;=100000,INDEX($AB$1005:$AQ$1005,1,MATCH(COLUMNS($AB$1006:AL1006),$AB$1006:$AQ$1006,0))&gt;=100000), " ",IF(INDEX($AB$2:$AQ$1001,MATCH(ROWS($U$2:U463),$U$2:$U$1001,0),MATCH(COLUMNS($AB$1006:AL1006),$AB$1006:$AQ$1006,0)), HYPERLINK("#",""), HYPERLINK(CONCATENATE("#Metadata!", ADDRESS(INDEX($W$2:$W$1001,MATCH(ROWS($U$2:U463),$U$2:$U$1001,0),0), INDEX($AB$1004:$AQ$1004,1,MATCH(COLUMNS($AB$1006:AL1006),$AB$1006:$AQ$1006,0)))),"Fix")))</f>
        <v>0</v>
      </c>
      <c r="M463" s="5">
        <f>IF(OR(INDEX($V$2:$V$1001,MATCH(ROWS($U$2:U463),$U$2:$U$1001,0),1)&gt;=100000,INDEX($AB$1005:$AQ$1005,1,MATCH(COLUMNS($AB$1006:AM1006),$AB$1006:$AQ$1006,0))&gt;=100000), " ",IF(INDEX($AB$2:$AQ$1001,MATCH(ROWS($U$2:U463),$U$2:$U$1001,0),MATCH(COLUMNS($AB$1006:AM1006),$AB$1006:$AQ$1006,0)), HYPERLINK("#",""), HYPERLINK(CONCATENATE("#Metadata!", ADDRESS(INDEX($W$2:$W$1001,MATCH(ROWS($U$2:U463),$U$2:$U$1001,0),0), INDEX($AB$1004:$AQ$1004,1,MATCH(COLUMNS($AB$1006:AM1006),$AB$1006:$AQ$1006,0)))),"Fix")))</f>
        <v>0</v>
      </c>
      <c r="N463" s="5">
        <f>IF(OR(INDEX($V$2:$V$1001,MATCH(ROWS($U$2:U463),$U$2:$U$1001,0),1)&gt;=100000,INDEX($AB$1005:$AQ$1005,1,MATCH(COLUMNS($AB$1006:AN1006),$AB$1006:$AQ$1006,0))&gt;=100000), " ",IF(INDEX($AB$2:$AQ$1001,MATCH(ROWS($U$2:U463),$U$2:$U$1001,0),MATCH(COLUMNS($AB$1006:AN1006),$AB$1006:$AQ$1006,0)), HYPERLINK("#",""), HYPERLINK(CONCATENATE("#Metadata!", ADDRESS(INDEX($W$2:$W$1001,MATCH(ROWS($U$2:U463),$U$2:$U$1001,0),0), INDEX($AB$1004:$AQ$1004,1,MATCH(COLUMNS($AB$1006:AN1006),$AB$1006:$AQ$1006,0)))),"Fix")))</f>
        <v>0</v>
      </c>
      <c r="O463" s="5">
        <f>IF(OR(INDEX($V$2:$V$1001,MATCH(ROWS($U$2:U463),$U$2:$U$1001,0),1)&gt;=100000,INDEX($AB$1005:$AQ$1005,1,MATCH(COLUMNS($AB$1006:AO1006),$AB$1006:$AQ$1006,0))&gt;=100000), " ",IF(INDEX($AB$2:$AQ$1001,MATCH(ROWS($U$2:U463),$U$2:$U$1001,0),MATCH(COLUMNS($AB$1006:AO1006),$AB$1006:$AQ$1006,0)), HYPERLINK("#",""), HYPERLINK(CONCATENATE("#Metadata!", ADDRESS(INDEX($W$2:$W$1001,MATCH(ROWS($U$2:U463),$U$2:$U$1001,0),0), INDEX($AB$1004:$AQ$1004,1,MATCH(COLUMNS($AB$1006:AO1006),$AB$1006:$AQ$1006,0)))),"Fix")))</f>
        <v>0</v>
      </c>
      <c r="P463" s="5">
        <f>IF(OR(INDEX($V$2:$V$1001,MATCH(ROWS($U$2:U463),$U$2:$U$1001,0),1)&gt;=100000,INDEX($AB$1005:$AQ$1005,1,MATCH(COLUMNS($AB$1006:AP1006),$AB$1006:$AQ$1006,0))&gt;=100000), " ",IF(INDEX($AB$2:$AQ$1001,MATCH(ROWS($U$2:U463),$U$2:$U$1001,0),MATCH(COLUMNS($AB$1006:AP1006),$AB$1006:$AQ$1006,0)), HYPERLINK("#",""), HYPERLINK(CONCATENATE("#Metadata!", ADDRESS(INDEX($W$2:$W$1001,MATCH(ROWS($U$2:U463),$U$2:$U$1001,0),0), INDEX($AB$1004:$AQ$1004,1,MATCH(COLUMNS($AB$1006:AP1006),$AB$1006:$AQ$1006,0)))),"Fix")))</f>
        <v>0</v>
      </c>
      <c r="Q463" s="5">
        <f>IF(OR(INDEX($V$2:$V$1001,MATCH(ROWS($U$2:U463),$U$2:$U$1001,0),1)&gt;=100000,INDEX($AB$1005:$AQ$1005,1,MATCH(COLUMNS($AB$1006:AQ1006),$AB$1006:$AQ$1006,0))&gt;=100000), " ",IF(INDEX($AB$2:$AQ$1001,MATCH(ROWS($U$2:U463),$U$2:$U$1001,0),MATCH(COLUMNS($AB$1006:AQ1006),$AB$1006:$AQ$1006,0)), HYPERLINK("#",""), HYPERLINK(CONCATENATE("#Metadata!", ADDRESS(INDEX($W$2:$W$1001,MATCH(ROWS($U$2:U463),$U$2:$U$1001,0),0), INDEX($AB$1004:$AQ$1004,1,MATCH(COLUMNS($AB$1006:AQ1006),$AB$1006:$AQ$1006,0)))),"Fix")))</f>
        <v>0</v>
      </c>
      <c r="U463">
        <v>0</v>
      </c>
      <c r="V463">
        <v>0</v>
      </c>
      <c r="W463">
        <v>0</v>
      </c>
      <c r="X463">
        <f>IF(Y463,TRUE,AND(AB463:AQ463))</f>
        <v>0</v>
      </c>
      <c r="Y463">
        <f>COUNTBLANK(Metadata!B463:Q463)=COLUMNS(Metadata!B463:Q463)</f>
        <v>0</v>
      </c>
      <c r="Z463">
        <v>0</v>
      </c>
      <c r="AB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AC463">
        <f>AND(IF(Metadata!C463="",FALSE,TRUE),exact(Metadata!C463,"urban biome"))</f>
        <v>0</v>
      </c>
      <c r="AD463">
        <f>AND(IF(Metadata!D463="",FALSE,TRUE),exact(Metadata!D463,"human-associated habitat"))</f>
        <v>0</v>
      </c>
      <c r="AE463">
        <f>AND(IF(Metadata!E463="",FALSE,TRUE),OR(exact(Metadata!E463,"human-associated"),exact(Metadata!E463,"human-skin"),exact(Metadata!E463,"human-oral"),exact(Metadata!E463,"human-gut"),exact(Metadata!E463,"human-vaginal")))</f>
        <v>0</v>
      </c>
      <c r="AF463">
        <f>AND(IF(Metadata!F463="",FALSE,ISNUMBER(VALUE(Metadata!F463))),Metadata!F463&gt;0)</f>
        <v>0</v>
      </c>
      <c r="AG463">
        <f>AND(IF(Metadata!G463="",FALSE,TRUE),exact(Metadata!G463,"years"))</f>
        <v>0</v>
      </c>
      <c r="AH463">
        <f>OR(AND(IF(Metadata!H463="",FALSE,TRUE),OR(exact(Metadata!H463,"not applicable"),exact(Metadata!H463,"not collected"),exact(Metadata!H463,"not provided"),exact(Metadata!H463,"restricted access"))),AND(IF(Metadata!H463="",FALSE,ISNUMBER(VALUE(Metadata!H463))),Metadata!H463&gt;0))</f>
        <v>0</v>
      </c>
      <c r="AI463">
        <f>AND(IF(Metadata!I463="",FALSE,TRUE),exact(Metadata!I463,"human"))</f>
        <v>0</v>
      </c>
      <c r="AJ463">
        <f>AND(IF(Metadata!J463="",FALSE,ISNUMBER(VALUE(Metadata!J463))),Metadata!J463&gt;0)</f>
        <v>0</v>
      </c>
      <c r="AK463">
        <f>AND(IF(Metadata!K463="",FALSE,TRUE),exact(Metadata!K463,"cm"))</f>
        <v>0</v>
      </c>
      <c r="AL463">
        <f>AND(IF(Metadata!L463="",FALSE,TRUE),exact(Metadata!L463,"Homo sapiens"))</f>
        <v>0</v>
      </c>
      <c r="AM463">
        <f>AND(IF(Metadata!M463="",FALSE,TRUE),exact(Metadata!M463,"9606"))</f>
        <v>0</v>
      </c>
      <c r="AN463">
        <f>AND(IF(Metadata!N463="",FALSE,ISNUMBER(VALUE(Metadata!N463))),Metadata!N463&gt;0)</f>
        <v>0</v>
      </c>
      <c r="AO463">
        <f>AND(IF(Metadata!O463="",FALSE,TRUE),exact(Metadata!O463,"kg"))</f>
        <v>0</v>
      </c>
      <c r="AP463">
        <f>OR(AND(IF(Metadata!P463="",FALSE,TRUE),exact(Metadata!P463,"not provided")),IF(Metadata!P463="",FALSE,TRUE))</f>
        <v>0</v>
      </c>
      <c r="AQ463">
        <f>OR(AND(IF(Metadata!Q463="",FALSE,TRUE),exact(Metadata!Q463,"not provided")),IF(Metadata!Q463="",FALSE,TRUE))</f>
        <v>0</v>
      </c>
    </row>
    <row r="464" spans="1:43">
      <c r="A464" s="4">
        <f>IF(B464=" "," ",HYPERLINK(CONCATENATE("#metadata!",ADDRESS(INDEX($W$2:$W$1001,MATCH(ROWS($U$2:U464),$U$2:$U$1001,0),0),2)),INDEX($Z$2:$Z$1001,MATCH(ROWS($U$2:U464),$U$2:$U$1001,0),0)))</f>
        <v>0</v>
      </c>
      <c r="B464" s="5">
        <f>IF(OR(INDEX($V$2:$V$1001,MATCH(ROWS($U$2:U464),$U$2:$U$1001,0),1)&gt;=100000,INDEX($AB$1005:$AQ$1005,1,MATCH(COLUMNS($AB$1006:AB1006),$AB$1006:$AQ$1006,0))&gt;=100000), " ",IF(INDEX($AB$2:$AQ$1001,MATCH(ROWS($U$2:U464),$U$2:$U$1001,0),MATCH(COLUMNS($AB$1006:AB1006),$AB$1006:$AQ$1006,0)), HYPERLINK("#",""), HYPERLINK(CONCATENATE("#Metadata!", ADDRESS(INDEX($W$2:$W$1001,MATCH(ROWS($U$2:U464),$U$2:$U$1001,0),0), INDEX($AB$1004:$AQ$1004,1,MATCH(COLUMNS($AB$1006:AB1006),$AB$1006:$AQ$1006,0)))),"Fix")))</f>
        <v>0</v>
      </c>
      <c r="C464" s="5">
        <f>IF(OR(INDEX($V$2:$V$1001,MATCH(ROWS($U$2:U464),$U$2:$U$1001,0),1)&gt;=100000,INDEX($AB$1005:$AQ$1005,1,MATCH(COLUMNS($AB$1006:AC1006),$AB$1006:$AQ$1006,0))&gt;=100000), " ",IF(INDEX($AB$2:$AQ$1001,MATCH(ROWS($U$2:U464),$U$2:$U$1001,0),MATCH(COLUMNS($AB$1006:AC1006),$AB$1006:$AQ$1006,0)), HYPERLINK("#",""), HYPERLINK(CONCATENATE("#Metadata!", ADDRESS(INDEX($W$2:$W$1001,MATCH(ROWS($U$2:U464),$U$2:$U$1001,0),0), INDEX($AB$1004:$AQ$1004,1,MATCH(COLUMNS($AB$1006:AC1006),$AB$1006:$AQ$1006,0)))),"Fix")))</f>
        <v>0</v>
      </c>
      <c r="D464" s="5">
        <f>IF(OR(INDEX($V$2:$V$1001,MATCH(ROWS($U$2:U464),$U$2:$U$1001,0),1)&gt;=100000,INDEX($AB$1005:$AQ$1005,1,MATCH(COLUMNS($AB$1006:AD1006),$AB$1006:$AQ$1006,0))&gt;=100000), " ",IF(INDEX($AB$2:$AQ$1001,MATCH(ROWS($U$2:U464),$U$2:$U$1001,0),MATCH(COLUMNS($AB$1006:AD1006),$AB$1006:$AQ$1006,0)), HYPERLINK("#",""), HYPERLINK(CONCATENATE("#Metadata!", ADDRESS(INDEX($W$2:$W$1001,MATCH(ROWS($U$2:U464),$U$2:$U$1001,0),0), INDEX($AB$1004:$AQ$1004,1,MATCH(COLUMNS($AB$1006:AD1006),$AB$1006:$AQ$1006,0)))),"Fix")))</f>
        <v>0</v>
      </c>
      <c r="E464" s="5">
        <f>IF(OR(INDEX($V$2:$V$1001,MATCH(ROWS($U$2:U464),$U$2:$U$1001,0),1)&gt;=100000,INDEX($AB$1005:$AQ$1005,1,MATCH(COLUMNS($AB$1006:AE1006),$AB$1006:$AQ$1006,0))&gt;=100000), " ",IF(INDEX($AB$2:$AQ$1001,MATCH(ROWS($U$2:U464),$U$2:$U$1001,0),MATCH(COLUMNS($AB$1006:AE1006),$AB$1006:$AQ$1006,0)), HYPERLINK("#",""), HYPERLINK(CONCATENATE("#Metadata!", ADDRESS(INDEX($W$2:$W$1001,MATCH(ROWS($U$2:U464),$U$2:$U$1001,0),0), INDEX($AB$1004:$AQ$1004,1,MATCH(COLUMNS($AB$1006:AE1006),$AB$1006:$AQ$1006,0)))),"Fix")))</f>
        <v>0</v>
      </c>
      <c r="F464" s="5">
        <f>IF(OR(INDEX($V$2:$V$1001,MATCH(ROWS($U$2:U464),$U$2:$U$1001,0),1)&gt;=100000,INDEX($AB$1005:$AQ$1005,1,MATCH(COLUMNS($AB$1006:AF1006),$AB$1006:$AQ$1006,0))&gt;=100000), " ",IF(INDEX($AB$2:$AQ$1001,MATCH(ROWS($U$2:U464),$U$2:$U$1001,0),MATCH(COLUMNS($AB$1006:AF1006),$AB$1006:$AQ$1006,0)), HYPERLINK("#",""), HYPERLINK(CONCATENATE("#Metadata!", ADDRESS(INDEX($W$2:$W$1001,MATCH(ROWS($U$2:U464),$U$2:$U$1001,0),0), INDEX($AB$1004:$AQ$1004,1,MATCH(COLUMNS($AB$1006:AF1006),$AB$1006:$AQ$1006,0)))),"Fix")))</f>
        <v>0</v>
      </c>
      <c r="G464" s="5">
        <f>IF(OR(INDEX($V$2:$V$1001,MATCH(ROWS($U$2:U464),$U$2:$U$1001,0),1)&gt;=100000,INDEX($AB$1005:$AQ$1005,1,MATCH(COLUMNS($AB$1006:AG1006),$AB$1006:$AQ$1006,0))&gt;=100000), " ",IF(INDEX($AB$2:$AQ$1001,MATCH(ROWS($U$2:U464),$U$2:$U$1001,0),MATCH(COLUMNS($AB$1006:AG1006),$AB$1006:$AQ$1006,0)), HYPERLINK("#",""), HYPERLINK(CONCATENATE("#Metadata!", ADDRESS(INDEX($W$2:$W$1001,MATCH(ROWS($U$2:U464),$U$2:$U$1001,0),0), INDEX($AB$1004:$AQ$1004,1,MATCH(COLUMNS($AB$1006:AG1006),$AB$1006:$AQ$1006,0)))),"Fix")))</f>
        <v>0</v>
      </c>
      <c r="H464" s="5">
        <f>IF(OR(INDEX($V$2:$V$1001,MATCH(ROWS($U$2:U464),$U$2:$U$1001,0),1)&gt;=100000,INDEX($AB$1005:$AQ$1005,1,MATCH(COLUMNS($AB$1006:AH1006),$AB$1006:$AQ$1006,0))&gt;=100000), " ",IF(INDEX($AB$2:$AQ$1001,MATCH(ROWS($U$2:U464),$U$2:$U$1001,0),MATCH(COLUMNS($AB$1006:AH1006),$AB$1006:$AQ$1006,0)), HYPERLINK("#",""), HYPERLINK(CONCATENATE("#Metadata!", ADDRESS(INDEX($W$2:$W$1001,MATCH(ROWS($U$2:U464),$U$2:$U$1001,0),0), INDEX($AB$1004:$AQ$1004,1,MATCH(COLUMNS($AB$1006:AH1006),$AB$1006:$AQ$1006,0)))),"Fix")))</f>
        <v>0</v>
      </c>
      <c r="I464" s="5">
        <f>IF(OR(INDEX($V$2:$V$1001,MATCH(ROWS($U$2:U464),$U$2:$U$1001,0),1)&gt;=100000,INDEX($AB$1005:$AQ$1005,1,MATCH(COLUMNS($AB$1006:AI1006),$AB$1006:$AQ$1006,0))&gt;=100000), " ",IF(INDEX($AB$2:$AQ$1001,MATCH(ROWS($U$2:U464),$U$2:$U$1001,0),MATCH(COLUMNS($AB$1006:AI1006),$AB$1006:$AQ$1006,0)), HYPERLINK("#",""), HYPERLINK(CONCATENATE("#Metadata!", ADDRESS(INDEX($W$2:$W$1001,MATCH(ROWS($U$2:U464),$U$2:$U$1001,0),0), INDEX($AB$1004:$AQ$1004,1,MATCH(COLUMNS($AB$1006:AI1006),$AB$1006:$AQ$1006,0)))),"Fix")))</f>
        <v>0</v>
      </c>
      <c r="J464" s="5">
        <f>IF(OR(INDEX($V$2:$V$1001,MATCH(ROWS($U$2:U464),$U$2:$U$1001,0),1)&gt;=100000,INDEX($AB$1005:$AQ$1005,1,MATCH(COLUMNS($AB$1006:AJ1006),$AB$1006:$AQ$1006,0))&gt;=100000), " ",IF(INDEX($AB$2:$AQ$1001,MATCH(ROWS($U$2:U464),$U$2:$U$1001,0),MATCH(COLUMNS($AB$1006:AJ1006),$AB$1006:$AQ$1006,0)), HYPERLINK("#",""), HYPERLINK(CONCATENATE("#Metadata!", ADDRESS(INDEX($W$2:$W$1001,MATCH(ROWS($U$2:U464),$U$2:$U$1001,0),0), INDEX($AB$1004:$AQ$1004,1,MATCH(COLUMNS($AB$1006:AJ1006),$AB$1006:$AQ$1006,0)))),"Fix")))</f>
        <v>0</v>
      </c>
      <c r="K464" s="5">
        <f>IF(OR(INDEX($V$2:$V$1001,MATCH(ROWS($U$2:U464),$U$2:$U$1001,0),1)&gt;=100000,INDEX($AB$1005:$AQ$1005,1,MATCH(COLUMNS($AB$1006:AK1006),$AB$1006:$AQ$1006,0))&gt;=100000), " ",IF(INDEX($AB$2:$AQ$1001,MATCH(ROWS($U$2:U464),$U$2:$U$1001,0),MATCH(COLUMNS($AB$1006:AK1006),$AB$1006:$AQ$1006,0)), HYPERLINK("#",""), HYPERLINK(CONCATENATE("#Metadata!", ADDRESS(INDEX($W$2:$W$1001,MATCH(ROWS($U$2:U464),$U$2:$U$1001,0),0), INDEX($AB$1004:$AQ$1004,1,MATCH(COLUMNS($AB$1006:AK1006),$AB$1006:$AQ$1006,0)))),"Fix")))</f>
        <v>0</v>
      </c>
      <c r="L464" s="5">
        <f>IF(OR(INDEX($V$2:$V$1001,MATCH(ROWS($U$2:U464),$U$2:$U$1001,0),1)&gt;=100000,INDEX($AB$1005:$AQ$1005,1,MATCH(COLUMNS($AB$1006:AL1006),$AB$1006:$AQ$1006,0))&gt;=100000), " ",IF(INDEX($AB$2:$AQ$1001,MATCH(ROWS($U$2:U464),$U$2:$U$1001,0),MATCH(COLUMNS($AB$1006:AL1006),$AB$1006:$AQ$1006,0)), HYPERLINK("#",""), HYPERLINK(CONCATENATE("#Metadata!", ADDRESS(INDEX($W$2:$W$1001,MATCH(ROWS($U$2:U464),$U$2:$U$1001,0),0), INDEX($AB$1004:$AQ$1004,1,MATCH(COLUMNS($AB$1006:AL1006),$AB$1006:$AQ$1006,0)))),"Fix")))</f>
        <v>0</v>
      </c>
      <c r="M464" s="5">
        <f>IF(OR(INDEX($V$2:$V$1001,MATCH(ROWS($U$2:U464),$U$2:$U$1001,0),1)&gt;=100000,INDEX($AB$1005:$AQ$1005,1,MATCH(COLUMNS($AB$1006:AM1006),$AB$1006:$AQ$1006,0))&gt;=100000), " ",IF(INDEX($AB$2:$AQ$1001,MATCH(ROWS($U$2:U464),$U$2:$U$1001,0),MATCH(COLUMNS($AB$1006:AM1006),$AB$1006:$AQ$1006,0)), HYPERLINK("#",""), HYPERLINK(CONCATENATE("#Metadata!", ADDRESS(INDEX($W$2:$W$1001,MATCH(ROWS($U$2:U464),$U$2:$U$1001,0),0), INDEX($AB$1004:$AQ$1004,1,MATCH(COLUMNS($AB$1006:AM1006),$AB$1006:$AQ$1006,0)))),"Fix")))</f>
        <v>0</v>
      </c>
      <c r="N464" s="5">
        <f>IF(OR(INDEX($V$2:$V$1001,MATCH(ROWS($U$2:U464),$U$2:$U$1001,0),1)&gt;=100000,INDEX($AB$1005:$AQ$1005,1,MATCH(COLUMNS($AB$1006:AN1006),$AB$1006:$AQ$1006,0))&gt;=100000), " ",IF(INDEX($AB$2:$AQ$1001,MATCH(ROWS($U$2:U464),$U$2:$U$1001,0),MATCH(COLUMNS($AB$1006:AN1006),$AB$1006:$AQ$1006,0)), HYPERLINK("#",""), HYPERLINK(CONCATENATE("#Metadata!", ADDRESS(INDEX($W$2:$W$1001,MATCH(ROWS($U$2:U464),$U$2:$U$1001,0),0), INDEX($AB$1004:$AQ$1004,1,MATCH(COLUMNS($AB$1006:AN1006),$AB$1006:$AQ$1006,0)))),"Fix")))</f>
        <v>0</v>
      </c>
      <c r="O464" s="5">
        <f>IF(OR(INDEX($V$2:$V$1001,MATCH(ROWS($U$2:U464),$U$2:$U$1001,0),1)&gt;=100000,INDEX($AB$1005:$AQ$1005,1,MATCH(COLUMNS($AB$1006:AO1006),$AB$1006:$AQ$1006,0))&gt;=100000), " ",IF(INDEX($AB$2:$AQ$1001,MATCH(ROWS($U$2:U464),$U$2:$U$1001,0),MATCH(COLUMNS($AB$1006:AO1006),$AB$1006:$AQ$1006,0)), HYPERLINK("#",""), HYPERLINK(CONCATENATE("#Metadata!", ADDRESS(INDEX($W$2:$W$1001,MATCH(ROWS($U$2:U464),$U$2:$U$1001,0),0), INDEX($AB$1004:$AQ$1004,1,MATCH(COLUMNS($AB$1006:AO1006),$AB$1006:$AQ$1006,0)))),"Fix")))</f>
        <v>0</v>
      </c>
      <c r="P464" s="5">
        <f>IF(OR(INDEX($V$2:$V$1001,MATCH(ROWS($U$2:U464),$U$2:$U$1001,0),1)&gt;=100000,INDEX($AB$1005:$AQ$1005,1,MATCH(COLUMNS($AB$1006:AP1006),$AB$1006:$AQ$1006,0))&gt;=100000), " ",IF(INDEX($AB$2:$AQ$1001,MATCH(ROWS($U$2:U464),$U$2:$U$1001,0),MATCH(COLUMNS($AB$1006:AP1006),$AB$1006:$AQ$1006,0)), HYPERLINK("#",""), HYPERLINK(CONCATENATE("#Metadata!", ADDRESS(INDEX($W$2:$W$1001,MATCH(ROWS($U$2:U464),$U$2:$U$1001,0),0), INDEX($AB$1004:$AQ$1004,1,MATCH(COLUMNS($AB$1006:AP1006),$AB$1006:$AQ$1006,0)))),"Fix")))</f>
        <v>0</v>
      </c>
      <c r="Q464" s="5">
        <f>IF(OR(INDEX($V$2:$V$1001,MATCH(ROWS($U$2:U464),$U$2:$U$1001,0),1)&gt;=100000,INDEX($AB$1005:$AQ$1005,1,MATCH(COLUMNS($AB$1006:AQ1006),$AB$1006:$AQ$1006,0))&gt;=100000), " ",IF(INDEX($AB$2:$AQ$1001,MATCH(ROWS($U$2:U464),$U$2:$U$1001,0),MATCH(COLUMNS($AB$1006:AQ1006),$AB$1006:$AQ$1006,0)), HYPERLINK("#",""), HYPERLINK(CONCATENATE("#Metadata!", ADDRESS(INDEX($W$2:$W$1001,MATCH(ROWS($U$2:U464),$U$2:$U$1001,0),0), INDEX($AB$1004:$AQ$1004,1,MATCH(COLUMNS($AB$1006:AQ1006),$AB$1006:$AQ$1006,0)))),"Fix")))</f>
        <v>0</v>
      </c>
      <c r="U464">
        <v>0</v>
      </c>
      <c r="V464">
        <v>0</v>
      </c>
      <c r="W464">
        <v>0</v>
      </c>
      <c r="X464">
        <f>IF(Y464,TRUE,AND(AB464:AQ464))</f>
        <v>0</v>
      </c>
      <c r="Y464">
        <f>COUNTBLANK(Metadata!B464:Q464)=COLUMNS(Metadata!B464:Q464)</f>
        <v>0</v>
      </c>
      <c r="Z464">
        <v>0</v>
      </c>
      <c r="AB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AC464">
        <f>AND(IF(Metadata!C464="",FALSE,TRUE),exact(Metadata!C464,"urban biome"))</f>
        <v>0</v>
      </c>
      <c r="AD464">
        <f>AND(IF(Metadata!D464="",FALSE,TRUE),exact(Metadata!D464,"human-associated habitat"))</f>
        <v>0</v>
      </c>
      <c r="AE464">
        <f>AND(IF(Metadata!E464="",FALSE,TRUE),OR(exact(Metadata!E464,"human-associated"),exact(Metadata!E464,"human-skin"),exact(Metadata!E464,"human-oral"),exact(Metadata!E464,"human-gut"),exact(Metadata!E464,"human-vaginal")))</f>
        <v>0</v>
      </c>
      <c r="AF464">
        <f>AND(IF(Metadata!F464="",FALSE,ISNUMBER(VALUE(Metadata!F464))),Metadata!F464&gt;0)</f>
        <v>0</v>
      </c>
      <c r="AG464">
        <f>AND(IF(Metadata!G464="",FALSE,TRUE),exact(Metadata!G464,"years"))</f>
        <v>0</v>
      </c>
      <c r="AH464">
        <f>OR(AND(IF(Metadata!H464="",FALSE,TRUE),OR(exact(Metadata!H464,"not applicable"),exact(Metadata!H464,"not collected"),exact(Metadata!H464,"not provided"),exact(Metadata!H464,"restricted access"))),AND(IF(Metadata!H464="",FALSE,ISNUMBER(VALUE(Metadata!H464))),Metadata!H464&gt;0))</f>
        <v>0</v>
      </c>
      <c r="AI464">
        <f>AND(IF(Metadata!I464="",FALSE,TRUE),exact(Metadata!I464,"human"))</f>
        <v>0</v>
      </c>
      <c r="AJ464">
        <f>AND(IF(Metadata!J464="",FALSE,ISNUMBER(VALUE(Metadata!J464))),Metadata!J464&gt;0)</f>
        <v>0</v>
      </c>
      <c r="AK464">
        <f>AND(IF(Metadata!K464="",FALSE,TRUE),exact(Metadata!K464,"cm"))</f>
        <v>0</v>
      </c>
      <c r="AL464">
        <f>AND(IF(Metadata!L464="",FALSE,TRUE),exact(Metadata!L464,"Homo sapiens"))</f>
        <v>0</v>
      </c>
      <c r="AM464">
        <f>AND(IF(Metadata!M464="",FALSE,TRUE),exact(Metadata!M464,"9606"))</f>
        <v>0</v>
      </c>
      <c r="AN464">
        <f>AND(IF(Metadata!N464="",FALSE,ISNUMBER(VALUE(Metadata!N464))),Metadata!N464&gt;0)</f>
        <v>0</v>
      </c>
      <c r="AO464">
        <f>AND(IF(Metadata!O464="",FALSE,TRUE),exact(Metadata!O464,"kg"))</f>
        <v>0</v>
      </c>
      <c r="AP464">
        <f>OR(AND(IF(Metadata!P464="",FALSE,TRUE),exact(Metadata!P464,"not provided")),IF(Metadata!P464="",FALSE,TRUE))</f>
        <v>0</v>
      </c>
      <c r="AQ464">
        <f>OR(AND(IF(Metadata!Q464="",FALSE,TRUE),exact(Metadata!Q464,"not provided")),IF(Metadata!Q464="",FALSE,TRUE))</f>
        <v>0</v>
      </c>
    </row>
    <row r="465" spans="1:43">
      <c r="A465" s="4">
        <f>IF(B465=" "," ",HYPERLINK(CONCATENATE("#metadata!",ADDRESS(INDEX($W$2:$W$1001,MATCH(ROWS($U$2:U465),$U$2:$U$1001,0),0),2)),INDEX($Z$2:$Z$1001,MATCH(ROWS($U$2:U465),$U$2:$U$1001,0),0)))</f>
        <v>0</v>
      </c>
      <c r="B465" s="5">
        <f>IF(OR(INDEX($V$2:$V$1001,MATCH(ROWS($U$2:U465),$U$2:$U$1001,0),1)&gt;=100000,INDEX($AB$1005:$AQ$1005,1,MATCH(COLUMNS($AB$1006:AB1006),$AB$1006:$AQ$1006,0))&gt;=100000), " ",IF(INDEX($AB$2:$AQ$1001,MATCH(ROWS($U$2:U465),$U$2:$U$1001,0),MATCH(COLUMNS($AB$1006:AB1006),$AB$1006:$AQ$1006,0)), HYPERLINK("#",""), HYPERLINK(CONCATENATE("#Metadata!", ADDRESS(INDEX($W$2:$W$1001,MATCH(ROWS($U$2:U465),$U$2:$U$1001,0),0), INDEX($AB$1004:$AQ$1004,1,MATCH(COLUMNS($AB$1006:AB1006),$AB$1006:$AQ$1006,0)))),"Fix")))</f>
        <v>0</v>
      </c>
      <c r="C465" s="5">
        <f>IF(OR(INDEX($V$2:$V$1001,MATCH(ROWS($U$2:U465),$U$2:$U$1001,0),1)&gt;=100000,INDEX($AB$1005:$AQ$1005,1,MATCH(COLUMNS($AB$1006:AC1006),$AB$1006:$AQ$1006,0))&gt;=100000), " ",IF(INDEX($AB$2:$AQ$1001,MATCH(ROWS($U$2:U465),$U$2:$U$1001,0),MATCH(COLUMNS($AB$1006:AC1006),$AB$1006:$AQ$1006,0)), HYPERLINK("#",""), HYPERLINK(CONCATENATE("#Metadata!", ADDRESS(INDEX($W$2:$W$1001,MATCH(ROWS($U$2:U465),$U$2:$U$1001,0),0), INDEX($AB$1004:$AQ$1004,1,MATCH(COLUMNS($AB$1006:AC1006),$AB$1006:$AQ$1006,0)))),"Fix")))</f>
        <v>0</v>
      </c>
      <c r="D465" s="5">
        <f>IF(OR(INDEX($V$2:$V$1001,MATCH(ROWS($U$2:U465),$U$2:$U$1001,0),1)&gt;=100000,INDEX($AB$1005:$AQ$1005,1,MATCH(COLUMNS($AB$1006:AD1006),$AB$1006:$AQ$1006,0))&gt;=100000), " ",IF(INDEX($AB$2:$AQ$1001,MATCH(ROWS($U$2:U465),$U$2:$U$1001,0),MATCH(COLUMNS($AB$1006:AD1006),$AB$1006:$AQ$1006,0)), HYPERLINK("#",""), HYPERLINK(CONCATENATE("#Metadata!", ADDRESS(INDEX($W$2:$W$1001,MATCH(ROWS($U$2:U465),$U$2:$U$1001,0),0), INDEX($AB$1004:$AQ$1004,1,MATCH(COLUMNS($AB$1006:AD1006),$AB$1006:$AQ$1006,0)))),"Fix")))</f>
        <v>0</v>
      </c>
      <c r="E465" s="5">
        <f>IF(OR(INDEX($V$2:$V$1001,MATCH(ROWS($U$2:U465),$U$2:$U$1001,0),1)&gt;=100000,INDEX($AB$1005:$AQ$1005,1,MATCH(COLUMNS($AB$1006:AE1006),$AB$1006:$AQ$1006,0))&gt;=100000), " ",IF(INDEX($AB$2:$AQ$1001,MATCH(ROWS($U$2:U465),$U$2:$U$1001,0),MATCH(COLUMNS($AB$1006:AE1006),$AB$1006:$AQ$1006,0)), HYPERLINK("#",""), HYPERLINK(CONCATENATE("#Metadata!", ADDRESS(INDEX($W$2:$W$1001,MATCH(ROWS($U$2:U465),$U$2:$U$1001,0),0), INDEX($AB$1004:$AQ$1004,1,MATCH(COLUMNS($AB$1006:AE1006),$AB$1006:$AQ$1006,0)))),"Fix")))</f>
        <v>0</v>
      </c>
      <c r="F465" s="5">
        <f>IF(OR(INDEX($V$2:$V$1001,MATCH(ROWS($U$2:U465),$U$2:$U$1001,0),1)&gt;=100000,INDEX($AB$1005:$AQ$1005,1,MATCH(COLUMNS($AB$1006:AF1006),$AB$1006:$AQ$1006,0))&gt;=100000), " ",IF(INDEX($AB$2:$AQ$1001,MATCH(ROWS($U$2:U465),$U$2:$U$1001,0),MATCH(COLUMNS($AB$1006:AF1006),$AB$1006:$AQ$1006,0)), HYPERLINK("#",""), HYPERLINK(CONCATENATE("#Metadata!", ADDRESS(INDEX($W$2:$W$1001,MATCH(ROWS($U$2:U465),$U$2:$U$1001,0),0), INDEX($AB$1004:$AQ$1004,1,MATCH(COLUMNS($AB$1006:AF1006),$AB$1006:$AQ$1006,0)))),"Fix")))</f>
        <v>0</v>
      </c>
      <c r="G465" s="5">
        <f>IF(OR(INDEX($V$2:$V$1001,MATCH(ROWS($U$2:U465),$U$2:$U$1001,0),1)&gt;=100000,INDEX($AB$1005:$AQ$1005,1,MATCH(COLUMNS($AB$1006:AG1006),$AB$1006:$AQ$1006,0))&gt;=100000), " ",IF(INDEX($AB$2:$AQ$1001,MATCH(ROWS($U$2:U465),$U$2:$U$1001,0),MATCH(COLUMNS($AB$1006:AG1006),$AB$1006:$AQ$1006,0)), HYPERLINK("#",""), HYPERLINK(CONCATENATE("#Metadata!", ADDRESS(INDEX($W$2:$W$1001,MATCH(ROWS($U$2:U465),$U$2:$U$1001,0),0), INDEX($AB$1004:$AQ$1004,1,MATCH(COLUMNS($AB$1006:AG1006),$AB$1006:$AQ$1006,0)))),"Fix")))</f>
        <v>0</v>
      </c>
      <c r="H465" s="5">
        <f>IF(OR(INDEX($V$2:$V$1001,MATCH(ROWS($U$2:U465),$U$2:$U$1001,0),1)&gt;=100000,INDEX($AB$1005:$AQ$1005,1,MATCH(COLUMNS($AB$1006:AH1006),$AB$1006:$AQ$1006,0))&gt;=100000), " ",IF(INDEX($AB$2:$AQ$1001,MATCH(ROWS($U$2:U465),$U$2:$U$1001,0),MATCH(COLUMNS($AB$1006:AH1006),$AB$1006:$AQ$1006,0)), HYPERLINK("#",""), HYPERLINK(CONCATENATE("#Metadata!", ADDRESS(INDEX($W$2:$W$1001,MATCH(ROWS($U$2:U465),$U$2:$U$1001,0),0), INDEX($AB$1004:$AQ$1004,1,MATCH(COLUMNS($AB$1006:AH1006),$AB$1006:$AQ$1006,0)))),"Fix")))</f>
        <v>0</v>
      </c>
      <c r="I465" s="5">
        <f>IF(OR(INDEX($V$2:$V$1001,MATCH(ROWS($U$2:U465),$U$2:$U$1001,0),1)&gt;=100000,INDEX($AB$1005:$AQ$1005,1,MATCH(COLUMNS($AB$1006:AI1006),$AB$1006:$AQ$1006,0))&gt;=100000), " ",IF(INDEX($AB$2:$AQ$1001,MATCH(ROWS($U$2:U465),$U$2:$U$1001,0),MATCH(COLUMNS($AB$1006:AI1006),$AB$1006:$AQ$1006,0)), HYPERLINK("#",""), HYPERLINK(CONCATENATE("#Metadata!", ADDRESS(INDEX($W$2:$W$1001,MATCH(ROWS($U$2:U465),$U$2:$U$1001,0),0), INDEX($AB$1004:$AQ$1004,1,MATCH(COLUMNS($AB$1006:AI1006),$AB$1006:$AQ$1006,0)))),"Fix")))</f>
        <v>0</v>
      </c>
      <c r="J465" s="5">
        <f>IF(OR(INDEX($V$2:$V$1001,MATCH(ROWS($U$2:U465),$U$2:$U$1001,0),1)&gt;=100000,INDEX($AB$1005:$AQ$1005,1,MATCH(COLUMNS($AB$1006:AJ1006),$AB$1006:$AQ$1006,0))&gt;=100000), " ",IF(INDEX($AB$2:$AQ$1001,MATCH(ROWS($U$2:U465),$U$2:$U$1001,0),MATCH(COLUMNS($AB$1006:AJ1006),$AB$1006:$AQ$1006,0)), HYPERLINK("#",""), HYPERLINK(CONCATENATE("#Metadata!", ADDRESS(INDEX($W$2:$W$1001,MATCH(ROWS($U$2:U465),$U$2:$U$1001,0),0), INDEX($AB$1004:$AQ$1004,1,MATCH(COLUMNS($AB$1006:AJ1006),$AB$1006:$AQ$1006,0)))),"Fix")))</f>
        <v>0</v>
      </c>
      <c r="K465" s="5">
        <f>IF(OR(INDEX($V$2:$V$1001,MATCH(ROWS($U$2:U465),$U$2:$U$1001,0),1)&gt;=100000,INDEX($AB$1005:$AQ$1005,1,MATCH(COLUMNS($AB$1006:AK1006),$AB$1006:$AQ$1006,0))&gt;=100000), " ",IF(INDEX($AB$2:$AQ$1001,MATCH(ROWS($U$2:U465),$U$2:$U$1001,0),MATCH(COLUMNS($AB$1006:AK1006),$AB$1006:$AQ$1006,0)), HYPERLINK("#",""), HYPERLINK(CONCATENATE("#Metadata!", ADDRESS(INDEX($W$2:$W$1001,MATCH(ROWS($U$2:U465),$U$2:$U$1001,0),0), INDEX($AB$1004:$AQ$1004,1,MATCH(COLUMNS($AB$1006:AK1006),$AB$1006:$AQ$1006,0)))),"Fix")))</f>
        <v>0</v>
      </c>
      <c r="L465" s="5">
        <f>IF(OR(INDEX($V$2:$V$1001,MATCH(ROWS($U$2:U465),$U$2:$U$1001,0),1)&gt;=100000,INDEX($AB$1005:$AQ$1005,1,MATCH(COLUMNS($AB$1006:AL1006),$AB$1006:$AQ$1006,0))&gt;=100000), " ",IF(INDEX($AB$2:$AQ$1001,MATCH(ROWS($U$2:U465),$U$2:$U$1001,0),MATCH(COLUMNS($AB$1006:AL1006),$AB$1006:$AQ$1006,0)), HYPERLINK("#",""), HYPERLINK(CONCATENATE("#Metadata!", ADDRESS(INDEX($W$2:$W$1001,MATCH(ROWS($U$2:U465),$U$2:$U$1001,0),0), INDEX($AB$1004:$AQ$1004,1,MATCH(COLUMNS($AB$1006:AL1006),$AB$1006:$AQ$1006,0)))),"Fix")))</f>
        <v>0</v>
      </c>
      <c r="M465" s="5">
        <f>IF(OR(INDEX($V$2:$V$1001,MATCH(ROWS($U$2:U465),$U$2:$U$1001,0),1)&gt;=100000,INDEX($AB$1005:$AQ$1005,1,MATCH(COLUMNS($AB$1006:AM1006),$AB$1006:$AQ$1006,0))&gt;=100000), " ",IF(INDEX($AB$2:$AQ$1001,MATCH(ROWS($U$2:U465),$U$2:$U$1001,0),MATCH(COLUMNS($AB$1006:AM1006),$AB$1006:$AQ$1006,0)), HYPERLINK("#",""), HYPERLINK(CONCATENATE("#Metadata!", ADDRESS(INDEX($W$2:$W$1001,MATCH(ROWS($U$2:U465),$U$2:$U$1001,0),0), INDEX($AB$1004:$AQ$1004,1,MATCH(COLUMNS($AB$1006:AM1006),$AB$1006:$AQ$1006,0)))),"Fix")))</f>
        <v>0</v>
      </c>
      <c r="N465" s="5">
        <f>IF(OR(INDEX($V$2:$V$1001,MATCH(ROWS($U$2:U465),$U$2:$U$1001,0),1)&gt;=100000,INDEX($AB$1005:$AQ$1005,1,MATCH(COLUMNS($AB$1006:AN1006),$AB$1006:$AQ$1006,0))&gt;=100000), " ",IF(INDEX($AB$2:$AQ$1001,MATCH(ROWS($U$2:U465),$U$2:$U$1001,0),MATCH(COLUMNS($AB$1006:AN1006),$AB$1006:$AQ$1006,0)), HYPERLINK("#",""), HYPERLINK(CONCATENATE("#Metadata!", ADDRESS(INDEX($W$2:$W$1001,MATCH(ROWS($U$2:U465),$U$2:$U$1001,0),0), INDEX($AB$1004:$AQ$1004,1,MATCH(COLUMNS($AB$1006:AN1006),$AB$1006:$AQ$1006,0)))),"Fix")))</f>
        <v>0</v>
      </c>
      <c r="O465" s="5">
        <f>IF(OR(INDEX($V$2:$V$1001,MATCH(ROWS($U$2:U465),$U$2:$U$1001,0),1)&gt;=100000,INDEX($AB$1005:$AQ$1005,1,MATCH(COLUMNS($AB$1006:AO1006),$AB$1006:$AQ$1006,0))&gt;=100000), " ",IF(INDEX($AB$2:$AQ$1001,MATCH(ROWS($U$2:U465),$U$2:$U$1001,0),MATCH(COLUMNS($AB$1006:AO1006),$AB$1006:$AQ$1006,0)), HYPERLINK("#",""), HYPERLINK(CONCATENATE("#Metadata!", ADDRESS(INDEX($W$2:$W$1001,MATCH(ROWS($U$2:U465),$U$2:$U$1001,0),0), INDEX($AB$1004:$AQ$1004,1,MATCH(COLUMNS($AB$1006:AO1006),$AB$1006:$AQ$1006,0)))),"Fix")))</f>
        <v>0</v>
      </c>
      <c r="P465" s="5">
        <f>IF(OR(INDEX($V$2:$V$1001,MATCH(ROWS($U$2:U465),$U$2:$U$1001,0),1)&gt;=100000,INDEX($AB$1005:$AQ$1005,1,MATCH(COLUMNS($AB$1006:AP1006),$AB$1006:$AQ$1006,0))&gt;=100000), " ",IF(INDEX($AB$2:$AQ$1001,MATCH(ROWS($U$2:U465),$U$2:$U$1001,0),MATCH(COLUMNS($AB$1006:AP1006),$AB$1006:$AQ$1006,0)), HYPERLINK("#",""), HYPERLINK(CONCATENATE("#Metadata!", ADDRESS(INDEX($W$2:$W$1001,MATCH(ROWS($U$2:U465),$U$2:$U$1001,0),0), INDEX($AB$1004:$AQ$1004,1,MATCH(COLUMNS($AB$1006:AP1006),$AB$1006:$AQ$1006,0)))),"Fix")))</f>
        <v>0</v>
      </c>
      <c r="Q465" s="5">
        <f>IF(OR(INDEX($V$2:$V$1001,MATCH(ROWS($U$2:U465),$U$2:$U$1001,0),1)&gt;=100000,INDEX($AB$1005:$AQ$1005,1,MATCH(COLUMNS($AB$1006:AQ1006),$AB$1006:$AQ$1006,0))&gt;=100000), " ",IF(INDEX($AB$2:$AQ$1001,MATCH(ROWS($U$2:U465),$U$2:$U$1001,0),MATCH(COLUMNS($AB$1006:AQ1006),$AB$1006:$AQ$1006,0)), HYPERLINK("#",""), HYPERLINK(CONCATENATE("#Metadata!", ADDRESS(INDEX($W$2:$W$1001,MATCH(ROWS($U$2:U465),$U$2:$U$1001,0),0), INDEX($AB$1004:$AQ$1004,1,MATCH(COLUMNS($AB$1006:AQ1006),$AB$1006:$AQ$1006,0)))),"Fix")))</f>
        <v>0</v>
      </c>
      <c r="U465">
        <v>0</v>
      </c>
      <c r="V465">
        <v>0</v>
      </c>
      <c r="W465">
        <v>0</v>
      </c>
      <c r="X465">
        <f>IF(Y465,TRUE,AND(AB465:AQ465))</f>
        <v>0</v>
      </c>
      <c r="Y465">
        <f>COUNTBLANK(Metadata!B465:Q465)=COLUMNS(Metadata!B465:Q465)</f>
        <v>0</v>
      </c>
      <c r="Z465">
        <v>0</v>
      </c>
      <c r="AB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AC465">
        <f>AND(IF(Metadata!C465="",FALSE,TRUE),exact(Metadata!C465,"urban biome"))</f>
        <v>0</v>
      </c>
      <c r="AD465">
        <f>AND(IF(Metadata!D465="",FALSE,TRUE),exact(Metadata!D465,"human-associated habitat"))</f>
        <v>0</v>
      </c>
      <c r="AE465">
        <f>AND(IF(Metadata!E465="",FALSE,TRUE),OR(exact(Metadata!E465,"human-associated"),exact(Metadata!E465,"human-skin"),exact(Metadata!E465,"human-oral"),exact(Metadata!E465,"human-gut"),exact(Metadata!E465,"human-vaginal")))</f>
        <v>0</v>
      </c>
      <c r="AF465">
        <f>AND(IF(Metadata!F465="",FALSE,ISNUMBER(VALUE(Metadata!F465))),Metadata!F465&gt;0)</f>
        <v>0</v>
      </c>
      <c r="AG465">
        <f>AND(IF(Metadata!G465="",FALSE,TRUE),exact(Metadata!G465,"years"))</f>
        <v>0</v>
      </c>
      <c r="AH465">
        <f>OR(AND(IF(Metadata!H465="",FALSE,TRUE),OR(exact(Metadata!H465,"not applicable"),exact(Metadata!H465,"not collected"),exact(Metadata!H465,"not provided"),exact(Metadata!H465,"restricted access"))),AND(IF(Metadata!H465="",FALSE,ISNUMBER(VALUE(Metadata!H465))),Metadata!H465&gt;0))</f>
        <v>0</v>
      </c>
      <c r="AI465">
        <f>AND(IF(Metadata!I465="",FALSE,TRUE),exact(Metadata!I465,"human"))</f>
        <v>0</v>
      </c>
      <c r="AJ465">
        <f>AND(IF(Metadata!J465="",FALSE,ISNUMBER(VALUE(Metadata!J465))),Metadata!J465&gt;0)</f>
        <v>0</v>
      </c>
      <c r="AK465">
        <f>AND(IF(Metadata!K465="",FALSE,TRUE),exact(Metadata!K465,"cm"))</f>
        <v>0</v>
      </c>
      <c r="AL465">
        <f>AND(IF(Metadata!L465="",FALSE,TRUE),exact(Metadata!L465,"Homo sapiens"))</f>
        <v>0</v>
      </c>
      <c r="AM465">
        <f>AND(IF(Metadata!M465="",FALSE,TRUE),exact(Metadata!M465,"9606"))</f>
        <v>0</v>
      </c>
      <c r="AN465">
        <f>AND(IF(Metadata!N465="",FALSE,ISNUMBER(VALUE(Metadata!N465))),Metadata!N465&gt;0)</f>
        <v>0</v>
      </c>
      <c r="AO465">
        <f>AND(IF(Metadata!O465="",FALSE,TRUE),exact(Metadata!O465,"kg"))</f>
        <v>0</v>
      </c>
      <c r="AP465">
        <f>OR(AND(IF(Metadata!P465="",FALSE,TRUE),exact(Metadata!P465,"not provided")),IF(Metadata!P465="",FALSE,TRUE))</f>
        <v>0</v>
      </c>
      <c r="AQ465">
        <f>OR(AND(IF(Metadata!Q465="",FALSE,TRUE),exact(Metadata!Q465,"not provided")),IF(Metadata!Q465="",FALSE,TRUE))</f>
        <v>0</v>
      </c>
    </row>
    <row r="466" spans="1:43">
      <c r="A466" s="4">
        <f>IF(B466=" "," ",HYPERLINK(CONCATENATE("#metadata!",ADDRESS(INDEX($W$2:$W$1001,MATCH(ROWS($U$2:U466),$U$2:$U$1001,0),0),2)),INDEX($Z$2:$Z$1001,MATCH(ROWS($U$2:U466),$U$2:$U$1001,0),0)))</f>
        <v>0</v>
      </c>
      <c r="B466" s="5">
        <f>IF(OR(INDEX($V$2:$V$1001,MATCH(ROWS($U$2:U466),$U$2:$U$1001,0),1)&gt;=100000,INDEX($AB$1005:$AQ$1005,1,MATCH(COLUMNS($AB$1006:AB1006),$AB$1006:$AQ$1006,0))&gt;=100000), " ",IF(INDEX($AB$2:$AQ$1001,MATCH(ROWS($U$2:U466),$U$2:$U$1001,0),MATCH(COLUMNS($AB$1006:AB1006),$AB$1006:$AQ$1006,0)), HYPERLINK("#",""), HYPERLINK(CONCATENATE("#Metadata!", ADDRESS(INDEX($W$2:$W$1001,MATCH(ROWS($U$2:U466),$U$2:$U$1001,0),0), INDEX($AB$1004:$AQ$1004,1,MATCH(COLUMNS($AB$1006:AB1006),$AB$1006:$AQ$1006,0)))),"Fix")))</f>
        <v>0</v>
      </c>
      <c r="C466" s="5">
        <f>IF(OR(INDEX($V$2:$V$1001,MATCH(ROWS($U$2:U466),$U$2:$U$1001,0),1)&gt;=100000,INDEX($AB$1005:$AQ$1005,1,MATCH(COLUMNS($AB$1006:AC1006),$AB$1006:$AQ$1006,0))&gt;=100000), " ",IF(INDEX($AB$2:$AQ$1001,MATCH(ROWS($U$2:U466),$U$2:$U$1001,0),MATCH(COLUMNS($AB$1006:AC1006),$AB$1006:$AQ$1006,0)), HYPERLINK("#",""), HYPERLINK(CONCATENATE("#Metadata!", ADDRESS(INDEX($W$2:$W$1001,MATCH(ROWS($U$2:U466),$U$2:$U$1001,0),0), INDEX($AB$1004:$AQ$1004,1,MATCH(COLUMNS($AB$1006:AC1006),$AB$1006:$AQ$1006,0)))),"Fix")))</f>
        <v>0</v>
      </c>
      <c r="D466" s="5">
        <f>IF(OR(INDEX($V$2:$V$1001,MATCH(ROWS($U$2:U466),$U$2:$U$1001,0),1)&gt;=100000,INDEX($AB$1005:$AQ$1005,1,MATCH(COLUMNS($AB$1006:AD1006),$AB$1006:$AQ$1006,0))&gt;=100000), " ",IF(INDEX($AB$2:$AQ$1001,MATCH(ROWS($U$2:U466),$U$2:$U$1001,0),MATCH(COLUMNS($AB$1006:AD1006),$AB$1006:$AQ$1006,0)), HYPERLINK("#",""), HYPERLINK(CONCATENATE("#Metadata!", ADDRESS(INDEX($W$2:$W$1001,MATCH(ROWS($U$2:U466),$U$2:$U$1001,0),0), INDEX($AB$1004:$AQ$1004,1,MATCH(COLUMNS($AB$1006:AD1006),$AB$1006:$AQ$1006,0)))),"Fix")))</f>
        <v>0</v>
      </c>
      <c r="E466" s="5">
        <f>IF(OR(INDEX($V$2:$V$1001,MATCH(ROWS($U$2:U466),$U$2:$U$1001,0),1)&gt;=100000,INDEX($AB$1005:$AQ$1005,1,MATCH(COLUMNS($AB$1006:AE1006),$AB$1006:$AQ$1006,0))&gt;=100000), " ",IF(INDEX($AB$2:$AQ$1001,MATCH(ROWS($U$2:U466),$U$2:$U$1001,0),MATCH(COLUMNS($AB$1006:AE1006),$AB$1006:$AQ$1006,0)), HYPERLINK("#",""), HYPERLINK(CONCATENATE("#Metadata!", ADDRESS(INDEX($W$2:$W$1001,MATCH(ROWS($U$2:U466),$U$2:$U$1001,0),0), INDEX($AB$1004:$AQ$1004,1,MATCH(COLUMNS($AB$1006:AE1006),$AB$1006:$AQ$1006,0)))),"Fix")))</f>
        <v>0</v>
      </c>
      <c r="F466" s="5">
        <f>IF(OR(INDEX($V$2:$V$1001,MATCH(ROWS($U$2:U466),$U$2:$U$1001,0),1)&gt;=100000,INDEX($AB$1005:$AQ$1005,1,MATCH(COLUMNS($AB$1006:AF1006),$AB$1006:$AQ$1006,0))&gt;=100000), " ",IF(INDEX($AB$2:$AQ$1001,MATCH(ROWS($U$2:U466),$U$2:$U$1001,0),MATCH(COLUMNS($AB$1006:AF1006),$AB$1006:$AQ$1006,0)), HYPERLINK("#",""), HYPERLINK(CONCATENATE("#Metadata!", ADDRESS(INDEX($W$2:$W$1001,MATCH(ROWS($U$2:U466),$U$2:$U$1001,0),0), INDEX($AB$1004:$AQ$1004,1,MATCH(COLUMNS($AB$1006:AF1006),$AB$1006:$AQ$1006,0)))),"Fix")))</f>
        <v>0</v>
      </c>
      <c r="G466" s="5">
        <f>IF(OR(INDEX($V$2:$V$1001,MATCH(ROWS($U$2:U466),$U$2:$U$1001,0),1)&gt;=100000,INDEX($AB$1005:$AQ$1005,1,MATCH(COLUMNS($AB$1006:AG1006),$AB$1006:$AQ$1006,0))&gt;=100000), " ",IF(INDEX($AB$2:$AQ$1001,MATCH(ROWS($U$2:U466),$U$2:$U$1001,0),MATCH(COLUMNS($AB$1006:AG1006),$AB$1006:$AQ$1006,0)), HYPERLINK("#",""), HYPERLINK(CONCATENATE("#Metadata!", ADDRESS(INDEX($W$2:$W$1001,MATCH(ROWS($U$2:U466),$U$2:$U$1001,0),0), INDEX($AB$1004:$AQ$1004,1,MATCH(COLUMNS($AB$1006:AG1006),$AB$1006:$AQ$1006,0)))),"Fix")))</f>
        <v>0</v>
      </c>
      <c r="H466" s="5">
        <f>IF(OR(INDEX($V$2:$V$1001,MATCH(ROWS($U$2:U466),$U$2:$U$1001,0),1)&gt;=100000,INDEX($AB$1005:$AQ$1005,1,MATCH(COLUMNS($AB$1006:AH1006),$AB$1006:$AQ$1006,0))&gt;=100000), " ",IF(INDEX($AB$2:$AQ$1001,MATCH(ROWS($U$2:U466),$U$2:$U$1001,0),MATCH(COLUMNS($AB$1006:AH1006),$AB$1006:$AQ$1006,0)), HYPERLINK("#",""), HYPERLINK(CONCATENATE("#Metadata!", ADDRESS(INDEX($W$2:$W$1001,MATCH(ROWS($U$2:U466),$U$2:$U$1001,0),0), INDEX($AB$1004:$AQ$1004,1,MATCH(COLUMNS($AB$1006:AH1006),$AB$1006:$AQ$1006,0)))),"Fix")))</f>
        <v>0</v>
      </c>
      <c r="I466" s="5">
        <f>IF(OR(INDEX($V$2:$V$1001,MATCH(ROWS($U$2:U466),$U$2:$U$1001,0),1)&gt;=100000,INDEX($AB$1005:$AQ$1005,1,MATCH(COLUMNS($AB$1006:AI1006),$AB$1006:$AQ$1006,0))&gt;=100000), " ",IF(INDEX($AB$2:$AQ$1001,MATCH(ROWS($U$2:U466),$U$2:$U$1001,0),MATCH(COLUMNS($AB$1006:AI1006),$AB$1006:$AQ$1006,0)), HYPERLINK("#",""), HYPERLINK(CONCATENATE("#Metadata!", ADDRESS(INDEX($W$2:$W$1001,MATCH(ROWS($U$2:U466),$U$2:$U$1001,0),0), INDEX($AB$1004:$AQ$1004,1,MATCH(COLUMNS($AB$1006:AI1006),$AB$1006:$AQ$1006,0)))),"Fix")))</f>
        <v>0</v>
      </c>
      <c r="J466" s="5">
        <f>IF(OR(INDEX($V$2:$V$1001,MATCH(ROWS($U$2:U466),$U$2:$U$1001,0),1)&gt;=100000,INDEX($AB$1005:$AQ$1005,1,MATCH(COLUMNS($AB$1006:AJ1006),$AB$1006:$AQ$1006,0))&gt;=100000), " ",IF(INDEX($AB$2:$AQ$1001,MATCH(ROWS($U$2:U466),$U$2:$U$1001,0),MATCH(COLUMNS($AB$1006:AJ1006),$AB$1006:$AQ$1006,0)), HYPERLINK("#",""), HYPERLINK(CONCATENATE("#Metadata!", ADDRESS(INDEX($W$2:$W$1001,MATCH(ROWS($U$2:U466),$U$2:$U$1001,0),0), INDEX($AB$1004:$AQ$1004,1,MATCH(COLUMNS($AB$1006:AJ1006),$AB$1006:$AQ$1006,0)))),"Fix")))</f>
        <v>0</v>
      </c>
      <c r="K466" s="5">
        <f>IF(OR(INDEX($V$2:$V$1001,MATCH(ROWS($U$2:U466),$U$2:$U$1001,0),1)&gt;=100000,INDEX($AB$1005:$AQ$1005,1,MATCH(COLUMNS($AB$1006:AK1006),$AB$1006:$AQ$1006,0))&gt;=100000), " ",IF(INDEX($AB$2:$AQ$1001,MATCH(ROWS($U$2:U466),$U$2:$U$1001,0),MATCH(COLUMNS($AB$1006:AK1006),$AB$1006:$AQ$1006,0)), HYPERLINK("#",""), HYPERLINK(CONCATENATE("#Metadata!", ADDRESS(INDEX($W$2:$W$1001,MATCH(ROWS($U$2:U466),$U$2:$U$1001,0),0), INDEX($AB$1004:$AQ$1004,1,MATCH(COLUMNS($AB$1006:AK1006),$AB$1006:$AQ$1006,0)))),"Fix")))</f>
        <v>0</v>
      </c>
      <c r="L466" s="5">
        <f>IF(OR(INDEX($V$2:$V$1001,MATCH(ROWS($U$2:U466),$U$2:$U$1001,0),1)&gt;=100000,INDEX($AB$1005:$AQ$1005,1,MATCH(COLUMNS($AB$1006:AL1006),$AB$1006:$AQ$1006,0))&gt;=100000), " ",IF(INDEX($AB$2:$AQ$1001,MATCH(ROWS($U$2:U466),$U$2:$U$1001,0),MATCH(COLUMNS($AB$1006:AL1006),$AB$1006:$AQ$1006,0)), HYPERLINK("#",""), HYPERLINK(CONCATENATE("#Metadata!", ADDRESS(INDEX($W$2:$W$1001,MATCH(ROWS($U$2:U466),$U$2:$U$1001,0),0), INDEX($AB$1004:$AQ$1004,1,MATCH(COLUMNS($AB$1006:AL1006),$AB$1006:$AQ$1006,0)))),"Fix")))</f>
        <v>0</v>
      </c>
      <c r="M466" s="5">
        <f>IF(OR(INDEX($V$2:$V$1001,MATCH(ROWS($U$2:U466),$U$2:$U$1001,0),1)&gt;=100000,INDEX($AB$1005:$AQ$1005,1,MATCH(COLUMNS($AB$1006:AM1006),$AB$1006:$AQ$1006,0))&gt;=100000), " ",IF(INDEX($AB$2:$AQ$1001,MATCH(ROWS($U$2:U466),$U$2:$U$1001,0),MATCH(COLUMNS($AB$1006:AM1006),$AB$1006:$AQ$1006,0)), HYPERLINK("#",""), HYPERLINK(CONCATENATE("#Metadata!", ADDRESS(INDEX($W$2:$W$1001,MATCH(ROWS($U$2:U466),$U$2:$U$1001,0),0), INDEX($AB$1004:$AQ$1004,1,MATCH(COLUMNS($AB$1006:AM1006),$AB$1006:$AQ$1006,0)))),"Fix")))</f>
        <v>0</v>
      </c>
      <c r="N466" s="5">
        <f>IF(OR(INDEX($V$2:$V$1001,MATCH(ROWS($U$2:U466),$U$2:$U$1001,0),1)&gt;=100000,INDEX($AB$1005:$AQ$1005,1,MATCH(COLUMNS($AB$1006:AN1006),$AB$1006:$AQ$1006,0))&gt;=100000), " ",IF(INDEX($AB$2:$AQ$1001,MATCH(ROWS($U$2:U466),$U$2:$U$1001,0),MATCH(COLUMNS($AB$1006:AN1006),$AB$1006:$AQ$1006,0)), HYPERLINK("#",""), HYPERLINK(CONCATENATE("#Metadata!", ADDRESS(INDEX($W$2:$W$1001,MATCH(ROWS($U$2:U466),$U$2:$U$1001,0),0), INDEX($AB$1004:$AQ$1004,1,MATCH(COLUMNS($AB$1006:AN1006),$AB$1006:$AQ$1006,0)))),"Fix")))</f>
        <v>0</v>
      </c>
      <c r="O466" s="5">
        <f>IF(OR(INDEX($V$2:$V$1001,MATCH(ROWS($U$2:U466),$U$2:$U$1001,0),1)&gt;=100000,INDEX($AB$1005:$AQ$1005,1,MATCH(COLUMNS($AB$1006:AO1006),$AB$1006:$AQ$1006,0))&gt;=100000), " ",IF(INDEX($AB$2:$AQ$1001,MATCH(ROWS($U$2:U466),$U$2:$U$1001,0),MATCH(COLUMNS($AB$1006:AO1006),$AB$1006:$AQ$1006,0)), HYPERLINK("#",""), HYPERLINK(CONCATENATE("#Metadata!", ADDRESS(INDEX($W$2:$W$1001,MATCH(ROWS($U$2:U466),$U$2:$U$1001,0),0), INDEX($AB$1004:$AQ$1004,1,MATCH(COLUMNS($AB$1006:AO1006),$AB$1006:$AQ$1006,0)))),"Fix")))</f>
        <v>0</v>
      </c>
      <c r="P466" s="5">
        <f>IF(OR(INDEX($V$2:$V$1001,MATCH(ROWS($U$2:U466),$U$2:$U$1001,0),1)&gt;=100000,INDEX($AB$1005:$AQ$1005,1,MATCH(COLUMNS($AB$1006:AP1006),$AB$1006:$AQ$1006,0))&gt;=100000), " ",IF(INDEX($AB$2:$AQ$1001,MATCH(ROWS($U$2:U466),$U$2:$U$1001,0),MATCH(COLUMNS($AB$1006:AP1006),$AB$1006:$AQ$1006,0)), HYPERLINK("#",""), HYPERLINK(CONCATENATE("#Metadata!", ADDRESS(INDEX($W$2:$W$1001,MATCH(ROWS($U$2:U466),$U$2:$U$1001,0),0), INDEX($AB$1004:$AQ$1004,1,MATCH(COLUMNS($AB$1006:AP1006),$AB$1006:$AQ$1006,0)))),"Fix")))</f>
        <v>0</v>
      </c>
      <c r="Q466" s="5">
        <f>IF(OR(INDEX($V$2:$V$1001,MATCH(ROWS($U$2:U466),$U$2:$U$1001,0),1)&gt;=100000,INDEX($AB$1005:$AQ$1005,1,MATCH(COLUMNS($AB$1006:AQ1006),$AB$1006:$AQ$1006,0))&gt;=100000), " ",IF(INDEX($AB$2:$AQ$1001,MATCH(ROWS($U$2:U466),$U$2:$U$1001,0),MATCH(COLUMNS($AB$1006:AQ1006),$AB$1006:$AQ$1006,0)), HYPERLINK("#",""), HYPERLINK(CONCATENATE("#Metadata!", ADDRESS(INDEX($W$2:$W$1001,MATCH(ROWS($U$2:U466),$U$2:$U$1001,0),0), INDEX($AB$1004:$AQ$1004,1,MATCH(COLUMNS($AB$1006:AQ1006),$AB$1006:$AQ$1006,0)))),"Fix")))</f>
        <v>0</v>
      </c>
      <c r="U466">
        <v>0</v>
      </c>
      <c r="V466">
        <v>0</v>
      </c>
      <c r="W466">
        <v>0</v>
      </c>
      <c r="X466">
        <f>IF(Y466,TRUE,AND(AB466:AQ466))</f>
        <v>0</v>
      </c>
      <c r="Y466">
        <f>COUNTBLANK(Metadata!B466:Q466)=COLUMNS(Metadata!B466:Q466)</f>
        <v>0</v>
      </c>
      <c r="Z466">
        <v>0</v>
      </c>
      <c r="AB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AC466">
        <f>AND(IF(Metadata!C466="",FALSE,TRUE),exact(Metadata!C466,"urban biome"))</f>
        <v>0</v>
      </c>
      <c r="AD466">
        <f>AND(IF(Metadata!D466="",FALSE,TRUE),exact(Metadata!D466,"human-associated habitat"))</f>
        <v>0</v>
      </c>
      <c r="AE466">
        <f>AND(IF(Metadata!E466="",FALSE,TRUE),OR(exact(Metadata!E466,"human-associated"),exact(Metadata!E466,"human-skin"),exact(Metadata!E466,"human-oral"),exact(Metadata!E466,"human-gut"),exact(Metadata!E466,"human-vaginal")))</f>
        <v>0</v>
      </c>
      <c r="AF466">
        <f>AND(IF(Metadata!F466="",FALSE,ISNUMBER(VALUE(Metadata!F466))),Metadata!F466&gt;0)</f>
        <v>0</v>
      </c>
      <c r="AG466">
        <f>AND(IF(Metadata!G466="",FALSE,TRUE),exact(Metadata!G466,"years"))</f>
        <v>0</v>
      </c>
      <c r="AH466">
        <f>OR(AND(IF(Metadata!H466="",FALSE,TRUE),OR(exact(Metadata!H466,"not applicable"),exact(Metadata!H466,"not collected"),exact(Metadata!H466,"not provided"),exact(Metadata!H466,"restricted access"))),AND(IF(Metadata!H466="",FALSE,ISNUMBER(VALUE(Metadata!H466))),Metadata!H466&gt;0))</f>
        <v>0</v>
      </c>
      <c r="AI466">
        <f>AND(IF(Metadata!I466="",FALSE,TRUE),exact(Metadata!I466,"human"))</f>
        <v>0</v>
      </c>
      <c r="AJ466">
        <f>AND(IF(Metadata!J466="",FALSE,ISNUMBER(VALUE(Metadata!J466))),Metadata!J466&gt;0)</f>
        <v>0</v>
      </c>
      <c r="AK466">
        <f>AND(IF(Metadata!K466="",FALSE,TRUE),exact(Metadata!K466,"cm"))</f>
        <v>0</v>
      </c>
      <c r="AL466">
        <f>AND(IF(Metadata!L466="",FALSE,TRUE),exact(Metadata!L466,"Homo sapiens"))</f>
        <v>0</v>
      </c>
      <c r="AM466">
        <f>AND(IF(Metadata!M466="",FALSE,TRUE),exact(Metadata!M466,"9606"))</f>
        <v>0</v>
      </c>
      <c r="AN466">
        <f>AND(IF(Metadata!N466="",FALSE,ISNUMBER(VALUE(Metadata!N466))),Metadata!N466&gt;0)</f>
        <v>0</v>
      </c>
      <c r="AO466">
        <f>AND(IF(Metadata!O466="",FALSE,TRUE),exact(Metadata!O466,"kg"))</f>
        <v>0</v>
      </c>
      <c r="AP466">
        <f>OR(AND(IF(Metadata!P466="",FALSE,TRUE),exact(Metadata!P466,"not provided")),IF(Metadata!P466="",FALSE,TRUE))</f>
        <v>0</v>
      </c>
      <c r="AQ466">
        <f>OR(AND(IF(Metadata!Q466="",FALSE,TRUE),exact(Metadata!Q466,"not provided")),IF(Metadata!Q466="",FALSE,TRUE))</f>
        <v>0</v>
      </c>
    </row>
    <row r="467" spans="1:43">
      <c r="A467" s="4">
        <f>IF(B467=" "," ",HYPERLINK(CONCATENATE("#metadata!",ADDRESS(INDEX($W$2:$W$1001,MATCH(ROWS($U$2:U467),$U$2:$U$1001,0),0),2)),INDEX($Z$2:$Z$1001,MATCH(ROWS($U$2:U467),$U$2:$U$1001,0),0)))</f>
        <v>0</v>
      </c>
      <c r="B467" s="5">
        <f>IF(OR(INDEX($V$2:$V$1001,MATCH(ROWS($U$2:U467),$U$2:$U$1001,0),1)&gt;=100000,INDEX($AB$1005:$AQ$1005,1,MATCH(COLUMNS($AB$1006:AB1006),$AB$1006:$AQ$1006,0))&gt;=100000), " ",IF(INDEX($AB$2:$AQ$1001,MATCH(ROWS($U$2:U467),$U$2:$U$1001,0),MATCH(COLUMNS($AB$1006:AB1006),$AB$1006:$AQ$1006,0)), HYPERLINK("#",""), HYPERLINK(CONCATENATE("#Metadata!", ADDRESS(INDEX($W$2:$W$1001,MATCH(ROWS($U$2:U467),$U$2:$U$1001,0),0), INDEX($AB$1004:$AQ$1004,1,MATCH(COLUMNS($AB$1006:AB1006),$AB$1006:$AQ$1006,0)))),"Fix")))</f>
        <v>0</v>
      </c>
      <c r="C467" s="5">
        <f>IF(OR(INDEX($V$2:$V$1001,MATCH(ROWS($U$2:U467),$U$2:$U$1001,0),1)&gt;=100000,INDEX($AB$1005:$AQ$1005,1,MATCH(COLUMNS($AB$1006:AC1006),$AB$1006:$AQ$1006,0))&gt;=100000), " ",IF(INDEX($AB$2:$AQ$1001,MATCH(ROWS($U$2:U467),$U$2:$U$1001,0),MATCH(COLUMNS($AB$1006:AC1006),$AB$1006:$AQ$1006,0)), HYPERLINK("#",""), HYPERLINK(CONCATENATE("#Metadata!", ADDRESS(INDEX($W$2:$W$1001,MATCH(ROWS($U$2:U467),$U$2:$U$1001,0),0), INDEX($AB$1004:$AQ$1004,1,MATCH(COLUMNS($AB$1006:AC1006),$AB$1006:$AQ$1006,0)))),"Fix")))</f>
        <v>0</v>
      </c>
      <c r="D467" s="5">
        <f>IF(OR(INDEX($V$2:$V$1001,MATCH(ROWS($U$2:U467),$U$2:$U$1001,0),1)&gt;=100000,INDEX($AB$1005:$AQ$1005,1,MATCH(COLUMNS($AB$1006:AD1006),$AB$1006:$AQ$1006,0))&gt;=100000), " ",IF(INDEX($AB$2:$AQ$1001,MATCH(ROWS($U$2:U467),$U$2:$U$1001,0),MATCH(COLUMNS($AB$1006:AD1006),$AB$1006:$AQ$1006,0)), HYPERLINK("#",""), HYPERLINK(CONCATENATE("#Metadata!", ADDRESS(INDEX($W$2:$W$1001,MATCH(ROWS($U$2:U467),$U$2:$U$1001,0),0), INDEX($AB$1004:$AQ$1004,1,MATCH(COLUMNS($AB$1006:AD1006),$AB$1006:$AQ$1006,0)))),"Fix")))</f>
        <v>0</v>
      </c>
      <c r="E467" s="5">
        <f>IF(OR(INDEX($V$2:$V$1001,MATCH(ROWS($U$2:U467),$U$2:$U$1001,0),1)&gt;=100000,INDEX($AB$1005:$AQ$1005,1,MATCH(COLUMNS($AB$1006:AE1006),$AB$1006:$AQ$1006,0))&gt;=100000), " ",IF(INDEX($AB$2:$AQ$1001,MATCH(ROWS($U$2:U467),$U$2:$U$1001,0),MATCH(COLUMNS($AB$1006:AE1006),$AB$1006:$AQ$1006,0)), HYPERLINK("#",""), HYPERLINK(CONCATENATE("#Metadata!", ADDRESS(INDEX($W$2:$W$1001,MATCH(ROWS($U$2:U467),$U$2:$U$1001,0),0), INDEX($AB$1004:$AQ$1004,1,MATCH(COLUMNS($AB$1006:AE1006),$AB$1006:$AQ$1006,0)))),"Fix")))</f>
        <v>0</v>
      </c>
      <c r="F467" s="5">
        <f>IF(OR(INDEX($V$2:$V$1001,MATCH(ROWS($U$2:U467),$U$2:$U$1001,0),1)&gt;=100000,INDEX($AB$1005:$AQ$1005,1,MATCH(COLUMNS($AB$1006:AF1006),$AB$1006:$AQ$1006,0))&gt;=100000), " ",IF(INDEX($AB$2:$AQ$1001,MATCH(ROWS($U$2:U467),$U$2:$U$1001,0),MATCH(COLUMNS($AB$1006:AF1006),$AB$1006:$AQ$1006,0)), HYPERLINK("#",""), HYPERLINK(CONCATENATE("#Metadata!", ADDRESS(INDEX($W$2:$W$1001,MATCH(ROWS($U$2:U467),$U$2:$U$1001,0),0), INDEX($AB$1004:$AQ$1004,1,MATCH(COLUMNS($AB$1006:AF1006),$AB$1006:$AQ$1006,0)))),"Fix")))</f>
        <v>0</v>
      </c>
      <c r="G467" s="5">
        <f>IF(OR(INDEX($V$2:$V$1001,MATCH(ROWS($U$2:U467),$U$2:$U$1001,0),1)&gt;=100000,INDEX($AB$1005:$AQ$1005,1,MATCH(COLUMNS($AB$1006:AG1006),$AB$1006:$AQ$1006,0))&gt;=100000), " ",IF(INDEX($AB$2:$AQ$1001,MATCH(ROWS($U$2:U467),$U$2:$U$1001,0),MATCH(COLUMNS($AB$1006:AG1006),$AB$1006:$AQ$1006,0)), HYPERLINK("#",""), HYPERLINK(CONCATENATE("#Metadata!", ADDRESS(INDEX($W$2:$W$1001,MATCH(ROWS($U$2:U467),$U$2:$U$1001,0),0), INDEX($AB$1004:$AQ$1004,1,MATCH(COLUMNS($AB$1006:AG1006),$AB$1006:$AQ$1006,0)))),"Fix")))</f>
        <v>0</v>
      </c>
      <c r="H467" s="5">
        <f>IF(OR(INDEX($V$2:$V$1001,MATCH(ROWS($U$2:U467),$U$2:$U$1001,0),1)&gt;=100000,INDEX($AB$1005:$AQ$1005,1,MATCH(COLUMNS($AB$1006:AH1006),$AB$1006:$AQ$1006,0))&gt;=100000), " ",IF(INDEX($AB$2:$AQ$1001,MATCH(ROWS($U$2:U467),$U$2:$U$1001,0),MATCH(COLUMNS($AB$1006:AH1006),$AB$1006:$AQ$1006,0)), HYPERLINK("#",""), HYPERLINK(CONCATENATE("#Metadata!", ADDRESS(INDEX($W$2:$W$1001,MATCH(ROWS($U$2:U467),$U$2:$U$1001,0),0), INDEX($AB$1004:$AQ$1004,1,MATCH(COLUMNS($AB$1006:AH1006),$AB$1006:$AQ$1006,0)))),"Fix")))</f>
        <v>0</v>
      </c>
      <c r="I467" s="5">
        <f>IF(OR(INDEX($V$2:$V$1001,MATCH(ROWS($U$2:U467),$U$2:$U$1001,0),1)&gt;=100000,INDEX($AB$1005:$AQ$1005,1,MATCH(COLUMNS($AB$1006:AI1006),$AB$1006:$AQ$1006,0))&gt;=100000), " ",IF(INDEX($AB$2:$AQ$1001,MATCH(ROWS($U$2:U467),$U$2:$U$1001,0),MATCH(COLUMNS($AB$1006:AI1006),$AB$1006:$AQ$1006,0)), HYPERLINK("#",""), HYPERLINK(CONCATENATE("#Metadata!", ADDRESS(INDEX($W$2:$W$1001,MATCH(ROWS($U$2:U467),$U$2:$U$1001,0),0), INDEX($AB$1004:$AQ$1004,1,MATCH(COLUMNS($AB$1006:AI1006),$AB$1006:$AQ$1006,0)))),"Fix")))</f>
        <v>0</v>
      </c>
      <c r="J467" s="5">
        <f>IF(OR(INDEX($V$2:$V$1001,MATCH(ROWS($U$2:U467),$U$2:$U$1001,0),1)&gt;=100000,INDEX($AB$1005:$AQ$1005,1,MATCH(COLUMNS($AB$1006:AJ1006),$AB$1006:$AQ$1006,0))&gt;=100000), " ",IF(INDEX($AB$2:$AQ$1001,MATCH(ROWS($U$2:U467),$U$2:$U$1001,0),MATCH(COLUMNS($AB$1006:AJ1006),$AB$1006:$AQ$1006,0)), HYPERLINK("#",""), HYPERLINK(CONCATENATE("#Metadata!", ADDRESS(INDEX($W$2:$W$1001,MATCH(ROWS($U$2:U467),$U$2:$U$1001,0),0), INDEX($AB$1004:$AQ$1004,1,MATCH(COLUMNS($AB$1006:AJ1006),$AB$1006:$AQ$1006,0)))),"Fix")))</f>
        <v>0</v>
      </c>
      <c r="K467" s="5">
        <f>IF(OR(INDEX($V$2:$V$1001,MATCH(ROWS($U$2:U467),$U$2:$U$1001,0),1)&gt;=100000,INDEX($AB$1005:$AQ$1005,1,MATCH(COLUMNS($AB$1006:AK1006),$AB$1006:$AQ$1006,0))&gt;=100000), " ",IF(INDEX($AB$2:$AQ$1001,MATCH(ROWS($U$2:U467),$U$2:$U$1001,0),MATCH(COLUMNS($AB$1006:AK1006),$AB$1006:$AQ$1006,0)), HYPERLINK("#",""), HYPERLINK(CONCATENATE("#Metadata!", ADDRESS(INDEX($W$2:$W$1001,MATCH(ROWS($U$2:U467),$U$2:$U$1001,0),0), INDEX($AB$1004:$AQ$1004,1,MATCH(COLUMNS($AB$1006:AK1006),$AB$1006:$AQ$1006,0)))),"Fix")))</f>
        <v>0</v>
      </c>
      <c r="L467" s="5">
        <f>IF(OR(INDEX($V$2:$V$1001,MATCH(ROWS($U$2:U467),$U$2:$U$1001,0),1)&gt;=100000,INDEX($AB$1005:$AQ$1005,1,MATCH(COLUMNS($AB$1006:AL1006),$AB$1006:$AQ$1006,0))&gt;=100000), " ",IF(INDEX($AB$2:$AQ$1001,MATCH(ROWS($U$2:U467),$U$2:$U$1001,0),MATCH(COLUMNS($AB$1006:AL1006),$AB$1006:$AQ$1006,0)), HYPERLINK("#",""), HYPERLINK(CONCATENATE("#Metadata!", ADDRESS(INDEX($W$2:$W$1001,MATCH(ROWS($U$2:U467),$U$2:$U$1001,0),0), INDEX($AB$1004:$AQ$1004,1,MATCH(COLUMNS($AB$1006:AL1006),$AB$1006:$AQ$1006,0)))),"Fix")))</f>
        <v>0</v>
      </c>
      <c r="M467" s="5">
        <f>IF(OR(INDEX($V$2:$V$1001,MATCH(ROWS($U$2:U467),$U$2:$U$1001,0),1)&gt;=100000,INDEX($AB$1005:$AQ$1005,1,MATCH(COLUMNS($AB$1006:AM1006),$AB$1006:$AQ$1006,0))&gt;=100000), " ",IF(INDEX($AB$2:$AQ$1001,MATCH(ROWS($U$2:U467),$U$2:$U$1001,0),MATCH(COLUMNS($AB$1006:AM1006),$AB$1006:$AQ$1006,0)), HYPERLINK("#",""), HYPERLINK(CONCATENATE("#Metadata!", ADDRESS(INDEX($W$2:$W$1001,MATCH(ROWS($U$2:U467),$U$2:$U$1001,0),0), INDEX($AB$1004:$AQ$1004,1,MATCH(COLUMNS($AB$1006:AM1006),$AB$1006:$AQ$1006,0)))),"Fix")))</f>
        <v>0</v>
      </c>
      <c r="N467" s="5">
        <f>IF(OR(INDEX($V$2:$V$1001,MATCH(ROWS($U$2:U467),$U$2:$U$1001,0),1)&gt;=100000,INDEX($AB$1005:$AQ$1005,1,MATCH(COLUMNS($AB$1006:AN1006),$AB$1006:$AQ$1006,0))&gt;=100000), " ",IF(INDEX($AB$2:$AQ$1001,MATCH(ROWS($U$2:U467),$U$2:$U$1001,0),MATCH(COLUMNS($AB$1006:AN1006),$AB$1006:$AQ$1006,0)), HYPERLINK("#",""), HYPERLINK(CONCATENATE("#Metadata!", ADDRESS(INDEX($W$2:$W$1001,MATCH(ROWS($U$2:U467),$U$2:$U$1001,0),0), INDEX($AB$1004:$AQ$1004,1,MATCH(COLUMNS($AB$1006:AN1006),$AB$1006:$AQ$1006,0)))),"Fix")))</f>
        <v>0</v>
      </c>
      <c r="O467" s="5">
        <f>IF(OR(INDEX($V$2:$V$1001,MATCH(ROWS($U$2:U467),$U$2:$U$1001,0),1)&gt;=100000,INDEX($AB$1005:$AQ$1005,1,MATCH(COLUMNS($AB$1006:AO1006),$AB$1006:$AQ$1006,0))&gt;=100000), " ",IF(INDEX($AB$2:$AQ$1001,MATCH(ROWS($U$2:U467),$U$2:$U$1001,0),MATCH(COLUMNS($AB$1006:AO1006),$AB$1006:$AQ$1006,0)), HYPERLINK("#",""), HYPERLINK(CONCATENATE("#Metadata!", ADDRESS(INDEX($W$2:$W$1001,MATCH(ROWS($U$2:U467),$U$2:$U$1001,0),0), INDEX($AB$1004:$AQ$1004,1,MATCH(COLUMNS($AB$1006:AO1006),$AB$1006:$AQ$1006,0)))),"Fix")))</f>
        <v>0</v>
      </c>
      <c r="P467" s="5">
        <f>IF(OR(INDEX($V$2:$V$1001,MATCH(ROWS($U$2:U467),$U$2:$U$1001,0),1)&gt;=100000,INDEX($AB$1005:$AQ$1005,1,MATCH(COLUMNS($AB$1006:AP1006),$AB$1006:$AQ$1006,0))&gt;=100000), " ",IF(INDEX($AB$2:$AQ$1001,MATCH(ROWS($U$2:U467),$U$2:$U$1001,0),MATCH(COLUMNS($AB$1006:AP1006),$AB$1006:$AQ$1006,0)), HYPERLINK("#",""), HYPERLINK(CONCATENATE("#Metadata!", ADDRESS(INDEX($W$2:$W$1001,MATCH(ROWS($U$2:U467),$U$2:$U$1001,0),0), INDEX($AB$1004:$AQ$1004,1,MATCH(COLUMNS($AB$1006:AP1006),$AB$1006:$AQ$1006,0)))),"Fix")))</f>
        <v>0</v>
      </c>
      <c r="Q467" s="5">
        <f>IF(OR(INDEX($V$2:$V$1001,MATCH(ROWS($U$2:U467),$U$2:$U$1001,0),1)&gt;=100000,INDEX($AB$1005:$AQ$1005,1,MATCH(COLUMNS($AB$1006:AQ1006),$AB$1006:$AQ$1006,0))&gt;=100000), " ",IF(INDEX($AB$2:$AQ$1001,MATCH(ROWS($U$2:U467),$U$2:$U$1001,0),MATCH(COLUMNS($AB$1006:AQ1006),$AB$1006:$AQ$1006,0)), HYPERLINK("#",""), HYPERLINK(CONCATENATE("#Metadata!", ADDRESS(INDEX($W$2:$W$1001,MATCH(ROWS($U$2:U467),$U$2:$U$1001,0),0), INDEX($AB$1004:$AQ$1004,1,MATCH(COLUMNS($AB$1006:AQ1006),$AB$1006:$AQ$1006,0)))),"Fix")))</f>
        <v>0</v>
      </c>
      <c r="U467">
        <v>0</v>
      </c>
      <c r="V467">
        <v>0</v>
      </c>
      <c r="W467">
        <v>0</v>
      </c>
      <c r="X467">
        <f>IF(Y467,TRUE,AND(AB467:AQ467))</f>
        <v>0</v>
      </c>
      <c r="Y467">
        <f>COUNTBLANK(Metadata!B467:Q467)=COLUMNS(Metadata!B467:Q467)</f>
        <v>0</v>
      </c>
      <c r="Z467">
        <v>0</v>
      </c>
      <c r="AB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AC467">
        <f>AND(IF(Metadata!C467="",FALSE,TRUE),exact(Metadata!C467,"urban biome"))</f>
        <v>0</v>
      </c>
      <c r="AD467">
        <f>AND(IF(Metadata!D467="",FALSE,TRUE),exact(Metadata!D467,"human-associated habitat"))</f>
        <v>0</v>
      </c>
      <c r="AE467">
        <f>AND(IF(Metadata!E467="",FALSE,TRUE),OR(exact(Metadata!E467,"human-associated"),exact(Metadata!E467,"human-skin"),exact(Metadata!E467,"human-oral"),exact(Metadata!E467,"human-gut"),exact(Metadata!E467,"human-vaginal")))</f>
        <v>0</v>
      </c>
      <c r="AF467">
        <f>AND(IF(Metadata!F467="",FALSE,ISNUMBER(VALUE(Metadata!F467))),Metadata!F467&gt;0)</f>
        <v>0</v>
      </c>
      <c r="AG467">
        <f>AND(IF(Metadata!G467="",FALSE,TRUE),exact(Metadata!G467,"years"))</f>
        <v>0</v>
      </c>
      <c r="AH467">
        <f>OR(AND(IF(Metadata!H467="",FALSE,TRUE),OR(exact(Metadata!H467,"not applicable"),exact(Metadata!H467,"not collected"),exact(Metadata!H467,"not provided"),exact(Metadata!H467,"restricted access"))),AND(IF(Metadata!H467="",FALSE,ISNUMBER(VALUE(Metadata!H467))),Metadata!H467&gt;0))</f>
        <v>0</v>
      </c>
      <c r="AI467">
        <f>AND(IF(Metadata!I467="",FALSE,TRUE),exact(Metadata!I467,"human"))</f>
        <v>0</v>
      </c>
      <c r="AJ467">
        <f>AND(IF(Metadata!J467="",FALSE,ISNUMBER(VALUE(Metadata!J467))),Metadata!J467&gt;0)</f>
        <v>0</v>
      </c>
      <c r="AK467">
        <f>AND(IF(Metadata!K467="",FALSE,TRUE),exact(Metadata!K467,"cm"))</f>
        <v>0</v>
      </c>
      <c r="AL467">
        <f>AND(IF(Metadata!L467="",FALSE,TRUE),exact(Metadata!L467,"Homo sapiens"))</f>
        <v>0</v>
      </c>
      <c r="AM467">
        <f>AND(IF(Metadata!M467="",FALSE,TRUE),exact(Metadata!M467,"9606"))</f>
        <v>0</v>
      </c>
      <c r="AN467">
        <f>AND(IF(Metadata!N467="",FALSE,ISNUMBER(VALUE(Metadata!N467))),Metadata!N467&gt;0)</f>
        <v>0</v>
      </c>
      <c r="AO467">
        <f>AND(IF(Metadata!O467="",FALSE,TRUE),exact(Metadata!O467,"kg"))</f>
        <v>0</v>
      </c>
      <c r="AP467">
        <f>OR(AND(IF(Metadata!P467="",FALSE,TRUE),exact(Metadata!P467,"not provided")),IF(Metadata!P467="",FALSE,TRUE))</f>
        <v>0</v>
      </c>
      <c r="AQ467">
        <f>OR(AND(IF(Metadata!Q467="",FALSE,TRUE),exact(Metadata!Q467,"not provided")),IF(Metadata!Q467="",FALSE,TRUE))</f>
        <v>0</v>
      </c>
    </row>
    <row r="468" spans="1:43">
      <c r="A468" s="4">
        <f>IF(B468=" "," ",HYPERLINK(CONCATENATE("#metadata!",ADDRESS(INDEX($W$2:$W$1001,MATCH(ROWS($U$2:U468),$U$2:$U$1001,0),0),2)),INDEX($Z$2:$Z$1001,MATCH(ROWS($U$2:U468),$U$2:$U$1001,0),0)))</f>
        <v>0</v>
      </c>
      <c r="B468" s="5">
        <f>IF(OR(INDEX($V$2:$V$1001,MATCH(ROWS($U$2:U468),$U$2:$U$1001,0),1)&gt;=100000,INDEX($AB$1005:$AQ$1005,1,MATCH(COLUMNS($AB$1006:AB1006),$AB$1006:$AQ$1006,0))&gt;=100000), " ",IF(INDEX($AB$2:$AQ$1001,MATCH(ROWS($U$2:U468),$U$2:$U$1001,0),MATCH(COLUMNS($AB$1006:AB1006),$AB$1006:$AQ$1006,0)), HYPERLINK("#",""), HYPERLINK(CONCATENATE("#Metadata!", ADDRESS(INDEX($W$2:$W$1001,MATCH(ROWS($U$2:U468),$U$2:$U$1001,0),0), INDEX($AB$1004:$AQ$1004,1,MATCH(COLUMNS($AB$1006:AB1006),$AB$1006:$AQ$1006,0)))),"Fix")))</f>
        <v>0</v>
      </c>
      <c r="C468" s="5">
        <f>IF(OR(INDEX($V$2:$V$1001,MATCH(ROWS($U$2:U468),$U$2:$U$1001,0),1)&gt;=100000,INDEX($AB$1005:$AQ$1005,1,MATCH(COLUMNS($AB$1006:AC1006),$AB$1006:$AQ$1006,0))&gt;=100000), " ",IF(INDEX($AB$2:$AQ$1001,MATCH(ROWS($U$2:U468),$U$2:$U$1001,0),MATCH(COLUMNS($AB$1006:AC1006),$AB$1006:$AQ$1006,0)), HYPERLINK("#",""), HYPERLINK(CONCATENATE("#Metadata!", ADDRESS(INDEX($W$2:$W$1001,MATCH(ROWS($U$2:U468),$U$2:$U$1001,0),0), INDEX($AB$1004:$AQ$1004,1,MATCH(COLUMNS($AB$1006:AC1006),$AB$1006:$AQ$1006,0)))),"Fix")))</f>
        <v>0</v>
      </c>
      <c r="D468" s="5">
        <f>IF(OR(INDEX($V$2:$V$1001,MATCH(ROWS($U$2:U468),$U$2:$U$1001,0),1)&gt;=100000,INDEX($AB$1005:$AQ$1005,1,MATCH(COLUMNS($AB$1006:AD1006),$AB$1006:$AQ$1006,0))&gt;=100000), " ",IF(INDEX($AB$2:$AQ$1001,MATCH(ROWS($U$2:U468),$U$2:$U$1001,0),MATCH(COLUMNS($AB$1006:AD1006),$AB$1006:$AQ$1006,0)), HYPERLINK("#",""), HYPERLINK(CONCATENATE("#Metadata!", ADDRESS(INDEX($W$2:$W$1001,MATCH(ROWS($U$2:U468),$U$2:$U$1001,0),0), INDEX($AB$1004:$AQ$1004,1,MATCH(COLUMNS($AB$1006:AD1006),$AB$1006:$AQ$1006,0)))),"Fix")))</f>
        <v>0</v>
      </c>
      <c r="E468" s="5">
        <f>IF(OR(INDEX($V$2:$V$1001,MATCH(ROWS($U$2:U468),$U$2:$U$1001,0),1)&gt;=100000,INDEX($AB$1005:$AQ$1005,1,MATCH(COLUMNS($AB$1006:AE1006),$AB$1006:$AQ$1006,0))&gt;=100000), " ",IF(INDEX($AB$2:$AQ$1001,MATCH(ROWS($U$2:U468),$U$2:$U$1001,0),MATCH(COLUMNS($AB$1006:AE1006),$AB$1006:$AQ$1006,0)), HYPERLINK("#",""), HYPERLINK(CONCATENATE("#Metadata!", ADDRESS(INDEX($W$2:$W$1001,MATCH(ROWS($U$2:U468),$U$2:$U$1001,0),0), INDEX($AB$1004:$AQ$1004,1,MATCH(COLUMNS($AB$1006:AE1006),$AB$1006:$AQ$1006,0)))),"Fix")))</f>
        <v>0</v>
      </c>
      <c r="F468" s="5">
        <f>IF(OR(INDEX($V$2:$V$1001,MATCH(ROWS($U$2:U468),$U$2:$U$1001,0),1)&gt;=100000,INDEX($AB$1005:$AQ$1005,1,MATCH(COLUMNS($AB$1006:AF1006),$AB$1006:$AQ$1006,0))&gt;=100000), " ",IF(INDEX($AB$2:$AQ$1001,MATCH(ROWS($U$2:U468),$U$2:$U$1001,0),MATCH(COLUMNS($AB$1006:AF1006),$AB$1006:$AQ$1006,0)), HYPERLINK("#",""), HYPERLINK(CONCATENATE("#Metadata!", ADDRESS(INDEX($W$2:$W$1001,MATCH(ROWS($U$2:U468),$U$2:$U$1001,0),0), INDEX($AB$1004:$AQ$1004,1,MATCH(COLUMNS($AB$1006:AF1006),$AB$1006:$AQ$1006,0)))),"Fix")))</f>
        <v>0</v>
      </c>
      <c r="G468" s="5">
        <f>IF(OR(INDEX($V$2:$V$1001,MATCH(ROWS($U$2:U468),$U$2:$U$1001,0),1)&gt;=100000,INDEX($AB$1005:$AQ$1005,1,MATCH(COLUMNS($AB$1006:AG1006),$AB$1006:$AQ$1006,0))&gt;=100000), " ",IF(INDEX($AB$2:$AQ$1001,MATCH(ROWS($U$2:U468),$U$2:$U$1001,0),MATCH(COLUMNS($AB$1006:AG1006),$AB$1006:$AQ$1006,0)), HYPERLINK("#",""), HYPERLINK(CONCATENATE("#Metadata!", ADDRESS(INDEX($W$2:$W$1001,MATCH(ROWS($U$2:U468),$U$2:$U$1001,0),0), INDEX($AB$1004:$AQ$1004,1,MATCH(COLUMNS($AB$1006:AG1006),$AB$1006:$AQ$1006,0)))),"Fix")))</f>
        <v>0</v>
      </c>
      <c r="H468" s="5">
        <f>IF(OR(INDEX($V$2:$V$1001,MATCH(ROWS($U$2:U468),$U$2:$U$1001,0),1)&gt;=100000,INDEX($AB$1005:$AQ$1005,1,MATCH(COLUMNS($AB$1006:AH1006),$AB$1006:$AQ$1006,0))&gt;=100000), " ",IF(INDEX($AB$2:$AQ$1001,MATCH(ROWS($U$2:U468),$U$2:$U$1001,0),MATCH(COLUMNS($AB$1006:AH1006),$AB$1006:$AQ$1006,0)), HYPERLINK("#",""), HYPERLINK(CONCATENATE("#Metadata!", ADDRESS(INDEX($W$2:$W$1001,MATCH(ROWS($U$2:U468),$U$2:$U$1001,0),0), INDEX($AB$1004:$AQ$1004,1,MATCH(COLUMNS($AB$1006:AH1006),$AB$1006:$AQ$1006,0)))),"Fix")))</f>
        <v>0</v>
      </c>
      <c r="I468" s="5">
        <f>IF(OR(INDEX($V$2:$V$1001,MATCH(ROWS($U$2:U468),$U$2:$U$1001,0),1)&gt;=100000,INDEX($AB$1005:$AQ$1005,1,MATCH(COLUMNS($AB$1006:AI1006),$AB$1006:$AQ$1006,0))&gt;=100000), " ",IF(INDEX($AB$2:$AQ$1001,MATCH(ROWS($U$2:U468),$U$2:$U$1001,0),MATCH(COLUMNS($AB$1006:AI1006),$AB$1006:$AQ$1006,0)), HYPERLINK("#",""), HYPERLINK(CONCATENATE("#Metadata!", ADDRESS(INDEX($W$2:$W$1001,MATCH(ROWS($U$2:U468),$U$2:$U$1001,0),0), INDEX($AB$1004:$AQ$1004,1,MATCH(COLUMNS($AB$1006:AI1006),$AB$1006:$AQ$1006,0)))),"Fix")))</f>
        <v>0</v>
      </c>
      <c r="J468" s="5">
        <f>IF(OR(INDEX($V$2:$V$1001,MATCH(ROWS($U$2:U468),$U$2:$U$1001,0),1)&gt;=100000,INDEX($AB$1005:$AQ$1005,1,MATCH(COLUMNS($AB$1006:AJ1006),$AB$1006:$AQ$1006,0))&gt;=100000), " ",IF(INDEX($AB$2:$AQ$1001,MATCH(ROWS($U$2:U468),$U$2:$U$1001,0),MATCH(COLUMNS($AB$1006:AJ1006),$AB$1006:$AQ$1006,0)), HYPERLINK("#",""), HYPERLINK(CONCATENATE("#Metadata!", ADDRESS(INDEX($W$2:$W$1001,MATCH(ROWS($U$2:U468),$U$2:$U$1001,0),0), INDEX($AB$1004:$AQ$1004,1,MATCH(COLUMNS($AB$1006:AJ1006),$AB$1006:$AQ$1006,0)))),"Fix")))</f>
        <v>0</v>
      </c>
      <c r="K468" s="5">
        <f>IF(OR(INDEX($V$2:$V$1001,MATCH(ROWS($U$2:U468),$U$2:$U$1001,0),1)&gt;=100000,INDEX($AB$1005:$AQ$1005,1,MATCH(COLUMNS($AB$1006:AK1006),$AB$1006:$AQ$1006,0))&gt;=100000), " ",IF(INDEX($AB$2:$AQ$1001,MATCH(ROWS($U$2:U468),$U$2:$U$1001,0),MATCH(COLUMNS($AB$1006:AK1006),$AB$1006:$AQ$1006,0)), HYPERLINK("#",""), HYPERLINK(CONCATENATE("#Metadata!", ADDRESS(INDEX($W$2:$W$1001,MATCH(ROWS($U$2:U468),$U$2:$U$1001,0),0), INDEX($AB$1004:$AQ$1004,1,MATCH(COLUMNS($AB$1006:AK1006),$AB$1006:$AQ$1006,0)))),"Fix")))</f>
        <v>0</v>
      </c>
      <c r="L468" s="5">
        <f>IF(OR(INDEX($V$2:$V$1001,MATCH(ROWS($U$2:U468),$U$2:$U$1001,0),1)&gt;=100000,INDEX($AB$1005:$AQ$1005,1,MATCH(COLUMNS($AB$1006:AL1006),$AB$1006:$AQ$1006,0))&gt;=100000), " ",IF(INDEX($AB$2:$AQ$1001,MATCH(ROWS($U$2:U468),$U$2:$U$1001,0),MATCH(COLUMNS($AB$1006:AL1006),$AB$1006:$AQ$1006,0)), HYPERLINK("#",""), HYPERLINK(CONCATENATE("#Metadata!", ADDRESS(INDEX($W$2:$W$1001,MATCH(ROWS($U$2:U468),$U$2:$U$1001,0),0), INDEX($AB$1004:$AQ$1004,1,MATCH(COLUMNS($AB$1006:AL1006),$AB$1006:$AQ$1006,0)))),"Fix")))</f>
        <v>0</v>
      </c>
      <c r="M468" s="5">
        <f>IF(OR(INDEX($V$2:$V$1001,MATCH(ROWS($U$2:U468),$U$2:$U$1001,0),1)&gt;=100000,INDEX($AB$1005:$AQ$1005,1,MATCH(COLUMNS($AB$1006:AM1006),$AB$1006:$AQ$1006,0))&gt;=100000), " ",IF(INDEX($AB$2:$AQ$1001,MATCH(ROWS($U$2:U468),$U$2:$U$1001,0),MATCH(COLUMNS($AB$1006:AM1006),$AB$1006:$AQ$1006,0)), HYPERLINK("#",""), HYPERLINK(CONCATENATE("#Metadata!", ADDRESS(INDEX($W$2:$W$1001,MATCH(ROWS($U$2:U468),$U$2:$U$1001,0),0), INDEX($AB$1004:$AQ$1004,1,MATCH(COLUMNS($AB$1006:AM1006),$AB$1006:$AQ$1006,0)))),"Fix")))</f>
        <v>0</v>
      </c>
      <c r="N468" s="5">
        <f>IF(OR(INDEX($V$2:$V$1001,MATCH(ROWS($U$2:U468),$U$2:$U$1001,0),1)&gt;=100000,INDEX($AB$1005:$AQ$1005,1,MATCH(COLUMNS($AB$1006:AN1006),$AB$1006:$AQ$1006,0))&gt;=100000), " ",IF(INDEX($AB$2:$AQ$1001,MATCH(ROWS($U$2:U468),$U$2:$U$1001,0),MATCH(COLUMNS($AB$1006:AN1006),$AB$1006:$AQ$1006,0)), HYPERLINK("#",""), HYPERLINK(CONCATENATE("#Metadata!", ADDRESS(INDEX($W$2:$W$1001,MATCH(ROWS($U$2:U468),$U$2:$U$1001,0),0), INDEX($AB$1004:$AQ$1004,1,MATCH(COLUMNS($AB$1006:AN1006),$AB$1006:$AQ$1006,0)))),"Fix")))</f>
        <v>0</v>
      </c>
      <c r="O468" s="5">
        <f>IF(OR(INDEX($V$2:$V$1001,MATCH(ROWS($U$2:U468),$U$2:$U$1001,0),1)&gt;=100000,INDEX($AB$1005:$AQ$1005,1,MATCH(COLUMNS($AB$1006:AO1006),$AB$1006:$AQ$1006,0))&gt;=100000), " ",IF(INDEX($AB$2:$AQ$1001,MATCH(ROWS($U$2:U468),$U$2:$U$1001,0),MATCH(COLUMNS($AB$1006:AO1006),$AB$1006:$AQ$1006,0)), HYPERLINK("#",""), HYPERLINK(CONCATENATE("#Metadata!", ADDRESS(INDEX($W$2:$W$1001,MATCH(ROWS($U$2:U468),$U$2:$U$1001,0),0), INDEX($AB$1004:$AQ$1004,1,MATCH(COLUMNS($AB$1006:AO1006),$AB$1006:$AQ$1006,0)))),"Fix")))</f>
        <v>0</v>
      </c>
      <c r="P468" s="5">
        <f>IF(OR(INDEX($V$2:$V$1001,MATCH(ROWS($U$2:U468),$U$2:$U$1001,0),1)&gt;=100000,INDEX($AB$1005:$AQ$1005,1,MATCH(COLUMNS($AB$1006:AP1006),$AB$1006:$AQ$1006,0))&gt;=100000), " ",IF(INDEX($AB$2:$AQ$1001,MATCH(ROWS($U$2:U468),$U$2:$U$1001,0),MATCH(COLUMNS($AB$1006:AP1006),$AB$1006:$AQ$1006,0)), HYPERLINK("#",""), HYPERLINK(CONCATENATE("#Metadata!", ADDRESS(INDEX($W$2:$W$1001,MATCH(ROWS($U$2:U468),$U$2:$U$1001,0),0), INDEX($AB$1004:$AQ$1004,1,MATCH(COLUMNS($AB$1006:AP1006),$AB$1006:$AQ$1006,0)))),"Fix")))</f>
        <v>0</v>
      </c>
      <c r="Q468" s="5">
        <f>IF(OR(INDEX($V$2:$V$1001,MATCH(ROWS($U$2:U468),$U$2:$U$1001,0),1)&gt;=100000,INDEX($AB$1005:$AQ$1005,1,MATCH(COLUMNS($AB$1006:AQ1006),$AB$1006:$AQ$1006,0))&gt;=100000), " ",IF(INDEX($AB$2:$AQ$1001,MATCH(ROWS($U$2:U468),$U$2:$U$1001,0),MATCH(COLUMNS($AB$1006:AQ1006),$AB$1006:$AQ$1006,0)), HYPERLINK("#",""), HYPERLINK(CONCATENATE("#Metadata!", ADDRESS(INDEX($W$2:$W$1001,MATCH(ROWS($U$2:U468),$U$2:$U$1001,0),0), INDEX($AB$1004:$AQ$1004,1,MATCH(COLUMNS($AB$1006:AQ1006),$AB$1006:$AQ$1006,0)))),"Fix")))</f>
        <v>0</v>
      </c>
      <c r="U468">
        <v>0</v>
      </c>
      <c r="V468">
        <v>0</v>
      </c>
      <c r="W468">
        <v>0</v>
      </c>
      <c r="X468">
        <f>IF(Y468,TRUE,AND(AB468:AQ468))</f>
        <v>0</v>
      </c>
      <c r="Y468">
        <f>COUNTBLANK(Metadata!B468:Q468)=COLUMNS(Metadata!B468:Q468)</f>
        <v>0</v>
      </c>
      <c r="Z468">
        <v>0</v>
      </c>
      <c r="AB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AC468">
        <f>AND(IF(Metadata!C468="",FALSE,TRUE),exact(Metadata!C468,"urban biome"))</f>
        <v>0</v>
      </c>
      <c r="AD468">
        <f>AND(IF(Metadata!D468="",FALSE,TRUE),exact(Metadata!D468,"human-associated habitat"))</f>
        <v>0</v>
      </c>
      <c r="AE468">
        <f>AND(IF(Metadata!E468="",FALSE,TRUE),OR(exact(Metadata!E468,"human-associated"),exact(Metadata!E468,"human-skin"),exact(Metadata!E468,"human-oral"),exact(Metadata!E468,"human-gut"),exact(Metadata!E468,"human-vaginal")))</f>
        <v>0</v>
      </c>
      <c r="AF468">
        <f>AND(IF(Metadata!F468="",FALSE,ISNUMBER(VALUE(Metadata!F468))),Metadata!F468&gt;0)</f>
        <v>0</v>
      </c>
      <c r="AG468">
        <f>AND(IF(Metadata!G468="",FALSE,TRUE),exact(Metadata!G468,"years"))</f>
        <v>0</v>
      </c>
      <c r="AH468">
        <f>OR(AND(IF(Metadata!H468="",FALSE,TRUE),OR(exact(Metadata!H468,"not applicable"),exact(Metadata!H468,"not collected"),exact(Metadata!H468,"not provided"),exact(Metadata!H468,"restricted access"))),AND(IF(Metadata!H468="",FALSE,ISNUMBER(VALUE(Metadata!H468))),Metadata!H468&gt;0))</f>
        <v>0</v>
      </c>
      <c r="AI468">
        <f>AND(IF(Metadata!I468="",FALSE,TRUE),exact(Metadata!I468,"human"))</f>
        <v>0</v>
      </c>
      <c r="AJ468">
        <f>AND(IF(Metadata!J468="",FALSE,ISNUMBER(VALUE(Metadata!J468))),Metadata!J468&gt;0)</f>
        <v>0</v>
      </c>
      <c r="AK468">
        <f>AND(IF(Metadata!K468="",FALSE,TRUE),exact(Metadata!K468,"cm"))</f>
        <v>0</v>
      </c>
      <c r="AL468">
        <f>AND(IF(Metadata!L468="",FALSE,TRUE),exact(Metadata!L468,"Homo sapiens"))</f>
        <v>0</v>
      </c>
      <c r="AM468">
        <f>AND(IF(Metadata!M468="",FALSE,TRUE),exact(Metadata!M468,"9606"))</f>
        <v>0</v>
      </c>
      <c r="AN468">
        <f>AND(IF(Metadata!N468="",FALSE,ISNUMBER(VALUE(Metadata!N468))),Metadata!N468&gt;0)</f>
        <v>0</v>
      </c>
      <c r="AO468">
        <f>AND(IF(Metadata!O468="",FALSE,TRUE),exact(Metadata!O468,"kg"))</f>
        <v>0</v>
      </c>
      <c r="AP468">
        <f>OR(AND(IF(Metadata!P468="",FALSE,TRUE),exact(Metadata!P468,"not provided")),IF(Metadata!P468="",FALSE,TRUE))</f>
        <v>0</v>
      </c>
      <c r="AQ468">
        <f>OR(AND(IF(Metadata!Q468="",FALSE,TRUE),exact(Metadata!Q468,"not provided")),IF(Metadata!Q468="",FALSE,TRUE))</f>
        <v>0</v>
      </c>
    </row>
    <row r="469" spans="1:43">
      <c r="A469" s="4">
        <f>IF(B469=" "," ",HYPERLINK(CONCATENATE("#metadata!",ADDRESS(INDEX($W$2:$W$1001,MATCH(ROWS($U$2:U469),$U$2:$U$1001,0),0),2)),INDEX($Z$2:$Z$1001,MATCH(ROWS($U$2:U469),$U$2:$U$1001,0),0)))</f>
        <v>0</v>
      </c>
      <c r="B469" s="5">
        <f>IF(OR(INDEX($V$2:$V$1001,MATCH(ROWS($U$2:U469),$U$2:$U$1001,0),1)&gt;=100000,INDEX($AB$1005:$AQ$1005,1,MATCH(COLUMNS($AB$1006:AB1006),$AB$1006:$AQ$1006,0))&gt;=100000), " ",IF(INDEX($AB$2:$AQ$1001,MATCH(ROWS($U$2:U469),$U$2:$U$1001,0),MATCH(COLUMNS($AB$1006:AB1006),$AB$1006:$AQ$1006,0)), HYPERLINK("#",""), HYPERLINK(CONCATENATE("#Metadata!", ADDRESS(INDEX($W$2:$W$1001,MATCH(ROWS($U$2:U469),$U$2:$U$1001,0),0), INDEX($AB$1004:$AQ$1004,1,MATCH(COLUMNS($AB$1006:AB1006),$AB$1006:$AQ$1006,0)))),"Fix")))</f>
        <v>0</v>
      </c>
      <c r="C469" s="5">
        <f>IF(OR(INDEX($V$2:$V$1001,MATCH(ROWS($U$2:U469),$U$2:$U$1001,0),1)&gt;=100000,INDEX($AB$1005:$AQ$1005,1,MATCH(COLUMNS($AB$1006:AC1006),$AB$1006:$AQ$1006,0))&gt;=100000), " ",IF(INDEX($AB$2:$AQ$1001,MATCH(ROWS($U$2:U469),$U$2:$U$1001,0),MATCH(COLUMNS($AB$1006:AC1006),$AB$1006:$AQ$1006,0)), HYPERLINK("#",""), HYPERLINK(CONCATENATE("#Metadata!", ADDRESS(INDEX($W$2:$W$1001,MATCH(ROWS($U$2:U469),$U$2:$U$1001,0),0), INDEX($AB$1004:$AQ$1004,1,MATCH(COLUMNS($AB$1006:AC1006),$AB$1006:$AQ$1006,0)))),"Fix")))</f>
        <v>0</v>
      </c>
      <c r="D469" s="5">
        <f>IF(OR(INDEX($V$2:$V$1001,MATCH(ROWS($U$2:U469),$U$2:$U$1001,0),1)&gt;=100000,INDEX($AB$1005:$AQ$1005,1,MATCH(COLUMNS($AB$1006:AD1006),$AB$1006:$AQ$1006,0))&gt;=100000), " ",IF(INDEX($AB$2:$AQ$1001,MATCH(ROWS($U$2:U469),$U$2:$U$1001,0),MATCH(COLUMNS($AB$1006:AD1006),$AB$1006:$AQ$1006,0)), HYPERLINK("#",""), HYPERLINK(CONCATENATE("#Metadata!", ADDRESS(INDEX($W$2:$W$1001,MATCH(ROWS($U$2:U469),$U$2:$U$1001,0),0), INDEX($AB$1004:$AQ$1004,1,MATCH(COLUMNS($AB$1006:AD1006),$AB$1006:$AQ$1006,0)))),"Fix")))</f>
        <v>0</v>
      </c>
      <c r="E469" s="5">
        <f>IF(OR(INDEX($V$2:$V$1001,MATCH(ROWS($U$2:U469),$U$2:$U$1001,0),1)&gt;=100000,INDEX($AB$1005:$AQ$1005,1,MATCH(COLUMNS($AB$1006:AE1006),$AB$1006:$AQ$1006,0))&gt;=100000), " ",IF(INDEX($AB$2:$AQ$1001,MATCH(ROWS($U$2:U469),$U$2:$U$1001,0),MATCH(COLUMNS($AB$1006:AE1006),$AB$1006:$AQ$1006,0)), HYPERLINK("#",""), HYPERLINK(CONCATENATE("#Metadata!", ADDRESS(INDEX($W$2:$W$1001,MATCH(ROWS($U$2:U469),$U$2:$U$1001,0),0), INDEX($AB$1004:$AQ$1004,1,MATCH(COLUMNS($AB$1006:AE1006),$AB$1006:$AQ$1006,0)))),"Fix")))</f>
        <v>0</v>
      </c>
      <c r="F469" s="5">
        <f>IF(OR(INDEX($V$2:$V$1001,MATCH(ROWS($U$2:U469),$U$2:$U$1001,0),1)&gt;=100000,INDEX($AB$1005:$AQ$1005,1,MATCH(COLUMNS($AB$1006:AF1006),$AB$1006:$AQ$1006,0))&gt;=100000), " ",IF(INDEX($AB$2:$AQ$1001,MATCH(ROWS($U$2:U469),$U$2:$U$1001,0),MATCH(COLUMNS($AB$1006:AF1006),$AB$1006:$AQ$1006,0)), HYPERLINK("#",""), HYPERLINK(CONCATENATE("#Metadata!", ADDRESS(INDEX($W$2:$W$1001,MATCH(ROWS($U$2:U469),$U$2:$U$1001,0),0), INDEX($AB$1004:$AQ$1004,1,MATCH(COLUMNS($AB$1006:AF1006),$AB$1006:$AQ$1006,0)))),"Fix")))</f>
        <v>0</v>
      </c>
      <c r="G469" s="5">
        <f>IF(OR(INDEX($V$2:$V$1001,MATCH(ROWS($U$2:U469),$U$2:$U$1001,0),1)&gt;=100000,INDEX($AB$1005:$AQ$1005,1,MATCH(COLUMNS($AB$1006:AG1006),$AB$1006:$AQ$1006,0))&gt;=100000), " ",IF(INDEX($AB$2:$AQ$1001,MATCH(ROWS($U$2:U469),$U$2:$U$1001,0),MATCH(COLUMNS($AB$1006:AG1006),$AB$1006:$AQ$1006,0)), HYPERLINK("#",""), HYPERLINK(CONCATENATE("#Metadata!", ADDRESS(INDEX($W$2:$W$1001,MATCH(ROWS($U$2:U469),$U$2:$U$1001,0),0), INDEX($AB$1004:$AQ$1004,1,MATCH(COLUMNS($AB$1006:AG1006),$AB$1006:$AQ$1006,0)))),"Fix")))</f>
        <v>0</v>
      </c>
      <c r="H469" s="5">
        <f>IF(OR(INDEX($V$2:$V$1001,MATCH(ROWS($U$2:U469),$U$2:$U$1001,0),1)&gt;=100000,INDEX($AB$1005:$AQ$1005,1,MATCH(COLUMNS($AB$1006:AH1006),$AB$1006:$AQ$1006,0))&gt;=100000), " ",IF(INDEX($AB$2:$AQ$1001,MATCH(ROWS($U$2:U469),$U$2:$U$1001,0),MATCH(COLUMNS($AB$1006:AH1006),$AB$1006:$AQ$1006,0)), HYPERLINK("#",""), HYPERLINK(CONCATENATE("#Metadata!", ADDRESS(INDEX($W$2:$W$1001,MATCH(ROWS($U$2:U469),$U$2:$U$1001,0),0), INDEX($AB$1004:$AQ$1004,1,MATCH(COLUMNS($AB$1006:AH1006),$AB$1006:$AQ$1006,0)))),"Fix")))</f>
        <v>0</v>
      </c>
      <c r="I469" s="5">
        <f>IF(OR(INDEX($V$2:$V$1001,MATCH(ROWS($U$2:U469),$U$2:$U$1001,0),1)&gt;=100000,INDEX($AB$1005:$AQ$1005,1,MATCH(COLUMNS($AB$1006:AI1006),$AB$1006:$AQ$1006,0))&gt;=100000), " ",IF(INDEX($AB$2:$AQ$1001,MATCH(ROWS($U$2:U469),$U$2:$U$1001,0),MATCH(COLUMNS($AB$1006:AI1006),$AB$1006:$AQ$1006,0)), HYPERLINK("#",""), HYPERLINK(CONCATENATE("#Metadata!", ADDRESS(INDEX($W$2:$W$1001,MATCH(ROWS($U$2:U469),$U$2:$U$1001,0),0), INDEX($AB$1004:$AQ$1004,1,MATCH(COLUMNS($AB$1006:AI1006),$AB$1006:$AQ$1006,0)))),"Fix")))</f>
        <v>0</v>
      </c>
      <c r="J469" s="5">
        <f>IF(OR(INDEX($V$2:$V$1001,MATCH(ROWS($U$2:U469),$U$2:$U$1001,0),1)&gt;=100000,INDEX($AB$1005:$AQ$1005,1,MATCH(COLUMNS($AB$1006:AJ1006),$AB$1006:$AQ$1006,0))&gt;=100000), " ",IF(INDEX($AB$2:$AQ$1001,MATCH(ROWS($U$2:U469),$U$2:$U$1001,0),MATCH(COLUMNS($AB$1006:AJ1006),$AB$1006:$AQ$1006,0)), HYPERLINK("#",""), HYPERLINK(CONCATENATE("#Metadata!", ADDRESS(INDEX($W$2:$W$1001,MATCH(ROWS($U$2:U469),$U$2:$U$1001,0),0), INDEX($AB$1004:$AQ$1004,1,MATCH(COLUMNS($AB$1006:AJ1006),$AB$1006:$AQ$1006,0)))),"Fix")))</f>
        <v>0</v>
      </c>
      <c r="K469" s="5">
        <f>IF(OR(INDEX($V$2:$V$1001,MATCH(ROWS($U$2:U469),$U$2:$U$1001,0),1)&gt;=100000,INDEX($AB$1005:$AQ$1005,1,MATCH(COLUMNS($AB$1006:AK1006),$AB$1006:$AQ$1006,0))&gt;=100000), " ",IF(INDEX($AB$2:$AQ$1001,MATCH(ROWS($U$2:U469),$U$2:$U$1001,0),MATCH(COLUMNS($AB$1006:AK1006),$AB$1006:$AQ$1006,0)), HYPERLINK("#",""), HYPERLINK(CONCATENATE("#Metadata!", ADDRESS(INDEX($W$2:$W$1001,MATCH(ROWS($U$2:U469),$U$2:$U$1001,0),0), INDEX($AB$1004:$AQ$1004,1,MATCH(COLUMNS($AB$1006:AK1006),$AB$1006:$AQ$1006,0)))),"Fix")))</f>
        <v>0</v>
      </c>
      <c r="L469" s="5">
        <f>IF(OR(INDEX($V$2:$V$1001,MATCH(ROWS($U$2:U469),$U$2:$U$1001,0),1)&gt;=100000,INDEX($AB$1005:$AQ$1005,1,MATCH(COLUMNS($AB$1006:AL1006),$AB$1006:$AQ$1006,0))&gt;=100000), " ",IF(INDEX($AB$2:$AQ$1001,MATCH(ROWS($U$2:U469),$U$2:$U$1001,0),MATCH(COLUMNS($AB$1006:AL1006),$AB$1006:$AQ$1006,0)), HYPERLINK("#",""), HYPERLINK(CONCATENATE("#Metadata!", ADDRESS(INDEX($W$2:$W$1001,MATCH(ROWS($U$2:U469),$U$2:$U$1001,0),0), INDEX($AB$1004:$AQ$1004,1,MATCH(COLUMNS($AB$1006:AL1006),$AB$1006:$AQ$1006,0)))),"Fix")))</f>
        <v>0</v>
      </c>
      <c r="M469" s="5">
        <f>IF(OR(INDEX($V$2:$V$1001,MATCH(ROWS($U$2:U469),$U$2:$U$1001,0),1)&gt;=100000,INDEX($AB$1005:$AQ$1005,1,MATCH(COLUMNS($AB$1006:AM1006),$AB$1006:$AQ$1006,0))&gt;=100000), " ",IF(INDEX($AB$2:$AQ$1001,MATCH(ROWS($U$2:U469),$U$2:$U$1001,0),MATCH(COLUMNS($AB$1006:AM1006),$AB$1006:$AQ$1006,0)), HYPERLINK("#",""), HYPERLINK(CONCATENATE("#Metadata!", ADDRESS(INDEX($W$2:$W$1001,MATCH(ROWS($U$2:U469),$U$2:$U$1001,0),0), INDEX($AB$1004:$AQ$1004,1,MATCH(COLUMNS($AB$1006:AM1006),$AB$1006:$AQ$1006,0)))),"Fix")))</f>
        <v>0</v>
      </c>
      <c r="N469" s="5">
        <f>IF(OR(INDEX($V$2:$V$1001,MATCH(ROWS($U$2:U469),$U$2:$U$1001,0),1)&gt;=100000,INDEX($AB$1005:$AQ$1005,1,MATCH(COLUMNS($AB$1006:AN1006),$AB$1006:$AQ$1006,0))&gt;=100000), " ",IF(INDEX($AB$2:$AQ$1001,MATCH(ROWS($U$2:U469),$U$2:$U$1001,0),MATCH(COLUMNS($AB$1006:AN1006),$AB$1006:$AQ$1006,0)), HYPERLINK("#",""), HYPERLINK(CONCATENATE("#Metadata!", ADDRESS(INDEX($W$2:$W$1001,MATCH(ROWS($U$2:U469),$U$2:$U$1001,0),0), INDEX($AB$1004:$AQ$1004,1,MATCH(COLUMNS($AB$1006:AN1006),$AB$1006:$AQ$1006,0)))),"Fix")))</f>
        <v>0</v>
      </c>
      <c r="O469" s="5">
        <f>IF(OR(INDEX($V$2:$V$1001,MATCH(ROWS($U$2:U469),$U$2:$U$1001,0),1)&gt;=100000,INDEX($AB$1005:$AQ$1005,1,MATCH(COLUMNS($AB$1006:AO1006),$AB$1006:$AQ$1006,0))&gt;=100000), " ",IF(INDEX($AB$2:$AQ$1001,MATCH(ROWS($U$2:U469),$U$2:$U$1001,0),MATCH(COLUMNS($AB$1006:AO1006),$AB$1006:$AQ$1006,0)), HYPERLINK("#",""), HYPERLINK(CONCATENATE("#Metadata!", ADDRESS(INDEX($W$2:$W$1001,MATCH(ROWS($U$2:U469),$U$2:$U$1001,0),0), INDEX($AB$1004:$AQ$1004,1,MATCH(COLUMNS($AB$1006:AO1006),$AB$1006:$AQ$1006,0)))),"Fix")))</f>
        <v>0</v>
      </c>
      <c r="P469" s="5">
        <f>IF(OR(INDEX($V$2:$V$1001,MATCH(ROWS($U$2:U469),$U$2:$U$1001,0),1)&gt;=100000,INDEX($AB$1005:$AQ$1005,1,MATCH(COLUMNS($AB$1006:AP1006),$AB$1006:$AQ$1006,0))&gt;=100000), " ",IF(INDEX($AB$2:$AQ$1001,MATCH(ROWS($U$2:U469),$U$2:$U$1001,0),MATCH(COLUMNS($AB$1006:AP1006),$AB$1006:$AQ$1006,0)), HYPERLINK("#",""), HYPERLINK(CONCATENATE("#Metadata!", ADDRESS(INDEX($W$2:$W$1001,MATCH(ROWS($U$2:U469),$U$2:$U$1001,0),0), INDEX($AB$1004:$AQ$1004,1,MATCH(COLUMNS($AB$1006:AP1006),$AB$1006:$AQ$1006,0)))),"Fix")))</f>
        <v>0</v>
      </c>
      <c r="Q469" s="5">
        <f>IF(OR(INDEX($V$2:$V$1001,MATCH(ROWS($U$2:U469),$U$2:$U$1001,0),1)&gt;=100000,INDEX($AB$1005:$AQ$1005,1,MATCH(COLUMNS($AB$1006:AQ1006),$AB$1006:$AQ$1006,0))&gt;=100000), " ",IF(INDEX($AB$2:$AQ$1001,MATCH(ROWS($U$2:U469),$U$2:$U$1001,0),MATCH(COLUMNS($AB$1006:AQ1006),$AB$1006:$AQ$1006,0)), HYPERLINK("#",""), HYPERLINK(CONCATENATE("#Metadata!", ADDRESS(INDEX($W$2:$W$1001,MATCH(ROWS($U$2:U469),$U$2:$U$1001,0),0), INDEX($AB$1004:$AQ$1004,1,MATCH(COLUMNS($AB$1006:AQ1006),$AB$1006:$AQ$1006,0)))),"Fix")))</f>
        <v>0</v>
      </c>
      <c r="U469">
        <v>0</v>
      </c>
      <c r="V469">
        <v>0</v>
      </c>
      <c r="W469">
        <v>0</v>
      </c>
      <c r="X469">
        <f>IF(Y469,TRUE,AND(AB469:AQ469))</f>
        <v>0</v>
      </c>
      <c r="Y469">
        <f>COUNTBLANK(Metadata!B469:Q469)=COLUMNS(Metadata!B469:Q469)</f>
        <v>0</v>
      </c>
      <c r="Z469">
        <v>0</v>
      </c>
      <c r="AB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AC469">
        <f>AND(IF(Metadata!C469="",FALSE,TRUE),exact(Metadata!C469,"urban biome"))</f>
        <v>0</v>
      </c>
      <c r="AD469">
        <f>AND(IF(Metadata!D469="",FALSE,TRUE),exact(Metadata!D469,"human-associated habitat"))</f>
        <v>0</v>
      </c>
      <c r="AE469">
        <f>AND(IF(Metadata!E469="",FALSE,TRUE),OR(exact(Metadata!E469,"human-associated"),exact(Metadata!E469,"human-skin"),exact(Metadata!E469,"human-oral"),exact(Metadata!E469,"human-gut"),exact(Metadata!E469,"human-vaginal")))</f>
        <v>0</v>
      </c>
      <c r="AF469">
        <f>AND(IF(Metadata!F469="",FALSE,ISNUMBER(VALUE(Metadata!F469))),Metadata!F469&gt;0)</f>
        <v>0</v>
      </c>
      <c r="AG469">
        <f>AND(IF(Metadata!G469="",FALSE,TRUE),exact(Metadata!G469,"years"))</f>
        <v>0</v>
      </c>
      <c r="AH469">
        <f>OR(AND(IF(Metadata!H469="",FALSE,TRUE),OR(exact(Metadata!H469,"not applicable"),exact(Metadata!H469,"not collected"),exact(Metadata!H469,"not provided"),exact(Metadata!H469,"restricted access"))),AND(IF(Metadata!H469="",FALSE,ISNUMBER(VALUE(Metadata!H469))),Metadata!H469&gt;0))</f>
        <v>0</v>
      </c>
      <c r="AI469">
        <f>AND(IF(Metadata!I469="",FALSE,TRUE),exact(Metadata!I469,"human"))</f>
        <v>0</v>
      </c>
      <c r="AJ469">
        <f>AND(IF(Metadata!J469="",FALSE,ISNUMBER(VALUE(Metadata!J469))),Metadata!J469&gt;0)</f>
        <v>0</v>
      </c>
      <c r="AK469">
        <f>AND(IF(Metadata!K469="",FALSE,TRUE),exact(Metadata!K469,"cm"))</f>
        <v>0</v>
      </c>
      <c r="AL469">
        <f>AND(IF(Metadata!L469="",FALSE,TRUE),exact(Metadata!L469,"Homo sapiens"))</f>
        <v>0</v>
      </c>
      <c r="AM469">
        <f>AND(IF(Metadata!M469="",FALSE,TRUE),exact(Metadata!M469,"9606"))</f>
        <v>0</v>
      </c>
      <c r="AN469">
        <f>AND(IF(Metadata!N469="",FALSE,ISNUMBER(VALUE(Metadata!N469))),Metadata!N469&gt;0)</f>
        <v>0</v>
      </c>
      <c r="AO469">
        <f>AND(IF(Metadata!O469="",FALSE,TRUE),exact(Metadata!O469,"kg"))</f>
        <v>0</v>
      </c>
      <c r="AP469">
        <f>OR(AND(IF(Metadata!P469="",FALSE,TRUE),exact(Metadata!P469,"not provided")),IF(Metadata!P469="",FALSE,TRUE))</f>
        <v>0</v>
      </c>
      <c r="AQ469">
        <f>OR(AND(IF(Metadata!Q469="",FALSE,TRUE),exact(Metadata!Q469,"not provided")),IF(Metadata!Q469="",FALSE,TRUE))</f>
        <v>0</v>
      </c>
    </row>
    <row r="470" spans="1:43">
      <c r="A470" s="4">
        <f>IF(B470=" "," ",HYPERLINK(CONCATENATE("#metadata!",ADDRESS(INDEX($W$2:$W$1001,MATCH(ROWS($U$2:U470),$U$2:$U$1001,0),0),2)),INDEX($Z$2:$Z$1001,MATCH(ROWS($U$2:U470),$U$2:$U$1001,0),0)))</f>
        <v>0</v>
      </c>
      <c r="B470" s="5">
        <f>IF(OR(INDEX($V$2:$V$1001,MATCH(ROWS($U$2:U470),$U$2:$U$1001,0),1)&gt;=100000,INDEX($AB$1005:$AQ$1005,1,MATCH(COLUMNS($AB$1006:AB1006),$AB$1006:$AQ$1006,0))&gt;=100000), " ",IF(INDEX($AB$2:$AQ$1001,MATCH(ROWS($U$2:U470),$U$2:$U$1001,0),MATCH(COLUMNS($AB$1006:AB1006),$AB$1006:$AQ$1006,0)), HYPERLINK("#",""), HYPERLINK(CONCATENATE("#Metadata!", ADDRESS(INDEX($W$2:$W$1001,MATCH(ROWS($U$2:U470),$U$2:$U$1001,0),0), INDEX($AB$1004:$AQ$1004,1,MATCH(COLUMNS($AB$1006:AB1006),$AB$1006:$AQ$1006,0)))),"Fix")))</f>
        <v>0</v>
      </c>
      <c r="C470" s="5">
        <f>IF(OR(INDEX($V$2:$V$1001,MATCH(ROWS($U$2:U470),$U$2:$U$1001,0),1)&gt;=100000,INDEX($AB$1005:$AQ$1005,1,MATCH(COLUMNS($AB$1006:AC1006),$AB$1006:$AQ$1006,0))&gt;=100000), " ",IF(INDEX($AB$2:$AQ$1001,MATCH(ROWS($U$2:U470),$U$2:$U$1001,0),MATCH(COLUMNS($AB$1006:AC1006),$AB$1006:$AQ$1006,0)), HYPERLINK("#",""), HYPERLINK(CONCATENATE("#Metadata!", ADDRESS(INDEX($W$2:$W$1001,MATCH(ROWS($U$2:U470),$U$2:$U$1001,0),0), INDEX($AB$1004:$AQ$1004,1,MATCH(COLUMNS($AB$1006:AC1006),$AB$1006:$AQ$1006,0)))),"Fix")))</f>
        <v>0</v>
      </c>
      <c r="D470" s="5">
        <f>IF(OR(INDEX($V$2:$V$1001,MATCH(ROWS($U$2:U470),$U$2:$U$1001,0),1)&gt;=100000,INDEX($AB$1005:$AQ$1005,1,MATCH(COLUMNS($AB$1006:AD1006),$AB$1006:$AQ$1006,0))&gt;=100000), " ",IF(INDEX($AB$2:$AQ$1001,MATCH(ROWS($U$2:U470),$U$2:$U$1001,0),MATCH(COLUMNS($AB$1006:AD1006),$AB$1006:$AQ$1006,0)), HYPERLINK("#",""), HYPERLINK(CONCATENATE("#Metadata!", ADDRESS(INDEX($W$2:$W$1001,MATCH(ROWS($U$2:U470),$U$2:$U$1001,0),0), INDEX($AB$1004:$AQ$1004,1,MATCH(COLUMNS($AB$1006:AD1006),$AB$1006:$AQ$1006,0)))),"Fix")))</f>
        <v>0</v>
      </c>
      <c r="E470" s="5">
        <f>IF(OR(INDEX($V$2:$V$1001,MATCH(ROWS($U$2:U470),$U$2:$U$1001,0),1)&gt;=100000,INDEX($AB$1005:$AQ$1005,1,MATCH(COLUMNS($AB$1006:AE1006),$AB$1006:$AQ$1006,0))&gt;=100000), " ",IF(INDEX($AB$2:$AQ$1001,MATCH(ROWS($U$2:U470),$U$2:$U$1001,0),MATCH(COLUMNS($AB$1006:AE1006),$AB$1006:$AQ$1006,0)), HYPERLINK("#",""), HYPERLINK(CONCATENATE("#Metadata!", ADDRESS(INDEX($W$2:$W$1001,MATCH(ROWS($U$2:U470),$U$2:$U$1001,0),0), INDEX($AB$1004:$AQ$1004,1,MATCH(COLUMNS($AB$1006:AE1006),$AB$1006:$AQ$1006,0)))),"Fix")))</f>
        <v>0</v>
      </c>
      <c r="F470" s="5">
        <f>IF(OR(INDEX($V$2:$V$1001,MATCH(ROWS($U$2:U470),$U$2:$U$1001,0),1)&gt;=100000,INDEX($AB$1005:$AQ$1005,1,MATCH(COLUMNS($AB$1006:AF1006),$AB$1006:$AQ$1006,0))&gt;=100000), " ",IF(INDEX($AB$2:$AQ$1001,MATCH(ROWS($U$2:U470),$U$2:$U$1001,0),MATCH(COLUMNS($AB$1006:AF1006),$AB$1006:$AQ$1006,0)), HYPERLINK("#",""), HYPERLINK(CONCATENATE("#Metadata!", ADDRESS(INDEX($W$2:$W$1001,MATCH(ROWS($U$2:U470),$U$2:$U$1001,0),0), INDEX($AB$1004:$AQ$1004,1,MATCH(COLUMNS($AB$1006:AF1006),$AB$1006:$AQ$1006,0)))),"Fix")))</f>
        <v>0</v>
      </c>
      <c r="G470" s="5">
        <f>IF(OR(INDEX($V$2:$V$1001,MATCH(ROWS($U$2:U470),$U$2:$U$1001,0),1)&gt;=100000,INDEX($AB$1005:$AQ$1005,1,MATCH(COLUMNS($AB$1006:AG1006),$AB$1006:$AQ$1006,0))&gt;=100000), " ",IF(INDEX($AB$2:$AQ$1001,MATCH(ROWS($U$2:U470),$U$2:$U$1001,0),MATCH(COLUMNS($AB$1006:AG1006),$AB$1006:$AQ$1006,0)), HYPERLINK("#",""), HYPERLINK(CONCATENATE("#Metadata!", ADDRESS(INDEX($W$2:$W$1001,MATCH(ROWS($U$2:U470),$U$2:$U$1001,0),0), INDEX($AB$1004:$AQ$1004,1,MATCH(COLUMNS($AB$1006:AG1006),$AB$1006:$AQ$1006,0)))),"Fix")))</f>
        <v>0</v>
      </c>
      <c r="H470" s="5">
        <f>IF(OR(INDEX($V$2:$V$1001,MATCH(ROWS($U$2:U470),$U$2:$U$1001,0),1)&gt;=100000,INDEX($AB$1005:$AQ$1005,1,MATCH(COLUMNS($AB$1006:AH1006),$AB$1006:$AQ$1006,0))&gt;=100000), " ",IF(INDEX($AB$2:$AQ$1001,MATCH(ROWS($U$2:U470),$U$2:$U$1001,0),MATCH(COLUMNS($AB$1006:AH1006),$AB$1006:$AQ$1006,0)), HYPERLINK("#",""), HYPERLINK(CONCATENATE("#Metadata!", ADDRESS(INDEX($W$2:$W$1001,MATCH(ROWS($U$2:U470),$U$2:$U$1001,0),0), INDEX($AB$1004:$AQ$1004,1,MATCH(COLUMNS($AB$1006:AH1006),$AB$1006:$AQ$1006,0)))),"Fix")))</f>
        <v>0</v>
      </c>
      <c r="I470" s="5">
        <f>IF(OR(INDEX($V$2:$V$1001,MATCH(ROWS($U$2:U470),$U$2:$U$1001,0),1)&gt;=100000,INDEX($AB$1005:$AQ$1005,1,MATCH(COLUMNS($AB$1006:AI1006),$AB$1006:$AQ$1006,0))&gt;=100000), " ",IF(INDEX($AB$2:$AQ$1001,MATCH(ROWS($U$2:U470),$U$2:$U$1001,0),MATCH(COLUMNS($AB$1006:AI1006),$AB$1006:$AQ$1006,0)), HYPERLINK("#",""), HYPERLINK(CONCATENATE("#Metadata!", ADDRESS(INDEX($W$2:$W$1001,MATCH(ROWS($U$2:U470),$U$2:$U$1001,0),0), INDEX($AB$1004:$AQ$1004,1,MATCH(COLUMNS($AB$1006:AI1006),$AB$1006:$AQ$1006,0)))),"Fix")))</f>
        <v>0</v>
      </c>
      <c r="J470" s="5">
        <f>IF(OR(INDEX($V$2:$V$1001,MATCH(ROWS($U$2:U470),$U$2:$U$1001,0),1)&gt;=100000,INDEX($AB$1005:$AQ$1005,1,MATCH(COLUMNS($AB$1006:AJ1006),$AB$1006:$AQ$1006,0))&gt;=100000), " ",IF(INDEX($AB$2:$AQ$1001,MATCH(ROWS($U$2:U470),$U$2:$U$1001,0),MATCH(COLUMNS($AB$1006:AJ1006),$AB$1006:$AQ$1006,0)), HYPERLINK("#",""), HYPERLINK(CONCATENATE("#Metadata!", ADDRESS(INDEX($W$2:$W$1001,MATCH(ROWS($U$2:U470),$U$2:$U$1001,0),0), INDEX($AB$1004:$AQ$1004,1,MATCH(COLUMNS($AB$1006:AJ1006),$AB$1006:$AQ$1006,0)))),"Fix")))</f>
        <v>0</v>
      </c>
      <c r="K470" s="5">
        <f>IF(OR(INDEX($V$2:$V$1001,MATCH(ROWS($U$2:U470),$U$2:$U$1001,0),1)&gt;=100000,INDEX($AB$1005:$AQ$1005,1,MATCH(COLUMNS($AB$1006:AK1006),$AB$1006:$AQ$1006,0))&gt;=100000), " ",IF(INDEX($AB$2:$AQ$1001,MATCH(ROWS($U$2:U470),$U$2:$U$1001,0),MATCH(COLUMNS($AB$1006:AK1006),$AB$1006:$AQ$1006,0)), HYPERLINK("#",""), HYPERLINK(CONCATENATE("#Metadata!", ADDRESS(INDEX($W$2:$W$1001,MATCH(ROWS($U$2:U470),$U$2:$U$1001,0),0), INDEX($AB$1004:$AQ$1004,1,MATCH(COLUMNS($AB$1006:AK1006),$AB$1006:$AQ$1006,0)))),"Fix")))</f>
        <v>0</v>
      </c>
      <c r="L470" s="5">
        <f>IF(OR(INDEX($V$2:$V$1001,MATCH(ROWS($U$2:U470),$U$2:$U$1001,0),1)&gt;=100000,INDEX($AB$1005:$AQ$1005,1,MATCH(COLUMNS($AB$1006:AL1006),$AB$1006:$AQ$1006,0))&gt;=100000), " ",IF(INDEX($AB$2:$AQ$1001,MATCH(ROWS($U$2:U470),$U$2:$U$1001,0),MATCH(COLUMNS($AB$1006:AL1006),$AB$1006:$AQ$1006,0)), HYPERLINK("#",""), HYPERLINK(CONCATENATE("#Metadata!", ADDRESS(INDEX($W$2:$W$1001,MATCH(ROWS($U$2:U470),$U$2:$U$1001,0),0), INDEX($AB$1004:$AQ$1004,1,MATCH(COLUMNS($AB$1006:AL1006),$AB$1006:$AQ$1006,0)))),"Fix")))</f>
        <v>0</v>
      </c>
      <c r="M470" s="5">
        <f>IF(OR(INDEX($V$2:$V$1001,MATCH(ROWS($U$2:U470),$U$2:$U$1001,0),1)&gt;=100000,INDEX($AB$1005:$AQ$1005,1,MATCH(COLUMNS($AB$1006:AM1006),$AB$1006:$AQ$1006,0))&gt;=100000), " ",IF(INDEX($AB$2:$AQ$1001,MATCH(ROWS($U$2:U470),$U$2:$U$1001,0),MATCH(COLUMNS($AB$1006:AM1006),$AB$1006:$AQ$1006,0)), HYPERLINK("#",""), HYPERLINK(CONCATENATE("#Metadata!", ADDRESS(INDEX($W$2:$W$1001,MATCH(ROWS($U$2:U470),$U$2:$U$1001,0),0), INDEX($AB$1004:$AQ$1004,1,MATCH(COLUMNS($AB$1006:AM1006),$AB$1006:$AQ$1006,0)))),"Fix")))</f>
        <v>0</v>
      </c>
      <c r="N470" s="5">
        <f>IF(OR(INDEX($V$2:$V$1001,MATCH(ROWS($U$2:U470),$U$2:$U$1001,0),1)&gt;=100000,INDEX($AB$1005:$AQ$1005,1,MATCH(COLUMNS($AB$1006:AN1006),$AB$1006:$AQ$1006,0))&gt;=100000), " ",IF(INDEX($AB$2:$AQ$1001,MATCH(ROWS($U$2:U470),$U$2:$U$1001,0),MATCH(COLUMNS($AB$1006:AN1006),$AB$1006:$AQ$1006,0)), HYPERLINK("#",""), HYPERLINK(CONCATENATE("#Metadata!", ADDRESS(INDEX($W$2:$W$1001,MATCH(ROWS($U$2:U470),$U$2:$U$1001,0),0), INDEX($AB$1004:$AQ$1004,1,MATCH(COLUMNS($AB$1006:AN1006),$AB$1006:$AQ$1006,0)))),"Fix")))</f>
        <v>0</v>
      </c>
      <c r="O470" s="5">
        <f>IF(OR(INDEX($V$2:$V$1001,MATCH(ROWS($U$2:U470),$U$2:$U$1001,0),1)&gt;=100000,INDEX($AB$1005:$AQ$1005,1,MATCH(COLUMNS($AB$1006:AO1006),$AB$1006:$AQ$1006,0))&gt;=100000), " ",IF(INDEX($AB$2:$AQ$1001,MATCH(ROWS($U$2:U470),$U$2:$U$1001,0),MATCH(COLUMNS($AB$1006:AO1006),$AB$1006:$AQ$1006,0)), HYPERLINK("#",""), HYPERLINK(CONCATENATE("#Metadata!", ADDRESS(INDEX($W$2:$W$1001,MATCH(ROWS($U$2:U470),$U$2:$U$1001,0),0), INDEX($AB$1004:$AQ$1004,1,MATCH(COLUMNS($AB$1006:AO1006),$AB$1006:$AQ$1006,0)))),"Fix")))</f>
        <v>0</v>
      </c>
      <c r="P470" s="5">
        <f>IF(OR(INDEX($V$2:$V$1001,MATCH(ROWS($U$2:U470),$U$2:$U$1001,0),1)&gt;=100000,INDEX($AB$1005:$AQ$1005,1,MATCH(COLUMNS($AB$1006:AP1006),$AB$1006:$AQ$1006,0))&gt;=100000), " ",IF(INDEX($AB$2:$AQ$1001,MATCH(ROWS($U$2:U470),$U$2:$U$1001,0),MATCH(COLUMNS($AB$1006:AP1006),$AB$1006:$AQ$1006,0)), HYPERLINK("#",""), HYPERLINK(CONCATENATE("#Metadata!", ADDRESS(INDEX($W$2:$W$1001,MATCH(ROWS($U$2:U470),$U$2:$U$1001,0),0), INDEX($AB$1004:$AQ$1004,1,MATCH(COLUMNS($AB$1006:AP1006),$AB$1006:$AQ$1006,0)))),"Fix")))</f>
        <v>0</v>
      </c>
      <c r="Q470" s="5">
        <f>IF(OR(INDEX($V$2:$V$1001,MATCH(ROWS($U$2:U470),$U$2:$U$1001,0),1)&gt;=100000,INDEX($AB$1005:$AQ$1005,1,MATCH(COLUMNS($AB$1006:AQ1006),$AB$1006:$AQ$1006,0))&gt;=100000), " ",IF(INDEX($AB$2:$AQ$1001,MATCH(ROWS($U$2:U470),$U$2:$U$1001,0),MATCH(COLUMNS($AB$1006:AQ1006),$AB$1006:$AQ$1006,0)), HYPERLINK("#",""), HYPERLINK(CONCATENATE("#Metadata!", ADDRESS(INDEX($W$2:$W$1001,MATCH(ROWS($U$2:U470),$U$2:$U$1001,0),0), INDEX($AB$1004:$AQ$1004,1,MATCH(COLUMNS($AB$1006:AQ1006),$AB$1006:$AQ$1006,0)))),"Fix")))</f>
        <v>0</v>
      </c>
      <c r="U470">
        <v>0</v>
      </c>
      <c r="V470">
        <v>0</v>
      </c>
      <c r="W470">
        <v>0</v>
      </c>
      <c r="X470">
        <f>IF(Y470,TRUE,AND(AB470:AQ470))</f>
        <v>0</v>
      </c>
      <c r="Y470">
        <f>COUNTBLANK(Metadata!B470:Q470)=COLUMNS(Metadata!B470:Q470)</f>
        <v>0</v>
      </c>
      <c r="Z470">
        <v>0</v>
      </c>
      <c r="AB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AC470">
        <f>AND(IF(Metadata!C470="",FALSE,TRUE),exact(Metadata!C470,"urban biome"))</f>
        <v>0</v>
      </c>
      <c r="AD470">
        <f>AND(IF(Metadata!D470="",FALSE,TRUE),exact(Metadata!D470,"human-associated habitat"))</f>
        <v>0</v>
      </c>
      <c r="AE470">
        <f>AND(IF(Metadata!E470="",FALSE,TRUE),OR(exact(Metadata!E470,"human-associated"),exact(Metadata!E470,"human-skin"),exact(Metadata!E470,"human-oral"),exact(Metadata!E470,"human-gut"),exact(Metadata!E470,"human-vaginal")))</f>
        <v>0</v>
      </c>
      <c r="AF470">
        <f>AND(IF(Metadata!F470="",FALSE,ISNUMBER(VALUE(Metadata!F470))),Metadata!F470&gt;0)</f>
        <v>0</v>
      </c>
      <c r="AG470">
        <f>AND(IF(Metadata!G470="",FALSE,TRUE),exact(Metadata!G470,"years"))</f>
        <v>0</v>
      </c>
      <c r="AH470">
        <f>OR(AND(IF(Metadata!H470="",FALSE,TRUE),OR(exact(Metadata!H470,"not applicable"),exact(Metadata!H470,"not collected"),exact(Metadata!H470,"not provided"),exact(Metadata!H470,"restricted access"))),AND(IF(Metadata!H470="",FALSE,ISNUMBER(VALUE(Metadata!H470))),Metadata!H470&gt;0))</f>
        <v>0</v>
      </c>
      <c r="AI470">
        <f>AND(IF(Metadata!I470="",FALSE,TRUE),exact(Metadata!I470,"human"))</f>
        <v>0</v>
      </c>
      <c r="AJ470">
        <f>AND(IF(Metadata!J470="",FALSE,ISNUMBER(VALUE(Metadata!J470))),Metadata!J470&gt;0)</f>
        <v>0</v>
      </c>
      <c r="AK470">
        <f>AND(IF(Metadata!K470="",FALSE,TRUE),exact(Metadata!K470,"cm"))</f>
        <v>0</v>
      </c>
      <c r="AL470">
        <f>AND(IF(Metadata!L470="",FALSE,TRUE),exact(Metadata!L470,"Homo sapiens"))</f>
        <v>0</v>
      </c>
      <c r="AM470">
        <f>AND(IF(Metadata!M470="",FALSE,TRUE),exact(Metadata!M470,"9606"))</f>
        <v>0</v>
      </c>
      <c r="AN470">
        <f>AND(IF(Metadata!N470="",FALSE,ISNUMBER(VALUE(Metadata!N470))),Metadata!N470&gt;0)</f>
        <v>0</v>
      </c>
      <c r="AO470">
        <f>AND(IF(Metadata!O470="",FALSE,TRUE),exact(Metadata!O470,"kg"))</f>
        <v>0</v>
      </c>
      <c r="AP470">
        <f>OR(AND(IF(Metadata!P470="",FALSE,TRUE),exact(Metadata!P470,"not provided")),IF(Metadata!P470="",FALSE,TRUE))</f>
        <v>0</v>
      </c>
      <c r="AQ470">
        <f>OR(AND(IF(Metadata!Q470="",FALSE,TRUE),exact(Metadata!Q470,"not provided")),IF(Metadata!Q470="",FALSE,TRUE))</f>
        <v>0</v>
      </c>
    </row>
    <row r="471" spans="1:43">
      <c r="A471" s="4">
        <f>IF(B471=" "," ",HYPERLINK(CONCATENATE("#metadata!",ADDRESS(INDEX($W$2:$W$1001,MATCH(ROWS($U$2:U471),$U$2:$U$1001,0),0),2)),INDEX($Z$2:$Z$1001,MATCH(ROWS($U$2:U471),$U$2:$U$1001,0),0)))</f>
        <v>0</v>
      </c>
      <c r="B471" s="5">
        <f>IF(OR(INDEX($V$2:$V$1001,MATCH(ROWS($U$2:U471),$U$2:$U$1001,0),1)&gt;=100000,INDEX($AB$1005:$AQ$1005,1,MATCH(COLUMNS($AB$1006:AB1006),$AB$1006:$AQ$1006,0))&gt;=100000), " ",IF(INDEX($AB$2:$AQ$1001,MATCH(ROWS($U$2:U471),$U$2:$U$1001,0),MATCH(COLUMNS($AB$1006:AB1006),$AB$1006:$AQ$1006,0)), HYPERLINK("#",""), HYPERLINK(CONCATENATE("#Metadata!", ADDRESS(INDEX($W$2:$W$1001,MATCH(ROWS($U$2:U471),$U$2:$U$1001,0),0), INDEX($AB$1004:$AQ$1004,1,MATCH(COLUMNS($AB$1006:AB1006),$AB$1006:$AQ$1006,0)))),"Fix")))</f>
        <v>0</v>
      </c>
      <c r="C471" s="5">
        <f>IF(OR(INDEX($V$2:$V$1001,MATCH(ROWS($U$2:U471),$U$2:$U$1001,0),1)&gt;=100000,INDEX($AB$1005:$AQ$1005,1,MATCH(COLUMNS($AB$1006:AC1006),$AB$1006:$AQ$1006,0))&gt;=100000), " ",IF(INDEX($AB$2:$AQ$1001,MATCH(ROWS($U$2:U471),$U$2:$U$1001,0),MATCH(COLUMNS($AB$1006:AC1006),$AB$1006:$AQ$1006,0)), HYPERLINK("#",""), HYPERLINK(CONCATENATE("#Metadata!", ADDRESS(INDEX($W$2:$W$1001,MATCH(ROWS($U$2:U471),$U$2:$U$1001,0),0), INDEX($AB$1004:$AQ$1004,1,MATCH(COLUMNS($AB$1006:AC1006),$AB$1006:$AQ$1006,0)))),"Fix")))</f>
        <v>0</v>
      </c>
      <c r="D471" s="5">
        <f>IF(OR(INDEX($V$2:$V$1001,MATCH(ROWS($U$2:U471),$U$2:$U$1001,0),1)&gt;=100000,INDEX($AB$1005:$AQ$1005,1,MATCH(COLUMNS($AB$1006:AD1006),$AB$1006:$AQ$1006,0))&gt;=100000), " ",IF(INDEX($AB$2:$AQ$1001,MATCH(ROWS($U$2:U471),$U$2:$U$1001,0),MATCH(COLUMNS($AB$1006:AD1006),$AB$1006:$AQ$1006,0)), HYPERLINK("#",""), HYPERLINK(CONCATENATE("#Metadata!", ADDRESS(INDEX($W$2:$W$1001,MATCH(ROWS($U$2:U471),$U$2:$U$1001,0),0), INDEX($AB$1004:$AQ$1004,1,MATCH(COLUMNS($AB$1006:AD1006),$AB$1006:$AQ$1006,0)))),"Fix")))</f>
        <v>0</v>
      </c>
      <c r="E471" s="5">
        <f>IF(OR(INDEX($V$2:$V$1001,MATCH(ROWS($U$2:U471),$U$2:$U$1001,0),1)&gt;=100000,INDEX($AB$1005:$AQ$1005,1,MATCH(COLUMNS($AB$1006:AE1006),$AB$1006:$AQ$1006,0))&gt;=100000), " ",IF(INDEX($AB$2:$AQ$1001,MATCH(ROWS($U$2:U471),$U$2:$U$1001,0),MATCH(COLUMNS($AB$1006:AE1006),$AB$1006:$AQ$1006,0)), HYPERLINK("#",""), HYPERLINK(CONCATENATE("#Metadata!", ADDRESS(INDEX($W$2:$W$1001,MATCH(ROWS($U$2:U471),$U$2:$U$1001,0),0), INDEX($AB$1004:$AQ$1004,1,MATCH(COLUMNS($AB$1006:AE1006),$AB$1006:$AQ$1006,0)))),"Fix")))</f>
        <v>0</v>
      </c>
      <c r="F471" s="5">
        <f>IF(OR(INDEX($V$2:$V$1001,MATCH(ROWS($U$2:U471),$U$2:$U$1001,0),1)&gt;=100000,INDEX($AB$1005:$AQ$1005,1,MATCH(COLUMNS($AB$1006:AF1006),$AB$1006:$AQ$1006,0))&gt;=100000), " ",IF(INDEX($AB$2:$AQ$1001,MATCH(ROWS($U$2:U471),$U$2:$U$1001,0),MATCH(COLUMNS($AB$1006:AF1006),$AB$1006:$AQ$1006,0)), HYPERLINK("#",""), HYPERLINK(CONCATENATE("#Metadata!", ADDRESS(INDEX($W$2:$W$1001,MATCH(ROWS($U$2:U471),$U$2:$U$1001,0),0), INDEX($AB$1004:$AQ$1004,1,MATCH(COLUMNS($AB$1006:AF1006),$AB$1006:$AQ$1006,0)))),"Fix")))</f>
        <v>0</v>
      </c>
      <c r="G471" s="5">
        <f>IF(OR(INDEX($V$2:$V$1001,MATCH(ROWS($U$2:U471),$U$2:$U$1001,0),1)&gt;=100000,INDEX($AB$1005:$AQ$1005,1,MATCH(COLUMNS($AB$1006:AG1006),$AB$1006:$AQ$1006,0))&gt;=100000), " ",IF(INDEX($AB$2:$AQ$1001,MATCH(ROWS($U$2:U471),$U$2:$U$1001,0),MATCH(COLUMNS($AB$1006:AG1006),$AB$1006:$AQ$1006,0)), HYPERLINK("#",""), HYPERLINK(CONCATENATE("#Metadata!", ADDRESS(INDEX($W$2:$W$1001,MATCH(ROWS($U$2:U471),$U$2:$U$1001,0),0), INDEX($AB$1004:$AQ$1004,1,MATCH(COLUMNS($AB$1006:AG1006),$AB$1006:$AQ$1006,0)))),"Fix")))</f>
        <v>0</v>
      </c>
      <c r="H471" s="5">
        <f>IF(OR(INDEX($V$2:$V$1001,MATCH(ROWS($U$2:U471),$U$2:$U$1001,0),1)&gt;=100000,INDEX($AB$1005:$AQ$1005,1,MATCH(COLUMNS($AB$1006:AH1006),$AB$1006:$AQ$1006,0))&gt;=100000), " ",IF(INDEX($AB$2:$AQ$1001,MATCH(ROWS($U$2:U471),$U$2:$U$1001,0),MATCH(COLUMNS($AB$1006:AH1006),$AB$1006:$AQ$1006,0)), HYPERLINK("#",""), HYPERLINK(CONCATENATE("#Metadata!", ADDRESS(INDEX($W$2:$W$1001,MATCH(ROWS($U$2:U471),$U$2:$U$1001,0),0), INDEX($AB$1004:$AQ$1004,1,MATCH(COLUMNS($AB$1006:AH1006),$AB$1006:$AQ$1006,0)))),"Fix")))</f>
        <v>0</v>
      </c>
      <c r="I471" s="5">
        <f>IF(OR(INDEX($V$2:$V$1001,MATCH(ROWS($U$2:U471),$U$2:$U$1001,0),1)&gt;=100000,INDEX($AB$1005:$AQ$1005,1,MATCH(COLUMNS($AB$1006:AI1006),$AB$1006:$AQ$1006,0))&gt;=100000), " ",IF(INDEX($AB$2:$AQ$1001,MATCH(ROWS($U$2:U471),$U$2:$U$1001,0),MATCH(COLUMNS($AB$1006:AI1006),$AB$1006:$AQ$1006,0)), HYPERLINK("#",""), HYPERLINK(CONCATENATE("#Metadata!", ADDRESS(INDEX($W$2:$W$1001,MATCH(ROWS($U$2:U471),$U$2:$U$1001,0),0), INDEX($AB$1004:$AQ$1004,1,MATCH(COLUMNS($AB$1006:AI1006),$AB$1006:$AQ$1006,0)))),"Fix")))</f>
        <v>0</v>
      </c>
      <c r="J471" s="5">
        <f>IF(OR(INDEX($V$2:$V$1001,MATCH(ROWS($U$2:U471),$U$2:$U$1001,0),1)&gt;=100000,INDEX($AB$1005:$AQ$1005,1,MATCH(COLUMNS($AB$1006:AJ1006),$AB$1006:$AQ$1006,0))&gt;=100000), " ",IF(INDEX($AB$2:$AQ$1001,MATCH(ROWS($U$2:U471),$U$2:$U$1001,0),MATCH(COLUMNS($AB$1006:AJ1006),$AB$1006:$AQ$1006,0)), HYPERLINK("#",""), HYPERLINK(CONCATENATE("#Metadata!", ADDRESS(INDEX($W$2:$W$1001,MATCH(ROWS($U$2:U471),$U$2:$U$1001,0),0), INDEX($AB$1004:$AQ$1004,1,MATCH(COLUMNS($AB$1006:AJ1006),$AB$1006:$AQ$1006,0)))),"Fix")))</f>
        <v>0</v>
      </c>
      <c r="K471" s="5">
        <f>IF(OR(INDEX($V$2:$V$1001,MATCH(ROWS($U$2:U471),$U$2:$U$1001,0),1)&gt;=100000,INDEX($AB$1005:$AQ$1005,1,MATCH(COLUMNS($AB$1006:AK1006),$AB$1006:$AQ$1006,0))&gt;=100000), " ",IF(INDEX($AB$2:$AQ$1001,MATCH(ROWS($U$2:U471),$U$2:$U$1001,0),MATCH(COLUMNS($AB$1006:AK1006),$AB$1006:$AQ$1006,0)), HYPERLINK("#",""), HYPERLINK(CONCATENATE("#Metadata!", ADDRESS(INDEX($W$2:$W$1001,MATCH(ROWS($U$2:U471),$U$2:$U$1001,0),0), INDEX($AB$1004:$AQ$1004,1,MATCH(COLUMNS($AB$1006:AK1006),$AB$1006:$AQ$1006,0)))),"Fix")))</f>
        <v>0</v>
      </c>
      <c r="L471" s="5">
        <f>IF(OR(INDEX($V$2:$V$1001,MATCH(ROWS($U$2:U471),$U$2:$U$1001,0),1)&gt;=100000,INDEX($AB$1005:$AQ$1005,1,MATCH(COLUMNS($AB$1006:AL1006),$AB$1006:$AQ$1006,0))&gt;=100000), " ",IF(INDEX($AB$2:$AQ$1001,MATCH(ROWS($U$2:U471),$U$2:$U$1001,0),MATCH(COLUMNS($AB$1006:AL1006),$AB$1006:$AQ$1006,0)), HYPERLINK("#",""), HYPERLINK(CONCATENATE("#Metadata!", ADDRESS(INDEX($W$2:$W$1001,MATCH(ROWS($U$2:U471),$U$2:$U$1001,0),0), INDEX($AB$1004:$AQ$1004,1,MATCH(COLUMNS($AB$1006:AL1006),$AB$1006:$AQ$1006,0)))),"Fix")))</f>
        <v>0</v>
      </c>
      <c r="M471" s="5">
        <f>IF(OR(INDEX($V$2:$V$1001,MATCH(ROWS($U$2:U471),$U$2:$U$1001,0),1)&gt;=100000,INDEX($AB$1005:$AQ$1005,1,MATCH(COLUMNS($AB$1006:AM1006),$AB$1006:$AQ$1006,0))&gt;=100000), " ",IF(INDEX($AB$2:$AQ$1001,MATCH(ROWS($U$2:U471),$U$2:$U$1001,0),MATCH(COLUMNS($AB$1006:AM1006),$AB$1006:$AQ$1006,0)), HYPERLINK("#",""), HYPERLINK(CONCATENATE("#Metadata!", ADDRESS(INDEX($W$2:$W$1001,MATCH(ROWS($U$2:U471),$U$2:$U$1001,0),0), INDEX($AB$1004:$AQ$1004,1,MATCH(COLUMNS($AB$1006:AM1006),$AB$1006:$AQ$1006,0)))),"Fix")))</f>
        <v>0</v>
      </c>
      <c r="N471" s="5">
        <f>IF(OR(INDEX($V$2:$V$1001,MATCH(ROWS($U$2:U471),$U$2:$U$1001,0),1)&gt;=100000,INDEX($AB$1005:$AQ$1005,1,MATCH(COLUMNS($AB$1006:AN1006),$AB$1006:$AQ$1006,0))&gt;=100000), " ",IF(INDEX($AB$2:$AQ$1001,MATCH(ROWS($U$2:U471),$U$2:$U$1001,0),MATCH(COLUMNS($AB$1006:AN1006),$AB$1006:$AQ$1006,0)), HYPERLINK("#",""), HYPERLINK(CONCATENATE("#Metadata!", ADDRESS(INDEX($W$2:$W$1001,MATCH(ROWS($U$2:U471),$U$2:$U$1001,0),0), INDEX($AB$1004:$AQ$1004,1,MATCH(COLUMNS($AB$1006:AN1006),$AB$1006:$AQ$1006,0)))),"Fix")))</f>
        <v>0</v>
      </c>
      <c r="O471" s="5">
        <f>IF(OR(INDEX($V$2:$V$1001,MATCH(ROWS($U$2:U471),$U$2:$U$1001,0),1)&gt;=100000,INDEX($AB$1005:$AQ$1005,1,MATCH(COLUMNS($AB$1006:AO1006),$AB$1006:$AQ$1006,0))&gt;=100000), " ",IF(INDEX($AB$2:$AQ$1001,MATCH(ROWS($U$2:U471),$U$2:$U$1001,0),MATCH(COLUMNS($AB$1006:AO1006),$AB$1006:$AQ$1006,0)), HYPERLINK("#",""), HYPERLINK(CONCATENATE("#Metadata!", ADDRESS(INDEX($W$2:$W$1001,MATCH(ROWS($U$2:U471),$U$2:$U$1001,0),0), INDEX($AB$1004:$AQ$1004,1,MATCH(COLUMNS($AB$1006:AO1006),$AB$1006:$AQ$1006,0)))),"Fix")))</f>
        <v>0</v>
      </c>
      <c r="P471" s="5">
        <f>IF(OR(INDEX($V$2:$V$1001,MATCH(ROWS($U$2:U471),$U$2:$U$1001,0),1)&gt;=100000,INDEX($AB$1005:$AQ$1005,1,MATCH(COLUMNS($AB$1006:AP1006),$AB$1006:$AQ$1006,0))&gt;=100000), " ",IF(INDEX($AB$2:$AQ$1001,MATCH(ROWS($U$2:U471),$U$2:$U$1001,0),MATCH(COLUMNS($AB$1006:AP1006),$AB$1006:$AQ$1006,0)), HYPERLINK("#",""), HYPERLINK(CONCATENATE("#Metadata!", ADDRESS(INDEX($W$2:$W$1001,MATCH(ROWS($U$2:U471),$U$2:$U$1001,0),0), INDEX($AB$1004:$AQ$1004,1,MATCH(COLUMNS($AB$1006:AP1006),$AB$1006:$AQ$1006,0)))),"Fix")))</f>
        <v>0</v>
      </c>
      <c r="Q471" s="5">
        <f>IF(OR(INDEX($V$2:$V$1001,MATCH(ROWS($U$2:U471),$U$2:$U$1001,0),1)&gt;=100000,INDEX($AB$1005:$AQ$1005,1,MATCH(COLUMNS($AB$1006:AQ1006),$AB$1006:$AQ$1006,0))&gt;=100000), " ",IF(INDEX($AB$2:$AQ$1001,MATCH(ROWS($U$2:U471),$U$2:$U$1001,0),MATCH(COLUMNS($AB$1006:AQ1006),$AB$1006:$AQ$1006,0)), HYPERLINK("#",""), HYPERLINK(CONCATENATE("#Metadata!", ADDRESS(INDEX($W$2:$W$1001,MATCH(ROWS($U$2:U471),$U$2:$U$1001,0),0), INDEX($AB$1004:$AQ$1004,1,MATCH(COLUMNS($AB$1006:AQ1006),$AB$1006:$AQ$1006,0)))),"Fix")))</f>
        <v>0</v>
      </c>
      <c r="U471">
        <v>0</v>
      </c>
      <c r="V471">
        <v>0</v>
      </c>
      <c r="W471">
        <v>0</v>
      </c>
      <c r="X471">
        <f>IF(Y471,TRUE,AND(AB471:AQ471))</f>
        <v>0</v>
      </c>
      <c r="Y471">
        <f>COUNTBLANK(Metadata!B471:Q471)=COLUMNS(Metadata!B471:Q471)</f>
        <v>0</v>
      </c>
      <c r="Z471">
        <v>0</v>
      </c>
      <c r="AB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AC471">
        <f>AND(IF(Metadata!C471="",FALSE,TRUE),exact(Metadata!C471,"urban biome"))</f>
        <v>0</v>
      </c>
      <c r="AD471">
        <f>AND(IF(Metadata!D471="",FALSE,TRUE),exact(Metadata!D471,"human-associated habitat"))</f>
        <v>0</v>
      </c>
      <c r="AE471">
        <f>AND(IF(Metadata!E471="",FALSE,TRUE),OR(exact(Metadata!E471,"human-associated"),exact(Metadata!E471,"human-skin"),exact(Metadata!E471,"human-oral"),exact(Metadata!E471,"human-gut"),exact(Metadata!E471,"human-vaginal")))</f>
        <v>0</v>
      </c>
      <c r="AF471">
        <f>AND(IF(Metadata!F471="",FALSE,ISNUMBER(VALUE(Metadata!F471))),Metadata!F471&gt;0)</f>
        <v>0</v>
      </c>
      <c r="AG471">
        <f>AND(IF(Metadata!G471="",FALSE,TRUE),exact(Metadata!G471,"years"))</f>
        <v>0</v>
      </c>
      <c r="AH471">
        <f>OR(AND(IF(Metadata!H471="",FALSE,TRUE),OR(exact(Metadata!H471,"not applicable"),exact(Metadata!H471,"not collected"),exact(Metadata!H471,"not provided"),exact(Metadata!H471,"restricted access"))),AND(IF(Metadata!H471="",FALSE,ISNUMBER(VALUE(Metadata!H471))),Metadata!H471&gt;0))</f>
        <v>0</v>
      </c>
      <c r="AI471">
        <f>AND(IF(Metadata!I471="",FALSE,TRUE),exact(Metadata!I471,"human"))</f>
        <v>0</v>
      </c>
      <c r="AJ471">
        <f>AND(IF(Metadata!J471="",FALSE,ISNUMBER(VALUE(Metadata!J471))),Metadata!J471&gt;0)</f>
        <v>0</v>
      </c>
      <c r="AK471">
        <f>AND(IF(Metadata!K471="",FALSE,TRUE),exact(Metadata!K471,"cm"))</f>
        <v>0</v>
      </c>
      <c r="AL471">
        <f>AND(IF(Metadata!L471="",FALSE,TRUE),exact(Metadata!L471,"Homo sapiens"))</f>
        <v>0</v>
      </c>
      <c r="AM471">
        <f>AND(IF(Metadata!M471="",FALSE,TRUE),exact(Metadata!M471,"9606"))</f>
        <v>0</v>
      </c>
      <c r="AN471">
        <f>AND(IF(Metadata!N471="",FALSE,ISNUMBER(VALUE(Metadata!N471))),Metadata!N471&gt;0)</f>
        <v>0</v>
      </c>
      <c r="AO471">
        <f>AND(IF(Metadata!O471="",FALSE,TRUE),exact(Metadata!O471,"kg"))</f>
        <v>0</v>
      </c>
      <c r="AP471">
        <f>OR(AND(IF(Metadata!P471="",FALSE,TRUE),exact(Metadata!P471,"not provided")),IF(Metadata!P471="",FALSE,TRUE))</f>
        <v>0</v>
      </c>
      <c r="AQ471">
        <f>OR(AND(IF(Metadata!Q471="",FALSE,TRUE),exact(Metadata!Q471,"not provided")),IF(Metadata!Q471="",FALSE,TRUE))</f>
        <v>0</v>
      </c>
    </row>
    <row r="472" spans="1:43">
      <c r="A472" s="4">
        <f>IF(B472=" "," ",HYPERLINK(CONCATENATE("#metadata!",ADDRESS(INDEX($W$2:$W$1001,MATCH(ROWS($U$2:U472),$U$2:$U$1001,0),0),2)),INDEX($Z$2:$Z$1001,MATCH(ROWS($U$2:U472),$U$2:$U$1001,0),0)))</f>
        <v>0</v>
      </c>
      <c r="B472" s="5">
        <f>IF(OR(INDEX($V$2:$V$1001,MATCH(ROWS($U$2:U472),$U$2:$U$1001,0),1)&gt;=100000,INDEX($AB$1005:$AQ$1005,1,MATCH(COLUMNS($AB$1006:AB1006),$AB$1006:$AQ$1006,0))&gt;=100000), " ",IF(INDEX($AB$2:$AQ$1001,MATCH(ROWS($U$2:U472),$U$2:$U$1001,0),MATCH(COLUMNS($AB$1006:AB1006),$AB$1006:$AQ$1006,0)), HYPERLINK("#",""), HYPERLINK(CONCATENATE("#Metadata!", ADDRESS(INDEX($W$2:$W$1001,MATCH(ROWS($U$2:U472),$U$2:$U$1001,0),0), INDEX($AB$1004:$AQ$1004,1,MATCH(COLUMNS($AB$1006:AB1006),$AB$1006:$AQ$1006,0)))),"Fix")))</f>
        <v>0</v>
      </c>
      <c r="C472" s="5">
        <f>IF(OR(INDEX($V$2:$V$1001,MATCH(ROWS($U$2:U472),$U$2:$U$1001,0),1)&gt;=100000,INDEX($AB$1005:$AQ$1005,1,MATCH(COLUMNS($AB$1006:AC1006),$AB$1006:$AQ$1006,0))&gt;=100000), " ",IF(INDEX($AB$2:$AQ$1001,MATCH(ROWS($U$2:U472),$U$2:$U$1001,0),MATCH(COLUMNS($AB$1006:AC1006),$AB$1006:$AQ$1006,0)), HYPERLINK("#",""), HYPERLINK(CONCATENATE("#Metadata!", ADDRESS(INDEX($W$2:$W$1001,MATCH(ROWS($U$2:U472),$U$2:$U$1001,0),0), INDEX($AB$1004:$AQ$1004,1,MATCH(COLUMNS($AB$1006:AC1006),$AB$1006:$AQ$1006,0)))),"Fix")))</f>
        <v>0</v>
      </c>
      <c r="D472" s="5">
        <f>IF(OR(INDEX($V$2:$V$1001,MATCH(ROWS($U$2:U472),$U$2:$U$1001,0),1)&gt;=100000,INDEX($AB$1005:$AQ$1005,1,MATCH(COLUMNS($AB$1006:AD1006),$AB$1006:$AQ$1006,0))&gt;=100000), " ",IF(INDEX($AB$2:$AQ$1001,MATCH(ROWS($U$2:U472),$U$2:$U$1001,0),MATCH(COLUMNS($AB$1006:AD1006),$AB$1006:$AQ$1006,0)), HYPERLINK("#",""), HYPERLINK(CONCATENATE("#Metadata!", ADDRESS(INDEX($W$2:$W$1001,MATCH(ROWS($U$2:U472),$U$2:$U$1001,0),0), INDEX($AB$1004:$AQ$1004,1,MATCH(COLUMNS($AB$1006:AD1006),$AB$1006:$AQ$1006,0)))),"Fix")))</f>
        <v>0</v>
      </c>
      <c r="E472" s="5">
        <f>IF(OR(INDEX($V$2:$V$1001,MATCH(ROWS($U$2:U472),$U$2:$U$1001,0),1)&gt;=100000,INDEX($AB$1005:$AQ$1005,1,MATCH(COLUMNS($AB$1006:AE1006),$AB$1006:$AQ$1006,0))&gt;=100000), " ",IF(INDEX($AB$2:$AQ$1001,MATCH(ROWS($U$2:U472),$U$2:$U$1001,0),MATCH(COLUMNS($AB$1006:AE1006),$AB$1006:$AQ$1006,0)), HYPERLINK("#",""), HYPERLINK(CONCATENATE("#Metadata!", ADDRESS(INDEX($W$2:$W$1001,MATCH(ROWS($U$2:U472),$U$2:$U$1001,0),0), INDEX($AB$1004:$AQ$1004,1,MATCH(COLUMNS($AB$1006:AE1006),$AB$1006:$AQ$1006,0)))),"Fix")))</f>
        <v>0</v>
      </c>
      <c r="F472" s="5">
        <f>IF(OR(INDEX($V$2:$V$1001,MATCH(ROWS($U$2:U472),$U$2:$U$1001,0),1)&gt;=100000,INDEX($AB$1005:$AQ$1005,1,MATCH(COLUMNS($AB$1006:AF1006),$AB$1006:$AQ$1006,0))&gt;=100000), " ",IF(INDEX($AB$2:$AQ$1001,MATCH(ROWS($U$2:U472),$U$2:$U$1001,0),MATCH(COLUMNS($AB$1006:AF1006),$AB$1006:$AQ$1006,0)), HYPERLINK("#",""), HYPERLINK(CONCATENATE("#Metadata!", ADDRESS(INDEX($W$2:$W$1001,MATCH(ROWS($U$2:U472),$U$2:$U$1001,0),0), INDEX($AB$1004:$AQ$1004,1,MATCH(COLUMNS($AB$1006:AF1006),$AB$1006:$AQ$1006,0)))),"Fix")))</f>
        <v>0</v>
      </c>
      <c r="G472" s="5">
        <f>IF(OR(INDEX($V$2:$V$1001,MATCH(ROWS($U$2:U472),$U$2:$U$1001,0),1)&gt;=100000,INDEX($AB$1005:$AQ$1005,1,MATCH(COLUMNS($AB$1006:AG1006),$AB$1006:$AQ$1006,0))&gt;=100000), " ",IF(INDEX($AB$2:$AQ$1001,MATCH(ROWS($U$2:U472),$U$2:$U$1001,0),MATCH(COLUMNS($AB$1006:AG1006),$AB$1006:$AQ$1006,0)), HYPERLINK("#",""), HYPERLINK(CONCATENATE("#Metadata!", ADDRESS(INDEX($W$2:$W$1001,MATCH(ROWS($U$2:U472),$U$2:$U$1001,0),0), INDEX($AB$1004:$AQ$1004,1,MATCH(COLUMNS($AB$1006:AG1006),$AB$1006:$AQ$1006,0)))),"Fix")))</f>
        <v>0</v>
      </c>
      <c r="H472" s="5">
        <f>IF(OR(INDEX($V$2:$V$1001,MATCH(ROWS($U$2:U472),$U$2:$U$1001,0),1)&gt;=100000,INDEX($AB$1005:$AQ$1005,1,MATCH(COLUMNS($AB$1006:AH1006),$AB$1006:$AQ$1006,0))&gt;=100000), " ",IF(INDEX($AB$2:$AQ$1001,MATCH(ROWS($U$2:U472),$U$2:$U$1001,0),MATCH(COLUMNS($AB$1006:AH1006),$AB$1006:$AQ$1006,0)), HYPERLINK("#",""), HYPERLINK(CONCATENATE("#Metadata!", ADDRESS(INDEX($W$2:$W$1001,MATCH(ROWS($U$2:U472),$U$2:$U$1001,0),0), INDEX($AB$1004:$AQ$1004,1,MATCH(COLUMNS($AB$1006:AH1006),$AB$1006:$AQ$1006,0)))),"Fix")))</f>
        <v>0</v>
      </c>
      <c r="I472" s="5">
        <f>IF(OR(INDEX($V$2:$V$1001,MATCH(ROWS($U$2:U472),$U$2:$U$1001,0),1)&gt;=100000,INDEX($AB$1005:$AQ$1005,1,MATCH(COLUMNS($AB$1006:AI1006),$AB$1006:$AQ$1006,0))&gt;=100000), " ",IF(INDEX($AB$2:$AQ$1001,MATCH(ROWS($U$2:U472),$U$2:$U$1001,0),MATCH(COLUMNS($AB$1006:AI1006),$AB$1006:$AQ$1006,0)), HYPERLINK("#",""), HYPERLINK(CONCATENATE("#Metadata!", ADDRESS(INDEX($W$2:$W$1001,MATCH(ROWS($U$2:U472),$U$2:$U$1001,0),0), INDEX($AB$1004:$AQ$1004,1,MATCH(COLUMNS($AB$1006:AI1006),$AB$1006:$AQ$1006,0)))),"Fix")))</f>
        <v>0</v>
      </c>
      <c r="J472" s="5">
        <f>IF(OR(INDEX($V$2:$V$1001,MATCH(ROWS($U$2:U472),$U$2:$U$1001,0),1)&gt;=100000,INDEX($AB$1005:$AQ$1005,1,MATCH(COLUMNS($AB$1006:AJ1006),$AB$1006:$AQ$1006,0))&gt;=100000), " ",IF(INDEX($AB$2:$AQ$1001,MATCH(ROWS($U$2:U472),$U$2:$U$1001,0),MATCH(COLUMNS($AB$1006:AJ1006),$AB$1006:$AQ$1006,0)), HYPERLINK("#",""), HYPERLINK(CONCATENATE("#Metadata!", ADDRESS(INDEX($W$2:$W$1001,MATCH(ROWS($U$2:U472),$U$2:$U$1001,0),0), INDEX($AB$1004:$AQ$1004,1,MATCH(COLUMNS($AB$1006:AJ1006),$AB$1006:$AQ$1006,0)))),"Fix")))</f>
        <v>0</v>
      </c>
      <c r="K472" s="5">
        <f>IF(OR(INDEX($V$2:$V$1001,MATCH(ROWS($U$2:U472),$U$2:$U$1001,0),1)&gt;=100000,INDEX($AB$1005:$AQ$1005,1,MATCH(COLUMNS($AB$1006:AK1006),$AB$1006:$AQ$1006,0))&gt;=100000), " ",IF(INDEX($AB$2:$AQ$1001,MATCH(ROWS($U$2:U472),$U$2:$U$1001,0),MATCH(COLUMNS($AB$1006:AK1006),$AB$1006:$AQ$1006,0)), HYPERLINK("#",""), HYPERLINK(CONCATENATE("#Metadata!", ADDRESS(INDEX($W$2:$W$1001,MATCH(ROWS($U$2:U472),$U$2:$U$1001,0),0), INDEX($AB$1004:$AQ$1004,1,MATCH(COLUMNS($AB$1006:AK1006),$AB$1006:$AQ$1006,0)))),"Fix")))</f>
        <v>0</v>
      </c>
      <c r="L472" s="5">
        <f>IF(OR(INDEX($V$2:$V$1001,MATCH(ROWS($U$2:U472),$U$2:$U$1001,0),1)&gt;=100000,INDEX($AB$1005:$AQ$1005,1,MATCH(COLUMNS($AB$1006:AL1006),$AB$1006:$AQ$1006,0))&gt;=100000), " ",IF(INDEX($AB$2:$AQ$1001,MATCH(ROWS($U$2:U472),$U$2:$U$1001,0),MATCH(COLUMNS($AB$1006:AL1006),$AB$1006:$AQ$1006,0)), HYPERLINK("#",""), HYPERLINK(CONCATENATE("#Metadata!", ADDRESS(INDEX($W$2:$W$1001,MATCH(ROWS($U$2:U472),$U$2:$U$1001,0),0), INDEX($AB$1004:$AQ$1004,1,MATCH(COLUMNS($AB$1006:AL1006),$AB$1006:$AQ$1006,0)))),"Fix")))</f>
        <v>0</v>
      </c>
      <c r="M472" s="5">
        <f>IF(OR(INDEX($V$2:$V$1001,MATCH(ROWS($U$2:U472),$U$2:$U$1001,0),1)&gt;=100000,INDEX($AB$1005:$AQ$1005,1,MATCH(COLUMNS($AB$1006:AM1006),$AB$1006:$AQ$1006,0))&gt;=100000), " ",IF(INDEX($AB$2:$AQ$1001,MATCH(ROWS($U$2:U472),$U$2:$U$1001,0),MATCH(COLUMNS($AB$1006:AM1006),$AB$1006:$AQ$1006,0)), HYPERLINK("#",""), HYPERLINK(CONCATENATE("#Metadata!", ADDRESS(INDEX($W$2:$W$1001,MATCH(ROWS($U$2:U472),$U$2:$U$1001,0),0), INDEX($AB$1004:$AQ$1004,1,MATCH(COLUMNS($AB$1006:AM1006),$AB$1006:$AQ$1006,0)))),"Fix")))</f>
        <v>0</v>
      </c>
      <c r="N472" s="5">
        <f>IF(OR(INDEX($V$2:$V$1001,MATCH(ROWS($U$2:U472),$U$2:$U$1001,0),1)&gt;=100000,INDEX($AB$1005:$AQ$1005,1,MATCH(COLUMNS($AB$1006:AN1006),$AB$1006:$AQ$1006,0))&gt;=100000), " ",IF(INDEX($AB$2:$AQ$1001,MATCH(ROWS($U$2:U472),$U$2:$U$1001,0),MATCH(COLUMNS($AB$1006:AN1006),$AB$1006:$AQ$1006,0)), HYPERLINK("#",""), HYPERLINK(CONCATENATE("#Metadata!", ADDRESS(INDEX($W$2:$W$1001,MATCH(ROWS($U$2:U472),$U$2:$U$1001,0),0), INDEX($AB$1004:$AQ$1004,1,MATCH(COLUMNS($AB$1006:AN1006),$AB$1006:$AQ$1006,0)))),"Fix")))</f>
        <v>0</v>
      </c>
      <c r="O472" s="5">
        <f>IF(OR(INDEX($V$2:$V$1001,MATCH(ROWS($U$2:U472),$U$2:$U$1001,0),1)&gt;=100000,INDEX($AB$1005:$AQ$1005,1,MATCH(COLUMNS($AB$1006:AO1006),$AB$1006:$AQ$1006,0))&gt;=100000), " ",IF(INDEX($AB$2:$AQ$1001,MATCH(ROWS($U$2:U472),$U$2:$U$1001,0),MATCH(COLUMNS($AB$1006:AO1006),$AB$1006:$AQ$1006,0)), HYPERLINK("#",""), HYPERLINK(CONCATENATE("#Metadata!", ADDRESS(INDEX($W$2:$W$1001,MATCH(ROWS($U$2:U472),$U$2:$U$1001,0),0), INDEX($AB$1004:$AQ$1004,1,MATCH(COLUMNS($AB$1006:AO1006),$AB$1006:$AQ$1006,0)))),"Fix")))</f>
        <v>0</v>
      </c>
      <c r="P472" s="5">
        <f>IF(OR(INDEX($V$2:$V$1001,MATCH(ROWS($U$2:U472),$U$2:$U$1001,0),1)&gt;=100000,INDEX($AB$1005:$AQ$1005,1,MATCH(COLUMNS($AB$1006:AP1006),$AB$1006:$AQ$1006,0))&gt;=100000), " ",IF(INDEX($AB$2:$AQ$1001,MATCH(ROWS($U$2:U472),$U$2:$U$1001,0),MATCH(COLUMNS($AB$1006:AP1006),$AB$1006:$AQ$1006,0)), HYPERLINK("#",""), HYPERLINK(CONCATENATE("#Metadata!", ADDRESS(INDEX($W$2:$W$1001,MATCH(ROWS($U$2:U472),$U$2:$U$1001,0),0), INDEX($AB$1004:$AQ$1004,1,MATCH(COLUMNS($AB$1006:AP1006),$AB$1006:$AQ$1006,0)))),"Fix")))</f>
        <v>0</v>
      </c>
      <c r="Q472" s="5">
        <f>IF(OR(INDEX($V$2:$V$1001,MATCH(ROWS($U$2:U472),$U$2:$U$1001,0),1)&gt;=100000,INDEX($AB$1005:$AQ$1005,1,MATCH(COLUMNS($AB$1006:AQ1006),$AB$1006:$AQ$1006,0))&gt;=100000), " ",IF(INDEX($AB$2:$AQ$1001,MATCH(ROWS($U$2:U472),$U$2:$U$1001,0),MATCH(COLUMNS($AB$1006:AQ1006),$AB$1006:$AQ$1006,0)), HYPERLINK("#",""), HYPERLINK(CONCATENATE("#Metadata!", ADDRESS(INDEX($W$2:$W$1001,MATCH(ROWS($U$2:U472),$U$2:$U$1001,0),0), INDEX($AB$1004:$AQ$1004,1,MATCH(COLUMNS($AB$1006:AQ1006),$AB$1006:$AQ$1006,0)))),"Fix")))</f>
        <v>0</v>
      </c>
      <c r="U472">
        <v>0</v>
      </c>
      <c r="V472">
        <v>0</v>
      </c>
      <c r="W472">
        <v>0</v>
      </c>
      <c r="X472">
        <f>IF(Y472,TRUE,AND(AB472:AQ472))</f>
        <v>0</v>
      </c>
      <c r="Y472">
        <f>COUNTBLANK(Metadata!B472:Q472)=COLUMNS(Metadata!B472:Q472)</f>
        <v>0</v>
      </c>
      <c r="Z472">
        <v>0</v>
      </c>
      <c r="AB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AC472">
        <f>AND(IF(Metadata!C472="",FALSE,TRUE),exact(Metadata!C472,"urban biome"))</f>
        <v>0</v>
      </c>
      <c r="AD472">
        <f>AND(IF(Metadata!D472="",FALSE,TRUE),exact(Metadata!D472,"human-associated habitat"))</f>
        <v>0</v>
      </c>
      <c r="AE472">
        <f>AND(IF(Metadata!E472="",FALSE,TRUE),OR(exact(Metadata!E472,"human-associated"),exact(Metadata!E472,"human-skin"),exact(Metadata!E472,"human-oral"),exact(Metadata!E472,"human-gut"),exact(Metadata!E472,"human-vaginal")))</f>
        <v>0</v>
      </c>
      <c r="AF472">
        <f>AND(IF(Metadata!F472="",FALSE,ISNUMBER(VALUE(Metadata!F472))),Metadata!F472&gt;0)</f>
        <v>0</v>
      </c>
      <c r="AG472">
        <f>AND(IF(Metadata!G472="",FALSE,TRUE),exact(Metadata!G472,"years"))</f>
        <v>0</v>
      </c>
      <c r="AH472">
        <f>OR(AND(IF(Metadata!H472="",FALSE,TRUE),OR(exact(Metadata!H472,"not applicable"),exact(Metadata!H472,"not collected"),exact(Metadata!H472,"not provided"),exact(Metadata!H472,"restricted access"))),AND(IF(Metadata!H472="",FALSE,ISNUMBER(VALUE(Metadata!H472))),Metadata!H472&gt;0))</f>
        <v>0</v>
      </c>
      <c r="AI472">
        <f>AND(IF(Metadata!I472="",FALSE,TRUE),exact(Metadata!I472,"human"))</f>
        <v>0</v>
      </c>
      <c r="AJ472">
        <f>AND(IF(Metadata!J472="",FALSE,ISNUMBER(VALUE(Metadata!J472))),Metadata!J472&gt;0)</f>
        <v>0</v>
      </c>
      <c r="AK472">
        <f>AND(IF(Metadata!K472="",FALSE,TRUE),exact(Metadata!K472,"cm"))</f>
        <v>0</v>
      </c>
      <c r="AL472">
        <f>AND(IF(Metadata!L472="",FALSE,TRUE),exact(Metadata!L472,"Homo sapiens"))</f>
        <v>0</v>
      </c>
      <c r="AM472">
        <f>AND(IF(Metadata!M472="",FALSE,TRUE),exact(Metadata!M472,"9606"))</f>
        <v>0</v>
      </c>
      <c r="AN472">
        <f>AND(IF(Metadata!N472="",FALSE,ISNUMBER(VALUE(Metadata!N472))),Metadata!N472&gt;0)</f>
        <v>0</v>
      </c>
      <c r="AO472">
        <f>AND(IF(Metadata!O472="",FALSE,TRUE),exact(Metadata!O472,"kg"))</f>
        <v>0</v>
      </c>
      <c r="AP472">
        <f>OR(AND(IF(Metadata!P472="",FALSE,TRUE),exact(Metadata!P472,"not provided")),IF(Metadata!P472="",FALSE,TRUE))</f>
        <v>0</v>
      </c>
      <c r="AQ472">
        <f>OR(AND(IF(Metadata!Q472="",FALSE,TRUE),exact(Metadata!Q472,"not provided")),IF(Metadata!Q472="",FALSE,TRUE))</f>
        <v>0</v>
      </c>
    </row>
    <row r="473" spans="1:43">
      <c r="A473" s="4">
        <f>IF(B473=" "," ",HYPERLINK(CONCATENATE("#metadata!",ADDRESS(INDEX($W$2:$W$1001,MATCH(ROWS($U$2:U473),$U$2:$U$1001,0),0),2)),INDEX($Z$2:$Z$1001,MATCH(ROWS($U$2:U473),$U$2:$U$1001,0),0)))</f>
        <v>0</v>
      </c>
      <c r="B473" s="5">
        <f>IF(OR(INDEX($V$2:$V$1001,MATCH(ROWS($U$2:U473),$U$2:$U$1001,0),1)&gt;=100000,INDEX($AB$1005:$AQ$1005,1,MATCH(COLUMNS($AB$1006:AB1006),$AB$1006:$AQ$1006,0))&gt;=100000), " ",IF(INDEX($AB$2:$AQ$1001,MATCH(ROWS($U$2:U473),$U$2:$U$1001,0),MATCH(COLUMNS($AB$1006:AB1006),$AB$1006:$AQ$1006,0)), HYPERLINK("#",""), HYPERLINK(CONCATENATE("#Metadata!", ADDRESS(INDEX($W$2:$W$1001,MATCH(ROWS($U$2:U473),$U$2:$U$1001,0),0), INDEX($AB$1004:$AQ$1004,1,MATCH(COLUMNS($AB$1006:AB1006),$AB$1006:$AQ$1006,0)))),"Fix")))</f>
        <v>0</v>
      </c>
      <c r="C473" s="5">
        <f>IF(OR(INDEX($V$2:$V$1001,MATCH(ROWS($U$2:U473),$U$2:$U$1001,0),1)&gt;=100000,INDEX($AB$1005:$AQ$1005,1,MATCH(COLUMNS($AB$1006:AC1006),$AB$1006:$AQ$1006,0))&gt;=100000), " ",IF(INDEX($AB$2:$AQ$1001,MATCH(ROWS($U$2:U473),$U$2:$U$1001,0),MATCH(COLUMNS($AB$1006:AC1006),$AB$1006:$AQ$1006,0)), HYPERLINK("#",""), HYPERLINK(CONCATENATE("#Metadata!", ADDRESS(INDEX($W$2:$W$1001,MATCH(ROWS($U$2:U473),$U$2:$U$1001,0),0), INDEX($AB$1004:$AQ$1004,1,MATCH(COLUMNS($AB$1006:AC1006),$AB$1006:$AQ$1006,0)))),"Fix")))</f>
        <v>0</v>
      </c>
      <c r="D473" s="5">
        <f>IF(OR(INDEX($V$2:$V$1001,MATCH(ROWS($U$2:U473),$U$2:$U$1001,0),1)&gt;=100000,INDEX($AB$1005:$AQ$1005,1,MATCH(COLUMNS($AB$1006:AD1006),$AB$1006:$AQ$1006,0))&gt;=100000), " ",IF(INDEX($AB$2:$AQ$1001,MATCH(ROWS($U$2:U473),$U$2:$U$1001,0),MATCH(COLUMNS($AB$1006:AD1006),$AB$1006:$AQ$1006,0)), HYPERLINK("#",""), HYPERLINK(CONCATENATE("#Metadata!", ADDRESS(INDEX($W$2:$W$1001,MATCH(ROWS($U$2:U473),$U$2:$U$1001,0),0), INDEX($AB$1004:$AQ$1004,1,MATCH(COLUMNS($AB$1006:AD1006),$AB$1006:$AQ$1006,0)))),"Fix")))</f>
        <v>0</v>
      </c>
      <c r="E473" s="5">
        <f>IF(OR(INDEX($V$2:$V$1001,MATCH(ROWS($U$2:U473),$U$2:$U$1001,0),1)&gt;=100000,INDEX($AB$1005:$AQ$1005,1,MATCH(COLUMNS($AB$1006:AE1006),$AB$1006:$AQ$1006,0))&gt;=100000), " ",IF(INDEX($AB$2:$AQ$1001,MATCH(ROWS($U$2:U473),$U$2:$U$1001,0),MATCH(COLUMNS($AB$1006:AE1006),$AB$1006:$AQ$1006,0)), HYPERLINK("#",""), HYPERLINK(CONCATENATE("#Metadata!", ADDRESS(INDEX($W$2:$W$1001,MATCH(ROWS($U$2:U473),$U$2:$U$1001,0),0), INDEX($AB$1004:$AQ$1004,1,MATCH(COLUMNS($AB$1006:AE1006),$AB$1006:$AQ$1006,0)))),"Fix")))</f>
        <v>0</v>
      </c>
      <c r="F473" s="5">
        <f>IF(OR(INDEX($V$2:$V$1001,MATCH(ROWS($U$2:U473),$U$2:$U$1001,0),1)&gt;=100000,INDEX($AB$1005:$AQ$1005,1,MATCH(COLUMNS($AB$1006:AF1006),$AB$1006:$AQ$1006,0))&gt;=100000), " ",IF(INDEX($AB$2:$AQ$1001,MATCH(ROWS($U$2:U473),$U$2:$U$1001,0),MATCH(COLUMNS($AB$1006:AF1006),$AB$1006:$AQ$1006,0)), HYPERLINK("#",""), HYPERLINK(CONCATENATE("#Metadata!", ADDRESS(INDEX($W$2:$W$1001,MATCH(ROWS($U$2:U473),$U$2:$U$1001,0),0), INDEX($AB$1004:$AQ$1004,1,MATCH(COLUMNS($AB$1006:AF1006),$AB$1006:$AQ$1006,0)))),"Fix")))</f>
        <v>0</v>
      </c>
      <c r="G473" s="5">
        <f>IF(OR(INDEX($V$2:$V$1001,MATCH(ROWS($U$2:U473),$U$2:$U$1001,0),1)&gt;=100000,INDEX($AB$1005:$AQ$1005,1,MATCH(COLUMNS($AB$1006:AG1006),$AB$1006:$AQ$1006,0))&gt;=100000), " ",IF(INDEX($AB$2:$AQ$1001,MATCH(ROWS($U$2:U473),$U$2:$U$1001,0),MATCH(COLUMNS($AB$1006:AG1006),$AB$1006:$AQ$1006,0)), HYPERLINK("#",""), HYPERLINK(CONCATENATE("#Metadata!", ADDRESS(INDEX($W$2:$W$1001,MATCH(ROWS($U$2:U473),$U$2:$U$1001,0),0), INDEX($AB$1004:$AQ$1004,1,MATCH(COLUMNS($AB$1006:AG1006),$AB$1006:$AQ$1006,0)))),"Fix")))</f>
        <v>0</v>
      </c>
      <c r="H473" s="5">
        <f>IF(OR(INDEX($V$2:$V$1001,MATCH(ROWS($U$2:U473),$U$2:$U$1001,0),1)&gt;=100000,INDEX($AB$1005:$AQ$1005,1,MATCH(COLUMNS($AB$1006:AH1006),$AB$1006:$AQ$1006,0))&gt;=100000), " ",IF(INDEX($AB$2:$AQ$1001,MATCH(ROWS($U$2:U473),$U$2:$U$1001,0),MATCH(COLUMNS($AB$1006:AH1006),$AB$1006:$AQ$1006,0)), HYPERLINK("#",""), HYPERLINK(CONCATENATE("#Metadata!", ADDRESS(INDEX($W$2:$W$1001,MATCH(ROWS($U$2:U473),$U$2:$U$1001,0),0), INDEX($AB$1004:$AQ$1004,1,MATCH(COLUMNS($AB$1006:AH1006),$AB$1006:$AQ$1006,0)))),"Fix")))</f>
        <v>0</v>
      </c>
      <c r="I473" s="5">
        <f>IF(OR(INDEX($V$2:$V$1001,MATCH(ROWS($U$2:U473),$U$2:$U$1001,0),1)&gt;=100000,INDEX($AB$1005:$AQ$1005,1,MATCH(COLUMNS($AB$1006:AI1006),$AB$1006:$AQ$1006,0))&gt;=100000), " ",IF(INDEX($AB$2:$AQ$1001,MATCH(ROWS($U$2:U473),$U$2:$U$1001,0),MATCH(COLUMNS($AB$1006:AI1006),$AB$1006:$AQ$1006,0)), HYPERLINK("#",""), HYPERLINK(CONCATENATE("#Metadata!", ADDRESS(INDEX($W$2:$W$1001,MATCH(ROWS($U$2:U473),$U$2:$U$1001,0),0), INDEX($AB$1004:$AQ$1004,1,MATCH(COLUMNS($AB$1006:AI1006),$AB$1006:$AQ$1006,0)))),"Fix")))</f>
        <v>0</v>
      </c>
      <c r="J473" s="5">
        <f>IF(OR(INDEX($V$2:$V$1001,MATCH(ROWS($U$2:U473),$U$2:$U$1001,0),1)&gt;=100000,INDEX($AB$1005:$AQ$1005,1,MATCH(COLUMNS($AB$1006:AJ1006),$AB$1006:$AQ$1006,0))&gt;=100000), " ",IF(INDEX($AB$2:$AQ$1001,MATCH(ROWS($U$2:U473),$U$2:$U$1001,0),MATCH(COLUMNS($AB$1006:AJ1006),$AB$1006:$AQ$1006,0)), HYPERLINK("#",""), HYPERLINK(CONCATENATE("#Metadata!", ADDRESS(INDEX($W$2:$W$1001,MATCH(ROWS($U$2:U473),$U$2:$U$1001,0),0), INDEX($AB$1004:$AQ$1004,1,MATCH(COLUMNS($AB$1006:AJ1006),$AB$1006:$AQ$1006,0)))),"Fix")))</f>
        <v>0</v>
      </c>
      <c r="K473" s="5">
        <f>IF(OR(INDEX($V$2:$V$1001,MATCH(ROWS($U$2:U473),$U$2:$U$1001,0),1)&gt;=100000,INDEX($AB$1005:$AQ$1005,1,MATCH(COLUMNS($AB$1006:AK1006),$AB$1006:$AQ$1006,0))&gt;=100000), " ",IF(INDEX($AB$2:$AQ$1001,MATCH(ROWS($U$2:U473),$U$2:$U$1001,0),MATCH(COLUMNS($AB$1006:AK1006),$AB$1006:$AQ$1006,0)), HYPERLINK("#",""), HYPERLINK(CONCATENATE("#Metadata!", ADDRESS(INDEX($W$2:$W$1001,MATCH(ROWS($U$2:U473),$U$2:$U$1001,0),0), INDEX($AB$1004:$AQ$1004,1,MATCH(COLUMNS($AB$1006:AK1006),$AB$1006:$AQ$1006,0)))),"Fix")))</f>
        <v>0</v>
      </c>
      <c r="L473" s="5">
        <f>IF(OR(INDEX($V$2:$V$1001,MATCH(ROWS($U$2:U473),$U$2:$U$1001,0),1)&gt;=100000,INDEX($AB$1005:$AQ$1005,1,MATCH(COLUMNS($AB$1006:AL1006),$AB$1006:$AQ$1006,0))&gt;=100000), " ",IF(INDEX($AB$2:$AQ$1001,MATCH(ROWS($U$2:U473),$U$2:$U$1001,0),MATCH(COLUMNS($AB$1006:AL1006),$AB$1006:$AQ$1006,0)), HYPERLINK("#",""), HYPERLINK(CONCATENATE("#Metadata!", ADDRESS(INDEX($W$2:$W$1001,MATCH(ROWS($U$2:U473),$U$2:$U$1001,0),0), INDEX($AB$1004:$AQ$1004,1,MATCH(COLUMNS($AB$1006:AL1006),$AB$1006:$AQ$1006,0)))),"Fix")))</f>
        <v>0</v>
      </c>
      <c r="M473" s="5">
        <f>IF(OR(INDEX($V$2:$V$1001,MATCH(ROWS($U$2:U473),$U$2:$U$1001,0),1)&gt;=100000,INDEX($AB$1005:$AQ$1005,1,MATCH(COLUMNS($AB$1006:AM1006),$AB$1006:$AQ$1006,0))&gt;=100000), " ",IF(INDEX($AB$2:$AQ$1001,MATCH(ROWS($U$2:U473),$U$2:$U$1001,0),MATCH(COLUMNS($AB$1006:AM1006),$AB$1006:$AQ$1006,0)), HYPERLINK("#",""), HYPERLINK(CONCATENATE("#Metadata!", ADDRESS(INDEX($W$2:$W$1001,MATCH(ROWS($U$2:U473),$U$2:$U$1001,0),0), INDEX($AB$1004:$AQ$1004,1,MATCH(COLUMNS($AB$1006:AM1006),$AB$1006:$AQ$1006,0)))),"Fix")))</f>
        <v>0</v>
      </c>
      <c r="N473" s="5">
        <f>IF(OR(INDEX($V$2:$V$1001,MATCH(ROWS($U$2:U473),$U$2:$U$1001,0),1)&gt;=100000,INDEX($AB$1005:$AQ$1005,1,MATCH(COLUMNS($AB$1006:AN1006),$AB$1006:$AQ$1006,0))&gt;=100000), " ",IF(INDEX($AB$2:$AQ$1001,MATCH(ROWS($U$2:U473),$U$2:$U$1001,0),MATCH(COLUMNS($AB$1006:AN1006),$AB$1006:$AQ$1006,0)), HYPERLINK("#",""), HYPERLINK(CONCATENATE("#Metadata!", ADDRESS(INDEX($W$2:$W$1001,MATCH(ROWS($U$2:U473),$U$2:$U$1001,0),0), INDEX($AB$1004:$AQ$1004,1,MATCH(COLUMNS($AB$1006:AN1006),$AB$1006:$AQ$1006,0)))),"Fix")))</f>
        <v>0</v>
      </c>
      <c r="O473" s="5">
        <f>IF(OR(INDEX($V$2:$V$1001,MATCH(ROWS($U$2:U473),$U$2:$U$1001,0),1)&gt;=100000,INDEX($AB$1005:$AQ$1005,1,MATCH(COLUMNS($AB$1006:AO1006),$AB$1006:$AQ$1006,0))&gt;=100000), " ",IF(INDEX($AB$2:$AQ$1001,MATCH(ROWS($U$2:U473),$U$2:$U$1001,0),MATCH(COLUMNS($AB$1006:AO1006),$AB$1006:$AQ$1006,0)), HYPERLINK("#",""), HYPERLINK(CONCATENATE("#Metadata!", ADDRESS(INDEX($W$2:$W$1001,MATCH(ROWS($U$2:U473),$U$2:$U$1001,0),0), INDEX($AB$1004:$AQ$1004,1,MATCH(COLUMNS($AB$1006:AO1006),$AB$1006:$AQ$1006,0)))),"Fix")))</f>
        <v>0</v>
      </c>
      <c r="P473" s="5">
        <f>IF(OR(INDEX($V$2:$V$1001,MATCH(ROWS($U$2:U473),$U$2:$U$1001,0),1)&gt;=100000,INDEX($AB$1005:$AQ$1005,1,MATCH(COLUMNS($AB$1006:AP1006),$AB$1006:$AQ$1006,0))&gt;=100000), " ",IF(INDEX($AB$2:$AQ$1001,MATCH(ROWS($U$2:U473),$U$2:$U$1001,0),MATCH(COLUMNS($AB$1006:AP1006),$AB$1006:$AQ$1006,0)), HYPERLINK("#",""), HYPERLINK(CONCATENATE("#Metadata!", ADDRESS(INDEX($W$2:$W$1001,MATCH(ROWS($U$2:U473),$U$2:$U$1001,0),0), INDEX($AB$1004:$AQ$1004,1,MATCH(COLUMNS($AB$1006:AP1006),$AB$1006:$AQ$1006,0)))),"Fix")))</f>
        <v>0</v>
      </c>
      <c r="Q473" s="5">
        <f>IF(OR(INDEX($V$2:$V$1001,MATCH(ROWS($U$2:U473),$U$2:$U$1001,0),1)&gt;=100000,INDEX($AB$1005:$AQ$1005,1,MATCH(COLUMNS($AB$1006:AQ1006),$AB$1006:$AQ$1006,0))&gt;=100000), " ",IF(INDEX($AB$2:$AQ$1001,MATCH(ROWS($U$2:U473),$U$2:$U$1001,0),MATCH(COLUMNS($AB$1006:AQ1006),$AB$1006:$AQ$1006,0)), HYPERLINK("#",""), HYPERLINK(CONCATENATE("#Metadata!", ADDRESS(INDEX($W$2:$W$1001,MATCH(ROWS($U$2:U473),$U$2:$U$1001,0),0), INDEX($AB$1004:$AQ$1004,1,MATCH(COLUMNS($AB$1006:AQ1006),$AB$1006:$AQ$1006,0)))),"Fix")))</f>
        <v>0</v>
      </c>
      <c r="U473">
        <v>0</v>
      </c>
      <c r="V473">
        <v>0</v>
      </c>
      <c r="W473">
        <v>0</v>
      </c>
      <c r="X473">
        <f>IF(Y473,TRUE,AND(AB473:AQ473))</f>
        <v>0</v>
      </c>
      <c r="Y473">
        <f>COUNTBLANK(Metadata!B473:Q473)=COLUMNS(Metadata!B473:Q473)</f>
        <v>0</v>
      </c>
      <c r="Z473">
        <v>0</v>
      </c>
      <c r="AB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AC473">
        <f>AND(IF(Metadata!C473="",FALSE,TRUE),exact(Metadata!C473,"urban biome"))</f>
        <v>0</v>
      </c>
      <c r="AD473">
        <f>AND(IF(Metadata!D473="",FALSE,TRUE),exact(Metadata!D473,"human-associated habitat"))</f>
        <v>0</v>
      </c>
      <c r="AE473">
        <f>AND(IF(Metadata!E473="",FALSE,TRUE),OR(exact(Metadata!E473,"human-associated"),exact(Metadata!E473,"human-skin"),exact(Metadata!E473,"human-oral"),exact(Metadata!E473,"human-gut"),exact(Metadata!E473,"human-vaginal")))</f>
        <v>0</v>
      </c>
      <c r="AF473">
        <f>AND(IF(Metadata!F473="",FALSE,ISNUMBER(VALUE(Metadata!F473))),Metadata!F473&gt;0)</f>
        <v>0</v>
      </c>
      <c r="AG473">
        <f>AND(IF(Metadata!G473="",FALSE,TRUE),exact(Metadata!G473,"years"))</f>
        <v>0</v>
      </c>
      <c r="AH473">
        <f>OR(AND(IF(Metadata!H473="",FALSE,TRUE),OR(exact(Metadata!H473,"not applicable"),exact(Metadata!H473,"not collected"),exact(Metadata!H473,"not provided"),exact(Metadata!H473,"restricted access"))),AND(IF(Metadata!H473="",FALSE,ISNUMBER(VALUE(Metadata!H473))),Metadata!H473&gt;0))</f>
        <v>0</v>
      </c>
      <c r="AI473">
        <f>AND(IF(Metadata!I473="",FALSE,TRUE),exact(Metadata!I473,"human"))</f>
        <v>0</v>
      </c>
      <c r="AJ473">
        <f>AND(IF(Metadata!J473="",FALSE,ISNUMBER(VALUE(Metadata!J473))),Metadata!J473&gt;0)</f>
        <v>0</v>
      </c>
      <c r="AK473">
        <f>AND(IF(Metadata!K473="",FALSE,TRUE),exact(Metadata!K473,"cm"))</f>
        <v>0</v>
      </c>
      <c r="AL473">
        <f>AND(IF(Metadata!L473="",FALSE,TRUE),exact(Metadata!L473,"Homo sapiens"))</f>
        <v>0</v>
      </c>
      <c r="AM473">
        <f>AND(IF(Metadata!M473="",FALSE,TRUE),exact(Metadata!M473,"9606"))</f>
        <v>0</v>
      </c>
      <c r="AN473">
        <f>AND(IF(Metadata!N473="",FALSE,ISNUMBER(VALUE(Metadata!N473))),Metadata!N473&gt;0)</f>
        <v>0</v>
      </c>
      <c r="AO473">
        <f>AND(IF(Metadata!O473="",FALSE,TRUE),exact(Metadata!O473,"kg"))</f>
        <v>0</v>
      </c>
      <c r="AP473">
        <f>OR(AND(IF(Metadata!P473="",FALSE,TRUE),exact(Metadata!P473,"not provided")),IF(Metadata!P473="",FALSE,TRUE))</f>
        <v>0</v>
      </c>
      <c r="AQ473">
        <f>OR(AND(IF(Metadata!Q473="",FALSE,TRUE),exact(Metadata!Q473,"not provided")),IF(Metadata!Q473="",FALSE,TRUE))</f>
        <v>0</v>
      </c>
    </row>
    <row r="474" spans="1:43">
      <c r="A474" s="4">
        <f>IF(B474=" "," ",HYPERLINK(CONCATENATE("#metadata!",ADDRESS(INDEX($W$2:$W$1001,MATCH(ROWS($U$2:U474),$U$2:$U$1001,0),0),2)),INDEX($Z$2:$Z$1001,MATCH(ROWS($U$2:U474),$U$2:$U$1001,0),0)))</f>
        <v>0</v>
      </c>
      <c r="B474" s="5">
        <f>IF(OR(INDEX($V$2:$V$1001,MATCH(ROWS($U$2:U474),$U$2:$U$1001,0),1)&gt;=100000,INDEX($AB$1005:$AQ$1005,1,MATCH(COLUMNS($AB$1006:AB1006),$AB$1006:$AQ$1006,0))&gt;=100000), " ",IF(INDEX($AB$2:$AQ$1001,MATCH(ROWS($U$2:U474),$U$2:$U$1001,0),MATCH(COLUMNS($AB$1006:AB1006),$AB$1006:$AQ$1006,0)), HYPERLINK("#",""), HYPERLINK(CONCATENATE("#Metadata!", ADDRESS(INDEX($W$2:$W$1001,MATCH(ROWS($U$2:U474),$U$2:$U$1001,0),0), INDEX($AB$1004:$AQ$1004,1,MATCH(COLUMNS($AB$1006:AB1006),$AB$1006:$AQ$1006,0)))),"Fix")))</f>
        <v>0</v>
      </c>
      <c r="C474" s="5">
        <f>IF(OR(INDEX($V$2:$V$1001,MATCH(ROWS($U$2:U474),$U$2:$U$1001,0),1)&gt;=100000,INDEX($AB$1005:$AQ$1005,1,MATCH(COLUMNS($AB$1006:AC1006),$AB$1006:$AQ$1006,0))&gt;=100000), " ",IF(INDEX($AB$2:$AQ$1001,MATCH(ROWS($U$2:U474),$U$2:$U$1001,0),MATCH(COLUMNS($AB$1006:AC1006),$AB$1006:$AQ$1006,0)), HYPERLINK("#",""), HYPERLINK(CONCATENATE("#Metadata!", ADDRESS(INDEX($W$2:$W$1001,MATCH(ROWS($U$2:U474),$U$2:$U$1001,0),0), INDEX($AB$1004:$AQ$1004,1,MATCH(COLUMNS($AB$1006:AC1006),$AB$1006:$AQ$1006,0)))),"Fix")))</f>
        <v>0</v>
      </c>
      <c r="D474" s="5">
        <f>IF(OR(INDEX($V$2:$V$1001,MATCH(ROWS($U$2:U474),$U$2:$U$1001,0),1)&gt;=100000,INDEX($AB$1005:$AQ$1005,1,MATCH(COLUMNS($AB$1006:AD1006),$AB$1006:$AQ$1006,0))&gt;=100000), " ",IF(INDEX($AB$2:$AQ$1001,MATCH(ROWS($U$2:U474),$U$2:$U$1001,0),MATCH(COLUMNS($AB$1006:AD1006),$AB$1006:$AQ$1006,0)), HYPERLINK("#",""), HYPERLINK(CONCATENATE("#Metadata!", ADDRESS(INDEX($W$2:$W$1001,MATCH(ROWS($U$2:U474),$U$2:$U$1001,0),0), INDEX($AB$1004:$AQ$1004,1,MATCH(COLUMNS($AB$1006:AD1006),$AB$1006:$AQ$1006,0)))),"Fix")))</f>
        <v>0</v>
      </c>
      <c r="E474" s="5">
        <f>IF(OR(INDEX($V$2:$V$1001,MATCH(ROWS($U$2:U474),$U$2:$U$1001,0),1)&gt;=100000,INDEX($AB$1005:$AQ$1005,1,MATCH(COLUMNS($AB$1006:AE1006),$AB$1006:$AQ$1006,0))&gt;=100000), " ",IF(INDEX($AB$2:$AQ$1001,MATCH(ROWS($U$2:U474),$U$2:$U$1001,0),MATCH(COLUMNS($AB$1006:AE1006),$AB$1006:$AQ$1006,0)), HYPERLINK("#",""), HYPERLINK(CONCATENATE("#Metadata!", ADDRESS(INDEX($W$2:$W$1001,MATCH(ROWS($U$2:U474),$U$2:$U$1001,0),0), INDEX($AB$1004:$AQ$1004,1,MATCH(COLUMNS($AB$1006:AE1006),$AB$1006:$AQ$1006,0)))),"Fix")))</f>
        <v>0</v>
      </c>
      <c r="F474" s="5">
        <f>IF(OR(INDEX($V$2:$V$1001,MATCH(ROWS($U$2:U474),$U$2:$U$1001,0),1)&gt;=100000,INDEX($AB$1005:$AQ$1005,1,MATCH(COLUMNS($AB$1006:AF1006),$AB$1006:$AQ$1006,0))&gt;=100000), " ",IF(INDEX($AB$2:$AQ$1001,MATCH(ROWS($U$2:U474),$U$2:$U$1001,0),MATCH(COLUMNS($AB$1006:AF1006),$AB$1006:$AQ$1006,0)), HYPERLINK("#",""), HYPERLINK(CONCATENATE("#Metadata!", ADDRESS(INDEX($W$2:$W$1001,MATCH(ROWS($U$2:U474),$U$2:$U$1001,0),0), INDEX($AB$1004:$AQ$1004,1,MATCH(COLUMNS($AB$1006:AF1006),$AB$1006:$AQ$1006,0)))),"Fix")))</f>
        <v>0</v>
      </c>
      <c r="G474" s="5">
        <f>IF(OR(INDEX($V$2:$V$1001,MATCH(ROWS($U$2:U474),$U$2:$U$1001,0),1)&gt;=100000,INDEX($AB$1005:$AQ$1005,1,MATCH(COLUMNS($AB$1006:AG1006),$AB$1006:$AQ$1006,0))&gt;=100000), " ",IF(INDEX($AB$2:$AQ$1001,MATCH(ROWS($U$2:U474),$U$2:$U$1001,0),MATCH(COLUMNS($AB$1006:AG1006),$AB$1006:$AQ$1006,0)), HYPERLINK("#",""), HYPERLINK(CONCATENATE("#Metadata!", ADDRESS(INDEX($W$2:$W$1001,MATCH(ROWS($U$2:U474),$U$2:$U$1001,0),0), INDEX($AB$1004:$AQ$1004,1,MATCH(COLUMNS($AB$1006:AG1006),$AB$1006:$AQ$1006,0)))),"Fix")))</f>
        <v>0</v>
      </c>
      <c r="H474" s="5">
        <f>IF(OR(INDEX($V$2:$V$1001,MATCH(ROWS($U$2:U474),$U$2:$U$1001,0),1)&gt;=100000,INDEX($AB$1005:$AQ$1005,1,MATCH(COLUMNS($AB$1006:AH1006),$AB$1006:$AQ$1006,0))&gt;=100000), " ",IF(INDEX($AB$2:$AQ$1001,MATCH(ROWS($U$2:U474),$U$2:$U$1001,0),MATCH(COLUMNS($AB$1006:AH1006),$AB$1006:$AQ$1006,0)), HYPERLINK("#",""), HYPERLINK(CONCATENATE("#Metadata!", ADDRESS(INDEX($W$2:$W$1001,MATCH(ROWS($U$2:U474),$U$2:$U$1001,0),0), INDEX($AB$1004:$AQ$1004,1,MATCH(COLUMNS($AB$1006:AH1006),$AB$1006:$AQ$1006,0)))),"Fix")))</f>
        <v>0</v>
      </c>
      <c r="I474" s="5">
        <f>IF(OR(INDEX($V$2:$V$1001,MATCH(ROWS($U$2:U474),$U$2:$U$1001,0),1)&gt;=100000,INDEX($AB$1005:$AQ$1005,1,MATCH(COLUMNS($AB$1006:AI1006),$AB$1006:$AQ$1006,0))&gt;=100000), " ",IF(INDEX($AB$2:$AQ$1001,MATCH(ROWS($U$2:U474),$U$2:$U$1001,0),MATCH(COLUMNS($AB$1006:AI1006),$AB$1006:$AQ$1006,0)), HYPERLINK("#",""), HYPERLINK(CONCATENATE("#Metadata!", ADDRESS(INDEX($W$2:$W$1001,MATCH(ROWS($U$2:U474),$U$2:$U$1001,0),0), INDEX($AB$1004:$AQ$1004,1,MATCH(COLUMNS($AB$1006:AI1006),$AB$1006:$AQ$1006,0)))),"Fix")))</f>
        <v>0</v>
      </c>
      <c r="J474" s="5">
        <f>IF(OR(INDEX($V$2:$V$1001,MATCH(ROWS($U$2:U474),$U$2:$U$1001,0),1)&gt;=100000,INDEX($AB$1005:$AQ$1005,1,MATCH(COLUMNS($AB$1006:AJ1006),$AB$1006:$AQ$1006,0))&gt;=100000), " ",IF(INDEX($AB$2:$AQ$1001,MATCH(ROWS($U$2:U474),$U$2:$U$1001,0),MATCH(COLUMNS($AB$1006:AJ1006),$AB$1006:$AQ$1006,0)), HYPERLINK("#",""), HYPERLINK(CONCATENATE("#Metadata!", ADDRESS(INDEX($W$2:$W$1001,MATCH(ROWS($U$2:U474),$U$2:$U$1001,0),0), INDEX($AB$1004:$AQ$1004,1,MATCH(COLUMNS($AB$1006:AJ1006),$AB$1006:$AQ$1006,0)))),"Fix")))</f>
        <v>0</v>
      </c>
      <c r="K474" s="5">
        <f>IF(OR(INDEX($V$2:$V$1001,MATCH(ROWS($U$2:U474),$U$2:$U$1001,0),1)&gt;=100000,INDEX($AB$1005:$AQ$1005,1,MATCH(COLUMNS($AB$1006:AK1006),$AB$1006:$AQ$1006,0))&gt;=100000), " ",IF(INDEX($AB$2:$AQ$1001,MATCH(ROWS($U$2:U474),$U$2:$U$1001,0),MATCH(COLUMNS($AB$1006:AK1006),$AB$1006:$AQ$1006,0)), HYPERLINK("#",""), HYPERLINK(CONCATENATE("#Metadata!", ADDRESS(INDEX($W$2:$W$1001,MATCH(ROWS($U$2:U474),$U$2:$U$1001,0),0), INDEX($AB$1004:$AQ$1004,1,MATCH(COLUMNS($AB$1006:AK1006),$AB$1006:$AQ$1006,0)))),"Fix")))</f>
        <v>0</v>
      </c>
      <c r="L474" s="5">
        <f>IF(OR(INDEX($V$2:$V$1001,MATCH(ROWS($U$2:U474),$U$2:$U$1001,0),1)&gt;=100000,INDEX($AB$1005:$AQ$1005,1,MATCH(COLUMNS($AB$1006:AL1006),$AB$1006:$AQ$1006,0))&gt;=100000), " ",IF(INDEX($AB$2:$AQ$1001,MATCH(ROWS($U$2:U474),$U$2:$U$1001,0),MATCH(COLUMNS($AB$1006:AL1006),$AB$1006:$AQ$1006,0)), HYPERLINK("#",""), HYPERLINK(CONCATENATE("#Metadata!", ADDRESS(INDEX($W$2:$W$1001,MATCH(ROWS($U$2:U474),$U$2:$U$1001,0),0), INDEX($AB$1004:$AQ$1004,1,MATCH(COLUMNS($AB$1006:AL1006),$AB$1006:$AQ$1006,0)))),"Fix")))</f>
        <v>0</v>
      </c>
      <c r="M474" s="5">
        <f>IF(OR(INDEX($V$2:$V$1001,MATCH(ROWS($U$2:U474),$U$2:$U$1001,0),1)&gt;=100000,INDEX($AB$1005:$AQ$1005,1,MATCH(COLUMNS($AB$1006:AM1006),$AB$1006:$AQ$1006,0))&gt;=100000), " ",IF(INDEX($AB$2:$AQ$1001,MATCH(ROWS($U$2:U474),$U$2:$U$1001,0),MATCH(COLUMNS($AB$1006:AM1006),$AB$1006:$AQ$1006,0)), HYPERLINK("#",""), HYPERLINK(CONCATENATE("#Metadata!", ADDRESS(INDEX($W$2:$W$1001,MATCH(ROWS($U$2:U474),$U$2:$U$1001,0),0), INDEX($AB$1004:$AQ$1004,1,MATCH(COLUMNS($AB$1006:AM1006),$AB$1006:$AQ$1006,0)))),"Fix")))</f>
        <v>0</v>
      </c>
      <c r="N474" s="5">
        <f>IF(OR(INDEX($V$2:$V$1001,MATCH(ROWS($U$2:U474),$U$2:$U$1001,0),1)&gt;=100000,INDEX($AB$1005:$AQ$1005,1,MATCH(COLUMNS($AB$1006:AN1006),$AB$1006:$AQ$1006,0))&gt;=100000), " ",IF(INDEX($AB$2:$AQ$1001,MATCH(ROWS($U$2:U474),$U$2:$U$1001,0),MATCH(COLUMNS($AB$1006:AN1006),$AB$1006:$AQ$1006,0)), HYPERLINK("#",""), HYPERLINK(CONCATENATE("#Metadata!", ADDRESS(INDEX($W$2:$W$1001,MATCH(ROWS($U$2:U474),$U$2:$U$1001,0),0), INDEX($AB$1004:$AQ$1004,1,MATCH(COLUMNS($AB$1006:AN1006),$AB$1006:$AQ$1006,0)))),"Fix")))</f>
        <v>0</v>
      </c>
      <c r="O474" s="5">
        <f>IF(OR(INDEX($V$2:$V$1001,MATCH(ROWS($U$2:U474),$U$2:$U$1001,0),1)&gt;=100000,INDEX($AB$1005:$AQ$1005,1,MATCH(COLUMNS($AB$1006:AO1006),$AB$1006:$AQ$1006,0))&gt;=100000), " ",IF(INDEX($AB$2:$AQ$1001,MATCH(ROWS($U$2:U474),$U$2:$U$1001,0),MATCH(COLUMNS($AB$1006:AO1006),$AB$1006:$AQ$1006,0)), HYPERLINK("#",""), HYPERLINK(CONCATENATE("#Metadata!", ADDRESS(INDEX($W$2:$W$1001,MATCH(ROWS($U$2:U474),$U$2:$U$1001,0),0), INDEX($AB$1004:$AQ$1004,1,MATCH(COLUMNS($AB$1006:AO1006),$AB$1006:$AQ$1006,0)))),"Fix")))</f>
        <v>0</v>
      </c>
      <c r="P474" s="5">
        <f>IF(OR(INDEX($V$2:$V$1001,MATCH(ROWS($U$2:U474),$U$2:$U$1001,0),1)&gt;=100000,INDEX($AB$1005:$AQ$1005,1,MATCH(COLUMNS($AB$1006:AP1006),$AB$1006:$AQ$1006,0))&gt;=100000), " ",IF(INDEX($AB$2:$AQ$1001,MATCH(ROWS($U$2:U474),$U$2:$U$1001,0),MATCH(COLUMNS($AB$1006:AP1006),$AB$1006:$AQ$1006,0)), HYPERLINK("#",""), HYPERLINK(CONCATENATE("#Metadata!", ADDRESS(INDEX($W$2:$W$1001,MATCH(ROWS($U$2:U474),$U$2:$U$1001,0),0), INDEX($AB$1004:$AQ$1004,1,MATCH(COLUMNS($AB$1006:AP1006),$AB$1006:$AQ$1006,0)))),"Fix")))</f>
        <v>0</v>
      </c>
      <c r="Q474" s="5">
        <f>IF(OR(INDEX($V$2:$V$1001,MATCH(ROWS($U$2:U474),$U$2:$U$1001,0),1)&gt;=100000,INDEX($AB$1005:$AQ$1005,1,MATCH(COLUMNS($AB$1006:AQ1006),$AB$1006:$AQ$1006,0))&gt;=100000), " ",IF(INDEX($AB$2:$AQ$1001,MATCH(ROWS($U$2:U474),$U$2:$U$1001,0),MATCH(COLUMNS($AB$1006:AQ1006),$AB$1006:$AQ$1006,0)), HYPERLINK("#",""), HYPERLINK(CONCATENATE("#Metadata!", ADDRESS(INDEX($W$2:$W$1001,MATCH(ROWS($U$2:U474),$U$2:$U$1001,0),0), INDEX($AB$1004:$AQ$1004,1,MATCH(COLUMNS($AB$1006:AQ1006),$AB$1006:$AQ$1006,0)))),"Fix")))</f>
        <v>0</v>
      </c>
      <c r="U474">
        <v>0</v>
      </c>
      <c r="V474">
        <v>0</v>
      </c>
      <c r="W474">
        <v>0</v>
      </c>
      <c r="X474">
        <f>IF(Y474,TRUE,AND(AB474:AQ474))</f>
        <v>0</v>
      </c>
      <c r="Y474">
        <f>COUNTBLANK(Metadata!B474:Q474)=COLUMNS(Metadata!B474:Q474)</f>
        <v>0</v>
      </c>
      <c r="Z474">
        <v>0</v>
      </c>
      <c r="AB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AC474">
        <f>AND(IF(Metadata!C474="",FALSE,TRUE),exact(Metadata!C474,"urban biome"))</f>
        <v>0</v>
      </c>
      <c r="AD474">
        <f>AND(IF(Metadata!D474="",FALSE,TRUE),exact(Metadata!D474,"human-associated habitat"))</f>
        <v>0</v>
      </c>
      <c r="AE474">
        <f>AND(IF(Metadata!E474="",FALSE,TRUE),OR(exact(Metadata!E474,"human-associated"),exact(Metadata!E474,"human-skin"),exact(Metadata!E474,"human-oral"),exact(Metadata!E474,"human-gut"),exact(Metadata!E474,"human-vaginal")))</f>
        <v>0</v>
      </c>
      <c r="AF474">
        <f>AND(IF(Metadata!F474="",FALSE,ISNUMBER(VALUE(Metadata!F474))),Metadata!F474&gt;0)</f>
        <v>0</v>
      </c>
      <c r="AG474">
        <f>AND(IF(Metadata!G474="",FALSE,TRUE),exact(Metadata!G474,"years"))</f>
        <v>0</v>
      </c>
      <c r="AH474">
        <f>OR(AND(IF(Metadata!H474="",FALSE,TRUE),OR(exact(Metadata!H474,"not applicable"),exact(Metadata!H474,"not collected"),exact(Metadata!H474,"not provided"),exact(Metadata!H474,"restricted access"))),AND(IF(Metadata!H474="",FALSE,ISNUMBER(VALUE(Metadata!H474))),Metadata!H474&gt;0))</f>
        <v>0</v>
      </c>
      <c r="AI474">
        <f>AND(IF(Metadata!I474="",FALSE,TRUE),exact(Metadata!I474,"human"))</f>
        <v>0</v>
      </c>
      <c r="AJ474">
        <f>AND(IF(Metadata!J474="",FALSE,ISNUMBER(VALUE(Metadata!J474))),Metadata!J474&gt;0)</f>
        <v>0</v>
      </c>
      <c r="AK474">
        <f>AND(IF(Metadata!K474="",FALSE,TRUE),exact(Metadata!K474,"cm"))</f>
        <v>0</v>
      </c>
      <c r="AL474">
        <f>AND(IF(Metadata!L474="",FALSE,TRUE),exact(Metadata!L474,"Homo sapiens"))</f>
        <v>0</v>
      </c>
      <c r="AM474">
        <f>AND(IF(Metadata!M474="",FALSE,TRUE),exact(Metadata!M474,"9606"))</f>
        <v>0</v>
      </c>
      <c r="AN474">
        <f>AND(IF(Metadata!N474="",FALSE,ISNUMBER(VALUE(Metadata!N474))),Metadata!N474&gt;0)</f>
        <v>0</v>
      </c>
      <c r="AO474">
        <f>AND(IF(Metadata!O474="",FALSE,TRUE),exact(Metadata!O474,"kg"))</f>
        <v>0</v>
      </c>
      <c r="AP474">
        <f>OR(AND(IF(Metadata!P474="",FALSE,TRUE),exact(Metadata!P474,"not provided")),IF(Metadata!P474="",FALSE,TRUE))</f>
        <v>0</v>
      </c>
      <c r="AQ474">
        <f>OR(AND(IF(Metadata!Q474="",FALSE,TRUE),exact(Metadata!Q474,"not provided")),IF(Metadata!Q474="",FALSE,TRUE))</f>
        <v>0</v>
      </c>
    </row>
    <row r="475" spans="1:43">
      <c r="A475" s="4">
        <f>IF(B475=" "," ",HYPERLINK(CONCATENATE("#metadata!",ADDRESS(INDEX($W$2:$W$1001,MATCH(ROWS($U$2:U475),$U$2:$U$1001,0),0),2)),INDEX($Z$2:$Z$1001,MATCH(ROWS($U$2:U475),$U$2:$U$1001,0),0)))</f>
        <v>0</v>
      </c>
      <c r="B475" s="5">
        <f>IF(OR(INDEX($V$2:$V$1001,MATCH(ROWS($U$2:U475),$U$2:$U$1001,0),1)&gt;=100000,INDEX($AB$1005:$AQ$1005,1,MATCH(COLUMNS($AB$1006:AB1006),$AB$1006:$AQ$1006,0))&gt;=100000), " ",IF(INDEX($AB$2:$AQ$1001,MATCH(ROWS($U$2:U475),$U$2:$U$1001,0),MATCH(COLUMNS($AB$1006:AB1006),$AB$1006:$AQ$1006,0)), HYPERLINK("#",""), HYPERLINK(CONCATENATE("#Metadata!", ADDRESS(INDEX($W$2:$W$1001,MATCH(ROWS($U$2:U475),$U$2:$U$1001,0),0), INDEX($AB$1004:$AQ$1004,1,MATCH(COLUMNS($AB$1006:AB1006),$AB$1006:$AQ$1006,0)))),"Fix")))</f>
        <v>0</v>
      </c>
      <c r="C475" s="5">
        <f>IF(OR(INDEX($V$2:$V$1001,MATCH(ROWS($U$2:U475),$U$2:$U$1001,0),1)&gt;=100000,INDEX($AB$1005:$AQ$1005,1,MATCH(COLUMNS($AB$1006:AC1006),$AB$1006:$AQ$1006,0))&gt;=100000), " ",IF(INDEX($AB$2:$AQ$1001,MATCH(ROWS($U$2:U475),$U$2:$U$1001,0),MATCH(COLUMNS($AB$1006:AC1006),$AB$1006:$AQ$1006,0)), HYPERLINK("#",""), HYPERLINK(CONCATENATE("#Metadata!", ADDRESS(INDEX($W$2:$W$1001,MATCH(ROWS($U$2:U475),$U$2:$U$1001,0),0), INDEX($AB$1004:$AQ$1004,1,MATCH(COLUMNS($AB$1006:AC1006),$AB$1006:$AQ$1006,0)))),"Fix")))</f>
        <v>0</v>
      </c>
      <c r="D475" s="5">
        <f>IF(OR(INDEX($V$2:$V$1001,MATCH(ROWS($U$2:U475),$U$2:$U$1001,0),1)&gt;=100000,INDEX($AB$1005:$AQ$1005,1,MATCH(COLUMNS($AB$1006:AD1006),$AB$1006:$AQ$1006,0))&gt;=100000), " ",IF(INDEX($AB$2:$AQ$1001,MATCH(ROWS($U$2:U475),$U$2:$U$1001,0),MATCH(COLUMNS($AB$1006:AD1006),$AB$1006:$AQ$1006,0)), HYPERLINK("#",""), HYPERLINK(CONCATENATE("#Metadata!", ADDRESS(INDEX($W$2:$W$1001,MATCH(ROWS($U$2:U475),$U$2:$U$1001,0),0), INDEX($AB$1004:$AQ$1004,1,MATCH(COLUMNS($AB$1006:AD1006),$AB$1006:$AQ$1006,0)))),"Fix")))</f>
        <v>0</v>
      </c>
      <c r="E475" s="5">
        <f>IF(OR(INDEX($V$2:$V$1001,MATCH(ROWS($U$2:U475),$U$2:$U$1001,0),1)&gt;=100000,INDEX($AB$1005:$AQ$1005,1,MATCH(COLUMNS($AB$1006:AE1006),$AB$1006:$AQ$1006,0))&gt;=100000), " ",IF(INDEX($AB$2:$AQ$1001,MATCH(ROWS($U$2:U475),$U$2:$U$1001,0),MATCH(COLUMNS($AB$1006:AE1006),$AB$1006:$AQ$1006,0)), HYPERLINK("#",""), HYPERLINK(CONCATENATE("#Metadata!", ADDRESS(INDEX($W$2:$W$1001,MATCH(ROWS($U$2:U475),$U$2:$U$1001,0),0), INDEX($AB$1004:$AQ$1004,1,MATCH(COLUMNS($AB$1006:AE1006),$AB$1006:$AQ$1006,0)))),"Fix")))</f>
        <v>0</v>
      </c>
      <c r="F475" s="5">
        <f>IF(OR(INDEX($V$2:$V$1001,MATCH(ROWS($U$2:U475),$U$2:$U$1001,0),1)&gt;=100000,INDEX($AB$1005:$AQ$1005,1,MATCH(COLUMNS($AB$1006:AF1006),$AB$1006:$AQ$1006,0))&gt;=100000), " ",IF(INDEX($AB$2:$AQ$1001,MATCH(ROWS($U$2:U475),$U$2:$U$1001,0),MATCH(COLUMNS($AB$1006:AF1006),$AB$1006:$AQ$1006,0)), HYPERLINK("#",""), HYPERLINK(CONCATENATE("#Metadata!", ADDRESS(INDEX($W$2:$W$1001,MATCH(ROWS($U$2:U475),$U$2:$U$1001,0),0), INDEX($AB$1004:$AQ$1004,1,MATCH(COLUMNS($AB$1006:AF1006),$AB$1006:$AQ$1006,0)))),"Fix")))</f>
        <v>0</v>
      </c>
      <c r="G475" s="5">
        <f>IF(OR(INDEX($V$2:$V$1001,MATCH(ROWS($U$2:U475),$U$2:$U$1001,0),1)&gt;=100000,INDEX($AB$1005:$AQ$1005,1,MATCH(COLUMNS($AB$1006:AG1006),$AB$1006:$AQ$1006,0))&gt;=100000), " ",IF(INDEX($AB$2:$AQ$1001,MATCH(ROWS($U$2:U475),$U$2:$U$1001,0),MATCH(COLUMNS($AB$1006:AG1006),$AB$1006:$AQ$1006,0)), HYPERLINK("#",""), HYPERLINK(CONCATENATE("#Metadata!", ADDRESS(INDEX($W$2:$W$1001,MATCH(ROWS($U$2:U475),$U$2:$U$1001,0),0), INDEX($AB$1004:$AQ$1004,1,MATCH(COLUMNS($AB$1006:AG1006),$AB$1006:$AQ$1006,0)))),"Fix")))</f>
        <v>0</v>
      </c>
      <c r="H475" s="5">
        <f>IF(OR(INDEX($V$2:$V$1001,MATCH(ROWS($U$2:U475),$U$2:$U$1001,0),1)&gt;=100000,INDEX($AB$1005:$AQ$1005,1,MATCH(COLUMNS($AB$1006:AH1006),$AB$1006:$AQ$1006,0))&gt;=100000), " ",IF(INDEX($AB$2:$AQ$1001,MATCH(ROWS($U$2:U475),$U$2:$U$1001,0),MATCH(COLUMNS($AB$1006:AH1006),$AB$1006:$AQ$1006,0)), HYPERLINK("#",""), HYPERLINK(CONCATENATE("#Metadata!", ADDRESS(INDEX($W$2:$W$1001,MATCH(ROWS($U$2:U475),$U$2:$U$1001,0),0), INDEX($AB$1004:$AQ$1004,1,MATCH(COLUMNS($AB$1006:AH1006),$AB$1006:$AQ$1006,0)))),"Fix")))</f>
        <v>0</v>
      </c>
      <c r="I475" s="5">
        <f>IF(OR(INDEX($V$2:$V$1001,MATCH(ROWS($U$2:U475),$U$2:$U$1001,0),1)&gt;=100000,INDEX($AB$1005:$AQ$1005,1,MATCH(COLUMNS($AB$1006:AI1006),$AB$1006:$AQ$1006,0))&gt;=100000), " ",IF(INDEX($AB$2:$AQ$1001,MATCH(ROWS($U$2:U475),$U$2:$U$1001,0),MATCH(COLUMNS($AB$1006:AI1006),$AB$1006:$AQ$1006,0)), HYPERLINK("#",""), HYPERLINK(CONCATENATE("#Metadata!", ADDRESS(INDEX($W$2:$W$1001,MATCH(ROWS($U$2:U475),$U$2:$U$1001,0),0), INDEX($AB$1004:$AQ$1004,1,MATCH(COLUMNS($AB$1006:AI1006),$AB$1006:$AQ$1006,0)))),"Fix")))</f>
        <v>0</v>
      </c>
      <c r="J475" s="5">
        <f>IF(OR(INDEX($V$2:$V$1001,MATCH(ROWS($U$2:U475),$U$2:$U$1001,0),1)&gt;=100000,INDEX($AB$1005:$AQ$1005,1,MATCH(COLUMNS($AB$1006:AJ1006),$AB$1006:$AQ$1006,0))&gt;=100000), " ",IF(INDEX($AB$2:$AQ$1001,MATCH(ROWS($U$2:U475),$U$2:$U$1001,0),MATCH(COLUMNS($AB$1006:AJ1006),$AB$1006:$AQ$1006,0)), HYPERLINK("#",""), HYPERLINK(CONCATENATE("#Metadata!", ADDRESS(INDEX($W$2:$W$1001,MATCH(ROWS($U$2:U475),$U$2:$U$1001,0),0), INDEX($AB$1004:$AQ$1004,1,MATCH(COLUMNS($AB$1006:AJ1006),$AB$1006:$AQ$1006,0)))),"Fix")))</f>
        <v>0</v>
      </c>
      <c r="K475" s="5">
        <f>IF(OR(INDEX($V$2:$V$1001,MATCH(ROWS($U$2:U475),$U$2:$U$1001,0),1)&gt;=100000,INDEX($AB$1005:$AQ$1005,1,MATCH(COLUMNS($AB$1006:AK1006),$AB$1006:$AQ$1006,0))&gt;=100000), " ",IF(INDEX($AB$2:$AQ$1001,MATCH(ROWS($U$2:U475),$U$2:$U$1001,0),MATCH(COLUMNS($AB$1006:AK1006),$AB$1006:$AQ$1006,0)), HYPERLINK("#",""), HYPERLINK(CONCATENATE("#Metadata!", ADDRESS(INDEX($W$2:$W$1001,MATCH(ROWS($U$2:U475),$U$2:$U$1001,0),0), INDEX($AB$1004:$AQ$1004,1,MATCH(COLUMNS($AB$1006:AK1006),$AB$1006:$AQ$1006,0)))),"Fix")))</f>
        <v>0</v>
      </c>
      <c r="L475" s="5">
        <f>IF(OR(INDEX($V$2:$V$1001,MATCH(ROWS($U$2:U475),$U$2:$U$1001,0),1)&gt;=100000,INDEX($AB$1005:$AQ$1005,1,MATCH(COLUMNS($AB$1006:AL1006),$AB$1006:$AQ$1006,0))&gt;=100000), " ",IF(INDEX($AB$2:$AQ$1001,MATCH(ROWS($U$2:U475),$U$2:$U$1001,0),MATCH(COLUMNS($AB$1006:AL1006),$AB$1006:$AQ$1006,0)), HYPERLINK("#",""), HYPERLINK(CONCATENATE("#Metadata!", ADDRESS(INDEX($W$2:$W$1001,MATCH(ROWS($U$2:U475),$U$2:$U$1001,0),0), INDEX($AB$1004:$AQ$1004,1,MATCH(COLUMNS($AB$1006:AL1006),$AB$1006:$AQ$1006,0)))),"Fix")))</f>
        <v>0</v>
      </c>
      <c r="M475" s="5">
        <f>IF(OR(INDEX($V$2:$V$1001,MATCH(ROWS($U$2:U475),$U$2:$U$1001,0),1)&gt;=100000,INDEX($AB$1005:$AQ$1005,1,MATCH(COLUMNS($AB$1006:AM1006),$AB$1006:$AQ$1006,0))&gt;=100000), " ",IF(INDEX($AB$2:$AQ$1001,MATCH(ROWS($U$2:U475),$U$2:$U$1001,0),MATCH(COLUMNS($AB$1006:AM1006),$AB$1006:$AQ$1006,0)), HYPERLINK("#",""), HYPERLINK(CONCATENATE("#Metadata!", ADDRESS(INDEX($W$2:$W$1001,MATCH(ROWS($U$2:U475),$U$2:$U$1001,0),0), INDEX($AB$1004:$AQ$1004,1,MATCH(COLUMNS($AB$1006:AM1006),$AB$1006:$AQ$1006,0)))),"Fix")))</f>
        <v>0</v>
      </c>
      <c r="N475" s="5">
        <f>IF(OR(INDEX($V$2:$V$1001,MATCH(ROWS($U$2:U475),$U$2:$U$1001,0),1)&gt;=100000,INDEX($AB$1005:$AQ$1005,1,MATCH(COLUMNS($AB$1006:AN1006),$AB$1006:$AQ$1006,0))&gt;=100000), " ",IF(INDEX($AB$2:$AQ$1001,MATCH(ROWS($U$2:U475),$U$2:$U$1001,0),MATCH(COLUMNS($AB$1006:AN1006),$AB$1006:$AQ$1006,0)), HYPERLINK("#",""), HYPERLINK(CONCATENATE("#Metadata!", ADDRESS(INDEX($W$2:$W$1001,MATCH(ROWS($U$2:U475),$U$2:$U$1001,0),0), INDEX($AB$1004:$AQ$1004,1,MATCH(COLUMNS($AB$1006:AN1006),$AB$1006:$AQ$1006,0)))),"Fix")))</f>
        <v>0</v>
      </c>
      <c r="O475" s="5">
        <f>IF(OR(INDEX($V$2:$V$1001,MATCH(ROWS($U$2:U475),$U$2:$U$1001,0),1)&gt;=100000,INDEX($AB$1005:$AQ$1005,1,MATCH(COLUMNS($AB$1006:AO1006),$AB$1006:$AQ$1006,0))&gt;=100000), " ",IF(INDEX($AB$2:$AQ$1001,MATCH(ROWS($U$2:U475),$U$2:$U$1001,0),MATCH(COLUMNS($AB$1006:AO1006),$AB$1006:$AQ$1006,0)), HYPERLINK("#",""), HYPERLINK(CONCATENATE("#Metadata!", ADDRESS(INDEX($W$2:$W$1001,MATCH(ROWS($U$2:U475),$U$2:$U$1001,0),0), INDEX($AB$1004:$AQ$1004,1,MATCH(COLUMNS($AB$1006:AO1006),$AB$1006:$AQ$1006,0)))),"Fix")))</f>
        <v>0</v>
      </c>
      <c r="P475" s="5">
        <f>IF(OR(INDEX($V$2:$V$1001,MATCH(ROWS($U$2:U475),$U$2:$U$1001,0),1)&gt;=100000,INDEX($AB$1005:$AQ$1005,1,MATCH(COLUMNS($AB$1006:AP1006),$AB$1006:$AQ$1006,0))&gt;=100000), " ",IF(INDEX($AB$2:$AQ$1001,MATCH(ROWS($U$2:U475),$U$2:$U$1001,0),MATCH(COLUMNS($AB$1006:AP1006),$AB$1006:$AQ$1006,0)), HYPERLINK("#",""), HYPERLINK(CONCATENATE("#Metadata!", ADDRESS(INDEX($W$2:$W$1001,MATCH(ROWS($U$2:U475),$U$2:$U$1001,0),0), INDEX($AB$1004:$AQ$1004,1,MATCH(COLUMNS($AB$1006:AP1006),$AB$1006:$AQ$1006,0)))),"Fix")))</f>
        <v>0</v>
      </c>
      <c r="Q475" s="5">
        <f>IF(OR(INDEX($V$2:$V$1001,MATCH(ROWS($U$2:U475),$U$2:$U$1001,0),1)&gt;=100000,INDEX($AB$1005:$AQ$1005,1,MATCH(COLUMNS($AB$1006:AQ1006),$AB$1006:$AQ$1006,0))&gt;=100000), " ",IF(INDEX($AB$2:$AQ$1001,MATCH(ROWS($U$2:U475),$U$2:$U$1001,0),MATCH(COLUMNS($AB$1006:AQ1006),$AB$1006:$AQ$1006,0)), HYPERLINK("#",""), HYPERLINK(CONCATENATE("#Metadata!", ADDRESS(INDEX($W$2:$W$1001,MATCH(ROWS($U$2:U475),$U$2:$U$1001,0),0), INDEX($AB$1004:$AQ$1004,1,MATCH(COLUMNS($AB$1006:AQ1006),$AB$1006:$AQ$1006,0)))),"Fix")))</f>
        <v>0</v>
      </c>
      <c r="U475">
        <v>0</v>
      </c>
      <c r="V475">
        <v>0</v>
      </c>
      <c r="W475">
        <v>0</v>
      </c>
      <c r="X475">
        <f>IF(Y475,TRUE,AND(AB475:AQ475))</f>
        <v>0</v>
      </c>
      <c r="Y475">
        <f>COUNTBLANK(Metadata!B475:Q475)=COLUMNS(Metadata!B475:Q475)</f>
        <v>0</v>
      </c>
      <c r="Z475">
        <v>0</v>
      </c>
      <c r="AB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AC475">
        <f>AND(IF(Metadata!C475="",FALSE,TRUE),exact(Metadata!C475,"urban biome"))</f>
        <v>0</v>
      </c>
      <c r="AD475">
        <f>AND(IF(Metadata!D475="",FALSE,TRUE),exact(Metadata!D475,"human-associated habitat"))</f>
        <v>0</v>
      </c>
      <c r="AE475">
        <f>AND(IF(Metadata!E475="",FALSE,TRUE),OR(exact(Metadata!E475,"human-associated"),exact(Metadata!E475,"human-skin"),exact(Metadata!E475,"human-oral"),exact(Metadata!E475,"human-gut"),exact(Metadata!E475,"human-vaginal")))</f>
        <v>0</v>
      </c>
      <c r="AF475">
        <f>AND(IF(Metadata!F475="",FALSE,ISNUMBER(VALUE(Metadata!F475))),Metadata!F475&gt;0)</f>
        <v>0</v>
      </c>
      <c r="AG475">
        <f>AND(IF(Metadata!G475="",FALSE,TRUE),exact(Metadata!G475,"years"))</f>
        <v>0</v>
      </c>
      <c r="AH475">
        <f>OR(AND(IF(Metadata!H475="",FALSE,TRUE),OR(exact(Metadata!H475,"not applicable"),exact(Metadata!H475,"not collected"),exact(Metadata!H475,"not provided"),exact(Metadata!H475,"restricted access"))),AND(IF(Metadata!H475="",FALSE,ISNUMBER(VALUE(Metadata!H475))),Metadata!H475&gt;0))</f>
        <v>0</v>
      </c>
      <c r="AI475">
        <f>AND(IF(Metadata!I475="",FALSE,TRUE),exact(Metadata!I475,"human"))</f>
        <v>0</v>
      </c>
      <c r="AJ475">
        <f>AND(IF(Metadata!J475="",FALSE,ISNUMBER(VALUE(Metadata!J475))),Metadata!J475&gt;0)</f>
        <v>0</v>
      </c>
      <c r="AK475">
        <f>AND(IF(Metadata!K475="",FALSE,TRUE),exact(Metadata!K475,"cm"))</f>
        <v>0</v>
      </c>
      <c r="AL475">
        <f>AND(IF(Metadata!L475="",FALSE,TRUE),exact(Metadata!L475,"Homo sapiens"))</f>
        <v>0</v>
      </c>
      <c r="AM475">
        <f>AND(IF(Metadata!M475="",FALSE,TRUE),exact(Metadata!M475,"9606"))</f>
        <v>0</v>
      </c>
      <c r="AN475">
        <f>AND(IF(Metadata!N475="",FALSE,ISNUMBER(VALUE(Metadata!N475))),Metadata!N475&gt;0)</f>
        <v>0</v>
      </c>
      <c r="AO475">
        <f>AND(IF(Metadata!O475="",FALSE,TRUE),exact(Metadata!O475,"kg"))</f>
        <v>0</v>
      </c>
      <c r="AP475">
        <f>OR(AND(IF(Metadata!P475="",FALSE,TRUE),exact(Metadata!P475,"not provided")),IF(Metadata!P475="",FALSE,TRUE))</f>
        <v>0</v>
      </c>
      <c r="AQ475">
        <f>OR(AND(IF(Metadata!Q475="",FALSE,TRUE),exact(Metadata!Q475,"not provided")),IF(Metadata!Q475="",FALSE,TRUE))</f>
        <v>0</v>
      </c>
    </row>
    <row r="476" spans="1:43">
      <c r="A476" s="4">
        <f>IF(B476=" "," ",HYPERLINK(CONCATENATE("#metadata!",ADDRESS(INDEX($W$2:$W$1001,MATCH(ROWS($U$2:U476),$U$2:$U$1001,0),0),2)),INDEX($Z$2:$Z$1001,MATCH(ROWS($U$2:U476),$U$2:$U$1001,0),0)))</f>
        <v>0</v>
      </c>
      <c r="B476" s="5">
        <f>IF(OR(INDEX($V$2:$V$1001,MATCH(ROWS($U$2:U476),$U$2:$U$1001,0),1)&gt;=100000,INDEX($AB$1005:$AQ$1005,1,MATCH(COLUMNS($AB$1006:AB1006),$AB$1006:$AQ$1006,0))&gt;=100000), " ",IF(INDEX($AB$2:$AQ$1001,MATCH(ROWS($U$2:U476),$U$2:$U$1001,0),MATCH(COLUMNS($AB$1006:AB1006),$AB$1006:$AQ$1006,0)), HYPERLINK("#",""), HYPERLINK(CONCATENATE("#Metadata!", ADDRESS(INDEX($W$2:$W$1001,MATCH(ROWS($U$2:U476),$U$2:$U$1001,0),0), INDEX($AB$1004:$AQ$1004,1,MATCH(COLUMNS($AB$1006:AB1006),$AB$1006:$AQ$1006,0)))),"Fix")))</f>
        <v>0</v>
      </c>
      <c r="C476" s="5">
        <f>IF(OR(INDEX($V$2:$V$1001,MATCH(ROWS($U$2:U476),$U$2:$U$1001,0),1)&gt;=100000,INDEX($AB$1005:$AQ$1005,1,MATCH(COLUMNS($AB$1006:AC1006),$AB$1006:$AQ$1006,0))&gt;=100000), " ",IF(INDEX($AB$2:$AQ$1001,MATCH(ROWS($U$2:U476),$U$2:$U$1001,0),MATCH(COLUMNS($AB$1006:AC1006),$AB$1006:$AQ$1006,0)), HYPERLINK("#",""), HYPERLINK(CONCATENATE("#Metadata!", ADDRESS(INDEX($W$2:$W$1001,MATCH(ROWS($U$2:U476),$U$2:$U$1001,0),0), INDEX($AB$1004:$AQ$1004,1,MATCH(COLUMNS($AB$1006:AC1006),$AB$1006:$AQ$1006,0)))),"Fix")))</f>
        <v>0</v>
      </c>
      <c r="D476" s="5">
        <f>IF(OR(INDEX($V$2:$V$1001,MATCH(ROWS($U$2:U476),$U$2:$U$1001,0),1)&gt;=100000,INDEX($AB$1005:$AQ$1005,1,MATCH(COLUMNS($AB$1006:AD1006),$AB$1006:$AQ$1006,0))&gt;=100000), " ",IF(INDEX($AB$2:$AQ$1001,MATCH(ROWS($U$2:U476),$U$2:$U$1001,0),MATCH(COLUMNS($AB$1006:AD1006),$AB$1006:$AQ$1006,0)), HYPERLINK("#",""), HYPERLINK(CONCATENATE("#Metadata!", ADDRESS(INDEX($W$2:$W$1001,MATCH(ROWS($U$2:U476),$U$2:$U$1001,0),0), INDEX($AB$1004:$AQ$1004,1,MATCH(COLUMNS($AB$1006:AD1006),$AB$1006:$AQ$1006,0)))),"Fix")))</f>
        <v>0</v>
      </c>
      <c r="E476" s="5">
        <f>IF(OR(INDEX($V$2:$V$1001,MATCH(ROWS($U$2:U476),$U$2:$U$1001,0),1)&gt;=100000,INDEX($AB$1005:$AQ$1005,1,MATCH(COLUMNS($AB$1006:AE1006),$AB$1006:$AQ$1006,0))&gt;=100000), " ",IF(INDEX($AB$2:$AQ$1001,MATCH(ROWS($U$2:U476),$U$2:$U$1001,0),MATCH(COLUMNS($AB$1006:AE1006),$AB$1006:$AQ$1006,0)), HYPERLINK("#",""), HYPERLINK(CONCATENATE("#Metadata!", ADDRESS(INDEX($W$2:$W$1001,MATCH(ROWS($U$2:U476),$U$2:$U$1001,0),0), INDEX($AB$1004:$AQ$1004,1,MATCH(COLUMNS($AB$1006:AE1006),$AB$1006:$AQ$1006,0)))),"Fix")))</f>
        <v>0</v>
      </c>
      <c r="F476" s="5">
        <f>IF(OR(INDEX($V$2:$V$1001,MATCH(ROWS($U$2:U476),$U$2:$U$1001,0),1)&gt;=100000,INDEX($AB$1005:$AQ$1005,1,MATCH(COLUMNS($AB$1006:AF1006),$AB$1006:$AQ$1006,0))&gt;=100000), " ",IF(INDEX($AB$2:$AQ$1001,MATCH(ROWS($U$2:U476),$U$2:$U$1001,0),MATCH(COLUMNS($AB$1006:AF1006),$AB$1006:$AQ$1006,0)), HYPERLINK("#",""), HYPERLINK(CONCATENATE("#Metadata!", ADDRESS(INDEX($W$2:$W$1001,MATCH(ROWS($U$2:U476),$U$2:$U$1001,0),0), INDEX($AB$1004:$AQ$1004,1,MATCH(COLUMNS($AB$1006:AF1006),$AB$1006:$AQ$1006,0)))),"Fix")))</f>
        <v>0</v>
      </c>
      <c r="G476" s="5">
        <f>IF(OR(INDEX($V$2:$V$1001,MATCH(ROWS($U$2:U476),$U$2:$U$1001,0),1)&gt;=100000,INDEX($AB$1005:$AQ$1005,1,MATCH(COLUMNS($AB$1006:AG1006),$AB$1006:$AQ$1006,0))&gt;=100000), " ",IF(INDEX($AB$2:$AQ$1001,MATCH(ROWS($U$2:U476),$U$2:$U$1001,0),MATCH(COLUMNS($AB$1006:AG1006),$AB$1006:$AQ$1006,0)), HYPERLINK("#",""), HYPERLINK(CONCATENATE("#Metadata!", ADDRESS(INDEX($W$2:$W$1001,MATCH(ROWS($U$2:U476),$U$2:$U$1001,0),0), INDEX($AB$1004:$AQ$1004,1,MATCH(COLUMNS($AB$1006:AG1006),$AB$1006:$AQ$1006,0)))),"Fix")))</f>
        <v>0</v>
      </c>
      <c r="H476" s="5">
        <f>IF(OR(INDEX($V$2:$V$1001,MATCH(ROWS($U$2:U476),$U$2:$U$1001,0),1)&gt;=100000,INDEX($AB$1005:$AQ$1005,1,MATCH(COLUMNS($AB$1006:AH1006),$AB$1006:$AQ$1006,0))&gt;=100000), " ",IF(INDEX($AB$2:$AQ$1001,MATCH(ROWS($U$2:U476),$U$2:$U$1001,0),MATCH(COLUMNS($AB$1006:AH1006),$AB$1006:$AQ$1006,0)), HYPERLINK("#",""), HYPERLINK(CONCATENATE("#Metadata!", ADDRESS(INDEX($W$2:$W$1001,MATCH(ROWS($U$2:U476),$U$2:$U$1001,0),0), INDEX($AB$1004:$AQ$1004,1,MATCH(COLUMNS($AB$1006:AH1006),$AB$1006:$AQ$1006,0)))),"Fix")))</f>
        <v>0</v>
      </c>
      <c r="I476" s="5">
        <f>IF(OR(INDEX($V$2:$V$1001,MATCH(ROWS($U$2:U476),$U$2:$U$1001,0),1)&gt;=100000,INDEX($AB$1005:$AQ$1005,1,MATCH(COLUMNS($AB$1006:AI1006),$AB$1006:$AQ$1006,0))&gt;=100000), " ",IF(INDEX($AB$2:$AQ$1001,MATCH(ROWS($U$2:U476),$U$2:$U$1001,0),MATCH(COLUMNS($AB$1006:AI1006),$AB$1006:$AQ$1006,0)), HYPERLINK("#",""), HYPERLINK(CONCATENATE("#Metadata!", ADDRESS(INDEX($W$2:$W$1001,MATCH(ROWS($U$2:U476),$U$2:$U$1001,0),0), INDEX($AB$1004:$AQ$1004,1,MATCH(COLUMNS($AB$1006:AI1006),$AB$1006:$AQ$1006,0)))),"Fix")))</f>
        <v>0</v>
      </c>
      <c r="J476" s="5">
        <f>IF(OR(INDEX($V$2:$V$1001,MATCH(ROWS($U$2:U476),$U$2:$U$1001,0),1)&gt;=100000,INDEX($AB$1005:$AQ$1005,1,MATCH(COLUMNS($AB$1006:AJ1006),$AB$1006:$AQ$1006,0))&gt;=100000), " ",IF(INDEX($AB$2:$AQ$1001,MATCH(ROWS($U$2:U476),$U$2:$U$1001,0),MATCH(COLUMNS($AB$1006:AJ1006),$AB$1006:$AQ$1006,0)), HYPERLINK("#",""), HYPERLINK(CONCATENATE("#Metadata!", ADDRESS(INDEX($W$2:$W$1001,MATCH(ROWS($U$2:U476),$U$2:$U$1001,0),0), INDEX($AB$1004:$AQ$1004,1,MATCH(COLUMNS($AB$1006:AJ1006),$AB$1006:$AQ$1006,0)))),"Fix")))</f>
        <v>0</v>
      </c>
      <c r="K476" s="5">
        <f>IF(OR(INDEX($V$2:$V$1001,MATCH(ROWS($U$2:U476),$U$2:$U$1001,0),1)&gt;=100000,INDEX($AB$1005:$AQ$1005,1,MATCH(COLUMNS($AB$1006:AK1006),$AB$1006:$AQ$1006,0))&gt;=100000), " ",IF(INDEX($AB$2:$AQ$1001,MATCH(ROWS($U$2:U476),$U$2:$U$1001,0),MATCH(COLUMNS($AB$1006:AK1006),$AB$1006:$AQ$1006,0)), HYPERLINK("#",""), HYPERLINK(CONCATENATE("#Metadata!", ADDRESS(INDEX($W$2:$W$1001,MATCH(ROWS($U$2:U476),$U$2:$U$1001,0),0), INDEX($AB$1004:$AQ$1004,1,MATCH(COLUMNS($AB$1006:AK1006),$AB$1006:$AQ$1006,0)))),"Fix")))</f>
        <v>0</v>
      </c>
      <c r="L476" s="5">
        <f>IF(OR(INDEX($V$2:$V$1001,MATCH(ROWS($U$2:U476),$U$2:$U$1001,0),1)&gt;=100000,INDEX($AB$1005:$AQ$1005,1,MATCH(COLUMNS($AB$1006:AL1006),$AB$1006:$AQ$1006,0))&gt;=100000), " ",IF(INDEX($AB$2:$AQ$1001,MATCH(ROWS($U$2:U476),$U$2:$U$1001,0),MATCH(COLUMNS($AB$1006:AL1006),$AB$1006:$AQ$1006,0)), HYPERLINK("#",""), HYPERLINK(CONCATENATE("#Metadata!", ADDRESS(INDEX($W$2:$W$1001,MATCH(ROWS($U$2:U476),$U$2:$U$1001,0),0), INDEX($AB$1004:$AQ$1004,1,MATCH(COLUMNS($AB$1006:AL1006),$AB$1006:$AQ$1006,0)))),"Fix")))</f>
        <v>0</v>
      </c>
      <c r="M476" s="5">
        <f>IF(OR(INDEX($V$2:$V$1001,MATCH(ROWS($U$2:U476),$U$2:$U$1001,0),1)&gt;=100000,INDEX($AB$1005:$AQ$1005,1,MATCH(COLUMNS($AB$1006:AM1006),$AB$1006:$AQ$1006,0))&gt;=100000), " ",IF(INDEX($AB$2:$AQ$1001,MATCH(ROWS($U$2:U476),$U$2:$U$1001,0),MATCH(COLUMNS($AB$1006:AM1006),$AB$1006:$AQ$1006,0)), HYPERLINK("#",""), HYPERLINK(CONCATENATE("#Metadata!", ADDRESS(INDEX($W$2:$W$1001,MATCH(ROWS($U$2:U476),$U$2:$U$1001,0),0), INDEX($AB$1004:$AQ$1004,1,MATCH(COLUMNS($AB$1006:AM1006),$AB$1006:$AQ$1006,0)))),"Fix")))</f>
        <v>0</v>
      </c>
      <c r="N476" s="5">
        <f>IF(OR(INDEX($V$2:$V$1001,MATCH(ROWS($U$2:U476),$U$2:$U$1001,0),1)&gt;=100000,INDEX($AB$1005:$AQ$1005,1,MATCH(COLUMNS($AB$1006:AN1006),$AB$1006:$AQ$1006,0))&gt;=100000), " ",IF(INDEX($AB$2:$AQ$1001,MATCH(ROWS($U$2:U476),$U$2:$U$1001,0),MATCH(COLUMNS($AB$1006:AN1006),$AB$1006:$AQ$1006,0)), HYPERLINK("#",""), HYPERLINK(CONCATENATE("#Metadata!", ADDRESS(INDEX($W$2:$W$1001,MATCH(ROWS($U$2:U476),$U$2:$U$1001,0),0), INDEX($AB$1004:$AQ$1004,1,MATCH(COLUMNS($AB$1006:AN1006),$AB$1006:$AQ$1006,0)))),"Fix")))</f>
        <v>0</v>
      </c>
      <c r="O476" s="5">
        <f>IF(OR(INDEX($V$2:$V$1001,MATCH(ROWS($U$2:U476),$U$2:$U$1001,0),1)&gt;=100000,INDEX($AB$1005:$AQ$1005,1,MATCH(COLUMNS($AB$1006:AO1006),$AB$1006:$AQ$1006,0))&gt;=100000), " ",IF(INDEX($AB$2:$AQ$1001,MATCH(ROWS($U$2:U476),$U$2:$U$1001,0),MATCH(COLUMNS($AB$1006:AO1006),$AB$1006:$AQ$1006,0)), HYPERLINK("#",""), HYPERLINK(CONCATENATE("#Metadata!", ADDRESS(INDEX($W$2:$W$1001,MATCH(ROWS($U$2:U476),$U$2:$U$1001,0),0), INDEX($AB$1004:$AQ$1004,1,MATCH(COLUMNS($AB$1006:AO1006),$AB$1006:$AQ$1006,0)))),"Fix")))</f>
        <v>0</v>
      </c>
      <c r="P476" s="5">
        <f>IF(OR(INDEX($V$2:$V$1001,MATCH(ROWS($U$2:U476),$U$2:$U$1001,0),1)&gt;=100000,INDEX($AB$1005:$AQ$1005,1,MATCH(COLUMNS($AB$1006:AP1006),$AB$1006:$AQ$1006,0))&gt;=100000), " ",IF(INDEX($AB$2:$AQ$1001,MATCH(ROWS($U$2:U476),$U$2:$U$1001,0),MATCH(COLUMNS($AB$1006:AP1006),$AB$1006:$AQ$1006,0)), HYPERLINK("#",""), HYPERLINK(CONCATENATE("#Metadata!", ADDRESS(INDEX($W$2:$W$1001,MATCH(ROWS($U$2:U476),$U$2:$U$1001,0),0), INDEX($AB$1004:$AQ$1004,1,MATCH(COLUMNS($AB$1006:AP1006),$AB$1006:$AQ$1006,0)))),"Fix")))</f>
        <v>0</v>
      </c>
      <c r="Q476" s="5">
        <f>IF(OR(INDEX($V$2:$V$1001,MATCH(ROWS($U$2:U476),$U$2:$U$1001,0),1)&gt;=100000,INDEX($AB$1005:$AQ$1005,1,MATCH(COLUMNS($AB$1006:AQ1006),$AB$1006:$AQ$1006,0))&gt;=100000), " ",IF(INDEX($AB$2:$AQ$1001,MATCH(ROWS($U$2:U476),$U$2:$U$1001,0),MATCH(COLUMNS($AB$1006:AQ1006),$AB$1006:$AQ$1006,0)), HYPERLINK("#",""), HYPERLINK(CONCATENATE("#Metadata!", ADDRESS(INDEX($W$2:$W$1001,MATCH(ROWS($U$2:U476),$U$2:$U$1001,0),0), INDEX($AB$1004:$AQ$1004,1,MATCH(COLUMNS($AB$1006:AQ1006),$AB$1006:$AQ$1006,0)))),"Fix")))</f>
        <v>0</v>
      </c>
      <c r="U476">
        <v>0</v>
      </c>
      <c r="V476">
        <v>0</v>
      </c>
      <c r="W476">
        <v>0</v>
      </c>
      <c r="X476">
        <f>IF(Y476,TRUE,AND(AB476:AQ476))</f>
        <v>0</v>
      </c>
      <c r="Y476">
        <f>COUNTBLANK(Metadata!B476:Q476)=COLUMNS(Metadata!B476:Q476)</f>
        <v>0</v>
      </c>
      <c r="Z476">
        <v>0</v>
      </c>
      <c r="AB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AC476">
        <f>AND(IF(Metadata!C476="",FALSE,TRUE),exact(Metadata!C476,"urban biome"))</f>
        <v>0</v>
      </c>
      <c r="AD476">
        <f>AND(IF(Metadata!D476="",FALSE,TRUE),exact(Metadata!D476,"human-associated habitat"))</f>
        <v>0</v>
      </c>
      <c r="AE476">
        <f>AND(IF(Metadata!E476="",FALSE,TRUE),OR(exact(Metadata!E476,"human-associated"),exact(Metadata!E476,"human-skin"),exact(Metadata!E476,"human-oral"),exact(Metadata!E476,"human-gut"),exact(Metadata!E476,"human-vaginal")))</f>
        <v>0</v>
      </c>
      <c r="AF476">
        <f>AND(IF(Metadata!F476="",FALSE,ISNUMBER(VALUE(Metadata!F476))),Metadata!F476&gt;0)</f>
        <v>0</v>
      </c>
      <c r="AG476">
        <f>AND(IF(Metadata!G476="",FALSE,TRUE),exact(Metadata!G476,"years"))</f>
        <v>0</v>
      </c>
      <c r="AH476">
        <f>OR(AND(IF(Metadata!H476="",FALSE,TRUE),OR(exact(Metadata!H476,"not applicable"),exact(Metadata!H476,"not collected"),exact(Metadata!H476,"not provided"),exact(Metadata!H476,"restricted access"))),AND(IF(Metadata!H476="",FALSE,ISNUMBER(VALUE(Metadata!H476))),Metadata!H476&gt;0))</f>
        <v>0</v>
      </c>
      <c r="AI476">
        <f>AND(IF(Metadata!I476="",FALSE,TRUE),exact(Metadata!I476,"human"))</f>
        <v>0</v>
      </c>
      <c r="AJ476">
        <f>AND(IF(Metadata!J476="",FALSE,ISNUMBER(VALUE(Metadata!J476))),Metadata!J476&gt;0)</f>
        <v>0</v>
      </c>
      <c r="AK476">
        <f>AND(IF(Metadata!K476="",FALSE,TRUE),exact(Metadata!K476,"cm"))</f>
        <v>0</v>
      </c>
      <c r="AL476">
        <f>AND(IF(Metadata!L476="",FALSE,TRUE),exact(Metadata!L476,"Homo sapiens"))</f>
        <v>0</v>
      </c>
      <c r="AM476">
        <f>AND(IF(Metadata!M476="",FALSE,TRUE),exact(Metadata!M476,"9606"))</f>
        <v>0</v>
      </c>
      <c r="AN476">
        <f>AND(IF(Metadata!N476="",FALSE,ISNUMBER(VALUE(Metadata!N476))),Metadata!N476&gt;0)</f>
        <v>0</v>
      </c>
      <c r="AO476">
        <f>AND(IF(Metadata!O476="",FALSE,TRUE),exact(Metadata!O476,"kg"))</f>
        <v>0</v>
      </c>
      <c r="AP476">
        <f>OR(AND(IF(Metadata!P476="",FALSE,TRUE),exact(Metadata!P476,"not provided")),IF(Metadata!P476="",FALSE,TRUE))</f>
        <v>0</v>
      </c>
      <c r="AQ476">
        <f>OR(AND(IF(Metadata!Q476="",FALSE,TRUE),exact(Metadata!Q476,"not provided")),IF(Metadata!Q476="",FALSE,TRUE))</f>
        <v>0</v>
      </c>
    </row>
    <row r="477" spans="1:43">
      <c r="A477" s="4">
        <f>IF(B477=" "," ",HYPERLINK(CONCATENATE("#metadata!",ADDRESS(INDEX($W$2:$W$1001,MATCH(ROWS($U$2:U477),$U$2:$U$1001,0),0),2)),INDEX($Z$2:$Z$1001,MATCH(ROWS($U$2:U477),$U$2:$U$1001,0),0)))</f>
        <v>0</v>
      </c>
      <c r="B477" s="5">
        <f>IF(OR(INDEX($V$2:$V$1001,MATCH(ROWS($U$2:U477),$U$2:$U$1001,0),1)&gt;=100000,INDEX($AB$1005:$AQ$1005,1,MATCH(COLUMNS($AB$1006:AB1006),$AB$1006:$AQ$1006,0))&gt;=100000), " ",IF(INDEX($AB$2:$AQ$1001,MATCH(ROWS($U$2:U477),$U$2:$U$1001,0),MATCH(COLUMNS($AB$1006:AB1006),$AB$1006:$AQ$1006,0)), HYPERLINK("#",""), HYPERLINK(CONCATENATE("#Metadata!", ADDRESS(INDEX($W$2:$W$1001,MATCH(ROWS($U$2:U477),$U$2:$U$1001,0),0), INDEX($AB$1004:$AQ$1004,1,MATCH(COLUMNS($AB$1006:AB1006),$AB$1006:$AQ$1006,0)))),"Fix")))</f>
        <v>0</v>
      </c>
      <c r="C477" s="5">
        <f>IF(OR(INDEX($V$2:$V$1001,MATCH(ROWS($U$2:U477),$U$2:$U$1001,0),1)&gt;=100000,INDEX($AB$1005:$AQ$1005,1,MATCH(COLUMNS($AB$1006:AC1006),$AB$1006:$AQ$1006,0))&gt;=100000), " ",IF(INDEX($AB$2:$AQ$1001,MATCH(ROWS($U$2:U477),$U$2:$U$1001,0),MATCH(COLUMNS($AB$1006:AC1006),$AB$1006:$AQ$1006,0)), HYPERLINK("#",""), HYPERLINK(CONCATENATE("#Metadata!", ADDRESS(INDEX($W$2:$W$1001,MATCH(ROWS($U$2:U477),$U$2:$U$1001,0),0), INDEX($AB$1004:$AQ$1004,1,MATCH(COLUMNS($AB$1006:AC1006),$AB$1006:$AQ$1006,0)))),"Fix")))</f>
        <v>0</v>
      </c>
      <c r="D477" s="5">
        <f>IF(OR(INDEX($V$2:$V$1001,MATCH(ROWS($U$2:U477),$U$2:$U$1001,0),1)&gt;=100000,INDEX($AB$1005:$AQ$1005,1,MATCH(COLUMNS($AB$1006:AD1006),$AB$1006:$AQ$1006,0))&gt;=100000), " ",IF(INDEX($AB$2:$AQ$1001,MATCH(ROWS($U$2:U477),$U$2:$U$1001,0),MATCH(COLUMNS($AB$1006:AD1006),$AB$1006:$AQ$1006,0)), HYPERLINK("#",""), HYPERLINK(CONCATENATE("#Metadata!", ADDRESS(INDEX($W$2:$W$1001,MATCH(ROWS($U$2:U477),$U$2:$U$1001,0),0), INDEX($AB$1004:$AQ$1004,1,MATCH(COLUMNS($AB$1006:AD1006),$AB$1006:$AQ$1006,0)))),"Fix")))</f>
        <v>0</v>
      </c>
      <c r="E477" s="5">
        <f>IF(OR(INDEX($V$2:$V$1001,MATCH(ROWS($U$2:U477),$U$2:$U$1001,0),1)&gt;=100000,INDEX($AB$1005:$AQ$1005,1,MATCH(COLUMNS($AB$1006:AE1006),$AB$1006:$AQ$1006,0))&gt;=100000), " ",IF(INDEX($AB$2:$AQ$1001,MATCH(ROWS($U$2:U477),$U$2:$U$1001,0),MATCH(COLUMNS($AB$1006:AE1006),$AB$1006:$AQ$1006,0)), HYPERLINK("#",""), HYPERLINK(CONCATENATE("#Metadata!", ADDRESS(INDEX($W$2:$W$1001,MATCH(ROWS($U$2:U477),$U$2:$U$1001,0),0), INDEX($AB$1004:$AQ$1004,1,MATCH(COLUMNS($AB$1006:AE1006),$AB$1006:$AQ$1006,0)))),"Fix")))</f>
        <v>0</v>
      </c>
      <c r="F477" s="5">
        <f>IF(OR(INDEX($V$2:$V$1001,MATCH(ROWS($U$2:U477),$U$2:$U$1001,0),1)&gt;=100000,INDEX($AB$1005:$AQ$1005,1,MATCH(COLUMNS($AB$1006:AF1006),$AB$1006:$AQ$1006,0))&gt;=100000), " ",IF(INDEX($AB$2:$AQ$1001,MATCH(ROWS($U$2:U477),$U$2:$U$1001,0),MATCH(COLUMNS($AB$1006:AF1006),$AB$1006:$AQ$1006,0)), HYPERLINK("#",""), HYPERLINK(CONCATENATE("#Metadata!", ADDRESS(INDEX($W$2:$W$1001,MATCH(ROWS($U$2:U477),$U$2:$U$1001,0),0), INDEX($AB$1004:$AQ$1004,1,MATCH(COLUMNS($AB$1006:AF1006),$AB$1006:$AQ$1006,0)))),"Fix")))</f>
        <v>0</v>
      </c>
      <c r="G477" s="5">
        <f>IF(OR(INDEX($V$2:$V$1001,MATCH(ROWS($U$2:U477),$U$2:$U$1001,0),1)&gt;=100000,INDEX($AB$1005:$AQ$1005,1,MATCH(COLUMNS($AB$1006:AG1006),$AB$1006:$AQ$1006,0))&gt;=100000), " ",IF(INDEX($AB$2:$AQ$1001,MATCH(ROWS($U$2:U477),$U$2:$U$1001,0),MATCH(COLUMNS($AB$1006:AG1006),$AB$1006:$AQ$1006,0)), HYPERLINK("#",""), HYPERLINK(CONCATENATE("#Metadata!", ADDRESS(INDEX($W$2:$W$1001,MATCH(ROWS($U$2:U477),$U$2:$U$1001,0),0), INDEX($AB$1004:$AQ$1004,1,MATCH(COLUMNS($AB$1006:AG1006),$AB$1006:$AQ$1006,0)))),"Fix")))</f>
        <v>0</v>
      </c>
      <c r="H477" s="5">
        <f>IF(OR(INDEX($V$2:$V$1001,MATCH(ROWS($U$2:U477),$U$2:$U$1001,0),1)&gt;=100000,INDEX($AB$1005:$AQ$1005,1,MATCH(COLUMNS($AB$1006:AH1006),$AB$1006:$AQ$1006,0))&gt;=100000), " ",IF(INDEX($AB$2:$AQ$1001,MATCH(ROWS($U$2:U477),$U$2:$U$1001,0),MATCH(COLUMNS($AB$1006:AH1006),$AB$1006:$AQ$1006,0)), HYPERLINK("#",""), HYPERLINK(CONCATENATE("#Metadata!", ADDRESS(INDEX($W$2:$W$1001,MATCH(ROWS($U$2:U477),$U$2:$U$1001,0),0), INDEX($AB$1004:$AQ$1004,1,MATCH(COLUMNS($AB$1006:AH1006),$AB$1006:$AQ$1006,0)))),"Fix")))</f>
        <v>0</v>
      </c>
      <c r="I477" s="5">
        <f>IF(OR(INDEX($V$2:$V$1001,MATCH(ROWS($U$2:U477),$U$2:$U$1001,0),1)&gt;=100000,INDEX($AB$1005:$AQ$1005,1,MATCH(COLUMNS($AB$1006:AI1006),$AB$1006:$AQ$1006,0))&gt;=100000), " ",IF(INDEX($AB$2:$AQ$1001,MATCH(ROWS($U$2:U477),$U$2:$U$1001,0),MATCH(COLUMNS($AB$1006:AI1006),$AB$1006:$AQ$1006,0)), HYPERLINK("#",""), HYPERLINK(CONCATENATE("#Metadata!", ADDRESS(INDEX($W$2:$W$1001,MATCH(ROWS($U$2:U477),$U$2:$U$1001,0),0), INDEX($AB$1004:$AQ$1004,1,MATCH(COLUMNS($AB$1006:AI1006),$AB$1006:$AQ$1006,0)))),"Fix")))</f>
        <v>0</v>
      </c>
      <c r="J477" s="5">
        <f>IF(OR(INDEX($V$2:$V$1001,MATCH(ROWS($U$2:U477),$U$2:$U$1001,0),1)&gt;=100000,INDEX($AB$1005:$AQ$1005,1,MATCH(COLUMNS($AB$1006:AJ1006),$AB$1006:$AQ$1006,0))&gt;=100000), " ",IF(INDEX($AB$2:$AQ$1001,MATCH(ROWS($U$2:U477),$U$2:$U$1001,0),MATCH(COLUMNS($AB$1006:AJ1006),$AB$1006:$AQ$1006,0)), HYPERLINK("#",""), HYPERLINK(CONCATENATE("#Metadata!", ADDRESS(INDEX($W$2:$W$1001,MATCH(ROWS($U$2:U477),$U$2:$U$1001,0),0), INDEX($AB$1004:$AQ$1004,1,MATCH(COLUMNS($AB$1006:AJ1006),$AB$1006:$AQ$1006,0)))),"Fix")))</f>
        <v>0</v>
      </c>
      <c r="K477" s="5">
        <f>IF(OR(INDEX($V$2:$V$1001,MATCH(ROWS($U$2:U477),$U$2:$U$1001,0),1)&gt;=100000,INDEX($AB$1005:$AQ$1005,1,MATCH(COLUMNS($AB$1006:AK1006),$AB$1006:$AQ$1006,0))&gt;=100000), " ",IF(INDEX($AB$2:$AQ$1001,MATCH(ROWS($U$2:U477),$U$2:$U$1001,0),MATCH(COLUMNS($AB$1006:AK1006),$AB$1006:$AQ$1006,0)), HYPERLINK("#",""), HYPERLINK(CONCATENATE("#Metadata!", ADDRESS(INDEX($W$2:$W$1001,MATCH(ROWS($U$2:U477),$U$2:$U$1001,0),0), INDEX($AB$1004:$AQ$1004,1,MATCH(COLUMNS($AB$1006:AK1006),$AB$1006:$AQ$1006,0)))),"Fix")))</f>
        <v>0</v>
      </c>
      <c r="L477" s="5">
        <f>IF(OR(INDEX($V$2:$V$1001,MATCH(ROWS($U$2:U477),$U$2:$U$1001,0),1)&gt;=100000,INDEX($AB$1005:$AQ$1005,1,MATCH(COLUMNS($AB$1006:AL1006),$AB$1006:$AQ$1006,0))&gt;=100000), " ",IF(INDEX($AB$2:$AQ$1001,MATCH(ROWS($U$2:U477),$U$2:$U$1001,0),MATCH(COLUMNS($AB$1006:AL1006),$AB$1006:$AQ$1006,0)), HYPERLINK("#",""), HYPERLINK(CONCATENATE("#Metadata!", ADDRESS(INDEX($W$2:$W$1001,MATCH(ROWS($U$2:U477),$U$2:$U$1001,0),0), INDEX($AB$1004:$AQ$1004,1,MATCH(COLUMNS($AB$1006:AL1006),$AB$1006:$AQ$1006,0)))),"Fix")))</f>
        <v>0</v>
      </c>
      <c r="M477" s="5">
        <f>IF(OR(INDEX($V$2:$V$1001,MATCH(ROWS($U$2:U477),$U$2:$U$1001,0),1)&gt;=100000,INDEX($AB$1005:$AQ$1005,1,MATCH(COLUMNS($AB$1006:AM1006),$AB$1006:$AQ$1006,0))&gt;=100000), " ",IF(INDEX($AB$2:$AQ$1001,MATCH(ROWS($U$2:U477),$U$2:$U$1001,0),MATCH(COLUMNS($AB$1006:AM1006),$AB$1006:$AQ$1006,0)), HYPERLINK("#",""), HYPERLINK(CONCATENATE("#Metadata!", ADDRESS(INDEX($W$2:$W$1001,MATCH(ROWS($U$2:U477),$U$2:$U$1001,0),0), INDEX($AB$1004:$AQ$1004,1,MATCH(COLUMNS($AB$1006:AM1006),$AB$1006:$AQ$1006,0)))),"Fix")))</f>
        <v>0</v>
      </c>
      <c r="N477" s="5">
        <f>IF(OR(INDEX($V$2:$V$1001,MATCH(ROWS($U$2:U477),$U$2:$U$1001,0),1)&gt;=100000,INDEX($AB$1005:$AQ$1005,1,MATCH(COLUMNS($AB$1006:AN1006),$AB$1006:$AQ$1006,0))&gt;=100000), " ",IF(INDEX($AB$2:$AQ$1001,MATCH(ROWS($U$2:U477),$U$2:$U$1001,0),MATCH(COLUMNS($AB$1006:AN1006),$AB$1006:$AQ$1006,0)), HYPERLINK("#",""), HYPERLINK(CONCATENATE("#Metadata!", ADDRESS(INDEX($W$2:$W$1001,MATCH(ROWS($U$2:U477),$U$2:$U$1001,0),0), INDEX($AB$1004:$AQ$1004,1,MATCH(COLUMNS($AB$1006:AN1006),$AB$1006:$AQ$1006,0)))),"Fix")))</f>
        <v>0</v>
      </c>
      <c r="O477" s="5">
        <f>IF(OR(INDEX($V$2:$V$1001,MATCH(ROWS($U$2:U477),$U$2:$U$1001,0),1)&gt;=100000,INDEX($AB$1005:$AQ$1005,1,MATCH(COLUMNS($AB$1006:AO1006),$AB$1006:$AQ$1006,0))&gt;=100000), " ",IF(INDEX($AB$2:$AQ$1001,MATCH(ROWS($U$2:U477),$U$2:$U$1001,0),MATCH(COLUMNS($AB$1006:AO1006),$AB$1006:$AQ$1006,0)), HYPERLINK("#",""), HYPERLINK(CONCATENATE("#Metadata!", ADDRESS(INDEX($W$2:$W$1001,MATCH(ROWS($U$2:U477),$U$2:$U$1001,0),0), INDEX($AB$1004:$AQ$1004,1,MATCH(COLUMNS($AB$1006:AO1006),$AB$1006:$AQ$1006,0)))),"Fix")))</f>
        <v>0</v>
      </c>
      <c r="P477" s="5">
        <f>IF(OR(INDEX($V$2:$V$1001,MATCH(ROWS($U$2:U477),$U$2:$U$1001,0),1)&gt;=100000,INDEX($AB$1005:$AQ$1005,1,MATCH(COLUMNS($AB$1006:AP1006),$AB$1006:$AQ$1006,0))&gt;=100000), " ",IF(INDEX($AB$2:$AQ$1001,MATCH(ROWS($U$2:U477),$U$2:$U$1001,0),MATCH(COLUMNS($AB$1006:AP1006),$AB$1006:$AQ$1006,0)), HYPERLINK("#",""), HYPERLINK(CONCATENATE("#Metadata!", ADDRESS(INDEX($W$2:$W$1001,MATCH(ROWS($U$2:U477),$U$2:$U$1001,0),0), INDEX($AB$1004:$AQ$1004,1,MATCH(COLUMNS($AB$1006:AP1006),$AB$1006:$AQ$1006,0)))),"Fix")))</f>
        <v>0</v>
      </c>
      <c r="Q477" s="5">
        <f>IF(OR(INDEX($V$2:$V$1001,MATCH(ROWS($U$2:U477),$U$2:$U$1001,0),1)&gt;=100000,INDEX($AB$1005:$AQ$1005,1,MATCH(COLUMNS($AB$1006:AQ1006),$AB$1006:$AQ$1006,0))&gt;=100000), " ",IF(INDEX($AB$2:$AQ$1001,MATCH(ROWS($U$2:U477),$U$2:$U$1001,0),MATCH(COLUMNS($AB$1006:AQ1006),$AB$1006:$AQ$1006,0)), HYPERLINK("#",""), HYPERLINK(CONCATENATE("#Metadata!", ADDRESS(INDEX($W$2:$W$1001,MATCH(ROWS($U$2:U477),$U$2:$U$1001,0),0), INDEX($AB$1004:$AQ$1004,1,MATCH(COLUMNS($AB$1006:AQ1006),$AB$1006:$AQ$1006,0)))),"Fix")))</f>
        <v>0</v>
      </c>
      <c r="U477">
        <v>0</v>
      </c>
      <c r="V477">
        <v>0</v>
      </c>
      <c r="W477">
        <v>0</v>
      </c>
      <c r="X477">
        <f>IF(Y477,TRUE,AND(AB477:AQ477))</f>
        <v>0</v>
      </c>
      <c r="Y477">
        <f>COUNTBLANK(Metadata!B477:Q477)=COLUMNS(Metadata!B477:Q477)</f>
        <v>0</v>
      </c>
      <c r="Z477">
        <v>0</v>
      </c>
      <c r="AB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AC477">
        <f>AND(IF(Metadata!C477="",FALSE,TRUE),exact(Metadata!C477,"urban biome"))</f>
        <v>0</v>
      </c>
      <c r="AD477">
        <f>AND(IF(Metadata!D477="",FALSE,TRUE),exact(Metadata!D477,"human-associated habitat"))</f>
        <v>0</v>
      </c>
      <c r="AE477">
        <f>AND(IF(Metadata!E477="",FALSE,TRUE),OR(exact(Metadata!E477,"human-associated"),exact(Metadata!E477,"human-skin"),exact(Metadata!E477,"human-oral"),exact(Metadata!E477,"human-gut"),exact(Metadata!E477,"human-vaginal")))</f>
        <v>0</v>
      </c>
      <c r="AF477">
        <f>AND(IF(Metadata!F477="",FALSE,ISNUMBER(VALUE(Metadata!F477))),Metadata!F477&gt;0)</f>
        <v>0</v>
      </c>
      <c r="AG477">
        <f>AND(IF(Metadata!G477="",FALSE,TRUE),exact(Metadata!G477,"years"))</f>
        <v>0</v>
      </c>
      <c r="AH477">
        <f>OR(AND(IF(Metadata!H477="",FALSE,TRUE),OR(exact(Metadata!H477,"not applicable"),exact(Metadata!H477,"not collected"),exact(Metadata!H477,"not provided"),exact(Metadata!H477,"restricted access"))),AND(IF(Metadata!H477="",FALSE,ISNUMBER(VALUE(Metadata!H477))),Metadata!H477&gt;0))</f>
        <v>0</v>
      </c>
      <c r="AI477">
        <f>AND(IF(Metadata!I477="",FALSE,TRUE),exact(Metadata!I477,"human"))</f>
        <v>0</v>
      </c>
      <c r="AJ477">
        <f>AND(IF(Metadata!J477="",FALSE,ISNUMBER(VALUE(Metadata!J477))),Metadata!J477&gt;0)</f>
        <v>0</v>
      </c>
      <c r="AK477">
        <f>AND(IF(Metadata!K477="",FALSE,TRUE),exact(Metadata!K477,"cm"))</f>
        <v>0</v>
      </c>
      <c r="AL477">
        <f>AND(IF(Metadata!L477="",FALSE,TRUE),exact(Metadata!L477,"Homo sapiens"))</f>
        <v>0</v>
      </c>
      <c r="AM477">
        <f>AND(IF(Metadata!M477="",FALSE,TRUE),exact(Metadata!M477,"9606"))</f>
        <v>0</v>
      </c>
      <c r="AN477">
        <f>AND(IF(Metadata!N477="",FALSE,ISNUMBER(VALUE(Metadata!N477))),Metadata!N477&gt;0)</f>
        <v>0</v>
      </c>
      <c r="AO477">
        <f>AND(IF(Metadata!O477="",FALSE,TRUE),exact(Metadata!O477,"kg"))</f>
        <v>0</v>
      </c>
      <c r="AP477">
        <f>OR(AND(IF(Metadata!P477="",FALSE,TRUE),exact(Metadata!P477,"not provided")),IF(Metadata!P477="",FALSE,TRUE))</f>
        <v>0</v>
      </c>
      <c r="AQ477">
        <f>OR(AND(IF(Metadata!Q477="",FALSE,TRUE),exact(Metadata!Q477,"not provided")),IF(Metadata!Q477="",FALSE,TRUE))</f>
        <v>0</v>
      </c>
    </row>
    <row r="478" spans="1:43">
      <c r="A478" s="4">
        <f>IF(B478=" "," ",HYPERLINK(CONCATENATE("#metadata!",ADDRESS(INDEX($W$2:$W$1001,MATCH(ROWS($U$2:U478),$U$2:$U$1001,0),0),2)),INDEX($Z$2:$Z$1001,MATCH(ROWS($U$2:U478),$U$2:$U$1001,0),0)))</f>
        <v>0</v>
      </c>
      <c r="B478" s="5">
        <f>IF(OR(INDEX($V$2:$V$1001,MATCH(ROWS($U$2:U478),$U$2:$U$1001,0),1)&gt;=100000,INDEX($AB$1005:$AQ$1005,1,MATCH(COLUMNS($AB$1006:AB1006),$AB$1006:$AQ$1006,0))&gt;=100000), " ",IF(INDEX($AB$2:$AQ$1001,MATCH(ROWS($U$2:U478),$U$2:$U$1001,0),MATCH(COLUMNS($AB$1006:AB1006),$AB$1006:$AQ$1006,0)), HYPERLINK("#",""), HYPERLINK(CONCATENATE("#Metadata!", ADDRESS(INDEX($W$2:$W$1001,MATCH(ROWS($U$2:U478),$U$2:$U$1001,0),0), INDEX($AB$1004:$AQ$1004,1,MATCH(COLUMNS($AB$1006:AB1006),$AB$1006:$AQ$1006,0)))),"Fix")))</f>
        <v>0</v>
      </c>
      <c r="C478" s="5">
        <f>IF(OR(INDEX($V$2:$V$1001,MATCH(ROWS($U$2:U478),$U$2:$U$1001,0),1)&gt;=100000,INDEX($AB$1005:$AQ$1005,1,MATCH(COLUMNS($AB$1006:AC1006),$AB$1006:$AQ$1006,0))&gt;=100000), " ",IF(INDEX($AB$2:$AQ$1001,MATCH(ROWS($U$2:U478),$U$2:$U$1001,0),MATCH(COLUMNS($AB$1006:AC1006),$AB$1006:$AQ$1006,0)), HYPERLINK("#",""), HYPERLINK(CONCATENATE("#Metadata!", ADDRESS(INDEX($W$2:$W$1001,MATCH(ROWS($U$2:U478),$U$2:$U$1001,0),0), INDEX($AB$1004:$AQ$1004,1,MATCH(COLUMNS($AB$1006:AC1006),$AB$1006:$AQ$1006,0)))),"Fix")))</f>
        <v>0</v>
      </c>
      <c r="D478" s="5">
        <f>IF(OR(INDEX($V$2:$V$1001,MATCH(ROWS($U$2:U478),$U$2:$U$1001,0),1)&gt;=100000,INDEX($AB$1005:$AQ$1005,1,MATCH(COLUMNS($AB$1006:AD1006),$AB$1006:$AQ$1006,0))&gt;=100000), " ",IF(INDEX($AB$2:$AQ$1001,MATCH(ROWS($U$2:U478),$U$2:$U$1001,0),MATCH(COLUMNS($AB$1006:AD1006),$AB$1006:$AQ$1006,0)), HYPERLINK("#",""), HYPERLINK(CONCATENATE("#Metadata!", ADDRESS(INDEX($W$2:$W$1001,MATCH(ROWS($U$2:U478),$U$2:$U$1001,0),0), INDEX($AB$1004:$AQ$1004,1,MATCH(COLUMNS($AB$1006:AD1006),$AB$1006:$AQ$1006,0)))),"Fix")))</f>
        <v>0</v>
      </c>
      <c r="E478" s="5">
        <f>IF(OR(INDEX($V$2:$V$1001,MATCH(ROWS($U$2:U478),$U$2:$U$1001,0),1)&gt;=100000,INDEX($AB$1005:$AQ$1005,1,MATCH(COLUMNS($AB$1006:AE1006),$AB$1006:$AQ$1006,0))&gt;=100000), " ",IF(INDEX($AB$2:$AQ$1001,MATCH(ROWS($U$2:U478),$U$2:$U$1001,0),MATCH(COLUMNS($AB$1006:AE1006),$AB$1006:$AQ$1006,0)), HYPERLINK("#",""), HYPERLINK(CONCATENATE("#Metadata!", ADDRESS(INDEX($W$2:$W$1001,MATCH(ROWS($U$2:U478),$U$2:$U$1001,0),0), INDEX($AB$1004:$AQ$1004,1,MATCH(COLUMNS($AB$1006:AE1006),$AB$1006:$AQ$1006,0)))),"Fix")))</f>
        <v>0</v>
      </c>
      <c r="F478" s="5">
        <f>IF(OR(INDEX($V$2:$V$1001,MATCH(ROWS($U$2:U478),$U$2:$U$1001,0),1)&gt;=100000,INDEX($AB$1005:$AQ$1005,1,MATCH(COLUMNS($AB$1006:AF1006),$AB$1006:$AQ$1006,0))&gt;=100000), " ",IF(INDEX($AB$2:$AQ$1001,MATCH(ROWS($U$2:U478),$U$2:$U$1001,0),MATCH(COLUMNS($AB$1006:AF1006),$AB$1006:$AQ$1006,0)), HYPERLINK("#",""), HYPERLINK(CONCATENATE("#Metadata!", ADDRESS(INDEX($W$2:$W$1001,MATCH(ROWS($U$2:U478),$U$2:$U$1001,0),0), INDEX($AB$1004:$AQ$1004,1,MATCH(COLUMNS($AB$1006:AF1006),$AB$1006:$AQ$1006,0)))),"Fix")))</f>
        <v>0</v>
      </c>
      <c r="G478" s="5">
        <f>IF(OR(INDEX($V$2:$V$1001,MATCH(ROWS($U$2:U478),$U$2:$U$1001,0),1)&gt;=100000,INDEX($AB$1005:$AQ$1005,1,MATCH(COLUMNS($AB$1006:AG1006),$AB$1006:$AQ$1006,0))&gt;=100000), " ",IF(INDEX($AB$2:$AQ$1001,MATCH(ROWS($U$2:U478),$U$2:$U$1001,0),MATCH(COLUMNS($AB$1006:AG1006),$AB$1006:$AQ$1006,0)), HYPERLINK("#",""), HYPERLINK(CONCATENATE("#Metadata!", ADDRESS(INDEX($W$2:$W$1001,MATCH(ROWS($U$2:U478),$U$2:$U$1001,0),0), INDEX($AB$1004:$AQ$1004,1,MATCH(COLUMNS($AB$1006:AG1006),$AB$1006:$AQ$1006,0)))),"Fix")))</f>
        <v>0</v>
      </c>
      <c r="H478" s="5">
        <f>IF(OR(INDEX($V$2:$V$1001,MATCH(ROWS($U$2:U478),$U$2:$U$1001,0),1)&gt;=100000,INDEX($AB$1005:$AQ$1005,1,MATCH(COLUMNS($AB$1006:AH1006),$AB$1006:$AQ$1006,0))&gt;=100000), " ",IF(INDEX($AB$2:$AQ$1001,MATCH(ROWS($U$2:U478),$U$2:$U$1001,0),MATCH(COLUMNS($AB$1006:AH1006),$AB$1006:$AQ$1006,0)), HYPERLINK("#",""), HYPERLINK(CONCATENATE("#Metadata!", ADDRESS(INDEX($W$2:$W$1001,MATCH(ROWS($U$2:U478),$U$2:$U$1001,0),0), INDEX($AB$1004:$AQ$1004,1,MATCH(COLUMNS($AB$1006:AH1006),$AB$1006:$AQ$1006,0)))),"Fix")))</f>
        <v>0</v>
      </c>
      <c r="I478" s="5">
        <f>IF(OR(INDEX($V$2:$V$1001,MATCH(ROWS($U$2:U478),$U$2:$U$1001,0),1)&gt;=100000,INDEX($AB$1005:$AQ$1005,1,MATCH(COLUMNS($AB$1006:AI1006),$AB$1006:$AQ$1006,0))&gt;=100000), " ",IF(INDEX($AB$2:$AQ$1001,MATCH(ROWS($U$2:U478),$U$2:$U$1001,0),MATCH(COLUMNS($AB$1006:AI1006),$AB$1006:$AQ$1006,0)), HYPERLINK("#",""), HYPERLINK(CONCATENATE("#Metadata!", ADDRESS(INDEX($W$2:$W$1001,MATCH(ROWS($U$2:U478),$U$2:$U$1001,0),0), INDEX($AB$1004:$AQ$1004,1,MATCH(COLUMNS($AB$1006:AI1006),$AB$1006:$AQ$1006,0)))),"Fix")))</f>
        <v>0</v>
      </c>
      <c r="J478" s="5">
        <f>IF(OR(INDEX($V$2:$V$1001,MATCH(ROWS($U$2:U478),$U$2:$U$1001,0),1)&gt;=100000,INDEX($AB$1005:$AQ$1005,1,MATCH(COLUMNS($AB$1006:AJ1006),$AB$1006:$AQ$1006,0))&gt;=100000), " ",IF(INDEX($AB$2:$AQ$1001,MATCH(ROWS($U$2:U478),$U$2:$U$1001,0),MATCH(COLUMNS($AB$1006:AJ1006),$AB$1006:$AQ$1006,0)), HYPERLINK("#",""), HYPERLINK(CONCATENATE("#Metadata!", ADDRESS(INDEX($W$2:$W$1001,MATCH(ROWS($U$2:U478),$U$2:$U$1001,0),0), INDEX($AB$1004:$AQ$1004,1,MATCH(COLUMNS($AB$1006:AJ1006),$AB$1006:$AQ$1006,0)))),"Fix")))</f>
        <v>0</v>
      </c>
      <c r="K478" s="5">
        <f>IF(OR(INDEX($V$2:$V$1001,MATCH(ROWS($U$2:U478),$U$2:$U$1001,0),1)&gt;=100000,INDEX($AB$1005:$AQ$1005,1,MATCH(COLUMNS($AB$1006:AK1006),$AB$1006:$AQ$1006,0))&gt;=100000), " ",IF(INDEX($AB$2:$AQ$1001,MATCH(ROWS($U$2:U478),$U$2:$U$1001,0),MATCH(COLUMNS($AB$1006:AK1006),$AB$1006:$AQ$1006,0)), HYPERLINK("#",""), HYPERLINK(CONCATENATE("#Metadata!", ADDRESS(INDEX($W$2:$W$1001,MATCH(ROWS($U$2:U478),$U$2:$U$1001,0),0), INDEX($AB$1004:$AQ$1004,1,MATCH(COLUMNS($AB$1006:AK1006),$AB$1006:$AQ$1006,0)))),"Fix")))</f>
        <v>0</v>
      </c>
      <c r="L478" s="5">
        <f>IF(OR(INDEX($V$2:$V$1001,MATCH(ROWS($U$2:U478),$U$2:$U$1001,0),1)&gt;=100000,INDEX($AB$1005:$AQ$1005,1,MATCH(COLUMNS($AB$1006:AL1006),$AB$1006:$AQ$1006,0))&gt;=100000), " ",IF(INDEX($AB$2:$AQ$1001,MATCH(ROWS($U$2:U478),$U$2:$U$1001,0),MATCH(COLUMNS($AB$1006:AL1006),$AB$1006:$AQ$1006,0)), HYPERLINK("#",""), HYPERLINK(CONCATENATE("#Metadata!", ADDRESS(INDEX($W$2:$W$1001,MATCH(ROWS($U$2:U478),$U$2:$U$1001,0),0), INDEX($AB$1004:$AQ$1004,1,MATCH(COLUMNS($AB$1006:AL1006),$AB$1006:$AQ$1006,0)))),"Fix")))</f>
        <v>0</v>
      </c>
      <c r="M478" s="5">
        <f>IF(OR(INDEX($V$2:$V$1001,MATCH(ROWS($U$2:U478),$U$2:$U$1001,0),1)&gt;=100000,INDEX($AB$1005:$AQ$1005,1,MATCH(COLUMNS($AB$1006:AM1006),$AB$1006:$AQ$1006,0))&gt;=100000), " ",IF(INDEX($AB$2:$AQ$1001,MATCH(ROWS($U$2:U478),$U$2:$U$1001,0),MATCH(COLUMNS($AB$1006:AM1006),$AB$1006:$AQ$1006,0)), HYPERLINK("#",""), HYPERLINK(CONCATENATE("#Metadata!", ADDRESS(INDEX($W$2:$W$1001,MATCH(ROWS($U$2:U478),$U$2:$U$1001,0),0), INDEX($AB$1004:$AQ$1004,1,MATCH(COLUMNS($AB$1006:AM1006),$AB$1006:$AQ$1006,0)))),"Fix")))</f>
        <v>0</v>
      </c>
      <c r="N478" s="5">
        <f>IF(OR(INDEX($V$2:$V$1001,MATCH(ROWS($U$2:U478),$U$2:$U$1001,0),1)&gt;=100000,INDEX($AB$1005:$AQ$1005,1,MATCH(COLUMNS($AB$1006:AN1006),$AB$1006:$AQ$1006,0))&gt;=100000), " ",IF(INDEX($AB$2:$AQ$1001,MATCH(ROWS($U$2:U478),$U$2:$U$1001,0),MATCH(COLUMNS($AB$1006:AN1006),$AB$1006:$AQ$1006,0)), HYPERLINK("#",""), HYPERLINK(CONCATENATE("#Metadata!", ADDRESS(INDEX($W$2:$W$1001,MATCH(ROWS($U$2:U478),$U$2:$U$1001,0),0), INDEX($AB$1004:$AQ$1004,1,MATCH(COLUMNS($AB$1006:AN1006),$AB$1006:$AQ$1006,0)))),"Fix")))</f>
        <v>0</v>
      </c>
      <c r="O478" s="5">
        <f>IF(OR(INDEX($V$2:$V$1001,MATCH(ROWS($U$2:U478),$U$2:$U$1001,0),1)&gt;=100000,INDEX($AB$1005:$AQ$1005,1,MATCH(COLUMNS($AB$1006:AO1006),$AB$1006:$AQ$1006,0))&gt;=100000), " ",IF(INDEX($AB$2:$AQ$1001,MATCH(ROWS($U$2:U478),$U$2:$U$1001,0),MATCH(COLUMNS($AB$1006:AO1006),$AB$1006:$AQ$1006,0)), HYPERLINK("#",""), HYPERLINK(CONCATENATE("#Metadata!", ADDRESS(INDEX($W$2:$W$1001,MATCH(ROWS($U$2:U478),$U$2:$U$1001,0),0), INDEX($AB$1004:$AQ$1004,1,MATCH(COLUMNS($AB$1006:AO1006),$AB$1006:$AQ$1006,0)))),"Fix")))</f>
        <v>0</v>
      </c>
      <c r="P478" s="5">
        <f>IF(OR(INDEX($V$2:$V$1001,MATCH(ROWS($U$2:U478),$U$2:$U$1001,0),1)&gt;=100000,INDEX($AB$1005:$AQ$1005,1,MATCH(COLUMNS($AB$1006:AP1006),$AB$1006:$AQ$1006,0))&gt;=100000), " ",IF(INDEX($AB$2:$AQ$1001,MATCH(ROWS($U$2:U478),$U$2:$U$1001,0),MATCH(COLUMNS($AB$1006:AP1006),$AB$1006:$AQ$1006,0)), HYPERLINK("#",""), HYPERLINK(CONCATENATE("#Metadata!", ADDRESS(INDEX($W$2:$W$1001,MATCH(ROWS($U$2:U478),$U$2:$U$1001,0),0), INDEX($AB$1004:$AQ$1004,1,MATCH(COLUMNS($AB$1006:AP1006),$AB$1006:$AQ$1006,0)))),"Fix")))</f>
        <v>0</v>
      </c>
      <c r="Q478" s="5">
        <f>IF(OR(INDEX($V$2:$V$1001,MATCH(ROWS($U$2:U478),$U$2:$U$1001,0),1)&gt;=100000,INDEX($AB$1005:$AQ$1005,1,MATCH(COLUMNS($AB$1006:AQ1006),$AB$1006:$AQ$1006,0))&gt;=100000), " ",IF(INDEX($AB$2:$AQ$1001,MATCH(ROWS($U$2:U478),$U$2:$U$1001,0),MATCH(COLUMNS($AB$1006:AQ1006),$AB$1006:$AQ$1006,0)), HYPERLINK("#",""), HYPERLINK(CONCATENATE("#Metadata!", ADDRESS(INDEX($W$2:$W$1001,MATCH(ROWS($U$2:U478),$U$2:$U$1001,0),0), INDEX($AB$1004:$AQ$1004,1,MATCH(COLUMNS($AB$1006:AQ1006),$AB$1006:$AQ$1006,0)))),"Fix")))</f>
        <v>0</v>
      </c>
      <c r="U478">
        <v>0</v>
      </c>
      <c r="V478">
        <v>0</v>
      </c>
      <c r="W478">
        <v>0</v>
      </c>
      <c r="X478">
        <f>IF(Y478,TRUE,AND(AB478:AQ478))</f>
        <v>0</v>
      </c>
      <c r="Y478">
        <f>COUNTBLANK(Metadata!B478:Q478)=COLUMNS(Metadata!B478:Q478)</f>
        <v>0</v>
      </c>
      <c r="Z478">
        <v>0</v>
      </c>
      <c r="AB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AC478">
        <f>AND(IF(Metadata!C478="",FALSE,TRUE),exact(Metadata!C478,"urban biome"))</f>
        <v>0</v>
      </c>
      <c r="AD478">
        <f>AND(IF(Metadata!D478="",FALSE,TRUE),exact(Metadata!D478,"human-associated habitat"))</f>
        <v>0</v>
      </c>
      <c r="AE478">
        <f>AND(IF(Metadata!E478="",FALSE,TRUE),OR(exact(Metadata!E478,"human-associated"),exact(Metadata!E478,"human-skin"),exact(Metadata!E478,"human-oral"),exact(Metadata!E478,"human-gut"),exact(Metadata!E478,"human-vaginal")))</f>
        <v>0</v>
      </c>
      <c r="AF478">
        <f>AND(IF(Metadata!F478="",FALSE,ISNUMBER(VALUE(Metadata!F478))),Metadata!F478&gt;0)</f>
        <v>0</v>
      </c>
      <c r="AG478">
        <f>AND(IF(Metadata!G478="",FALSE,TRUE),exact(Metadata!G478,"years"))</f>
        <v>0</v>
      </c>
      <c r="AH478">
        <f>OR(AND(IF(Metadata!H478="",FALSE,TRUE),OR(exact(Metadata!H478,"not applicable"),exact(Metadata!H478,"not collected"),exact(Metadata!H478,"not provided"),exact(Metadata!H478,"restricted access"))),AND(IF(Metadata!H478="",FALSE,ISNUMBER(VALUE(Metadata!H478))),Metadata!H478&gt;0))</f>
        <v>0</v>
      </c>
      <c r="AI478">
        <f>AND(IF(Metadata!I478="",FALSE,TRUE),exact(Metadata!I478,"human"))</f>
        <v>0</v>
      </c>
      <c r="AJ478">
        <f>AND(IF(Metadata!J478="",FALSE,ISNUMBER(VALUE(Metadata!J478))),Metadata!J478&gt;0)</f>
        <v>0</v>
      </c>
      <c r="AK478">
        <f>AND(IF(Metadata!K478="",FALSE,TRUE),exact(Metadata!K478,"cm"))</f>
        <v>0</v>
      </c>
      <c r="AL478">
        <f>AND(IF(Metadata!L478="",FALSE,TRUE),exact(Metadata!L478,"Homo sapiens"))</f>
        <v>0</v>
      </c>
      <c r="AM478">
        <f>AND(IF(Metadata!M478="",FALSE,TRUE),exact(Metadata!M478,"9606"))</f>
        <v>0</v>
      </c>
      <c r="AN478">
        <f>AND(IF(Metadata!N478="",FALSE,ISNUMBER(VALUE(Metadata!N478))),Metadata!N478&gt;0)</f>
        <v>0</v>
      </c>
      <c r="AO478">
        <f>AND(IF(Metadata!O478="",FALSE,TRUE),exact(Metadata!O478,"kg"))</f>
        <v>0</v>
      </c>
      <c r="AP478">
        <f>OR(AND(IF(Metadata!P478="",FALSE,TRUE),exact(Metadata!P478,"not provided")),IF(Metadata!P478="",FALSE,TRUE))</f>
        <v>0</v>
      </c>
      <c r="AQ478">
        <f>OR(AND(IF(Metadata!Q478="",FALSE,TRUE),exact(Metadata!Q478,"not provided")),IF(Metadata!Q478="",FALSE,TRUE))</f>
        <v>0</v>
      </c>
    </row>
    <row r="479" spans="1:43">
      <c r="A479" s="4">
        <f>IF(B479=" "," ",HYPERLINK(CONCATENATE("#metadata!",ADDRESS(INDEX($W$2:$W$1001,MATCH(ROWS($U$2:U479),$U$2:$U$1001,0),0),2)),INDEX($Z$2:$Z$1001,MATCH(ROWS($U$2:U479),$U$2:$U$1001,0),0)))</f>
        <v>0</v>
      </c>
      <c r="B479" s="5">
        <f>IF(OR(INDEX($V$2:$V$1001,MATCH(ROWS($U$2:U479),$U$2:$U$1001,0),1)&gt;=100000,INDEX($AB$1005:$AQ$1005,1,MATCH(COLUMNS($AB$1006:AB1006),$AB$1006:$AQ$1006,0))&gt;=100000), " ",IF(INDEX($AB$2:$AQ$1001,MATCH(ROWS($U$2:U479),$U$2:$U$1001,0),MATCH(COLUMNS($AB$1006:AB1006),$AB$1006:$AQ$1006,0)), HYPERLINK("#",""), HYPERLINK(CONCATENATE("#Metadata!", ADDRESS(INDEX($W$2:$W$1001,MATCH(ROWS($U$2:U479),$U$2:$U$1001,0),0), INDEX($AB$1004:$AQ$1004,1,MATCH(COLUMNS($AB$1006:AB1006),$AB$1006:$AQ$1006,0)))),"Fix")))</f>
        <v>0</v>
      </c>
      <c r="C479" s="5">
        <f>IF(OR(INDEX($V$2:$V$1001,MATCH(ROWS($U$2:U479),$U$2:$U$1001,0),1)&gt;=100000,INDEX($AB$1005:$AQ$1005,1,MATCH(COLUMNS($AB$1006:AC1006),$AB$1006:$AQ$1006,0))&gt;=100000), " ",IF(INDEX($AB$2:$AQ$1001,MATCH(ROWS($U$2:U479),$U$2:$U$1001,0),MATCH(COLUMNS($AB$1006:AC1006),$AB$1006:$AQ$1006,0)), HYPERLINK("#",""), HYPERLINK(CONCATENATE("#Metadata!", ADDRESS(INDEX($W$2:$W$1001,MATCH(ROWS($U$2:U479),$U$2:$U$1001,0),0), INDEX($AB$1004:$AQ$1004,1,MATCH(COLUMNS($AB$1006:AC1006),$AB$1006:$AQ$1006,0)))),"Fix")))</f>
        <v>0</v>
      </c>
      <c r="D479" s="5">
        <f>IF(OR(INDEX($V$2:$V$1001,MATCH(ROWS($U$2:U479),$U$2:$U$1001,0),1)&gt;=100000,INDEX($AB$1005:$AQ$1005,1,MATCH(COLUMNS($AB$1006:AD1006),$AB$1006:$AQ$1006,0))&gt;=100000), " ",IF(INDEX($AB$2:$AQ$1001,MATCH(ROWS($U$2:U479),$U$2:$U$1001,0),MATCH(COLUMNS($AB$1006:AD1006),$AB$1006:$AQ$1006,0)), HYPERLINK("#",""), HYPERLINK(CONCATENATE("#Metadata!", ADDRESS(INDEX($W$2:$W$1001,MATCH(ROWS($U$2:U479),$U$2:$U$1001,0),0), INDEX($AB$1004:$AQ$1004,1,MATCH(COLUMNS($AB$1006:AD1006),$AB$1006:$AQ$1006,0)))),"Fix")))</f>
        <v>0</v>
      </c>
      <c r="E479" s="5">
        <f>IF(OR(INDEX($V$2:$V$1001,MATCH(ROWS($U$2:U479),$U$2:$U$1001,0),1)&gt;=100000,INDEX($AB$1005:$AQ$1005,1,MATCH(COLUMNS($AB$1006:AE1006),$AB$1006:$AQ$1006,0))&gt;=100000), " ",IF(INDEX($AB$2:$AQ$1001,MATCH(ROWS($U$2:U479),$U$2:$U$1001,0),MATCH(COLUMNS($AB$1006:AE1006),$AB$1006:$AQ$1006,0)), HYPERLINK("#",""), HYPERLINK(CONCATENATE("#Metadata!", ADDRESS(INDEX($W$2:$W$1001,MATCH(ROWS($U$2:U479),$U$2:$U$1001,0),0), INDEX($AB$1004:$AQ$1004,1,MATCH(COLUMNS($AB$1006:AE1006),$AB$1006:$AQ$1006,0)))),"Fix")))</f>
        <v>0</v>
      </c>
      <c r="F479" s="5">
        <f>IF(OR(INDEX($V$2:$V$1001,MATCH(ROWS($U$2:U479),$U$2:$U$1001,0),1)&gt;=100000,INDEX($AB$1005:$AQ$1005,1,MATCH(COLUMNS($AB$1006:AF1006),$AB$1006:$AQ$1006,0))&gt;=100000), " ",IF(INDEX($AB$2:$AQ$1001,MATCH(ROWS($U$2:U479),$U$2:$U$1001,0),MATCH(COLUMNS($AB$1006:AF1006),$AB$1006:$AQ$1006,0)), HYPERLINK("#",""), HYPERLINK(CONCATENATE("#Metadata!", ADDRESS(INDEX($W$2:$W$1001,MATCH(ROWS($U$2:U479),$U$2:$U$1001,0),0), INDEX($AB$1004:$AQ$1004,1,MATCH(COLUMNS($AB$1006:AF1006),$AB$1006:$AQ$1006,0)))),"Fix")))</f>
        <v>0</v>
      </c>
      <c r="G479" s="5">
        <f>IF(OR(INDEX($V$2:$V$1001,MATCH(ROWS($U$2:U479),$U$2:$U$1001,0),1)&gt;=100000,INDEX($AB$1005:$AQ$1005,1,MATCH(COLUMNS($AB$1006:AG1006),$AB$1006:$AQ$1006,0))&gt;=100000), " ",IF(INDEX($AB$2:$AQ$1001,MATCH(ROWS($U$2:U479),$U$2:$U$1001,0),MATCH(COLUMNS($AB$1006:AG1006),$AB$1006:$AQ$1006,0)), HYPERLINK("#",""), HYPERLINK(CONCATENATE("#Metadata!", ADDRESS(INDEX($W$2:$W$1001,MATCH(ROWS($U$2:U479),$U$2:$U$1001,0),0), INDEX($AB$1004:$AQ$1004,1,MATCH(COLUMNS($AB$1006:AG1006),$AB$1006:$AQ$1006,0)))),"Fix")))</f>
        <v>0</v>
      </c>
      <c r="H479" s="5">
        <f>IF(OR(INDEX($V$2:$V$1001,MATCH(ROWS($U$2:U479),$U$2:$U$1001,0),1)&gt;=100000,INDEX($AB$1005:$AQ$1005,1,MATCH(COLUMNS($AB$1006:AH1006),$AB$1006:$AQ$1006,0))&gt;=100000), " ",IF(INDEX($AB$2:$AQ$1001,MATCH(ROWS($U$2:U479),$U$2:$U$1001,0),MATCH(COLUMNS($AB$1006:AH1006),$AB$1006:$AQ$1006,0)), HYPERLINK("#",""), HYPERLINK(CONCATENATE("#Metadata!", ADDRESS(INDEX($W$2:$W$1001,MATCH(ROWS($U$2:U479),$U$2:$U$1001,0),0), INDEX($AB$1004:$AQ$1004,1,MATCH(COLUMNS($AB$1006:AH1006),$AB$1006:$AQ$1006,0)))),"Fix")))</f>
        <v>0</v>
      </c>
      <c r="I479" s="5">
        <f>IF(OR(INDEX($V$2:$V$1001,MATCH(ROWS($U$2:U479),$U$2:$U$1001,0),1)&gt;=100000,INDEX($AB$1005:$AQ$1005,1,MATCH(COLUMNS($AB$1006:AI1006),$AB$1006:$AQ$1006,0))&gt;=100000), " ",IF(INDEX($AB$2:$AQ$1001,MATCH(ROWS($U$2:U479),$U$2:$U$1001,0),MATCH(COLUMNS($AB$1006:AI1006),$AB$1006:$AQ$1006,0)), HYPERLINK("#",""), HYPERLINK(CONCATENATE("#Metadata!", ADDRESS(INDEX($W$2:$W$1001,MATCH(ROWS($U$2:U479),$U$2:$U$1001,0),0), INDEX($AB$1004:$AQ$1004,1,MATCH(COLUMNS($AB$1006:AI1006),$AB$1006:$AQ$1006,0)))),"Fix")))</f>
        <v>0</v>
      </c>
      <c r="J479" s="5">
        <f>IF(OR(INDEX($V$2:$V$1001,MATCH(ROWS($U$2:U479),$U$2:$U$1001,0),1)&gt;=100000,INDEX($AB$1005:$AQ$1005,1,MATCH(COLUMNS($AB$1006:AJ1006),$AB$1006:$AQ$1006,0))&gt;=100000), " ",IF(INDEX($AB$2:$AQ$1001,MATCH(ROWS($U$2:U479),$U$2:$U$1001,0),MATCH(COLUMNS($AB$1006:AJ1006),$AB$1006:$AQ$1006,0)), HYPERLINK("#",""), HYPERLINK(CONCATENATE("#Metadata!", ADDRESS(INDEX($W$2:$W$1001,MATCH(ROWS($U$2:U479),$U$2:$U$1001,0),0), INDEX($AB$1004:$AQ$1004,1,MATCH(COLUMNS($AB$1006:AJ1006),$AB$1006:$AQ$1006,0)))),"Fix")))</f>
        <v>0</v>
      </c>
      <c r="K479" s="5">
        <f>IF(OR(INDEX($V$2:$V$1001,MATCH(ROWS($U$2:U479),$U$2:$U$1001,0),1)&gt;=100000,INDEX($AB$1005:$AQ$1005,1,MATCH(COLUMNS($AB$1006:AK1006),$AB$1006:$AQ$1006,0))&gt;=100000), " ",IF(INDEX($AB$2:$AQ$1001,MATCH(ROWS($U$2:U479),$U$2:$U$1001,0),MATCH(COLUMNS($AB$1006:AK1006),$AB$1006:$AQ$1006,0)), HYPERLINK("#",""), HYPERLINK(CONCATENATE("#Metadata!", ADDRESS(INDEX($W$2:$W$1001,MATCH(ROWS($U$2:U479),$U$2:$U$1001,0),0), INDEX($AB$1004:$AQ$1004,1,MATCH(COLUMNS($AB$1006:AK1006),$AB$1006:$AQ$1006,0)))),"Fix")))</f>
        <v>0</v>
      </c>
      <c r="L479" s="5">
        <f>IF(OR(INDEX($V$2:$V$1001,MATCH(ROWS($U$2:U479),$U$2:$U$1001,0),1)&gt;=100000,INDEX($AB$1005:$AQ$1005,1,MATCH(COLUMNS($AB$1006:AL1006),$AB$1006:$AQ$1006,0))&gt;=100000), " ",IF(INDEX($AB$2:$AQ$1001,MATCH(ROWS($U$2:U479),$U$2:$U$1001,0),MATCH(COLUMNS($AB$1006:AL1006),$AB$1006:$AQ$1006,0)), HYPERLINK("#",""), HYPERLINK(CONCATENATE("#Metadata!", ADDRESS(INDEX($W$2:$W$1001,MATCH(ROWS($U$2:U479),$U$2:$U$1001,0),0), INDEX($AB$1004:$AQ$1004,1,MATCH(COLUMNS($AB$1006:AL1006),$AB$1006:$AQ$1006,0)))),"Fix")))</f>
        <v>0</v>
      </c>
      <c r="M479" s="5">
        <f>IF(OR(INDEX($V$2:$V$1001,MATCH(ROWS($U$2:U479),$U$2:$U$1001,0),1)&gt;=100000,INDEX($AB$1005:$AQ$1005,1,MATCH(COLUMNS($AB$1006:AM1006),$AB$1006:$AQ$1006,0))&gt;=100000), " ",IF(INDEX($AB$2:$AQ$1001,MATCH(ROWS($U$2:U479),$U$2:$U$1001,0),MATCH(COLUMNS($AB$1006:AM1006),$AB$1006:$AQ$1006,0)), HYPERLINK("#",""), HYPERLINK(CONCATENATE("#Metadata!", ADDRESS(INDEX($W$2:$W$1001,MATCH(ROWS($U$2:U479),$U$2:$U$1001,0),0), INDEX($AB$1004:$AQ$1004,1,MATCH(COLUMNS($AB$1006:AM1006),$AB$1006:$AQ$1006,0)))),"Fix")))</f>
        <v>0</v>
      </c>
      <c r="N479" s="5">
        <f>IF(OR(INDEX($V$2:$V$1001,MATCH(ROWS($U$2:U479),$U$2:$U$1001,0),1)&gt;=100000,INDEX($AB$1005:$AQ$1005,1,MATCH(COLUMNS($AB$1006:AN1006),$AB$1006:$AQ$1006,0))&gt;=100000), " ",IF(INDEX($AB$2:$AQ$1001,MATCH(ROWS($U$2:U479),$U$2:$U$1001,0),MATCH(COLUMNS($AB$1006:AN1006),$AB$1006:$AQ$1006,0)), HYPERLINK("#",""), HYPERLINK(CONCATENATE("#Metadata!", ADDRESS(INDEX($W$2:$W$1001,MATCH(ROWS($U$2:U479),$U$2:$U$1001,0),0), INDEX($AB$1004:$AQ$1004,1,MATCH(COLUMNS($AB$1006:AN1006),$AB$1006:$AQ$1006,0)))),"Fix")))</f>
        <v>0</v>
      </c>
      <c r="O479" s="5">
        <f>IF(OR(INDEX($V$2:$V$1001,MATCH(ROWS($U$2:U479),$U$2:$U$1001,0),1)&gt;=100000,INDEX($AB$1005:$AQ$1005,1,MATCH(COLUMNS($AB$1006:AO1006),$AB$1006:$AQ$1006,0))&gt;=100000), " ",IF(INDEX($AB$2:$AQ$1001,MATCH(ROWS($U$2:U479),$U$2:$U$1001,0),MATCH(COLUMNS($AB$1006:AO1006),$AB$1006:$AQ$1006,0)), HYPERLINK("#",""), HYPERLINK(CONCATENATE("#Metadata!", ADDRESS(INDEX($W$2:$W$1001,MATCH(ROWS($U$2:U479),$U$2:$U$1001,0),0), INDEX($AB$1004:$AQ$1004,1,MATCH(COLUMNS($AB$1006:AO1006),$AB$1006:$AQ$1006,0)))),"Fix")))</f>
        <v>0</v>
      </c>
      <c r="P479" s="5">
        <f>IF(OR(INDEX($V$2:$V$1001,MATCH(ROWS($U$2:U479),$U$2:$U$1001,0),1)&gt;=100000,INDEX($AB$1005:$AQ$1005,1,MATCH(COLUMNS($AB$1006:AP1006),$AB$1006:$AQ$1006,0))&gt;=100000), " ",IF(INDEX($AB$2:$AQ$1001,MATCH(ROWS($U$2:U479),$U$2:$U$1001,0),MATCH(COLUMNS($AB$1006:AP1006),$AB$1006:$AQ$1006,0)), HYPERLINK("#",""), HYPERLINK(CONCATENATE("#Metadata!", ADDRESS(INDEX($W$2:$W$1001,MATCH(ROWS($U$2:U479),$U$2:$U$1001,0),0), INDEX($AB$1004:$AQ$1004,1,MATCH(COLUMNS($AB$1006:AP1006),$AB$1006:$AQ$1006,0)))),"Fix")))</f>
        <v>0</v>
      </c>
      <c r="Q479" s="5">
        <f>IF(OR(INDEX($V$2:$V$1001,MATCH(ROWS($U$2:U479),$U$2:$U$1001,0),1)&gt;=100000,INDEX($AB$1005:$AQ$1005,1,MATCH(COLUMNS($AB$1006:AQ1006),$AB$1006:$AQ$1006,0))&gt;=100000), " ",IF(INDEX($AB$2:$AQ$1001,MATCH(ROWS($U$2:U479),$U$2:$U$1001,0),MATCH(COLUMNS($AB$1006:AQ1006),$AB$1006:$AQ$1006,0)), HYPERLINK("#",""), HYPERLINK(CONCATENATE("#Metadata!", ADDRESS(INDEX($W$2:$W$1001,MATCH(ROWS($U$2:U479),$U$2:$U$1001,0),0), INDEX($AB$1004:$AQ$1004,1,MATCH(COLUMNS($AB$1006:AQ1006),$AB$1006:$AQ$1006,0)))),"Fix")))</f>
        <v>0</v>
      </c>
      <c r="U479">
        <v>0</v>
      </c>
      <c r="V479">
        <v>0</v>
      </c>
      <c r="W479">
        <v>0</v>
      </c>
      <c r="X479">
        <f>IF(Y479,TRUE,AND(AB479:AQ479))</f>
        <v>0</v>
      </c>
      <c r="Y479">
        <f>COUNTBLANK(Metadata!B479:Q479)=COLUMNS(Metadata!B479:Q479)</f>
        <v>0</v>
      </c>
      <c r="Z479">
        <v>0</v>
      </c>
      <c r="AB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AC479">
        <f>AND(IF(Metadata!C479="",FALSE,TRUE),exact(Metadata!C479,"urban biome"))</f>
        <v>0</v>
      </c>
      <c r="AD479">
        <f>AND(IF(Metadata!D479="",FALSE,TRUE),exact(Metadata!D479,"human-associated habitat"))</f>
        <v>0</v>
      </c>
      <c r="AE479">
        <f>AND(IF(Metadata!E479="",FALSE,TRUE),OR(exact(Metadata!E479,"human-associated"),exact(Metadata!E479,"human-skin"),exact(Metadata!E479,"human-oral"),exact(Metadata!E479,"human-gut"),exact(Metadata!E479,"human-vaginal")))</f>
        <v>0</v>
      </c>
      <c r="AF479">
        <f>AND(IF(Metadata!F479="",FALSE,ISNUMBER(VALUE(Metadata!F479))),Metadata!F479&gt;0)</f>
        <v>0</v>
      </c>
      <c r="AG479">
        <f>AND(IF(Metadata!G479="",FALSE,TRUE),exact(Metadata!G479,"years"))</f>
        <v>0</v>
      </c>
      <c r="AH479">
        <f>OR(AND(IF(Metadata!H479="",FALSE,TRUE),OR(exact(Metadata!H479,"not applicable"),exact(Metadata!H479,"not collected"),exact(Metadata!H479,"not provided"),exact(Metadata!H479,"restricted access"))),AND(IF(Metadata!H479="",FALSE,ISNUMBER(VALUE(Metadata!H479))),Metadata!H479&gt;0))</f>
        <v>0</v>
      </c>
      <c r="AI479">
        <f>AND(IF(Metadata!I479="",FALSE,TRUE),exact(Metadata!I479,"human"))</f>
        <v>0</v>
      </c>
      <c r="AJ479">
        <f>AND(IF(Metadata!J479="",FALSE,ISNUMBER(VALUE(Metadata!J479))),Metadata!J479&gt;0)</f>
        <v>0</v>
      </c>
      <c r="AK479">
        <f>AND(IF(Metadata!K479="",FALSE,TRUE),exact(Metadata!K479,"cm"))</f>
        <v>0</v>
      </c>
      <c r="AL479">
        <f>AND(IF(Metadata!L479="",FALSE,TRUE),exact(Metadata!L479,"Homo sapiens"))</f>
        <v>0</v>
      </c>
      <c r="AM479">
        <f>AND(IF(Metadata!M479="",FALSE,TRUE),exact(Metadata!M479,"9606"))</f>
        <v>0</v>
      </c>
      <c r="AN479">
        <f>AND(IF(Metadata!N479="",FALSE,ISNUMBER(VALUE(Metadata!N479))),Metadata!N479&gt;0)</f>
        <v>0</v>
      </c>
      <c r="AO479">
        <f>AND(IF(Metadata!O479="",FALSE,TRUE),exact(Metadata!O479,"kg"))</f>
        <v>0</v>
      </c>
      <c r="AP479">
        <f>OR(AND(IF(Metadata!P479="",FALSE,TRUE),exact(Metadata!P479,"not provided")),IF(Metadata!P479="",FALSE,TRUE))</f>
        <v>0</v>
      </c>
      <c r="AQ479">
        <f>OR(AND(IF(Metadata!Q479="",FALSE,TRUE),exact(Metadata!Q479,"not provided")),IF(Metadata!Q479="",FALSE,TRUE))</f>
        <v>0</v>
      </c>
    </row>
    <row r="480" spans="1:43">
      <c r="A480" s="4">
        <f>IF(B480=" "," ",HYPERLINK(CONCATENATE("#metadata!",ADDRESS(INDEX($W$2:$W$1001,MATCH(ROWS($U$2:U480),$U$2:$U$1001,0),0),2)),INDEX($Z$2:$Z$1001,MATCH(ROWS($U$2:U480),$U$2:$U$1001,0),0)))</f>
        <v>0</v>
      </c>
      <c r="B480" s="5">
        <f>IF(OR(INDEX($V$2:$V$1001,MATCH(ROWS($U$2:U480),$U$2:$U$1001,0),1)&gt;=100000,INDEX($AB$1005:$AQ$1005,1,MATCH(COLUMNS($AB$1006:AB1006),$AB$1006:$AQ$1006,0))&gt;=100000), " ",IF(INDEX($AB$2:$AQ$1001,MATCH(ROWS($U$2:U480),$U$2:$U$1001,0),MATCH(COLUMNS($AB$1006:AB1006),$AB$1006:$AQ$1006,0)), HYPERLINK("#",""), HYPERLINK(CONCATENATE("#Metadata!", ADDRESS(INDEX($W$2:$W$1001,MATCH(ROWS($U$2:U480),$U$2:$U$1001,0),0), INDEX($AB$1004:$AQ$1004,1,MATCH(COLUMNS($AB$1006:AB1006),$AB$1006:$AQ$1006,0)))),"Fix")))</f>
        <v>0</v>
      </c>
      <c r="C480" s="5">
        <f>IF(OR(INDEX($V$2:$V$1001,MATCH(ROWS($U$2:U480),$U$2:$U$1001,0),1)&gt;=100000,INDEX($AB$1005:$AQ$1005,1,MATCH(COLUMNS($AB$1006:AC1006),$AB$1006:$AQ$1006,0))&gt;=100000), " ",IF(INDEX($AB$2:$AQ$1001,MATCH(ROWS($U$2:U480),$U$2:$U$1001,0),MATCH(COLUMNS($AB$1006:AC1006),$AB$1006:$AQ$1006,0)), HYPERLINK("#",""), HYPERLINK(CONCATENATE("#Metadata!", ADDRESS(INDEX($W$2:$W$1001,MATCH(ROWS($U$2:U480),$U$2:$U$1001,0),0), INDEX($AB$1004:$AQ$1004,1,MATCH(COLUMNS($AB$1006:AC1006),$AB$1006:$AQ$1006,0)))),"Fix")))</f>
        <v>0</v>
      </c>
      <c r="D480" s="5">
        <f>IF(OR(INDEX($V$2:$V$1001,MATCH(ROWS($U$2:U480),$U$2:$U$1001,0),1)&gt;=100000,INDEX($AB$1005:$AQ$1005,1,MATCH(COLUMNS($AB$1006:AD1006),$AB$1006:$AQ$1006,0))&gt;=100000), " ",IF(INDEX($AB$2:$AQ$1001,MATCH(ROWS($U$2:U480),$U$2:$U$1001,0),MATCH(COLUMNS($AB$1006:AD1006),$AB$1006:$AQ$1006,0)), HYPERLINK("#",""), HYPERLINK(CONCATENATE("#Metadata!", ADDRESS(INDEX($W$2:$W$1001,MATCH(ROWS($U$2:U480),$U$2:$U$1001,0),0), INDEX($AB$1004:$AQ$1004,1,MATCH(COLUMNS($AB$1006:AD1006),$AB$1006:$AQ$1006,0)))),"Fix")))</f>
        <v>0</v>
      </c>
      <c r="E480" s="5">
        <f>IF(OR(INDEX($V$2:$V$1001,MATCH(ROWS($U$2:U480),$U$2:$U$1001,0),1)&gt;=100000,INDEX($AB$1005:$AQ$1005,1,MATCH(COLUMNS($AB$1006:AE1006),$AB$1006:$AQ$1006,0))&gt;=100000), " ",IF(INDEX($AB$2:$AQ$1001,MATCH(ROWS($U$2:U480),$U$2:$U$1001,0),MATCH(COLUMNS($AB$1006:AE1006),$AB$1006:$AQ$1006,0)), HYPERLINK("#",""), HYPERLINK(CONCATENATE("#Metadata!", ADDRESS(INDEX($W$2:$W$1001,MATCH(ROWS($U$2:U480),$U$2:$U$1001,0),0), INDEX($AB$1004:$AQ$1004,1,MATCH(COLUMNS($AB$1006:AE1006),$AB$1006:$AQ$1006,0)))),"Fix")))</f>
        <v>0</v>
      </c>
      <c r="F480" s="5">
        <f>IF(OR(INDEX($V$2:$V$1001,MATCH(ROWS($U$2:U480),$U$2:$U$1001,0),1)&gt;=100000,INDEX($AB$1005:$AQ$1005,1,MATCH(COLUMNS($AB$1006:AF1006),$AB$1006:$AQ$1006,0))&gt;=100000), " ",IF(INDEX($AB$2:$AQ$1001,MATCH(ROWS($U$2:U480),$U$2:$U$1001,0),MATCH(COLUMNS($AB$1006:AF1006),$AB$1006:$AQ$1006,0)), HYPERLINK("#",""), HYPERLINK(CONCATENATE("#Metadata!", ADDRESS(INDEX($W$2:$W$1001,MATCH(ROWS($U$2:U480),$U$2:$U$1001,0),0), INDEX($AB$1004:$AQ$1004,1,MATCH(COLUMNS($AB$1006:AF1006),$AB$1006:$AQ$1006,0)))),"Fix")))</f>
        <v>0</v>
      </c>
      <c r="G480" s="5">
        <f>IF(OR(INDEX($V$2:$V$1001,MATCH(ROWS($U$2:U480),$U$2:$U$1001,0),1)&gt;=100000,INDEX($AB$1005:$AQ$1005,1,MATCH(COLUMNS($AB$1006:AG1006),$AB$1006:$AQ$1006,0))&gt;=100000), " ",IF(INDEX($AB$2:$AQ$1001,MATCH(ROWS($U$2:U480),$U$2:$U$1001,0),MATCH(COLUMNS($AB$1006:AG1006),$AB$1006:$AQ$1006,0)), HYPERLINK("#",""), HYPERLINK(CONCATENATE("#Metadata!", ADDRESS(INDEX($W$2:$W$1001,MATCH(ROWS($U$2:U480),$U$2:$U$1001,0),0), INDEX($AB$1004:$AQ$1004,1,MATCH(COLUMNS($AB$1006:AG1006),$AB$1006:$AQ$1006,0)))),"Fix")))</f>
        <v>0</v>
      </c>
      <c r="H480" s="5">
        <f>IF(OR(INDEX($V$2:$V$1001,MATCH(ROWS($U$2:U480),$U$2:$U$1001,0),1)&gt;=100000,INDEX($AB$1005:$AQ$1005,1,MATCH(COLUMNS($AB$1006:AH1006),$AB$1006:$AQ$1006,0))&gt;=100000), " ",IF(INDEX($AB$2:$AQ$1001,MATCH(ROWS($U$2:U480),$U$2:$U$1001,0),MATCH(COLUMNS($AB$1006:AH1006),$AB$1006:$AQ$1006,0)), HYPERLINK("#",""), HYPERLINK(CONCATENATE("#Metadata!", ADDRESS(INDEX($W$2:$W$1001,MATCH(ROWS($U$2:U480),$U$2:$U$1001,0),0), INDEX($AB$1004:$AQ$1004,1,MATCH(COLUMNS($AB$1006:AH1006),$AB$1006:$AQ$1006,0)))),"Fix")))</f>
        <v>0</v>
      </c>
      <c r="I480" s="5">
        <f>IF(OR(INDEX($V$2:$V$1001,MATCH(ROWS($U$2:U480),$U$2:$U$1001,0),1)&gt;=100000,INDEX($AB$1005:$AQ$1005,1,MATCH(COLUMNS($AB$1006:AI1006),$AB$1006:$AQ$1006,0))&gt;=100000), " ",IF(INDEX($AB$2:$AQ$1001,MATCH(ROWS($U$2:U480),$U$2:$U$1001,0),MATCH(COLUMNS($AB$1006:AI1006),$AB$1006:$AQ$1006,0)), HYPERLINK("#",""), HYPERLINK(CONCATENATE("#Metadata!", ADDRESS(INDEX($W$2:$W$1001,MATCH(ROWS($U$2:U480),$U$2:$U$1001,0),0), INDEX($AB$1004:$AQ$1004,1,MATCH(COLUMNS($AB$1006:AI1006),$AB$1006:$AQ$1006,0)))),"Fix")))</f>
        <v>0</v>
      </c>
      <c r="J480" s="5">
        <f>IF(OR(INDEX($V$2:$V$1001,MATCH(ROWS($U$2:U480),$U$2:$U$1001,0),1)&gt;=100000,INDEX($AB$1005:$AQ$1005,1,MATCH(COLUMNS($AB$1006:AJ1006),$AB$1006:$AQ$1006,0))&gt;=100000), " ",IF(INDEX($AB$2:$AQ$1001,MATCH(ROWS($U$2:U480),$U$2:$U$1001,0),MATCH(COLUMNS($AB$1006:AJ1006),$AB$1006:$AQ$1006,0)), HYPERLINK("#",""), HYPERLINK(CONCATENATE("#Metadata!", ADDRESS(INDEX($W$2:$W$1001,MATCH(ROWS($U$2:U480),$U$2:$U$1001,0),0), INDEX($AB$1004:$AQ$1004,1,MATCH(COLUMNS($AB$1006:AJ1006),$AB$1006:$AQ$1006,0)))),"Fix")))</f>
        <v>0</v>
      </c>
      <c r="K480" s="5">
        <f>IF(OR(INDEX($V$2:$V$1001,MATCH(ROWS($U$2:U480),$U$2:$U$1001,0),1)&gt;=100000,INDEX($AB$1005:$AQ$1005,1,MATCH(COLUMNS($AB$1006:AK1006),$AB$1006:$AQ$1006,0))&gt;=100000), " ",IF(INDEX($AB$2:$AQ$1001,MATCH(ROWS($U$2:U480),$U$2:$U$1001,0),MATCH(COLUMNS($AB$1006:AK1006),$AB$1006:$AQ$1006,0)), HYPERLINK("#",""), HYPERLINK(CONCATENATE("#Metadata!", ADDRESS(INDEX($W$2:$W$1001,MATCH(ROWS($U$2:U480),$U$2:$U$1001,0),0), INDEX($AB$1004:$AQ$1004,1,MATCH(COLUMNS($AB$1006:AK1006),$AB$1006:$AQ$1006,0)))),"Fix")))</f>
        <v>0</v>
      </c>
      <c r="L480" s="5">
        <f>IF(OR(INDEX($V$2:$V$1001,MATCH(ROWS($U$2:U480),$U$2:$U$1001,0),1)&gt;=100000,INDEX($AB$1005:$AQ$1005,1,MATCH(COLUMNS($AB$1006:AL1006),$AB$1006:$AQ$1006,0))&gt;=100000), " ",IF(INDEX($AB$2:$AQ$1001,MATCH(ROWS($U$2:U480),$U$2:$U$1001,0),MATCH(COLUMNS($AB$1006:AL1006),$AB$1006:$AQ$1006,0)), HYPERLINK("#",""), HYPERLINK(CONCATENATE("#Metadata!", ADDRESS(INDEX($W$2:$W$1001,MATCH(ROWS($U$2:U480),$U$2:$U$1001,0),0), INDEX($AB$1004:$AQ$1004,1,MATCH(COLUMNS($AB$1006:AL1006),$AB$1006:$AQ$1006,0)))),"Fix")))</f>
        <v>0</v>
      </c>
      <c r="M480" s="5">
        <f>IF(OR(INDEX($V$2:$V$1001,MATCH(ROWS($U$2:U480),$U$2:$U$1001,0),1)&gt;=100000,INDEX($AB$1005:$AQ$1005,1,MATCH(COLUMNS($AB$1006:AM1006),$AB$1006:$AQ$1006,0))&gt;=100000), " ",IF(INDEX($AB$2:$AQ$1001,MATCH(ROWS($U$2:U480),$U$2:$U$1001,0),MATCH(COLUMNS($AB$1006:AM1006),$AB$1006:$AQ$1006,0)), HYPERLINK("#",""), HYPERLINK(CONCATENATE("#Metadata!", ADDRESS(INDEX($W$2:$W$1001,MATCH(ROWS($U$2:U480),$U$2:$U$1001,0),0), INDEX($AB$1004:$AQ$1004,1,MATCH(COLUMNS($AB$1006:AM1006),$AB$1006:$AQ$1006,0)))),"Fix")))</f>
        <v>0</v>
      </c>
      <c r="N480" s="5">
        <f>IF(OR(INDEX($V$2:$V$1001,MATCH(ROWS($U$2:U480),$U$2:$U$1001,0),1)&gt;=100000,INDEX($AB$1005:$AQ$1005,1,MATCH(COLUMNS($AB$1006:AN1006),$AB$1006:$AQ$1006,0))&gt;=100000), " ",IF(INDEX($AB$2:$AQ$1001,MATCH(ROWS($U$2:U480),$U$2:$U$1001,0),MATCH(COLUMNS($AB$1006:AN1006),$AB$1006:$AQ$1006,0)), HYPERLINK("#",""), HYPERLINK(CONCATENATE("#Metadata!", ADDRESS(INDEX($W$2:$W$1001,MATCH(ROWS($U$2:U480),$U$2:$U$1001,0),0), INDEX($AB$1004:$AQ$1004,1,MATCH(COLUMNS($AB$1006:AN1006),$AB$1006:$AQ$1006,0)))),"Fix")))</f>
        <v>0</v>
      </c>
      <c r="O480" s="5">
        <f>IF(OR(INDEX($V$2:$V$1001,MATCH(ROWS($U$2:U480),$U$2:$U$1001,0),1)&gt;=100000,INDEX($AB$1005:$AQ$1005,1,MATCH(COLUMNS($AB$1006:AO1006),$AB$1006:$AQ$1006,0))&gt;=100000), " ",IF(INDEX($AB$2:$AQ$1001,MATCH(ROWS($U$2:U480),$U$2:$U$1001,0),MATCH(COLUMNS($AB$1006:AO1006),$AB$1006:$AQ$1006,0)), HYPERLINK("#",""), HYPERLINK(CONCATENATE("#Metadata!", ADDRESS(INDEX($W$2:$W$1001,MATCH(ROWS($U$2:U480),$U$2:$U$1001,0),0), INDEX($AB$1004:$AQ$1004,1,MATCH(COLUMNS($AB$1006:AO1006),$AB$1006:$AQ$1006,0)))),"Fix")))</f>
        <v>0</v>
      </c>
      <c r="P480" s="5">
        <f>IF(OR(INDEX($V$2:$V$1001,MATCH(ROWS($U$2:U480),$U$2:$U$1001,0),1)&gt;=100000,INDEX($AB$1005:$AQ$1005,1,MATCH(COLUMNS($AB$1006:AP1006),$AB$1006:$AQ$1006,0))&gt;=100000), " ",IF(INDEX($AB$2:$AQ$1001,MATCH(ROWS($U$2:U480),$U$2:$U$1001,0),MATCH(COLUMNS($AB$1006:AP1006),$AB$1006:$AQ$1006,0)), HYPERLINK("#",""), HYPERLINK(CONCATENATE("#Metadata!", ADDRESS(INDEX($W$2:$W$1001,MATCH(ROWS($U$2:U480),$U$2:$U$1001,0),0), INDEX($AB$1004:$AQ$1004,1,MATCH(COLUMNS($AB$1006:AP1006),$AB$1006:$AQ$1006,0)))),"Fix")))</f>
        <v>0</v>
      </c>
      <c r="Q480" s="5">
        <f>IF(OR(INDEX($V$2:$V$1001,MATCH(ROWS($U$2:U480),$U$2:$U$1001,0),1)&gt;=100000,INDEX($AB$1005:$AQ$1005,1,MATCH(COLUMNS($AB$1006:AQ1006),$AB$1006:$AQ$1006,0))&gt;=100000), " ",IF(INDEX($AB$2:$AQ$1001,MATCH(ROWS($U$2:U480),$U$2:$U$1001,0),MATCH(COLUMNS($AB$1006:AQ1006),$AB$1006:$AQ$1006,0)), HYPERLINK("#",""), HYPERLINK(CONCATENATE("#Metadata!", ADDRESS(INDEX($W$2:$W$1001,MATCH(ROWS($U$2:U480),$U$2:$U$1001,0),0), INDEX($AB$1004:$AQ$1004,1,MATCH(COLUMNS($AB$1006:AQ1006),$AB$1006:$AQ$1006,0)))),"Fix")))</f>
        <v>0</v>
      </c>
      <c r="U480">
        <v>0</v>
      </c>
      <c r="V480">
        <v>0</v>
      </c>
      <c r="W480">
        <v>0</v>
      </c>
      <c r="X480">
        <f>IF(Y480,TRUE,AND(AB480:AQ480))</f>
        <v>0</v>
      </c>
      <c r="Y480">
        <f>COUNTBLANK(Metadata!B480:Q480)=COLUMNS(Metadata!B480:Q480)</f>
        <v>0</v>
      </c>
      <c r="Z480">
        <v>0</v>
      </c>
      <c r="AB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AC480">
        <f>AND(IF(Metadata!C480="",FALSE,TRUE),exact(Metadata!C480,"urban biome"))</f>
        <v>0</v>
      </c>
      <c r="AD480">
        <f>AND(IF(Metadata!D480="",FALSE,TRUE),exact(Metadata!D480,"human-associated habitat"))</f>
        <v>0</v>
      </c>
      <c r="AE480">
        <f>AND(IF(Metadata!E480="",FALSE,TRUE),OR(exact(Metadata!E480,"human-associated"),exact(Metadata!E480,"human-skin"),exact(Metadata!E480,"human-oral"),exact(Metadata!E480,"human-gut"),exact(Metadata!E480,"human-vaginal")))</f>
        <v>0</v>
      </c>
      <c r="AF480">
        <f>AND(IF(Metadata!F480="",FALSE,ISNUMBER(VALUE(Metadata!F480))),Metadata!F480&gt;0)</f>
        <v>0</v>
      </c>
      <c r="AG480">
        <f>AND(IF(Metadata!G480="",FALSE,TRUE),exact(Metadata!G480,"years"))</f>
        <v>0</v>
      </c>
      <c r="AH480">
        <f>OR(AND(IF(Metadata!H480="",FALSE,TRUE),OR(exact(Metadata!H480,"not applicable"),exact(Metadata!H480,"not collected"),exact(Metadata!H480,"not provided"),exact(Metadata!H480,"restricted access"))),AND(IF(Metadata!H480="",FALSE,ISNUMBER(VALUE(Metadata!H480))),Metadata!H480&gt;0))</f>
        <v>0</v>
      </c>
      <c r="AI480">
        <f>AND(IF(Metadata!I480="",FALSE,TRUE),exact(Metadata!I480,"human"))</f>
        <v>0</v>
      </c>
      <c r="AJ480">
        <f>AND(IF(Metadata!J480="",FALSE,ISNUMBER(VALUE(Metadata!J480))),Metadata!J480&gt;0)</f>
        <v>0</v>
      </c>
      <c r="AK480">
        <f>AND(IF(Metadata!K480="",FALSE,TRUE),exact(Metadata!K480,"cm"))</f>
        <v>0</v>
      </c>
      <c r="AL480">
        <f>AND(IF(Metadata!L480="",FALSE,TRUE),exact(Metadata!L480,"Homo sapiens"))</f>
        <v>0</v>
      </c>
      <c r="AM480">
        <f>AND(IF(Metadata!M480="",FALSE,TRUE),exact(Metadata!M480,"9606"))</f>
        <v>0</v>
      </c>
      <c r="AN480">
        <f>AND(IF(Metadata!N480="",FALSE,ISNUMBER(VALUE(Metadata!N480))),Metadata!N480&gt;0)</f>
        <v>0</v>
      </c>
      <c r="AO480">
        <f>AND(IF(Metadata!O480="",FALSE,TRUE),exact(Metadata!O480,"kg"))</f>
        <v>0</v>
      </c>
      <c r="AP480">
        <f>OR(AND(IF(Metadata!P480="",FALSE,TRUE),exact(Metadata!P480,"not provided")),IF(Metadata!P480="",FALSE,TRUE))</f>
        <v>0</v>
      </c>
      <c r="AQ480">
        <f>OR(AND(IF(Metadata!Q480="",FALSE,TRUE),exact(Metadata!Q480,"not provided")),IF(Metadata!Q480="",FALSE,TRUE))</f>
        <v>0</v>
      </c>
    </row>
    <row r="481" spans="1:43">
      <c r="A481" s="4">
        <f>IF(B481=" "," ",HYPERLINK(CONCATENATE("#metadata!",ADDRESS(INDEX($W$2:$W$1001,MATCH(ROWS($U$2:U481),$U$2:$U$1001,0),0),2)),INDEX($Z$2:$Z$1001,MATCH(ROWS($U$2:U481),$U$2:$U$1001,0),0)))</f>
        <v>0</v>
      </c>
      <c r="B481" s="5">
        <f>IF(OR(INDEX($V$2:$V$1001,MATCH(ROWS($U$2:U481),$U$2:$U$1001,0),1)&gt;=100000,INDEX($AB$1005:$AQ$1005,1,MATCH(COLUMNS($AB$1006:AB1006),$AB$1006:$AQ$1006,0))&gt;=100000), " ",IF(INDEX($AB$2:$AQ$1001,MATCH(ROWS($U$2:U481),$U$2:$U$1001,0),MATCH(COLUMNS($AB$1006:AB1006),$AB$1006:$AQ$1006,0)), HYPERLINK("#",""), HYPERLINK(CONCATENATE("#Metadata!", ADDRESS(INDEX($W$2:$W$1001,MATCH(ROWS($U$2:U481),$U$2:$U$1001,0),0), INDEX($AB$1004:$AQ$1004,1,MATCH(COLUMNS($AB$1006:AB1006),$AB$1006:$AQ$1006,0)))),"Fix")))</f>
        <v>0</v>
      </c>
      <c r="C481" s="5">
        <f>IF(OR(INDEX($V$2:$V$1001,MATCH(ROWS($U$2:U481),$U$2:$U$1001,0),1)&gt;=100000,INDEX($AB$1005:$AQ$1005,1,MATCH(COLUMNS($AB$1006:AC1006),$AB$1006:$AQ$1006,0))&gt;=100000), " ",IF(INDEX($AB$2:$AQ$1001,MATCH(ROWS($U$2:U481),$U$2:$U$1001,0),MATCH(COLUMNS($AB$1006:AC1006),$AB$1006:$AQ$1006,0)), HYPERLINK("#",""), HYPERLINK(CONCATENATE("#Metadata!", ADDRESS(INDEX($W$2:$W$1001,MATCH(ROWS($U$2:U481),$U$2:$U$1001,0),0), INDEX($AB$1004:$AQ$1004,1,MATCH(COLUMNS($AB$1006:AC1006),$AB$1006:$AQ$1006,0)))),"Fix")))</f>
        <v>0</v>
      </c>
      <c r="D481" s="5">
        <f>IF(OR(INDEX($V$2:$V$1001,MATCH(ROWS($U$2:U481),$U$2:$U$1001,0),1)&gt;=100000,INDEX($AB$1005:$AQ$1005,1,MATCH(COLUMNS($AB$1006:AD1006),$AB$1006:$AQ$1006,0))&gt;=100000), " ",IF(INDEX($AB$2:$AQ$1001,MATCH(ROWS($U$2:U481),$U$2:$U$1001,0),MATCH(COLUMNS($AB$1006:AD1006),$AB$1006:$AQ$1006,0)), HYPERLINK("#",""), HYPERLINK(CONCATENATE("#Metadata!", ADDRESS(INDEX($W$2:$W$1001,MATCH(ROWS($U$2:U481),$U$2:$U$1001,0),0), INDEX($AB$1004:$AQ$1004,1,MATCH(COLUMNS($AB$1006:AD1006),$AB$1006:$AQ$1006,0)))),"Fix")))</f>
        <v>0</v>
      </c>
      <c r="E481" s="5">
        <f>IF(OR(INDEX($V$2:$V$1001,MATCH(ROWS($U$2:U481),$U$2:$U$1001,0),1)&gt;=100000,INDEX($AB$1005:$AQ$1005,1,MATCH(COLUMNS($AB$1006:AE1006),$AB$1006:$AQ$1006,0))&gt;=100000), " ",IF(INDEX($AB$2:$AQ$1001,MATCH(ROWS($U$2:U481),$U$2:$U$1001,0),MATCH(COLUMNS($AB$1006:AE1006),$AB$1006:$AQ$1006,0)), HYPERLINK("#",""), HYPERLINK(CONCATENATE("#Metadata!", ADDRESS(INDEX($W$2:$W$1001,MATCH(ROWS($U$2:U481),$U$2:$U$1001,0),0), INDEX($AB$1004:$AQ$1004,1,MATCH(COLUMNS($AB$1006:AE1006),$AB$1006:$AQ$1006,0)))),"Fix")))</f>
        <v>0</v>
      </c>
      <c r="F481" s="5">
        <f>IF(OR(INDEX($V$2:$V$1001,MATCH(ROWS($U$2:U481),$U$2:$U$1001,0),1)&gt;=100000,INDEX($AB$1005:$AQ$1005,1,MATCH(COLUMNS($AB$1006:AF1006),$AB$1006:$AQ$1006,0))&gt;=100000), " ",IF(INDEX($AB$2:$AQ$1001,MATCH(ROWS($U$2:U481),$U$2:$U$1001,0),MATCH(COLUMNS($AB$1006:AF1006),$AB$1006:$AQ$1006,0)), HYPERLINK("#",""), HYPERLINK(CONCATENATE("#Metadata!", ADDRESS(INDEX($W$2:$W$1001,MATCH(ROWS($U$2:U481),$U$2:$U$1001,0),0), INDEX($AB$1004:$AQ$1004,1,MATCH(COLUMNS($AB$1006:AF1006),$AB$1006:$AQ$1006,0)))),"Fix")))</f>
        <v>0</v>
      </c>
      <c r="G481" s="5">
        <f>IF(OR(INDEX($V$2:$V$1001,MATCH(ROWS($U$2:U481),$U$2:$U$1001,0),1)&gt;=100000,INDEX($AB$1005:$AQ$1005,1,MATCH(COLUMNS($AB$1006:AG1006),$AB$1006:$AQ$1006,0))&gt;=100000), " ",IF(INDEX($AB$2:$AQ$1001,MATCH(ROWS($U$2:U481),$U$2:$U$1001,0),MATCH(COLUMNS($AB$1006:AG1006),$AB$1006:$AQ$1006,0)), HYPERLINK("#",""), HYPERLINK(CONCATENATE("#Metadata!", ADDRESS(INDEX($W$2:$W$1001,MATCH(ROWS($U$2:U481),$U$2:$U$1001,0),0), INDEX($AB$1004:$AQ$1004,1,MATCH(COLUMNS($AB$1006:AG1006),$AB$1006:$AQ$1006,0)))),"Fix")))</f>
        <v>0</v>
      </c>
      <c r="H481" s="5">
        <f>IF(OR(INDEX($V$2:$V$1001,MATCH(ROWS($U$2:U481),$U$2:$U$1001,0),1)&gt;=100000,INDEX($AB$1005:$AQ$1005,1,MATCH(COLUMNS($AB$1006:AH1006),$AB$1006:$AQ$1006,0))&gt;=100000), " ",IF(INDEX($AB$2:$AQ$1001,MATCH(ROWS($U$2:U481),$U$2:$U$1001,0),MATCH(COLUMNS($AB$1006:AH1006),$AB$1006:$AQ$1006,0)), HYPERLINK("#",""), HYPERLINK(CONCATENATE("#Metadata!", ADDRESS(INDEX($W$2:$W$1001,MATCH(ROWS($U$2:U481),$U$2:$U$1001,0),0), INDEX($AB$1004:$AQ$1004,1,MATCH(COLUMNS($AB$1006:AH1006),$AB$1006:$AQ$1006,0)))),"Fix")))</f>
        <v>0</v>
      </c>
      <c r="I481" s="5">
        <f>IF(OR(INDEX($V$2:$V$1001,MATCH(ROWS($U$2:U481),$U$2:$U$1001,0),1)&gt;=100000,INDEX($AB$1005:$AQ$1005,1,MATCH(COLUMNS($AB$1006:AI1006),$AB$1006:$AQ$1006,0))&gt;=100000), " ",IF(INDEX($AB$2:$AQ$1001,MATCH(ROWS($U$2:U481),$U$2:$U$1001,0),MATCH(COLUMNS($AB$1006:AI1006),$AB$1006:$AQ$1006,0)), HYPERLINK("#",""), HYPERLINK(CONCATENATE("#Metadata!", ADDRESS(INDEX($W$2:$W$1001,MATCH(ROWS($U$2:U481),$U$2:$U$1001,0),0), INDEX($AB$1004:$AQ$1004,1,MATCH(COLUMNS($AB$1006:AI1006),$AB$1006:$AQ$1006,0)))),"Fix")))</f>
        <v>0</v>
      </c>
      <c r="J481" s="5">
        <f>IF(OR(INDEX($V$2:$V$1001,MATCH(ROWS($U$2:U481),$U$2:$U$1001,0),1)&gt;=100000,INDEX($AB$1005:$AQ$1005,1,MATCH(COLUMNS($AB$1006:AJ1006),$AB$1006:$AQ$1006,0))&gt;=100000), " ",IF(INDEX($AB$2:$AQ$1001,MATCH(ROWS($U$2:U481),$U$2:$U$1001,0),MATCH(COLUMNS($AB$1006:AJ1006),$AB$1006:$AQ$1006,0)), HYPERLINK("#",""), HYPERLINK(CONCATENATE("#Metadata!", ADDRESS(INDEX($W$2:$W$1001,MATCH(ROWS($U$2:U481),$U$2:$U$1001,0),0), INDEX($AB$1004:$AQ$1004,1,MATCH(COLUMNS($AB$1006:AJ1006),$AB$1006:$AQ$1006,0)))),"Fix")))</f>
        <v>0</v>
      </c>
      <c r="K481" s="5">
        <f>IF(OR(INDEX($V$2:$V$1001,MATCH(ROWS($U$2:U481),$U$2:$U$1001,0),1)&gt;=100000,INDEX($AB$1005:$AQ$1005,1,MATCH(COLUMNS($AB$1006:AK1006),$AB$1006:$AQ$1006,0))&gt;=100000), " ",IF(INDEX($AB$2:$AQ$1001,MATCH(ROWS($U$2:U481),$U$2:$U$1001,0),MATCH(COLUMNS($AB$1006:AK1006),$AB$1006:$AQ$1006,0)), HYPERLINK("#",""), HYPERLINK(CONCATENATE("#Metadata!", ADDRESS(INDEX($W$2:$W$1001,MATCH(ROWS($U$2:U481),$U$2:$U$1001,0),0), INDEX($AB$1004:$AQ$1004,1,MATCH(COLUMNS($AB$1006:AK1006),$AB$1006:$AQ$1006,0)))),"Fix")))</f>
        <v>0</v>
      </c>
      <c r="L481" s="5">
        <f>IF(OR(INDEX($V$2:$V$1001,MATCH(ROWS($U$2:U481),$U$2:$U$1001,0),1)&gt;=100000,INDEX($AB$1005:$AQ$1005,1,MATCH(COLUMNS($AB$1006:AL1006),$AB$1006:$AQ$1006,0))&gt;=100000), " ",IF(INDEX($AB$2:$AQ$1001,MATCH(ROWS($U$2:U481),$U$2:$U$1001,0),MATCH(COLUMNS($AB$1006:AL1006),$AB$1006:$AQ$1006,0)), HYPERLINK("#",""), HYPERLINK(CONCATENATE("#Metadata!", ADDRESS(INDEX($W$2:$W$1001,MATCH(ROWS($U$2:U481),$U$2:$U$1001,0),0), INDEX($AB$1004:$AQ$1004,1,MATCH(COLUMNS($AB$1006:AL1006),$AB$1006:$AQ$1006,0)))),"Fix")))</f>
        <v>0</v>
      </c>
      <c r="M481" s="5">
        <f>IF(OR(INDEX($V$2:$V$1001,MATCH(ROWS($U$2:U481),$U$2:$U$1001,0),1)&gt;=100000,INDEX($AB$1005:$AQ$1005,1,MATCH(COLUMNS($AB$1006:AM1006),$AB$1006:$AQ$1006,0))&gt;=100000), " ",IF(INDEX($AB$2:$AQ$1001,MATCH(ROWS($U$2:U481),$U$2:$U$1001,0),MATCH(COLUMNS($AB$1006:AM1006),$AB$1006:$AQ$1006,0)), HYPERLINK("#",""), HYPERLINK(CONCATENATE("#Metadata!", ADDRESS(INDEX($W$2:$W$1001,MATCH(ROWS($U$2:U481),$U$2:$U$1001,0),0), INDEX($AB$1004:$AQ$1004,1,MATCH(COLUMNS($AB$1006:AM1006),$AB$1006:$AQ$1006,0)))),"Fix")))</f>
        <v>0</v>
      </c>
      <c r="N481" s="5">
        <f>IF(OR(INDEX($V$2:$V$1001,MATCH(ROWS($U$2:U481),$U$2:$U$1001,0),1)&gt;=100000,INDEX($AB$1005:$AQ$1005,1,MATCH(COLUMNS($AB$1006:AN1006),$AB$1006:$AQ$1006,0))&gt;=100000), " ",IF(INDEX($AB$2:$AQ$1001,MATCH(ROWS($U$2:U481),$U$2:$U$1001,0),MATCH(COLUMNS($AB$1006:AN1006),$AB$1006:$AQ$1006,0)), HYPERLINK("#",""), HYPERLINK(CONCATENATE("#Metadata!", ADDRESS(INDEX($W$2:$W$1001,MATCH(ROWS($U$2:U481),$U$2:$U$1001,0),0), INDEX($AB$1004:$AQ$1004,1,MATCH(COLUMNS($AB$1006:AN1006),$AB$1006:$AQ$1006,0)))),"Fix")))</f>
        <v>0</v>
      </c>
      <c r="O481" s="5">
        <f>IF(OR(INDEX($V$2:$V$1001,MATCH(ROWS($U$2:U481),$U$2:$U$1001,0),1)&gt;=100000,INDEX($AB$1005:$AQ$1005,1,MATCH(COLUMNS($AB$1006:AO1006),$AB$1006:$AQ$1006,0))&gt;=100000), " ",IF(INDEX($AB$2:$AQ$1001,MATCH(ROWS($U$2:U481),$U$2:$U$1001,0),MATCH(COLUMNS($AB$1006:AO1006),$AB$1006:$AQ$1006,0)), HYPERLINK("#",""), HYPERLINK(CONCATENATE("#Metadata!", ADDRESS(INDEX($W$2:$W$1001,MATCH(ROWS($U$2:U481),$U$2:$U$1001,0),0), INDEX($AB$1004:$AQ$1004,1,MATCH(COLUMNS($AB$1006:AO1006),$AB$1006:$AQ$1006,0)))),"Fix")))</f>
        <v>0</v>
      </c>
      <c r="P481" s="5">
        <f>IF(OR(INDEX($V$2:$V$1001,MATCH(ROWS($U$2:U481),$U$2:$U$1001,0),1)&gt;=100000,INDEX($AB$1005:$AQ$1005,1,MATCH(COLUMNS($AB$1006:AP1006),$AB$1006:$AQ$1006,0))&gt;=100000), " ",IF(INDEX($AB$2:$AQ$1001,MATCH(ROWS($U$2:U481),$U$2:$U$1001,0),MATCH(COLUMNS($AB$1006:AP1006),$AB$1006:$AQ$1006,0)), HYPERLINK("#",""), HYPERLINK(CONCATENATE("#Metadata!", ADDRESS(INDEX($W$2:$W$1001,MATCH(ROWS($U$2:U481),$U$2:$U$1001,0),0), INDEX($AB$1004:$AQ$1004,1,MATCH(COLUMNS($AB$1006:AP1006),$AB$1006:$AQ$1006,0)))),"Fix")))</f>
        <v>0</v>
      </c>
      <c r="Q481" s="5">
        <f>IF(OR(INDEX($V$2:$V$1001,MATCH(ROWS($U$2:U481),$U$2:$U$1001,0),1)&gt;=100000,INDEX($AB$1005:$AQ$1005,1,MATCH(COLUMNS($AB$1006:AQ1006),$AB$1006:$AQ$1006,0))&gt;=100000), " ",IF(INDEX($AB$2:$AQ$1001,MATCH(ROWS($U$2:U481),$U$2:$U$1001,0),MATCH(COLUMNS($AB$1006:AQ1006),$AB$1006:$AQ$1006,0)), HYPERLINK("#",""), HYPERLINK(CONCATENATE("#Metadata!", ADDRESS(INDEX($W$2:$W$1001,MATCH(ROWS($U$2:U481),$U$2:$U$1001,0),0), INDEX($AB$1004:$AQ$1004,1,MATCH(COLUMNS($AB$1006:AQ1006),$AB$1006:$AQ$1006,0)))),"Fix")))</f>
        <v>0</v>
      </c>
      <c r="U481">
        <v>0</v>
      </c>
      <c r="V481">
        <v>0</v>
      </c>
      <c r="W481">
        <v>0</v>
      </c>
      <c r="X481">
        <f>IF(Y481,TRUE,AND(AB481:AQ481))</f>
        <v>0</v>
      </c>
      <c r="Y481">
        <f>COUNTBLANK(Metadata!B481:Q481)=COLUMNS(Metadata!B481:Q481)</f>
        <v>0</v>
      </c>
      <c r="Z481">
        <v>0</v>
      </c>
      <c r="AB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AC481">
        <f>AND(IF(Metadata!C481="",FALSE,TRUE),exact(Metadata!C481,"urban biome"))</f>
        <v>0</v>
      </c>
      <c r="AD481">
        <f>AND(IF(Metadata!D481="",FALSE,TRUE),exact(Metadata!D481,"human-associated habitat"))</f>
        <v>0</v>
      </c>
      <c r="AE481">
        <f>AND(IF(Metadata!E481="",FALSE,TRUE),OR(exact(Metadata!E481,"human-associated"),exact(Metadata!E481,"human-skin"),exact(Metadata!E481,"human-oral"),exact(Metadata!E481,"human-gut"),exact(Metadata!E481,"human-vaginal")))</f>
        <v>0</v>
      </c>
      <c r="AF481">
        <f>AND(IF(Metadata!F481="",FALSE,ISNUMBER(VALUE(Metadata!F481))),Metadata!F481&gt;0)</f>
        <v>0</v>
      </c>
      <c r="AG481">
        <f>AND(IF(Metadata!G481="",FALSE,TRUE),exact(Metadata!G481,"years"))</f>
        <v>0</v>
      </c>
      <c r="AH481">
        <f>OR(AND(IF(Metadata!H481="",FALSE,TRUE),OR(exact(Metadata!H481,"not applicable"),exact(Metadata!H481,"not collected"),exact(Metadata!H481,"not provided"),exact(Metadata!H481,"restricted access"))),AND(IF(Metadata!H481="",FALSE,ISNUMBER(VALUE(Metadata!H481))),Metadata!H481&gt;0))</f>
        <v>0</v>
      </c>
      <c r="AI481">
        <f>AND(IF(Metadata!I481="",FALSE,TRUE),exact(Metadata!I481,"human"))</f>
        <v>0</v>
      </c>
      <c r="AJ481">
        <f>AND(IF(Metadata!J481="",FALSE,ISNUMBER(VALUE(Metadata!J481))),Metadata!J481&gt;0)</f>
        <v>0</v>
      </c>
      <c r="AK481">
        <f>AND(IF(Metadata!K481="",FALSE,TRUE),exact(Metadata!K481,"cm"))</f>
        <v>0</v>
      </c>
      <c r="AL481">
        <f>AND(IF(Metadata!L481="",FALSE,TRUE),exact(Metadata!L481,"Homo sapiens"))</f>
        <v>0</v>
      </c>
      <c r="AM481">
        <f>AND(IF(Metadata!M481="",FALSE,TRUE),exact(Metadata!M481,"9606"))</f>
        <v>0</v>
      </c>
      <c r="AN481">
        <f>AND(IF(Metadata!N481="",FALSE,ISNUMBER(VALUE(Metadata!N481))),Metadata!N481&gt;0)</f>
        <v>0</v>
      </c>
      <c r="AO481">
        <f>AND(IF(Metadata!O481="",FALSE,TRUE),exact(Metadata!O481,"kg"))</f>
        <v>0</v>
      </c>
      <c r="AP481">
        <f>OR(AND(IF(Metadata!P481="",FALSE,TRUE),exact(Metadata!P481,"not provided")),IF(Metadata!P481="",FALSE,TRUE))</f>
        <v>0</v>
      </c>
      <c r="AQ481">
        <f>OR(AND(IF(Metadata!Q481="",FALSE,TRUE),exact(Metadata!Q481,"not provided")),IF(Metadata!Q481="",FALSE,TRUE))</f>
        <v>0</v>
      </c>
    </row>
    <row r="482" spans="1:43">
      <c r="A482" s="4">
        <f>IF(B482=" "," ",HYPERLINK(CONCATENATE("#metadata!",ADDRESS(INDEX($W$2:$W$1001,MATCH(ROWS($U$2:U482),$U$2:$U$1001,0),0),2)),INDEX($Z$2:$Z$1001,MATCH(ROWS($U$2:U482),$U$2:$U$1001,0),0)))</f>
        <v>0</v>
      </c>
      <c r="B482" s="5">
        <f>IF(OR(INDEX($V$2:$V$1001,MATCH(ROWS($U$2:U482),$U$2:$U$1001,0),1)&gt;=100000,INDEX($AB$1005:$AQ$1005,1,MATCH(COLUMNS($AB$1006:AB1006),$AB$1006:$AQ$1006,0))&gt;=100000), " ",IF(INDEX($AB$2:$AQ$1001,MATCH(ROWS($U$2:U482),$U$2:$U$1001,0),MATCH(COLUMNS($AB$1006:AB1006),$AB$1006:$AQ$1006,0)), HYPERLINK("#",""), HYPERLINK(CONCATENATE("#Metadata!", ADDRESS(INDEX($W$2:$W$1001,MATCH(ROWS($U$2:U482),$U$2:$U$1001,0),0), INDEX($AB$1004:$AQ$1004,1,MATCH(COLUMNS($AB$1006:AB1006),$AB$1006:$AQ$1006,0)))),"Fix")))</f>
        <v>0</v>
      </c>
      <c r="C482" s="5">
        <f>IF(OR(INDEX($V$2:$V$1001,MATCH(ROWS($U$2:U482),$U$2:$U$1001,0),1)&gt;=100000,INDEX($AB$1005:$AQ$1005,1,MATCH(COLUMNS($AB$1006:AC1006),$AB$1006:$AQ$1006,0))&gt;=100000), " ",IF(INDEX($AB$2:$AQ$1001,MATCH(ROWS($U$2:U482),$U$2:$U$1001,0),MATCH(COLUMNS($AB$1006:AC1006),$AB$1006:$AQ$1006,0)), HYPERLINK("#",""), HYPERLINK(CONCATENATE("#Metadata!", ADDRESS(INDEX($W$2:$W$1001,MATCH(ROWS($U$2:U482),$U$2:$U$1001,0),0), INDEX($AB$1004:$AQ$1004,1,MATCH(COLUMNS($AB$1006:AC1006),$AB$1006:$AQ$1006,0)))),"Fix")))</f>
        <v>0</v>
      </c>
      <c r="D482" s="5">
        <f>IF(OR(INDEX($V$2:$V$1001,MATCH(ROWS($U$2:U482),$U$2:$U$1001,0),1)&gt;=100000,INDEX($AB$1005:$AQ$1005,1,MATCH(COLUMNS($AB$1006:AD1006),$AB$1006:$AQ$1006,0))&gt;=100000), " ",IF(INDEX($AB$2:$AQ$1001,MATCH(ROWS($U$2:U482),$U$2:$U$1001,0),MATCH(COLUMNS($AB$1006:AD1006),$AB$1006:$AQ$1006,0)), HYPERLINK("#",""), HYPERLINK(CONCATENATE("#Metadata!", ADDRESS(INDEX($W$2:$W$1001,MATCH(ROWS($U$2:U482),$U$2:$U$1001,0),0), INDEX($AB$1004:$AQ$1004,1,MATCH(COLUMNS($AB$1006:AD1006),$AB$1006:$AQ$1006,0)))),"Fix")))</f>
        <v>0</v>
      </c>
      <c r="E482" s="5">
        <f>IF(OR(INDEX($V$2:$V$1001,MATCH(ROWS($U$2:U482),$U$2:$U$1001,0),1)&gt;=100000,INDEX($AB$1005:$AQ$1005,1,MATCH(COLUMNS($AB$1006:AE1006),$AB$1006:$AQ$1006,0))&gt;=100000), " ",IF(INDEX($AB$2:$AQ$1001,MATCH(ROWS($U$2:U482),$U$2:$U$1001,0),MATCH(COLUMNS($AB$1006:AE1006),$AB$1006:$AQ$1006,0)), HYPERLINK("#",""), HYPERLINK(CONCATENATE("#Metadata!", ADDRESS(INDEX($W$2:$W$1001,MATCH(ROWS($U$2:U482),$U$2:$U$1001,0),0), INDEX($AB$1004:$AQ$1004,1,MATCH(COLUMNS($AB$1006:AE1006),$AB$1006:$AQ$1006,0)))),"Fix")))</f>
        <v>0</v>
      </c>
      <c r="F482" s="5">
        <f>IF(OR(INDEX($V$2:$V$1001,MATCH(ROWS($U$2:U482),$U$2:$U$1001,0),1)&gt;=100000,INDEX($AB$1005:$AQ$1005,1,MATCH(COLUMNS($AB$1006:AF1006),$AB$1006:$AQ$1006,0))&gt;=100000), " ",IF(INDEX($AB$2:$AQ$1001,MATCH(ROWS($U$2:U482),$U$2:$U$1001,0),MATCH(COLUMNS($AB$1006:AF1006),$AB$1006:$AQ$1006,0)), HYPERLINK("#",""), HYPERLINK(CONCATENATE("#Metadata!", ADDRESS(INDEX($W$2:$W$1001,MATCH(ROWS($U$2:U482),$U$2:$U$1001,0),0), INDEX($AB$1004:$AQ$1004,1,MATCH(COLUMNS($AB$1006:AF1006),$AB$1006:$AQ$1006,0)))),"Fix")))</f>
        <v>0</v>
      </c>
      <c r="G482" s="5">
        <f>IF(OR(INDEX($V$2:$V$1001,MATCH(ROWS($U$2:U482),$U$2:$U$1001,0),1)&gt;=100000,INDEX($AB$1005:$AQ$1005,1,MATCH(COLUMNS($AB$1006:AG1006),$AB$1006:$AQ$1006,0))&gt;=100000), " ",IF(INDEX($AB$2:$AQ$1001,MATCH(ROWS($U$2:U482),$U$2:$U$1001,0),MATCH(COLUMNS($AB$1006:AG1006),$AB$1006:$AQ$1006,0)), HYPERLINK("#",""), HYPERLINK(CONCATENATE("#Metadata!", ADDRESS(INDEX($W$2:$W$1001,MATCH(ROWS($U$2:U482),$U$2:$U$1001,0),0), INDEX($AB$1004:$AQ$1004,1,MATCH(COLUMNS($AB$1006:AG1006),$AB$1006:$AQ$1006,0)))),"Fix")))</f>
        <v>0</v>
      </c>
      <c r="H482" s="5">
        <f>IF(OR(INDEX($V$2:$V$1001,MATCH(ROWS($U$2:U482),$U$2:$U$1001,0),1)&gt;=100000,INDEX($AB$1005:$AQ$1005,1,MATCH(COLUMNS($AB$1006:AH1006),$AB$1006:$AQ$1006,0))&gt;=100000), " ",IF(INDEX($AB$2:$AQ$1001,MATCH(ROWS($U$2:U482),$U$2:$U$1001,0),MATCH(COLUMNS($AB$1006:AH1006),$AB$1006:$AQ$1006,0)), HYPERLINK("#",""), HYPERLINK(CONCATENATE("#Metadata!", ADDRESS(INDEX($W$2:$W$1001,MATCH(ROWS($U$2:U482),$U$2:$U$1001,0),0), INDEX($AB$1004:$AQ$1004,1,MATCH(COLUMNS($AB$1006:AH1006),$AB$1006:$AQ$1006,0)))),"Fix")))</f>
        <v>0</v>
      </c>
      <c r="I482" s="5">
        <f>IF(OR(INDEX($V$2:$V$1001,MATCH(ROWS($U$2:U482),$U$2:$U$1001,0),1)&gt;=100000,INDEX($AB$1005:$AQ$1005,1,MATCH(COLUMNS($AB$1006:AI1006),$AB$1006:$AQ$1006,0))&gt;=100000), " ",IF(INDEX($AB$2:$AQ$1001,MATCH(ROWS($U$2:U482),$U$2:$U$1001,0),MATCH(COLUMNS($AB$1006:AI1006),$AB$1006:$AQ$1006,0)), HYPERLINK("#",""), HYPERLINK(CONCATENATE("#Metadata!", ADDRESS(INDEX($W$2:$W$1001,MATCH(ROWS($U$2:U482),$U$2:$U$1001,0),0), INDEX($AB$1004:$AQ$1004,1,MATCH(COLUMNS($AB$1006:AI1006),$AB$1006:$AQ$1006,0)))),"Fix")))</f>
        <v>0</v>
      </c>
      <c r="J482" s="5">
        <f>IF(OR(INDEX($V$2:$V$1001,MATCH(ROWS($U$2:U482),$U$2:$U$1001,0),1)&gt;=100000,INDEX($AB$1005:$AQ$1005,1,MATCH(COLUMNS($AB$1006:AJ1006),$AB$1006:$AQ$1006,0))&gt;=100000), " ",IF(INDEX($AB$2:$AQ$1001,MATCH(ROWS($U$2:U482),$U$2:$U$1001,0),MATCH(COLUMNS($AB$1006:AJ1006),$AB$1006:$AQ$1006,0)), HYPERLINK("#",""), HYPERLINK(CONCATENATE("#Metadata!", ADDRESS(INDEX($W$2:$W$1001,MATCH(ROWS($U$2:U482),$U$2:$U$1001,0),0), INDEX($AB$1004:$AQ$1004,1,MATCH(COLUMNS($AB$1006:AJ1006),$AB$1006:$AQ$1006,0)))),"Fix")))</f>
        <v>0</v>
      </c>
      <c r="K482" s="5">
        <f>IF(OR(INDEX($V$2:$V$1001,MATCH(ROWS($U$2:U482),$U$2:$U$1001,0),1)&gt;=100000,INDEX($AB$1005:$AQ$1005,1,MATCH(COLUMNS($AB$1006:AK1006),$AB$1006:$AQ$1006,0))&gt;=100000), " ",IF(INDEX($AB$2:$AQ$1001,MATCH(ROWS($U$2:U482),$U$2:$U$1001,0),MATCH(COLUMNS($AB$1006:AK1006),$AB$1006:$AQ$1006,0)), HYPERLINK("#",""), HYPERLINK(CONCATENATE("#Metadata!", ADDRESS(INDEX($W$2:$W$1001,MATCH(ROWS($U$2:U482),$U$2:$U$1001,0),0), INDEX($AB$1004:$AQ$1004,1,MATCH(COLUMNS($AB$1006:AK1006),$AB$1006:$AQ$1006,0)))),"Fix")))</f>
        <v>0</v>
      </c>
      <c r="L482" s="5">
        <f>IF(OR(INDEX($V$2:$V$1001,MATCH(ROWS($U$2:U482),$U$2:$U$1001,0),1)&gt;=100000,INDEX($AB$1005:$AQ$1005,1,MATCH(COLUMNS($AB$1006:AL1006),$AB$1006:$AQ$1006,0))&gt;=100000), " ",IF(INDEX($AB$2:$AQ$1001,MATCH(ROWS($U$2:U482),$U$2:$U$1001,0),MATCH(COLUMNS($AB$1006:AL1006),$AB$1006:$AQ$1006,0)), HYPERLINK("#",""), HYPERLINK(CONCATENATE("#Metadata!", ADDRESS(INDEX($W$2:$W$1001,MATCH(ROWS($U$2:U482),$U$2:$U$1001,0),0), INDEX($AB$1004:$AQ$1004,1,MATCH(COLUMNS($AB$1006:AL1006),$AB$1006:$AQ$1006,0)))),"Fix")))</f>
        <v>0</v>
      </c>
      <c r="M482" s="5">
        <f>IF(OR(INDEX($V$2:$V$1001,MATCH(ROWS($U$2:U482),$U$2:$U$1001,0),1)&gt;=100000,INDEX($AB$1005:$AQ$1005,1,MATCH(COLUMNS($AB$1006:AM1006),$AB$1006:$AQ$1006,0))&gt;=100000), " ",IF(INDEX($AB$2:$AQ$1001,MATCH(ROWS($U$2:U482),$U$2:$U$1001,0),MATCH(COLUMNS($AB$1006:AM1006),$AB$1006:$AQ$1006,0)), HYPERLINK("#",""), HYPERLINK(CONCATENATE("#Metadata!", ADDRESS(INDEX($W$2:$W$1001,MATCH(ROWS($U$2:U482),$U$2:$U$1001,0),0), INDEX($AB$1004:$AQ$1004,1,MATCH(COLUMNS($AB$1006:AM1006),$AB$1006:$AQ$1006,0)))),"Fix")))</f>
        <v>0</v>
      </c>
      <c r="N482" s="5">
        <f>IF(OR(INDEX($V$2:$V$1001,MATCH(ROWS($U$2:U482),$U$2:$U$1001,0),1)&gt;=100000,INDEX($AB$1005:$AQ$1005,1,MATCH(COLUMNS($AB$1006:AN1006),$AB$1006:$AQ$1006,0))&gt;=100000), " ",IF(INDEX($AB$2:$AQ$1001,MATCH(ROWS($U$2:U482),$U$2:$U$1001,0),MATCH(COLUMNS($AB$1006:AN1006),$AB$1006:$AQ$1006,0)), HYPERLINK("#",""), HYPERLINK(CONCATENATE("#Metadata!", ADDRESS(INDEX($W$2:$W$1001,MATCH(ROWS($U$2:U482),$U$2:$U$1001,0),0), INDEX($AB$1004:$AQ$1004,1,MATCH(COLUMNS($AB$1006:AN1006),$AB$1006:$AQ$1006,0)))),"Fix")))</f>
        <v>0</v>
      </c>
      <c r="O482" s="5">
        <f>IF(OR(INDEX($V$2:$V$1001,MATCH(ROWS($U$2:U482),$U$2:$U$1001,0),1)&gt;=100000,INDEX($AB$1005:$AQ$1005,1,MATCH(COLUMNS($AB$1006:AO1006),$AB$1006:$AQ$1006,0))&gt;=100000), " ",IF(INDEX($AB$2:$AQ$1001,MATCH(ROWS($U$2:U482),$U$2:$U$1001,0),MATCH(COLUMNS($AB$1006:AO1006),$AB$1006:$AQ$1006,0)), HYPERLINK("#",""), HYPERLINK(CONCATENATE("#Metadata!", ADDRESS(INDEX($W$2:$W$1001,MATCH(ROWS($U$2:U482),$U$2:$U$1001,0),0), INDEX($AB$1004:$AQ$1004,1,MATCH(COLUMNS($AB$1006:AO1006),$AB$1006:$AQ$1006,0)))),"Fix")))</f>
        <v>0</v>
      </c>
      <c r="P482" s="5">
        <f>IF(OR(INDEX($V$2:$V$1001,MATCH(ROWS($U$2:U482),$U$2:$U$1001,0),1)&gt;=100000,INDEX($AB$1005:$AQ$1005,1,MATCH(COLUMNS($AB$1006:AP1006),$AB$1006:$AQ$1006,0))&gt;=100000), " ",IF(INDEX($AB$2:$AQ$1001,MATCH(ROWS($U$2:U482),$U$2:$U$1001,0),MATCH(COLUMNS($AB$1006:AP1006),$AB$1006:$AQ$1006,0)), HYPERLINK("#",""), HYPERLINK(CONCATENATE("#Metadata!", ADDRESS(INDEX($W$2:$W$1001,MATCH(ROWS($U$2:U482),$U$2:$U$1001,0),0), INDEX($AB$1004:$AQ$1004,1,MATCH(COLUMNS($AB$1006:AP1006),$AB$1006:$AQ$1006,0)))),"Fix")))</f>
        <v>0</v>
      </c>
      <c r="Q482" s="5">
        <f>IF(OR(INDEX($V$2:$V$1001,MATCH(ROWS($U$2:U482),$U$2:$U$1001,0),1)&gt;=100000,INDEX($AB$1005:$AQ$1005,1,MATCH(COLUMNS($AB$1006:AQ1006),$AB$1006:$AQ$1006,0))&gt;=100000), " ",IF(INDEX($AB$2:$AQ$1001,MATCH(ROWS($U$2:U482),$U$2:$U$1001,0),MATCH(COLUMNS($AB$1006:AQ1006),$AB$1006:$AQ$1006,0)), HYPERLINK("#",""), HYPERLINK(CONCATENATE("#Metadata!", ADDRESS(INDEX($W$2:$W$1001,MATCH(ROWS($U$2:U482),$U$2:$U$1001,0),0), INDEX($AB$1004:$AQ$1004,1,MATCH(COLUMNS($AB$1006:AQ1006),$AB$1006:$AQ$1006,0)))),"Fix")))</f>
        <v>0</v>
      </c>
      <c r="U482">
        <v>0</v>
      </c>
      <c r="V482">
        <v>0</v>
      </c>
      <c r="W482">
        <v>0</v>
      </c>
      <c r="X482">
        <f>IF(Y482,TRUE,AND(AB482:AQ482))</f>
        <v>0</v>
      </c>
      <c r="Y482">
        <f>COUNTBLANK(Metadata!B482:Q482)=COLUMNS(Metadata!B482:Q482)</f>
        <v>0</v>
      </c>
      <c r="Z482">
        <v>0</v>
      </c>
      <c r="AB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AC482">
        <f>AND(IF(Metadata!C482="",FALSE,TRUE),exact(Metadata!C482,"urban biome"))</f>
        <v>0</v>
      </c>
      <c r="AD482">
        <f>AND(IF(Metadata!D482="",FALSE,TRUE),exact(Metadata!D482,"human-associated habitat"))</f>
        <v>0</v>
      </c>
      <c r="AE482">
        <f>AND(IF(Metadata!E482="",FALSE,TRUE),OR(exact(Metadata!E482,"human-associated"),exact(Metadata!E482,"human-skin"),exact(Metadata!E482,"human-oral"),exact(Metadata!E482,"human-gut"),exact(Metadata!E482,"human-vaginal")))</f>
        <v>0</v>
      </c>
      <c r="AF482">
        <f>AND(IF(Metadata!F482="",FALSE,ISNUMBER(VALUE(Metadata!F482))),Metadata!F482&gt;0)</f>
        <v>0</v>
      </c>
      <c r="AG482">
        <f>AND(IF(Metadata!G482="",FALSE,TRUE),exact(Metadata!G482,"years"))</f>
        <v>0</v>
      </c>
      <c r="AH482">
        <f>OR(AND(IF(Metadata!H482="",FALSE,TRUE),OR(exact(Metadata!H482,"not applicable"),exact(Metadata!H482,"not collected"),exact(Metadata!H482,"not provided"),exact(Metadata!H482,"restricted access"))),AND(IF(Metadata!H482="",FALSE,ISNUMBER(VALUE(Metadata!H482))),Metadata!H482&gt;0))</f>
        <v>0</v>
      </c>
      <c r="AI482">
        <f>AND(IF(Metadata!I482="",FALSE,TRUE),exact(Metadata!I482,"human"))</f>
        <v>0</v>
      </c>
      <c r="AJ482">
        <f>AND(IF(Metadata!J482="",FALSE,ISNUMBER(VALUE(Metadata!J482))),Metadata!J482&gt;0)</f>
        <v>0</v>
      </c>
      <c r="AK482">
        <f>AND(IF(Metadata!K482="",FALSE,TRUE),exact(Metadata!K482,"cm"))</f>
        <v>0</v>
      </c>
      <c r="AL482">
        <f>AND(IF(Metadata!L482="",FALSE,TRUE),exact(Metadata!L482,"Homo sapiens"))</f>
        <v>0</v>
      </c>
      <c r="AM482">
        <f>AND(IF(Metadata!M482="",FALSE,TRUE),exact(Metadata!M482,"9606"))</f>
        <v>0</v>
      </c>
      <c r="AN482">
        <f>AND(IF(Metadata!N482="",FALSE,ISNUMBER(VALUE(Metadata!N482))),Metadata!N482&gt;0)</f>
        <v>0</v>
      </c>
      <c r="AO482">
        <f>AND(IF(Metadata!O482="",FALSE,TRUE),exact(Metadata!O482,"kg"))</f>
        <v>0</v>
      </c>
      <c r="AP482">
        <f>OR(AND(IF(Metadata!P482="",FALSE,TRUE),exact(Metadata!P482,"not provided")),IF(Metadata!P482="",FALSE,TRUE))</f>
        <v>0</v>
      </c>
      <c r="AQ482">
        <f>OR(AND(IF(Metadata!Q482="",FALSE,TRUE),exact(Metadata!Q482,"not provided")),IF(Metadata!Q482="",FALSE,TRUE))</f>
        <v>0</v>
      </c>
    </row>
    <row r="483" spans="1:43">
      <c r="A483" s="4">
        <f>IF(B483=" "," ",HYPERLINK(CONCATENATE("#metadata!",ADDRESS(INDEX($W$2:$W$1001,MATCH(ROWS($U$2:U483),$U$2:$U$1001,0),0),2)),INDEX($Z$2:$Z$1001,MATCH(ROWS($U$2:U483),$U$2:$U$1001,0),0)))</f>
        <v>0</v>
      </c>
      <c r="B483" s="5">
        <f>IF(OR(INDEX($V$2:$V$1001,MATCH(ROWS($U$2:U483),$U$2:$U$1001,0),1)&gt;=100000,INDEX($AB$1005:$AQ$1005,1,MATCH(COLUMNS($AB$1006:AB1006),$AB$1006:$AQ$1006,0))&gt;=100000), " ",IF(INDEX($AB$2:$AQ$1001,MATCH(ROWS($U$2:U483),$U$2:$U$1001,0),MATCH(COLUMNS($AB$1006:AB1006),$AB$1006:$AQ$1006,0)), HYPERLINK("#",""), HYPERLINK(CONCATENATE("#Metadata!", ADDRESS(INDEX($W$2:$W$1001,MATCH(ROWS($U$2:U483),$U$2:$U$1001,0),0), INDEX($AB$1004:$AQ$1004,1,MATCH(COLUMNS($AB$1006:AB1006),$AB$1006:$AQ$1006,0)))),"Fix")))</f>
        <v>0</v>
      </c>
      <c r="C483" s="5">
        <f>IF(OR(INDEX($V$2:$V$1001,MATCH(ROWS($U$2:U483),$U$2:$U$1001,0),1)&gt;=100000,INDEX($AB$1005:$AQ$1005,1,MATCH(COLUMNS($AB$1006:AC1006),$AB$1006:$AQ$1006,0))&gt;=100000), " ",IF(INDEX($AB$2:$AQ$1001,MATCH(ROWS($U$2:U483),$U$2:$U$1001,0),MATCH(COLUMNS($AB$1006:AC1006),$AB$1006:$AQ$1006,0)), HYPERLINK("#",""), HYPERLINK(CONCATENATE("#Metadata!", ADDRESS(INDEX($W$2:$W$1001,MATCH(ROWS($U$2:U483),$U$2:$U$1001,0),0), INDEX($AB$1004:$AQ$1004,1,MATCH(COLUMNS($AB$1006:AC1006),$AB$1006:$AQ$1006,0)))),"Fix")))</f>
        <v>0</v>
      </c>
      <c r="D483" s="5">
        <f>IF(OR(INDEX($V$2:$V$1001,MATCH(ROWS($U$2:U483),$U$2:$U$1001,0),1)&gt;=100000,INDEX($AB$1005:$AQ$1005,1,MATCH(COLUMNS($AB$1006:AD1006),$AB$1006:$AQ$1006,0))&gt;=100000), " ",IF(INDEX($AB$2:$AQ$1001,MATCH(ROWS($U$2:U483),$U$2:$U$1001,0),MATCH(COLUMNS($AB$1006:AD1006),$AB$1006:$AQ$1006,0)), HYPERLINK("#",""), HYPERLINK(CONCATENATE("#Metadata!", ADDRESS(INDEX($W$2:$W$1001,MATCH(ROWS($U$2:U483),$U$2:$U$1001,0),0), INDEX($AB$1004:$AQ$1004,1,MATCH(COLUMNS($AB$1006:AD1006),$AB$1006:$AQ$1006,0)))),"Fix")))</f>
        <v>0</v>
      </c>
      <c r="E483" s="5">
        <f>IF(OR(INDEX($V$2:$V$1001,MATCH(ROWS($U$2:U483),$U$2:$U$1001,0),1)&gt;=100000,INDEX($AB$1005:$AQ$1005,1,MATCH(COLUMNS($AB$1006:AE1006),$AB$1006:$AQ$1006,0))&gt;=100000), " ",IF(INDEX($AB$2:$AQ$1001,MATCH(ROWS($U$2:U483),$U$2:$U$1001,0),MATCH(COLUMNS($AB$1006:AE1006),$AB$1006:$AQ$1006,0)), HYPERLINK("#",""), HYPERLINK(CONCATENATE("#Metadata!", ADDRESS(INDEX($W$2:$W$1001,MATCH(ROWS($U$2:U483),$U$2:$U$1001,0),0), INDEX($AB$1004:$AQ$1004,1,MATCH(COLUMNS($AB$1006:AE1006),$AB$1006:$AQ$1006,0)))),"Fix")))</f>
        <v>0</v>
      </c>
      <c r="F483" s="5">
        <f>IF(OR(INDEX($V$2:$V$1001,MATCH(ROWS($U$2:U483),$U$2:$U$1001,0),1)&gt;=100000,INDEX($AB$1005:$AQ$1005,1,MATCH(COLUMNS($AB$1006:AF1006),$AB$1006:$AQ$1006,0))&gt;=100000), " ",IF(INDEX($AB$2:$AQ$1001,MATCH(ROWS($U$2:U483),$U$2:$U$1001,0),MATCH(COLUMNS($AB$1006:AF1006),$AB$1006:$AQ$1006,0)), HYPERLINK("#",""), HYPERLINK(CONCATENATE("#Metadata!", ADDRESS(INDEX($W$2:$W$1001,MATCH(ROWS($U$2:U483),$U$2:$U$1001,0),0), INDEX($AB$1004:$AQ$1004,1,MATCH(COLUMNS($AB$1006:AF1006),$AB$1006:$AQ$1006,0)))),"Fix")))</f>
        <v>0</v>
      </c>
      <c r="G483" s="5">
        <f>IF(OR(INDEX($V$2:$V$1001,MATCH(ROWS($U$2:U483),$U$2:$U$1001,0),1)&gt;=100000,INDEX($AB$1005:$AQ$1005,1,MATCH(COLUMNS($AB$1006:AG1006),$AB$1006:$AQ$1006,0))&gt;=100000), " ",IF(INDEX($AB$2:$AQ$1001,MATCH(ROWS($U$2:U483),$U$2:$U$1001,0),MATCH(COLUMNS($AB$1006:AG1006),$AB$1006:$AQ$1006,0)), HYPERLINK("#",""), HYPERLINK(CONCATENATE("#Metadata!", ADDRESS(INDEX($W$2:$W$1001,MATCH(ROWS($U$2:U483),$U$2:$U$1001,0),0), INDEX($AB$1004:$AQ$1004,1,MATCH(COLUMNS($AB$1006:AG1006),$AB$1006:$AQ$1006,0)))),"Fix")))</f>
        <v>0</v>
      </c>
      <c r="H483" s="5">
        <f>IF(OR(INDEX($V$2:$V$1001,MATCH(ROWS($U$2:U483),$U$2:$U$1001,0),1)&gt;=100000,INDEX($AB$1005:$AQ$1005,1,MATCH(COLUMNS($AB$1006:AH1006),$AB$1006:$AQ$1006,0))&gt;=100000), " ",IF(INDEX($AB$2:$AQ$1001,MATCH(ROWS($U$2:U483),$U$2:$U$1001,0),MATCH(COLUMNS($AB$1006:AH1006),$AB$1006:$AQ$1006,0)), HYPERLINK("#",""), HYPERLINK(CONCATENATE("#Metadata!", ADDRESS(INDEX($W$2:$W$1001,MATCH(ROWS($U$2:U483),$U$2:$U$1001,0),0), INDEX($AB$1004:$AQ$1004,1,MATCH(COLUMNS($AB$1006:AH1006),$AB$1006:$AQ$1006,0)))),"Fix")))</f>
        <v>0</v>
      </c>
      <c r="I483" s="5">
        <f>IF(OR(INDEX($V$2:$V$1001,MATCH(ROWS($U$2:U483),$U$2:$U$1001,0),1)&gt;=100000,INDEX($AB$1005:$AQ$1005,1,MATCH(COLUMNS($AB$1006:AI1006),$AB$1006:$AQ$1006,0))&gt;=100000), " ",IF(INDEX($AB$2:$AQ$1001,MATCH(ROWS($U$2:U483),$U$2:$U$1001,0),MATCH(COLUMNS($AB$1006:AI1006),$AB$1006:$AQ$1006,0)), HYPERLINK("#",""), HYPERLINK(CONCATENATE("#Metadata!", ADDRESS(INDEX($W$2:$W$1001,MATCH(ROWS($U$2:U483),$U$2:$U$1001,0),0), INDEX($AB$1004:$AQ$1004,1,MATCH(COLUMNS($AB$1006:AI1006),$AB$1006:$AQ$1006,0)))),"Fix")))</f>
        <v>0</v>
      </c>
      <c r="J483" s="5">
        <f>IF(OR(INDEX($V$2:$V$1001,MATCH(ROWS($U$2:U483),$U$2:$U$1001,0),1)&gt;=100000,INDEX($AB$1005:$AQ$1005,1,MATCH(COLUMNS($AB$1006:AJ1006),$AB$1006:$AQ$1006,0))&gt;=100000), " ",IF(INDEX($AB$2:$AQ$1001,MATCH(ROWS($U$2:U483),$U$2:$U$1001,0),MATCH(COLUMNS($AB$1006:AJ1006),$AB$1006:$AQ$1006,0)), HYPERLINK("#",""), HYPERLINK(CONCATENATE("#Metadata!", ADDRESS(INDEX($W$2:$W$1001,MATCH(ROWS($U$2:U483),$U$2:$U$1001,0),0), INDEX($AB$1004:$AQ$1004,1,MATCH(COLUMNS($AB$1006:AJ1006),$AB$1006:$AQ$1006,0)))),"Fix")))</f>
        <v>0</v>
      </c>
      <c r="K483" s="5">
        <f>IF(OR(INDEX($V$2:$V$1001,MATCH(ROWS($U$2:U483),$U$2:$U$1001,0),1)&gt;=100000,INDEX($AB$1005:$AQ$1005,1,MATCH(COLUMNS($AB$1006:AK1006),$AB$1006:$AQ$1006,0))&gt;=100000), " ",IF(INDEX($AB$2:$AQ$1001,MATCH(ROWS($U$2:U483),$U$2:$U$1001,0),MATCH(COLUMNS($AB$1006:AK1006),$AB$1006:$AQ$1006,0)), HYPERLINK("#",""), HYPERLINK(CONCATENATE("#Metadata!", ADDRESS(INDEX($W$2:$W$1001,MATCH(ROWS($U$2:U483),$U$2:$U$1001,0),0), INDEX($AB$1004:$AQ$1004,1,MATCH(COLUMNS($AB$1006:AK1006),$AB$1006:$AQ$1006,0)))),"Fix")))</f>
        <v>0</v>
      </c>
      <c r="L483" s="5">
        <f>IF(OR(INDEX($V$2:$V$1001,MATCH(ROWS($U$2:U483),$U$2:$U$1001,0),1)&gt;=100000,INDEX($AB$1005:$AQ$1005,1,MATCH(COLUMNS($AB$1006:AL1006),$AB$1006:$AQ$1006,0))&gt;=100000), " ",IF(INDEX($AB$2:$AQ$1001,MATCH(ROWS($U$2:U483),$U$2:$U$1001,0),MATCH(COLUMNS($AB$1006:AL1006),$AB$1006:$AQ$1006,0)), HYPERLINK("#",""), HYPERLINK(CONCATENATE("#Metadata!", ADDRESS(INDEX($W$2:$W$1001,MATCH(ROWS($U$2:U483),$U$2:$U$1001,0),0), INDEX($AB$1004:$AQ$1004,1,MATCH(COLUMNS($AB$1006:AL1006),$AB$1006:$AQ$1006,0)))),"Fix")))</f>
        <v>0</v>
      </c>
      <c r="M483" s="5">
        <f>IF(OR(INDEX($V$2:$V$1001,MATCH(ROWS($U$2:U483),$U$2:$U$1001,0),1)&gt;=100000,INDEX($AB$1005:$AQ$1005,1,MATCH(COLUMNS($AB$1006:AM1006),$AB$1006:$AQ$1006,0))&gt;=100000), " ",IF(INDEX($AB$2:$AQ$1001,MATCH(ROWS($U$2:U483),$U$2:$U$1001,0),MATCH(COLUMNS($AB$1006:AM1006),$AB$1006:$AQ$1006,0)), HYPERLINK("#",""), HYPERLINK(CONCATENATE("#Metadata!", ADDRESS(INDEX($W$2:$W$1001,MATCH(ROWS($U$2:U483),$U$2:$U$1001,0),0), INDEX($AB$1004:$AQ$1004,1,MATCH(COLUMNS($AB$1006:AM1006),$AB$1006:$AQ$1006,0)))),"Fix")))</f>
        <v>0</v>
      </c>
      <c r="N483" s="5">
        <f>IF(OR(INDEX($V$2:$V$1001,MATCH(ROWS($U$2:U483),$U$2:$U$1001,0),1)&gt;=100000,INDEX($AB$1005:$AQ$1005,1,MATCH(COLUMNS($AB$1006:AN1006),$AB$1006:$AQ$1006,0))&gt;=100000), " ",IF(INDEX($AB$2:$AQ$1001,MATCH(ROWS($U$2:U483),$U$2:$U$1001,0),MATCH(COLUMNS($AB$1006:AN1006),$AB$1006:$AQ$1006,0)), HYPERLINK("#",""), HYPERLINK(CONCATENATE("#Metadata!", ADDRESS(INDEX($W$2:$W$1001,MATCH(ROWS($U$2:U483),$U$2:$U$1001,0),0), INDEX($AB$1004:$AQ$1004,1,MATCH(COLUMNS($AB$1006:AN1006),$AB$1006:$AQ$1006,0)))),"Fix")))</f>
        <v>0</v>
      </c>
      <c r="O483" s="5">
        <f>IF(OR(INDEX($V$2:$V$1001,MATCH(ROWS($U$2:U483),$U$2:$U$1001,0),1)&gt;=100000,INDEX($AB$1005:$AQ$1005,1,MATCH(COLUMNS($AB$1006:AO1006),$AB$1006:$AQ$1006,0))&gt;=100000), " ",IF(INDEX($AB$2:$AQ$1001,MATCH(ROWS($U$2:U483),$U$2:$U$1001,0),MATCH(COLUMNS($AB$1006:AO1006),$AB$1006:$AQ$1006,0)), HYPERLINK("#",""), HYPERLINK(CONCATENATE("#Metadata!", ADDRESS(INDEX($W$2:$W$1001,MATCH(ROWS($U$2:U483),$U$2:$U$1001,0),0), INDEX($AB$1004:$AQ$1004,1,MATCH(COLUMNS($AB$1006:AO1006),$AB$1006:$AQ$1006,0)))),"Fix")))</f>
        <v>0</v>
      </c>
      <c r="P483" s="5">
        <f>IF(OR(INDEX($V$2:$V$1001,MATCH(ROWS($U$2:U483),$U$2:$U$1001,0),1)&gt;=100000,INDEX($AB$1005:$AQ$1005,1,MATCH(COLUMNS($AB$1006:AP1006),$AB$1006:$AQ$1006,0))&gt;=100000), " ",IF(INDEX($AB$2:$AQ$1001,MATCH(ROWS($U$2:U483),$U$2:$U$1001,0),MATCH(COLUMNS($AB$1006:AP1006),$AB$1006:$AQ$1006,0)), HYPERLINK("#",""), HYPERLINK(CONCATENATE("#Metadata!", ADDRESS(INDEX($W$2:$W$1001,MATCH(ROWS($U$2:U483),$U$2:$U$1001,0),0), INDEX($AB$1004:$AQ$1004,1,MATCH(COLUMNS($AB$1006:AP1006),$AB$1006:$AQ$1006,0)))),"Fix")))</f>
        <v>0</v>
      </c>
      <c r="Q483" s="5">
        <f>IF(OR(INDEX($V$2:$V$1001,MATCH(ROWS($U$2:U483),$U$2:$U$1001,0),1)&gt;=100000,INDEX($AB$1005:$AQ$1005,1,MATCH(COLUMNS($AB$1006:AQ1006),$AB$1006:$AQ$1006,0))&gt;=100000), " ",IF(INDEX($AB$2:$AQ$1001,MATCH(ROWS($U$2:U483),$U$2:$U$1001,0),MATCH(COLUMNS($AB$1006:AQ1006),$AB$1006:$AQ$1006,0)), HYPERLINK("#",""), HYPERLINK(CONCATENATE("#Metadata!", ADDRESS(INDEX($W$2:$W$1001,MATCH(ROWS($U$2:U483),$U$2:$U$1001,0),0), INDEX($AB$1004:$AQ$1004,1,MATCH(COLUMNS($AB$1006:AQ1006),$AB$1006:$AQ$1006,0)))),"Fix")))</f>
        <v>0</v>
      </c>
      <c r="U483">
        <v>0</v>
      </c>
      <c r="V483">
        <v>0</v>
      </c>
      <c r="W483">
        <v>0</v>
      </c>
      <c r="X483">
        <f>IF(Y483,TRUE,AND(AB483:AQ483))</f>
        <v>0</v>
      </c>
      <c r="Y483">
        <f>COUNTBLANK(Metadata!B483:Q483)=COLUMNS(Metadata!B483:Q483)</f>
        <v>0</v>
      </c>
      <c r="Z483">
        <v>0</v>
      </c>
      <c r="AB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AC483">
        <f>AND(IF(Metadata!C483="",FALSE,TRUE),exact(Metadata!C483,"urban biome"))</f>
        <v>0</v>
      </c>
      <c r="AD483">
        <f>AND(IF(Metadata!D483="",FALSE,TRUE),exact(Metadata!D483,"human-associated habitat"))</f>
        <v>0</v>
      </c>
      <c r="AE483">
        <f>AND(IF(Metadata!E483="",FALSE,TRUE),OR(exact(Metadata!E483,"human-associated"),exact(Metadata!E483,"human-skin"),exact(Metadata!E483,"human-oral"),exact(Metadata!E483,"human-gut"),exact(Metadata!E483,"human-vaginal")))</f>
        <v>0</v>
      </c>
      <c r="AF483">
        <f>AND(IF(Metadata!F483="",FALSE,ISNUMBER(VALUE(Metadata!F483))),Metadata!F483&gt;0)</f>
        <v>0</v>
      </c>
      <c r="AG483">
        <f>AND(IF(Metadata!G483="",FALSE,TRUE),exact(Metadata!G483,"years"))</f>
        <v>0</v>
      </c>
      <c r="AH483">
        <f>OR(AND(IF(Metadata!H483="",FALSE,TRUE),OR(exact(Metadata!H483,"not applicable"),exact(Metadata!H483,"not collected"),exact(Metadata!H483,"not provided"),exact(Metadata!H483,"restricted access"))),AND(IF(Metadata!H483="",FALSE,ISNUMBER(VALUE(Metadata!H483))),Metadata!H483&gt;0))</f>
        <v>0</v>
      </c>
      <c r="AI483">
        <f>AND(IF(Metadata!I483="",FALSE,TRUE),exact(Metadata!I483,"human"))</f>
        <v>0</v>
      </c>
      <c r="AJ483">
        <f>AND(IF(Metadata!J483="",FALSE,ISNUMBER(VALUE(Metadata!J483))),Metadata!J483&gt;0)</f>
        <v>0</v>
      </c>
      <c r="AK483">
        <f>AND(IF(Metadata!K483="",FALSE,TRUE),exact(Metadata!K483,"cm"))</f>
        <v>0</v>
      </c>
      <c r="AL483">
        <f>AND(IF(Metadata!L483="",FALSE,TRUE),exact(Metadata!L483,"Homo sapiens"))</f>
        <v>0</v>
      </c>
      <c r="AM483">
        <f>AND(IF(Metadata!M483="",FALSE,TRUE),exact(Metadata!M483,"9606"))</f>
        <v>0</v>
      </c>
      <c r="AN483">
        <f>AND(IF(Metadata!N483="",FALSE,ISNUMBER(VALUE(Metadata!N483))),Metadata!N483&gt;0)</f>
        <v>0</v>
      </c>
      <c r="AO483">
        <f>AND(IF(Metadata!O483="",FALSE,TRUE),exact(Metadata!O483,"kg"))</f>
        <v>0</v>
      </c>
      <c r="AP483">
        <f>OR(AND(IF(Metadata!P483="",FALSE,TRUE),exact(Metadata!P483,"not provided")),IF(Metadata!P483="",FALSE,TRUE))</f>
        <v>0</v>
      </c>
      <c r="AQ483">
        <f>OR(AND(IF(Metadata!Q483="",FALSE,TRUE),exact(Metadata!Q483,"not provided")),IF(Metadata!Q483="",FALSE,TRUE))</f>
        <v>0</v>
      </c>
    </row>
    <row r="484" spans="1:43">
      <c r="A484" s="4">
        <f>IF(B484=" "," ",HYPERLINK(CONCATENATE("#metadata!",ADDRESS(INDEX($W$2:$W$1001,MATCH(ROWS($U$2:U484),$U$2:$U$1001,0),0),2)),INDEX($Z$2:$Z$1001,MATCH(ROWS($U$2:U484),$U$2:$U$1001,0),0)))</f>
        <v>0</v>
      </c>
      <c r="B484" s="5">
        <f>IF(OR(INDEX($V$2:$V$1001,MATCH(ROWS($U$2:U484),$U$2:$U$1001,0),1)&gt;=100000,INDEX($AB$1005:$AQ$1005,1,MATCH(COLUMNS($AB$1006:AB1006),$AB$1006:$AQ$1006,0))&gt;=100000), " ",IF(INDEX($AB$2:$AQ$1001,MATCH(ROWS($U$2:U484),$U$2:$U$1001,0),MATCH(COLUMNS($AB$1006:AB1006),$AB$1006:$AQ$1006,0)), HYPERLINK("#",""), HYPERLINK(CONCATENATE("#Metadata!", ADDRESS(INDEX($W$2:$W$1001,MATCH(ROWS($U$2:U484),$U$2:$U$1001,0),0), INDEX($AB$1004:$AQ$1004,1,MATCH(COLUMNS($AB$1006:AB1006),$AB$1006:$AQ$1006,0)))),"Fix")))</f>
        <v>0</v>
      </c>
      <c r="C484" s="5">
        <f>IF(OR(INDEX($V$2:$V$1001,MATCH(ROWS($U$2:U484),$U$2:$U$1001,0),1)&gt;=100000,INDEX($AB$1005:$AQ$1005,1,MATCH(COLUMNS($AB$1006:AC1006),$AB$1006:$AQ$1006,0))&gt;=100000), " ",IF(INDEX($AB$2:$AQ$1001,MATCH(ROWS($U$2:U484),$U$2:$U$1001,0),MATCH(COLUMNS($AB$1006:AC1006),$AB$1006:$AQ$1006,0)), HYPERLINK("#",""), HYPERLINK(CONCATENATE("#Metadata!", ADDRESS(INDEX($W$2:$W$1001,MATCH(ROWS($U$2:U484),$U$2:$U$1001,0),0), INDEX($AB$1004:$AQ$1004,1,MATCH(COLUMNS($AB$1006:AC1006),$AB$1006:$AQ$1006,0)))),"Fix")))</f>
        <v>0</v>
      </c>
      <c r="D484" s="5">
        <f>IF(OR(INDEX($V$2:$V$1001,MATCH(ROWS($U$2:U484),$U$2:$U$1001,0),1)&gt;=100000,INDEX($AB$1005:$AQ$1005,1,MATCH(COLUMNS($AB$1006:AD1006),$AB$1006:$AQ$1006,0))&gt;=100000), " ",IF(INDEX($AB$2:$AQ$1001,MATCH(ROWS($U$2:U484),$U$2:$U$1001,0),MATCH(COLUMNS($AB$1006:AD1006),$AB$1006:$AQ$1006,0)), HYPERLINK("#",""), HYPERLINK(CONCATENATE("#Metadata!", ADDRESS(INDEX($W$2:$W$1001,MATCH(ROWS($U$2:U484),$U$2:$U$1001,0),0), INDEX($AB$1004:$AQ$1004,1,MATCH(COLUMNS($AB$1006:AD1006),$AB$1006:$AQ$1006,0)))),"Fix")))</f>
        <v>0</v>
      </c>
      <c r="E484" s="5">
        <f>IF(OR(INDEX($V$2:$V$1001,MATCH(ROWS($U$2:U484),$U$2:$U$1001,0),1)&gt;=100000,INDEX($AB$1005:$AQ$1005,1,MATCH(COLUMNS($AB$1006:AE1006),$AB$1006:$AQ$1006,0))&gt;=100000), " ",IF(INDEX($AB$2:$AQ$1001,MATCH(ROWS($U$2:U484),$U$2:$U$1001,0),MATCH(COLUMNS($AB$1006:AE1006),$AB$1006:$AQ$1006,0)), HYPERLINK("#",""), HYPERLINK(CONCATENATE("#Metadata!", ADDRESS(INDEX($W$2:$W$1001,MATCH(ROWS($U$2:U484),$U$2:$U$1001,0),0), INDEX($AB$1004:$AQ$1004,1,MATCH(COLUMNS($AB$1006:AE1006),$AB$1006:$AQ$1006,0)))),"Fix")))</f>
        <v>0</v>
      </c>
      <c r="F484" s="5">
        <f>IF(OR(INDEX($V$2:$V$1001,MATCH(ROWS($U$2:U484),$U$2:$U$1001,0),1)&gt;=100000,INDEX($AB$1005:$AQ$1005,1,MATCH(COLUMNS($AB$1006:AF1006),$AB$1006:$AQ$1006,0))&gt;=100000), " ",IF(INDEX($AB$2:$AQ$1001,MATCH(ROWS($U$2:U484),$U$2:$U$1001,0),MATCH(COLUMNS($AB$1006:AF1006),$AB$1006:$AQ$1006,0)), HYPERLINK("#",""), HYPERLINK(CONCATENATE("#Metadata!", ADDRESS(INDEX($W$2:$W$1001,MATCH(ROWS($U$2:U484),$U$2:$U$1001,0),0), INDEX($AB$1004:$AQ$1004,1,MATCH(COLUMNS($AB$1006:AF1006),$AB$1006:$AQ$1006,0)))),"Fix")))</f>
        <v>0</v>
      </c>
      <c r="G484" s="5">
        <f>IF(OR(INDEX($V$2:$V$1001,MATCH(ROWS($U$2:U484),$U$2:$U$1001,0),1)&gt;=100000,INDEX($AB$1005:$AQ$1005,1,MATCH(COLUMNS($AB$1006:AG1006),$AB$1006:$AQ$1006,0))&gt;=100000), " ",IF(INDEX($AB$2:$AQ$1001,MATCH(ROWS($U$2:U484),$U$2:$U$1001,0),MATCH(COLUMNS($AB$1006:AG1006),$AB$1006:$AQ$1006,0)), HYPERLINK("#",""), HYPERLINK(CONCATENATE("#Metadata!", ADDRESS(INDEX($W$2:$W$1001,MATCH(ROWS($U$2:U484),$U$2:$U$1001,0),0), INDEX($AB$1004:$AQ$1004,1,MATCH(COLUMNS($AB$1006:AG1006),$AB$1006:$AQ$1006,0)))),"Fix")))</f>
        <v>0</v>
      </c>
      <c r="H484" s="5">
        <f>IF(OR(INDEX($V$2:$V$1001,MATCH(ROWS($U$2:U484),$U$2:$U$1001,0),1)&gt;=100000,INDEX($AB$1005:$AQ$1005,1,MATCH(COLUMNS($AB$1006:AH1006),$AB$1006:$AQ$1006,0))&gt;=100000), " ",IF(INDEX($AB$2:$AQ$1001,MATCH(ROWS($U$2:U484),$U$2:$U$1001,0),MATCH(COLUMNS($AB$1006:AH1006),$AB$1006:$AQ$1006,0)), HYPERLINK("#",""), HYPERLINK(CONCATENATE("#Metadata!", ADDRESS(INDEX($W$2:$W$1001,MATCH(ROWS($U$2:U484),$U$2:$U$1001,0),0), INDEX($AB$1004:$AQ$1004,1,MATCH(COLUMNS($AB$1006:AH1006),$AB$1006:$AQ$1006,0)))),"Fix")))</f>
        <v>0</v>
      </c>
      <c r="I484" s="5">
        <f>IF(OR(INDEX($V$2:$V$1001,MATCH(ROWS($U$2:U484),$U$2:$U$1001,0),1)&gt;=100000,INDEX($AB$1005:$AQ$1005,1,MATCH(COLUMNS($AB$1006:AI1006),$AB$1006:$AQ$1006,0))&gt;=100000), " ",IF(INDEX($AB$2:$AQ$1001,MATCH(ROWS($U$2:U484),$U$2:$U$1001,0),MATCH(COLUMNS($AB$1006:AI1006),$AB$1006:$AQ$1006,0)), HYPERLINK("#",""), HYPERLINK(CONCATENATE("#Metadata!", ADDRESS(INDEX($W$2:$W$1001,MATCH(ROWS($U$2:U484),$U$2:$U$1001,0),0), INDEX($AB$1004:$AQ$1004,1,MATCH(COLUMNS($AB$1006:AI1006),$AB$1006:$AQ$1006,0)))),"Fix")))</f>
        <v>0</v>
      </c>
      <c r="J484" s="5">
        <f>IF(OR(INDEX($V$2:$V$1001,MATCH(ROWS($U$2:U484),$U$2:$U$1001,0),1)&gt;=100000,INDEX($AB$1005:$AQ$1005,1,MATCH(COLUMNS($AB$1006:AJ1006),$AB$1006:$AQ$1006,0))&gt;=100000), " ",IF(INDEX($AB$2:$AQ$1001,MATCH(ROWS($U$2:U484),$U$2:$U$1001,0),MATCH(COLUMNS($AB$1006:AJ1006),$AB$1006:$AQ$1006,0)), HYPERLINK("#",""), HYPERLINK(CONCATENATE("#Metadata!", ADDRESS(INDEX($W$2:$W$1001,MATCH(ROWS($U$2:U484),$U$2:$U$1001,0),0), INDEX($AB$1004:$AQ$1004,1,MATCH(COLUMNS($AB$1006:AJ1006),$AB$1006:$AQ$1006,0)))),"Fix")))</f>
        <v>0</v>
      </c>
      <c r="K484" s="5">
        <f>IF(OR(INDEX($V$2:$V$1001,MATCH(ROWS($U$2:U484),$U$2:$U$1001,0),1)&gt;=100000,INDEX($AB$1005:$AQ$1005,1,MATCH(COLUMNS($AB$1006:AK1006),$AB$1006:$AQ$1006,0))&gt;=100000), " ",IF(INDEX($AB$2:$AQ$1001,MATCH(ROWS($U$2:U484),$U$2:$U$1001,0),MATCH(COLUMNS($AB$1006:AK1006),$AB$1006:$AQ$1006,0)), HYPERLINK("#",""), HYPERLINK(CONCATENATE("#Metadata!", ADDRESS(INDEX($W$2:$W$1001,MATCH(ROWS($U$2:U484),$U$2:$U$1001,0),0), INDEX($AB$1004:$AQ$1004,1,MATCH(COLUMNS($AB$1006:AK1006),$AB$1006:$AQ$1006,0)))),"Fix")))</f>
        <v>0</v>
      </c>
      <c r="L484" s="5">
        <f>IF(OR(INDEX($V$2:$V$1001,MATCH(ROWS($U$2:U484),$U$2:$U$1001,0),1)&gt;=100000,INDEX($AB$1005:$AQ$1005,1,MATCH(COLUMNS($AB$1006:AL1006),$AB$1006:$AQ$1006,0))&gt;=100000), " ",IF(INDEX($AB$2:$AQ$1001,MATCH(ROWS($U$2:U484),$U$2:$U$1001,0),MATCH(COLUMNS($AB$1006:AL1006),$AB$1006:$AQ$1006,0)), HYPERLINK("#",""), HYPERLINK(CONCATENATE("#Metadata!", ADDRESS(INDEX($W$2:$W$1001,MATCH(ROWS($U$2:U484),$U$2:$U$1001,0),0), INDEX($AB$1004:$AQ$1004,1,MATCH(COLUMNS($AB$1006:AL1006),$AB$1006:$AQ$1006,0)))),"Fix")))</f>
        <v>0</v>
      </c>
      <c r="M484" s="5">
        <f>IF(OR(INDEX($V$2:$V$1001,MATCH(ROWS($U$2:U484),$U$2:$U$1001,0),1)&gt;=100000,INDEX($AB$1005:$AQ$1005,1,MATCH(COLUMNS($AB$1006:AM1006),$AB$1006:$AQ$1006,0))&gt;=100000), " ",IF(INDEX($AB$2:$AQ$1001,MATCH(ROWS($U$2:U484),$U$2:$U$1001,0),MATCH(COLUMNS($AB$1006:AM1006),$AB$1006:$AQ$1006,0)), HYPERLINK("#",""), HYPERLINK(CONCATENATE("#Metadata!", ADDRESS(INDEX($W$2:$W$1001,MATCH(ROWS($U$2:U484),$U$2:$U$1001,0),0), INDEX($AB$1004:$AQ$1004,1,MATCH(COLUMNS($AB$1006:AM1006),$AB$1006:$AQ$1006,0)))),"Fix")))</f>
        <v>0</v>
      </c>
      <c r="N484" s="5">
        <f>IF(OR(INDEX($V$2:$V$1001,MATCH(ROWS($U$2:U484),$U$2:$U$1001,0),1)&gt;=100000,INDEX($AB$1005:$AQ$1005,1,MATCH(COLUMNS($AB$1006:AN1006),$AB$1006:$AQ$1006,0))&gt;=100000), " ",IF(INDEX($AB$2:$AQ$1001,MATCH(ROWS($U$2:U484),$U$2:$U$1001,0),MATCH(COLUMNS($AB$1006:AN1006),$AB$1006:$AQ$1006,0)), HYPERLINK("#",""), HYPERLINK(CONCATENATE("#Metadata!", ADDRESS(INDEX($W$2:$W$1001,MATCH(ROWS($U$2:U484),$U$2:$U$1001,0),0), INDEX($AB$1004:$AQ$1004,1,MATCH(COLUMNS($AB$1006:AN1006),$AB$1006:$AQ$1006,0)))),"Fix")))</f>
        <v>0</v>
      </c>
      <c r="O484" s="5">
        <f>IF(OR(INDEX($V$2:$V$1001,MATCH(ROWS($U$2:U484),$U$2:$U$1001,0),1)&gt;=100000,INDEX($AB$1005:$AQ$1005,1,MATCH(COLUMNS($AB$1006:AO1006),$AB$1006:$AQ$1006,0))&gt;=100000), " ",IF(INDEX($AB$2:$AQ$1001,MATCH(ROWS($U$2:U484),$U$2:$U$1001,0),MATCH(COLUMNS($AB$1006:AO1006),$AB$1006:$AQ$1006,0)), HYPERLINK("#",""), HYPERLINK(CONCATENATE("#Metadata!", ADDRESS(INDEX($W$2:$W$1001,MATCH(ROWS($U$2:U484),$U$2:$U$1001,0),0), INDEX($AB$1004:$AQ$1004,1,MATCH(COLUMNS($AB$1006:AO1006),$AB$1006:$AQ$1006,0)))),"Fix")))</f>
        <v>0</v>
      </c>
      <c r="P484" s="5">
        <f>IF(OR(INDEX($V$2:$V$1001,MATCH(ROWS($U$2:U484),$U$2:$U$1001,0),1)&gt;=100000,INDEX($AB$1005:$AQ$1005,1,MATCH(COLUMNS($AB$1006:AP1006),$AB$1006:$AQ$1006,0))&gt;=100000), " ",IF(INDEX($AB$2:$AQ$1001,MATCH(ROWS($U$2:U484),$U$2:$U$1001,0),MATCH(COLUMNS($AB$1006:AP1006),$AB$1006:$AQ$1006,0)), HYPERLINK("#",""), HYPERLINK(CONCATENATE("#Metadata!", ADDRESS(INDEX($W$2:$W$1001,MATCH(ROWS($U$2:U484),$U$2:$U$1001,0),0), INDEX($AB$1004:$AQ$1004,1,MATCH(COLUMNS($AB$1006:AP1006),$AB$1006:$AQ$1006,0)))),"Fix")))</f>
        <v>0</v>
      </c>
      <c r="Q484" s="5">
        <f>IF(OR(INDEX($V$2:$V$1001,MATCH(ROWS($U$2:U484),$U$2:$U$1001,0),1)&gt;=100000,INDEX($AB$1005:$AQ$1005,1,MATCH(COLUMNS($AB$1006:AQ1006),$AB$1006:$AQ$1006,0))&gt;=100000), " ",IF(INDEX($AB$2:$AQ$1001,MATCH(ROWS($U$2:U484),$U$2:$U$1001,0),MATCH(COLUMNS($AB$1006:AQ1006),$AB$1006:$AQ$1006,0)), HYPERLINK("#",""), HYPERLINK(CONCATENATE("#Metadata!", ADDRESS(INDEX($W$2:$W$1001,MATCH(ROWS($U$2:U484),$U$2:$U$1001,0),0), INDEX($AB$1004:$AQ$1004,1,MATCH(COLUMNS($AB$1006:AQ1006),$AB$1006:$AQ$1006,0)))),"Fix")))</f>
        <v>0</v>
      </c>
      <c r="U484">
        <v>0</v>
      </c>
      <c r="V484">
        <v>0</v>
      </c>
      <c r="W484">
        <v>0</v>
      </c>
      <c r="X484">
        <f>IF(Y484,TRUE,AND(AB484:AQ484))</f>
        <v>0</v>
      </c>
      <c r="Y484">
        <f>COUNTBLANK(Metadata!B484:Q484)=COLUMNS(Metadata!B484:Q484)</f>
        <v>0</v>
      </c>
      <c r="Z484">
        <v>0</v>
      </c>
      <c r="AB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AC484">
        <f>AND(IF(Metadata!C484="",FALSE,TRUE),exact(Metadata!C484,"urban biome"))</f>
        <v>0</v>
      </c>
      <c r="AD484">
        <f>AND(IF(Metadata!D484="",FALSE,TRUE),exact(Metadata!D484,"human-associated habitat"))</f>
        <v>0</v>
      </c>
      <c r="AE484">
        <f>AND(IF(Metadata!E484="",FALSE,TRUE),OR(exact(Metadata!E484,"human-associated"),exact(Metadata!E484,"human-skin"),exact(Metadata!E484,"human-oral"),exact(Metadata!E484,"human-gut"),exact(Metadata!E484,"human-vaginal")))</f>
        <v>0</v>
      </c>
      <c r="AF484">
        <f>AND(IF(Metadata!F484="",FALSE,ISNUMBER(VALUE(Metadata!F484))),Metadata!F484&gt;0)</f>
        <v>0</v>
      </c>
      <c r="AG484">
        <f>AND(IF(Metadata!G484="",FALSE,TRUE),exact(Metadata!G484,"years"))</f>
        <v>0</v>
      </c>
      <c r="AH484">
        <f>OR(AND(IF(Metadata!H484="",FALSE,TRUE),OR(exact(Metadata!H484,"not applicable"),exact(Metadata!H484,"not collected"),exact(Metadata!H484,"not provided"),exact(Metadata!H484,"restricted access"))),AND(IF(Metadata!H484="",FALSE,ISNUMBER(VALUE(Metadata!H484))),Metadata!H484&gt;0))</f>
        <v>0</v>
      </c>
      <c r="AI484">
        <f>AND(IF(Metadata!I484="",FALSE,TRUE),exact(Metadata!I484,"human"))</f>
        <v>0</v>
      </c>
      <c r="AJ484">
        <f>AND(IF(Metadata!J484="",FALSE,ISNUMBER(VALUE(Metadata!J484))),Metadata!J484&gt;0)</f>
        <v>0</v>
      </c>
      <c r="AK484">
        <f>AND(IF(Metadata!K484="",FALSE,TRUE),exact(Metadata!K484,"cm"))</f>
        <v>0</v>
      </c>
      <c r="AL484">
        <f>AND(IF(Metadata!L484="",FALSE,TRUE),exact(Metadata!L484,"Homo sapiens"))</f>
        <v>0</v>
      </c>
      <c r="AM484">
        <f>AND(IF(Metadata!M484="",FALSE,TRUE),exact(Metadata!M484,"9606"))</f>
        <v>0</v>
      </c>
      <c r="AN484">
        <f>AND(IF(Metadata!N484="",FALSE,ISNUMBER(VALUE(Metadata!N484))),Metadata!N484&gt;0)</f>
        <v>0</v>
      </c>
      <c r="AO484">
        <f>AND(IF(Metadata!O484="",FALSE,TRUE),exact(Metadata!O484,"kg"))</f>
        <v>0</v>
      </c>
      <c r="AP484">
        <f>OR(AND(IF(Metadata!P484="",FALSE,TRUE),exact(Metadata!P484,"not provided")),IF(Metadata!P484="",FALSE,TRUE))</f>
        <v>0</v>
      </c>
      <c r="AQ484">
        <f>OR(AND(IF(Metadata!Q484="",FALSE,TRUE),exact(Metadata!Q484,"not provided")),IF(Metadata!Q484="",FALSE,TRUE))</f>
        <v>0</v>
      </c>
    </row>
    <row r="485" spans="1:43">
      <c r="A485" s="4">
        <f>IF(B485=" "," ",HYPERLINK(CONCATENATE("#metadata!",ADDRESS(INDEX($W$2:$W$1001,MATCH(ROWS($U$2:U485),$U$2:$U$1001,0),0),2)),INDEX($Z$2:$Z$1001,MATCH(ROWS($U$2:U485),$U$2:$U$1001,0),0)))</f>
        <v>0</v>
      </c>
      <c r="B485" s="5">
        <f>IF(OR(INDEX($V$2:$V$1001,MATCH(ROWS($U$2:U485),$U$2:$U$1001,0),1)&gt;=100000,INDEX($AB$1005:$AQ$1005,1,MATCH(COLUMNS($AB$1006:AB1006),$AB$1006:$AQ$1006,0))&gt;=100000), " ",IF(INDEX($AB$2:$AQ$1001,MATCH(ROWS($U$2:U485),$U$2:$U$1001,0),MATCH(COLUMNS($AB$1006:AB1006),$AB$1006:$AQ$1006,0)), HYPERLINK("#",""), HYPERLINK(CONCATENATE("#Metadata!", ADDRESS(INDEX($W$2:$W$1001,MATCH(ROWS($U$2:U485),$U$2:$U$1001,0),0), INDEX($AB$1004:$AQ$1004,1,MATCH(COLUMNS($AB$1006:AB1006),$AB$1006:$AQ$1006,0)))),"Fix")))</f>
        <v>0</v>
      </c>
      <c r="C485" s="5">
        <f>IF(OR(INDEX($V$2:$V$1001,MATCH(ROWS($U$2:U485),$U$2:$U$1001,0),1)&gt;=100000,INDEX($AB$1005:$AQ$1005,1,MATCH(COLUMNS($AB$1006:AC1006),$AB$1006:$AQ$1006,0))&gt;=100000), " ",IF(INDEX($AB$2:$AQ$1001,MATCH(ROWS($U$2:U485),$U$2:$U$1001,0),MATCH(COLUMNS($AB$1006:AC1006),$AB$1006:$AQ$1006,0)), HYPERLINK("#",""), HYPERLINK(CONCATENATE("#Metadata!", ADDRESS(INDEX($W$2:$W$1001,MATCH(ROWS($U$2:U485),$U$2:$U$1001,0),0), INDEX($AB$1004:$AQ$1004,1,MATCH(COLUMNS($AB$1006:AC1006),$AB$1006:$AQ$1006,0)))),"Fix")))</f>
        <v>0</v>
      </c>
      <c r="D485" s="5">
        <f>IF(OR(INDEX($V$2:$V$1001,MATCH(ROWS($U$2:U485),$U$2:$U$1001,0),1)&gt;=100000,INDEX($AB$1005:$AQ$1005,1,MATCH(COLUMNS($AB$1006:AD1006),$AB$1006:$AQ$1006,0))&gt;=100000), " ",IF(INDEX($AB$2:$AQ$1001,MATCH(ROWS($U$2:U485),$U$2:$U$1001,0),MATCH(COLUMNS($AB$1006:AD1006),$AB$1006:$AQ$1006,0)), HYPERLINK("#",""), HYPERLINK(CONCATENATE("#Metadata!", ADDRESS(INDEX($W$2:$W$1001,MATCH(ROWS($U$2:U485),$U$2:$U$1001,0),0), INDEX($AB$1004:$AQ$1004,1,MATCH(COLUMNS($AB$1006:AD1006),$AB$1006:$AQ$1006,0)))),"Fix")))</f>
        <v>0</v>
      </c>
      <c r="E485" s="5">
        <f>IF(OR(INDEX($V$2:$V$1001,MATCH(ROWS($U$2:U485),$U$2:$U$1001,0),1)&gt;=100000,INDEX($AB$1005:$AQ$1005,1,MATCH(COLUMNS($AB$1006:AE1006),$AB$1006:$AQ$1006,0))&gt;=100000), " ",IF(INDEX($AB$2:$AQ$1001,MATCH(ROWS($U$2:U485),$U$2:$U$1001,0),MATCH(COLUMNS($AB$1006:AE1006),$AB$1006:$AQ$1006,0)), HYPERLINK("#",""), HYPERLINK(CONCATENATE("#Metadata!", ADDRESS(INDEX($W$2:$W$1001,MATCH(ROWS($U$2:U485),$U$2:$U$1001,0),0), INDEX($AB$1004:$AQ$1004,1,MATCH(COLUMNS($AB$1006:AE1006),$AB$1006:$AQ$1006,0)))),"Fix")))</f>
        <v>0</v>
      </c>
      <c r="F485" s="5">
        <f>IF(OR(INDEX($V$2:$V$1001,MATCH(ROWS($U$2:U485),$U$2:$U$1001,0),1)&gt;=100000,INDEX($AB$1005:$AQ$1005,1,MATCH(COLUMNS($AB$1006:AF1006),$AB$1006:$AQ$1006,0))&gt;=100000), " ",IF(INDEX($AB$2:$AQ$1001,MATCH(ROWS($U$2:U485),$U$2:$U$1001,0),MATCH(COLUMNS($AB$1006:AF1006),$AB$1006:$AQ$1006,0)), HYPERLINK("#",""), HYPERLINK(CONCATENATE("#Metadata!", ADDRESS(INDEX($W$2:$W$1001,MATCH(ROWS($U$2:U485),$U$2:$U$1001,0),0), INDEX($AB$1004:$AQ$1004,1,MATCH(COLUMNS($AB$1006:AF1006),$AB$1006:$AQ$1006,0)))),"Fix")))</f>
        <v>0</v>
      </c>
      <c r="G485" s="5">
        <f>IF(OR(INDEX($V$2:$V$1001,MATCH(ROWS($U$2:U485),$U$2:$U$1001,0),1)&gt;=100000,INDEX($AB$1005:$AQ$1005,1,MATCH(COLUMNS($AB$1006:AG1006),$AB$1006:$AQ$1006,0))&gt;=100000), " ",IF(INDEX($AB$2:$AQ$1001,MATCH(ROWS($U$2:U485),$U$2:$U$1001,0),MATCH(COLUMNS($AB$1006:AG1006),$AB$1006:$AQ$1006,0)), HYPERLINK("#",""), HYPERLINK(CONCATENATE("#Metadata!", ADDRESS(INDEX($W$2:$W$1001,MATCH(ROWS($U$2:U485),$U$2:$U$1001,0),0), INDEX($AB$1004:$AQ$1004,1,MATCH(COLUMNS($AB$1006:AG1006),$AB$1006:$AQ$1006,0)))),"Fix")))</f>
        <v>0</v>
      </c>
      <c r="H485" s="5">
        <f>IF(OR(INDEX($V$2:$V$1001,MATCH(ROWS($U$2:U485),$U$2:$U$1001,0),1)&gt;=100000,INDEX($AB$1005:$AQ$1005,1,MATCH(COLUMNS($AB$1006:AH1006),$AB$1006:$AQ$1006,0))&gt;=100000), " ",IF(INDEX($AB$2:$AQ$1001,MATCH(ROWS($U$2:U485),$U$2:$U$1001,0),MATCH(COLUMNS($AB$1006:AH1006),$AB$1006:$AQ$1006,0)), HYPERLINK("#",""), HYPERLINK(CONCATENATE("#Metadata!", ADDRESS(INDEX($W$2:$W$1001,MATCH(ROWS($U$2:U485),$U$2:$U$1001,0),0), INDEX($AB$1004:$AQ$1004,1,MATCH(COLUMNS($AB$1006:AH1006),$AB$1006:$AQ$1006,0)))),"Fix")))</f>
        <v>0</v>
      </c>
      <c r="I485" s="5">
        <f>IF(OR(INDEX($V$2:$V$1001,MATCH(ROWS($U$2:U485),$U$2:$U$1001,0),1)&gt;=100000,INDEX($AB$1005:$AQ$1005,1,MATCH(COLUMNS($AB$1006:AI1006),$AB$1006:$AQ$1006,0))&gt;=100000), " ",IF(INDEX($AB$2:$AQ$1001,MATCH(ROWS($U$2:U485),$U$2:$U$1001,0),MATCH(COLUMNS($AB$1006:AI1006),$AB$1006:$AQ$1006,0)), HYPERLINK("#",""), HYPERLINK(CONCATENATE("#Metadata!", ADDRESS(INDEX($W$2:$W$1001,MATCH(ROWS($U$2:U485),$U$2:$U$1001,0),0), INDEX($AB$1004:$AQ$1004,1,MATCH(COLUMNS($AB$1006:AI1006),$AB$1006:$AQ$1006,0)))),"Fix")))</f>
        <v>0</v>
      </c>
      <c r="J485" s="5">
        <f>IF(OR(INDEX($V$2:$V$1001,MATCH(ROWS($U$2:U485),$U$2:$U$1001,0),1)&gt;=100000,INDEX($AB$1005:$AQ$1005,1,MATCH(COLUMNS($AB$1006:AJ1006),$AB$1006:$AQ$1006,0))&gt;=100000), " ",IF(INDEX($AB$2:$AQ$1001,MATCH(ROWS($U$2:U485),$U$2:$U$1001,0),MATCH(COLUMNS($AB$1006:AJ1006),$AB$1006:$AQ$1006,0)), HYPERLINK("#",""), HYPERLINK(CONCATENATE("#Metadata!", ADDRESS(INDEX($W$2:$W$1001,MATCH(ROWS($U$2:U485),$U$2:$U$1001,0),0), INDEX($AB$1004:$AQ$1004,1,MATCH(COLUMNS($AB$1006:AJ1006),$AB$1006:$AQ$1006,0)))),"Fix")))</f>
        <v>0</v>
      </c>
      <c r="K485" s="5">
        <f>IF(OR(INDEX($V$2:$V$1001,MATCH(ROWS($U$2:U485),$U$2:$U$1001,0),1)&gt;=100000,INDEX($AB$1005:$AQ$1005,1,MATCH(COLUMNS($AB$1006:AK1006),$AB$1006:$AQ$1006,0))&gt;=100000), " ",IF(INDEX($AB$2:$AQ$1001,MATCH(ROWS($U$2:U485),$U$2:$U$1001,0),MATCH(COLUMNS($AB$1006:AK1006),$AB$1006:$AQ$1006,0)), HYPERLINK("#",""), HYPERLINK(CONCATENATE("#Metadata!", ADDRESS(INDEX($W$2:$W$1001,MATCH(ROWS($U$2:U485),$U$2:$U$1001,0),0), INDEX($AB$1004:$AQ$1004,1,MATCH(COLUMNS($AB$1006:AK1006),$AB$1006:$AQ$1006,0)))),"Fix")))</f>
        <v>0</v>
      </c>
      <c r="L485" s="5">
        <f>IF(OR(INDEX($V$2:$V$1001,MATCH(ROWS($U$2:U485),$U$2:$U$1001,0),1)&gt;=100000,INDEX($AB$1005:$AQ$1005,1,MATCH(COLUMNS($AB$1006:AL1006),$AB$1006:$AQ$1006,0))&gt;=100000), " ",IF(INDEX($AB$2:$AQ$1001,MATCH(ROWS($U$2:U485),$U$2:$U$1001,0),MATCH(COLUMNS($AB$1006:AL1006),$AB$1006:$AQ$1006,0)), HYPERLINK("#",""), HYPERLINK(CONCATENATE("#Metadata!", ADDRESS(INDEX($W$2:$W$1001,MATCH(ROWS($U$2:U485),$U$2:$U$1001,0),0), INDEX($AB$1004:$AQ$1004,1,MATCH(COLUMNS($AB$1006:AL1006),$AB$1006:$AQ$1006,0)))),"Fix")))</f>
        <v>0</v>
      </c>
      <c r="M485" s="5">
        <f>IF(OR(INDEX($V$2:$V$1001,MATCH(ROWS($U$2:U485),$U$2:$U$1001,0),1)&gt;=100000,INDEX($AB$1005:$AQ$1005,1,MATCH(COLUMNS($AB$1006:AM1006),$AB$1006:$AQ$1006,0))&gt;=100000), " ",IF(INDEX($AB$2:$AQ$1001,MATCH(ROWS($U$2:U485),$U$2:$U$1001,0),MATCH(COLUMNS($AB$1006:AM1006),$AB$1006:$AQ$1006,0)), HYPERLINK("#",""), HYPERLINK(CONCATENATE("#Metadata!", ADDRESS(INDEX($W$2:$W$1001,MATCH(ROWS($U$2:U485),$U$2:$U$1001,0),0), INDEX($AB$1004:$AQ$1004,1,MATCH(COLUMNS($AB$1006:AM1006),$AB$1006:$AQ$1006,0)))),"Fix")))</f>
        <v>0</v>
      </c>
      <c r="N485" s="5">
        <f>IF(OR(INDEX($V$2:$V$1001,MATCH(ROWS($U$2:U485),$U$2:$U$1001,0),1)&gt;=100000,INDEX($AB$1005:$AQ$1005,1,MATCH(COLUMNS($AB$1006:AN1006),$AB$1006:$AQ$1006,0))&gt;=100000), " ",IF(INDEX($AB$2:$AQ$1001,MATCH(ROWS($U$2:U485),$U$2:$U$1001,0),MATCH(COLUMNS($AB$1006:AN1006),$AB$1006:$AQ$1006,0)), HYPERLINK("#",""), HYPERLINK(CONCATENATE("#Metadata!", ADDRESS(INDEX($W$2:$W$1001,MATCH(ROWS($U$2:U485),$U$2:$U$1001,0),0), INDEX($AB$1004:$AQ$1004,1,MATCH(COLUMNS($AB$1006:AN1006),$AB$1006:$AQ$1006,0)))),"Fix")))</f>
        <v>0</v>
      </c>
      <c r="O485" s="5">
        <f>IF(OR(INDEX($V$2:$V$1001,MATCH(ROWS($U$2:U485),$U$2:$U$1001,0),1)&gt;=100000,INDEX($AB$1005:$AQ$1005,1,MATCH(COLUMNS($AB$1006:AO1006),$AB$1006:$AQ$1006,0))&gt;=100000), " ",IF(INDEX($AB$2:$AQ$1001,MATCH(ROWS($U$2:U485),$U$2:$U$1001,0),MATCH(COLUMNS($AB$1006:AO1006),$AB$1006:$AQ$1006,0)), HYPERLINK("#",""), HYPERLINK(CONCATENATE("#Metadata!", ADDRESS(INDEX($W$2:$W$1001,MATCH(ROWS($U$2:U485),$U$2:$U$1001,0),0), INDEX($AB$1004:$AQ$1004,1,MATCH(COLUMNS($AB$1006:AO1006),$AB$1006:$AQ$1006,0)))),"Fix")))</f>
        <v>0</v>
      </c>
      <c r="P485" s="5">
        <f>IF(OR(INDEX($V$2:$V$1001,MATCH(ROWS($U$2:U485),$U$2:$U$1001,0),1)&gt;=100000,INDEX($AB$1005:$AQ$1005,1,MATCH(COLUMNS($AB$1006:AP1006),$AB$1006:$AQ$1006,0))&gt;=100000), " ",IF(INDEX($AB$2:$AQ$1001,MATCH(ROWS($U$2:U485),$U$2:$U$1001,0),MATCH(COLUMNS($AB$1006:AP1006),$AB$1006:$AQ$1006,0)), HYPERLINK("#",""), HYPERLINK(CONCATENATE("#Metadata!", ADDRESS(INDEX($W$2:$W$1001,MATCH(ROWS($U$2:U485),$U$2:$U$1001,0),0), INDEX($AB$1004:$AQ$1004,1,MATCH(COLUMNS($AB$1006:AP1006),$AB$1006:$AQ$1006,0)))),"Fix")))</f>
        <v>0</v>
      </c>
      <c r="Q485" s="5">
        <f>IF(OR(INDEX($V$2:$V$1001,MATCH(ROWS($U$2:U485),$U$2:$U$1001,0),1)&gt;=100000,INDEX($AB$1005:$AQ$1005,1,MATCH(COLUMNS($AB$1006:AQ1006),$AB$1006:$AQ$1006,0))&gt;=100000), " ",IF(INDEX($AB$2:$AQ$1001,MATCH(ROWS($U$2:U485),$U$2:$U$1001,0),MATCH(COLUMNS($AB$1006:AQ1006),$AB$1006:$AQ$1006,0)), HYPERLINK("#",""), HYPERLINK(CONCATENATE("#Metadata!", ADDRESS(INDEX($W$2:$W$1001,MATCH(ROWS($U$2:U485),$U$2:$U$1001,0),0), INDEX($AB$1004:$AQ$1004,1,MATCH(COLUMNS($AB$1006:AQ1006),$AB$1006:$AQ$1006,0)))),"Fix")))</f>
        <v>0</v>
      </c>
      <c r="U485">
        <v>0</v>
      </c>
      <c r="V485">
        <v>0</v>
      </c>
      <c r="W485">
        <v>0</v>
      </c>
      <c r="X485">
        <f>IF(Y485,TRUE,AND(AB485:AQ485))</f>
        <v>0</v>
      </c>
      <c r="Y485">
        <f>COUNTBLANK(Metadata!B485:Q485)=COLUMNS(Metadata!B485:Q485)</f>
        <v>0</v>
      </c>
      <c r="Z485">
        <v>0</v>
      </c>
      <c r="AB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AC485">
        <f>AND(IF(Metadata!C485="",FALSE,TRUE),exact(Metadata!C485,"urban biome"))</f>
        <v>0</v>
      </c>
      <c r="AD485">
        <f>AND(IF(Metadata!D485="",FALSE,TRUE),exact(Metadata!D485,"human-associated habitat"))</f>
        <v>0</v>
      </c>
      <c r="AE485">
        <f>AND(IF(Metadata!E485="",FALSE,TRUE),OR(exact(Metadata!E485,"human-associated"),exact(Metadata!E485,"human-skin"),exact(Metadata!E485,"human-oral"),exact(Metadata!E485,"human-gut"),exact(Metadata!E485,"human-vaginal")))</f>
        <v>0</v>
      </c>
      <c r="AF485">
        <f>AND(IF(Metadata!F485="",FALSE,ISNUMBER(VALUE(Metadata!F485))),Metadata!F485&gt;0)</f>
        <v>0</v>
      </c>
      <c r="AG485">
        <f>AND(IF(Metadata!G485="",FALSE,TRUE),exact(Metadata!G485,"years"))</f>
        <v>0</v>
      </c>
      <c r="AH485">
        <f>OR(AND(IF(Metadata!H485="",FALSE,TRUE),OR(exact(Metadata!H485,"not applicable"),exact(Metadata!H485,"not collected"),exact(Metadata!H485,"not provided"),exact(Metadata!H485,"restricted access"))),AND(IF(Metadata!H485="",FALSE,ISNUMBER(VALUE(Metadata!H485))),Metadata!H485&gt;0))</f>
        <v>0</v>
      </c>
      <c r="AI485">
        <f>AND(IF(Metadata!I485="",FALSE,TRUE),exact(Metadata!I485,"human"))</f>
        <v>0</v>
      </c>
      <c r="AJ485">
        <f>AND(IF(Metadata!J485="",FALSE,ISNUMBER(VALUE(Metadata!J485))),Metadata!J485&gt;0)</f>
        <v>0</v>
      </c>
      <c r="AK485">
        <f>AND(IF(Metadata!K485="",FALSE,TRUE),exact(Metadata!K485,"cm"))</f>
        <v>0</v>
      </c>
      <c r="AL485">
        <f>AND(IF(Metadata!L485="",FALSE,TRUE),exact(Metadata!L485,"Homo sapiens"))</f>
        <v>0</v>
      </c>
      <c r="AM485">
        <f>AND(IF(Metadata!M485="",FALSE,TRUE),exact(Metadata!M485,"9606"))</f>
        <v>0</v>
      </c>
      <c r="AN485">
        <f>AND(IF(Metadata!N485="",FALSE,ISNUMBER(VALUE(Metadata!N485))),Metadata!N485&gt;0)</f>
        <v>0</v>
      </c>
      <c r="AO485">
        <f>AND(IF(Metadata!O485="",FALSE,TRUE),exact(Metadata!O485,"kg"))</f>
        <v>0</v>
      </c>
      <c r="AP485">
        <f>OR(AND(IF(Metadata!P485="",FALSE,TRUE),exact(Metadata!P485,"not provided")),IF(Metadata!P485="",FALSE,TRUE))</f>
        <v>0</v>
      </c>
      <c r="AQ485">
        <f>OR(AND(IF(Metadata!Q485="",FALSE,TRUE),exact(Metadata!Q485,"not provided")),IF(Metadata!Q485="",FALSE,TRUE))</f>
        <v>0</v>
      </c>
    </row>
    <row r="486" spans="1:43">
      <c r="A486" s="4">
        <f>IF(B486=" "," ",HYPERLINK(CONCATENATE("#metadata!",ADDRESS(INDEX($W$2:$W$1001,MATCH(ROWS($U$2:U486),$U$2:$U$1001,0),0),2)),INDEX($Z$2:$Z$1001,MATCH(ROWS($U$2:U486),$U$2:$U$1001,0),0)))</f>
        <v>0</v>
      </c>
      <c r="B486" s="5">
        <f>IF(OR(INDEX($V$2:$V$1001,MATCH(ROWS($U$2:U486),$U$2:$U$1001,0),1)&gt;=100000,INDEX($AB$1005:$AQ$1005,1,MATCH(COLUMNS($AB$1006:AB1006),$AB$1006:$AQ$1006,0))&gt;=100000), " ",IF(INDEX($AB$2:$AQ$1001,MATCH(ROWS($U$2:U486),$U$2:$U$1001,0),MATCH(COLUMNS($AB$1006:AB1006),$AB$1006:$AQ$1006,0)), HYPERLINK("#",""), HYPERLINK(CONCATENATE("#Metadata!", ADDRESS(INDEX($W$2:$W$1001,MATCH(ROWS($U$2:U486),$U$2:$U$1001,0),0), INDEX($AB$1004:$AQ$1004,1,MATCH(COLUMNS($AB$1006:AB1006),$AB$1006:$AQ$1006,0)))),"Fix")))</f>
        <v>0</v>
      </c>
      <c r="C486" s="5">
        <f>IF(OR(INDEX($V$2:$V$1001,MATCH(ROWS($U$2:U486),$U$2:$U$1001,0),1)&gt;=100000,INDEX($AB$1005:$AQ$1005,1,MATCH(COLUMNS($AB$1006:AC1006),$AB$1006:$AQ$1006,0))&gt;=100000), " ",IF(INDEX($AB$2:$AQ$1001,MATCH(ROWS($U$2:U486),$U$2:$U$1001,0),MATCH(COLUMNS($AB$1006:AC1006),$AB$1006:$AQ$1006,0)), HYPERLINK("#",""), HYPERLINK(CONCATENATE("#Metadata!", ADDRESS(INDEX($W$2:$W$1001,MATCH(ROWS($U$2:U486),$U$2:$U$1001,0),0), INDEX($AB$1004:$AQ$1004,1,MATCH(COLUMNS($AB$1006:AC1006),$AB$1006:$AQ$1006,0)))),"Fix")))</f>
        <v>0</v>
      </c>
      <c r="D486" s="5">
        <f>IF(OR(INDEX($V$2:$V$1001,MATCH(ROWS($U$2:U486),$U$2:$U$1001,0),1)&gt;=100000,INDEX($AB$1005:$AQ$1005,1,MATCH(COLUMNS($AB$1006:AD1006),$AB$1006:$AQ$1006,0))&gt;=100000), " ",IF(INDEX($AB$2:$AQ$1001,MATCH(ROWS($U$2:U486),$U$2:$U$1001,0),MATCH(COLUMNS($AB$1006:AD1006),$AB$1006:$AQ$1006,0)), HYPERLINK("#",""), HYPERLINK(CONCATENATE("#Metadata!", ADDRESS(INDEX($W$2:$W$1001,MATCH(ROWS($U$2:U486),$U$2:$U$1001,0),0), INDEX($AB$1004:$AQ$1004,1,MATCH(COLUMNS($AB$1006:AD1006),$AB$1006:$AQ$1006,0)))),"Fix")))</f>
        <v>0</v>
      </c>
      <c r="E486" s="5">
        <f>IF(OR(INDEX($V$2:$V$1001,MATCH(ROWS($U$2:U486),$U$2:$U$1001,0),1)&gt;=100000,INDEX($AB$1005:$AQ$1005,1,MATCH(COLUMNS($AB$1006:AE1006),$AB$1006:$AQ$1006,0))&gt;=100000), " ",IF(INDEX($AB$2:$AQ$1001,MATCH(ROWS($U$2:U486),$U$2:$U$1001,0),MATCH(COLUMNS($AB$1006:AE1006),$AB$1006:$AQ$1006,0)), HYPERLINK("#",""), HYPERLINK(CONCATENATE("#Metadata!", ADDRESS(INDEX($W$2:$W$1001,MATCH(ROWS($U$2:U486),$U$2:$U$1001,0),0), INDEX($AB$1004:$AQ$1004,1,MATCH(COLUMNS($AB$1006:AE1006),$AB$1006:$AQ$1006,0)))),"Fix")))</f>
        <v>0</v>
      </c>
      <c r="F486" s="5">
        <f>IF(OR(INDEX($V$2:$V$1001,MATCH(ROWS($U$2:U486),$U$2:$U$1001,0),1)&gt;=100000,INDEX($AB$1005:$AQ$1005,1,MATCH(COLUMNS($AB$1006:AF1006),$AB$1006:$AQ$1006,0))&gt;=100000), " ",IF(INDEX($AB$2:$AQ$1001,MATCH(ROWS($U$2:U486),$U$2:$U$1001,0),MATCH(COLUMNS($AB$1006:AF1006),$AB$1006:$AQ$1006,0)), HYPERLINK("#",""), HYPERLINK(CONCATENATE("#Metadata!", ADDRESS(INDEX($W$2:$W$1001,MATCH(ROWS($U$2:U486),$U$2:$U$1001,0),0), INDEX($AB$1004:$AQ$1004,1,MATCH(COLUMNS($AB$1006:AF1006),$AB$1006:$AQ$1006,0)))),"Fix")))</f>
        <v>0</v>
      </c>
      <c r="G486" s="5">
        <f>IF(OR(INDEX($V$2:$V$1001,MATCH(ROWS($U$2:U486),$U$2:$U$1001,0),1)&gt;=100000,INDEX($AB$1005:$AQ$1005,1,MATCH(COLUMNS($AB$1006:AG1006),$AB$1006:$AQ$1006,0))&gt;=100000), " ",IF(INDEX($AB$2:$AQ$1001,MATCH(ROWS($U$2:U486),$U$2:$U$1001,0),MATCH(COLUMNS($AB$1006:AG1006),$AB$1006:$AQ$1006,0)), HYPERLINK("#",""), HYPERLINK(CONCATENATE("#Metadata!", ADDRESS(INDEX($W$2:$W$1001,MATCH(ROWS($U$2:U486),$U$2:$U$1001,0),0), INDEX($AB$1004:$AQ$1004,1,MATCH(COLUMNS($AB$1006:AG1006),$AB$1006:$AQ$1006,0)))),"Fix")))</f>
        <v>0</v>
      </c>
      <c r="H486" s="5">
        <f>IF(OR(INDEX($V$2:$V$1001,MATCH(ROWS($U$2:U486),$U$2:$U$1001,0),1)&gt;=100000,INDEX($AB$1005:$AQ$1005,1,MATCH(COLUMNS($AB$1006:AH1006),$AB$1006:$AQ$1006,0))&gt;=100000), " ",IF(INDEX($AB$2:$AQ$1001,MATCH(ROWS($U$2:U486),$U$2:$U$1001,0),MATCH(COLUMNS($AB$1006:AH1006),$AB$1006:$AQ$1006,0)), HYPERLINK("#",""), HYPERLINK(CONCATENATE("#Metadata!", ADDRESS(INDEX($W$2:$W$1001,MATCH(ROWS($U$2:U486),$U$2:$U$1001,0),0), INDEX($AB$1004:$AQ$1004,1,MATCH(COLUMNS($AB$1006:AH1006),$AB$1006:$AQ$1006,0)))),"Fix")))</f>
        <v>0</v>
      </c>
      <c r="I486" s="5">
        <f>IF(OR(INDEX($V$2:$V$1001,MATCH(ROWS($U$2:U486),$U$2:$U$1001,0),1)&gt;=100000,INDEX($AB$1005:$AQ$1005,1,MATCH(COLUMNS($AB$1006:AI1006),$AB$1006:$AQ$1006,0))&gt;=100000), " ",IF(INDEX($AB$2:$AQ$1001,MATCH(ROWS($U$2:U486),$U$2:$U$1001,0),MATCH(COLUMNS($AB$1006:AI1006),$AB$1006:$AQ$1006,0)), HYPERLINK("#",""), HYPERLINK(CONCATENATE("#Metadata!", ADDRESS(INDEX($W$2:$W$1001,MATCH(ROWS($U$2:U486),$U$2:$U$1001,0),0), INDEX($AB$1004:$AQ$1004,1,MATCH(COLUMNS($AB$1006:AI1006),$AB$1006:$AQ$1006,0)))),"Fix")))</f>
        <v>0</v>
      </c>
      <c r="J486" s="5">
        <f>IF(OR(INDEX($V$2:$V$1001,MATCH(ROWS($U$2:U486),$U$2:$U$1001,0),1)&gt;=100000,INDEX($AB$1005:$AQ$1005,1,MATCH(COLUMNS($AB$1006:AJ1006),$AB$1006:$AQ$1006,0))&gt;=100000), " ",IF(INDEX($AB$2:$AQ$1001,MATCH(ROWS($U$2:U486),$U$2:$U$1001,0),MATCH(COLUMNS($AB$1006:AJ1006),$AB$1006:$AQ$1006,0)), HYPERLINK("#",""), HYPERLINK(CONCATENATE("#Metadata!", ADDRESS(INDEX($W$2:$W$1001,MATCH(ROWS($U$2:U486),$U$2:$U$1001,0),0), INDEX($AB$1004:$AQ$1004,1,MATCH(COLUMNS($AB$1006:AJ1006),$AB$1006:$AQ$1006,0)))),"Fix")))</f>
        <v>0</v>
      </c>
      <c r="K486" s="5">
        <f>IF(OR(INDEX($V$2:$V$1001,MATCH(ROWS($U$2:U486),$U$2:$U$1001,0),1)&gt;=100000,INDEX($AB$1005:$AQ$1005,1,MATCH(COLUMNS($AB$1006:AK1006),$AB$1006:$AQ$1006,0))&gt;=100000), " ",IF(INDEX($AB$2:$AQ$1001,MATCH(ROWS($U$2:U486),$U$2:$U$1001,0),MATCH(COLUMNS($AB$1006:AK1006),$AB$1006:$AQ$1006,0)), HYPERLINK("#",""), HYPERLINK(CONCATENATE("#Metadata!", ADDRESS(INDEX($W$2:$W$1001,MATCH(ROWS($U$2:U486),$U$2:$U$1001,0),0), INDEX($AB$1004:$AQ$1004,1,MATCH(COLUMNS($AB$1006:AK1006),$AB$1006:$AQ$1006,0)))),"Fix")))</f>
        <v>0</v>
      </c>
      <c r="L486" s="5">
        <f>IF(OR(INDEX($V$2:$V$1001,MATCH(ROWS($U$2:U486),$U$2:$U$1001,0),1)&gt;=100000,INDEX($AB$1005:$AQ$1005,1,MATCH(COLUMNS($AB$1006:AL1006),$AB$1006:$AQ$1006,0))&gt;=100000), " ",IF(INDEX($AB$2:$AQ$1001,MATCH(ROWS($U$2:U486),$U$2:$U$1001,0),MATCH(COLUMNS($AB$1006:AL1006),$AB$1006:$AQ$1006,0)), HYPERLINK("#",""), HYPERLINK(CONCATENATE("#Metadata!", ADDRESS(INDEX($W$2:$W$1001,MATCH(ROWS($U$2:U486),$U$2:$U$1001,0),0), INDEX($AB$1004:$AQ$1004,1,MATCH(COLUMNS($AB$1006:AL1006),$AB$1006:$AQ$1006,0)))),"Fix")))</f>
        <v>0</v>
      </c>
      <c r="M486" s="5">
        <f>IF(OR(INDEX($V$2:$V$1001,MATCH(ROWS($U$2:U486),$U$2:$U$1001,0),1)&gt;=100000,INDEX($AB$1005:$AQ$1005,1,MATCH(COLUMNS($AB$1006:AM1006),$AB$1006:$AQ$1006,0))&gt;=100000), " ",IF(INDEX($AB$2:$AQ$1001,MATCH(ROWS($U$2:U486),$U$2:$U$1001,0),MATCH(COLUMNS($AB$1006:AM1006),$AB$1006:$AQ$1006,0)), HYPERLINK("#",""), HYPERLINK(CONCATENATE("#Metadata!", ADDRESS(INDEX($W$2:$W$1001,MATCH(ROWS($U$2:U486),$U$2:$U$1001,0),0), INDEX($AB$1004:$AQ$1004,1,MATCH(COLUMNS($AB$1006:AM1006),$AB$1006:$AQ$1006,0)))),"Fix")))</f>
        <v>0</v>
      </c>
      <c r="N486" s="5">
        <f>IF(OR(INDEX($V$2:$V$1001,MATCH(ROWS($U$2:U486),$U$2:$U$1001,0),1)&gt;=100000,INDEX($AB$1005:$AQ$1005,1,MATCH(COLUMNS($AB$1006:AN1006),$AB$1006:$AQ$1006,0))&gt;=100000), " ",IF(INDEX($AB$2:$AQ$1001,MATCH(ROWS($U$2:U486),$U$2:$U$1001,0),MATCH(COLUMNS($AB$1006:AN1006),$AB$1006:$AQ$1006,0)), HYPERLINK("#",""), HYPERLINK(CONCATENATE("#Metadata!", ADDRESS(INDEX($W$2:$W$1001,MATCH(ROWS($U$2:U486),$U$2:$U$1001,0),0), INDEX($AB$1004:$AQ$1004,1,MATCH(COLUMNS($AB$1006:AN1006),$AB$1006:$AQ$1006,0)))),"Fix")))</f>
        <v>0</v>
      </c>
      <c r="O486" s="5">
        <f>IF(OR(INDEX($V$2:$V$1001,MATCH(ROWS($U$2:U486),$U$2:$U$1001,0),1)&gt;=100000,INDEX($AB$1005:$AQ$1005,1,MATCH(COLUMNS($AB$1006:AO1006),$AB$1006:$AQ$1006,0))&gt;=100000), " ",IF(INDEX($AB$2:$AQ$1001,MATCH(ROWS($U$2:U486),$U$2:$U$1001,0),MATCH(COLUMNS($AB$1006:AO1006),$AB$1006:$AQ$1006,0)), HYPERLINK("#",""), HYPERLINK(CONCATENATE("#Metadata!", ADDRESS(INDEX($W$2:$W$1001,MATCH(ROWS($U$2:U486),$U$2:$U$1001,0),0), INDEX($AB$1004:$AQ$1004,1,MATCH(COLUMNS($AB$1006:AO1006),$AB$1006:$AQ$1006,0)))),"Fix")))</f>
        <v>0</v>
      </c>
      <c r="P486" s="5">
        <f>IF(OR(INDEX($V$2:$V$1001,MATCH(ROWS($U$2:U486),$U$2:$U$1001,0),1)&gt;=100000,INDEX($AB$1005:$AQ$1005,1,MATCH(COLUMNS($AB$1006:AP1006),$AB$1006:$AQ$1006,0))&gt;=100000), " ",IF(INDEX($AB$2:$AQ$1001,MATCH(ROWS($U$2:U486),$U$2:$U$1001,0),MATCH(COLUMNS($AB$1006:AP1006),$AB$1006:$AQ$1006,0)), HYPERLINK("#",""), HYPERLINK(CONCATENATE("#Metadata!", ADDRESS(INDEX($W$2:$W$1001,MATCH(ROWS($U$2:U486),$U$2:$U$1001,0),0), INDEX($AB$1004:$AQ$1004,1,MATCH(COLUMNS($AB$1006:AP1006),$AB$1006:$AQ$1006,0)))),"Fix")))</f>
        <v>0</v>
      </c>
      <c r="Q486" s="5">
        <f>IF(OR(INDEX($V$2:$V$1001,MATCH(ROWS($U$2:U486),$U$2:$U$1001,0),1)&gt;=100000,INDEX($AB$1005:$AQ$1005,1,MATCH(COLUMNS($AB$1006:AQ1006),$AB$1006:$AQ$1006,0))&gt;=100000), " ",IF(INDEX($AB$2:$AQ$1001,MATCH(ROWS($U$2:U486),$U$2:$U$1001,0),MATCH(COLUMNS($AB$1006:AQ1006),$AB$1006:$AQ$1006,0)), HYPERLINK("#",""), HYPERLINK(CONCATENATE("#Metadata!", ADDRESS(INDEX($W$2:$W$1001,MATCH(ROWS($U$2:U486),$U$2:$U$1001,0),0), INDEX($AB$1004:$AQ$1004,1,MATCH(COLUMNS($AB$1006:AQ1006),$AB$1006:$AQ$1006,0)))),"Fix")))</f>
        <v>0</v>
      </c>
      <c r="U486">
        <v>0</v>
      </c>
      <c r="V486">
        <v>0</v>
      </c>
      <c r="W486">
        <v>0</v>
      </c>
      <c r="X486">
        <f>IF(Y486,TRUE,AND(AB486:AQ486))</f>
        <v>0</v>
      </c>
      <c r="Y486">
        <f>COUNTBLANK(Metadata!B486:Q486)=COLUMNS(Metadata!B486:Q486)</f>
        <v>0</v>
      </c>
      <c r="Z486">
        <v>0</v>
      </c>
      <c r="AB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AC486">
        <f>AND(IF(Metadata!C486="",FALSE,TRUE),exact(Metadata!C486,"urban biome"))</f>
        <v>0</v>
      </c>
      <c r="AD486">
        <f>AND(IF(Metadata!D486="",FALSE,TRUE),exact(Metadata!D486,"human-associated habitat"))</f>
        <v>0</v>
      </c>
      <c r="AE486">
        <f>AND(IF(Metadata!E486="",FALSE,TRUE),OR(exact(Metadata!E486,"human-associated"),exact(Metadata!E486,"human-skin"),exact(Metadata!E486,"human-oral"),exact(Metadata!E486,"human-gut"),exact(Metadata!E486,"human-vaginal")))</f>
        <v>0</v>
      </c>
      <c r="AF486">
        <f>AND(IF(Metadata!F486="",FALSE,ISNUMBER(VALUE(Metadata!F486))),Metadata!F486&gt;0)</f>
        <v>0</v>
      </c>
      <c r="AG486">
        <f>AND(IF(Metadata!G486="",FALSE,TRUE),exact(Metadata!G486,"years"))</f>
        <v>0</v>
      </c>
      <c r="AH486">
        <f>OR(AND(IF(Metadata!H486="",FALSE,TRUE),OR(exact(Metadata!H486,"not applicable"),exact(Metadata!H486,"not collected"),exact(Metadata!H486,"not provided"),exact(Metadata!H486,"restricted access"))),AND(IF(Metadata!H486="",FALSE,ISNUMBER(VALUE(Metadata!H486))),Metadata!H486&gt;0))</f>
        <v>0</v>
      </c>
      <c r="AI486">
        <f>AND(IF(Metadata!I486="",FALSE,TRUE),exact(Metadata!I486,"human"))</f>
        <v>0</v>
      </c>
      <c r="AJ486">
        <f>AND(IF(Metadata!J486="",FALSE,ISNUMBER(VALUE(Metadata!J486))),Metadata!J486&gt;0)</f>
        <v>0</v>
      </c>
      <c r="AK486">
        <f>AND(IF(Metadata!K486="",FALSE,TRUE),exact(Metadata!K486,"cm"))</f>
        <v>0</v>
      </c>
      <c r="AL486">
        <f>AND(IF(Metadata!L486="",FALSE,TRUE),exact(Metadata!L486,"Homo sapiens"))</f>
        <v>0</v>
      </c>
      <c r="AM486">
        <f>AND(IF(Metadata!M486="",FALSE,TRUE),exact(Metadata!M486,"9606"))</f>
        <v>0</v>
      </c>
      <c r="AN486">
        <f>AND(IF(Metadata!N486="",FALSE,ISNUMBER(VALUE(Metadata!N486))),Metadata!N486&gt;0)</f>
        <v>0</v>
      </c>
      <c r="AO486">
        <f>AND(IF(Metadata!O486="",FALSE,TRUE),exact(Metadata!O486,"kg"))</f>
        <v>0</v>
      </c>
      <c r="AP486">
        <f>OR(AND(IF(Metadata!P486="",FALSE,TRUE),exact(Metadata!P486,"not provided")),IF(Metadata!P486="",FALSE,TRUE))</f>
        <v>0</v>
      </c>
      <c r="AQ486">
        <f>OR(AND(IF(Metadata!Q486="",FALSE,TRUE),exact(Metadata!Q486,"not provided")),IF(Metadata!Q486="",FALSE,TRUE))</f>
        <v>0</v>
      </c>
    </row>
    <row r="487" spans="1:43">
      <c r="A487" s="4">
        <f>IF(B487=" "," ",HYPERLINK(CONCATENATE("#metadata!",ADDRESS(INDEX($W$2:$W$1001,MATCH(ROWS($U$2:U487),$U$2:$U$1001,0),0),2)),INDEX($Z$2:$Z$1001,MATCH(ROWS($U$2:U487),$U$2:$U$1001,0),0)))</f>
        <v>0</v>
      </c>
      <c r="B487" s="5">
        <f>IF(OR(INDEX($V$2:$V$1001,MATCH(ROWS($U$2:U487),$U$2:$U$1001,0),1)&gt;=100000,INDEX($AB$1005:$AQ$1005,1,MATCH(COLUMNS($AB$1006:AB1006),$AB$1006:$AQ$1006,0))&gt;=100000), " ",IF(INDEX($AB$2:$AQ$1001,MATCH(ROWS($U$2:U487),$U$2:$U$1001,0),MATCH(COLUMNS($AB$1006:AB1006),$AB$1006:$AQ$1006,0)), HYPERLINK("#",""), HYPERLINK(CONCATENATE("#Metadata!", ADDRESS(INDEX($W$2:$W$1001,MATCH(ROWS($U$2:U487),$U$2:$U$1001,0),0), INDEX($AB$1004:$AQ$1004,1,MATCH(COLUMNS($AB$1006:AB1006),$AB$1006:$AQ$1006,0)))),"Fix")))</f>
        <v>0</v>
      </c>
      <c r="C487" s="5">
        <f>IF(OR(INDEX($V$2:$V$1001,MATCH(ROWS($U$2:U487),$U$2:$U$1001,0),1)&gt;=100000,INDEX($AB$1005:$AQ$1005,1,MATCH(COLUMNS($AB$1006:AC1006),$AB$1006:$AQ$1006,0))&gt;=100000), " ",IF(INDEX($AB$2:$AQ$1001,MATCH(ROWS($U$2:U487),$U$2:$U$1001,0),MATCH(COLUMNS($AB$1006:AC1006),$AB$1006:$AQ$1006,0)), HYPERLINK("#",""), HYPERLINK(CONCATENATE("#Metadata!", ADDRESS(INDEX($W$2:$W$1001,MATCH(ROWS($U$2:U487),$U$2:$U$1001,0),0), INDEX($AB$1004:$AQ$1004,1,MATCH(COLUMNS($AB$1006:AC1006),$AB$1006:$AQ$1006,0)))),"Fix")))</f>
        <v>0</v>
      </c>
      <c r="D487" s="5">
        <f>IF(OR(INDEX($V$2:$V$1001,MATCH(ROWS($U$2:U487),$U$2:$U$1001,0),1)&gt;=100000,INDEX($AB$1005:$AQ$1005,1,MATCH(COLUMNS($AB$1006:AD1006),$AB$1006:$AQ$1006,0))&gt;=100000), " ",IF(INDEX($AB$2:$AQ$1001,MATCH(ROWS($U$2:U487),$U$2:$U$1001,0),MATCH(COLUMNS($AB$1006:AD1006),$AB$1006:$AQ$1006,0)), HYPERLINK("#",""), HYPERLINK(CONCATENATE("#Metadata!", ADDRESS(INDEX($W$2:$W$1001,MATCH(ROWS($U$2:U487),$U$2:$U$1001,0),0), INDEX($AB$1004:$AQ$1004,1,MATCH(COLUMNS($AB$1006:AD1006),$AB$1006:$AQ$1006,0)))),"Fix")))</f>
        <v>0</v>
      </c>
      <c r="E487" s="5">
        <f>IF(OR(INDEX($V$2:$V$1001,MATCH(ROWS($U$2:U487),$U$2:$U$1001,0),1)&gt;=100000,INDEX($AB$1005:$AQ$1005,1,MATCH(COLUMNS($AB$1006:AE1006),$AB$1006:$AQ$1006,0))&gt;=100000), " ",IF(INDEX($AB$2:$AQ$1001,MATCH(ROWS($U$2:U487),$U$2:$U$1001,0),MATCH(COLUMNS($AB$1006:AE1006),$AB$1006:$AQ$1006,0)), HYPERLINK("#",""), HYPERLINK(CONCATENATE("#Metadata!", ADDRESS(INDEX($W$2:$W$1001,MATCH(ROWS($U$2:U487),$U$2:$U$1001,0),0), INDEX($AB$1004:$AQ$1004,1,MATCH(COLUMNS($AB$1006:AE1006),$AB$1006:$AQ$1006,0)))),"Fix")))</f>
        <v>0</v>
      </c>
      <c r="F487" s="5">
        <f>IF(OR(INDEX($V$2:$V$1001,MATCH(ROWS($U$2:U487),$U$2:$U$1001,0),1)&gt;=100000,INDEX($AB$1005:$AQ$1005,1,MATCH(COLUMNS($AB$1006:AF1006),$AB$1006:$AQ$1006,0))&gt;=100000), " ",IF(INDEX($AB$2:$AQ$1001,MATCH(ROWS($U$2:U487),$U$2:$U$1001,0),MATCH(COLUMNS($AB$1006:AF1006),$AB$1006:$AQ$1006,0)), HYPERLINK("#",""), HYPERLINK(CONCATENATE("#Metadata!", ADDRESS(INDEX($W$2:$W$1001,MATCH(ROWS($U$2:U487),$U$2:$U$1001,0),0), INDEX($AB$1004:$AQ$1004,1,MATCH(COLUMNS($AB$1006:AF1006),$AB$1006:$AQ$1006,0)))),"Fix")))</f>
        <v>0</v>
      </c>
      <c r="G487" s="5">
        <f>IF(OR(INDEX($V$2:$V$1001,MATCH(ROWS($U$2:U487),$U$2:$U$1001,0),1)&gt;=100000,INDEX($AB$1005:$AQ$1005,1,MATCH(COLUMNS($AB$1006:AG1006),$AB$1006:$AQ$1006,0))&gt;=100000), " ",IF(INDEX($AB$2:$AQ$1001,MATCH(ROWS($U$2:U487),$U$2:$U$1001,0),MATCH(COLUMNS($AB$1006:AG1006),$AB$1006:$AQ$1006,0)), HYPERLINK("#",""), HYPERLINK(CONCATENATE("#Metadata!", ADDRESS(INDEX($W$2:$W$1001,MATCH(ROWS($U$2:U487),$U$2:$U$1001,0),0), INDEX($AB$1004:$AQ$1004,1,MATCH(COLUMNS($AB$1006:AG1006),$AB$1006:$AQ$1006,0)))),"Fix")))</f>
        <v>0</v>
      </c>
      <c r="H487" s="5">
        <f>IF(OR(INDEX($V$2:$V$1001,MATCH(ROWS($U$2:U487),$U$2:$U$1001,0),1)&gt;=100000,INDEX($AB$1005:$AQ$1005,1,MATCH(COLUMNS($AB$1006:AH1006),$AB$1006:$AQ$1006,0))&gt;=100000), " ",IF(INDEX($AB$2:$AQ$1001,MATCH(ROWS($U$2:U487),$U$2:$U$1001,0),MATCH(COLUMNS($AB$1006:AH1006),$AB$1006:$AQ$1006,0)), HYPERLINK("#",""), HYPERLINK(CONCATENATE("#Metadata!", ADDRESS(INDEX($W$2:$W$1001,MATCH(ROWS($U$2:U487),$U$2:$U$1001,0),0), INDEX($AB$1004:$AQ$1004,1,MATCH(COLUMNS($AB$1006:AH1006),$AB$1006:$AQ$1006,0)))),"Fix")))</f>
        <v>0</v>
      </c>
      <c r="I487" s="5">
        <f>IF(OR(INDEX($V$2:$V$1001,MATCH(ROWS($U$2:U487),$U$2:$U$1001,0),1)&gt;=100000,INDEX($AB$1005:$AQ$1005,1,MATCH(COLUMNS($AB$1006:AI1006),$AB$1006:$AQ$1006,0))&gt;=100000), " ",IF(INDEX($AB$2:$AQ$1001,MATCH(ROWS($U$2:U487),$U$2:$U$1001,0),MATCH(COLUMNS($AB$1006:AI1006),$AB$1006:$AQ$1006,0)), HYPERLINK("#",""), HYPERLINK(CONCATENATE("#Metadata!", ADDRESS(INDEX($W$2:$W$1001,MATCH(ROWS($U$2:U487),$U$2:$U$1001,0),0), INDEX($AB$1004:$AQ$1004,1,MATCH(COLUMNS($AB$1006:AI1006),$AB$1006:$AQ$1006,0)))),"Fix")))</f>
        <v>0</v>
      </c>
      <c r="J487" s="5">
        <f>IF(OR(INDEX($V$2:$V$1001,MATCH(ROWS($U$2:U487),$U$2:$U$1001,0),1)&gt;=100000,INDEX($AB$1005:$AQ$1005,1,MATCH(COLUMNS($AB$1006:AJ1006),$AB$1006:$AQ$1006,0))&gt;=100000), " ",IF(INDEX($AB$2:$AQ$1001,MATCH(ROWS($U$2:U487),$U$2:$U$1001,0),MATCH(COLUMNS($AB$1006:AJ1006),$AB$1006:$AQ$1006,0)), HYPERLINK("#",""), HYPERLINK(CONCATENATE("#Metadata!", ADDRESS(INDEX($W$2:$W$1001,MATCH(ROWS($U$2:U487),$U$2:$U$1001,0),0), INDEX($AB$1004:$AQ$1004,1,MATCH(COLUMNS($AB$1006:AJ1006),$AB$1006:$AQ$1006,0)))),"Fix")))</f>
        <v>0</v>
      </c>
      <c r="K487" s="5">
        <f>IF(OR(INDEX($V$2:$V$1001,MATCH(ROWS($U$2:U487),$U$2:$U$1001,0),1)&gt;=100000,INDEX($AB$1005:$AQ$1005,1,MATCH(COLUMNS($AB$1006:AK1006),$AB$1006:$AQ$1006,0))&gt;=100000), " ",IF(INDEX($AB$2:$AQ$1001,MATCH(ROWS($U$2:U487),$U$2:$U$1001,0),MATCH(COLUMNS($AB$1006:AK1006),$AB$1006:$AQ$1006,0)), HYPERLINK("#",""), HYPERLINK(CONCATENATE("#Metadata!", ADDRESS(INDEX($W$2:$W$1001,MATCH(ROWS($U$2:U487),$U$2:$U$1001,0),0), INDEX($AB$1004:$AQ$1004,1,MATCH(COLUMNS($AB$1006:AK1006),$AB$1006:$AQ$1006,0)))),"Fix")))</f>
        <v>0</v>
      </c>
      <c r="L487" s="5">
        <f>IF(OR(INDEX($V$2:$V$1001,MATCH(ROWS($U$2:U487),$U$2:$U$1001,0),1)&gt;=100000,INDEX($AB$1005:$AQ$1005,1,MATCH(COLUMNS($AB$1006:AL1006),$AB$1006:$AQ$1006,0))&gt;=100000), " ",IF(INDEX($AB$2:$AQ$1001,MATCH(ROWS($U$2:U487),$U$2:$U$1001,0),MATCH(COLUMNS($AB$1006:AL1006),$AB$1006:$AQ$1006,0)), HYPERLINK("#",""), HYPERLINK(CONCATENATE("#Metadata!", ADDRESS(INDEX($W$2:$W$1001,MATCH(ROWS($U$2:U487),$U$2:$U$1001,0),0), INDEX($AB$1004:$AQ$1004,1,MATCH(COLUMNS($AB$1006:AL1006),$AB$1006:$AQ$1006,0)))),"Fix")))</f>
        <v>0</v>
      </c>
      <c r="M487" s="5">
        <f>IF(OR(INDEX($V$2:$V$1001,MATCH(ROWS($U$2:U487),$U$2:$U$1001,0),1)&gt;=100000,INDEX($AB$1005:$AQ$1005,1,MATCH(COLUMNS($AB$1006:AM1006),$AB$1006:$AQ$1006,0))&gt;=100000), " ",IF(INDEX($AB$2:$AQ$1001,MATCH(ROWS($U$2:U487),$U$2:$U$1001,0),MATCH(COLUMNS($AB$1006:AM1006),$AB$1006:$AQ$1006,0)), HYPERLINK("#",""), HYPERLINK(CONCATENATE("#Metadata!", ADDRESS(INDEX($W$2:$W$1001,MATCH(ROWS($U$2:U487),$U$2:$U$1001,0),0), INDEX($AB$1004:$AQ$1004,1,MATCH(COLUMNS($AB$1006:AM1006),$AB$1006:$AQ$1006,0)))),"Fix")))</f>
        <v>0</v>
      </c>
      <c r="N487" s="5">
        <f>IF(OR(INDEX($V$2:$V$1001,MATCH(ROWS($U$2:U487),$U$2:$U$1001,0),1)&gt;=100000,INDEX($AB$1005:$AQ$1005,1,MATCH(COLUMNS($AB$1006:AN1006),$AB$1006:$AQ$1006,0))&gt;=100000), " ",IF(INDEX($AB$2:$AQ$1001,MATCH(ROWS($U$2:U487),$U$2:$U$1001,0),MATCH(COLUMNS($AB$1006:AN1006),$AB$1006:$AQ$1006,0)), HYPERLINK("#",""), HYPERLINK(CONCATENATE("#Metadata!", ADDRESS(INDEX($W$2:$W$1001,MATCH(ROWS($U$2:U487),$U$2:$U$1001,0),0), INDEX($AB$1004:$AQ$1004,1,MATCH(COLUMNS($AB$1006:AN1006),$AB$1006:$AQ$1006,0)))),"Fix")))</f>
        <v>0</v>
      </c>
      <c r="O487" s="5">
        <f>IF(OR(INDEX($V$2:$V$1001,MATCH(ROWS($U$2:U487),$U$2:$U$1001,0),1)&gt;=100000,INDEX($AB$1005:$AQ$1005,1,MATCH(COLUMNS($AB$1006:AO1006),$AB$1006:$AQ$1006,0))&gt;=100000), " ",IF(INDEX($AB$2:$AQ$1001,MATCH(ROWS($U$2:U487),$U$2:$U$1001,0),MATCH(COLUMNS($AB$1006:AO1006),$AB$1006:$AQ$1006,0)), HYPERLINK("#",""), HYPERLINK(CONCATENATE("#Metadata!", ADDRESS(INDEX($W$2:$W$1001,MATCH(ROWS($U$2:U487),$U$2:$U$1001,0),0), INDEX($AB$1004:$AQ$1004,1,MATCH(COLUMNS($AB$1006:AO1006),$AB$1006:$AQ$1006,0)))),"Fix")))</f>
        <v>0</v>
      </c>
      <c r="P487" s="5">
        <f>IF(OR(INDEX($V$2:$V$1001,MATCH(ROWS($U$2:U487),$U$2:$U$1001,0),1)&gt;=100000,INDEX($AB$1005:$AQ$1005,1,MATCH(COLUMNS($AB$1006:AP1006),$AB$1006:$AQ$1006,0))&gt;=100000), " ",IF(INDEX($AB$2:$AQ$1001,MATCH(ROWS($U$2:U487),$U$2:$U$1001,0),MATCH(COLUMNS($AB$1006:AP1006),$AB$1006:$AQ$1006,0)), HYPERLINK("#",""), HYPERLINK(CONCATENATE("#Metadata!", ADDRESS(INDEX($W$2:$W$1001,MATCH(ROWS($U$2:U487),$U$2:$U$1001,0),0), INDEX($AB$1004:$AQ$1004,1,MATCH(COLUMNS($AB$1006:AP1006),$AB$1006:$AQ$1006,0)))),"Fix")))</f>
        <v>0</v>
      </c>
      <c r="Q487" s="5">
        <f>IF(OR(INDEX($V$2:$V$1001,MATCH(ROWS($U$2:U487),$U$2:$U$1001,0),1)&gt;=100000,INDEX($AB$1005:$AQ$1005,1,MATCH(COLUMNS($AB$1006:AQ1006),$AB$1006:$AQ$1006,0))&gt;=100000), " ",IF(INDEX($AB$2:$AQ$1001,MATCH(ROWS($U$2:U487),$U$2:$U$1001,0),MATCH(COLUMNS($AB$1006:AQ1006),$AB$1006:$AQ$1006,0)), HYPERLINK("#",""), HYPERLINK(CONCATENATE("#Metadata!", ADDRESS(INDEX($W$2:$W$1001,MATCH(ROWS($U$2:U487),$U$2:$U$1001,0),0), INDEX($AB$1004:$AQ$1004,1,MATCH(COLUMNS($AB$1006:AQ1006),$AB$1006:$AQ$1006,0)))),"Fix")))</f>
        <v>0</v>
      </c>
      <c r="U487">
        <v>0</v>
      </c>
      <c r="V487">
        <v>0</v>
      </c>
      <c r="W487">
        <v>0</v>
      </c>
      <c r="X487">
        <f>IF(Y487,TRUE,AND(AB487:AQ487))</f>
        <v>0</v>
      </c>
      <c r="Y487">
        <f>COUNTBLANK(Metadata!B487:Q487)=COLUMNS(Metadata!B487:Q487)</f>
        <v>0</v>
      </c>
      <c r="Z487">
        <v>0</v>
      </c>
      <c r="AB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AC487">
        <f>AND(IF(Metadata!C487="",FALSE,TRUE),exact(Metadata!C487,"urban biome"))</f>
        <v>0</v>
      </c>
      <c r="AD487">
        <f>AND(IF(Metadata!D487="",FALSE,TRUE),exact(Metadata!D487,"human-associated habitat"))</f>
        <v>0</v>
      </c>
      <c r="AE487">
        <f>AND(IF(Metadata!E487="",FALSE,TRUE),OR(exact(Metadata!E487,"human-associated"),exact(Metadata!E487,"human-skin"),exact(Metadata!E487,"human-oral"),exact(Metadata!E487,"human-gut"),exact(Metadata!E487,"human-vaginal")))</f>
        <v>0</v>
      </c>
      <c r="AF487">
        <f>AND(IF(Metadata!F487="",FALSE,ISNUMBER(VALUE(Metadata!F487))),Metadata!F487&gt;0)</f>
        <v>0</v>
      </c>
      <c r="AG487">
        <f>AND(IF(Metadata!G487="",FALSE,TRUE),exact(Metadata!G487,"years"))</f>
        <v>0</v>
      </c>
      <c r="AH487">
        <f>OR(AND(IF(Metadata!H487="",FALSE,TRUE),OR(exact(Metadata!H487,"not applicable"),exact(Metadata!H487,"not collected"),exact(Metadata!H487,"not provided"),exact(Metadata!H487,"restricted access"))),AND(IF(Metadata!H487="",FALSE,ISNUMBER(VALUE(Metadata!H487))),Metadata!H487&gt;0))</f>
        <v>0</v>
      </c>
      <c r="AI487">
        <f>AND(IF(Metadata!I487="",FALSE,TRUE),exact(Metadata!I487,"human"))</f>
        <v>0</v>
      </c>
      <c r="AJ487">
        <f>AND(IF(Metadata!J487="",FALSE,ISNUMBER(VALUE(Metadata!J487))),Metadata!J487&gt;0)</f>
        <v>0</v>
      </c>
      <c r="AK487">
        <f>AND(IF(Metadata!K487="",FALSE,TRUE),exact(Metadata!K487,"cm"))</f>
        <v>0</v>
      </c>
      <c r="AL487">
        <f>AND(IF(Metadata!L487="",FALSE,TRUE),exact(Metadata!L487,"Homo sapiens"))</f>
        <v>0</v>
      </c>
      <c r="AM487">
        <f>AND(IF(Metadata!M487="",FALSE,TRUE),exact(Metadata!M487,"9606"))</f>
        <v>0</v>
      </c>
      <c r="AN487">
        <f>AND(IF(Metadata!N487="",FALSE,ISNUMBER(VALUE(Metadata!N487))),Metadata!N487&gt;0)</f>
        <v>0</v>
      </c>
      <c r="AO487">
        <f>AND(IF(Metadata!O487="",FALSE,TRUE),exact(Metadata!O487,"kg"))</f>
        <v>0</v>
      </c>
      <c r="AP487">
        <f>OR(AND(IF(Metadata!P487="",FALSE,TRUE),exact(Metadata!P487,"not provided")),IF(Metadata!P487="",FALSE,TRUE))</f>
        <v>0</v>
      </c>
      <c r="AQ487">
        <f>OR(AND(IF(Metadata!Q487="",FALSE,TRUE),exact(Metadata!Q487,"not provided")),IF(Metadata!Q487="",FALSE,TRUE))</f>
        <v>0</v>
      </c>
    </row>
    <row r="488" spans="1:43">
      <c r="A488" s="4">
        <f>IF(B488=" "," ",HYPERLINK(CONCATENATE("#metadata!",ADDRESS(INDEX($W$2:$W$1001,MATCH(ROWS($U$2:U488),$U$2:$U$1001,0),0),2)),INDEX($Z$2:$Z$1001,MATCH(ROWS($U$2:U488),$U$2:$U$1001,0),0)))</f>
        <v>0</v>
      </c>
      <c r="B488" s="5">
        <f>IF(OR(INDEX($V$2:$V$1001,MATCH(ROWS($U$2:U488),$U$2:$U$1001,0),1)&gt;=100000,INDEX($AB$1005:$AQ$1005,1,MATCH(COLUMNS($AB$1006:AB1006),$AB$1006:$AQ$1006,0))&gt;=100000), " ",IF(INDEX($AB$2:$AQ$1001,MATCH(ROWS($U$2:U488),$U$2:$U$1001,0),MATCH(COLUMNS($AB$1006:AB1006),$AB$1006:$AQ$1006,0)), HYPERLINK("#",""), HYPERLINK(CONCATENATE("#Metadata!", ADDRESS(INDEX($W$2:$W$1001,MATCH(ROWS($U$2:U488),$U$2:$U$1001,0),0), INDEX($AB$1004:$AQ$1004,1,MATCH(COLUMNS($AB$1006:AB1006),$AB$1006:$AQ$1006,0)))),"Fix")))</f>
        <v>0</v>
      </c>
      <c r="C488" s="5">
        <f>IF(OR(INDEX($V$2:$V$1001,MATCH(ROWS($U$2:U488),$U$2:$U$1001,0),1)&gt;=100000,INDEX($AB$1005:$AQ$1005,1,MATCH(COLUMNS($AB$1006:AC1006),$AB$1006:$AQ$1006,0))&gt;=100000), " ",IF(INDEX($AB$2:$AQ$1001,MATCH(ROWS($U$2:U488),$U$2:$U$1001,0),MATCH(COLUMNS($AB$1006:AC1006),$AB$1006:$AQ$1006,0)), HYPERLINK("#",""), HYPERLINK(CONCATENATE("#Metadata!", ADDRESS(INDEX($W$2:$W$1001,MATCH(ROWS($U$2:U488),$U$2:$U$1001,0),0), INDEX($AB$1004:$AQ$1004,1,MATCH(COLUMNS($AB$1006:AC1006),$AB$1006:$AQ$1006,0)))),"Fix")))</f>
        <v>0</v>
      </c>
      <c r="D488" s="5">
        <f>IF(OR(INDEX($V$2:$V$1001,MATCH(ROWS($U$2:U488),$U$2:$U$1001,0),1)&gt;=100000,INDEX($AB$1005:$AQ$1005,1,MATCH(COLUMNS($AB$1006:AD1006),$AB$1006:$AQ$1006,0))&gt;=100000), " ",IF(INDEX($AB$2:$AQ$1001,MATCH(ROWS($U$2:U488),$U$2:$U$1001,0),MATCH(COLUMNS($AB$1006:AD1006),$AB$1006:$AQ$1006,0)), HYPERLINK("#",""), HYPERLINK(CONCATENATE("#Metadata!", ADDRESS(INDEX($W$2:$W$1001,MATCH(ROWS($U$2:U488),$U$2:$U$1001,0),0), INDEX($AB$1004:$AQ$1004,1,MATCH(COLUMNS($AB$1006:AD1006),$AB$1006:$AQ$1006,0)))),"Fix")))</f>
        <v>0</v>
      </c>
      <c r="E488" s="5">
        <f>IF(OR(INDEX($V$2:$V$1001,MATCH(ROWS($U$2:U488),$U$2:$U$1001,0),1)&gt;=100000,INDEX($AB$1005:$AQ$1005,1,MATCH(COLUMNS($AB$1006:AE1006),$AB$1006:$AQ$1006,0))&gt;=100000), " ",IF(INDEX($AB$2:$AQ$1001,MATCH(ROWS($U$2:U488),$U$2:$U$1001,0),MATCH(COLUMNS($AB$1006:AE1006),$AB$1006:$AQ$1006,0)), HYPERLINK("#",""), HYPERLINK(CONCATENATE("#Metadata!", ADDRESS(INDEX($W$2:$W$1001,MATCH(ROWS($U$2:U488),$U$2:$U$1001,0),0), INDEX($AB$1004:$AQ$1004,1,MATCH(COLUMNS($AB$1006:AE1006),$AB$1006:$AQ$1006,0)))),"Fix")))</f>
        <v>0</v>
      </c>
      <c r="F488" s="5">
        <f>IF(OR(INDEX($V$2:$V$1001,MATCH(ROWS($U$2:U488),$U$2:$U$1001,0),1)&gt;=100000,INDEX($AB$1005:$AQ$1005,1,MATCH(COLUMNS($AB$1006:AF1006),$AB$1006:$AQ$1006,0))&gt;=100000), " ",IF(INDEX($AB$2:$AQ$1001,MATCH(ROWS($U$2:U488),$U$2:$U$1001,0),MATCH(COLUMNS($AB$1006:AF1006),$AB$1006:$AQ$1006,0)), HYPERLINK("#",""), HYPERLINK(CONCATENATE("#Metadata!", ADDRESS(INDEX($W$2:$W$1001,MATCH(ROWS($U$2:U488),$U$2:$U$1001,0),0), INDEX($AB$1004:$AQ$1004,1,MATCH(COLUMNS($AB$1006:AF1006),$AB$1006:$AQ$1006,0)))),"Fix")))</f>
        <v>0</v>
      </c>
      <c r="G488" s="5">
        <f>IF(OR(INDEX($V$2:$V$1001,MATCH(ROWS($U$2:U488),$U$2:$U$1001,0),1)&gt;=100000,INDEX($AB$1005:$AQ$1005,1,MATCH(COLUMNS($AB$1006:AG1006),$AB$1006:$AQ$1006,0))&gt;=100000), " ",IF(INDEX($AB$2:$AQ$1001,MATCH(ROWS($U$2:U488),$U$2:$U$1001,0),MATCH(COLUMNS($AB$1006:AG1006),$AB$1006:$AQ$1006,0)), HYPERLINK("#",""), HYPERLINK(CONCATENATE("#Metadata!", ADDRESS(INDEX($W$2:$W$1001,MATCH(ROWS($U$2:U488),$U$2:$U$1001,0),0), INDEX($AB$1004:$AQ$1004,1,MATCH(COLUMNS($AB$1006:AG1006),$AB$1006:$AQ$1006,0)))),"Fix")))</f>
        <v>0</v>
      </c>
      <c r="H488" s="5">
        <f>IF(OR(INDEX($V$2:$V$1001,MATCH(ROWS($U$2:U488),$U$2:$U$1001,0),1)&gt;=100000,INDEX($AB$1005:$AQ$1005,1,MATCH(COLUMNS($AB$1006:AH1006),$AB$1006:$AQ$1006,0))&gt;=100000), " ",IF(INDEX($AB$2:$AQ$1001,MATCH(ROWS($U$2:U488),$U$2:$U$1001,0),MATCH(COLUMNS($AB$1006:AH1006),$AB$1006:$AQ$1006,0)), HYPERLINK("#",""), HYPERLINK(CONCATENATE("#Metadata!", ADDRESS(INDEX($W$2:$W$1001,MATCH(ROWS($U$2:U488),$U$2:$U$1001,0),0), INDEX($AB$1004:$AQ$1004,1,MATCH(COLUMNS($AB$1006:AH1006),$AB$1006:$AQ$1006,0)))),"Fix")))</f>
        <v>0</v>
      </c>
      <c r="I488" s="5">
        <f>IF(OR(INDEX($V$2:$V$1001,MATCH(ROWS($U$2:U488),$U$2:$U$1001,0),1)&gt;=100000,INDEX($AB$1005:$AQ$1005,1,MATCH(COLUMNS($AB$1006:AI1006),$AB$1006:$AQ$1006,0))&gt;=100000), " ",IF(INDEX($AB$2:$AQ$1001,MATCH(ROWS($U$2:U488),$U$2:$U$1001,0),MATCH(COLUMNS($AB$1006:AI1006),$AB$1006:$AQ$1006,0)), HYPERLINK("#",""), HYPERLINK(CONCATENATE("#Metadata!", ADDRESS(INDEX($W$2:$W$1001,MATCH(ROWS($U$2:U488),$U$2:$U$1001,0),0), INDEX($AB$1004:$AQ$1004,1,MATCH(COLUMNS($AB$1006:AI1006),$AB$1006:$AQ$1006,0)))),"Fix")))</f>
        <v>0</v>
      </c>
      <c r="J488" s="5">
        <f>IF(OR(INDEX($V$2:$V$1001,MATCH(ROWS($U$2:U488),$U$2:$U$1001,0),1)&gt;=100000,INDEX($AB$1005:$AQ$1005,1,MATCH(COLUMNS($AB$1006:AJ1006),$AB$1006:$AQ$1006,0))&gt;=100000), " ",IF(INDEX($AB$2:$AQ$1001,MATCH(ROWS($U$2:U488),$U$2:$U$1001,0),MATCH(COLUMNS($AB$1006:AJ1006),$AB$1006:$AQ$1006,0)), HYPERLINK("#",""), HYPERLINK(CONCATENATE("#Metadata!", ADDRESS(INDEX($W$2:$W$1001,MATCH(ROWS($U$2:U488),$U$2:$U$1001,0),0), INDEX($AB$1004:$AQ$1004,1,MATCH(COLUMNS($AB$1006:AJ1006),$AB$1006:$AQ$1006,0)))),"Fix")))</f>
        <v>0</v>
      </c>
      <c r="K488" s="5">
        <f>IF(OR(INDEX($V$2:$V$1001,MATCH(ROWS($U$2:U488),$U$2:$U$1001,0),1)&gt;=100000,INDEX($AB$1005:$AQ$1005,1,MATCH(COLUMNS($AB$1006:AK1006),$AB$1006:$AQ$1006,0))&gt;=100000), " ",IF(INDEX($AB$2:$AQ$1001,MATCH(ROWS($U$2:U488),$U$2:$U$1001,0),MATCH(COLUMNS($AB$1006:AK1006),$AB$1006:$AQ$1006,0)), HYPERLINK("#",""), HYPERLINK(CONCATENATE("#Metadata!", ADDRESS(INDEX($W$2:$W$1001,MATCH(ROWS($U$2:U488),$U$2:$U$1001,0),0), INDEX($AB$1004:$AQ$1004,1,MATCH(COLUMNS($AB$1006:AK1006),$AB$1006:$AQ$1006,0)))),"Fix")))</f>
        <v>0</v>
      </c>
      <c r="L488" s="5">
        <f>IF(OR(INDEX($V$2:$V$1001,MATCH(ROWS($U$2:U488),$U$2:$U$1001,0),1)&gt;=100000,INDEX($AB$1005:$AQ$1005,1,MATCH(COLUMNS($AB$1006:AL1006),$AB$1006:$AQ$1006,0))&gt;=100000), " ",IF(INDEX($AB$2:$AQ$1001,MATCH(ROWS($U$2:U488),$U$2:$U$1001,0),MATCH(COLUMNS($AB$1006:AL1006),$AB$1006:$AQ$1006,0)), HYPERLINK("#",""), HYPERLINK(CONCATENATE("#Metadata!", ADDRESS(INDEX($W$2:$W$1001,MATCH(ROWS($U$2:U488),$U$2:$U$1001,0),0), INDEX($AB$1004:$AQ$1004,1,MATCH(COLUMNS($AB$1006:AL1006),$AB$1006:$AQ$1006,0)))),"Fix")))</f>
        <v>0</v>
      </c>
      <c r="M488" s="5">
        <f>IF(OR(INDEX($V$2:$V$1001,MATCH(ROWS($U$2:U488),$U$2:$U$1001,0),1)&gt;=100000,INDEX($AB$1005:$AQ$1005,1,MATCH(COLUMNS($AB$1006:AM1006),$AB$1006:$AQ$1006,0))&gt;=100000), " ",IF(INDEX($AB$2:$AQ$1001,MATCH(ROWS($U$2:U488),$U$2:$U$1001,0),MATCH(COLUMNS($AB$1006:AM1006),$AB$1006:$AQ$1006,0)), HYPERLINK("#",""), HYPERLINK(CONCATENATE("#Metadata!", ADDRESS(INDEX($W$2:$W$1001,MATCH(ROWS($U$2:U488),$U$2:$U$1001,0),0), INDEX($AB$1004:$AQ$1004,1,MATCH(COLUMNS($AB$1006:AM1006),$AB$1006:$AQ$1006,0)))),"Fix")))</f>
        <v>0</v>
      </c>
      <c r="N488" s="5">
        <f>IF(OR(INDEX($V$2:$V$1001,MATCH(ROWS($U$2:U488),$U$2:$U$1001,0),1)&gt;=100000,INDEX($AB$1005:$AQ$1005,1,MATCH(COLUMNS($AB$1006:AN1006),$AB$1006:$AQ$1006,0))&gt;=100000), " ",IF(INDEX($AB$2:$AQ$1001,MATCH(ROWS($U$2:U488),$U$2:$U$1001,0),MATCH(COLUMNS($AB$1006:AN1006),$AB$1006:$AQ$1006,0)), HYPERLINK("#",""), HYPERLINK(CONCATENATE("#Metadata!", ADDRESS(INDEX($W$2:$W$1001,MATCH(ROWS($U$2:U488),$U$2:$U$1001,0),0), INDEX($AB$1004:$AQ$1004,1,MATCH(COLUMNS($AB$1006:AN1006),$AB$1006:$AQ$1006,0)))),"Fix")))</f>
        <v>0</v>
      </c>
      <c r="O488" s="5">
        <f>IF(OR(INDEX($V$2:$V$1001,MATCH(ROWS($U$2:U488),$U$2:$U$1001,0),1)&gt;=100000,INDEX($AB$1005:$AQ$1005,1,MATCH(COLUMNS($AB$1006:AO1006),$AB$1006:$AQ$1006,0))&gt;=100000), " ",IF(INDEX($AB$2:$AQ$1001,MATCH(ROWS($U$2:U488),$U$2:$U$1001,0),MATCH(COLUMNS($AB$1006:AO1006),$AB$1006:$AQ$1006,0)), HYPERLINK("#",""), HYPERLINK(CONCATENATE("#Metadata!", ADDRESS(INDEX($W$2:$W$1001,MATCH(ROWS($U$2:U488),$U$2:$U$1001,0),0), INDEX($AB$1004:$AQ$1004,1,MATCH(COLUMNS($AB$1006:AO1006),$AB$1006:$AQ$1006,0)))),"Fix")))</f>
        <v>0</v>
      </c>
      <c r="P488" s="5">
        <f>IF(OR(INDEX($V$2:$V$1001,MATCH(ROWS($U$2:U488),$U$2:$U$1001,0),1)&gt;=100000,INDEX($AB$1005:$AQ$1005,1,MATCH(COLUMNS($AB$1006:AP1006),$AB$1006:$AQ$1006,0))&gt;=100000), " ",IF(INDEX($AB$2:$AQ$1001,MATCH(ROWS($U$2:U488),$U$2:$U$1001,0),MATCH(COLUMNS($AB$1006:AP1006),$AB$1006:$AQ$1006,0)), HYPERLINK("#",""), HYPERLINK(CONCATENATE("#Metadata!", ADDRESS(INDEX($W$2:$W$1001,MATCH(ROWS($U$2:U488),$U$2:$U$1001,0),0), INDEX($AB$1004:$AQ$1004,1,MATCH(COLUMNS($AB$1006:AP1006),$AB$1006:$AQ$1006,0)))),"Fix")))</f>
        <v>0</v>
      </c>
      <c r="Q488" s="5">
        <f>IF(OR(INDEX($V$2:$V$1001,MATCH(ROWS($U$2:U488),$U$2:$U$1001,0),1)&gt;=100000,INDEX($AB$1005:$AQ$1005,1,MATCH(COLUMNS($AB$1006:AQ1006),$AB$1006:$AQ$1006,0))&gt;=100000), " ",IF(INDEX($AB$2:$AQ$1001,MATCH(ROWS($U$2:U488),$U$2:$U$1001,0),MATCH(COLUMNS($AB$1006:AQ1006),$AB$1006:$AQ$1006,0)), HYPERLINK("#",""), HYPERLINK(CONCATENATE("#Metadata!", ADDRESS(INDEX($W$2:$W$1001,MATCH(ROWS($U$2:U488),$U$2:$U$1001,0),0), INDEX($AB$1004:$AQ$1004,1,MATCH(COLUMNS($AB$1006:AQ1006),$AB$1006:$AQ$1006,0)))),"Fix")))</f>
        <v>0</v>
      </c>
      <c r="U488">
        <v>0</v>
      </c>
      <c r="V488">
        <v>0</v>
      </c>
      <c r="W488">
        <v>0</v>
      </c>
      <c r="X488">
        <f>IF(Y488,TRUE,AND(AB488:AQ488))</f>
        <v>0</v>
      </c>
      <c r="Y488">
        <f>COUNTBLANK(Metadata!B488:Q488)=COLUMNS(Metadata!B488:Q488)</f>
        <v>0</v>
      </c>
      <c r="Z488">
        <v>0</v>
      </c>
      <c r="AB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AC488">
        <f>AND(IF(Metadata!C488="",FALSE,TRUE),exact(Metadata!C488,"urban biome"))</f>
        <v>0</v>
      </c>
      <c r="AD488">
        <f>AND(IF(Metadata!D488="",FALSE,TRUE),exact(Metadata!D488,"human-associated habitat"))</f>
        <v>0</v>
      </c>
      <c r="AE488">
        <f>AND(IF(Metadata!E488="",FALSE,TRUE),OR(exact(Metadata!E488,"human-associated"),exact(Metadata!E488,"human-skin"),exact(Metadata!E488,"human-oral"),exact(Metadata!E488,"human-gut"),exact(Metadata!E488,"human-vaginal")))</f>
        <v>0</v>
      </c>
      <c r="AF488">
        <f>AND(IF(Metadata!F488="",FALSE,ISNUMBER(VALUE(Metadata!F488))),Metadata!F488&gt;0)</f>
        <v>0</v>
      </c>
      <c r="AG488">
        <f>AND(IF(Metadata!G488="",FALSE,TRUE),exact(Metadata!G488,"years"))</f>
        <v>0</v>
      </c>
      <c r="AH488">
        <f>OR(AND(IF(Metadata!H488="",FALSE,TRUE),OR(exact(Metadata!H488,"not applicable"),exact(Metadata!H488,"not collected"),exact(Metadata!H488,"not provided"),exact(Metadata!H488,"restricted access"))),AND(IF(Metadata!H488="",FALSE,ISNUMBER(VALUE(Metadata!H488))),Metadata!H488&gt;0))</f>
        <v>0</v>
      </c>
      <c r="AI488">
        <f>AND(IF(Metadata!I488="",FALSE,TRUE),exact(Metadata!I488,"human"))</f>
        <v>0</v>
      </c>
      <c r="AJ488">
        <f>AND(IF(Metadata!J488="",FALSE,ISNUMBER(VALUE(Metadata!J488))),Metadata!J488&gt;0)</f>
        <v>0</v>
      </c>
      <c r="AK488">
        <f>AND(IF(Metadata!K488="",FALSE,TRUE),exact(Metadata!K488,"cm"))</f>
        <v>0</v>
      </c>
      <c r="AL488">
        <f>AND(IF(Metadata!L488="",FALSE,TRUE),exact(Metadata!L488,"Homo sapiens"))</f>
        <v>0</v>
      </c>
      <c r="AM488">
        <f>AND(IF(Metadata!M488="",FALSE,TRUE),exact(Metadata!M488,"9606"))</f>
        <v>0</v>
      </c>
      <c r="AN488">
        <f>AND(IF(Metadata!N488="",FALSE,ISNUMBER(VALUE(Metadata!N488))),Metadata!N488&gt;0)</f>
        <v>0</v>
      </c>
      <c r="AO488">
        <f>AND(IF(Metadata!O488="",FALSE,TRUE),exact(Metadata!O488,"kg"))</f>
        <v>0</v>
      </c>
      <c r="AP488">
        <f>OR(AND(IF(Metadata!P488="",FALSE,TRUE),exact(Metadata!P488,"not provided")),IF(Metadata!P488="",FALSE,TRUE))</f>
        <v>0</v>
      </c>
      <c r="AQ488">
        <f>OR(AND(IF(Metadata!Q488="",FALSE,TRUE),exact(Metadata!Q488,"not provided")),IF(Metadata!Q488="",FALSE,TRUE))</f>
        <v>0</v>
      </c>
    </row>
    <row r="489" spans="1:43">
      <c r="A489" s="4">
        <f>IF(B489=" "," ",HYPERLINK(CONCATENATE("#metadata!",ADDRESS(INDEX($W$2:$W$1001,MATCH(ROWS($U$2:U489),$U$2:$U$1001,0),0),2)),INDEX($Z$2:$Z$1001,MATCH(ROWS($U$2:U489),$U$2:$U$1001,0),0)))</f>
        <v>0</v>
      </c>
      <c r="B489" s="5">
        <f>IF(OR(INDEX($V$2:$V$1001,MATCH(ROWS($U$2:U489),$U$2:$U$1001,0),1)&gt;=100000,INDEX($AB$1005:$AQ$1005,1,MATCH(COLUMNS($AB$1006:AB1006),$AB$1006:$AQ$1006,0))&gt;=100000), " ",IF(INDEX($AB$2:$AQ$1001,MATCH(ROWS($U$2:U489),$U$2:$U$1001,0),MATCH(COLUMNS($AB$1006:AB1006),$AB$1006:$AQ$1006,0)), HYPERLINK("#",""), HYPERLINK(CONCATENATE("#Metadata!", ADDRESS(INDEX($W$2:$W$1001,MATCH(ROWS($U$2:U489),$U$2:$U$1001,0),0), INDEX($AB$1004:$AQ$1004,1,MATCH(COLUMNS($AB$1006:AB1006),$AB$1006:$AQ$1006,0)))),"Fix")))</f>
        <v>0</v>
      </c>
      <c r="C489" s="5">
        <f>IF(OR(INDEX($V$2:$V$1001,MATCH(ROWS($U$2:U489),$U$2:$U$1001,0),1)&gt;=100000,INDEX($AB$1005:$AQ$1005,1,MATCH(COLUMNS($AB$1006:AC1006),$AB$1006:$AQ$1006,0))&gt;=100000), " ",IF(INDEX($AB$2:$AQ$1001,MATCH(ROWS($U$2:U489),$U$2:$U$1001,0),MATCH(COLUMNS($AB$1006:AC1006),$AB$1006:$AQ$1006,0)), HYPERLINK("#",""), HYPERLINK(CONCATENATE("#Metadata!", ADDRESS(INDEX($W$2:$W$1001,MATCH(ROWS($U$2:U489),$U$2:$U$1001,0),0), INDEX($AB$1004:$AQ$1004,1,MATCH(COLUMNS($AB$1006:AC1006),$AB$1006:$AQ$1006,0)))),"Fix")))</f>
        <v>0</v>
      </c>
      <c r="D489" s="5">
        <f>IF(OR(INDEX($V$2:$V$1001,MATCH(ROWS($U$2:U489),$U$2:$U$1001,0),1)&gt;=100000,INDEX($AB$1005:$AQ$1005,1,MATCH(COLUMNS($AB$1006:AD1006),$AB$1006:$AQ$1006,0))&gt;=100000), " ",IF(INDEX($AB$2:$AQ$1001,MATCH(ROWS($U$2:U489),$U$2:$U$1001,0),MATCH(COLUMNS($AB$1006:AD1006),$AB$1006:$AQ$1006,0)), HYPERLINK("#",""), HYPERLINK(CONCATENATE("#Metadata!", ADDRESS(INDEX($W$2:$W$1001,MATCH(ROWS($U$2:U489),$U$2:$U$1001,0),0), INDEX($AB$1004:$AQ$1004,1,MATCH(COLUMNS($AB$1006:AD1006),$AB$1006:$AQ$1006,0)))),"Fix")))</f>
        <v>0</v>
      </c>
      <c r="E489" s="5">
        <f>IF(OR(INDEX($V$2:$V$1001,MATCH(ROWS($U$2:U489),$U$2:$U$1001,0),1)&gt;=100000,INDEX($AB$1005:$AQ$1005,1,MATCH(COLUMNS($AB$1006:AE1006),$AB$1006:$AQ$1006,0))&gt;=100000), " ",IF(INDEX($AB$2:$AQ$1001,MATCH(ROWS($U$2:U489),$U$2:$U$1001,0),MATCH(COLUMNS($AB$1006:AE1006),$AB$1006:$AQ$1006,0)), HYPERLINK("#",""), HYPERLINK(CONCATENATE("#Metadata!", ADDRESS(INDEX($W$2:$W$1001,MATCH(ROWS($U$2:U489),$U$2:$U$1001,0),0), INDEX($AB$1004:$AQ$1004,1,MATCH(COLUMNS($AB$1006:AE1006),$AB$1006:$AQ$1006,0)))),"Fix")))</f>
        <v>0</v>
      </c>
      <c r="F489" s="5">
        <f>IF(OR(INDEX($V$2:$V$1001,MATCH(ROWS($U$2:U489),$U$2:$U$1001,0),1)&gt;=100000,INDEX($AB$1005:$AQ$1005,1,MATCH(COLUMNS($AB$1006:AF1006),$AB$1006:$AQ$1006,0))&gt;=100000), " ",IF(INDEX($AB$2:$AQ$1001,MATCH(ROWS($U$2:U489),$U$2:$U$1001,0),MATCH(COLUMNS($AB$1006:AF1006),$AB$1006:$AQ$1006,0)), HYPERLINK("#",""), HYPERLINK(CONCATENATE("#Metadata!", ADDRESS(INDEX($W$2:$W$1001,MATCH(ROWS($U$2:U489),$U$2:$U$1001,0),0), INDEX($AB$1004:$AQ$1004,1,MATCH(COLUMNS($AB$1006:AF1006),$AB$1006:$AQ$1006,0)))),"Fix")))</f>
        <v>0</v>
      </c>
      <c r="G489" s="5">
        <f>IF(OR(INDEX($V$2:$V$1001,MATCH(ROWS($U$2:U489),$U$2:$U$1001,0),1)&gt;=100000,INDEX($AB$1005:$AQ$1005,1,MATCH(COLUMNS($AB$1006:AG1006),$AB$1006:$AQ$1006,0))&gt;=100000), " ",IF(INDEX($AB$2:$AQ$1001,MATCH(ROWS($U$2:U489),$U$2:$U$1001,0),MATCH(COLUMNS($AB$1006:AG1006),$AB$1006:$AQ$1006,0)), HYPERLINK("#",""), HYPERLINK(CONCATENATE("#Metadata!", ADDRESS(INDEX($W$2:$W$1001,MATCH(ROWS($U$2:U489),$U$2:$U$1001,0),0), INDEX($AB$1004:$AQ$1004,1,MATCH(COLUMNS($AB$1006:AG1006),$AB$1006:$AQ$1006,0)))),"Fix")))</f>
        <v>0</v>
      </c>
      <c r="H489" s="5">
        <f>IF(OR(INDEX($V$2:$V$1001,MATCH(ROWS($U$2:U489),$U$2:$U$1001,0),1)&gt;=100000,INDEX($AB$1005:$AQ$1005,1,MATCH(COLUMNS($AB$1006:AH1006),$AB$1006:$AQ$1006,0))&gt;=100000), " ",IF(INDEX($AB$2:$AQ$1001,MATCH(ROWS($U$2:U489),$U$2:$U$1001,0),MATCH(COLUMNS($AB$1006:AH1006),$AB$1006:$AQ$1006,0)), HYPERLINK("#",""), HYPERLINK(CONCATENATE("#Metadata!", ADDRESS(INDEX($W$2:$W$1001,MATCH(ROWS($U$2:U489),$U$2:$U$1001,0),0), INDEX($AB$1004:$AQ$1004,1,MATCH(COLUMNS($AB$1006:AH1006),$AB$1006:$AQ$1006,0)))),"Fix")))</f>
        <v>0</v>
      </c>
      <c r="I489" s="5">
        <f>IF(OR(INDEX($V$2:$V$1001,MATCH(ROWS($U$2:U489),$U$2:$U$1001,0),1)&gt;=100000,INDEX($AB$1005:$AQ$1005,1,MATCH(COLUMNS($AB$1006:AI1006),$AB$1006:$AQ$1006,0))&gt;=100000), " ",IF(INDEX($AB$2:$AQ$1001,MATCH(ROWS($U$2:U489),$U$2:$U$1001,0),MATCH(COLUMNS($AB$1006:AI1006),$AB$1006:$AQ$1006,0)), HYPERLINK("#",""), HYPERLINK(CONCATENATE("#Metadata!", ADDRESS(INDEX($W$2:$W$1001,MATCH(ROWS($U$2:U489),$U$2:$U$1001,0),0), INDEX($AB$1004:$AQ$1004,1,MATCH(COLUMNS($AB$1006:AI1006),$AB$1006:$AQ$1006,0)))),"Fix")))</f>
        <v>0</v>
      </c>
      <c r="J489" s="5">
        <f>IF(OR(INDEX($V$2:$V$1001,MATCH(ROWS($U$2:U489),$U$2:$U$1001,0),1)&gt;=100000,INDEX($AB$1005:$AQ$1005,1,MATCH(COLUMNS($AB$1006:AJ1006),$AB$1006:$AQ$1006,0))&gt;=100000), " ",IF(INDEX($AB$2:$AQ$1001,MATCH(ROWS($U$2:U489),$U$2:$U$1001,0),MATCH(COLUMNS($AB$1006:AJ1006),$AB$1006:$AQ$1006,0)), HYPERLINK("#",""), HYPERLINK(CONCATENATE("#Metadata!", ADDRESS(INDEX($W$2:$W$1001,MATCH(ROWS($U$2:U489),$U$2:$U$1001,0),0), INDEX($AB$1004:$AQ$1004,1,MATCH(COLUMNS($AB$1006:AJ1006),$AB$1006:$AQ$1006,0)))),"Fix")))</f>
        <v>0</v>
      </c>
      <c r="K489" s="5">
        <f>IF(OR(INDEX($V$2:$V$1001,MATCH(ROWS($U$2:U489),$U$2:$U$1001,0),1)&gt;=100000,INDEX($AB$1005:$AQ$1005,1,MATCH(COLUMNS($AB$1006:AK1006),$AB$1006:$AQ$1006,0))&gt;=100000), " ",IF(INDEX($AB$2:$AQ$1001,MATCH(ROWS($U$2:U489),$U$2:$U$1001,0),MATCH(COLUMNS($AB$1006:AK1006),$AB$1006:$AQ$1006,0)), HYPERLINK("#",""), HYPERLINK(CONCATENATE("#Metadata!", ADDRESS(INDEX($W$2:$W$1001,MATCH(ROWS($U$2:U489),$U$2:$U$1001,0),0), INDEX($AB$1004:$AQ$1004,1,MATCH(COLUMNS($AB$1006:AK1006),$AB$1006:$AQ$1006,0)))),"Fix")))</f>
        <v>0</v>
      </c>
      <c r="L489" s="5">
        <f>IF(OR(INDEX($V$2:$V$1001,MATCH(ROWS($U$2:U489),$U$2:$U$1001,0),1)&gt;=100000,INDEX($AB$1005:$AQ$1005,1,MATCH(COLUMNS($AB$1006:AL1006),$AB$1006:$AQ$1006,0))&gt;=100000), " ",IF(INDEX($AB$2:$AQ$1001,MATCH(ROWS($U$2:U489),$U$2:$U$1001,0),MATCH(COLUMNS($AB$1006:AL1006),$AB$1006:$AQ$1006,0)), HYPERLINK("#",""), HYPERLINK(CONCATENATE("#Metadata!", ADDRESS(INDEX($W$2:$W$1001,MATCH(ROWS($U$2:U489),$U$2:$U$1001,0),0), INDEX($AB$1004:$AQ$1004,1,MATCH(COLUMNS($AB$1006:AL1006),$AB$1006:$AQ$1006,0)))),"Fix")))</f>
        <v>0</v>
      </c>
      <c r="M489" s="5">
        <f>IF(OR(INDEX($V$2:$V$1001,MATCH(ROWS($U$2:U489),$U$2:$U$1001,0),1)&gt;=100000,INDEX($AB$1005:$AQ$1005,1,MATCH(COLUMNS($AB$1006:AM1006),$AB$1006:$AQ$1006,0))&gt;=100000), " ",IF(INDEX($AB$2:$AQ$1001,MATCH(ROWS($U$2:U489),$U$2:$U$1001,0),MATCH(COLUMNS($AB$1006:AM1006),$AB$1006:$AQ$1006,0)), HYPERLINK("#",""), HYPERLINK(CONCATENATE("#Metadata!", ADDRESS(INDEX($W$2:$W$1001,MATCH(ROWS($U$2:U489),$U$2:$U$1001,0),0), INDEX($AB$1004:$AQ$1004,1,MATCH(COLUMNS($AB$1006:AM1006),$AB$1006:$AQ$1006,0)))),"Fix")))</f>
        <v>0</v>
      </c>
      <c r="N489" s="5">
        <f>IF(OR(INDEX($V$2:$V$1001,MATCH(ROWS($U$2:U489),$U$2:$U$1001,0),1)&gt;=100000,INDEX($AB$1005:$AQ$1005,1,MATCH(COLUMNS($AB$1006:AN1006),$AB$1006:$AQ$1006,0))&gt;=100000), " ",IF(INDEX($AB$2:$AQ$1001,MATCH(ROWS($U$2:U489),$U$2:$U$1001,0),MATCH(COLUMNS($AB$1006:AN1006),$AB$1006:$AQ$1006,0)), HYPERLINK("#",""), HYPERLINK(CONCATENATE("#Metadata!", ADDRESS(INDEX($W$2:$W$1001,MATCH(ROWS($U$2:U489),$U$2:$U$1001,0),0), INDEX($AB$1004:$AQ$1004,1,MATCH(COLUMNS($AB$1006:AN1006),$AB$1006:$AQ$1006,0)))),"Fix")))</f>
        <v>0</v>
      </c>
      <c r="O489" s="5">
        <f>IF(OR(INDEX($V$2:$V$1001,MATCH(ROWS($U$2:U489),$U$2:$U$1001,0),1)&gt;=100000,INDEX($AB$1005:$AQ$1005,1,MATCH(COLUMNS($AB$1006:AO1006),$AB$1006:$AQ$1006,0))&gt;=100000), " ",IF(INDEX($AB$2:$AQ$1001,MATCH(ROWS($U$2:U489),$U$2:$U$1001,0),MATCH(COLUMNS($AB$1006:AO1006),$AB$1006:$AQ$1006,0)), HYPERLINK("#",""), HYPERLINK(CONCATENATE("#Metadata!", ADDRESS(INDEX($W$2:$W$1001,MATCH(ROWS($U$2:U489),$U$2:$U$1001,0),0), INDEX($AB$1004:$AQ$1004,1,MATCH(COLUMNS($AB$1006:AO1006),$AB$1006:$AQ$1006,0)))),"Fix")))</f>
        <v>0</v>
      </c>
      <c r="P489" s="5">
        <f>IF(OR(INDEX($V$2:$V$1001,MATCH(ROWS($U$2:U489),$U$2:$U$1001,0),1)&gt;=100000,INDEX($AB$1005:$AQ$1005,1,MATCH(COLUMNS($AB$1006:AP1006),$AB$1006:$AQ$1006,0))&gt;=100000), " ",IF(INDEX($AB$2:$AQ$1001,MATCH(ROWS($U$2:U489),$U$2:$U$1001,0),MATCH(COLUMNS($AB$1006:AP1006),$AB$1006:$AQ$1006,0)), HYPERLINK("#",""), HYPERLINK(CONCATENATE("#Metadata!", ADDRESS(INDEX($W$2:$W$1001,MATCH(ROWS($U$2:U489),$U$2:$U$1001,0),0), INDEX($AB$1004:$AQ$1004,1,MATCH(COLUMNS($AB$1006:AP1006),$AB$1006:$AQ$1006,0)))),"Fix")))</f>
        <v>0</v>
      </c>
      <c r="Q489" s="5">
        <f>IF(OR(INDEX($V$2:$V$1001,MATCH(ROWS($U$2:U489),$U$2:$U$1001,0),1)&gt;=100000,INDEX($AB$1005:$AQ$1005,1,MATCH(COLUMNS($AB$1006:AQ1006),$AB$1006:$AQ$1006,0))&gt;=100000), " ",IF(INDEX($AB$2:$AQ$1001,MATCH(ROWS($U$2:U489),$U$2:$U$1001,0),MATCH(COLUMNS($AB$1006:AQ1006),$AB$1006:$AQ$1006,0)), HYPERLINK("#",""), HYPERLINK(CONCATENATE("#Metadata!", ADDRESS(INDEX($W$2:$W$1001,MATCH(ROWS($U$2:U489),$U$2:$U$1001,0),0), INDEX($AB$1004:$AQ$1004,1,MATCH(COLUMNS($AB$1006:AQ1006),$AB$1006:$AQ$1006,0)))),"Fix")))</f>
        <v>0</v>
      </c>
      <c r="U489">
        <v>0</v>
      </c>
      <c r="V489">
        <v>0</v>
      </c>
      <c r="W489">
        <v>0</v>
      </c>
      <c r="X489">
        <f>IF(Y489,TRUE,AND(AB489:AQ489))</f>
        <v>0</v>
      </c>
      <c r="Y489">
        <f>COUNTBLANK(Metadata!B489:Q489)=COLUMNS(Metadata!B489:Q489)</f>
        <v>0</v>
      </c>
      <c r="Z489">
        <v>0</v>
      </c>
      <c r="AB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AC489">
        <f>AND(IF(Metadata!C489="",FALSE,TRUE),exact(Metadata!C489,"urban biome"))</f>
        <v>0</v>
      </c>
      <c r="AD489">
        <f>AND(IF(Metadata!D489="",FALSE,TRUE),exact(Metadata!D489,"human-associated habitat"))</f>
        <v>0</v>
      </c>
      <c r="AE489">
        <f>AND(IF(Metadata!E489="",FALSE,TRUE),OR(exact(Metadata!E489,"human-associated"),exact(Metadata!E489,"human-skin"),exact(Metadata!E489,"human-oral"),exact(Metadata!E489,"human-gut"),exact(Metadata!E489,"human-vaginal")))</f>
        <v>0</v>
      </c>
      <c r="AF489">
        <f>AND(IF(Metadata!F489="",FALSE,ISNUMBER(VALUE(Metadata!F489))),Metadata!F489&gt;0)</f>
        <v>0</v>
      </c>
      <c r="AG489">
        <f>AND(IF(Metadata!G489="",FALSE,TRUE),exact(Metadata!G489,"years"))</f>
        <v>0</v>
      </c>
      <c r="AH489">
        <f>OR(AND(IF(Metadata!H489="",FALSE,TRUE),OR(exact(Metadata!H489,"not applicable"),exact(Metadata!H489,"not collected"),exact(Metadata!H489,"not provided"),exact(Metadata!H489,"restricted access"))),AND(IF(Metadata!H489="",FALSE,ISNUMBER(VALUE(Metadata!H489))),Metadata!H489&gt;0))</f>
        <v>0</v>
      </c>
      <c r="AI489">
        <f>AND(IF(Metadata!I489="",FALSE,TRUE),exact(Metadata!I489,"human"))</f>
        <v>0</v>
      </c>
      <c r="AJ489">
        <f>AND(IF(Metadata!J489="",FALSE,ISNUMBER(VALUE(Metadata!J489))),Metadata!J489&gt;0)</f>
        <v>0</v>
      </c>
      <c r="AK489">
        <f>AND(IF(Metadata!K489="",FALSE,TRUE),exact(Metadata!K489,"cm"))</f>
        <v>0</v>
      </c>
      <c r="AL489">
        <f>AND(IF(Metadata!L489="",FALSE,TRUE),exact(Metadata!L489,"Homo sapiens"))</f>
        <v>0</v>
      </c>
      <c r="AM489">
        <f>AND(IF(Metadata!M489="",FALSE,TRUE),exact(Metadata!M489,"9606"))</f>
        <v>0</v>
      </c>
      <c r="AN489">
        <f>AND(IF(Metadata!N489="",FALSE,ISNUMBER(VALUE(Metadata!N489))),Metadata!N489&gt;0)</f>
        <v>0</v>
      </c>
      <c r="AO489">
        <f>AND(IF(Metadata!O489="",FALSE,TRUE),exact(Metadata!O489,"kg"))</f>
        <v>0</v>
      </c>
      <c r="AP489">
        <f>OR(AND(IF(Metadata!P489="",FALSE,TRUE),exact(Metadata!P489,"not provided")),IF(Metadata!P489="",FALSE,TRUE))</f>
        <v>0</v>
      </c>
      <c r="AQ489">
        <f>OR(AND(IF(Metadata!Q489="",FALSE,TRUE),exact(Metadata!Q489,"not provided")),IF(Metadata!Q489="",FALSE,TRUE))</f>
        <v>0</v>
      </c>
    </row>
    <row r="490" spans="1:43">
      <c r="A490" s="4">
        <f>IF(B490=" "," ",HYPERLINK(CONCATENATE("#metadata!",ADDRESS(INDEX($W$2:$W$1001,MATCH(ROWS($U$2:U490),$U$2:$U$1001,0),0),2)),INDEX($Z$2:$Z$1001,MATCH(ROWS($U$2:U490),$U$2:$U$1001,0),0)))</f>
        <v>0</v>
      </c>
      <c r="B490" s="5">
        <f>IF(OR(INDEX($V$2:$V$1001,MATCH(ROWS($U$2:U490),$U$2:$U$1001,0),1)&gt;=100000,INDEX($AB$1005:$AQ$1005,1,MATCH(COLUMNS($AB$1006:AB1006),$AB$1006:$AQ$1006,0))&gt;=100000), " ",IF(INDEX($AB$2:$AQ$1001,MATCH(ROWS($U$2:U490),$U$2:$U$1001,0),MATCH(COLUMNS($AB$1006:AB1006),$AB$1006:$AQ$1006,0)), HYPERLINK("#",""), HYPERLINK(CONCATENATE("#Metadata!", ADDRESS(INDEX($W$2:$W$1001,MATCH(ROWS($U$2:U490),$U$2:$U$1001,0),0), INDEX($AB$1004:$AQ$1004,1,MATCH(COLUMNS($AB$1006:AB1006),$AB$1006:$AQ$1006,0)))),"Fix")))</f>
        <v>0</v>
      </c>
      <c r="C490" s="5">
        <f>IF(OR(INDEX($V$2:$V$1001,MATCH(ROWS($U$2:U490),$U$2:$U$1001,0),1)&gt;=100000,INDEX($AB$1005:$AQ$1005,1,MATCH(COLUMNS($AB$1006:AC1006),$AB$1006:$AQ$1006,0))&gt;=100000), " ",IF(INDEX($AB$2:$AQ$1001,MATCH(ROWS($U$2:U490),$U$2:$U$1001,0),MATCH(COLUMNS($AB$1006:AC1006),$AB$1006:$AQ$1006,0)), HYPERLINK("#",""), HYPERLINK(CONCATENATE("#Metadata!", ADDRESS(INDEX($W$2:$W$1001,MATCH(ROWS($U$2:U490),$U$2:$U$1001,0),0), INDEX($AB$1004:$AQ$1004,1,MATCH(COLUMNS($AB$1006:AC1006),$AB$1006:$AQ$1006,0)))),"Fix")))</f>
        <v>0</v>
      </c>
      <c r="D490" s="5">
        <f>IF(OR(INDEX($V$2:$V$1001,MATCH(ROWS($U$2:U490),$U$2:$U$1001,0),1)&gt;=100000,INDEX($AB$1005:$AQ$1005,1,MATCH(COLUMNS($AB$1006:AD1006),$AB$1006:$AQ$1006,0))&gt;=100000), " ",IF(INDEX($AB$2:$AQ$1001,MATCH(ROWS($U$2:U490),$U$2:$U$1001,0),MATCH(COLUMNS($AB$1006:AD1006),$AB$1006:$AQ$1006,0)), HYPERLINK("#",""), HYPERLINK(CONCATENATE("#Metadata!", ADDRESS(INDEX($W$2:$W$1001,MATCH(ROWS($U$2:U490),$U$2:$U$1001,0),0), INDEX($AB$1004:$AQ$1004,1,MATCH(COLUMNS($AB$1006:AD1006),$AB$1006:$AQ$1006,0)))),"Fix")))</f>
        <v>0</v>
      </c>
      <c r="E490" s="5">
        <f>IF(OR(INDEX($V$2:$V$1001,MATCH(ROWS($U$2:U490),$U$2:$U$1001,0),1)&gt;=100000,INDEX($AB$1005:$AQ$1005,1,MATCH(COLUMNS($AB$1006:AE1006),$AB$1006:$AQ$1006,0))&gt;=100000), " ",IF(INDEX($AB$2:$AQ$1001,MATCH(ROWS($U$2:U490),$U$2:$U$1001,0),MATCH(COLUMNS($AB$1006:AE1006),$AB$1006:$AQ$1006,0)), HYPERLINK("#",""), HYPERLINK(CONCATENATE("#Metadata!", ADDRESS(INDEX($W$2:$W$1001,MATCH(ROWS($U$2:U490),$U$2:$U$1001,0),0), INDEX($AB$1004:$AQ$1004,1,MATCH(COLUMNS($AB$1006:AE1006),$AB$1006:$AQ$1006,0)))),"Fix")))</f>
        <v>0</v>
      </c>
      <c r="F490" s="5">
        <f>IF(OR(INDEX($V$2:$V$1001,MATCH(ROWS($U$2:U490),$U$2:$U$1001,0),1)&gt;=100000,INDEX($AB$1005:$AQ$1005,1,MATCH(COLUMNS($AB$1006:AF1006),$AB$1006:$AQ$1006,0))&gt;=100000), " ",IF(INDEX($AB$2:$AQ$1001,MATCH(ROWS($U$2:U490),$U$2:$U$1001,0),MATCH(COLUMNS($AB$1006:AF1006),$AB$1006:$AQ$1006,0)), HYPERLINK("#",""), HYPERLINK(CONCATENATE("#Metadata!", ADDRESS(INDEX($W$2:$W$1001,MATCH(ROWS($U$2:U490),$U$2:$U$1001,0),0), INDEX($AB$1004:$AQ$1004,1,MATCH(COLUMNS($AB$1006:AF1006),$AB$1006:$AQ$1006,0)))),"Fix")))</f>
        <v>0</v>
      </c>
      <c r="G490" s="5">
        <f>IF(OR(INDEX($V$2:$V$1001,MATCH(ROWS($U$2:U490),$U$2:$U$1001,0),1)&gt;=100000,INDEX($AB$1005:$AQ$1005,1,MATCH(COLUMNS($AB$1006:AG1006),$AB$1006:$AQ$1006,0))&gt;=100000), " ",IF(INDEX($AB$2:$AQ$1001,MATCH(ROWS($U$2:U490),$U$2:$U$1001,0),MATCH(COLUMNS($AB$1006:AG1006),$AB$1006:$AQ$1006,0)), HYPERLINK("#",""), HYPERLINK(CONCATENATE("#Metadata!", ADDRESS(INDEX($W$2:$W$1001,MATCH(ROWS($U$2:U490),$U$2:$U$1001,0),0), INDEX($AB$1004:$AQ$1004,1,MATCH(COLUMNS($AB$1006:AG1006),$AB$1006:$AQ$1006,0)))),"Fix")))</f>
        <v>0</v>
      </c>
      <c r="H490" s="5">
        <f>IF(OR(INDEX($V$2:$V$1001,MATCH(ROWS($U$2:U490),$U$2:$U$1001,0),1)&gt;=100000,INDEX($AB$1005:$AQ$1005,1,MATCH(COLUMNS($AB$1006:AH1006),$AB$1006:$AQ$1006,0))&gt;=100000), " ",IF(INDEX($AB$2:$AQ$1001,MATCH(ROWS($U$2:U490),$U$2:$U$1001,0),MATCH(COLUMNS($AB$1006:AH1006),$AB$1006:$AQ$1006,0)), HYPERLINK("#",""), HYPERLINK(CONCATENATE("#Metadata!", ADDRESS(INDEX($W$2:$W$1001,MATCH(ROWS($U$2:U490),$U$2:$U$1001,0),0), INDEX($AB$1004:$AQ$1004,1,MATCH(COLUMNS($AB$1006:AH1006),$AB$1006:$AQ$1006,0)))),"Fix")))</f>
        <v>0</v>
      </c>
      <c r="I490" s="5">
        <f>IF(OR(INDEX($V$2:$V$1001,MATCH(ROWS($U$2:U490),$U$2:$U$1001,0),1)&gt;=100000,INDEX($AB$1005:$AQ$1005,1,MATCH(COLUMNS($AB$1006:AI1006),$AB$1006:$AQ$1006,0))&gt;=100000), " ",IF(INDEX($AB$2:$AQ$1001,MATCH(ROWS($U$2:U490),$U$2:$U$1001,0),MATCH(COLUMNS($AB$1006:AI1006),$AB$1006:$AQ$1006,0)), HYPERLINK("#",""), HYPERLINK(CONCATENATE("#Metadata!", ADDRESS(INDEX($W$2:$W$1001,MATCH(ROWS($U$2:U490),$U$2:$U$1001,0),0), INDEX($AB$1004:$AQ$1004,1,MATCH(COLUMNS($AB$1006:AI1006),$AB$1006:$AQ$1006,0)))),"Fix")))</f>
        <v>0</v>
      </c>
      <c r="J490" s="5">
        <f>IF(OR(INDEX($V$2:$V$1001,MATCH(ROWS($U$2:U490),$U$2:$U$1001,0),1)&gt;=100000,INDEX($AB$1005:$AQ$1005,1,MATCH(COLUMNS($AB$1006:AJ1006),$AB$1006:$AQ$1006,0))&gt;=100000), " ",IF(INDEX($AB$2:$AQ$1001,MATCH(ROWS($U$2:U490),$U$2:$U$1001,0),MATCH(COLUMNS($AB$1006:AJ1006),$AB$1006:$AQ$1006,0)), HYPERLINK("#",""), HYPERLINK(CONCATENATE("#Metadata!", ADDRESS(INDEX($W$2:$W$1001,MATCH(ROWS($U$2:U490),$U$2:$U$1001,0),0), INDEX($AB$1004:$AQ$1004,1,MATCH(COLUMNS($AB$1006:AJ1006),$AB$1006:$AQ$1006,0)))),"Fix")))</f>
        <v>0</v>
      </c>
      <c r="K490" s="5">
        <f>IF(OR(INDEX($V$2:$V$1001,MATCH(ROWS($U$2:U490),$U$2:$U$1001,0),1)&gt;=100000,INDEX($AB$1005:$AQ$1005,1,MATCH(COLUMNS($AB$1006:AK1006),$AB$1006:$AQ$1006,0))&gt;=100000), " ",IF(INDEX($AB$2:$AQ$1001,MATCH(ROWS($U$2:U490),$U$2:$U$1001,0),MATCH(COLUMNS($AB$1006:AK1006),$AB$1006:$AQ$1006,0)), HYPERLINK("#",""), HYPERLINK(CONCATENATE("#Metadata!", ADDRESS(INDEX($W$2:$W$1001,MATCH(ROWS($U$2:U490),$U$2:$U$1001,0),0), INDEX($AB$1004:$AQ$1004,1,MATCH(COLUMNS($AB$1006:AK1006),$AB$1006:$AQ$1006,0)))),"Fix")))</f>
        <v>0</v>
      </c>
      <c r="L490" s="5">
        <f>IF(OR(INDEX($V$2:$V$1001,MATCH(ROWS($U$2:U490),$U$2:$U$1001,0),1)&gt;=100000,INDEX($AB$1005:$AQ$1005,1,MATCH(COLUMNS($AB$1006:AL1006),$AB$1006:$AQ$1006,0))&gt;=100000), " ",IF(INDEX($AB$2:$AQ$1001,MATCH(ROWS($U$2:U490),$U$2:$U$1001,0),MATCH(COLUMNS($AB$1006:AL1006),$AB$1006:$AQ$1006,0)), HYPERLINK("#",""), HYPERLINK(CONCATENATE("#Metadata!", ADDRESS(INDEX($W$2:$W$1001,MATCH(ROWS($U$2:U490),$U$2:$U$1001,0),0), INDEX($AB$1004:$AQ$1004,1,MATCH(COLUMNS($AB$1006:AL1006),$AB$1006:$AQ$1006,0)))),"Fix")))</f>
        <v>0</v>
      </c>
      <c r="M490" s="5">
        <f>IF(OR(INDEX($V$2:$V$1001,MATCH(ROWS($U$2:U490),$U$2:$U$1001,0),1)&gt;=100000,INDEX($AB$1005:$AQ$1005,1,MATCH(COLUMNS($AB$1006:AM1006),$AB$1006:$AQ$1006,0))&gt;=100000), " ",IF(INDEX($AB$2:$AQ$1001,MATCH(ROWS($U$2:U490),$U$2:$U$1001,0),MATCH(COLUMNS($AB$1006:AM1006),$AB$1006:$AQ$1006,0)), HYPERLINK("#",""), HYPERLINK(CONCATENATE("#Metadata!", ADDRESS(INDEX($W$2:$W$1001,MATCH(ROWS($U$2:U490),$U$2:$U$1001,0),0), INDEX($AB$1004:$AQ$1004,1,MATCH(COLUMNS($AB$1006:AM1006),$AB$1006:$AQ$1006,0)))),"Fix")))</f>
        <v>0</v>
      </c>
      <c r="N490" s="5">
        <f>IF(OR(INDEX($V$2:$V$1001,MATCH(ROWS($U$2:U490),$U$2:$U$1001,0),1)&gt;=100000,INDEX($AB$1005:$AQ$1005,1,MATCH(COLUMNS($AB$1006:AN1006),$AB$1006:$AQ$1006,0))&gt;=100000), " ",IF(INDEX($AB$2:$AQ$1001,MATCH(ROWS($U$2:U490),$U$2:$U$1001,0),MATCH(COLUMNS($AB$1006:AN1006),$AB$1006:$AQ$1006,0)), HYPERLINK("#",""), HYPERLINK(CONCATENATE("#Metadata!", ADDRESS(INDEX($W$2:$W$1001,MATCH(ROWS($U$2:U490),$U$2:$U$1001,0),0), INDEX($AB$1004:$AQ$1004,1,MATCH(COLUMNS($AB$1006:AN1006),$AB$1006:$AQ$1006,0)))),"Fix")))</f>
        <v>0</v>
      </c>
      <c r="O490" s="5">
        <f>IF(OR(INDEX($V$2:$V$1001,MATCH(ROWS($U$2:U490),$U$2:$U$1001,0),1)&gt;=100000,INDEX($AB$1005:$AQ$1005,1,MATCH(COLUMNS($AB$1006:AO1006),$AB$1006:$AQ$1006,0))&gt;=100000), " ",IF(INDEX($AB$2:$AQ$1001,MATCH(ROWS($U$2:U490),$U$2:$U$1001,0),MATCH(COLUMNS($AB$1006:AO1006),$AB$1006:$AQ$1006,0)), HYPERLINK("#",""), HYPERLINK(CONCATENATE("#Metadata!", ADDRESS(INDEX($W$2:$W$1001,MATCH(ROWS($U$2:U490),$U$2:$U$1001,0),0), INDEX($AB$1004:$AQ$1004,1,MATCH(COLUMNS($AB$1006:AO1006),$AB$1006:$AQ$1006,0)))),"Fix")))</f>
        <v>0</v>
      </c>
      <c r="P490" s="5">
        <f>IF(OR(INDEX($V$2:$V$1001,MATCH(ROWS($U$2:U490),$U$2:$U$1001,0),1)&gt;=100000,INDEX($AB$1005:$AQ$1005,1,MATCH(COLUMNS($AB$1006:AP1006),$AB$1006:$AQ$1006,0))&gt;=100000), " ",IF(INDEX($AB$2:$AQ$1001,MATCH(ROWS($U$2:U490),$U$2:$U$1001,0),MATCH(COLUMNS($AB$1006:AP1006),$AB$1006:$AQ$1006,0)), HYPERLINK("#",""), HYPERLINK(CONCATENATE("#Metadata!", ADDRESS(INDEX($W$2:$W$1001,MATCH(ROWS($U$2:U490),$U$2:$U$1001,0),0), INDEX($AB$1004:$AQ$1004,1,MATCH(COLUMNS($AB$1006:AP1006),$AB$1006:$AQ$1006,0)))),"Fix")))</f>
        <v>0</v>
      </c>
      <c r="Q490" s="5">
        <f>IF(OR(INDEX($V$2:$V$1001,MATCH(ROWS($U$2:U490),$U$2:$U$1001,0),1)&gt;=100000,INDEX($AB$1005:$AQ$1005,1,MATCH(COLUMNS($AB$1006:AQ1006),$AB$1006:$AQ$1006,0))&gt;=100000), " ",IF(INDEX($AB$2:$AQ$1001,MATCH(ROWS($U$2:U490),$U$2:$U$1001,0),MATCH(COLUMNS($AB$1006:AQ1006),$AB$1006:$AQ$1006,0)), HYPERLINK("#",""), HYPERLINK(CONCATENATE("#Metadata!", ADDRESS(INDEX($W$2:$W$1001,MATCH(ROWS($U$2:U490),$U$2:$U$1001,0),0), INDEX($AB$1004:$AQ$1004,1,MATCH(COLUMNS($AB$1006:AQ1006),$AB$1006:$AQ$1006,0)))),"Fix")))</f>
        <v>0</v>
      </c>
      <c r="U490">
        <v>0</v>
      </c>
      <c r="V490">
        <v>0</v>
      </c>
      <c r="W490">
        <v>0</v>
      </c>
      <c r="X490">
        <f>IF(Y490,TRUE,AND(AB490:AQ490))</f>
        <v>0</v>
      </c>
      <c r="Y490">
        <f>COUNTBLANK(Metadata!B490:Q490)=COLUMNS(Metadata!B490:Q490)</f>
        <v>0</v>
      </c>
      <c r="Z490">
        <v>0</v>
      </c>
      <c r="AB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AC490">
        <f>AND(IF(Metadata!C490="",FALSE,TRUE),exact(Metadata!C490,"urban biome"))</f>
        <v>0</v>
      </c>
      <c r="AD490">
        <f>AND(IF(Metadata!D490="",FALSE,TRUE),exact(Metadata!D490,"human-associated habitat"))</f>
        <v>0</v>
      </c>
      <c r="AE490">
        <f>AND(IF(Metadata!E490="",FALSE,TRUE),OR(exact(Metadata!E490,"human-associated"),exact(Metadata!E490,"human-skin"),exact(Metadata!E490,"human-oral"),exact(Metadata!E490,"human-gut"),exact(Metadata!E490,"human-vaginal")))</f>
        <v>0</v>
      </c>
      <c r="AF490">
        <f>AND(IF(Metadata!F490="",FALSE,ISNUMBER(VALUE(Metadata!F490))),Metadata!F490&gt;0)</f>
        <v>0</v>
      </c>
      <c r="AG490">
        <f>AND(IF(Metadata!G490="",FALSE,TRUE),exact(Metadata!G490,"years"))</f>
        <v>0</v>
      </c>
      <c r="AH490">
        <f>OR(AND(IF(Metadata!H490="",FALSE,TRUE),OR(exact(Metadata!H490,"not applicable"),exact(Metadata!H490,"not collected"),exact(Metadata!H490,"not provided"),exact(Metadata!H490,"restricted access"))),AND(IF(Metadata!H490="",FALSE,ISNUMBER(VALUE(Metadata!H490))),Metadata!H490&gt;0))</f>
        <v>0</v>
      </c>
      <c r="AI490">
        <f>AND(IF(Metadata!I490="",FALSE,TRUE),exact(Metadata!I490,"human"))</f>
        <v>0</v>
      </c>
      <c r="AJ490">
        <f>AND(IF(Metadata!J490="",FALSE,ISNUMBER(VALUE(Metadata!J490))),Metadata!J490&gt;0)</f>
        <v>0</v>
      </c>
      <c r="AK490">
        <f>AND(IF(Metadata!K490="",FALSE,TRUE),exact(Metadata!K490,"cm"))</f>
        <v>0</v>
      </c>
      <c r="AL490">
        <f>AND(IF(Metadata!L490="",FALSE,TRUE),exact(Metadata!L490,"Homo sapiens"))</f>
        <v>0</v>
      </c>
      <c r="AM490">
        <f>AND(IF(Metadata!M490="",FALSE,TRUE),exact(Metadata!M490,"9606"))</f>
        <v>0</v>
      </c>
      <c r="AN490">
        <f>AND(IF(Metadata!N490="",FALSE,ISNUMBER(VALUE(Metadata!N490))),Metadata!N490&gt;0)</f>
        <v>0</v>
      </c>
      <c r="AO490">
        <f>AND(IF(Metadata!O490="",FALSE,TRUE),exact(Metadata!O490,"kg"))</f>
        <v>0</v>
      </c>
      <c r="AP490">
        <f>OR(AND(IF(Metadata!P490="",FALSE,TRUE),exact(Metadata!P490,"not provided")),IF(Metadata!P490="",FALSE,TRUE))</f>
        <v>0</v>
      </c>
      <c r="AQ490">
        <f>OR(AND(IF(Metadata!Q490="",FALSE,TRUE),exact(Metadata!Q490,"not provided")),IF(Metadata!Q490="",FALSE,TRUE))</f>
        <v>0</v>
      </c>
    </row>
    <row r="491" spans="1:43">
      <c r="A491" s="4">
        <f>IF(B491=" "," ",HYPERLINK(CONCATENATE("#metadata!",ADDRESS(INDEX($W$2:$W$1001,MATCH(ROWS($U$2:U491),$U$2:$U$1001,0),0),2)),INDEX($Z$2:$Z$1001,MATCH(ROWS($U$2:U491),$U$2:$U$1001,0),0)))</f>
        <v>0</v>
      </c>
      <c r="B491" s="5">
        <f>IF(OR(INDEX($V$2:$V$1001,MATCH(ROWS($U$2:U491),$U$2:$U$1001,0),1)&gt;=100000,INDEX($AB$1005:$AQ$1005,1,MATCH(COLUMNS($AB$1006:AB1006),$AB$1006:$AQ$1006,0))&gt;=100000), " ",IF(INDEX($AB$2:$AQ$1001,MATCH(ROWS($U$2:U491),$U$2:$U$1001,0),MATCH(COLUMNS($AB$1006:AB1006),$AB$1006:$AQ$1006,0)), HYPERLINK("#",""), HYPERLINK(CONCATENATE("#Metadata!", ADDRESS(INDEX($W$2:$W$1001,MATCH(ROWS($U$2:U491),$U$2:$U$1001,0),0), INDEX($AB$1004:$AQ$1004,1,MATCH(COLUMNS($AB$1006:AB1006),$AB$1006:$AQ$1006,0)))),"Fix")))</f>
        <v>0</v>
      </c>
      <c r="C491" s="5">
        <f>IF(OR(INDEX($V$2:$V$1001,MATCH(ROWS($U$2:U491),$U$2:$U$1001,0),1)&gt;=100000,INDEX($AB$1005:$AQ$1005,1,MATCH(COLUMNS($AB$1006:AC1006),$AB$1006:$AQ$1006,0))&gt;=100000), " ",IF(INDEX($AB$2:$AQ$1001,MATCH(ROWS($U$2:U491),$U$2:$U$1001,0),MATCH(COLUMNS($AB$1006:AC1006),$AB$1006:$AQ$1006,0)), HYPERLINK("#",""), HYPERLINK(CONCATENATE("#Metadata!", ADDRESS(INDEX($W$2:$W$1001,MATCH(ROWS($U$2:U491),$U$2:$U$1001,0),0), INDEX($AB$1004:$AQ$1004,1,MATCH(COLUMNS($AB$1006:AC1006),$AB$1006:$AQ$1006,0)))),"Fix")))</f>
        <v>0</v>
      </c>
      <c r="D491" s="5">
        <f>IF(OR(INDEX($V$2:$V$1001,MATCH(ROWS($U$2:U491),$U$2:$U$1001,0),1)&gt;=100000,INDEX($AB$1005:$AQ$1005,1,MATCH(COLUMNS($AB$1006:AD1006),$AB$1006:$AQ$1006,0))&gt;=100000), " ",IF(INDEX($AB$2:$AQ$1001,MATCH(ROWS($U$2:U491),$U$2:$U$1001,0),MATCH(COLUMNS($AB$1006:AD1006),$AB$1006:$AQ$1006,0)), HYPERLINK("#",""), HYPERLINK(CONCATENATE("#Metadata!", ADDRESS(INDEX($W$2:$W$1001,MATCH(ROWS($U$2:U491),$U$2:$U$1001,0),0), INDEX($AB$1004:$AQ$1004,1,MATCH(COLUMNS($AB$1006:AD1006),$AB$1006:$AQ$1006,0)))),"Fix")))</f>
        <v>0</v>
      </c>
      <c r="E491" s="5">
        <f>IF(OR(INDEX($V$2:$V$1001,MATCH(ROWS($U$2:U491),$U$2:$U$1001,0),1)&gt;=100000,INDEX($AB$1005:$AQ$1005,1,MATCH(COLUMNS($AB$1006:AE1006),$AB$1006:$AQ$1006,0))&gt;=100000), " ",IF(INDEX($AB$2:$AQ$1001,MATCH(ROWS($U$2:U491),$U$2:$U$1001,0),MATCH(COLUMNS($AB$1006:AE1006),$AB$1006:$AQ$1006,0)), HYPERLINK("#",""), HYPERLINK(CONCATENATE("#Metadata!", ADDRESS(INDEX($W$2:$W$1001,MATCH(ROWS($U$2:U491),$U$2:$U$1001,0),0), INDEX($AB$1004:$AQ$1004,1,MATCH(COLUMNS($AB$1006:AE1006),$AB$1006:$AQ$1006,0)))),"Fix")))</f>
        <v>0</v>
      </c>
      <c r="F491" s="5">
        <f>IF(OR(INDEX($V$2:$V$1001,MATCH(ROWS($U$2:U491),$U$2:$U$1001,0),1)&gt;=100000,INDEX($AB$1005:$AQ$1005,1,MATCH(COLUMNS($AB$1006:AF1006),$AB$1006:$AQ$1006,0))&gt;=100000), " ",IF(INDEX($AB$2:$AQ$1001,MATCH(ROWS($U$2:U491),$U$2:$U$1001,0),MATCH(COLUMNS($AB$1006:AF1006),$AB$1006:$AQ$1006,0)), HYPERLINK("#",""), HYPERLINK(CONCATENATE("#Metadata!", ADDRESS(INDEX($W$2:$W$1001,MATCH(ROWS($U$2:U491),$U$2:$U$1001,0),0), INDEX($AB$1004:$AQ$1004,1,MATCH(COLUMNS($AB$1006:AF1006),$AB$1006:$AQ$1006,0)))),"Fix")))</f>
        <v>0</v>
      </c>
      <c r="G491" s="5">
        <f>IF(OR(INDEX($V$2:$V$1001,MATCH(ROWS($U$2:U491),$U$2:$U$1001,0),1)&gt;=100000,INDEX($AB$1005:$AQ$1005,1,MATCH(COLUMNS($AB$1006:AG1006),$AB$1006:$AQ$1006,0))&gt;=100000), " ",IF(INDEX($AB$2:$AQ$1001,MATCH(ROWS($U$2:U491),$U$2:$U$1001,0),MATCH(COLUMNS($AB$1006:AG1006),$AB$1006:$AQ$1006,0)), HYPERLINK("#",""), HYPERLINK(CONCATENATE("#Metadata!", ADDRESS(INDEX($W$2:$W$1001,MATCH(ROWS($U$2:U491),$U$2:$U$1001,0),0), INDEX($AB$1004:$AQ$1004,1,MATCH(COLUMNS($AB$1006:AG1006),$AB$1006:$AQ$1006,0)))),"Fix")))</f>
        <v>0</v>
      </c>
      <c r="H491" s="5">
        <f>IF(OR(INDEX($V$2:$V$1001,MATCH(ROWS($U$2:U491),$U$2:$U$1001,0),1)&gt;=100000,INDEX($AB$1005:$AQ$1005,1,MATCH(COLUMNS($AB$1006:AH1006),$AB$1006:$AQ$1006,0))&gt;=100000), " ",IF(INDEX($AB$2:$AQ$1001,MATCH(ROWS($U$2:U491),$U$2:$U$1001,0),MATCH(COLUMNS($AB$1006:AH1006),$AB$1006:$AQ$1006,0)), HYPERLINK("#",""), HYPERLINK(CONCATENATE("#Metadata!", ADDRESS(INDEX($W$2:$W$1001,MATCH(ROWS($U$2:U491),$U$2:$U$1001,0),0), INDEX($AB$1004:$AQ$1004,1,MATCH(COLUMNS($AB$1006:AH1006),$AB$1006:$AQ$1006,0)))),"Fix")))</f>
        <v>0</v>
      </c>
      <c r="I491" s="5">
        <f>IF(OR(INDEX($V$2:$V$1001,MATCH(ROWS($U$2:U491),$U$2:$U$1001,0),1)&gt;=100000,INDEX($AB$1005:$AQ$1005,1,MATCH(COLUMNS($AB$1006:AI1006),$AB$1006:$AQ$1006,0))&gt;=100000), " ",IF(INDEX($AB$2:$AQ$1001,MATCH(ROWS($U$2:U491),$U$2:$U$1001,0),MATCH(COLUMNS($AB$1006:AI1006),$AB$1006:$AQ$1006,0)), HYPERLINK("#",""), HYPERLINK(CONCATENATE("#Metadata!", ADDRESS(INDEX($W$2:$W$1001,MATCH(ROWS($U$2:U491),$U$2:$U$1001,0),0), INDEX($AB$1004:$AQ$1004,1,MATCH(COLUMNS($AB$1006:AI1006),$AB$1006:$AQ$1006,0)))),"Fix")))</f>
        <v>0</v>
      </c>
      <c r="J491" s="5">
        <f>IF(OR(INDEX($V$2:$V$1001,MATCH(ROWS($U$2:U491),$U$2:$U$1001,0),1)&gt;=100000,INDEX($AB$1005:$AQ$1005,1,MATCH(COLUMNS($AB$1006:AJ1006),$AB$1006:$AQ$1006,0))&gt;=100000), " ",IF(INDEX($AB$2:$AQ$1001,MATCH(ROWS($U$2:U491),$U$2:$U$1001,0),MATCH(COLUMNS($AB$1006:AJ1006),$AB$1006:$AQ$1006,0)), HYPERLINK("#",""), HYPERLINK(CONCATENATE("#Metadata!", ADDRESS(INDEX($W$2:$W$1001,MATCH(ROWS($U$2:U491),$U$2:$U$1001,0),0), INDEX($AB$1004:$AQ$1004,1,MATCH(COLUMNS($AB$1006:AJ1006),$AB$1006:$AQ$1006,0)))),"Fix")))</f>
        <v>0</v>
      </c>
      <c r="K491" s="5">
        <f>IF(OR(INDEX($V$2:$V$1001,MATCH(ROWS($U$2:U491),$U$2:$U$1001,0),1)&gt;=100000,INDEX($AB$1005:$AQ$1005,1,MATCH(COLUMNS($AB$1006:AK1006),$AB$1006:$AQ$1006,0))&gt;=100000), " ",IF(INDEX($AB$2:$AQ$1001,MATCH(ROWS($U$2:U491),$U$2:$U$1001,0),MATCH(COLUMNS($AB$1006:AK1006),$AB$1006:$AQ$1006,0)), HYPERLINK("#",""), HYPERLINK(CONCATENATE("#Metadata!", ADDRESS(INDEX($W$2:$W$1001,MATCH(ROWS($U$2:U491),$U$2:$U$1001,0),0), INDEX($AB$1004:$AQ$1004,1,MATCH(COLUMNS($AB$1006:AK1006),$AB$1006:$AQ$1006,0)))),"Fix")))</f>
        <v>0</v>
      </c>
      <c r="L491" s="5">
        <f>IF(OR(INDEX($V$2:$V$1001,MATCH(ROWS($U$2:U491),$U$2:$U$1001,0),1)&gt;=100000,INDEX($AB$1005:$AQ$1005,1,MATCH(COLUMNS($AB$1006:AL1006),$AB$1006:$AQ$1006,0))&gt;=100000), " ",IF(INDEX($AB$2:$AQ$1001,MATCH(ROWS($U$2:U491),$U$2:$U$1001,0),MATCH(COLUMNS($AB$1006:AL1006),$AB$1006:$AQ$1006,0)), HYPERLINK("#",""), HYPERLINK(CONCATENATE("#Metadata!", ADDRESS(INDEX($W$2:$W$1001,MATCH(ROWS($U$2:U491),$U$2:$U$1001,0),0), INDEX($AB$1004:$AQ$1004,1,MATCH(COLUMNS($AB$1006:AL1006),$AB$1006:$AQ$1006,0)))),"Fix")))</f>
        <v>0</v>
      </c>
      <c r="M491" s="5">
        <f>IF(OR(INDEX($V$2:$V$1001,MATCH(ROWS($U$2:U491),$U$2:$U$1001,0),1)&gt;=100000,INDEX($AB$1005:$AQ$1005,1,MATCH(COLUMNS($AB$1006:AM1006),$AB$1006:$AQ$1006,0))&gt;=100000), " ",IF(INDEX($AB$2:$AQ$1001,MATCH(ROWS($U$2:U491),$U$2:$U$1001,0),MATCH(COLUMNS($AB$1006:AM1006),$AB$1006:$AQ$1006,0)), HYPERLINK("#",""), HYPERLINK(CONCATENATE("#Metadata!", ADDRESS(INDEX($W$2:$W$1001,MATCH(ROWS($U$2:U491),$U$2:$U$1001,0),0), INDEX($AB$1004:$AQ$1004,1,MATCH(COLUMNS($AB$1006:AM1006),$AB$1006:$AQ$1006,0)))),"Fix")))</f>
        <v>0</v>
      </c>
      <c r="N491" s="5">
        <f>IF(OR(INDEX($V$2:$V$1001,MATCH(ROWS($U$2:U491),$U$2:$U$1001,0),1)&gt;=100000,INDEX($AB$1005:$AQ$1005,1,MATCH(COLUMNS($AB$1006:AN1006),$AB$1006:$AQ$1006,0))&gt;=100000), " ",IF(INDEX($AB$2:$AQ$1001,MATCH(ROWS($U$2:U491),$U$2:$U$1001,0),MATCH(COLUMNS($AB$1006:AN1006),$AB$1006:$AQ$1006,0)), HYPERLINK("#",""), HYPERLINK(CONCATENATE("#Metadata!", ADDRESS(INDEX($W$2:$W$1001,MATCH(ROWS($U$2:U491),$U$2:$U$1001,0),0), INDEX($AB$1004:$AQ$1004,1,MATCH(COLUMNS($AB$1006:AN1006),$AB$1006:$AQ$1006,0)))),"Fix")))</f>
        <v>0</v>
      </c>
      <c r="O491" s="5">
        <f>IF(OR(INDEX($V$2:$V$1001,MATCH(ROWS($U$2:U491),$U$2:$U$1001,0),1)&gt;=100000,INDEX($AB$1005:$AQ$1005,1,MATCH(COLUMNS($AB$1006:AO1006),$AB$1006:$AQ$1006,0))&gt;=100000), " ",IF(INDEX($AB$2:$AQ$1001,MATCH(ROWS($U$2:U491),$U$2:$U$1001,0),MATCH(COLUMNS($AB$1006:AO1006),$AB$1006:$AQ$1006,0)), HYPERLINK("#",""), HYPERLINK(CONCATENATE("#Metadata!", ADDRESS(INDEX($W$2:$W$1001,MATCH(ROWS($U$2:U491),$U$2:$U$1001,0),0), INDEX($AB$1004:$AQ$1004,1,MATCH(COLUMNS($AB$1006:AO1006),$AB$1006:$AQ$1006,0)))),"Fix")))</f>
        <v>0</v>
      </c>
      <c r="P491" s="5">
        <f>IF(OR(INDEX($V$2:$V$1001,MATCH(ROWS($U$2:U491),$U$2:$U$1001,0),1)&gt;=100000,INDEX($AB$1005:$AQ$1005,1,MATCH(COLUMNS($AB$1006:AP1006),$AB$1006:$AQ$1006,0))&gt;=100000), " ",IF(INDEX($AB$2:$AQ$1001,MATCH(ROWS($U$2:U491),$U$2:$U$1001,0),MATCH(COLUMNS($AB$1006:AP1006),$AB$1006:$AQ$1006,0)), HYPERLINK("#",""), HYPERLINK(CONCATENATE("#Metadata!", ADDRESS(INDEX($W$2:$W$1001,MATCH(ROWS($U$2:U491),$U$2:$U$1001,0),0), INDEX($AB$1004:$AQ$1004,1,MATCH(COLUMNS($AB$1006:AP1006),$AB$1006:$AQ$1006,0)))),"Fix")))</f>
        <v>0</v>
      </c>
      <c r="Q491" s="5">
        <f>IF(OR(INDEX($V$2:$V$1001,MATCH(ROWS($U$2:U491),$U$2:$U$1001,0),1)&gt;=100000,INDEX($AB$1005:$AQ$1005,1,MATCH(COLUMNS($AB$1006:AQ1006),$AB$1006:$AQ$1006,0))&gt;=100000), " ",IF(INDEX($AB$2:$AQ$1001,MATCH(ROWS($U$2:U491),$U$2:$U$1001,0),MATCH(COLUMNS($AB$1006:AQ1006),$AB$1006:$AQ$1006,0)), HYPERLINK("#",""), HYPERLINK(CONCATENATE("#Metadata!", ADDRESS(INDEX($W$2:$W$1001,MATCH(ROWS($U$2:U491),$U$2:$U$1001,0),0), INDEX($AB$1004:$AQ$1004,1,MATCH(COLUMNS($AB$1006:AQ1006),$AB$1006:$AQ$1006,0)))),"Fix")))</f>
        <v>0</v>
      </c>
      <c r="U491">
        <v>0</v>
      </c>
      <c r="V491">
        <v>0</v>
      </c>
      <c r="W491">
        <v>0</v>
      </c>
      <c r="X491">
        <f>IF(Y491,TRUE,AND(AB491:AQ491))</f>
        <v>0</v>
      </c>
      <c r="Y491">
        <f>COUNTBLANK(Metadata!B491:Q491)=COLUMNS(Metadata!B491:Q491)</f>
        <v>0</v>
      </c>
      <c r="Z491">
        <v>0</v>
      </c>
      <c r="AB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AC491">
        <f>AND(IF(Metadata!C491="",FALSE,TRUE),exact(Metadata!C491,"urban biome"))</f>
        <v>0</v>
      </c>
      <c r="AD491">
        <f>AND(IF(Metadata!D491="",FALSE,TRUE),exact(Metadata!D491,"human-associated habitat"))</f>
        <v>0</v>
      </c>
      <c r="AE491">
        <f>AND(IF(Metadata!E491="",FALSE,TRUE),OR(exact(Metadata!E491,"human-associated"),exact(Metadata!E491,"human-skin"),exact(Metadata!E491,"human-oral"),exact(Metadata!E491,"human-gut"),exact(Metadata!E491,"human-vaginal")))</f>
        <v>0</v>
      </c>
      <c r="AF491">
        <f>AND(IF(Metadata!F491="",FALSE,ISNUMBER(VALUE(Metadata!F491))),Metadata!F491&gt;0)</f>
        <v>0</v>
      </c>
      <c r="AG491">
        <f>AND(IF(Metadata!G491="",FALSE,TRUE),exact(Metadata!G491,"years"))</f>
        <v>0</v>
      </c>
      <c r="AH491">
        <f>OR(AND(IF(Metadata!H491="",FALSE,TRUE),OR(exact(Metadata!H491,"not applicable"),exact(Metadata!H491,"not collected"),exact(Metadata!H491,"not provided"),exact(Metadata!H491,"restricted access"))),AND(IF(Metadata!H491="",FALSE,ISNUMBER(VALUE(Metadata!H491))),Metadata!H491&gt;0))</f>
        <v>0</v>
      </c>
      <c r="AI491">
        <f>AND(IF(Metadata!I491="",FALSE,TRUE),exact(Metadata!I491,"human"))</f>
        <v>0</v>
      </c>
      <c r="AJ491">
        <f>AND(IF(Metadata!J491="",FALSE,ISNUMBER(VALUE(Metadata!J491))),Metadata!J491&gt;0)</f>
        <v>0</v>
      </c>
      <c r="AK491">
        <f>AND(IF(Metadata!K491="",FALSE,TRUE),exact(Metadata!K491,"cm"))</f>
        <v>0</v>
      </c>
      <c r="AL491">
        <f>AND(IF(Metadata!L491="",FALSE,TRUE),exact(Metadata!L491,"Homo sapiens"))</f>
        <v>0</v>
      </c>
      <c r="AM491">
        <f>AND(IF(Metadata!M491="",FALSE,TRUE),exact(Metadata!M491,"9606"))</f>
        <v>0</v>
      </c>
      <c r="AN491">
        <f>AND(IF(Metadata!N491="",FALSE,ISNUMBER(VALUE(Metadata!N491))),Metadata!N491&gt;0)</f>
        <v>0</v>
      </c>
      <c r="AO491">
        <f>AND(IF(Metadata!O491="",FALSE,TRUE),exact(Metadata!O491,"kg"))</f>
        <v>0</v>
      </c>
      <c r="AP491">
        <f>OR(AND(IF(Metadata!P491="",FALSE,TRUE),exact(Metadata!P491,"not provided")),IF(Metadata!P491="",FALSE,TRUE))</f>
        <v>0</v>
      </c>
      <c r="AQ491">
        <f>OR(AND(IF(Metadata!Q491="",FALSE,TRUE),exact(Metadata!Q491,"not provided")),IF(Metadata!Q491="",FALSE,TRUE))</f>
        <v>0</v>
      </c>
    </row>
    <row r="492" spans="1:43">
      <c r="A492" s="4">
        <f>IF(B492=" "," ",HYPERLINK(CONCATENATE("#metadata!",ADDRESS(INDEX($W$2:$W$1001,MATCH(ROWS($U$2:U492),$U$2:$U$1001,0),0),2)),INDEX($Z$2:$Z$1001,MATCH(ROWS($U$2:U492),$U$2:$U$1001,0),0)))</f>
        <v>0</v>
      </c>
      <c r="B492" s="5">
        <f>IF(OR(INDEX($V$2:$V$1001,MATCH(ROWS($U$2:U492),$U$2:$U$1001,0),1)&gt;=100000,INDEX($AB$1005:$AQ$1005,1,MATCH(COLUMNS($AB$1006:AB1006),$AB$1006:$AQ$1006,0))&gt;=100000), " ",IF(INDEX($AB$2:$AQ$1001,MATCH(ROWS($U$2:U492),$U$2:$U$1001,0),MATCH(COLUMNS($AB$1006:AB1006),$AB$1006:$AQ$1006,0)), HYPERLINK("#",""), HYPERLINK(CONCATENATE("#Metadata!", ADDRESS(INDEX($W$2:$W$1001,MATCH(ROWS($U$2:U492),$U$2:$U$1001,0),0), INDEX($AB$1004:$AQ$1004,1,MATCH(COLUMNS($AB$1006:AB1006),$AB$1006:$AQ$1006,0)))),"Fix")))</f>
        <v>0</v>
      </c>
      <c r="C492" s="5">
        <f>IF(OR(INDEX($V$2:$V$1001,MATCH(ROWS($U$2:U492),$U$2:$U$1001,0),1)&gt;=100000,INDEX($AB$1005:$AQ$1005,1,MATCH(COLUMNS($AB$1006:AC1006),$AB$1006:$AQ$1006,0))&gt;=100000), " ",IF(INDEX($AB$2:$AQ$1001,MATCH(ROWS($U$2:U492),$U$2:$U$1001,0),MATCH(COLUMNS($AB$1006:AC1006),$AB$1006:$AQ$1006,0)), HYPERLINK("#",""), HYPERLINK(CONCATENATE("#Metadata!", ADDRESS(INDEX($W$2:$W$1001,MATCH(ROWS($U$2:U492),$U$2:$U$1001,0),0), INDEX($AB$1004:$AQ$1004,1,MATCH(COLUMNS($AB$1006:AC1006),$AB$1006:$AQ$1006,0)))),"Fix")))</f>
        <v>0</v>
      </c>
      <c r="D492" s="5">
        <f>IF(OR(INDEX($V$2:$V$1001,MATCH(ROWS($U$2:U492),$U$2:$U$1001,0),1)&gt;=100000,INDEX($AB$1005:$AQ$1005,1,MATCH(COLUMNS($AB$1006:AD1006),$AB$1006:$AQ$1006,0))&gt;=100000), " ",IF(INDEX($AB$2:$AQ$1001,MATCH(ROWS($U$2:U492),$U$2:$U$1001,0),MATCH(COLUMNS($AB$1006:AD1006),$AB$1006:$AQ$1006,0)), HYPERLINK("#",""), HYPERLINK(CONCATENATE("#Metadata!", ADDRESS(INDEX($W$2:$W$1001,MATCH(ROWS($U$2:U492),$U$2:$U$1001,0),0), INDEX($AB$1004:$AQ$1004,1,MATCH(COLUMNS($AB$1006:AD1006),$AB$1006:$AQ$1006,0)))),"Fix")))</f>
        <v>0</v>
      </c>
      <c r="E492" s="5">
        <f>IF(OR(INDEX($V$2:$V$1001,MATCH(ROWS($U$2:U492),$U$2:$U$1001,0),1)&gt;=100000,INDEX($AB$1005:$AQ$1005,1,MATCH(COLUMNS($AB$1006:AE1006),$AB$1006:$AQ$1006,0))&gt;=100000), " ",IF(INDEX($AB$2:$AQ$1001,MATCH(ROWS($U$2:U492),$U$2:$U$1001,0),MATCH(COLUMNS($AB$1006:AE1006),$AB$1006:$AQ$1006,0)), HYPERLINK("#",""), HYPERLINK(CONCATENATE("#Metadata!", ADDRESS(INDEX($W$2:$W$1001,MATCH(ROWS($U$2:U492),$U$2:$U$1001,0),0), INDEX($AB$1004:$AQ$1004,1,MATCH(COLUMNS($AB$1006:AE1006),$AB$1006:$AQ$1006,0)))),"Fix")))</f>
        <v>0</v>
      </c>
      <c r="F492" s="5">
        <f>IF(OR(INDEX($V$2:$V$1001,MATCH(ROWS($U$2:U492),$U$2:$U$1001,0),1)&gt;=100000,INDEX($AB$1005:$AQ$1005,1,MATCH(COLUMNS($AB$1006:AF1006),$AB$1006:$AQ$1006,0))&gt;=100000), " ",IF(INDEX($AB$2:$AQ$1001,MATCH(ROWS($U$2:U492),$U$2:$U$1001,0),MATCH(COLUMNS($AB$1006:AF1006),$AB$1006:$AQ$1006,0)), HYPERLINK("#",""), HYPERLINK(CONCATENATE("#Metadata!", ADDRESS(INDEX($W$2:$W$1001,MATCH(ROWS($U$2:U492),$U$2:$U$1001,0),0), INDEX($AB$1004:$AQ$1004,1,MATCH(COLUMNS($AB$1006:AF1006),$AB$1006:$AQ$1006,0)))),"Fix")))</f>
        <v>0</v>
      </c>
      <c r="G492" s="5">
        <f>IF(OR(INDEX($V$2:$V$1001,MATCH(ROWS($U$2:U492),$U$2:$U$1001,0),1)&gt;=100000,INDEX($AB$1005:$AQ$1005,1,MATCH(COLUMNS($AB$1006:AG1006),$AB$1006:$AQ$1006,0))&gt;=100000), " ",IF(INDEX($AB$2:$AQ$1001,MATCH(ROWS($U$2:U492),$U$2:$U$1001,0),MATCH(COLUMNS($AB$1006:AG1006),$AB$1006:$AQ$1006,0)), HYPERLINK("#",""), HYPERLINK(CONCATENATE("#Metadata!", ADDRESS(INDEX($W$2:$W$1001,MATCH(ROWS($U$2:U492),$U$2:$U$1001,0),0), INDEX($AB$1004:$AQ$1004,1,MATCH(COLUMNS($AB$1006:AG1006),$AB$1006:$AQ$1006,0)))),"Fix")))</f>
        <v>0</v>
      </c>
      <c r="H492" s="5">
        <f>IF(OR(INDEX($V$2:$V$1001,MATCH(ROWS($U$2:U492),$U$2:$U$1001,0),1)&gt;=100000,INDEX($AB$1005:$AQ$1005,1,MATCH(COLUMNS($AB$1006:AH1006),$AB$1006:$AQ$1006,0))&gt;=100000), " ",IF(INDEX($AB$2:$AQ$1001,MATCH(ROWS($U$2:U492),$U$2:$U$1001,0),MATCH(COLUMNS($AB$1006:AH1006),$AB$1006:$AQ$1006,0)), HYPERLINK("#",""), HYPERLINK(CONCATENATE("#Metadata!", ADDRESS(INDEX($W$2:$W$1001,MATCH(ROWS($U$2:U492),$U$2:$U$1001,0),0), INDEX($AB$1004:$AQ$1004,1,MATCH(COLUMNS($AB$1006:AH1006),$AB$1006:$AQ$1006,0)))),"Fix")))</f>
        <v>0</v>
      </c>
      <c r="I492" s="5">
        <f>IF(OR(INDEX($V$2:$V$1001,MATCH(ROWS($U$2:U492),$U$2:$U$1001,0),1)&gt;=100000,INDEX($AB$1005:$AQ$1005,1,MATCH(COLUMNS($AB$1006:AI1006),$AB$1006:$AQ$1006,0))&gt;=100000), " ",IF(INDEX($AB$2:$AQ$1001,MATCH(ROWS($U$2:U492),$U$2:$U$1001,0),MATCH(COLUMNS($AB$1006:AI1006),$AB$1006:$AQ$1006,0)), HYPERLINK("#",""), HYPERLINK(CONCATENATE("#Metadata!", ADDRESS(INDEX($W$2:$W$1001,MATCH(ROWS($U$2:U492),$U$2:$U$1001,0),0), INDEX($AB$1004:$AQ$1004,1,MATCH(COLUMNS($AB$1006:AI1006),$AB$1006:$AQ$1006,0)))),"Fix")))</f>
        <v>0</v>
      </c>
      <c r="J492" s="5">
        <f>IF(OR(INDEX($V$2:$V$1001,MATCH(ROWS($U$2:U492),$U$2:$U$1001,0),1)&gt;=100000,INDEX($AB$1005:$AQ$1005,1,MATCH(COLUMNS($AB$1006:AJ1006),$AB$1006:$AQ$1006,0))&gt;=100000), " ",IF(INDEX($AB$2:$AQ$1001,MATCH(ROWS($U$2:U492),$U$2:$U$1001,0),MATCH(COLUMNS($AB$1006:AJ1006),$AB$1006:$AQ$1006,0)), HYPERLINK("#",""), HYPERLINK(CONCATENATE("#Metadata!", ADDRESS(INDEX($W$2:$W$1001,MATCH(ROWS($U$2:U492),$U$2:$U$1001,0),0), INDEX($AB$1004:$AQ$1004,1,MATCH(COLUMNS($AB$1006:AJ1006),$AB$1006:$AQ$1006,0)))),"Fix")))</f>
        <v>0</v>
      </c>
      <c r="K492" s="5">
        <f>IF(OR(INDEX($V$2:$V$1001,MATCH(ROWS($U$2:U492),$U$2:$U$1001,0),1)&gt;=100000,INDEX($AB$1005:$AQ$1005,1,MATCH(COLUMNS($AB$1006:AK1006),$AB$1006:$AQ$1006,0))&gt;=100000), " ",IF(INDEX($AB$2:$AQ$1001,MATCH(ROWS($U$2:U492),$U$2:$U$1001,0),MATCH(COLUMNS($AB$1006:AK1006),$AB$1006:$AQ$1006,0)), HYPERLINK("#",""), HYPERLINK(CONCATENATE("#Metadata!", ADDRESS(INDEX($W$2:$W$1001,MATCH(ROWS($U$2:U492),$U$2:$U$1001,0),0), INDEX($AB$1004:$AQ$1004,1,MATCH(COLUMNS($AB$1006:AK1006),$AB$1006:$AQ$1006,0)))),"Fix")))</f>
        <v>0</v>
      </c>
      <c r="L492" s="5">
        <f>IF(OR(INDEX($V$2:$V$1001,MATCH(ROWS($U$2:U492),$U$2:$U$1001,0),1)&gt;=100000,INDEX($AB$1005:$AQ$1005,1,MATCH(COLUMNS($AB$1006:AL1006),$AB$1006:$AQ$1006,0))&gt;=100000), " ",IF(INDEX($AB$2:$AQ$1001,MATCH(ROWS($U$2:U492),$U$2:$U$1001,0),MATCH(COLUMNS($AB$1006:AL1006),$AB$1006:$AQ$1006,0)), HYPERLINK("#",""), HYPERLINK(CONCATENATE("#Metadata!", ADDRESS(INDEX($W$2:$W$1001,MATCH(ROWS($U$2:U492),$U$2:$U$1001,0),0), INDEX($AB$1004:$AQ$1004,1,MATCH(COLUMNS($AB$1006:AL1006),$AB$1006:$AQ$1006,0)))),"Fix")))</f>
        <v>0</v>
      </c>
      <c r="M492" s="5">
        <f>IF(OR(INDEX($V$2:$V$1001,MATCH(ROWS($U$2:U492),$U$2:$U$1001,0),1)&gt;=100000,INDEX($AB$1005:$AQ$1005,1,MATCH(COLUMNS($AB$1006:AM1006),$AB$1006:$AQ$1006,0))&gt;=100000), " ",IF(INDEX($AB$2:$AQ$1001,MATCH(ROWS($U$2:U492),$U$2:$U$1001,0),MATCH(COLUMNS($AB$1006:AM1006),$AB$1006:$AQ$1006,0)), HYPERLINK("#",""), HYPERLINK(CONCATENATE("#Metadata!", ADDRESS(INDEX($W$2:$W$1001,MATCH(ROWS($U$2:U492),$U$2:$U$1001,0),0), INDEX($AB$1004:$AQ$1004,1,MATCH(COLUMNS($AB$1006:AM1006),$AB$1006:$AQ$1006,0)))),"Fix")))</f>
        <v>0</v>
      </c>
      <c r="N492" s="5">
        <f>IF(OR(INDEX($V$2:$V$1001,MATCH(ROWS($U$2:U492),$U$2:$U$1001,0),1)&gt;=100000,INDEX($AB$1005:$AQ$1005,1,MATCH(COLUMNS($AB$1006:AN1006),$AB$1006:$AQ$1006,0))&gt;=100000), " ",IF(INDEX($AB$2:$AQ$1001,MATCH(ROWS($U$2:U492),$U$2:$U$1001,0),MATCH(COLUMNS($AB$1006:AN1006),$AB$1006:$AQ$1006,0)), HYPERLINK("#",""), HYPERLINK(CONCATENATE("#Metadata!", ADDRESS(INDEX($W$2:$W$1001,MATCH(ROWS($U$2:U492),$U$2:$U$1001,0),0), INDEX($AB$1004:$AQ$1004,1,MATCH(COLUMNS($AB$1006:AN1006),$AB$1006:$AQ$1006,0)))),"Fix")))</f>
        <v>0</v>
      </c>
      <c r="O492" s="5">
        <f>IF(OR(INDEX($V$2:$V$1001,MATCH(ROWS($U$2:U492),$U$2:$U$1001,0),1)&gt;=100000,INDEX($AB$1005:$AQ$1005,1,MATCH(COLUMNS($AB$1006:AO1006),$AB$1006:$AQ$1006,0))&gt;=100000), " ",IF(INDEX($AB$2:$AQ$1001,MATCH(ROWS($U$2:U492),$U$2:$U$1001,0),MATCH(COLUMNS($AB$1006:AO1006),$AB$1006:$AQ$1006,0)), HYPERLINK("#",""), HYPERLINK(CONCATENATE("#Metadata!", ADDRESS(INDEX($W$2:$W$1001,MATCH(ROWS($U$2:U492),$U$2:$U$1001,0),0), INDEX($AB$1004:$AQ$1004,1,MATCH(COLUMNS($AB$1006:AO1006),$AB$1006:$AQ$1006,0)))),"Fix")))</f>
        <v>0</v>
      </c>
      <c r="P492" s="5">
        <f>IF(OR(INDEX($V$2:$V$1001,MATCH(ROWS($U$2:U492),$U$2:$U$1001,0),1)&gt;=100000,INDEX($AB$1005:$AQ$1005,1,MATCH(COLUMNS($AB$1006:AP1006),$AB$1006:$AQ$1006,0))&gt;=100000), " ",IF(INDEX($AB$2:$AQ$1001,MATCH(ROWS($U$2:U492),$U$2:$U$1001,0),MATCH(COLUMNS($AB$1006:AP1006),$AB$1006:$AQ$1006,0)), HYPERLINK("#",""), HYPERLINK(CONCATENATE("#Metadata!", ADDRESS(INDEX($W$2:$W$1001,MATCH(ROWS($U$2:U492),$U$2:$U$1001,0),0), INDEX($AB$1004:$AQ$1004,1,MATCH(COLUMNS($AB$1006:AP1006),$AB$1006:$AQ$1006,0)))),"Fix")))</f>
        <v>0</v>
      </c>
      <c r="Q492" s="5">
        <f>IF(OR(INDEX($V$2:$V$1001,MATCH(ROWS($U$2:U492),$U$2:$U$1001,0),1)&gt;=100000,INDEX($AB$1005:$AQ$1005,1,MATCH(COLUMNS($AB$1006:AQ1006),$AB$1006:$AQ$1006,0))&gt;=100000), " ",IF(INDEX($AB$2:$AQ$1001,MATCH(ROWS($U$2:U492),$U$2:$U$1001,0),MATCH(COLUMNS($AB$1006:AQ1006),$AB$1006:$AQ$1006,0)), HYPERLINK("#",""), HYPERLINK(CONCATENATE("#Metadata!", ADDRESS(INDEX($W$2:$W$1001,MATCH(ROWS($U$2:U492),$U$2:$U$1001,0),0), INDEX($AB$1004:$AQ$1004,1,MATCH(COLUMNS($AB$1006:AQ1006),$AB$1006:$AQ$1006,0)))),"Fix")))</f>
        <v>0</v>
      </c>
      <c r="U492">
        <v>0</v>
      </c>
      <c r="V492">
        <v>0</v>
      </c>
      <c r="W492">
        <v>0</v>
      </c>
      <c r="X492">
        <f>IF(Y492,TRUE,AND(AB492:AQ492))</f>
        <v>0</v>
      </c>
      <c r="Y492">
        <f>COUNTBLANK(Metadata!B492:Q492)=COLUMNS(Metadata!B492:Q492)</f>
        <v>0</v>
      </c>
      <c r="Z492">
        <v>0</v>
      </c>
      <c r="AB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AC492">
        <f>AND(IF(Metadata!C492="",FALSE,TRUE),exact(Metadata!C492,"urban biome"))</f>
        <v>0</v>
      </c>
      <c r="AD492">
        <f>AND(IF(Metadata!D492="",FALSE,TRUE),exact(Metadata!D492,"human-associated habitat"))</f>
        <v>0</v>
      </c>
      <c r="AE492">
        <f>AND(IF(Metadata!E492="",FALSE,TRUE),OR(exact(Metadata!E492,"human-associated"),exact(Metadata!E492,"human-skin"),exact(Metadata!E492,"human-oral"),exact(Metadata!E492,"human-gut"),exact(Metadata!E492,"human-vaginal")))</f>
        <v>0</v>
      </c>
      <c r="AF492">
        <f>AND(IF(Metadata!F492="",FALSE,ISNUMBER(VALUE(Metadata!F492))),Metadata!F492&gt;0)</f>
        <v>0</v>
      </c>
      <c r="AG492">
        <f>AND(IF(Metadata!G492="",FALSE,TRUE),exact(Metadata!G492,"years"))</f>
        <v>0</v>
      </c>
      <c r="AH492">
        <f>OR(AND(IF(Metadata!H492="",FALSE,TRUE),OR(exact(Metadata!H492,"not applicable"),exact(Metadata!H492,"not collected"),exact(Metadata!H492,"not provided"),exact(Metadata!H492,"restricted access"))),AND(IF(Metadata!H492="",FALSE,ISNUMBER(VALUE(Metadata!H492))),Metadata!H492&gt;0))</f>
        <v>0</v>
      </c>
      <c r="AI492">
        <f>AND(IF(Metadata!I492="",FALSE,TRUE),exact(Metadata!I492,"human"))</f>
        <v>0</v>
      </c>
      <c r="AJ492">
        <f>AND(IF(Metadata!J492="",FALSE,ISNUMBER(VALUE(Metadata!J492))),Metadata!J492&gt;0)</f>
        <v>0</v>
      </c>
      <c r="AK492">
        <f>AND(IF(Metadata!K492="",FALSE,TRUE),exact(Metadata!K492,"cm"))</f>
        <v>0</v>
      </c>
      <c r="AL492">
        <f>AND(IF(Metadata!L492="",FALSE,TRUE),exact(Metadata!L492,"Homo sapiens"))</f>
        <v>0</v>
      </c>
      <c r="AM492">
        <f>AND(IF(Metadata!M492="",FALSE,TRUE),exact(Metadata!M492,"9606"))</f>
        <v>0</v>
      </c>
      <c r="AN492">
        <f>AND(IF(Metadata!N492="",FALSE,ISNUMBER(VALUE(Metadata!N492))),Metadata!N492&gt;0)</f>
        <v>0</v>
      </c>
      <c r="AO492">
        <f>AND(IF(Metadata!O492="",FALSE,TRUE),exact(Metadata!O492,"kg"))</f>
        <v>0</v>
      </c>
      <c r="AP492">
        <f>OR(AND(IF(Metadata!P492="",FALSE,TRUE),exact(Metadata!P492,"not provided")),IF(Metadata!P492="",FALSE,TRUE))</f>
        <v>0</v>
      </c>
      <c r="AQ492">
        <f>OR(AND(IF(Metadata!Q492="",FALSE,TRUE),exact(Metadata!Q492,"not provided")),IF(Metadata!Q492="",FALSE,TRUE))</f>
        <v>0</v>
      </c>
    </row>
    <row r="493" spans="1:43">
      <c r="A493" s="4">
        <f>IF(B493=" "," ",HYPERLINK(CONCATENATE("#metadata!",ADDRESS(INDEX($W$2:$W$1001,MATCH(ROWS($U$2:U493),$U$2:$U$1001,0),0),2)),INDEX($Z$2:$Z$1001,MATCH(ROWS($U$2:U493),$U$2:$U$1001,0),0)))</f>
        <v>0</v>
      </c>
      <c r="B493" s="5">
        <f>IF(OR(INDEX($V$2:$V$1001,MATCH(ROWS($U$2:U493),$U$2:$U$1001,0),1)&gt;=100000,INDEX($AB$1005:$AQ$1005,1,MATCH(COLUMNS($AB$1006:AB1006),$AB$1006:$AQ$1006,0))&gt;=100000), " ",IF(INDEX($AB$2:$AQ$1001,MATCH(ROWS($U$2:U493),$U$2:$U$1001,0),MATCH(COLUMNS($AB$1006:AB1006),$AB$1006:$AQ$1006,0)), HYPERLINK("#",""), HYPERLINK(CONCATENATE("#Metadata!", ADDRESS(INDEX($W$2:$W$1001,MATCH(ROWS($U$2:U493),$U$2:$U$1001,0),0), INDEX($AB$1004:$AQ$1004,1,MATCH(COLUMNS($AB$1006:AB1006),$AB$1006:$AQ$1006,0)))),"Fix")))</f>
        <v>0</v>
      </c>
      <c r="C493" s="5">
        <f>IF(OR(INDEX($V$2:$V$1001,MATCH(ROWS($U$2:U493),$U$2:$U$1001,0),1)&gt;=100000,INDEX($AB$1005:$AQ$1005,1,MATCH(COLUMNS($AB$1006:AC1006),$AB$1006:$AQ$1006,0))&gt;=100000), " ",IF(INDEX($AB$2:$AQ$1001,MATCH(ROWS($U$2:U493),$U$2:$U$1001,0),MATCH(COLUMNS($AB$1006:AC1006),$AB$1006:$AQ$1006,0)), HYPERLINK("#",""), HYPERLINK(CONCATENATE("#Metadata!", ADDRESS(INDEX($W$2:$W$1001,MATCH(ROWS($U$2:U493),$U$2:$U$1001,0),0), INDEX($AB$1004:$AQ$1004,1,MATCH(COLUMNS($AB$1006:AC1006),$AB$1006:$AQ$1006,0)))),"Fix")))</f>
        <v>0</v>
      </c>
      <c r="D493" s="5">
        <f>IF(OR(INDEX($V$2:$V$1001,MATCH(ROWS($U$2:U493),$U$2:$U$1001,0),1)&gt;=100000,INDEX($AB$1005:$AQ$1005,1,MATCH(COLUMNS($AB$1006:AD1006),$AB$1006:$AQ$1006,0))&gt;=100000), " ",IF(INDEX($AB$2:$AQ$1001,MATCH(ROWS($U$2:U493),$U$2:$U$1001,0),MATCH(COLUMNS($AB$1006:AD1006),$AB$1006:$AQ$1006,0)), HYPERLINK("#",""), HYPERLINK(CONCATENATE("#Metadata!", ADDRESS(INDEX($W$2:$W$1001,MATCH(ROWS($U$2:U493),$U$2:$U$1001,0),0), INDEX($AB$1004:$AQ$1004,1,MATCH(COLUMNS($AB$1006:AD1006),$AB$1006:$AQ$1006,0)))),"Fix")))</f>
        <v>0</v>
      </c>
      <c r="E493" s="5">
        <f>IF(OR(INDEX($V$2:$V$1001,MATCH(ROWS($U$2:U493),$U$2:$U$1001,0),1)&gt;=100000,INDEX($AB$1005:$AQ$1005,1,MATCH(COLUMNS($AB$1006:AE1006),$AB$1006:$AQ$1006,0))&gt;=100000), " ",IF(INDEX($AB$2:$AQ$1001,MATCH(ROWS($U$2:U493),$U$2:$U$1001,0),MATCH(COLUMNS($AB$1006:AE1006),$AB$1006:$AQ$1006,0)), HYPERLINK("#",""), HYPERLINK(CONCATENATE("#Metadata!", ADDRESS(INDEX($W$2:$W$1001,MATCH(ROWS($U$2:U493),$U$2:$U$1001,0),0), INDEX($AB$1004:$AQ$1004,1,MATCH(COLUMNS($AB$1006:AE1006),$AB$1006:$AQ$1006,0)))),"Fix")))</f>
        <v>0</v>
      </c>
      <c r="F493" s="5">
        <f>IF(OR(INDEX($V$2:$V$1001,MATCH(ROWS($U$2:U493),$U$2:$U$1001,0),1)&gt;=100000,INDEX($AB$1005:$AQ$1005,1,MATCH(COLUMNS($AB$1006:AF1006),$AB$1006:$AQ$1006,0))&gt;=100000), " ",IF(INDEX($AB$2:$AQ$1001,MATCH(ROWS($U$2:U493),$U$2:$U$1001,0),MATCH(COLUMNS($AB$1006:AF1006),$AB$1006:$AQ$1006,0)), HYPERLINK("#",""), HYPERLINK(CONCATENATE("#Metadata!", ADDRESS(INDEX($W$2:$W$1001,MATCH(ROWS($U$2:U493),$U$2:$U$1001,0),0), INDEX($AB$1004:$AQ$1004,1,MATCH(COLUMNS($AB$1006:AF1006),$AB$1006:$AQ$1006,0)))),"Fix")))</f>
        <v>0</v>
      </c>
      <c r="G493" s="5">
        <f>IF(OR(INDEX($V$2:$V$1001,MATCH(ROWS($U$2:U493),$U$2:$U$1001,0),1)&gt;=100000,INDEX($AB$1005:$AQ$1005,1,MATCH(COLUMNS($AB$1006:AG1006),$AB$1006:$AQ$1006,0))&gt;=100000), " ",IF(INDEX($AB$2:$AQ$1001,MATCH(ROWS($U$2:U493),$U$2:$U$1001,0),MATCH(COLUMNS($AB$1006:AG1006),$AB$1006:$AQ$1006,0)), HYPERLINK("#",""), HYPERLINK(CONCATENATE("#Metadata!", ADDRESS(INDEX($W$2:$W$1001,MATCH(ROWS($U$2:U493),$U$2:$U$1001,0),0), INDEX($AB$1004:$AQ$1004,1,MATCH(COLUMNS($AB$1006:AG1006),$AB$1006:$AQ$1006,0)))),"Fix")))</f>
        <v>0</v>
      </c>
      <c r="H493" s="5">
        <f>IF(OR(INDEX($V$2:$V$1001,MATCH(ROWS($U$2:U493),$U$2:$U$1001,0),1)&gt;=100000,INDEX($AB$1005:$AQ$1005,1,MATCH(COLUMNS($AB$1006:AH1006),$AB$1006:$AQ$1006,0))&gt;=100000), " ",IF(INDEX($AB$2:$AQ$1001,MATCH(ROWS($U$2:U493),$U$2:$U$1001,0),MATCH(COLUMNS($AB$1006:AH1006),$AB$1006:$AQ$1006,0)), HYPERLINK("#",""), HYPERLINK(CONCATENATE("#Metadata!", ADDRESS(INDEX($W$2:$W$1001,MATCH(ROWS($U$2:U493),$U$2:$U$1001,0),0), INDEX($AB$1004:$AQ$1004,1,MATCH(COLUMNS($AB$1006:AH1006),$AB$1006:$AQ$1006,0)))),"Fix")))</f>
        <v>0</v>
      </c>
      <c r="I493" s="5">
        <f>IF(OR(INDEX($V$2:$V$1001,MATCH(ROWS($U$2:U493),$U$2:$U$1001,0),1)&gt;=100000,INDEX($AB$1005:$AQ$1005,1,MATCH(COLUMNS($AB$1006:AI1006),$AB$1006:$AQ$1006,0))&gt;=100000), " ",IF(INDEX($AB$2:$AQ$1001,MATCH(ROWS($U$2:U493),$U$2:$U$1001,0),MATCH(COLUMNS($AB$1006:AI1006),$AB$1006:$AQ$1006,0)), HYPERLINK("#",""), HYPERLINK(CONCATENATE("#Metadata!", ADDRESS(INDEX($W$2:$W$1001,MATCH(ROWS($U$2:U493),$U$2:$U$1001,0),0), INDEX($AB$1004:$AQ$1004,1,MATCH(COLUMNS($AB$1006:AI1006),$AB$1006:$AQ$1006,0)))),"Fix")))</f>
        <v>0</v>
      </c>
      <c r="J493" s="5">
        <f>IF(OR(INDEX($V$2:$V$1001,MATCH(ROWS($U$2:U493),$U$2:$U$1001,0),1)&gt;=100000,INDEX($AB$1005:$AQ$1005,1,MATCH(COLUMNS($AB$1006:AJ1006),$AB$1006:$AQ$1006,0))&gt;=100000), " ",IF(INDEX($AB$2:$AQ$1001,MATCH(ROWS($U$2:U493),$U$2:$U$1001,0),MATCH(COLUMNS($AB$1006:AJ1006),$AB$1006:$AQ$1006,0)), HYPERLINK("#",""), HYPERLINK(CONCATENATE("#Metadata!", ADDRESS(INDEX($W$2:$W$1001,MATCH(ROWS($U$2:U493),$U$2:$U$1001,0),0), INDEX($AB$1004:$AQ$1004,1,MATCH(COLUMNS($AB$1006:AJ1006),$AB$1006:$AQ$1006,0)))),"Fix")))</f>
        <v>0</v>
      </c>
      <c r="K493" s="5">
        <f>IF(OR(INDEX($V$2:$V$1001,MATCH(ROWS($U$2:U493),$U$2:$U$1001,0),1)&gt;=100000,INDEX($AB$1005:$AQ$1005,1,MATCH(COLUMNS($AB$1006:AK1006),$AB$1006:$AQ$1006,0))&gt;=100000), " ",IF(INDEX($AB$2:$AQ$1001,MATCH(ROWS($U$2:U493),$U$2:$U$1001,0),MATCH(COLUMNS($AB$1006:AK1006),$AB$1006:$AQ$1006,0)), HYPERLINK("#",""), HYPERLINK(CONCATENATE("#Metadata!", ADDRESS(INDEX($W$2:$W$1001,MATCH(ROWS($U$2:U493),$U$2:$U$1001,0),0), INDEX($AB$1004:$AQ$1004,1,MATCH(COLUMNS($AB$1006:AK1006),$AB$1006:$AQ$1006,0)))),"Fix")))</f>
        <v>0</v>
      </c>
      <c r="L493" s="5">
        <f>IF(OR(INDEX($V$2:$V$1001,MATCH(ROWS($U$2:U493),$U$2:$U$1001,0),1)&gt;=100000,INDEX($AB$1005:$AQ$1005,1,MATCH(COLUMNS($AB$1006:AL1006),$AB$1006:$AQ$1006,0))&gt;=100000), " ",IF(INDEX($AB$2:$AQ$1001,MATCH(ROWS($U$2:U493),$U$2:$U$1001,0),MATCH(COLUMNS($AB$1006:AL1006),$AB$1006:$AQ$1006,0)), HYPERLINK("#",""), HYPERLINK(CONCATENATE("#Metadata!", ADDRESS(INDEX($W$2:$W$1001,MATCH(ROWS($U$2:U493),$U$2:$U$1001,0),0), INDEX($AB$1004:$AQ$1004,1,MATCH(COLUMNS($AB$1006:AL1006),$AB$1006:$AQ$1006,0)))),"Fix")))</f>
        <v>0</v>
      </c>
      <c r="M493" s="5">
        <f>IF(OR(INDEX($V$2:$V$1001,MATCH(ROWS($U$2:U493),$U$2:$U$1001,0),1)&gt;=100000,INDEX($AB$1005:$AQ$1005,1,MATCH(COLUMNS($AB$1006:AM1006),$AB$1006:$AQ$1006,0))&gt;=100000), " ",IF(INDEX($AB$2:$AQ$1001,MATCH(ROWS($U$2:U493),$U$2:$U$1001,0),MATCH(COLUMNS($AB$1006:AM1006),$AB$1006:$AQ$1006,0)), HYPERLINK("#",""), HYPERLINK(CONCATENATE("#Metadata!", ADDRESS(INDEX($W$2:$W$1001,MATCH(ROWS($U$2:U493),$U$2:$U$1001,0),0), INDEX($AB$1004:$AQ$1004,1,MATCH(COLUMNS($AB$1006:AM1006),$AB$1006:$AQ$1006,0)))),"Fix")))</f>
        <v>0</v>
      </c>
      <c r="N493" s="5">
        <f>IF(OR(INDEX($V$2:$V$1001,MATCH(ROWS($U$2:U493),$U$2:$U$1001,0),1)&gt;=100000,INDEX($AB$1005:$AQ$1005,1,MATCH(COLUMNS($AB$1006:AN1006),$AB$1006:$AQ$1006,0))&gt;=100000), " ",IF(INDEX($AB$2:$AQ$1001,MATCH(ROWS($U$2:U493),$U$2:$U$1001,0),MATCH(COLUMNS($AB$1006:AN1006),$AB$1006:$AQ$1006,0)), HYPERLINK("#",""), HYPERLINK(CONCATENATE("#Metadata!", ADDRESS(INDEX($W$2:$W$1001,MATCH(ROWS($U$2:U493),$U$2:$U$1001,0),0), INDEX($AB$1004:$AQ$1004,1,MATCH(COLUMNS($AB$1006:AN1006),$AB$1006:$AQ$1006,0)))),"Fix")))</f>
        <v>0</v>
      </c>
      <c r="O493" s="5">
        <f>IF(OR(INDEX($V$2:$V$1001,MATCH(ROWS($U$2:U493),$U$2:$U$1001,0),1)&gt;=100000,INDEX($AB$1005:$AQ$1005,1,MATCH(COLUMNS($AB$1006:AO1006),$AB$1006:$AQ$1006,0))&gt;=100000), " ",IF(INDEX($AB$2:$AQ$1001,MATCH(ROWS($U$2:U493),$U$2:$U$1001,0),MATCH(COLUMNS($AB$1006:AO1006),$AB$1006:$AQ$1006,0)), HYPERLINK("#",""), HYPERLINK(CONCATENATE("#Metadata!", ADDRESS(INDEX($W$2:$W$1001,MATCH(ROWS($U$2:U493),$U$2:$U$1001,0),0), INDEX($AB$1004:$AQ$1004,1,MATCH(COLUMNS($AB$1006:AO1006),$AB$1006:$AQ$1006,0)))),"Fix")))</f>
        <v>0</v>
      </c>
      <c r="P493" s="5">
        <f>IF(OR(INDEX($V$2:$V$1001,MATCH(ROWS($U$2:U493),$U$2:$U$1001,0),1)&gt;=100000,INDEX($AB$1005:$AQ$1005,1,MATCH(COLUMNS($AB$1006:AP1006),$AB$1006:$AQ$1006,0))&gt;=100000), " ",IF(INDEX($AB$2:$AQ$1001,MATCH(ROWS($U$2:U493),$U$2:$U$1001,0),MATCH(COLUMNS($AB$1006:AP1006),$AB$1006:$AQ$1006,0)), HYPERLINK("#",""), HYPERLINK(CONCATENATE("#Metadata!", ADDRESS(INDEX($W$2:$W$1001,MATCH(ROWS($U$2:U493),$U$2:$U$1001,0),0), INDEX($AB$1004:$AQ$1004,1,MATCH(COLUMNS($AB$1006:AP1006),$AB$1006:$AQ$1006,0)))),"Fix")))</f>
        <v>0</v>
      </c>
      <c r="Q493" s="5">
        <f>IF(OR(INDEX($V$2:$V$1001,MATCH(ROWS($U$2:U493),$U$2:$U$1001,0),1)&gt;=100000,INDEX($AB$1005:$AQ$1005,1,MATCH(COLUMNS($AB$1006:AQ1006),$AB$1006:$AQ$1006,0))&gt;=100000), " ",IF(INDEX($AB$2:$AQ$1001,MATCH(ROWS($U$2:U493),$U$2:$U$1001,0),MATCH(COLUMNS($AB$1006:AQ1006),$AB$1006:$AQ$1006,0)), HYPERLINK("#",""), HYPERLINK(CONCATENATE("#Metadata!", ADDRESS(INDEX($W$2:$W$1001,MATCH(ROWS($U$2:U493),$U$2:$U$1001,0),0), INDEX($AB$1004:$AQ$1004,1,MATCH(COLUMNS($AB$1006:AQ1006),$AB$1006:$AQ$1006,0)))),"Fix")))</f>
        <v>0</v>
      </c>
      <c r="U493">
        <v>0</v>
      </c>
      <c r="V493">
        <v>0</v>
      </c>
      <c r="W493">
        <v>0</v>
      </c>
      <c r="X493">
        <f>IF(Y493,TRUE,AND(AB493:AQ493))</f>
        <v>0</v>
      </c>
      <c r="Y493">
        <f>COUNTBLANK(Metadata!B493:Q493)=COLUMNS(Metadata!B493:Q493)</f>
        <v>0</v>
      </c>
      <c r="Z493">
        <v>0</v>
      </c>
      <c r="AB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AC493">
        <f>AND(IF(Metadata!C493="",FALSE,TRUE),exact(Metadata!C493,"urban biome"))</f>
        <v>0</v>
      </c>
      <c r="AD493">
        <f>AND(IF(Metadata!D493="",FALSE,TRUE),exact(Metadata!D493,"human-associated habitat"))</f>
        <v>0</v>
      </c>
      <c r="AE493">
        <f>AND(IF(Metadata!E493="",FALSE,TRUE),OR(exact(Metadata!E493,"human-associated"),exact(Metadata!E493,"human-skin"),exact(Metadata!E493,"human-oral"),exact(Metadata!E493,"human-gut"),exact(Metadata!E493,"human-vaginal")))</f>
        <v>0</v>
      </c>
      <c r="AF493">
        <f>AND(IF(Metadata!F493="",FALSE,ISNUMBER(VALUE(Metadata!F493))),Metadata!F493&gt;0)</f>
        <v>0</v>
      </c>
      <c r="AG493">
        <f>AND(IF(Metadata!G493="",FALSE,TRUE),exact(Metadata!G493,"years"))</f>
        <v>0</v>
      </c>
      <c r="AH493">
        <f>OR(AND(IF(Metadata!H493="",FALSE,TRUE),OR(exact(Metadata!H493,"not applicable"),exact(Metadata!H493,"not collected"),exact(Metadata!H493,"not provided"),exact(Metadata!H493,"restricted access"))),AND(IF(Metadata!H493="",FALSE,ISNUMBER(VALUE(Metadata!H493))),Metadata!H493&gt;0))</f>
        <v>0</v>
      </c>
      <c r="AI493">
        <f>AND(IF(Metadata!I493="",FALSE,TRUE),exact(Metadata!I493,"human"))</f>
        <v>0</v>
      </c>
      <c r="AJ493">
        <f>AND(IF(Metadata!J493="",FALSE,ISNUMBER(VALUE(Metadata!J493))),Metadata!J493&gt;0)</f>
        <v>0</v>
      </c>
      <c r="AK493">
        <f>AND(IF(Metadata!K493="",FALSE,TRUE),exact(Metadata!K493,"cm"))</f>
        <v>0</v>
      </c>
      <c r="AL493">
        <f>AND(IF(Metadata!L493="",FALSE,TRUE),exact(Metadata!L493,"Homo sapiens"))</f>
        <v>0</v>
      </c>
      <c r="AM493">
        <f>AND(IF(Metadata!M493="",FALSE,TRUE),exact(Metadata!M493,"9606"))</f>
        <v>0</v>
      </c>
      <c r="AN493">
        <f>AND(IF(Metadata!N493="",FALSE,ISNUMBER(VALUE(Metadata!N493))),Metadata!N493&gt;0)</f>
        <v>0</v>
      </c>
      <c r="AO493">
        <f>AND(IF(Metadata!O493="",FALSE,TRUE),exact(Metadata!O493,"kg"))</f>
        <v>0</v>
      </c>
      <c r="AP493">
        <f>OR(AND(IF(Metadata!P493="",FALSE,TRUE),exact(Metadata!P493,"not provided")),IF(Metadata!P493="",FALSE,TRUE))</f>
        <v>0</v>
      </c>
      <c r="AQ493">
        <f>OR(AND(IF(Metadata!Q493="",FALSE,TRUE),exact(Metadata!Q493,"not provided")),IF(Metadata!Q493="",FALSE,TRUE))</f>
        <v>0</v>
      </c>
    </row>
    <row r="494" spans="1:43">
      <c r="A494" s="4">
        <f>IF(B494=" "," ",HYPERLINK(CONCATENATE("#metadata!",ADDRESS(INDEX($W$2:$W$1001,MATCH(ROWS($U$2:U494),$U$2:$U$1001,0),0),2)),INDEX($Z$2:$Z$1001,MATCH(ROWS($U$2:U494),$U$2:$U$1001,0),0)))</f>
        <v>0</v>
      </c>
      <c r="B494" s="5">
        <f>IF(OR(INDEX($V$2:$V$1001,MATCH(ROWS($U$2:U494),$U$2:$U$1001,0),1)&gt;=100000,INDEX($AB$1005:$AQ$1005,1,MATCH(COLUMNS($AB$1006:AB1006),$AB$1006:$AQ$1006,0))&gt;=100000), " ",IF(INDEX($AB$2:$AQ$1001,MATCH(ROWS($U$2:U494),$U$2:$U$1001,0),MATCH(COLUMNS($AB$1006:AB1006),$AB$1006:$AQ$1006,0)), HYPERLINK("#",""), HYPERLINK(CONCATENATE("#Metadata!", ADDRESS(INDEX($W$2:$W$1001,MATCH(ROWS($U$2:U494),$U$2:$U$1001,0),0), INDEX($AB$1004:$AQ$1004,1,MATCH(COLUMNS($AB$1006:AB1006),$AB$1006:$AQ$1006,0)))),"Fix")))</f>
        <v>0</v>
      </c>
      <c r="C494" s="5">
        <f>IF(OR(INDEX($V$2:$V$1001,MATCH(ROWS($U$2:U494),$U$2:$U$1001,0),1)&gt;=100000,INDEX($AB$1005:$AQ$1005,1,MATCH(COLUMNS($AB$1006:AC1006),$AB$1006:$AQ$1006,0))&gt;=100000), " ",IF(INDEX($AB$2:$AQ$1001,MATCH(ROWS($U$2:U494),$U$2:$U$1001,0),MATCH(COLUMNS($AB$1006:AC1006),$AB$1006:$AQ$1006,0)), HYPERLINK("#",""), HYPERLINK(CONCATENATE("#Metadata!", ADDRESS(INDEX($W$2:$W$1001,MATCH(ROWS($U$2:U494),$U$2:$U$1001,0),0), INDEX($AB$1004:$AQ$1004,1,MATCH(COLUMNS($AB$1006:AC1006),$AB$1006:$AQ$1006,0)))),"Fix")))</f>
        <v>0</v>
      </c>
      <c r="D494" s="5">
        <f>IF(OR(INDEX($V$2:$V$1001,MATCH(ROWS($U$2:U494),$U$2:$U$1001,0),1)&gt;=100000,INDEX($AB$1005:$AQ$1005,1,MATCH(COLUMNS($AB$1006:AD1006),$AB$1006:$AQ$1006,0))&gt;=100000), " ",IF(INDEX($AB$2:$AQ$1001,MATCH(ROWS($U$2:U494),$U$2:$U$1001,0),MATCH(COLUMNS($AB$1006:AD1006),$AB$1006:$AQ$1006,0)), HYPERLINK("#",""), HYPERLINK(CONCATENATE("#Metadata!", ADDRESS(INDEX($W$2:$W$1001,MATCH(ROWS($U$2:U494),$U$2:$U$1001,0),0), INDEX($AB$1004:$AQ$1004,1,MATCH(COLUMNS($AB$1006:AD1006),$AB$1006:$AQ$1006,0)))),"Fix")))</f>
        <v>0</v>
      </c>
      <c r="E494" s="5">
        <f>IF(OR(INDEX($V$2:$V$1001,MATCH(ROWS($U$2:U494),$U$2:$U$1001,0),1)&gt;=100000,INDEX($AB$1005:$AQ$1005,1,MATCH(COLUMNS($AB$1006:AE1006),$AB$1006:$AQ$1006,0))&gt;=100000), " ",IF(INDEX($AB$2:$AQ$1001,MATCH(ROWS($U$2:U494),$U$2:$U$1001,0),MATCH(COLUMNS($AB$1006:AE1006),$AB$1006:$AQ$1006,0)), HYPERLINK("#",""), HYPERLINK(CONCATENATE("#Metadata!", ADDRESS(INDEX($W$2:$W$1001,MATCH(ROWS($U$2:U494),$U$2:$U$1001,0),0), INDEX($AB$1004:$AQ$1004,1,MATCH(COLUMNS($AB$1006:AE1006),$AB$1006:$AQ$1006,0)))),"Fix")))</f>
        <v>0</v>
      </c>
      <c r="F494" s="5">
        <f>IF(OR(INDEX($V$2:$V$1001,MATCH(ROWS($U$2:U494),$U$2:$U$1001,0),1)&gt;=100000,INDEX($AB$1005:$AQ$1005,1,MATCH(COLUMNS($AB$1006:AF1006),$AB$1006:$AQ$1006,0))&gt;=100000), " ",IF(INDEX($AB$2:$AQ$1001,MATCH(ROWS($U$2:U494),$U$2:$U$1001,0),MATCH(COLUMNS($AB$1006:AF1006),$AB$1006:$AQ$1006,0)), HYPERLINK("#",""), HYPERLINK(CONCATENATE("#Metadata!", ADDRESS(INDEX($W$2:$W$1001,MATCH(ROWS($U$2:U494),$U$2:$U$1001,0),0), INDEX($AB$1004:$AQ$1004,1,MATCH(COLUMNS($AB$1006:AF1006),$AB$1006:$AQ$1006,0)))),"Fix")))</f>
        <v>0</v>
      </c>
      <c r="G494" s="5">
        <f>IF(OR(INDEX($V$2:$V$1001,MATCH(ROWS($U$2:U494),$U$2:$U$1001,0),1)&gt;=100000,INDEX($AB$1005:$AQ$1005,1,MATCH(COLUMNS($AB$1006:AG1006),$AB$1006:$AQ$1006,0))&gt;=100000), " ",IF(INDEX($AB$2:$AQ$1001,MATCH(ROWS($U$2:U494),$U$2:$U$1001,0),MATCH(COLUMNS($AB$1006:AG1006),$AB$1006:$AQ$1006,0)), HYPERLINK("#",""), HYPERLINK(CONCATENATE("#Metadata!", ADDRESS(INDEX($W$2:$W$1001,MATCH(ROWS($U$2:U494),$U$2:$U$1001,0),0), INDEX($AB$1004:$AQ$1004,1,MATCH(COLUMNS($AB$1006:AG1006),$AB$1006:$AQ$1006,0)))),"Fix")))</f>
        <v>0</v>
      </c>
      <c r="H494" s="5">
        <f>IF(OR(INDEX($V$2:$V$1001,MATCH(ROWS($U$2:U494),$U$2:$U$1001,0),1)&gt;=100000,INDEX($AB$1005:$AQ$1005,1,MATCH(COLUMNS($AB$1006:AH1006),$AB$1006:$AQ$1006,0))&gt;=100000), " ",IF(INDEX($AB$2:$AQ$1001,MATCH(ROWS($U$2:U494),$U$2:$U$1001,0),MATCH(COLUMNS($AB$1006:AH1006),$AB$1006:$AQ$1006,0)), HYPERLINK("#",""), HYPERLINK(CONCATENATE("#Metadata!", ADDRESS(INDEX($W$2:$W$1001,MATCH(ROWS($U$2:U494),$U$2:$U$1001,0),0), INDEX($AB$1004:$AQ$1004,1,MATCH(COLUMNS($AB$1006:AH1006),$AB$1006:$AQ$1006,0)))),"Fix")))</f>
        <v>0</v>
      </c>
      <c r="I494" s="5">
        <f>IF(OR(INDEX($V$2:$V$1001,MATCH(ROWS($U$2:U494),$U$2:$U$1001,0),1)&gt;=100000,INDEX($AB$1005:$AQ$1005,1,MATCH(COLUMNS($AB$1006:AI1006),$AB$1006:$AQ$1006,0))&gt;=100000), " ",IF(INDEX($AB$2:$AQ$1001,MATCH(ROWS($U$2:U494),$U$2:$U$1001,0),MATCH(COLUMNS($AB$1006:AI1006),$AB$1006:$AQ$1006,0)), HYPERLINK("#",""), HYPERLINK(CONCATENATE("#Metadata!", ADDRESS(INDEX($W$2:$W$1001,MATCH(ROWS($U$2:U494),$U$2:$U$1001,0),0), INDEX($AB$1004:$AQ$1004,1,MATCH(COLUMNS($AB$1006:AI1006),$AB$1006:$AQ$1006,0)))),"Fix")))</f>
        <v>0</v>
      </c>
      <c r="J494" s="5">
        <f>IF(OR(INDEX($V$2:$V$1001,MATCH(ROWS($U$2:U494),$U$2:$U$1001,0),1)&gt;=100000,INDEX($AB$1005:$AQ$1005,1,MATCH(COLUMNS($AB$1006:AJ1006),$AB$1006:$AQ$1006,0))&gt;=100000), " ",IF(INDEX($AB$2:$AQ$1001,MATCH(ROWS($U$2:U494),$U$2:$U$1001,0),MATCH(COLUMNS($AB$1006:AJ1006),$AB$1006:$AQ$1006,0)), HYPERLINK("#",""), HYPERLINK(CONCATENATE("#Metadata!", ADDRESS(INDEX($W$2:$W$1001,MATCH(ROWS($U$2:U494),$U$2:$U$1001,0),0), INDEX($AB$1004:$AQ$1004,1,MATCH(COLUMNS($AB$1006:AJ1006),$AB$1006:$AQ$1006,0)))),"Fix")))</f>
        <v>0</v>
      </c>
      <c r="K494" s="5">
        <f>IF(OR(INDEX($V$2:$V$1001,MATCH(ROWS($U$2:U494),$U$2:$U$1001,0),1)&gt;=100000,INDEX($AB$1005:$AQ$1005,1,MATCH(COLUMNS($AB$1006:AK1006),$AB$1006:$AQ$1006,0))&gt;=100000), " ",IF(INDEX($AB$2:$AQ$1001,MATCH(ROWS($U$2:U494),$U$2:$U$1001,0),MATCH(COLUMNS($AB$1006:AK1006),$AB$1006:$AQ$1006,0)), HYPERLINK("#",""), HYPERLINK(CONCATENATE("#Metadata!", ADDRESS(INDEX($W$2:$W$1001,MATCH(ROWS($U$2:U494),$U$2:$U$1001,0),0), INDEX($AB$1004:$AQ$1004,1,MATCH(COLUMNS($AB$1006:AK1006),$AB$1006:$AQ$1006,0)))),"Fix")))</f>
        <v>0</v>
      </c>
      <c r="L494" s="5">
        <f>IF(OR(INDEX($V$2:$V$1001,MATCH(ROWS($U$2:U494),$U$2:$U$1001,0),1)&gt;=100000,INDEX($AB$1005:$AQ$1005,1,MATCH(COLUMNS($AB$1006:AL1006),$AB$1006:$AQ$1006,0))&gt;=100000), " ",IF(INDEX($AB$2:$AQ$1001,MATCH(ROWS($U$2:U494),$U$2:$U$1001,0),MATCH(COLUMNS($AB$1006:AL1006),$AB$1006:$AQ$1006,0)), HYPERLINK("#",""), HYPERLINK(CONCATENATE("#Metadata!", ADDRESS(INDEX($W$2:$W$1001,MATCH(ROWS($U$2:U494),$U$2:$U$1001,0),0), INDEX($AB$1004:$AQ$1004,1,MATCH(COLUMNS($AB$1006:AL1006),$AB$1006:$AQ$1006,0)))),"Fix")))</f>
        <v>0</v>
      </c>
      <c r="M494" s="5">
        <f>IF(OR(INDEX($V$2:$V$1001,MATCH(ROWS($U$2:U494),$U$2:$U$1001,0),1)&gt;=100000,INDEX($AB$1005:$AQ$1005,1,MATCH(COLUMNS($AB$1006:AM1006),$AB$1006:$AQ$1006,0))&gt;=100000), " ",IF(INDEX($AB$2:$AQ$1001,MATCH(ROWS($U$2:U494),$U$2:$U$1001,0),MATCH(COLUMNS($AB$1006:AM1006),$AB$1006:$AQ$1006,0)), HYPERLINK("#",""), HYPERLINK(CONCATENATE("#Metadata!", ADDRESS(INDEX($W$2:$W$1001,MATCH(ROWS($U$2:U494),$U$2:$U$1001,0),0), INDEX($AB$1004:$AQ$1004,1,MATCH(COLUMNS($AB$1006:AM1006),$AB$1006:$AQ$1006,0)))),"Fix")))</f>
        <v>0</v>
      </c>
      <c r="N494" s="5">
        <f>IF(OR(INDEX($V$2:$V$1001,MATCH(ROWS($U$2:U494),$U$2:$U$1001,0),1)&gt;=100000,INDEX($AB$1005:$AQ$1005,1,MATCH(COLUMNS($AB$1006:AN1006),$AB$1006:$AQ$1006,0))&gt;=100000), " ",IF(INDEX($AB$2:$AQ$1001,MATCH(ROWS($U$2:U494),$U$2:$U$1001,0),MATCH(COLUMNS($AB$1006:AN1006),$AB$1006:$AQ$1006,0)), HYPERLINK("#",""), HYPERLINK(CONCATENATE("#Metadata!", ADDRESS(INDEX($W$2:$W$1001,MATCH(ROWS($U$2:U494),$U$2:$U$1001,0),0), INDEX($AB$1004:$AQ$1004,1,MATCH(COLUMNS($AB$1006:AN1006),$AB$1006:$AQ$1006,0)))),"Fix")))</f>
        <v>0</v>
      </c>
      <c r="O494" s="5">
        <f>IF(OR(INDEX($V$2:$V$1001,MATCH(ROWS($U$2:U494),$U$2:$U$1001,0),1)&gt;=100000,INDEX($AB$1005:$AQ$1005,1,MATCH(COLUMNS($AB$1006:AO1006),$AB$1006:$AQ$1006,0))&gt;=100000), " ",IF(INDEX($AB$2:$AQ$1001,MATCH(ROWS($U$2:U494),$U$2:$U$1001,0),MATCH(COLUMNS($AB$1006:AO1006),$AB$1006:$AQ$1006,0)), HYPERLINK("#",""), HYPERLINK(CONCATENATE("#Metadata!", ADDRESS(INDEX($W$2:$W$1001,MATCH(ROWS($U$2:U494),$U$2:$U$1001,0),0), INDEX($AB$1004:$AQ$1004,1,MATCH(COLUMNS($AB$1006:AO1006),$AB$1006:$AQ$1006,0)))),"Fix")))</f>
        <v>0</v>
      </c>
      <c r="P494" s="5">
        <f>IF(OR(INDEX($V$2:$V$1001,MATCH(ROWS($U$2:U494),$U$2:$U$1001,0),1)&gt;=100000,INDEX($AB$1005:$AQ$1005,1,MATCH(COLUMNS($AB$1006:AP1006),$AB$1006:$AQ$1006,0))&gt;=100000), " ",IF(INDEX($AB$2:$AQ$1001,MATCH(ROWS($U$2:U494),$U$2:$U$1001,0),MATCH(COLUMNS($AB$1006:AP1006),$AB$1006:$AQ$1006,0)), HYPERLINK("#",""), HYPERLINK(CONCATENATE("#Metadata!", ADDRESS(INDEX($W$2:$W$1001,MATCH(ROWS($U$2:U494),$U$2:$U$1001,0),0), INDEX($AB$1004:$AQ$1004,1,MATCH(COLUMNS($AB$1006:AP1006),$AB$1006:$AQ$1006,0)))),"Fix")))</f>
        <v>0</v>
      </c>
      <c r="Q494" s="5">
        <f>IF(OR(INDEX($V$2:$V$1001,MATCH(ROWS($U$2:U494),$U$2:$U$1001,0),1)&gt;=100000,INDEX($AB$1005:$AQ$1005,1,MATCH(COLUMNS($AB$1006:AQ1006),$AB$1006:$AQ$1006,0))&gt;=100000), " ",IF(INDEX($AB$2:$AQ$1001,MATCH(ROWS($U$2:U494),$U$2:$U$1001,0),MATCH(COLUMNS($AB$1006:AQ1006),$AB$1006:$AQ$1006,0)), HYPERLINK("#",""), HYPERLINK(CONCATENATE("#Metadata!", ADDRESS(INDEX($W$2:$W$1001,MATCH(ROWS($U$2:U494),$U$2:$U$1001,0),0), INDEX($AB$1004:$AQ$1004,1,MATCH(COLUMNS($AB$1006:AQ1006),$AB$1006:$AQ$1006,0)))),"Fix")))</f>
        <v>0</v>
      </c>
      <c r="U494">
        <v>0</v>
      </c>
      <c r="V494">
        <v>0</v>
      </c>
      <c r="W494">
        <v>0</v>
      </c>
      <c r="X494">
        <f>IF(Y494,TRUE,AND(AB494:AQ494))</f>
        <v>0</v>
      </c>
      <c r="Y494">
        <f>COUNTBLANK(Metadata!B494:Q494)=COLUMNS(Metadata!B494:Q494)</f>
        <v>0</v>
      </c>
      <c r="Z494">
        <v>0</v>
      </c>
      <c r="AB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AC494">
        <f>AND(IF(Metadata!C494="",FALSE,TRUE),exact(Metadata!C494,"urban biome"))</f>
        <v>0</v>
      </c>
      <c r="AD494">
        <f>AND(IF(Metadata!D494="",FALSE,TRUE),exact(Metadata!D494,"human-associated habitat"))</f>
        <v>0</v>
      </c>
      <c r="AE494">
        <f>AND(IF(Metadata!E494="",FALSE,TRUE),OR(exact(Metadata!E494,"human-associated"),exact(Metadata!E494,"human-skin"),exact(Metadata!E494,"human-oral"),exact(Metadata!E494,"human-gut"),exact(Metadata!E494,"human-vaginal")))</f>
        <v>0</v>
      </c>
      <c r="AF494">
        <f>AND(IF(Metadata!F494="",FALSE,ISNUMBER(VALUE(Metadata!F494))),Metadata!F494&gt;0)</f>
        <v>0</v>
      </c>
      <c r="AG494">
        <f>AND(IF(Metadata!G494="",FALSE,TRUE),exact(Metadata!G494,"years"))</f>
        <v>0</v>
      </c>
      <c r="AH494">
        <f>OR(AND(IF(Metadata!H494="",FALSE,TRUE),OR(exact(Metadata!H494,"not applicable"),exact(Metadata!H494,"not collected"),exact(Metadata!H494,"not provided"),exact(Metadata!H494,"restricted access"))),AND(IF(Metadata!H494="",FALSE,ISNUMBER(VALUE(Metadata!H494))),Metadata!H494&gt;0))</f>
        <v>0</v>
      </c>
      <c r="AI494">
        <f>AND(IF(Metadata!I494="",FALSE,TRUE),exact(Metadata!I494,"human"))</f>
        <v>0</v>
      </c>
      <c r="AJ494">
        <f>AND(IF(Metadata!J494="",FALSE,ISNUMBER(VALUE(Metadata!J494))),Metadata!J494&gt;0)</f>
        <v>0</v>
      </c>
      <c r="AK494">
        <f>AND(IF(Metadata!K494="",FALSE,TRUE),exact(Metadata!K494,"cm"))</f>
        <v>0</v>
      </c>
      <c r="AL494">
        <f>AND(IF(Metadata!L494="",FALSE,TRUE),exact(Metadata!L494,"Homo sapiens"))</f>
        <v>0</v>
      </c>
      <c r="AM494">
        <f>AND(IF(Metadata!M494="",FALSE,TRUE),exact(Metadata!M494,"9606"))</f>
        <v>0</v>
      </c>
      <c r="AN494">
        <f>AND(IF(Metadata!N494="",FALSE,ISNUMBER(VALUE(Metadata!N494))),Metadata!N494&gt;0)</f>
        <v>0</v>
      </c>
      <c r="AO494">
        <f>AND(IF(Metadata!O494="",FALSE,TRUE),exact(Metadata!O494,"kg"))</f>
        <v>0</v>
      </c>
      <c r="AP494">
        <f>OR(AND(IF(Metadata!P494="",FALSE,TRUE),exact(Metadata!P494,"not provided")),IF(Metadata!P494="",FALSE,TRUE))</f>
        <v>0</v>
      </c>
      <c r="AQ494">
        <f>OR(AND(IF(Metadata!Q494="",FALSE,TRUE),exact(Metadata!Q494,"not provided")),IF(Metadata!Q494="",FALSE,TRUE))</f>
        <v>0</v>
      </c>
    </row>
    <row r="495" spans="1:43">
      <c r="A495" s="4">
        <f>IF(B495=" "," ",HYPERLINK(CONCATENATE("#metadata!",ADDRESS(INDEX($W$2:$W$1001,MATCH(ROWS($U$2:U495),$U$2:$U$1001,0),0),2)),INDEX($Z$2:$Z$1001,MATCH(ROWS($U$2:U495),$U$2:$U$1001,0),0)))</f>
        <v>0</v>
      </c>
      <c r="B495" s="5">
        <f>IF(OR(INDEX($V$2:$V$1001,MATCH(ROWS($U$2:U495),$U$2:$U$1001,0),1)&gt;=100000,INDEX($AB$1005:$AQ$1005,1,MATCH(COLUMNS($AB$1006:AB1006),$AB$1006:$AQ$1006,0))&gt;=100000), " ",IF(INDEX($AB$2:$AQ$1001,MATCH(ROWS($U$2:U495),$U$2:$U$1001,0),MATCH(COLUMNS($AB$1006:AB1006),$AB$1006:$AQ$1006,0)), HYPERLINK("#",""), HYPERLINK(CONCATENATE("#Metadata!", ADDRESS(INDEX($W$2:$W$1001,MATCH(ROWS($U$2:U495),$U$2:$U$1001,0),0), INDEX($AB$1004:$AQ$1004,1,MATCH(COLUMNS($AB$1006:AB1006),$AB$1006:$AQ$1006,0)))),"Fix")))</f>
        <v>0</v>
      </c>
      <c r="C495" s="5">
        <f>IF(OR(INDEX($V$2:$V$1001,MATCH(ROWS($U$2:U495),$U$2:$U$1001,0),1)&gt;=100000,INDEX($AB$1005:$AQ$1005,1,MATCH(COLUMNS($AB$1006:AC1006),$AB$1006:$AQ$1006,0))&gt;=100000), " ",IF(INDEX($AB$2:$AQ$1001,MATCH(ROWS($U$2:U495),$U$2:$U$1001,0),MATCH(COLUMNS($AB$1006:AC1006),$AB$1006:$AQ$1006,0)), HYPERLINK("#",""), HYPERLINK(CONCATENATE("#Metadata!", ADDRESS(INDEX($W$2:$W$1001,MATCH(ROWS($U$2:U495),$U$2:$U$1001,0),0), INDEX($AB$1004:$AQ$1004,1,MATCH(COLUMNS($AB$1006:AC1006),$AB$1006:$AQ$1006,0)))),"Fix")))</f>
        <v>0</v>
      </c>
      <c r="D495" s="5">
        <f>IF(OR(INDEX($V$2:$V$1001,MATCH(ROWS($U$2:U495),$U$2:$U$1001,0),1)&gt;=100000,INDEX($AB$1005:$AQ$1005,1,MATCH(COLUMNS($AB$1006:AD1006),$AB$1006:$AQ$1006,0))&gt;=100000), " ",IF(INDEX($AB$2:$AQ$1001,MATCH(ROWS($U$2:U495),$U$2:$U$1001,0),MATCH(COLUMNS($AB$1006:AD1006),$AB$1006:$AQ$1006,0)), HYPERLINK("#",""), HYPERLINK(CONCATENATE("#Metadata!", ADDRESS(INDEX($W$2:$W$1001,MATCH(ROWS($U$2:U495),$U$2:$U$1001,0),0), INDEX($AB$1004:$AQ$1004,1,MATCH(COLUMNS($AB$1006:AD1006),$AB$1006:$AQ$1006,0)))),"Fix")))</f>
        <v>0</v>
      </c>
      <c r="E495" s="5">
        <f>IF(OR(INDEX($V$2:$V$1001,MATCH(ROWS($U$2:U495),$U$2:$U$1001,0),1)&gt;=100000,INDEX($AB$1005:$AQ$1005,1,MATCH(COLUMNS($AB$1006:AE1006),$AB$1006:$AQ$1006,0))&gt;=100000), " ",IF(INDEX($AB$2:$AQ$1001,MATCH(ROWS($U$2:U495),$U$2:$U$1001,0),MATCH(COLUMNS($AB$1006:AE1006),$AB$1006:$AQ$1006,0)), HYPERLINK("#",""), HYPERLINK(CONCATENATE("#Metadata!", ADDRESS(INDEX($W$2:$W$1001,MATCH(ROWS($U$2:U495),$U$2:$U$1001,0),0), INDEX($AB$1004:$AQ$1004,1,MATCH(COLUMNS($AB$1006:AE1006),$AB$1006:$AQ$1006,0)))),"Fix")))</f>
        <v>0</v>
      </c>
      <c r="F495" s="5">
        <f>IF(OR(INDEX($V$2:$V$1001,MATCH(ROWS($U$2:U495),$U$2:$U$1001,0),1)&gt;=100000,INDEX($AB$1005:$AQ$1005,1,MATCH(COLUMNS($AB$1006:AF1006),$AB$1006:$AQ$1006,0))&gt;=100000), " ",IF(INDEX($AB$2:$AQ$1001,MATCH(ROWS($U$2:U495),$U$2:$U$1001,0),MATCH(COLUMNS($AB$1006:AF1006),$AB$1006:$AQ$1006,0)), HYPERLINK("#",""), HYPERLINK(CONCATENATE("#Metadata!", ADDRESS(INDEX($W$2:$W$1001,MATCH(ROWS($U$2:U495),$U$2:$U$1001,0),0), INDEX($AB$1004:$AQ$1004,1,MATCH(COLUMNS($AB$1006:AF1006),$AB$1006:$AQ$1006,0)))),"Fix")))</f>
        <v>0</v>
      </c>
      <c r="G495" s="5">
        <f>IF(OR(INDEX($V$2:$V$1001,MATCH(ROWS($U$2:U495),$U$2:$U$1001,0),1)&gt;=100000,INDEX($AB$1005:$AQ$1005,1,MATCH(COLUMNS($AB$1006:AG1006),$AB$1006:$AQ$1006,0))&gt;=100000), " ",IF(INDEX($AB$2:$AQ$1001,MATCH(ROWS($U$2:U495),$U$2:$U$1001,0),MATCH(COLUMNS($AB$1006:AG1006),$AB$1006:$AQ$1006,0)), HYPERLINK("#",""), HYPERLINK(CONCATENATE("#Metadata!", ADDRESS(INDEX($W$2:$W$1001,MATCH(ROWS($U$2:U495),$U$2:$U$1001,0),0), INDEX($AB$1004:$AQ$1004,1,MATCH(COLUMNS($AB$1006:AG1006),$AB$1006:$AQ$1006,0)))),"Fix")))</f>
        <v>0</v>
      </c>
      <c r="H495" s="5">
        <f>IF(OR(INDEX($V$2:$V$1001,MATCH(ROWS($U$2:U495),$U$2:$U$1001,0),1)&gt;=100000,INDEX($AB$1005:$AQ$1005,1,MATCH(COLUMNS($AB$1006:AH1006),$AB$1006:$AQ$1006,0))&gt;=100000), " ",IF(INDEX($AB$2:$AQ$1001,MATCH(ROWS($U$2:U495),$U$2:$U$1001,0),MATCH(COLUMNS($AB$1006:AH1006),$AB$1006:$AQ$1006,0)), HYPERLINK("#",""), HYPERLINK(CONCATENATE("#Metadata!", ADDRESS(INDEX($W$2:$W$1001,MATCH(ROWS($U$2:U495),$U$2:$U$1001,0),0), INDEX($AB$1004:$AQ$1004,1,MATCH(COLUMNS($AB$1006:AH1006),$AB$1006:$AQ$1006,0)))),"Fix")))</f>
        <v>0</v>
      </c>
      <c r="I495" s="5">
        <f>IF(OR(INDEX($V$2:$V$1001,MATCH(ROWS($U$2:U495),$U$2:$U$1001,0),1)&gt;=100000,INDEX($AB$1005:$AQ$1005,1,MATCH(COLUMNS($AB$1006:AI1006),$AB$1006:$AQ$1006,0))&gt;=100000), " ",IF(INDEX($AB$2:$AQ$1001,MATCH(ROWS($U$2:U495),$U$2:$U$1001,0),MATCH(COLUMNS($AB$1006:AI1006),$AB$1006:$AQ$1006,0)), HYPERLINK("#",""), HYPERLINK(CONCATENATE("#Metadata!", ADDRESS(INDEX($W$2:$W$1001,MATCH(ROWS($U$2:U495),$U$2:$U$1001,0),0), INDEX($AB$1004:$AQ$1004,1,MATCH(COLUMNS($AB$1006:AI1006),$AB$1006:$AQ$1006,0)))),"Fix")))</f>
        <v>0</v>
      </c>
      <c r="J495" s="5">
        <f>IF(OR(INDEX($V$2:$V$1001,MATCH(ROWS($U$2:U495),$U$2:$U$1001,0),1)&gt;=100000,INDEX($AB$1005:$AQ$1005,1,MATCH(COLUMNS($AB$1006:AJ1006),$AB$1006:$AQ$1006,0))&gt;=100000), " ",IF(INDEX($AB$2:$AQ$1001,MATCH(ROWS($U$2:U495),$U$2:$U$1001,0),MATCH(COLUMNS($AB$1006:AJ1006),$AB$1006:$AQ$1006,0)), HYPERLINK("#",""), HYPERLINK(CONCATENATE("#Metadata!", ADDRESS(INDEX($W$2:$W$1001,MATCH(ROWS($U$2:U495),$U$2:$U$1001,0),0), INDEX($AB$1004:$AQ$1004,1,MATCH(COLUMNS($AB$1006:AJ1006),$AB$1006:$AQ$1006,0)))),"Fix")))</f>
        <v>0</v>
      </c>
      <c r="K495" s="5">
        <f>IF(OR(INDEX($V$2:$V$1001,MATCH(ROWS($U$2:U495),$U$2:$U$1001,0),1)&gt;=100000,INDEX($AB$1005:$AQ$1005,1,MATCH(COLUMNS($AB$1006:AK1006),$AB$1006:$AQ$1006,0))&gt;=100000), " ",IF(INDEX($AB$2:$AQ$1001,MATCH(ROWS($U$2:U495),$U$2:$U$1001,0),MATCH(COLUMNS($AB$1006:AK1006),$AB$1006:$AQ$1006,0)), HYPERLINK("#",""), HYPERLINK(CONCATENATE("#Metadata!", ADDRESS(INDEX($W$2:$W$1001,MATCH(ROWS($U$2:U495),$U$2:$U$1001,0),0), INDEX($AB$1004:$AQ$1004,1,MATCH(COLUMNS($AB$1006:AK1006),$AB$1006:$AQ$1006,0)))),"Fix")))</f>
        <v>0</v>
      </c>
      <c r="L495" s="5">
        <f>IF(OR(INDEX($V$2:$V$1001,MATCH(ROWS($U$2:U495),$U$2:$U$1001,0),1)&gt;=100000,INDEX($AB$1005:$AQ$1005,1,MATCH(COLUMNS($AB$1006:AL1006),$AB$1006:$AQ$1006,0))&gt;=100000), " ",IF(INDEX($AB$2:$AQ$1001,MATCH(ROWS($U$2:U495),$U$2:$U$1001,0),MATCH(COLUMNS($AB$1006:AL1006),$AB$1006:$AQ$1006,0)), HYPERLINK("#",""), HYPERLINK(CONCATENATE("#Metadata!", ADDRESS(INDEX($W$2:$W$1001,MATCH(ROWS($U$2:U495),$U$2:$U$1001,0),0), INDEX($AB$1004:$AQ$1004,1,MATCH(COLUMNS($AB$1006:AL1006),$AB$1006:$AQ$1006,0)))),"Fix")))</f>
        <v>0</v>
      </c>
      <c r="M495" s="5">
        <f>IF(OR(INDEX($V$2:$V$1001,MATCH(ROWS($U$2:U495),$U$2:$U$1001,0),1)&gt;=100000,INDEX($AB$1005:$AQ$1005,1,MATCH(COLUMNS($AB$1006:AM1006),$AB$1006:$AQ$1006,0))&gt;=100000), " ",IF(INDEX($AB$2:$AQ$1001,MATCH(ROWS($U$2:U495),$U$2:$U$1001,0),MATCH(COLUMNS($AB$1006:AM1006),$AB$1006:$AQ$1006,0)), HYPERLINK("#",""), HYPERLINK(CONCATENATE("#Metadata!", ADDRESS(INDEX($W$2:$W$1001,MATCH(ROWS($U$2:U495),$U$2:$U$1001,0),0), INDEX($AB$1004:$AQ$1004,1,MATCH(COLUMNS($AB$1006:AM1006),$AB$1006:$AQ$1006,0)))),"Fix")))</f>
        <v>0</v>
      </c>
      <c r="N495" s="5">
        <f>IF(OR(INDEX($V$2:$V$1001,MATCH(ROWS($U$2:U495),$U$2:$U$1001,0),1)&gt;=100000,INDEX($AB$1005:$AQ$1005,1,MATCH(COLUMNS($AB$1006:AN1006),$AB$1006:$AQ$1006,0))&gt;=100000), " ",IF(INDEX($AB$2:$AQ$1001,MATCH(ROWS($U$2:U495),$U$2:$U$1001,0),MATCH(COLUMNS($AB$1006:AN1006),$AB$1006:$AQ$1006,0)), HYPERLINK("#",""), HYPERLINK(CONCATENATE("#Metadata!", ADDRESS(INDEX($W$2:$W$1001,MATCH(ROWS($U$2:U495),$U$2:$U$1001,0),0), INDEX($AB$1004:$AQ$1004,1,MATCH(COLUMNS($AB$1006:AN1006),$AB$1006:$AQ$1006,0)))),"Fix")))</f>
        <v>0</v>
      </c>
      <c r="O495" s="5">
        <f>IF(OR(INDEX($V$2:$V$1001,MATCH(ROWS($U$2:U495),$U$2:$U$1001,0),1)&gt;=100000,INDEX($AB$1005:$AQ$1005,1,MATCH(COLUMNS($AB$1006:AO1006),$AB$1006:$AQ$1006,0))&gt;=100000), " ",IF(INDEX($AB$2:$AQ$1001,MATCH(ROWS($U$2:U495),$U$2:$U$1001,0),MATCH(COLUMNS($AB$1006:AO1006),$AB$1006:$AQ$1006,0)), HYPERLINK("#",""), HYPERLINK(CONCATENATE("#Metadata!", ADDRESS(INDEX($W$2:$W$1001,MATCH(ROWS($U$2:U495),$U$2:$U$1001,0),0), INDEX($AB$1004:$AQ$1004,1,MATCH(COLUMNS($AB$1006:AO1006),$AB$1006:$AQ$1006,0)))),"Fix")))</f>
        <v>0</v>
      </c>
      <c r="P495" s="5">
        <f>IF(OR(INDEX($V$2:$V$1001,MATCH(ROWS($U$2:U495),$U$2:$U$1001,0),1)&gt;=100000,INDEX($AB$1005:$AQ$1005,1,MATCH(COLUMNS($AB$1006:AP1006),$AB$1006:$AQ$1006,0))&gt;=100000), " ",IF(INDEX($AB$2:$AQ$1001,MATCH(ROWS($U$2:U495),$U$2:$U$1001,0),MATCH(COLUMNS($AB$1006:AP1006),$AB$1006:$AQ$1006,0)), HYPERLINK("#",""), HYPERLINK(CONCATENATE("#Metadata!", ADDRESS(INDEX($W$2:$W$1001,MATCH(ROWS($U$2:U495),$U$2:$U$1001,0),0), INDEX($AB$1004:$AQ$1004,1,MATCH(COLUMNS($AB$1006:AP1006),$AB$1006:$AQ$1006,0)))),"Fix")))</f>
        <v>0</v>
      </c>
      <c r="Q495" s="5">
        <f>IF(OR(INDEX($V$2:$V$1001,MATCH(ROWS($U$2:U495),$U$2:$U$1001,0),1)&gt;=100000,INDEX($AB$1005:$AQ$1005,1,MATCH(COLUMNS($AB$1006:AQ1006),$AB$1006:$AQ$1006,0))&gt;=100000), " ",IF(INDEX($AB$2:$AQ$1001,MATCH(ROWS($U$2:U495),$U$2:$U$1001,0),MATCH(COLUMNS($AB$1006:AQ1006),$AB$1006:$AQ$1006,0)), HYPERLINK("#",""), HYPERLINK(CONCATENATE("#Metadata!", ADDRESS(INDEX($W$2:$W$1001,MATCH(ROWS($U$2:U495),$U$2:$U$1001,0),0), INDEX($AB$1004:$AQ$1004,1,MATCH(COLUMNS($AB$1006:AQ1006),$AB$1006:$AQ$1006,0)))),"Fix")))</f>
        <v>0</v>
      </c>
      <c r="U495">
        <v>0</v>
      </c>
      <c r="V495">
        <v>0</v>
      </c>
      <c r="W495">
        <v>0</v>
      </c>
      <c r="X495">
        <f>IF(Y495,TRUE,AND(AB495:AQ495))</f>
        <v>0</v>
      </c>
      <c r="Y495">
        <f>COUNTBLANK(Metadata!B495:Q495)=COLUMNS(Metadata!B495:Q495)</f>
        <v>0</v>
      </c>
      <c r="Z495">
        <v>0</v>
      </c>
      <c r="AB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AC495">
        <f>AND(IF(Metadata!C495="",FALSE,TRUE),exact(Metadata!C495,"urban biome"))</f>
        <v>0</v>
      </c>
      <c r="AD495">
        <f>AND(IF(Metadata!D495="",FALSE,TRUE),exact(Metadata!D495,"human-associated habitat"))</f>
        <v>0</v>
      </c>
      <c r="AE495">
        <f>AND(IF(Metadata!E495="",FALSE,TRUE),OR(exact(Metadata!E495,"human-associated"),exact(Metadata!E495,"human-skin"),exact(Metadata!E495,"human-oral"),exact(Metadata!E495,"human-gut"),exact(Metadata!E495,"human-vaginal")))</f>
        <v>0</v>
      </c>
      <c r="AF495">
        <f>AND(IF(Metadata!F495="",FALSE,ISNUMBER(VALUE(Metadata!F495))),Metadata!F495&gt;0)</f>
        <v>0</v>
      </c>
      <c r="AG495">
        <f>AND(IF(Metadata!G495="",FALSE,TRUE),exact(Metadata!G495,"years"))</f>
        <v>0</v>
      </c>
      <c r="AH495">
        <f>OR(AND(IF(Metadata!H495="",FALSE,TRUE),OR(exact(Metadata!H495,"not applicable"),exact(Metadata!H495,"not collected"),exact(Metadata!H495,"not provided"),exact(Metadata!H495,"restricted access"))),AND(IF(Metadata!H495="",FALSE,ISNUMBER(VALUE(Metadata!H495))),Metadata!H495&gt;0))</f>
        <v>0</v>
      </c>
      <c r="AI495">
        <f>AND(IF(Metadata!I495="",FALSE,TRUE),exact(Metadata!I495,"human"))</f>
        <v>0</v>
      </c>
      <c r="AJ495">
        <f>AND(IF(Metadata!J495="",FALSE,ISNUMBER(VALUE(Metadata!J495))),Metadata!J495&gt;0)</f>
        <v>0</v>
      </c>
      <c r="AK495">
        <f>AND(IF(Metadata!K495="",FALSE,TRUE),exact(Metadata!K495,"cm"))</f>
        <v>0</v>
      </c>
      <c r="AL495">
        <f>AND(IF(Metadata!L495="",FALSE,TRUE),exact(Metadata!L495,"Homo sapiens"))</f>
        <v>0</v>
      </c>
      <c r="AM495">
        <f>AND(IF(Metadata!M495="",FALSE,TRUE),exact(Metadata!M495,"9606"))</f>
        <v>0</v>
      </c>
      <c r="AN495">
        <f>AND(IF(Metadata!N495="",FALSE,ISNUMBER(VALUE(Metadata!N495))),Metadata!N495&gt;0)</f>
        <v>0</v>
      </c>
      <c r="AO495">
        <f>AND(IF(Metadata!O495="",FALSE,TRUE),exact(Metadata!O495,"kg"))</f>
        <v>0</v>
      </c>
      <c r="AP495">
        <f>OR(AND(IF(Metadata!P495="",FALSE,TRUE),exact(Metadata!P495,"not provided")),IF(Metadata!P495="",FALSE,TRUE))</f>
        <v>0</v>
      </c>
      <c r="AQ495">
        <f>OR(AND(IF(Metadata!Q495="",FALSE,TRUE),exact(Metadata!Q495,"not provided")),IF(Metadata!Q495="",FALSE,TRUE))</f>
        <v>0</v>
      </c>
    </row>
    <row r="496" spans="1:43">
      <c r="A496" s="4">
        <f>IF(B496=" "," ",HYPERLINK(CONCATENATE("#metadata!",ADDRESS(INDEX($W$2:$W$1001,MATCH(ROWS($U$2:U496),$U$2:$U$1001,0),0),2)),INDEX($Z$2:$Z$1001,MATCH(ROWS($U$2:U496),$U$2:$U$1001,0),0)))</f>
        <v>0</v>
      </c>
      <c r="B496" s="5">
        <f>IF(OR(INDEX($V$2:$V$1001,MATCH(ROWS($U$2:U496),$U$2:$U$1001,0),1)&gt;=100000,INDEX($AB$1005:$AQ$1005,1,MATCH(COLUMNS($AB$1006:AB1006),$AB$1006:$AQ$1006,0))&gt;=100000), " ",IF(INDEX($AB$2:$AQ$1001,MATCH(ROWS($U$2:U496),$U$2:$U$1001,0),MATCH(COLUMNS($AB$1006:AB1006),$AB$1006:$AQ$1006,0)), HYPERLINK("#",""), HYPERLINK(CONCATENATE("#Metadata!", ADDRESS(INDEX($W$2:$W$1001,MATCH(ROWS($U$2:U496),$U$2:$U$1001,0),0), INDEX($AB$1004:$AQ$1004,1,MATCH(COLUMNS($AB$1006:AB1006),$AB$1006:$AQ$1006,0)))),"Fix")))</f>
        <v>0</v>
      </c>
      <c r="C496" s="5">
        <f>IF(OR(INDEX($V$2:$V$1001,MATCH(ROWS($U$2:U496),$U$2:$U$1001,0),1)&gt;=100000,INDEX($AB$1005:$AQ$1005,1,MATCH(COLUMNS($AB$1006:AC1006),$AB$1006:$AQ$1006,0))&gt;=100000), " ",IF(INDEX($AB$2:$AQ$1001,MATCH(ROWS($U$2:U496),$U$2:$U$1001,0),MATCH(COLUMNS($AB$1006:AC1006),$AB$1006:$AQ$1006,0)), HYPERLINK("#",""), HYPERLINK(CONCATENATE("#Metadata!", ADDRESS(INDEX($W$2:$W$1001,MATCH(ROWS($U$2:U496),$U$2:$U$1001,0),0), INDEX($AB$1004:$AQ$1004,1,MATCH(COLUMNS($AB$1006:AC1006),$AB$1006:$AQ$1006,0)))),"Fix")))</f>
        <v>0</v>
      </c>
      <c r="D496" s="5">
        <f>IF(OR(INDEX($V$2:$V$1001,MATCH(ROWS($U$2:U496),$U$2:$U$1001,0),1)&gt;=100000,INDEX($AB$1005:$AQ$1005,1,MATCH(COLUMNS($AB$1006:AD1006),$AB$1006:$AQ$1006,0))&gt;=100000), " ",IF(INDEX($AB$2:$AQ$1001,MATCH(ROWS($U$2:U496),$U$2:$U$1001,0),MATCH(COLUMNS($AB$1006:AD1006),$AB$1006:$AQ$1006,0)), HYPERLINK("#",""), HYPERLINK(CONCATENATE("#Metadata!", ADDRESS(INDEX($W$2:$W$1001,MATCH(ROWS($U$2:U496),$U$2:$U$1001,0),0), INDEX($AB$1004:$AQ$1004,1,MATCH(COLUMNS($AB$1006:AD1006),$AB$1006:$AQ$1006,0)))),"Fix")))</f>
        <v>0</v>
      </c>
      <c r="E496" s="5">
        <f>IF(OR(INDEX($V$2:$V$1001,MATCH(ROWS($U$2:U496),$U$2:$U$1001,0),1)&gt;=100000,INDEX($AB$1005:$AQ$1005,1,MATCH(COLUMNS($AB$1006:AE1006),$AB$1006:$AQ$1006,0))&gt;=100000), " ",IF(INDEX($AB$2:$AQ$1001,MATCH(ROWS($U$2:U496),$U$2:$U$1001,0),MATCH(COLUMNS($AB$1006:AE1006),$AB$1006:$AQ$1006,0)), HYPERLINK("#",""), HYPERLINK(CONCATENATE("#Metadata!", ADDRESS(INDEX($W$2:$W$1001,MATCH(ROWS($U$2:U496),$U$2:$U$1001,0),0), INDEX($AB$1004:$AQ$1004,1,MATCH(COLUMNS($AB$1006:AE1006),$AB$1006:$AQ$1006,0)))),"Fix")))</f>
        <v>0</v>
      </c>
      <c r="F496" s="5">
        <f>IF(OR(INDEX($V$2:$V$1001,MATCH(ROWS($U$2:U496),$U$2:$U$1001,0),1)&gt;=100000,INDEX($AB$1005:$AQ$1005,1,MATCH(COLUMNS($AB$1006:AF1006),$AB$1006:$AQ$1006,0))&gt;=100000), " ",IF(INDEX($AB$2:$AQ$1001,MATCH(ROWS($U$2:U496),$U$2:$U$1001,0),MATCH(COLUMNS($AB$1006:AF1006),$AB$1006:$AQ$1006,0)), HYPERLINK("#",""), HYPERLINK(CONCATENATE("#Metadata!", ADDRESS(INDEX($W$2:$W$1001,MATCH(ROWS($U$2:U496),$U$2:$U$1001,0),0), INDEX($AB$1004:$AQ$1004,1,MATCH(COLUMNS($AB$1006:AF1006),$AB$1006:$AQ$1006,0)))),"Fix")))</f>
        <v>0</v>
      </c>
      <c r="G496" s="5">
        <f>IF(OR(INDEX($V$2:$V$1001,MATCH(ROWS($U$2:U496),$U$2:$U$1001,0),1)&gt;=100000,INDEX($AB$1005:$AQ$1005,1,MATCH(COLUMNS($AB$1006:AG1006),$AB$1006:$AQ$1006,0))&gt;=100000), " ",IF(INDEX($AB$2:$AQ$1001,MATCH(ROWS($U$2:U496),$U$2:$U$1001,0),MATCH(COLUMNS($AB$1006:AG1006),$AB$1006:$AQ$1006,0)), HYPERLINK("#",""), HYPERLINK(CONCATENATE("#Metadata!", ADDRESS(INDEX($W$2:$W$1001,MATCH(ROWS($U$2:U496),$U$2:$U$1001,0),0), INDEX($AB$1004:$AQ$1004,1,MATCH(COLUMNS($AB$1006:AG1006),$AB$1006:$AQ$1006,0)))),"Fix")))</f>
        <v>0</v>
      </c>
      <c r="H496" s="5">
        <f>IF(OR(INDEX($V$2:$V$1001,MATCH(ROWS($U$2:U496),$U$2:$U$1001,0),1)&gt;=100000,INDEX($AB$1005:$AQ$1005,1,MATCH(COLUMNS($AB$1006:AH1006),$AB$1006:$AQ$1006,0))&gt;=100000), " ",IF(INDEX($AB$2:$AQ$1001,MATCH(ROWS($U$2:U496),$U$2:$U$1001,0),MATCH(COLUMNS($AB$1006:AH1006),$AB$1006:$AQ$1006,0)), HYPERLINK("#",""), HYPERLINK(CONCATENATE("#Metadata!", ADDRESS(INDEX($W$2:$W$1001,MATCH(ROWS($U$2:U496),$U$2:$U$1001,0),0), INDEX($AB$1004:$AQ$1004,1,MATCH(COLUMNS($AB$1006:AH1006),$AB$1006:$AQ$1006,0)))),"Fix")))</f>
        <v>0</v>
      </c>
      <c r="I496" s="5">
        <f>IF(OR(INDEX($V$2:$V$1001,MATCH(ROWS($U$2:U496),$U$2:$U$1001,0),1)&gt;=100000,INDEX($AB$1005:$AQ$1005,1,MATCH(COLUMNS($AB$1006:AI1006),$AB$1006:$AQ$1006,0))&gt;=100000), " ",IF(INDEX($AB$2:$AQ$1001,MATCH(ROWS($U$2:U496),$U$2:$U$1001,0),MATCH(COLUMNS($AB$1006:AI1006),$AB$1006:$AQ$1006,0)), HYPERLINK("#",""), HYPERLINK(CONCATENATE("#Metadata!", ADDRESS(INDEX($W$2:$W$1001,MATCH(ROWS($U$2:U496),$U$2:$U$1001,0),0), INDEX($AB$1004:$AQ$1004,1,MATCH(COLUMNS($AB$1006:AI1006),$AB$1006:$AQ$1006,0)))),"Fix")))</f>
        <v>0</v>
      </c>
      <c r="J496" s="5">
        <f>IF(OR(INDEX($V$2:$V$1001,MATCH(ROWS($U$2:U496),$U$2:$U$1001,0),1)&gt;=100000,INDEX($AB$1005:$AQ$1005,1,MATCH(COLUMNS($AB$1006:AJ1006),$AB$1006:$AQ$1006,0))&gt;=100000), " ",IF(INDEX($AB$2:$AQ$1001,MATCH(ROWS($U$2:U496),$U$2:$U$1001,0),MATCH(COLUMNS($AB$1006:AJ1006),$AB$1006:$AQ$1006,0)), HYPERLINK("#",""), HYPERLINK(CONCATENATE("#Metadata!", ADDRESS(INDEX($W$2:$W$1001,MATCH(ROWS($U$2:U496),$U$2:$U$1001,0),0), INDEX($AB$1004:$AQ$1004,1,MATCH(COLUMNS($AB$1006:AJ1006),$AB$1006:$AQ$1006,0)))),"Fix")))</f>
        <v>0</v>
      </c>
      <c r="K496" s="5">
        <f>IF(OR(INDEX($V$2:$V$1001,MATCH(ROWS($U$2:U496),$U$2:$U$1001,0),1)&gt;=100000,INDEX($AB$1005:$AQ$1005,1,MATCH(COLUMNS($AB$1006:AK1006),$AB$1006:$AQ$1006,0))&gt;=100000), " ",IF(INDEX($AB$2:$AQ$1001,MATCH(ROWS($U$2:U496),$U$2:$U$1001,0),MATCH(COLUMNS($AB$1006:AK1006),$AB$1006:$AQ$1006,0)), HYPERLINK("#",""), HYPERLINK(CONCATENATE("#Metadata!", ADDRESS(INDEX($W$2:$W$1001,MATCH(ROWS($U$2:U496),$U$2:$U$1001,0),0), INDEX($AB$1004:$AQ$1004,1,MATCH(COLUMNS($AB$1006:AK1006),$AB$1006:$AQ$1006,0)))),"Fix")))</f>
        <v>0</v>
      </c>
      <c r="L496" s="5">
        <f>IF(OR(INDEX($V$2:$V$1001,MATCH(ROWS($U$2:U496),$U$2:$U$1001,0),1)&gt;=100000,INDEX($AB$1005:$AQ$1005,1,MATCH(COLUMNS($AB$1006:AL1006),$AB$1006:$AQ$1006,0))&gt;=100000), " ",IF(INDEX($AB$2:$AQ$1001,MATCH(ROWS($U$2:U496),$U$2:$U$1001,0),MATCH(COLUMNS($AB$1006:AL1006),$AB$1006:$AQ$1006,0)), HYPERLINK("#",""), HYPERLINK(CONCATENATE("#Metadata!", ADDRESS(INDEX($W$2:$W$1001,MATCH(ROWS($U$2:U496),$U$2:$U$1001,0),0), INDEX($AB$1004:$AQ$1004,1,MATCH(COLUMNS($AB$1006:AL1006),$AB$1006:$AQ$1006,0)))),"Fix")))</f>
        <v>0</v>
      </c>
      <c r="M496" s="5">
        <f>IF(OR(INDEX($V$2:$V$1001,MATCH(ROWS($U$2:U496),$U$2:$U$1001,0),1)&gt;=100000,INDEX($AB$1005:$AQ$1005,1,MATCH(COLUMNS($AB$1006:AM1006),$AB$1006:$AQ$1006,0))&gt;=100000), " ",IF(INDEX($AB$2:$AQ$1001,MATCH(ROWS($U$2:U496),$U$2:$U$1001,0),MATCH(COLUMNS($AB$1006:AM1006),$AB$1006:$AQ$1006,0)), HYPERLINK("#",""), HYPERLINK(CONCATENATE("#Metadata!", ADDRESS(INDEX($W$2:$W$1001,MATCH(ROWS($U$2:U496),$U$2:$U$1001,0),0), INDEX($AB$1004:$AQ$1004,1,MATCH(COLUMNS($AB$1006:AM1006),$AB$1006:$AQ$1006,0)))),"Fix")))</f>
        <v>0</v>
      </c>
      <c r="N496" s="5">
        <f>IF(OR(INDEX($V$2:$V$1001,MATCH(ROWS($U$2:U496),$U$2:$U$1001,0),1)&gt;=100000,INDEX($AB$1005:$AQ$1005,1,MATCH(COLUMNS($AB$1006:AN1006),$AB$1006:$AQ$1006,0))&gt;=100000), " ",IF(INDEX($AB$2:$AQ$1001,MATCH(ROWS($U$2:U496),$U$2:$U$1001,0),MATCH(COLUMNS($AB$1006:AN1006),$AB$1006:$AQ$1006,0)), HYPERLINK("#",""), HYPERLINK(CONCATENATE("#Metadata!", ADDRESS(INDEX($W$2:$W$1001,MATCH(ROWS($U$2:U496),$U$2:$U$1001,0),0), INDEX($AB$1004:$AQ$1004,1,MATCH(COLUMNS($AB$1006:AN1006),$AB$1006:$AQ$1006,0)))),"Fix")))</f>
        <v>0</v>
      </c>
      <c r="O496" s="5">
        <f>IF(OR(INDEX($V$2:$V$1001,MATCH(ROWS($U$2:U496),$U$2:$U$1001,0),1)&gt;=100000,INDEX($AB$1005:$AQ$1005,1,MATCH(COLUMNS($AB$1006:AO1006),$AB$1006:$AQ$1006,0))&gt;=100000), " ",IF(INDEX($AB$2:$AQ$1001,MATCH(ROWS($U$2:U496),$U$2:$U$1001,0),MATCH(COLUMNS($AB$1006:AO1006),$AB$1006:$AQ$1006,0)), HYPERLINK("#",""), HYPERLINK(CONCATENATE("#Metadata!", ADDRESS(INDEX($W$2:$W$1001,MATCH(ROWS($U$2:U496),$U$2:$U$1001,0),0), INDEX($AB$1004:$AQ$1004,1,MATCH(COLUMNS($AB$1006:AO1006),$AB$1006:$AQ$1006,0)))),"Fix")))</f>
        <v>0</v>
      </c>
      <c r="P496" s="5">
        <f>IF(OR(INDEX($V$2:$V$1001,MATCH(ROWS($U$2:U496),$U$2:$U$1001,0),1)&gt;=100000,INDEX($AB$1005:$AQ$1005,1,MATCH(COLUMNS($AB$1006:AP1006),$AB$1006:$AQ$1006,0))&gt;=100000), " ",IF(INDEX($AB$2:$AQ$1001,MATCH(ROWS($U$2:U496),$U$2:$U$1001,0),MATCH(COLUMNS($AB$1006:AP1006),$AB$1006:$AQ$1006,0)), HYPERLINK("#",""), HYPERLINK(CONCATENATE("#Metadata!", ADDRESS(INDEX($W$2:$W$1001,MATCH(ROWS($U$2:U496),$U$2:$U$1001,0),0), INDEX($AB$1004:$AQ$1004,1,MATCH(COLUMNS($AB$1006:AP1006),$AB$1006:$AQ$1006,0)))),"Fix")))</f>
        <v>0</v>
      </c>
      <c r="Q496" s="5">
        <f>IF(OR(INDEX($V$2:$V$1001,MATCH(ROWS($U$2:U496),$U$2:$U$1001,0),1)&gt;=100000,INDEX($AB$1005:$AQ$1005,1,MATCH(COLUMNS($AB$1006:AQ1006),$AB$1006:$AQ$1006,0))&gt;=100000), " ",IF(INDEX($AB$2:$AQ$1001,MATCH(ROWS($U$2:U496),$U$2:$U$1001,0),MATCH(COLUMNS($AB$1006:AQ1006),$AB$1006:$AQ$1006,0)), HYPERLINK("#",""), HYPERLINK(CONCATENATE("#Metadata!", ADDRESS(INDEX($W$2:$W$1001,MATCH(ROWS($U$2:U496),$U$2:$U$1001,0),0), INDEX($AB$1004:$AQ$1004,1,MATCH(COLUMNS($AB$1006:AQ1006),$AB$1006:$AQ$1006,0)))),"Fix")))</f>
        <v>0</v>
      </c>
      <c r="U496">
        <v>0</v>
      </c>
      <c r="V496">
        <v>0</v>
      </c>
      <c r="W496">
        <v>0</v>
      </c>
      <c r="X496">
        <f>IF(Y496,TRUE,AND(AB496:AQ496))</f>
        <v>0</v>
      </c>
      <c r="Y496">
        <f>COUNTBLANK(Metadata!B496:Q496)=COLUMNS(Metadata!B496:Q496)</f>
        <v>0</v>
      </c>
      <c r="Z496">
        <v>0</v>
      </c>
      <c r="AB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AC496">
        <f>AND(IF(Metadata!C496="",FALSE,TRUE),exact(Metadata!C496,"urban biome"))</f>
        <v>0</v>
      </c>
      <c r="AD496">
        <f>AND(IF(Metadata!D496="",FALSE,TRUE),exact(Metadata!D496,"human-associated habitat"))</f>
        <v>0</v>
      </c>
      <c r="AE496">
        <f>AND(IF(Metadata!E496="",FALSE,TRUE),OR(exact(Metadata!E496,"human-associated"),exact(Metadata!E496,"human-skin"),exact(Metadata!E496,"human-oral"),exact(Metadata!E496,"human-gut"),exact(Metadata!E496,"human-vaginal")))</f>
        <v>0</v>
      </c>
      <c r="AF496">
        <f>AND(IF(Metadata!F496="",FALSE,ISNUMBER(VALUE(Metadata!F496))),Metadata!F496&gt;0)</f>
        <v>0</v>
      </c>
      <c r="AG496">
        <f>AND(IF(Metadata!G496="",FALSE,TRUE),exact(Metadata!G496,"years"))</f>
        <v>0</v>
      </c>
      <c r="AH496">
        <f>OR(AND(IF(Metadata!H496="",FALSE,TRUE),OR(exact(Metadata!H496,"not applicable"),exact(Metadata!H496,"not collected"),exact(Metadata!H496,"not provided"),exact(Metadata!H496,"restricted access"))),AND(IF(Metadata!H496="",FALSE,ISNUMBER(VALUE(Metadata!H496))),Metadata!H496&gt;0))</f>
        <v>0</v>
      </c>
      <c r="AI496">
        <f>AND(IF(Metadata!I496="",FALSE,TRUE),exact(Metadata!I496,"human"))</f>
        <v>0</v>
      </c>
      <c r="AJ496">
        <f>AND(IF(Metadata!J496="",FALSE,ISNUMBER(VALUE(Metadata!J496))),Metadata!J496&gt;0)</f>
        <v>0</v>
      </c>
      <c r="AK496">
        <f>AND(IF(Metadata!K496="",FALSE,TRUE),exact(Metadata!K496,"cm"))</f>
        <v>0</v>
      </c>
      <c r="AL496">
        <f>AND(IF(Metadata!L496="",FALSE,TRUE),exact(Metadata!L496,"Homo sapiens"))</f>
        <v>0</v>
      </c>
      <c r="AM496">
        <f>AND(IF(Metadata!M496="",FALSE,TRUE),exact(Metadata!M496,"9606"))</f>
        <v>0</v>
      </c>
      <c r="AN496">
        <f>AND(IF(Metadata!N496="",FALSE,ISNUMBER(VALUE(Metadata!N496))),Metadata!N496&gt;0)</f>
        <v>0</v>
      </c>
      <c r="AO496">
        <f>AND(IF(Metadata!O496="",FALSE,TRUE),exact(Metadata!O496,"kg"))</f>
        <v>0</v>
      </c>
      <c r="AP496">
        <f>OR(AND(IF(Metadata!P496="",FALSE,TRUE),exact(Metadata!P496,"not provided")),IF(Metadata!P496="",FALSE,TRUE))</f>
        <v>0</v>
      </c>
      <c r="AQ496">
        <f>OR(AND(IF(Metadata!Q496="",FALSE,TRUE),exact(Metadata!Q496,"not provided")),IF(Metadata!Q496="",FALSE,TRUE))</f>
        <v>0</v>
      </c>
    </row>
    <row r="497" spans="1:43">
      <c r="A497" s="4">
        <f>IF(B497=" "," ",HYPERLINK(CONCATENATE("#metadata!",ADDRESS(INDEX($W$2:$W$1001,MATCH(ROWS($U$2:U497),$U$2:$U$1001,0),0),2)),INDEX($Z$2:$Z$1001,MATCH(ROWS($U$2:U497),$U$2:$U$1001,0),0)))</f>
        <v>0</v>
      </c>
      <c r="B497" s="5">
        <f>IF(OR(INDEX($V$2:$V$1001,MATCH(ROWS($U$2:U497),$U$2:$U$1001,0),1)&gt;=100000,INDEX($AB$1005:$AQ$1005,1,MATCH(COLUMNS($AB$1006:AB1006),$AB$1006:$AQ$1006,0))&gt;=100000), " ",IF(INDEX($AB$2:$AQ$1001,MATCH(ROWS($U$2:U497),$U$2:$U$1001,0),MATCH(COLUMNS($AB$1006:AB1006),$AB$1006:$AQ$1006,0)), HYPERLINK("#",""), HYPERLINK(CONCATENATE("#Metadata!", ADDRESS(INDEX($W$2:$W$1001,MATCH(ROWS($U$2:U497),$U$2:$U$1001,0),0), INDEX($AB$1004:$AQ$1004,1,MATCH(COLUMNS($AB$1006:AB1006),$AB$1006:$AQ$1006,0)))),"Fix")))</f>
        <v>0</v>
      </c>
      <c r="C497" s="5">
        <f>IF(OR(INDEX($V$2:$V$1001,MATCH(ROWS($U$2:U497),$U$2:$U$1001,0),1)&gt;=100000,INDEX($AB$1005:$AQ$1005,1,MATCH(COLUMNS($AB$1006:AC1006),$AB$1006:$AQ$1006,0))&gt;=100000), " ",IF(INDEX($AB$2:$AQ$1001,MATCH(ROWS($U$2:U497),$U$2:$U$1001,0),MATCH(COLUMNS($AB$1006:AC1006),$AB$1006:$AQ$1006,0)), HYPERLINK("#",""), HYPERLINK(CONCATENATE("#Metadata!", ADDRESS(INDEX($W$2:$W$1001,MATCH(ROWS($U$2:U497),$U$2:$U$1001,0),0), INDEX($AB$1004:$AQ$1004,1,MATCH(COLUMNS($AB$1006:AC1006),$AB$1006:$AQ$1006,0)))),"Fix")))</f>
        <v>0</v>
      </c>
      <c r="D497" s="5">
        <f>IF(OR(INDEX($V$2:$V$1001,MATCH(ROWS($U$2:U497),$U$2:$U$1001,0),1)&gt;=100000,INDEX($AB$1005:$AQ$1005,1,MATCH(COLUMNS($AB$1006:AD1006),$AB$1006:$AQ$1006,0))&gt;=100000), " ",IF(INDEX($AB$2:$AQ$1001,MATCH(ROWS($U$2:U497),$U$2:$U$1001,0),MATCH(COLUMNS($AB$1006:AD1006),$AB$1006:$AQ$1006,0)), HYPERLINK("#",""), HYPERLINK(CONCATENATE("#Metadata!", ADDRESS(INDEX($W$2:$W$1001,MATCH(ROWS($U$2:U497),$U$2:$U$1001,0),0), INDEX($AB$1004:$AQ$1004,1,MATCH(COLUMNS($AB$1006:AD1006),$AB$1006:$AQ$1006,0)))),"Fix")))</f>
        <v>0</v>
      </c>
      <c r="E497" s="5">
        <f>IF(OR(INDEX($V$2:$V$1001,MATCH(ROWS($U$2:U497),$U$2:$U$1001,0),1)&gt;=100000,INDEX($AB$1005:$AQ$1005,1,MATCH(COLUMNS($AB$1006:AE1006),$AB$1006:$AQ$1006,0))&gt;=100000), " ",IF(INDEX($AB$2:$AQ$1001,MATCH(ROWS($U$2:U497),$U$2:$U$1001,0),MATCH(COLUMNS($AB$1006:AE1006),$AB$1006:$AQ$1006,0)), HYPERLINK("#",""), HYPERLINK(CONCATENATE("#Metadata!", ADDRESS(INDEX($W$2:$W$1001,MATCH(ROWS($U$2:U497),$U$2:$U$1001,0),0), INDEX($AB$1004:$AQ$1004,1,MATCH(COLUMNS($AB$1006:AE1006),$AB$1006:$AQ$1006,0)))),"Fix")))</f>
        <v>0</v>
      </c>
      <c r="F497" s="5">
        <f>IF(OR(INDEX($V$2:$V$1001,MATCH(ROWS($U$2:U497),$U$2:$U$1001,0),1)&gt;=100000,INDEX($AB$1005:$AQ$1005,1,MATCH(COLUMNS($AB$1006:AF1006),$AB$1006:$AQ$1006,0))&gt;=100000), " ",IF(INDEX($AB$2:$AQ$1001,MATCH(ROWS($U$2:U497),$U$2:$U$1001,0),MATCH(COLUMNS($AB$1006:AF1006),$AB$1006:$AQ$1006,0)), HYPERLINK("#",""), HYPERLINK(CONCATENATE("#Metadata!", ADDRESS(INDEX($W$2:$W$1001,MATCH(ROWS($U$2:U497),$U$2:$U$1001,0),0), INDEX($AB$1004:$AQ$1004,1,MATCH(COLUMNS($AB$1006:AF1006),$AB$1006:$AQ$1006,0)))),"Fix")))</f>
        <v>0</v>
      </c>
      <c r="G497" s="5">
        <f>IF(OR(INDEX($V$2:$V$1001,MATCH(ROWS($U$2:U497),$U$2:$U$1001,0),1)&gt;=100000,INDEX($AB$1005:$AQ$1005,1,MATCH(COLUMNS($AB$1006:AG1006),$AB$1006:$AQ$1006,0))&gt;=100000), " ",IF(INDEX($AB$2:$AQ$1001,MATCH(ROWS($U$2:U497),$U$2:$U$1001,0),MATCH(COLUMNS($AB$1006:AG1006),$AB$1006:$AQ$1006,0)), HYPERLINK("#",""), HYPERLINK(CONCATENATE("#Metadata!", ADDRESS(INDEX($W$2:$W$1001,MATCH(ROWS($U$2:U497),$U$2:$U$1001,0),0), INDEX($AB$1004:$AQ$1004,1,MATCH(COLUMNS($AB$1006:AG1006),$AB$1006:$AQ$1006,0)))),"Fix")))</f>
        <v>0</v>
      </c>
      <c r="H497" s="5">
        <f>IF(OR(INDEX($V$2:$V$1001,MATCH(ROWS($U$2:U497),$U$2:$U$1001,0),1)&gt;=100000,INDEX($AB$1005:$AQ$1005,1,MATCH(COLUMNS($AB$1006:AH1006),$AB$1006:$AQ$1006,0))&gt;=100000), " ",IF(INDEX($AB$2:$AQ$1001,MATCH(ROWS($U$2:U497),$U$2:$U$1001,0),MATCH(COLUMNS($AB$1006:AH1006),$AB$1006:$AQ$1006,0)), HYPERLINK("#",""), HYPERLINK(CONCATENATE("#Metadata!", ADDRESS(INDEX($W$2:$W$1001,MATCH(ROWS($U$2:U497),$U$2:$U$1001,0),0), INDEX($AB$1004:$AQ$1004,1,MATCH(COLUMNS($AB$1006:AH1006),$AB$1006:$AQ$1006,0)))),"Fix")))</f>
        <v>0</v>
      </c>
      <c r="I497" s="5">
        <f>IF(OR(INDEX($V$2:$V$1001,MATCH(ROWS($U$2:U497),$U$2:$U$1001,0),1)&gt;=100000,INDEX($AB$1005:$AQ$1005,1,MATCH(COLUMNS($AB$1006:AI1006),$AB$1006:$AQ$1006,0))&gt;=100000), " ",IF(INDEX($AB$2:$AQ$1001,MATCH(ROWS($U$2:U497),$U$2:$U$1001,0),MATCH(COLUMNS($AB$1006:AI1006),$AB$1006:$AQ$1006,0)), HYPERLINK("#",""), HYPERLINK(CONCATENATE("#Metadata!", ADDRESS(INDEX($W$2:$W$1001,MATCH(ROWS($U$2:U497),$U$2:$U$1001,0),0), INDEX($AB$1004:$AQ$1004,1,MATCH(COLUMNS($AB$1006:AI1006),$AB$1006:$AQ$1006,0)))),"Fix")))</f>
        <v>0</v>
      </c>
      <c r="J497" s="5">
        <f>IF(OR(INDEX($V$2:$V$1001,MATCH(ROWS($U$2:U497),$U$2:$U$1001,0),1)&gt;=100000,INDEX($AB$1005:$AQ$1005,1,MATCH(COLUMNS($AB$1006:AJ1006),$AB$1006:$AQ$1006,0))&gt;=100000), " ",IF(INDEX($AB$2:$AQ$1001,MATCH(ROWS($U$2:U497),$U$2:$U$1001,0),MATCH(COLUMNS($AB$1006:AJ1006),$AB$1006:$AQ$1006,0)), HYPERLINK("#",""), HYPERLINK(CONCATENATE("#Metadata!", ADDRESS(INDEX($W$2:$W$1001,MATCH(ROWS($U$2:U497),$U$2:$U$1001,0),0), INDEX($AB$1004:$AQ$1004,1,MATCH(COLUMNS($AB$1006:AJ1006),$AB$1006:$AQ$1006,0)))),"Fix")))</f>
        <v>0</v>
      </c>
      <c r="K497" s="5">
        <f>IF(OR(INDEX($V$2:$V$1001,MATCH(ROWS($U$2:U497),$U$2:$U$1001,0),1)&gt;=100000,INDEX($AB$1005:$AQ$1005,1,MATCH(COLUMNS($AB$1006:AK1006),$AB$1006:$AQ$1006,0))&gt;=100000), " ",IF(INDEX($AB$2:$AQ$1001,MATCH(ROWS($U$2:U497),$U$2:$U$1001,0),MATCH(COLUMNS($AB$1006:AK1006),$AB$1006:$AQ$1006,0)), HYPERLINK("#",""), HYPERLINK(CONCATENATE("#Metadata!", ADDRESS(INDEX($W$2:$W$1001,MATCH(ROWS($U$2:U497),$U$2:$U$1001,0),0), INDEX($AB$1004:$AQ$1004,1,MATCH(COLUMNS($AB$1006:AK1006),$AB$1006:$AQ$1006,0)))),"Fix")))</f>
        <v>0</v>
      </c>
      <c r="L497" s="5">
        <f>IF(OR(INDEX($V$2:$V$1001,MATCH(ROWS($U$2:U497),$U$2:$U$1001,0),1)&gt;=100000,INDEX($AB$1005:$AQ$1005,1,MATCH(COLUMNS($AB$1006:AL1006),$AB$1006:$AQ$1006,0))&gt;=100000), " ",IF(INDEX($AB$2:$AQ$1001,MATCH(ROWS($U$2:U497),$U$2:$U$1001,0),MATCH(COLUMNS($AB$1006:AL1006),$AB$1006:$AQ$1006,0)), HYPERLINK("#",""), HYPERLINK(CONCATENATE("#Metadata!", ADDRESS(INDEX($W$2:$W$1001,MATCH(ROWS($U$2:U497),$U$2:$U$1001,0),0), INDEX($AB$1004:$AQ$1004,1,MATCH(COLUMNS($AB$1006:AL1006),$AB$1006:$AQ$1006,0)))),"Fix")))</f>
        <v>0</v>
      </c>
      <c r="M497" s="5">
        <f>IF(OR(INDEX($V$2:$V$1001,MATCH(ROWS($U$2:U497),$U$2:$U$1001,0),1)&gt;=100000,INDEX($AB$1005:$AQ$1005,1,MATCH(COLUMNS($AB$1006:AM1006),$AB$1006:$AQ$1006,0))&gt;=100000), " ",IF(INDEX($AB$2:$AQ$1001,MATCH(ROWS($U$2:U497),$U$2:$U$1001,0),MATCH(COLUMNS($AB$1006:AM1006),$AB$1006:$AQ$1006,0)), HYPERLINK("#",""), HYPERLINK(CONCATENATE("#Metadata!", ADDRESS(INDEX($W$2:$W$1001,MATCH(ROWS($U$2:U497),$U$2:$U$1001,0),0), INDEX($AB$1004:$AQ$1004,1,MATCH(COLUMNS($AB$1006:AM1006),$AB$1006:$AQ$1006,0)))),"Fix")))</f>
        <v>0</v>
      </c>
      <c r="N497" s="5">
        <f>IF(OR(INDEX($V$2:$V$1001,MATCH(ROWS($U$2:U497),$U$2:$U$1001,0),1)&gt;=100000,INDEX($AB$1005:$AQ$1005,1,MATCH(COLUMNS($AB$1006:AN1006),$AB$1006:$AQ$1006,0))&gt;=100000), " ",IF(INDEX($AB$2:$AQ$1001,MATCH(ROWS($U$2:U497),$U$2:$U$1001,0),MATCH(COLUMNS($AB$1006:AN1006),$AB$1006:$AQ$1006,0)), HYPERLINK("#",""), HYPERLINK(CONCATENATE("#Metadata!", ADDRESS(INDEX($W$2:$W$1001,MATCH(ROWS($U$2:U497),$U$2:$U$1001,0),0), INDEX($AB$1004:$AQ$1004,1,MATCH(COLUMNS($AB$1006:AN1006),$AB$1006:$AQ$1006,0)))),"Fix")))</f>
        <v>0</v>
      </c>
      <c r="O497" s="5">
        <f>IF(OR(INDEX($V$2:$V$1001,MATCH(ROWS($U$2:U497),$U$2:$U$1001,0),1)&gt;=100000,INDEX($AB$1005:$AQ$1005,1,MATCH(COLUMNS($AB$1006:AO1006),$AB$1006:$AQ$1006,0))&gt;=100000), " ",IF(INDEX($AB$2:$AQ$1001,MATCH(ROWS($U$2:U497),$U$2:$U$1001,0),MATCH(COLUMNS($AB$1006:AO1006),$AB$1006:$AQ$1006,0)), HYPERLINK("#",""), HYPERLINK(CONCATENATE("#Metadata!", ADDRESS(INDEX($W$2:$W$1001,MATCH(ROWS($U$2:U497),$U$2:$U$1001,0),0), INDEX($AB$1004:$AQ$1004,1,MATCH(COLUMNS($AB$1006:AO1006),$AB$1006:$AQ$1006,0)))),"Fix")))</f>
        <v>0</v>
      </c>
      <c r="P497" s="5">
        <f>IF(OR(INDEX($V$2:$V$1001,MATCH(ROWS($U$2:U497),$U$2:$U$1001,0),1)&gt;=100000,INDEX($AB$1005:$AQ$1005,1,MATCH(COLUMNS($AB$1006:AP1006),$AB$1006:$AQ$1006,0))&gt;=100000), " ",IF(INDEX($AB$2:$AQ$1001,MATCH(ROWS($U$2:U497),$U$2:$U$1001,0),MATCH(COLUMNS($AB$1006:AP1006),$AB$1006:$AQ$1006,0)), HYPERLINK("#",""), HYPERLINK(CONCATENATE("#Metadata!", ADDRESS(INDEX($W$2:$W$1001,MATCH(ROWS($U$2:U497),$U$2:$U$1001,0),0), INDEX($AB$1004:$AQ$1004,1,MATCH(COLUMNS($AB$1006:AP1006),$AB$1006:$AQ$1006,0)))),"Fix")))</f>
        <v>0</v>
      </c>
      <c r="Q497" s="5">
        <f>IF(OR(INDEX($V$2:$V$1001,MATCH(ROWS($U$2:U497),$U$2:$U$1001,0),1)&gt;=100000,INDEX($AB$1005:$AQ$1005,1,MATCH(COLUMNS($AB$1006:AQ1006),$AB$1006:$AQ$1006,0))&gt;=100000), " ",IF(INDEX($AB$2:$AQ$1001,MATCH(ROWS($U$2:U497),$U$2:$U$1001,0),MATCH(COLUMNS($AB$1006:AQ1006),$AB$1006:$AQ$1006,0)), HYPERLINK("#",""), HYPERLINK(CONCATENATE("#Metadata!", ADDRESS(INDEX($W$2:$W$1001,MATCH(ROWS($U$2:U497),$U$2:$U$1001,0),0), INDEX($AB$1004:$AQ$1004,1,MATCH(COLUMNS($AB$1006:AQ1006),$AB$1006:$AQ$1006,0)))),"Fix")))</f>
        <v>0</v>
      </c>
      <c r="U497">
        <v>0</v>
      </c>
      <c r="V497">
        <v>0</v>
      </c>
      <c r="W497">
        <v>0</v>
      </c>
      <c r="X497">
        <f>IF(Y497,TRUE,AND(AB497:AQ497))</f>
        <v>0</v>
      </c>
      <c r="Y497">
        <f>COUNTBLANK(Metadata!B497:Q497)=COLUMNS(Metadata!B497:Q497)</f>
        <v>0</v>
      </c>
      <c r="Z497">
        <v>0</v>
      </c>
      <c r="AB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AC497">
        <f>AND(IF(Metadata!C497="",FALSE,TRUE),exact(Metadata!C497,"urban biome"))</f>
        <v>0</v>
      </c>
      <c r="AD497">
        <f>AND(IF(Metadata!D497="",FALSE,TRUE),exact(Metadata!D497,"human-associated habitat"))</f>
        <v>0</v>
      </c>
      <c r="AE497">
        <f>AND(IF(Metadata!E497="",FALSE,TRUE),OR(exact(Metadata!E497,"human-associated"),exact(Metadata!E497,"human-skin"),exact(Metadata!E497,"human-oral"),exact(Metadata!E497,"human-gut"),exact(Metadata!E497,"human-vaginal")))</f>
        <v>0</v>
      </c>
      <c r="AF497">
        <f>AND(IF(Metadata!F497="",FALSE,ISNUMBER(VALUE(Metadata!F497))),Metadata!F497&gt;0)</f>
        <v>0</v>
      </c>
      <c r="AG497">
        <f>AND(IF(Metadata!G497="",FALSE,TRUE),exact(Metadata!G497,"years"))</f>
        <v>0</v>
      </c>
      <c r="AH497">
        <f>OR(AND(IF(Metadata!H497="",FALSE,TRUE),OR(exact(Metadata!H497,"not applicable"),exact(Metadata!H497,"not collected"),exact(Metadata!H497,"not provided"),exact(Metadata!H497,"restricted access"))),AND(IF(Metadata!H497="",FALSE,ISNUMBER(VALUE(Metadata!H497))),Metadata!H497&gt;0))</f>
        <v>0</v>
      </c>
      <c r="AI497">
        <f>AND(IF(Metadata!I497="",FALSE,TRUE),exact(Metadata!I497,"human"))</f>
        <v>0</v>
      </c>
      <c r="AJ497">
        <f>AND(IF(Metadata!J497="",FALSE,ISNUMBER(VALUE(Metadata!J497))),Metadata!J497&gt;0)</f>
        <v>0</v>
      </c>
      <c r="AK497">
        <f>AND(IF(Metadata!K497="",FALSE,TRUE),exact(Metadata!K497,"cm"))</f>
        <v>0</v>
      </c>
      <c r="AL497">
        <f>AND(IF(Metadata!L497="",FALSE,TRUE),exact(Metadata!L497,"Homo sapiens"))</f>
        <v>0</v>
      </c>
      <c r="AM497">
        <f>AND(IF(Metadata!M497="",FALSE,TRUE),exact(Metadata!M497,"9606"))</f>
        <v>0</v>
      </c>
      <c r="AN497">
        <f>AND(IF(Metadata!N497="",FALSE,ISNUMBER(VALUE(Metadata!N497))),Metadata!N497&gt;0)</f>
        <v>0</v>
      </c>
      <c r="AO497">
        <f>AND(IF(Metadata!O497="",FALSE,TRUE),exact(Metadata!O497,"kg"))</f>
        <v>0</v>
      </c>
      <c r="AP497">
        <f>OR(AND(IF(Metadata!P497="",FALSE,TRUE),exact(Metadata!P497,"not provided")),IF(Metadata!P497="",FALSE,TRUE))</f>
        <v>0</v>
      </c>
      <c r="AQ497">
        <f>OR(AND(IF(Metadata!Q497="",FALSE,TRUE),exact(Metadata!Q497,"not provided")),IF(Metadata!Q497="",FALSE,TRUE))</f>
        <v>0</v>
      </c>
    </row>
    <row r="498" spans="1:43">
      <c r="A498" s="4">
        <f>IF(B498=" "," ",HYPERLINK(CONCATENATE("#metadata!",ADDRESS(INDEX($W$2:$W$1001,MATCH(ROWS($U$2:U498),$U$2:$U$1001,0),0),2)),INDEX($Z$2:$Z$1001,MATCH(ROWS($U$2:U498),$U$2:$U$1001,0),0)))</f>
        <v>0</v>
      </c>
      <c r="B498" s="5">
        <f>IF(OR(INDEX($V$2:$V$1001,MATCH(ROWS($U$2:U498),$U$2:$U$1001,0),1)&gt;=100000,INDEX($AB$1005:$AQ$1005,1,MATCH(COLUMNS($AB$1006:AB1006),$AB$1006:$AQ$1006,0))&gt;=100000), " ",IF(INDEX($AB$2:$AQ$1001,MATCH(ROWS($U$2:U498),$U$2:$U$1001,0),MATCH(COLUMNS($AB$1006:AB1006),$AB$1006:$AQ$1006,0)), HYPERLINK("#",""), HYPERLINK(CONCATENATE("#Metadata!", ADDRESS(INDEX($W$2:$W$1001,MATCH(ROWS($U$2:U498),$U$2:$U$1001,0),0), INDEX($AB$1004:$AQ$1004,1,MATCH(COLUMNS($AB$1006:AB1006),$AB$1006:$AQ$1006,0)))),"Fix")))</f>
        <v>0</v>
      </c>
      <c r="C498" s="5">
        <f>IF(OR(INDEX($V$2:$V$1001,MATCH(ROWS($U$2:U498),$U$2:$U$1001,0),1)&gt;=100000,INDEX($AB$1005:$AQ$1005,1,MATCH(COLUMNS($AB$1006:AC1006),$AB$1006:$AQ$1006,0))&gt;=100000), " ",IF(INDEX($AB$2:$AQ$1001,MATCH(ROWS($U$2:U498),$U$2:$U$1001,0),MATCH(COLUMNS($AB$1006:AC1006),$AB$1006:$AQ$1006,0)), HYPERLINK("#",""), HYPERLINK(CONCATENATE("#Metadata!", ADDRESS(INDEX($W$2:$W$1001,MATCH(ROWS($U$2:U498),$U$2:$U$1001,0),0), INDEX($AB$1004:$AQ$1004,1,MATCH(COLUMNS($AB$1006:AC1006),$AB$1006:$AQ$1006,0)))),"Fix")))</f>
        <v>0</v>
      </c>
      <c r="D498" s="5">
        <f>IF(OR(INDEX($V$2:$V$1001,MATCH(ROWS($U$2:U498),$U$2:$U$1001,0),1)&gt;=100000,INDEX($AB$1005:$AQ$1005,1,MATCH(COLUMNS($AB$1006:AD1006),$AB$1006:$AQ$1006,0))&gt;=100000), " ",IF(INDEX($AB$2:$AQ$1001,MATCH(ROWS($U$2:U498),$U$2:$U$1001,0),MATCH(COLUMNS($AB$1006:AD1006),$AB$1006:$AQ$1006,0)), HYPERLINK("#",""), HYPERLINK(CONCATENATE("#Metadata!", ADDRESS(INDEX($W$2:$W$1001,MATCH(ROWS($U$2:U498),$U$2:$U$1001,0),0), INDEX($AB$1004:$AQ$1004,1,MATCH(COLUMNS($AB$1006:AD1006),$AB$1006:$AQ$1006,0)))),"Fix")))</f>
        <v>0</v>
      </c>
      <c r="E498" s="5">
        <f>IF(OR(INDEX($V$2:$V$1001,MATCH(ROWS($U$2:U498),$U$2:$U$1001,0),1)&gt;=100000,INDEX($AB$1005:$AQ$1005,1,MATCH(COLUMNS($AB$1006:AE1006),$AB$1006:$AQ$1006,0))&gt;=100000), " ",IF(INDEX($AB$2:$AQ$1001,MATCH(ROWS($U$2:U498),$U$2:$U$1001,0),MATCH(COLUMNS($AB$1006:AE1006),$AB$1006:$AQ$1006,0)), HYPERLINK("#",""), HYPERLINK(CONCATENATE("#Metadata!", ADDRESS(INDEX($W$2:$W$1001,MATCH(ROWS($U$2:U498),$U$2:$U$1001,0),0), INDEX($AB$1004:$AQ$1004,1,MATCH(COLUMNS($AB$1006:AE1006),$AB$1006:$AQ$1006,0)))),"Fix")))</f>
        <v>0</v>
      </c>
      <c r="F498" s="5">
        <f>IF(OR(INDEX($V$2:$V$1001,MATCH(ROWS($U$2:U498),$U$2:$U$1001,0),1)&gt;=100000,INDEX($AB$1005:$AQ$1005,1,MATCH(COLUMNS($AB$1006:AF1006),$AB$1006:$AQ$1006,0))&gt;=100000), " ",IF(INDEX($AB$2:$AQ$1001,MATCH(ROWS($U$2:U498),$U$2:$U$1001,0),MATCH(COLUMNS($AB$1006:AF1006),$AB$1006:$AQ$1006,0)), HYPERLINK("#",""), HYPERLINK(CONCATENATE("#Metadata!", ADDRESS(INDEX($W$2:$W$1001,MATCH(ROWS($U$2:U498),$U$2:$U$1001,0),0), INDEX($AB$1004:$AQ$1004,1,MATCH(COLUMNS($AB$1006:AF1006),$AB$1006:$AQ$1006,0)))),"Fix")))</f>
        <v>0</v>
      </c>
      <c r="G498" s="5">
        <f>IF(OR(INDEX($V$2:$V$1001,MATCH(ROWS($U$2:U498),$U$2:$U$1001,0),1)&gt;=100000,INDEX($AB$1005:$AQ$1005,1,MATCH(COLUMNS($AB$1006:AG1006),$AB$1006:$AQ$1006,0))&gt;=100000), " ",IF(INDEX($AB$2:$AQ$1001,MATCH(ROWS($U$2:U498),$U$2:$U$1001,0),MATCH(COLUMNS($AB$1006:AG1006),$AB$1006:$AQ$1006,0)), HYPERLINK("#",""), HYPERLINK(CONCATENATE("#Metadata!", ADDRESS(INDEX($W$2:$W$1001,MATCH(ROWS($U$2:U498),$U$2:$U$1001,0),0), INDEX($AB$1004:$AQ$1004,1,MATCH(COLUMNS($AB$1006:AG1006),$AB$1006:$AQ$1006,0)))),"Fix")))</f>
        <v>0</v>
      </c>
      <c r="H498" s="5">
        <f>IF(OR(INDEX($V$2:$V$1001,MATCH(ROWS($U$2:U498),$U$2:$U$1001,0),1)&gt;=100000,INDEX($AB$1005:$AQ$1005,1,MATCH(COLUMNS($AB$1006:AH1006),$AB$1006:$AQ$1006,0))&gt;=100000), " ",IF(INDEX($AB$2:$AQ$1001,MATCH(ROWS($U$2:U498),$U$2:$U$1001,0),MATCH(COLUMNS($AB$1006:AH1006),$AB$1006:$AQ$1006,0)), HYPERLINK("#",""), HYPERLINK(CONCATENATE("#Metadata!", ADDRESS(INDEX($W$2:$W$1001,MATCH(ROWS($U$2:U498),$U$2:$U$1001,0),0), INDEX($AB$1004:$AQ$1004,1,MATCH(COLUMNS($AB$1006:AH1006),$AB$1006:$AQ$1006,0)))),"Fix")))</f>
        <v>0</v>
      </c>
      <c r="I498" s="5">
        <f>IF(OR(INDEX($V$2:$V$1001,MATCH(ROWS($U$2:U498),$U$2:$U$1001,0),1)&gt;=100000,INDEX($AB$1005:$AQ$1005,1,MATCH(COLUMNS($AB$1006:AI1006),$AB$1006:$AQ$1006,0))&gt;=100000), " ",IF(INDEX($AB$2:$AQ$1001,MATCH(ROWS($U$2:U498),$U$2:$U$1001,0),MATCH(COLUMNS($AB$1006:AI1006),$AB$1006:$AQ$1006,0)), HYPERLINK("#",""), HYPERLINK(CONCATENATE("#Metadata!", ADDRESS(INDEX($W$2:$W$1001,MATCH(ROWS($U$2:U498),$U$2:$U$1001,0),0), INDEX($AB$1004:$AQ$1004,1,MATCH(COLUMNS($AB$1006:AI1006),$AB$1006:$AQ$1006,0)))),"Fix")))</f>
        <v>0</v>
      </c>
      <c r="J498" s="5">
        <f>IF(OR(INDEX($V$2:$V$1001,MATCH(ROWS($U$2:U498),$U$2:$U$1001,0),1)&gt;=100000,INDEX($AB$1005:$AQ$1005,1,MATCH(COLUMNS($AB$1006:AJ1006),$AB$1006:$AQ$1006,0))&gt;=100000), " ",IF(INDEX($AB$2:$AQ$1001,MATCH(ROWS($U$2:U498),$U$2:$U$1001,0),MATCH(COLUMNS($AB$1006:AJ1006),$AB$1006:$AQ$1006,0)), HYPERLINK("#",""), HYPERLINK(CONCATENATE("#Metadata!", ADDRESS(INDEX($W$2:$W$1001,MATCH(ROWS($U$2:U498),$U$2:$U$1001,0),0), INDEX($AB$1004:$AQ$1004,1,MATCH(COLUMNS($AB$1006:AJ1006),$AB$1006:$AQ$1006,0)))),"Fix")))</f>
        <v>0</v>
      </c>
      <c r="K498" s="5">
        <f>IF(OR(INDEX($V$2:$V$1001,MATCH(ROWS($U$2:U498),$U$2:$U$1001,0),1)&gt;=100000,INDEX($AB$1005:$AQ$1005,1,MATCH(COLUMNS($AB$1006:AK1006),$AB$1006:$AQ$1006,0))&gt;=100000), " ",IF(INDEX($AB$2:$AQ$1001,MATCH(ROWS($U$2:U498),$U$2:$U$1001,0),MATCH(COLUMNS($AB$1006:AK1006),$AB$1006:$AQ$1006,0)), HYPERLINK("#",""), HYPERLINK(CONCATENATE("#Metadata!", ADDRESS(INDEX($W$2:$W$1001,MATCH(ROWS($U$2:U498),$U$2:$U$1001,0),0), INDEX($AB$1004:$AQ$1004,1,MATCH(COLUMNS($AB$1006:AK1006),$AB$1006:$AQ$1006,0)))),"Fix")))</f>
        <v>0</v>
      </c>
      <c r="L498" s="5">
        <f>IF(OR(INDEX($V$2:$V$1001,MATCH(ROWS($U$2:U498),$U$2:$U$1001,0),1)&gt;=100000,INDEX($AB$1005:$AQ$1005,1,MATCH(COLUMNS($AB$1006:AL1006),$AB$1006:$AQ$1006,0))&gt;=100000), " ",IF(INDEX($AB$2:$AQ$1001,MATCH(ROWS($U$2:U498),$U$2:$U$1001,0),MATCH(COLUMNS($AB$1006:AL1006),$AB$1006:$AQ$1006,0)), HYPERLINK("#",""), HYPERLINK(CONCATENATE("#Metadata!", ADDRESS(INDEX($W$2:$W$1001,MATCH(ROWS($U$2:U498),$U$2:$U$1001,0),0), INDEX($AB$1004:$AQ$1004,1,MATCH(COLUMNS($AB$1006:AL1006),$AB$1006:$AQ$1006,0)))),"Fix")))</f>
        <v>0</v>
      </c>
      <c r="M498" s="5">
        <f>IF(OR(INDEX($V$2:$V$1001,MATCH(ROWS($U$2:U498),$U$2:$U$1001,0),1)&gt;=100000,INDEX($AB$1005:$AQ$1005,1,MATCH(COLUMNS($AB$1006:AM1006),$AB$1006:$AQ$1006,0))&gt;=100000), " ",IF(INDEX($AB$2:$AQ$1001,MATCH(ROWS($U$2:U498),$U$2:$U$1001,0),MATCH(COLUMNS($AB$1006:AM1006),$AB$1006:$AQ$1006,0)), HYPERLINK("#",""), HYPERLINK(CONCATENATE("#Metadata!", ADDRESS(INDEX($W$2:$W$1001,MATCH(ROWS($U$2:U498),$U$2:$U$1001,0),0), INDEX($AB$1004:$AQ$1004,1,MATCH(COLUMNS($AB$1006:AM1006),$AB$1006:$AQ$1006,0)))),"Fix")))</f>
        <v>0</v>
      </c>
      <c r="N498" s="5">
        <f>IF(OR(INDEX($V$2:$V$1001,MATCH(ROWS($U$2:U498),$U$2:$U$1001,0),1)&gt;=100000,INDEX($AB$1005:$AQ$1005,1,MATCH(COLUMNS($AB$1006:AN1006),$AB$1006:$AQ$1006,0))&gt;=100000), " ",IF(INDEX($AB$2:$AQ$1001,MATCH(ROWS($U$2:U498),$U$2:$U$1001,0),MATCH(COLUMNS($AB$1006:AN1006),$AB$1006:$AQ$1006,0)), HYPERLINK("#",""), HYPERLINK(CONCATENATE("#Metadata!", ADDRESS(INDEX($W$2:$W$1001,MATCH(ROWS($U$2:U498),$U$2:$U$1001,0),0), INDEX($AB$1004:$AQ$1004,1,MATCH(COLUMNS($AB$1006:AN1006),$AB$1006:$AQ$1006,0)))),"Fix")))</f>
        <v>0</v>
      </c>
      <c r="O498" s="5">
        <f>IF(OR(INDEX($V$2:$V$1001,MATCH(ROWS($U$2:U498),$U$2:$U$1001,0),1)&gt;=100000,INDEX($AB$1005:$AQ$1005,1,MATCH(COLUMNS($AB$1006:AO1006),$AB$1006:$AQ$1006,0))&gt;=100000), " ",IF(INDEX($AB$2:$AQ$1001,MATCH(ROWS($U$2:U498),$U$2:$U$1001,0),MATCH(COLUMNS($AB$1006:AO1006),$AB$1006:$AQ$1006,0)), HYPERLINK("#",""), HYPERLINK(CONCATENATE("#Metadata!", ADDRESS(INDEX($W$2:$W$1001,MATCH(ROWS($U$2:U498),$U$2:$U$1001,0),0), INDEX($AB$1004:$AQ$1004,1,MATCH(COLUMNS($AB$1006:AO1006),$AB$1006:$AQ$1006,0)))),"Fix")))</f>
        <v>0</v>
      </c>
      <c r="P498" s="5">
        <f>IF(OR(INDEX($V$2:$V$1001,MATCH(ROWS($U$2:U498),$U$2:$U$1001,0),1)&gt;=100000,INDEX($AB$1005:$AQ$1005,1,MATCH(COLUMNS($AB$1006:AP1006),$AB$1006:$AQ$1006,0))&gt;=100000), " ",IF(INDEX($AB$2:$AQ$1001,MATCH(ROWS($U$2:U498),$U$2:$U$1001,0),MATCH(COLUMNS($AB$1006:AP1006),$AB$1006:$AQ$1006,0)), HYPERLINK("#",""), HYPERLINK(CONCATENATE("#Metadata!", ADDRESS(INDEX($W$2:$W$1001,MATCH(ROWS($U$2:U498),$U$2:$U$1001,0),0), INDEX($AB$1004:$AQ$1004,1,MATCH(COLUMNS($AB$1006:AP1006),$AB$1006:$AQ$1006,0)))),"Fix")))</f>
        <v>0</v>
      </c>
      <c r="Q498" s="5">
        <f>IF(OR(INDEX($V$2:$V$1001,MATCH(ROWS($U$2:U498),$U$2:$U$1001,0),1)&gt;=100000,INDEX($AB$1005:$AQ$1005,1,MATCH(COLUMNS($AB$1006:AQ1006),$AB$1006:$AQ$1006,0))&gt;=100000), " ",IF(INDEX($AB$2:$AQ$1001,MATCH(ROWS($U$2:U498),$U$2:$U$1001,0),MATCH(COLUMNS($AB$1006:AQ1006),$AB$1006:$AQ$1006,0)), HYPERLINK("#",""), HYPERLINK(CONCATENATE("#Metadata!", ADDRESS(INDEX($W$2:$W$1001,MATCH(ROWS($U$2:U498),$U$2:$U$1001,0),0), INDEX($AB$1004:$AQ$1004,1,MATCH(COLUMNS($AB$1006:AQ1006),$AB$1006:$AQ$1006,0)))),"Fix")))</f>
        <v>0</v>
      </c>
      <c r="U498">
        <v>0</v>
      </c>
      <c r="V498">
        <v>0</v>
      </c>
      <c r="W498">
        <v>0</v>
      </c>
      <c r="X498">
        <f>IF(Y498,TRUE,AND(AB498:AQ498))</f>
        <v>0</v>
      </c>
      <c r="Y498">
        <f>COUNTBLANK(Metadata!B498:Q498)=COLUMNS(Metadata!B498:Q498)</f>
        <v>0</v>
      </c>
      <c r="Z498">
        <v>0</v>
      </c>
      <c r="AB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AC498">
        <f>AND(IF(Metadata!C498="",FALSE,TRUE),exact(Metadata!C498,"urban biome"))</f>
        <v>0</v>
      </c>
      <c r="AD498">
        <f>AND(IF(Metadata!D498="",FALSE,TRUE),exact(Metadata!D498,"human-associated habitat"))</f>
        <v>0</v>
      </c>
      <c r="AE498">
        <f>AND(IF(Metadata!E498="",FALSE,TRUE),OR(exact(Metadata!E498,"human-associated"),exact(Metadata!E498,"human-skin"),exact(Metadata!E498,"human-oral"),exact(Metadata!E498,"human-gut"),exact(Metadata!E498,"human-vaginal")))</f>
        <v>0</v>
      </c>
      <c r="AF498">
        <f>AND(IF(Metadata!F498="",FALSE,ISNUMBER(VALUE(Metadata!F498))),Metadata!F498&gt;0)</f>
        <v>0</v>
      </c>
      <c r="AG498">
        <f>AND(IF(Metadata!G498="",FALSE,TRUE),exact(Metadata!G498,"years"))</f>
        <v>0</v>
      </c>
      <c r="AH498">
        <f>OR(AND(IF(Metadata!H498="",FALSE,TRUE),OR(exact(Metadata!H498,"not applicable"),exact(Metadata!H498,"not collected"),exact(Metadata!H498,"not provided"),exact(Metadata!H498,"restricted access"))),AND(IF(Metadata!H498="",FALSE,ISNUMBER(VALUE(Metadata!H498))),Metadata!H498&gt;0))</f>
        <v>0</v>
      </c>
      <c r="AI498">
        <f>AND(IF(Metadata!I498="",FALSE,TRUE),exact(Metadata!I498,"human"))</f>
        <v>0</v>
      </c>
      <c r="AJ498">
        <f>AND(IF(Metadata!J498="",FALSE,ISNUMBER(VALUE(Metadata!J498))),Metadata!J498&gt;0)</f>
        <v>0</v>
      </c>
      <c r="AK498">
        <f>AND(IF(Metadata!K498="",FALSE,TRUE),exact(Metadata!K498,"cm"))</f>
        <v>0</v>
      </c>
      <c r="AL498">
        <f>AND(IF(Metadata!L498="",FALSE,TRUE),exact(Metadata!L498,"Homo sapiens"))</f>
        <v>0</v>
      </c>
      <c r="AM498">
        <f>AND(IF(Metadata!M498="",FALSE,TRUE),exact(Metadata!M498,"9606"))</f>
        <v>0</v>
      </c>
      <c r="AN498">
        <f>AND(IF(Metadata!N498="",FALSE,ISNUMBER(VALUE(Metadata!N498))),Metadata!N498&gt;0)</f>
        <v>0</v>
      </c>
      <c r="AO498">
        <f>AND(IF(Metadata!O498="",FALSE,TRUE),exact(Metadata!O498,"kg"))</f>
        <v>0</v>
      </c>
      <c r="AP498">
        <f>OR(AND(IF(Metadata!P498="",FALSE,TRUE),exact(Metadata!P498,"not provided")),IF(Metadata!P498="",FALSE,TRUE))</f>
        <v>0</v>
      </c>
      <c r="AQ498">
        <f>OR(AND(IF(Metadata!Q498="",FALSE,TRUE),exact(Metadata!Q498,"not provided")),IF(Metadata!Q498="",FALSE,TRUE))</f>
        <v>0</v>
      </c>
    </row>
    <row r="499" spans="1:43">
      <c r="A499" s="4">
        <f>IF(B499=" "," ",HYPERLINK(CONCATENATE("#metadata!",ADDRESS(INDEX($W$2:$W$1001,MATCH(ROWS($U$2:U499),$U$2:$U$1001,0),0),2)),INDEX($Z$2:$Z$1001,MATCH(ROWS($U$2:U499),$U$2:$U$1001,0),0)))</f>
        <v>0</v>
      </c>
      <c r="B499" s="5">
        <f>IF(OR(INDEX($V$2:$V$1001,MATCH(ROWS($U$2:U499),$U$2:$U$1001,0),1)&gt;=100000,INDEX($AB$1005:$AQ$1005,1,MATCH(COLUMNS($AB$1006:AB1006),$AB$1006:$AQ$1006,0))&gt;=100000), " ",IF(INDEX($AB$2:$AQ$1001,MATCH(ROWS($U$2:U499),$U$2:$U$1001,0),MATCH(COLUMNS($AB$1006:AB1006),$AB$1006:$AQ$1006,0)), HYPERLINK("#",""), HYPERLINK(CONCATENATE("#Metadata!", ADDRESS(INDEX($W$2:$W$1001,MATCH(ROWS($U$2:U499),$U$2:$U$1001,0),0), INDEX($AB$1004:$AQ$1004,1,MATCH(COLUMNS($AB$1006:AB1006),$AB$1006:$AQ$1006,0)))),"Fix")))</f>
        <v>0</v>
      </c>
      <c r="C499" s="5">
        <f>IF(OR(INDEX($V$2:$V$1001,MATCH(ROWS($U$2:U499),$U$2:$U$1001,0),1)&gt;=100000,INDEX($AB$1005:$AQ$1005,1,MATCH(COLUMNS($AB$1006:AC1006),$AB$1006:$AQ$1006,0))&gt;=100000), " ",IF(INDEX($AB$2:$AQ$1001,MATCH(ROWS($U$2:U499),$U$2:$U$1001,0),MATCH(COLUMNS($AB$1006:AC1006),$AB$1006:$AQ$1006,0)), HYPERLINK("#",""), HYPERLINK(CONCATENATE("#Metadata!", ADDRESS(INDEX($W$2:$W$1001,MATCH(ROWS($U$2:U499),$U$2:$U$1001,0),0), INDEX($AB$1004:$AQ$1004,1,MATCH(COLUMNS($AB$1006:AC1006),$AB$1006:$AQ$1006,0)))),"Fix")))</f>
        <v>0</v>
      </c>
      <c r="D499" s="5">
        <f>IF(OR(INDEX($V$2:$V$1001,MATCH(ROWS($U$2:U499),$U$2:$U$1001,0),1)&gt;=100000,INDEX($AB$1005:$AQ$1005,1,MATCH(COLUMNS($AB$1006:AD1006),$AB$1006:$AQ$1006,0))&gt;=100000), " ",IF(INDEX($AB$2:$AQ$1001,MATCH(ROWS($U$2:U499),$U$2:$U$1001,0),MATCH(COLUMNS($AB$1006:AD1006),$AB$1006:$AQ$1006,0)), HYPERLINK("#",""), HYPERLINK(CONCATENATE("#Metadata!", ADDRESS(INDEX($W$2:$W$1001,MATCH(ROWS($U$2:U499),$U$2:$U$1001,0),0), INDEX($AB$1004:$AQ$1004,1,MATCH(COLUMNS($AB$1006:AD1006),$AB$1006:$AQ$1006,0)))),"Fix")))</f>
        <v>0</v>
      </c>
      <c r="E499" s="5">
        <f>IF(OR(INDEX($V$2:$V$1001,MATCH(ROWS($U$2:U499),$U$2:$U$1001,0),1)&gt;=100000,INDEX($AB$1005:$AQ$1005,1,MATCH(COLUMNS($AB$1006:AE1006),$AB$1006:$AQ$1006,0))&gt;=100000), " ",IF(INDEX($AB$2:$AQ$1001,MATCH(ROWS($U$2:U499),$U$2:$U$1001,0),MATCH(COLUMNS($AB$1006:AE1006),$AB$1006:$AQ$1006,0)), HYPERLINK("#",""), HYPERLINK(CONCATENATE("#Metadata!", ADDRESS(INDEX($W$2:$W$1001,MATCH(ROWS($U$2:U499),$U$2:$U$1001,0),0), INDEX($AB$1004:$AQ$1004,1,MATCH(COLUMNS($AB$1006:AE1006),$AB$1006:$AQ$1006,0)))),"Fix")))</f>
        <v>0</v>
      </c>
      <c r="F499" s="5">
        <f>IF(OR(INDEX($V$2:$V$1001,MATCH(ROWS($U$2:U499),$U$2:$U$1001,0),1)&gt;=100000,INDEX($AB$1005:$AQ$1005,1,MATCH(COLUMNS($AB$1006:AF1006),$AB$1006:$AQ$1006,0))&gt;=100000), " ",IF(INDEX($AB$2:$AQ$1001,MATCH(ROWS($U$2:U499),$U$2:$U$1001,0),MATCH(COLUMNS($AB$1006:AF1006),$AB$1006:$AQ$1006,0)), HYPERLINK("#",""), HYPERLINK(CONCATENATE("#Metadata!", ADDRESS(INDEX($W$2:$W$1001,MATCH(ROWS($U$2:U499),$U$2:$U$1001,0),0), INDEX($AB$1004:$AQ$1004,1,MATCH(COLUMNS($AB$1006:AF1006),$AB$1006:$AQ$1006,0)))),"Fix")))</f>
        <v>0</v>
      </c>
      <c r="G499" s="5">
        <f>IF(OR(INDEX($V$2:$V$1001,MATCH(ROWS($U$2:U499),$U$2:$U$1001,0),1)&gt;=100000,INDEX($AB$1005:$AQ$1005,1,MATCH(COLUMNS($AB$1006:AG1006),$AB$1006:$AQ$1006,0))&gt;=100000), " ",IF(INDEX($AB$2:$AQ$1001,MATCH(ROWS($U$2:U499),$U$2:$U$1001,0),MATCH(COLUMNS($AB$1006:AG1006),$AB$1006:$AQ$1006,0)), HYPERLINK("#",""), HYPERLINK(CONCATENATE("#Metadata!", ADDRESS(INDEX($W$2:$W$1001,MATCH(ROWS($U$2:U499),$U$2:$U$1001,0),0), INDEX($AB$1004:$AQ$1004,1,MATCH(COLUMNS($AB$1006:AG1006),$AB$1006:$AQ$1006,0)))),"Fix")))</f>
        <v>0</v>
      </c>
      <c r="H499" s="5">
        <f>IF(OR(INDEX($V$2:$V$1001,MATCH(ROWS($U$2:U499),$U$2:$U$1001,0),1)&gt;=100000,INDEX($AB$1005:$AQ$1005,1,MATCH(COLUMNS($AB$1006:AH1006),$AB$1006:$AQ$1006,0))&gt;=100000), " ",IF(INDEX($AB$2:$AQ$1001,MATCH(ROWS($U$2:U499),$U$2:$U$1001,0),MATCH(COLUMNS($AB$1006:AH1006),$AB$1006:$AQ$1006,0)), HYPERLINK("#",""), HYPERLINK(CONCATENATE("#Metadata!", ADDRESS(INDEX($W$2:$W$1001,MATCH(ROWS($U$2:U499),$U$2:$U$1001,0),0), INDEX($AB$1004:$AQ$1004,1,MATCH(COLUMNS($AB$1006:AH1006),$AB$1006:$AQ$1006,0)))),"Fix")))</f>
        <v>0</v>
      </c>
      <c r="I499" s="5">
        <f>IF(OR(INDEX($V$2:$V$1001,MATCH(ROWS($U$2:U499),$U$2:$U$1001,0),1)&gt;=100000,INDEX($AB$1005:$AQ$1005,1,MATCH(COLUMNS($AB$1006:AI1006),$AB$1006:$AQ$1006,0))&gt;=100000), " ",IF(INDEX($AB$2:$AQ$1001,MATCH(ROWS($U$2:U499),$U$2:$U$1001,0),MATCH(COLUMNS($AB$1006:AI1006),$AB$1006:$AQ$1006,0)), HYPERLINK("#",""), HYPERLINK(CONCATENATE("#Metadata!", ADDRESS(INDEX($W$2:$W$1001,MATCH(ROWS($U$2:U499),$U$2:$U$1001,0),0), INDEX($AB$1004:$AQ$1004,1,MATCH(COLUMNS($AB$1006:AI1006),$AB$1006:$AQ$1006,0)))),"Fix")))</f>
        <v>0</v>
      </c>
      <c r="J499" s="5">
        <f>IF(OR(INDEX($V$2:$V$1001,MATCH(ROWS($U$2:U499),$U$2:$U$1001,0),1)&gt;=100000,INDEX($AB$1005:$AQ$1005,1,MATCH(COLUMNS($AB$1006:AJ1006),$AB$1006:$AQ$1006,0))&gt;=100000), " ",IF(INDEX($AB$2:$AQ$1001,MATCH(ROWS($U$2:U499),$U$2:$U$1001,0),MATCH(COLUMNS($AB$1006:AJ1006),$AB$1006:$AQ$1006,0)), HYPERLINK("#",""), HYPERLINK(CONCATENATE("#Metadata!", ADDRESS(INDEX($W$2:$W$1001,MATCH(ROWS($U$2:U499),$U$2:$U$1001,0),0), INDEX($AB$1004:$AQ$1004,1,MATCH(COLUMNS($AB$1006:AJ1006),$AB$1006:$AQ$1006,0)))),"Fix")))</f>
        <v>0</v>
      </c>
      <c r="K499" s="5">
        <f>IF(OR(INDEX($V$2:$V$1001,MATCH(ROWS($U$2:U499),$U$2:$U$1001,0),1)&gt;=100000,INDEX($AB$1005:$AQ$1005,1,MATCH(COLUMNS($AB$1006:AK1006),$AB$1006:$AQ$1006,0))&gt;=100000), " ",IF(INDEX($AB$2:$AQ$1001,MATCH(ROWS($U$2:U499),$U$2:$U$1001,0),MATCH(COLUMNS($AB$1006:AK1006),$AB$1006:$AQ$1006,0)), HYPERLINK("#",""), HYPERLINK(CONCATENATE("#Metadata!", ADDRESS(INDEX($W$2:$W$1001,MATCH(ROWS($U$2:U499),$U$2:$U$1001,0),0), INDEX($AB$1004:$AQ$1004,1,MATCH(COLUMNS($AB$1006:AK1006),$AB$1006:$AQ$1006,0)))),"Fix")))</f>
        <v>0</v>
      </c>
      <c r="L499" s="5">
        <f>IF(OR(INDEX($V$2:$V$1001,MATCH(ROWS($U$2:U499),$U$2:$U$1001,0),1)&gt;=100000,INDEX($AB$1005:$AQ$1005,1,MATCH(COLUMNS($AB$1006:AL1006),$AB$1006:$AQ$1006,0))&gt;=100000), " ",IF(INDEX($AB$2:$AQ$1001,MATCH(ROWS($U$2:U499),$U$2:$U$1001,0),MATCH(COLUMNS($AB$1006:AL1006),$AB$1006:$AQ$1006,0)), HYPERLINK("#",""), HYPERLINK(CONCATENATE("#Metadata!", ADDRESS(INDEX($W$2:$W$1001,MATCH(ROWS($U$2:U499),$U$2:$U$1001,0),0), INDEX($AB$1004:$AQ$1004,1,MATCH(COLUMNS($AB$1006:AL1006),$AB$1006:$AQ$1006,0)))),"Fix")))</f>
        <v>0</v>
      </c>
      <c r="M499" s="5">
        <f>IF(OR(INDEX($V$2:$V$1001,MATCH(ROWS($U$2:U499),$U$2:$U$1001,0),1)&gt;=100000,INDEX($AB$1005:$AQ$1005,1,MATCH(COLUMNS($AB$1006:AM1006),$AB$1006:$AQ$1006,0))&gt;=100000), " ",IF(INDEX($AB$2:$AQ$1001,MATCH(ROWS($U$2:U499),$U$2:$U$1001,0),MATCH(COLUMNS($AB$1006:AM1006),$AB$1006:$AQ$1006,0)), HYPERLINK("#",""), HYPERLINK(CONCATENATE("#Metadata!", ADDRESS(INDEX($W$2:$W$1001,MATCH(ROWS($U$2:U499),$U$2:$U$1001,0),0), INDEX($AB$1004:$AQ$1004,1,MATCH(COLUMNS($AB$1006:AM1006),$AB$1006:$AQ$1006,0)))),"Fix")))</f>
        <v>0</v>
      </c>
      <c r="N499" s="5">
        <f>IF(OR(INDEX($V$2:$V$1001,MATCH(ROWS($U$2:U499),$U$2:$U$1001,0),1)&gt;=100000,INDEX($AB$1005:$AQ$1005,1,MATCH(COLUMNS($AB$1006:AN1006),$AB$1006:$AQ$1006,0))&gt;=100000), " ",IF(INDEX($AB$2:$AQ$1001,MATCH(ROWS($U$2:U499),$U$2:$U$1001,0),MATCH(COLUMNS($AB$1006:AN1006),$AB$1006:$AQ$1006,0)), HYPERLINK("#",""), HYPERLINK(CONCATENATE("#Metadata!", ADDRESS(INDEX($W$2:$W$1001,MATCH(ROWS($U$2:U499),$U$2:$U$1001,0),0), INDEX($AB$1004:$AQ$1004,1,MATCH(COLUMNS($AB$1006:AN1006),$AB$1006:$AQ$1006,0)))),"Fix")))</f>
        <v>0</v>
      </c>
      <c r="O499" s="5">
        <f>IF(OR(INDEX($V$2:$V$1001,MATCH(ROWS($U$2:U499),$U$2:$U$1001,0),1)&gt;=100000,INDEX($AB$1005:$AQ$1005,1,MATCH(COLUMNS($AB$1006:AO1006),$AB$1006:$AQ$1006,0))&gt;=100000), " ",IF(INDEX($AB$2:$AQ$1001,MATCH(ROWS($U$2:U499),$U$2:$U$1001,0),MATCH(COLUMNS($AB$1006:AO1006),$AB$1006:$AQ$1006,0)), HYPERLINK("#",""), HYPERLINK(CONCATENATE("#Metadata!", ADDRESS(INDEX($W$2:$W$1001,MATCH(ROWS($U$2:U499),$U$2:$U$1001,0),0), INDEX($AB$1004:$AQ$1004,1,MATCH(COLUMNS($AB$1006:AO1006),$AB$1006:$AQ$1006,0)))),"Fix")))</f>
        <v>0</v>
      </c>
      <c r="P499" s="5">
        <f>IF(OR(INDEX($V$2:$V$1001,MATCH(ROWS($U$2:U499),$U$2:$U$1001,0),1)&gt;=100000,INDEX($AB$1005:$AQ$1005,1,MATCH(COLUMNS($AB$1006:AP1006),$AB$1006:$AQ$1006,0))&gt;=100000), " ",IF(INDEX($AB$2:$AQ$1001,MATCH(ROWS($U$2:U499),$U$2:$U$1001,0),MATCH(COLUMNS($AB$1006:AP1006),$AB$1006:$AQ$1006,0)), HYPERLINK("#",""), HYPERLINK(CONCATENATE("#Metadata!", ADDRESS(INDEX($W$2:$W$1001,MATCH(ROWS($U$2:U499),$U$2:$U$1001,0),0), INDEX($AB$1004:$AQ$1004,1,MATCH(COLUMNS($AB$1006:AP1006),$AB$1006:$AQ$1006,0)))),"Fix")))</f>
        <v>0</v>
      </c>
      <c r="Q499" s="5">
        <f>IF(OR(INDEX($V$2:$V$1001,MATCH(ROWS($U$2:U499),$U$2:$U$1001,0),1)&gt;=100000,INDEX($AB$1005:$AQ$1005,1,MATCH(COLUMNS($AB$1006:AQ1006),$AB$1006:$AQ$1006,0))&gt;=100000), " ",IF(INDEX($AB$2:$AQ$1001,MATCH(ROWS($U$2:U499),$U$2:$U$1001,0),MATCH(COLUMNS($AB$1006:AQ1006),$AB$1006:$AQ$1006,0)), HYPERLINK("#",""), HYPERLINK(CONCATENATE("#Metadata!", ADDRESS(INDEX($W$2:$W$1001,MATCH(ROWS($U$2:U499),$U$2:$U$1001,0),0), INDEX($AB$1004:$AQ$1004,1,MATCH(COLUMNS($AB$1006:AQ1006),$AB$1006:$AQ$1006,0)))),"Fix")))</f>
        <v>0</v>
      </c>
      <c r="U499">
        <v>0</v>
      </c>
      <c r="V499">
        <v>0</v>
      </c>
      <c r="W499">
        <v>0</v>
      </c>
      <c r="X499">
        <f>IF(Y499,TRUE,AND(AB499:AQ499))</f>
        <v>0</v>
      </c>
      <c r="Y499">
        <f>COUNTBLANK(Metadata!B499:Q499)=COLUMNS(Metadata!B499:Q499)</f>
        <v>0</v>
      </c>
      <c r="Z499">
        <v>0</v>
      </c>
      <c r="AB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AC499">
        <f>AND(IF(Metadata!C499="",FALSE,TRUE),exact(Metadata!C499,"urban biome"))</f>
        <v>0</v>
      </c>
      <c r="AD499">
        <f>AND(IF(Metadata!D499="",FALSE,TRUE),exact(Metadata!D499,"human-associated habitat"))</f>
        <v>0</v>
      </c>
      <c r="AE499">
        <f>AND(IF(Metadata!E499="",FALSE,TRUE),OR(exact(Metadata!E499,"human-associated"),exact(Metadata!E499,"human-skin"),exact(Metadata!E499,"human-oral"),exact(Metadata!E499,"human-gut"),exact(Metadata!E499,"human-vaginal")))</f>
        <v>0</v>
      </c>
      <c r="AF499">
        <f>AND(IF(Metadata!F499="",FALSE,ISNUMBER(VALUE(Metadata!F499))),Metadata!F499&gt;0)</f>
        <v>0</v>
      </c>
      <c r="AG499">
        <f>AND(IF(Metadata!G499="",FALSE,TRUE),exact(Metadata!G499,"years"))</f>
        <v>0</v>
      </c>
      <c r="AH499">
        <f>OR(AND(IF(Metadata!H499="",FALSE,TRUE),OR(exact(Metadata!H499,"not applicable"),exact(Metadata!H499,"not collected"),exact(Metadata!H499,"not provided"),exact(Metadata!H499,"restricted access"))),AND(IF(Metadata!H499="",FALSE,ISNUMBER(VALUE(Metadata!H499))),Metadata!H499&gt;0))</f>
        <v>0</v>
      </c>
      <c r="AI499">
        <f>AND(IF(Metadata!I499="",FALSE,TRUE),exact(Metadata!I499,"human"))</f>
        <v>0</v>
      </c>
      <c r="AJ499">
        <f>AND(IF(Metadata!J499="",FALSE,ISNUMBER(VALUE(Metadata!J499))),Metadata!J499&gt;0)</f>
        <v>0</v>
      </c>
      <c r="AK499">
        <f>AND(IF(Metadata!K499="",FALSE,TRUE),exact(Metadata!K499,"cm"))</f>
        <v>0</v>
      </c>
      <c r="AL499">
        <f>AND(IF(Metadata!L499="",FALSE,TRUE),exact(Metadata!L499,"Homo sapiens"))</f>
        <v>0</v>
      </c>
      <c r="AM499">
        <f>AND(IF(Metadata!M499="",FALSE,TRUE),exact(Metadata!M499,"9606"))</f>
        <v>0</v>
      </c>
      <c r="AN499">
        <f>AND(IF(Metadata!N499="",FALSE,ISNUMBER(VALUE(Metadata!N499))),Metadata!N499&gt;0)</f>
        <v>0</v>
      </c>
      <c r="AO499">
        <f>AND(IF(Metadata!O499="",FALSE,TRUE),exact(Metadata!O499,"kg"))</f>
        <v>0</v>
      </c>
      <c r="AP499">
        <f>OR(AND(IF(Metadata!P499="",FALSE,TRUE),exact(Metadata!P499,"not provided")),IF(Metadata!P499="",FALSE,TRUE))</f>
        <v>0</v>
      </c>
      <c r="AQ499">
        <f>OR(AND(IF(Metadata!Q499="",FALSE,TRUE),exact(Metadata!Q499,"not provided")),IF(Metadata!Q499="",FALSE,TRUE))</f>
        <v>0</v>
      </c>
    </row>
    <row r="500" spans="1:43">
      <c r="A500" s="4">
        <f>IF(B500=" "," ",HYPERLINK(CONCATENATE("#metadata!",ADDRESS(INDEX($W$2:$W$1001,MATCH(ROWS($U$2:U500),$U$2:$U$1001,0),0),2)),INDEX($Z$2:$Z$1001,MATCH(ROWS($U$2:U500),$U$2:$U$1001,0),0)))</f>
        <v>0</v>
      </c>
      <c r="B500" s="5">
        <f>IF(OR(INDEX($V$2:$V$1001,MATCH(ROWS($U$2:U500),$U$2:$U$1001,0),1)&gt;=100000,INDEX($AB$1005:$AQ$1005,1,MATCH(COLUMNS($AB$1006:AB1006),$AB$1006:$AQ$1006,0))&gt;=100000), " ",IF(INDEX($AB$2:$AQ$1001,MATCH(ROWS($U$2:U500),$U$2:$U$1001,0),MATCH(COLUMNS($AB$1006:AB1006),$AB$1006:$AQ$1006,0)), HYPERLINK("#",""), HYPERLINK(CONCATENATE("#Metadata!", ADDRESS(INDEX($W$2:$W$1001,MATCH(ROWS($U$2:U500),$U$2:$U$1001,0),0), INDEX($AB$1004:$AQ$1004,1,MATCH(COLUMNS($AB$1006:AB1006),$AB$1006:$AQ$1006,0)))),"Fix")))</f>
        <v>0</v>
      </c>
      <c r="C500" s="5">
        <f>IF(OR(INDEX($V$2:$V$1001,MATCH(ROWS($U$2:U500),$U$2:$U$1001,0),1)&gt;=100000,INDEX($AB$1005:$AQ$1005,1,MATCH(COLUMNS($AB$1006:AC1006),$AB$1006:$AQ$1006,0))&gt;=100000), " ",IF(INDEX($AB$2:$AQ$1001,MATCH(ROWS($U$2:U500),$U$2:$U$1001,0),MATCH(COLUMNS($AB$1006:AC1006),$AB$1006:$AQ$1006,0)), HYPERLINK("#",""), HYPERLINK(CONCATENATE("#Metadata!", ADDRESS(INDEX($W$2:$W$1001,MATCH(ROWS($U$2:U500),$U$2:$U$1001,0),0), INDEX($AB$1004:$AQ$1004,1,MATCH(COLUMNS($AB$1006:AC1006),$AB$1006:$AQ$1006,0)))),"Fix")))</f>
        <v>0</v>
      </c>
      <c r="D500" s="5">
        <f>IF(OR(INDEX($V$2:$V$1001,MATCH(ROWS($U$2:U500),$U$2:$U$1001,0),1)&gt;=100000,INDEX($AB$1005:$AQ$1005,1,MATCH(COLUMNS($AB$1006:AD1006),$AB$1006:$AQ$1006,0))&gt;=100000), " ",IF(INDEX($AB$2:$AQ$1001,MATCH(ROWS($U$2:U500),$U$2:$U$1001,0),MATCH(COLUMNS($AB$1006:AD1006),$AB$1006:$AQ$1006,0)), HYPERLINK("#",""), HYPERLINK(CONCATENATE("#Metadata!", ADDRESS(INDEX($W$2:$W$1001,MATCH(ROWS($U$2:U500),$U$2:$U$1001,0),0), INDEX($AB$1004:$AQ$1004,1,MATCH(COLUMNS($AB$1006:AD1006),$AB$1006:$AQ$1006,0)))),"Fix")))</f>
        <v>0</v>
      </c>
      <c r="E500" s="5">
        <f>IF(OR(INDEX($V$2:$V$1001,MATCH(ROWS($U$2:U500),$U$2:$U$1001,0),1)&gt;=100000,INDEX($AB$1005:$AQ$1005,1,MATCH(COLUMNS($AB$1006:AE1006),$AB$1006:$AQ$1006,0))&gt;=100000), " ",IF(INDEX($AB$2:$AQ$1001,MATCH(ROWS($U$2:U500),$U$2:$U$1001,0),MATCH(COLUMNS($AB$1006:AE1006),$AB$1006:$AQ$1006,0)), HYPERLINK("#",""), HYPERLINK(CONCATENATE("#Metadata!", ADDRESS(INDEX($W$2:$W$1001,MATCH(ROWS($U$2:U500),$U$2:$U$1001,0),0), INDEX($AB$1004:$AQ$1004,1,MATCH(COLUMNS($AB$1006:AE1006),$AB$1006:$AQ$1006,0)))),"Fix")))</f>
        <v>0</v>
      </c>
      <c r="F500" s="5">
        <f>IF(OR(INDEX($V$2:$V$1001,MATCH(ROWS($U$2:U500),$U$2:$U$1001,0),1)&gt;=100000,INDEX($AB$1005:$AQ$1005,1,MATCH(COLUMNS($AB$1006:AF1006),$AB$1006:$AQ$1006,0))&gt;=100000), " ",IF(INDEX($AB$2:$AQ$1001,MATCH(ROWS($U$2:U500),$U$2:$U$1001,0),MATCH(COLUMNS($AB$1006:AF1006),$AB$1006:$AQ$1006,0)), HYPERLINK("#",""), HYPERLINK(CONCATENATE("#Metadata!", ADDRESS(INDEX($W$2:$W$1001,MATCH(ROWS($U$2:U500),$U$2:$U$1001,0),0), INDEX($AB$1004:$AQ$1004,1,MATCH(COLUMNS($AB$1006:AF1006),$AB$1006:$AQ$1006,0)))),"Fix")))</f>
        <v>0</v>
      </c>
      <c r="G500" s="5">
        <f>IF(OR(INDEX($V$2:$V$1001,MATCH(ROWS($U$2:U500),$U$2:$U$1001,0),1)&gt;=100000,INDEX($AB$1005:$AQ$1005,1,MATCH(COLUMNS($AB$1006:AG1006),$AB$1006:$AQ$1006,0))&gt;=100000), " ",IF(INDEX($AB$2:$AQ$1001,MATCH(ROWS($U$2:U500),$U$2:$U$1001,0),MATCH(COLUMNS($AB$1006:AG1006),$AB$1006:$AQ$1006,0)), HYPERLINK("#",""), HYPERLINK(CONCATENATE("#Metadata!", ADDRESS(INDEX($W$2:$W$1001,MATCH(ROWS($U$2:U500),$U$2:$U$1001,0),0), INDEX($AB$1004:$AQ$1004,1,MATCH(COLUMNS($AB$1006:AG1006),$AB$1006:$AQ$1006,0)))),"Fix")))</f>
        <v>0</v>
      </c>
      <c r="H500" s="5">
        <f>IF(OR(INDEX($V$2:$V$1001,MATCH(ROWS($U$2:U500),$U$2:$U$1001,0),1)&gt;=100000,INDEX($AB$1005:$AQ$1005,1,MATCH(COLUMNS($AB$1006:AH1006),$AB$1006:$AQ$1006,0))&gt;=100000), " ",IF(INDEX($AB$2:$AQ$1001,MATCH(ROWS($U$2:U500),$U$2:$U$1001,0),MATCH(COLUMNS($AB$1006:AH1006),$AB$1006:$AQ$1006,0)), HYPERLINK("#",""), HYPERLINK(CONCATENATE("#Metadata!", ADDRESS(INDEX($W$2:$W$1001,MATCH(ROWS($U$2:U500),$U$2:$U$1001,0),0), INDEX($AB$1004:$AQ$1004,1,MATCH(COLUMNS($AB$1006:AH1006),$AB$1006:$AQ$1006,0)))),"Fix")))</f>
        <v>0</v>
      </c>
      <c r="I500" s="5">
        <f>IF(OR(INDEX($V$2:$V$1001,MATCH(ROWS($U$2:U500),$U$2:$U$1001,0),1)&gt;=100000,INDEX($AB$1005:$AQ$1005,1,MATCH(COLUMNS($AB$1006:AI1006),$AB$1006:$AQ$1006,0))&gt;=100000), " ",IF(INDEX($AB$2:$AQ$1001,MATCH(ROWS($U$2:U500),$U$2:$U$1001,0),MATCH(COLUMNS($AB$1006:AI1006),$AB$1006:$AQ$1006,0)), HYPERLINK("#",""), HYPERLINK(CONCATENATE("#Metadata!", ADDRESS(INDEX($W$2:$W$1001,MATCH(ROWS($U$2:U500),$U$2:$U$1001,0),0), INDEX($AB$1004:$AQ$1004,1,MATCH(COLUMNS($AB$1006:AI1006),$AB$1006:$AQ$1006,0)))),"Fix")))</f>
        <v>0</v>
      </c>
      <c r="J500" s="5">
        <f>IF(OR(INDEX($V$2:$V$1001,MATCH(ROWS($U$2:U500),$U$2:$U$1001,0),1)&gt;=100000,INDEX($AB$1005:$AQ$1005,1,MATCH(COLUMNS($AB$1006:AJ1006),$AB$1006:$AQ$1006,0))&gt;=100000), " ",IF(INDEX($AB$2:$AQ$1001,MATCH(ROWS($U$2:U500),$U$2:$U$1001,0),MATCH(COLUMNS($AB$1006:AJ1006),$AB$1006:$AQ$1006,0)), HYPERLINK("#",""), HYPERLINK(CONCATENATE("#Metadata!", ADDRESS(INDEX($W$2:$W$1001,MATCH(ROWS($U$2:U500),$U$2:$U$1001,0),0), INDEX($AB$1004:$AQ$1004,1,MATCH(COLUMNS($AB$1006:AJ1006),$AB$1006:$AQ$1006,0)))),"Fix")))</f>
        <v>0</v>
      </c>
      <c r="K500" s="5">
        <f>IF(OR(INDEX($V$2:$V$1001,MATCH(ROWS($U$2:U500),$U$2:$U$1001,0),1)&gt;=100000,INDEX($AB$1005:$AQ$1005,1,MATCH(COLUMNS($AB$1006:AK1006),$AB$1006:$AQ$1006,0))&gt;=100000), " ",IF(INDEX($AB$2:$AQ$1001,MATCH(ROWS($U$2:U500),$U$2:$U$1001,0),MATCH(COLUMNS($AB$1006:AK1006),$AB$1006:$AQ$1006,0)), HYPERLINK("#",""), HYPERLINK(CONCATENATE("#Metadata!", ADDRESS(INDEX($W$2:$W$1001,MATCH(ROWS($U$2:U500),$U$2:$U$1001,0),0), INDEX($AB$1004:$AQ$1004,1,MATCH(COLUMNS($AB$1006:AK1006),$AB$1006:$AQ$1006,0)))),"Fix")))</f>
        <v>0</v>
      </c>
      <c r="L500" s="5">
        <f>IF(OR(INDEX($V$2:$V$1001,MATCH(ROWS($U$2:U500),$U$2:$U$1001,0),1)&gt;=100000,INDEX($AB$1005:$AQ$1005,1,MATCH(COLUMNS($AB$1006:AL1006),$AB$1006:$AQ$1006,0))&gt;=100000), " ",IF(INDEX($AB$2:$AQ$1001,MATCH(ROWS($U$2:U500),$U$2:$U$1001,0),MATCH(COLUMNS($AB$1006:AL1006),$AB$1006:$AQ$1006,0)), HYPERLINK("#",""), HYPERLINK(CONCATENATE("#Metadata!", ADDRESS(INDEX($W$2:$W$1001,MATCH(ROWS($U$2:U500),$U$2:$U$1001,0),0), INDEX($AB$1004:$AQ$1004,1,MATCH(COLUMNS($AB$1006:AL1006),$AB$1006:$AQ$1006,0)))),"Fix")))</f>
        <v>0</v>
      </c>
      <c r="M500" s="5">
        <f>IF(OR(INDEX($V$2:$V$1001,MATCH(ROWS($U$2:U500),$U$2:$U$1001,0),1)&gt;=100000,INDEX($AB$1005:$AQ$1005,1,MATCH(COLUMNS($AB$1006:AM1006),$AB$1006:$AQ$1006,0))&gt;=100000), " ",IF(INDEX($AB$2:$AQ$1001,MATCH(ROWS($U$2:U500),$U$2:$U$1001,0),MATCH(COLUMNS($AB$1006:AM1006),$AB$1006:$AQ$1006,0)), HYPERLINK("#",""), HYPERLINK(CONCATENATE("#Metadata!", ADDRESS(INDEX($W$2:$W$1001,MATCH(ROWS($U$2:U500),$U$2:$U$1001,0),0), INDEX($AB$1004:$AQ$1004,1,MATCH(COLUMNS($AB$1006:AM1006),$AB$1006:$AQ$1006,0)))),"Fix")))</f>
        <v>0</v>
      </c>
      <c r="N500" s="5">
        <f>IF(OR(INDEX($V$2:$V$1001,MATCH(ROWS($U$2:U500),$U$2:$U$1001,0),1)&gt;=100000,INDEX($AB$1005:$AQ$1005,1,MATCH(COLUMNS($AB$1006:AN1006),$AB$1006:$AQ$1006,0))&gt;=100000), " ",IF(INDEX($AB$2:$AQ$1001,MATCH(ROWS($U$2:U500),$U$2:$U$1001,0),MATCH(COLUMNS($AB$1006:AN1006),$AB$1006:$AQ$1006,0)), HYPERLINK("#",""), HYPERLINK(CONCATENATE("#Metadata!", ADDRESS(INDEX($W$2:$W$1001,MATCH(ROWS($U$2:U500),$U$2:$U$1001,0),0), INDEX($AB$1004:$AQ$1004,1,MATCH(COLUMNS($AB$1006:AN1006),$AB$1006:$AQ$1006,0)))),"Fix")))</f>
        <v>0</v>
      </c>
      <c r="O500" s="5">
        <f>IF(OR(INDEX($V$2:$V$1001,MATCH(ROWS($U$2:U500),$U$2:$U$1001,0),1)&gt;=100000,INDEX($AB$1005:$AQ$1005,1,MATCH(COLUMNS($AB$1006:AO1006),$AB$1006:$AQ$1006,0))&gt;=100000), " ",IF(INDEX($AB$2:$AQ$1001,MATCH(ROWS($U$2:U500),$U$2:$U$1001,0),MATCH(COLUMNS($AB$1006:AO1006),$AB$1006:$AQ$1006,0)), HYPERLINK("#",""), HYPERLINK(CONCATENATE("#Metadata!", ADDRESS(INDEX($W$2:$W$1001,MATCH(ROWS($U$2:U500),$U$2:$U$1001,0),0), INDEX($AB$1004:$AQ$1004,1,MATCH(COLUMNS($AB$1006:AO1006),$AB$1006:$AQ$1006,0)))),"Fix")))</f>
        <v>0</v>
      </c>
      <c r="P500" s="5">
        <f>IF(OR(INDEX($V$2:$V$1001,MATCH(ROWS($U$2:U500),$U$2:$U$1001,0),1)&gt;=100000,INDEX($AB$1005:$AQ$1005,1,MATCH(COLUMNS($AB$1006:AP1006),$AB$1006:$AQ$1006,0))&gt;=100000), " ",IF(INDEX($AB$2:$AQ$1001,MATCH(ROWS($U$2:U500),$U$2:$U$1001,0),MATCH(COLUMNS($AB$1006:AP1006),$AB$1006:$AQ$1006,0)), HYPERLINK("#",""), HYPERLINK(CONCATENATE("#Metadata!", ADDRESS(INDEX($W$2:$W$1001,MATCH(ROWS($U$2:U500),$U$2:$U$1001,0),0), INDEX($AB$1004:$AQ$1004,1,MATCH(COLUMNS($AB$1006:AP1006),$AB$1006:$AQ$1006,0)))),"Fix")))</f>
        <v>0</v>
      </c>
      <c r="Q500" s="5">
        <f>IF(OR(INDEX($V$2:$V$1001,MATCH(ROWS($U$2:U500),$U$2:$U$1001,0),1)&gt;=100000,INDEX($AB$1005:$AQ$1005,1,MATCH(COLUMNS($AB$1006:AQ1006),$AB$1006:$AQ$1006,0))&gt;=100000), " ",IF(INDEX($AB$2:$AQ$1001,MATCH(ROWS($U$2:U500),$U$2:$U$1001,0),MATCH(COLUMNS($AB$1006:AQ1006),$AB$1006:$AQ$1006,0)), HYPERLINK("#",""), HYPERLINK(CONCATENATE("#Metadata!", ADDRESS(INDEX($W$2:$W$1001,MATCH(ROWS($U$2:U500),$U$2:$U$1001,0),0), INDEX($AB$1004:$AQ$1004,1,MATCH(COLUMNS($AB$1006:AQ1006),$AB$1006:$AQ$1006,0)))),"Fix")))</f>
        <v>0</v>
      </c>
      <c r="U500">
        <v>0</v>
      </c>
      <c r="V500">
        <v>0</v>
      </c>
      <c r="W500">
        <v>0</v>
      </c>
      <c r="X500">
        <f>IF(Y500,TRUE,AND(AB500:AQ500))</f>
        <v>0</v>
      </c>
      <c r="Y500">
        <f>COUNTBLANK(Metadata!B500:Q500)=COLUMNS(Metadata!B500:Q500)</f>
        <v>0</v>
      </c>
      <c r="Z500">
        <v>0</v>
      </c>
      <c r="AB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AC500">
        <f>AND(IF(Metadata!C500="",FALSE,TRUE),exact(Metadata!C500,"urban biome"))</f>
        <v>0</v>
      </c>
      <c r="AD500">
        <f>AND(IF(Metadata!D500="",FALSE,TRUE),exact(Metadata!D500,"human-associated habitat"))</f>
        <v>0</v>
      </c>
      <c r="AE500">
        <f>AND(IF(Metadata!E500="",FALSE,TRUE),OR(exact(Metadata!E500,"human-associated"),exact(Metadata!E500,"human-skin"),exact(Metadata!E500,"human-oral"),exact(Metadata!E500,"human-gut"),exact(Metadata!E500,"human-vaginal")))</f>
        <v>0</v>
      </c>
      <c r="AF500">
        <f>AND(IF(Metadata!F500="",FALSE,ISNUMBER(VALUE(Metadata!F500))),Metadata!F500&gt;0)</f>
        <v>0</v>
      </c>
      <c r="AG500">
        <f>AND(IF(Metadata!G500="",FALSE,TRUE),exact(Metadata!G500,"years"))</f>
        <v>0</v>
      </c>
      <c r="AH500">
        <f>OR(AND(IF(Metadata!H500="",FALSE,TRUE),OR(exact(Metadata!H500,"not applicable"),exact(Metadata!H500,"not collected"),exact(Metadata!H500,"not provided"),exact(Metadata!H500,"restricted access"))),AND(IF(Metadata!H500="",FALSE,ISNUMBER(VALUE(Metadata!H500))),Metadata!H500&gt;0))</f>
        <v>0</v>
      </c>
      <c r="AI500">
        <f>AND(IF(Metadata!I500="",FALSE,TRUE),exact(Metadata!I500,"human"))</f>
        <v>0</v>
      </c>
      <c r="AJ500">
        <f>AND(IF(Metadata!J500="",FALSE,ISNUMBER(VALUE(Metadata!J500))),Metadata!J500&gt;0)</f>
        <v>0</v>
      </c>
      <c r="AK500">
        <f>AND(IF(Metadata!K500="",FALSE,TRUE),exact(Metadata!K500,"cm"))</f>
        <v>0</v>
      </c>
      <c r="AL500">
        <f>AND(IF(Metadata!L500="",FALSE,TRUE),exact(Metadata!L500,"Homo sapiens"))</f>
        <v>0</v>
      </c>
      <c r="AM500">
        <f>AND(IF(Metadata!M500="",FALSE,TRUE),exact(Metadata!M500,"9606"))</f>
        <v>0</v>
      </c>
      <c r="AN500">
        <f>AND(IF(Metadata!N500="",FALSE,ISNUMBER(VALUE(Metadata!N500))),Metadata!N500&gt;0)</f>
        <v>0</v>
      </c>
      <c r="AO500">
        <f>AND(IF(Metadata!O500="",FALSE,TRUE),exact(Metadata!O500,"kg"))</f>
        <v>0</v>
      </c>
      <c r="AP500">
        <f>OR(AND(IF(Metadata!P500="",FALSE,TRUE),exact(Metadata!P500,"not provided")),IF(Metadata!P500="",FALSE,TRUE))</f>
        <v>0</v>
      </c>
      <c r="AQ500">
        <f>OR(AND(IF(Metadata!Q500="",FALSE,TRUE),exact(Metadata!Q500,"not provided")),IF(Metadata!Q500="",FALSE,TRUE))</f>
        <v>0</v>
      </c>
    </row>
    <row r="501" spans="1:43">
      <c r="A501" s="4">
        <f>IF(B501=" "," ",HYPERLINK(CONCATENATE("#metadata!",ADDRESS(INDEX($W$2:$W$1001,MATCH(ROWS($U$2:U501),$U$2:$U$1001,0),0),2)),INDEX($Z$2:$Z$1001,MATCH(ROWS($U$2:U501),$U$2:$U$1001,0),0)))</f>
        <v>0</v>
      </c>
      <c r="B501" s="5">
        <f>IF(OR(INDEX($V$2:$V$1001,MATCH(ROWS($U$2:U501),$U$2:$U$1001,0),1)&gt;=100000,INDEX($AB$1005:$AQ$1005,1,MATCH(COLUMNS($AB$1006:AB1006),$AB$1006:$AQ$1006,0))&gt;=100000), " ",IF(INDEX($AB$2:$AQ$1001,MATCH(ROWS($U$2:U501),$U$2:$U$1001,0),MATCH(COLUMNS($AB$1006:AB1006),$AB$1006:$AQ$1006,0)), HYPERLINK("#",""), HYPERLINK(CONCATENATE("#Metadata!", ADDRESS(INDEX($W$2:$W$1001,MATCH(ROWS($U$2:U501),$U$2:$U$1001,0),0), INDEX($AB$1004:$AQ$1004,1,MATCH(COLUMNS($AB$1006:AB1006),$AB$1006:$AQ$1006,0)))),"Fix")))</f>
        <v>0</v>
      </c>
      <c r="C501" s="5">
        <f>IF(OR(INDEX($V$2:$V$1001,MATCH(ROWS($U$2:U501),$U$2:$U$1001,0),1)&gt;=100000,INDEX($AB$1005:$AQ$1005,1,MATCH(COLUMNS($AB$1006:AC1006),$AB$1006:$AQ$1006,0))&gt;=100000), " ",IF(INDEX($AB$2:$AQ$1001,MATCH(ROWS($U$2:U501),$U$2:$U$1001,0),MATCH(COLUMNS($AB$1006:AC1006),$AB$1006:$AQ$1006,0)), HYPERLINK("#",""), HYPERLINK(CONCATENATE("#Metadata!", ADDRESS(INDEX($W$2:$W$1001,MATCH(ROWS($U$2:U501),$U$2:$U$1001,0),0), INDEX($AB$1004:$AQ$1004,1,MATCH(COLUMNS($AB$1006:AC1006),$AB$1006:$AQ$1006,0)))),"Fix")))</f>
        <v>0</v>
      </c>
      <c r="D501" s="5">
        <f>IF(OR(INDEX($V$2:$V$1001,MATCH(ROWS($U$2:U501),$U$2:$U$1001,0),1)&gt;=100000,INDEX($AB$1005:$AQ$1005,1,MATCH(COLUMNS($AB$1006:AD1006),$AB$1006:$AQ$1006,0))&gt;=100000), " ",IF(INDEX($AB$2:$AQ$1001,MATCH(ROWS($U$2:U501),$U$2:$U$1001,0),MATCH(COLUMNS($AB$1006:AD1006),$AB$1006:$AQ$1006,0)), HYPERLINK("#",""), HYPERLINK(CONCATENATE("#Metadata!", ADDRESS(INDEX($W$2:$W$1001,MATCH(ROWS($U$2:U501),$U$2:$U$1001,0),0), INDEX($AB$1004:$AQ$1004,1,MATCH(COLUMNS($AB$1006:AD1006),$AB$1006:$AQ$1006,0)))),"Fix")))</f>
        <v>0</v>
      </c>
      <c r="E501" s="5">
        <f>IF(OR(INDEX($V$2:$V$1001,MATCH(ROWS($U$2:U501),$U$2:$U$1001,0),1)&gt;=100000,INDEX($AB$1005:$AQ$1005,1,MATCH(COLUMNS($AB$1006:AE1006),$AB$1006:$AQ$1006,0))&gt;=100000), " ",IF(INDEX($AB$2:$AQ$1001,MATCH(ROWS($U$2:U501),$U$2:$U$1001,0),MATCH(COLUMNS($AB$1006:AE1006),$AB$1006:$AQ$1006,0)), HYPERLINK("#",""), HYPERLINK(CONCATENATE("#Metadata!", ADDRESS(INDEX($W$2:$W$1001,MATCH(ROWS($U$2:U501),$U$2:$U$1001,0),0), INDEX($AB$1004:$AQ$1004,1,MATCH(COLUMNS($AB$1006:AE1006),$AB$1006:$AQ$1006,0)))),"Fix")))</f>
        <v>0</v>
      </c>
      <c r="F501" s="5">
        <f>IF(OR(INDEX($V$2:$V$1001,MATCH(ROWS($U$2:U501),$U$2:$U$1001,0),1)&gt;=100000,INDEX($AB$1005:$AQ$1005,1,MATCH(COLUMNS($AB$1006:AF1006),$AB$1006:$AQ$1006,0))&gt;=100000), " ",IF(INDEX($AB$2:$AQ$1001,MATCH(ROWS($U$2:U501),$U$2:$U$1001,0),MATCH(COLUMNS($AB$1006:AF1006),$AB$1006:$AQ$1006,0)), HYPERLINK("#",""), HYPERLINK(CONCATENATE("#Metadata!", ADDRESS(INDEX($W$2:$W$1001,MATCH(ROWS($U$2:U501),$U$2:$U$1001,0),0), INDEX($AB$1004:$AQ$1004,1,MATCH(COLUMNS($AB$1006:AF1006),$AB$1006:$AQ$1006,0)))),"Fix")))</f>
        <v>0</v>
      </c>
      <c r="G501" s="5">
        <f>IF(OR(INDEX($V$2:$V$1001,MATCH(ROWS($U$2:U501),$U$2:$U$1001,0),1)&gt;=100000,INDEX($AB$1005:$AQ$1005,1,MATCH(COLUMNS($AB$1006:AG1006),$AB$1006:$AQ$1006,0))&gt;=100000), " ",IF(INDEX($AB$2:$AQ$1001,MATCH(ROWS($U$2:U501),$U$2:$U$1001,0),MATCH(COLUMNS($AB$1006:AG1006),$AB$1006:$AQ$1006,0)), HYPERLINK("#",""), HYPERLINK(CONCATENATE("#Metadata!", ADDRESS(INDEX($W$2:$W$1001,MATCH(ROWS($U$2:U501),$U$2:$U$1001,0),0), INDEX($AB$1004:$AQ$1004,1,MATCH(COLUMNS($AB$1006:AG1006),$AB$1006:$AQ$1006,0)))),"Fix")))</f>
        <v>0</v>
      </c>
      <c r="H501" s="5">
        <f>IF(OR(INDEX($V$2:$V$1001,MATCH(ROWS($U$2:U501),$U$2:$U$1001,0),1)&gt;=100000,INDEX($AB$1005:$AQ$1005,1,MATCH(COLUMNS($AB$1006:AH1006),$AB$1006:$AQ$1006,0))&gt;=100000), " ",IF(INDEX($AB$2:$AQ$1001,MATCH(ROWS($U$2:U501),$U$2:$U$1001,0),MATCH(COLUMNS($AB$1006:AH1006),$AB$1006:$AQ$1006,0)), HYPERLINK("#",""), HYPERLINK(CONCATENATE("#Metadata!", ADDRESS(INDEX($W$2:$W$1001,MATCH(ROWS($U$2:U501),$U$2:$U$1001,0),0), INDEX($AB$1004:$AQ$1004,1,MATCH(COLUMNS($AB$1006:AH1006),$AB$1006:$AQ$1006,0)))),"Fix")))</f>
        <v>0</v>
      </c>
      <c r="I501" s="5">
        <f>IF(OR(INDEX($V$2:$V$1001,MATCH(ROWS($U$2:U501),$U$2:$U$1001,0),1)&gt;=100000,INDEX($AB$1005:$AQ$1005,1,MATCH(COLUMNS($AB$1006:AI1006),$AB$1006:$AQ$1006,0))&gt;=100000), " ",IF(INDEX($AB$2:$AQ$1001,MATCH(ROWS($U$2:U501),$U$2:$U$1001,0),MATCH(COLUMNS($AB$1006:AI1006),$AB$1006:$AQ$1006,0)), HYPERLINK("#",""), HYPERLINK(CONCATENATE("#Metadata!", ADDRESS(INDEX($W$2:$W$1001,MATCH(ROWS($U$2:U501),$U$2:$U$1001,0),0), INDEX($AB$1004:$AQ$1004,1,MATCH(COLUMNS($AB$1006:AI1006),$AB$1006:$AQ$1006,0)))),"Fix")))</f>
        <v>0</v>
      </c>
      <c r="J501" s="5">
        <f>IF(OR(INDEX($V$2:$V$1001,MATCH(ROWS($U$2:U501),$U$2:$U$1001,0),1)&gt;=100000,INDEX($AB$1005:$AQ$1005,1,MATCH(COLUMNS($AB$1006:AJ1006),$AB$1006:$AQ$1006,0))&gt;=100000), " ",IF(INDEX($AB$2:$AQ$1001,MATCH(ROWS($U$2:U501),$U$2:$U$1001,0),MATCH(COLUMNS($AB$1006:AJ1006),$AB$1006:$AQ$1006,0)), HYPERLINK("#",""), HYPERLINK(CONCATENATE("#Metadata!", ADDRESS(INDEX($W$2:$W$1001,MATCH(ROWS($U$2:U501),$U$2:$U$1001,0),0), INDEX($AB$1004:$AQ$1004,1,MATCH(COLUMNS($AB$1006:AJ1006),$AB$1006:$AQ$1006,0)))),"Fix")))</f>
        <v>0</v>
      </c>
      <c r="K501" s="5">
        <f>IF(OR(INDEX($V$2:$V$1001,MATCH(ROWS($U$2:U501),$U$2:$U$1001,0),1)&gt;=100000,INDEX($AB$1005:$AQ$1005,1,MATCH(COLUMNS($AB$1006:AK1006),$AB$1006:$AQ$1006,0))&gt;=100000), " ",IF(INDEX($AB$2:$AQ$1001,MATCH(ROWS($U$2:U501),$U$2:$U$1001,0),MATCH(COLUMNS($AB$1006:AK1006),$AB$1006:$AQ$1006,0)), HYPERLINK("#",""), HYPERLINK(CONCATENATE("#Metadata!", ADDRESS(INDEX($W$2:$W$1001,MATCH(ROWS($U$2:U501),$U$2:$U$1001,0),0), INDEX($AB$1004:$AQ$1004,1,MATCH(COLUMNS($AB$1006:AK1006),$AB$1006:$AQ$1006,0)))),"Fix")))</f>
        <v>0</v>
      </c>
      <c r="L501" s="5">
        <f>IF(OR(INDEX($V$2:$V$1001,MATCH(ROWS($U$2:U501),$U$2:$U$1001,0),1)&gt;=100000,INDEX($AB$1005:$AQ$1005,1,MATCH(COLUMNS($AB$1006:AL1006),$AB$1006:$AQ$1006,0))&gt;=100000), " ",IF(INDEX($AB$2:$AQ$1001,MATCH(ROWS($U$2:U501),$U$2:$U$1001,0),MATCH(COLUMNS($AB$1006:AL1006),$AB$1006:$AQ$1006,0)), HYPERLINK("#",""), HYPERLINK(CONCATENATE("#Metadata!", ADDRESS(INDEX($W$2:$W$1001,MATCH(ROWS($U$2:U501),$U$2:$U$1001,0),0), INDEX($AB$1004:$AQ$1004,1,MATCH(COLUMNS($AB$1006:AL1006),$AB$1006:$AQ$1006,0)))),"Fix")))</f>
        <v>0</v>
      </c>
      <c r="M501" s="5">
        <f>IF(OR(INDEX($V$2:$V$1001,MATCH(ROWS($U$2:U501),$U$2:$U$1001,0),1)&gt;=100000,INDEX($AB$1005:$AQ$1005,1,MATCH(COLUMNS($AB$1006:AM1006),$AB$1006:$AQ$1006,0))&gt;=100000), " ",IF(INDEX($AB$2:$AQ$1001,MATCH(ROWS($U$2:U501),$U$2:$U$1001,0),MATCH(COLUMNS($AB$1006:AM1006),$AB$1006:$AQ$1006,0)), HYPERLINK("#",""), HYPERLINK(CONCATENATE("#Metadata!", ADDRESS(INDEX($W$2:$W$1001,MATCH(ROWS($U$2:U501),$U$2:$U$1001,0),0), INDEX($AB$1004:$AQ$1004,1,MATCH(COLUMNS($AB$1006:AM1006),$AB$1006:$AQ$1006,0)))),"Fix")))</f>
        <v>0</v>
      </c>
      <c r="N501" s="5">
        <f>IF(OR(INDEX($V$2:$V$1001,MATCH(ROWS($U$2:U501),$U$2:$U$1001,0),1)&gt;=100000,INDEX($AB$1005:$AQ$1005,1,MATCH(COLUMNS($AB$1006:AN1006),$AB$1006:$AQ$1006,0))&gt;=100000), " ",IF(INDEX($AB$2:$AQ$1001,MATCH(ROWS($U$2:U501),$U$2:$U$1001,0),MATCH(COLUMNS($AB$1006:AN1006),$AB$1006:$AQ$1006,0)), HYPERLINK("#",""), HYPERLINK(CONCATENATE("#Metadata!", ADDRESS(INDEX($W$2:$W$1001,MATCH(ROWS($U$2:U501),$U$2:$U$1001,0),0), INDEX($AB$1004:$AQ$1004,1,MATCH(COLUMNS($AB$1006:AN1006),$AB$1006:$AQ$1006,0)))),"Fix")))</f>
        <v>0</v>
      </c>
      <c r="O501" s="5">
        <f>IF(OR(INDEX($V$2:$V$1001,MATCH(ROWS($U$2:U501),$U$2:$U$1001,0),1)&gt;=100000,INDEX($AB$1005:$AQ$1005,1,MATCH(COLUMNS($AB$1006:AO1006),$AB$1006:$AQ$1006,0))&gt;=100000), " ",IF(INDEX($AB$2:$AQ$1001,MATCH(ROWS($U$2:U501),$U$2:$U$1001,0),MATCH(COLUMNS($AB$1006:AO1006),$AB$1006:$AQ$1006,0)), HYPERLINK("#",""), HYPERLINK(CONCATENATE("#Metadata!", ADDRESS(INDEX($W$2:$W$1001,MATCH(ROWS($U$2:U501),$U$2:$U$1001,0),0), INDEX($AB$1004:$AQ$1004,1,MATCH(COLUMNS($AB$1006:AO1006),$AB$1006:$AQ$1006,0)))),"Fix")))</f>
        <v>0</v>
      </c>
      <c r="P501" s="5">
        <f>IF(OR(INDEX($V$2:$V$1001,MATCH(ROWS($U$2:U501),$U$2:$U$1001,0),1)&gt;=100000,INDEX($AB$1005:$AQ$1005,1,MATCH(COLUMNS($AB$1006:AP1006),$AB$1006:$AQ$1006,0))&gt;=100000), " ",IF(INDEX($AB$2:$AQ$1001,MATCH(ROWS($U$2:U501),$U$2:$U$1001,0),MATCH(COLUMNS($AB$1006:AP1006),$AB$1006:$AQ$1006,0)), HYPERLINK("#",""), HYPERLINK(CONCATENATE("#Metadata!", ADDRESS(INDEX($W$2:$W$1001,MATCH(ROWS($U$2:U501),$U$2:$U$1001,0),0), INDEX($AB$1004:$AQ$1004,1,MATCH(COLUMNS($AB$1006:AP1006),$AB$1006:$AQ$1006,0)))),"Fix")))</f>
        <v>0</v>
      </c>
      <c r="Q501" s="5">
        <f>IF(OR(INDEX($V$2:$V$1001,MATCH(ROWS($U$2:U501),$U$2:$U$1001,0),1)&gt;=100000,INDEX($AB$1005:$AQ$1005,1,MATCH(COLUMNS($AB$1006:AQ1006),$AB$1006:$AQ$1006,0))&gt;=100000), " ",IF(INDEX($AB$2:$AQ$1001,MATCH(ROWS($U$2:U501),$U$2:$U$1001,0),MATCH(COLUMNS($AB$1006:AQ1006),$AB$1006:$AQ$1006,0)), HYPERLINK("#",""), HYPERLINK(CONCATENATE("#Metadata!", ADDRESS(INDEX($W$2:$W$1001,MATCH(ROWS($U$2:U501),$U$2:$U$1001,0),0), INDEX($AB$1004:$AQ$1004,1,MATCH(COLUMNS($AB$1006:AQ1006),$AB$1006:$AQ$1006,0)))),"Fix")))</f>
        <v>0</v>
      </c>
      <c r="U501">
        <v>0</v>
      </c>
      <c r="V501">
        <v>0</v>
      </c>
      <c r="W501">
        <v>0</v>
      </c>
      <c r="X501">
        <f>IF(Y501,TRUE,AND(AB501:AQ501))</f>
        <v>0</v>
      </c>
      <c r="Y501">
        <f>COUNTBLANK(Metadata!B501:Q501)=COLUMNS(Metadata!B501:Q501)</f>
        <v>0</v>
      </c>
      <c r="Z501">
        <v>0</v>
      </c>
      <c r="AB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AC501">
        <f>AND(IF(Metadata!C501="",FALSE,TRUE),exact(Metadata!C501,"urban biome"))</f>
        <v>0</v>
      </c>
      <c r="AD501">
        <f>AND(IF(Metadata!D501="",FALSE,TRUE),exact(Metadata!D501,"human-associated habitat"))</f>
        <v>0</v>
      </c>
      <c r="AE501">
        <f>AND(IF(Metadata!E501="",FALSE,TRUE),OR(exact(Metadata!E501,"human-associated"),exact(Metadata!E501,"human-skin"),exact(Metadata!E501,"human-oral"),exact(Metadata!E501,"human-gut"),exact(Metadata!E501,"human-vaginal")))</f>
        <v>0</v>
      </c>
      <c r="AF501">
        <f>AND(IF(Metadata!F501="",FALSE,ISNUMBER(VALUE(Metadata!F501))),Metadata!F501&gt;0)</f>
        <v>0</v>
      </c>
      <c r="AG501">
        <f>AND(IF(Metadata!G501="",FALSE,TRUE),exact(Metadata!G501,"years"))</f>
        <v>0</v>
      </c>
      <c r="AH501">
        <f>OR(AND(IF(Metadata!H501="",FALSE,TRUE),OR(exact(Metadata!H501,"not applicable"),exact(Metadata!H501,"not collected"),exact(Metadata!H501,"not provided"),exact(Metadata!H501,"restricted access"))),AND(IF(Metadata!H501="",FALSE,ISNUMBER(VALUE(Metadata!H501))),Metadata!H501&gt;0))</f>
        <v>0</v>
      </c>
      <c r="AI501">
        <f>AND(IF(Metadata!I501="",FALSE,TRUE),exact(Metadata!I501,"human"))</f>
        <v>0</v>
      </c>
      <c r="AJ501">
        <f>AND(IF(Metadata!J501="",FALSE,ISNUMBER(VALUE(Metadata!J501))),Metadata!J501&gt;0)</f>
        <v>0</v>
      </c>
      <c r="AK501">
        <f>AND(IF(Metadata!K501="",FALSE,TRUE),exact(Metadata!K501,"cm"))</f>
        <v>0</v>
      </c>
      <c r="AL501">
        <f>AND(IF(Metadata!L501="",FALSE,TRUE),exact(Metadata!L501,"Homo sapiens"))</f>
        <v>0</v>
      </c>
      <c r="AM501">
        <f>AND(IF(Metadata!M501="",FALSE,TRUE),exact(Metadata!M501,"9606"))</f>
        <v>0</v>
      </c>
      <c r="AN501">
        <f>AND(IF(Metadata!N501="",FALSE,ISNUMBER(VALUE(Metadata!N501))),Metadata!N501&gt;0)</f>
        <v>0</v>
      </c>
      <c r="AO501">
        <f>AND(IF(Metadata!O501="",FALSE,TRUE),exact(Metadata!O501,"kg"))</f>
        <v>0</v>
      </c>
      <c r="AP501">
        <f>OR(AND(IF(Metadata!P501="",FALSE,TRUE),exact(Metadata!P501,"not provided")),IF(Metadata!P501="",FALSE,TRUE))</f>
        <v>0</v>
      </c>
      <c r="AQ501">
        <f>OR(AND(IF(Metadata!Q501="",FALSE,TRUE),exact(Metadata!Q501,"not provided")),IF(Metadata!Q501="",FALSE,TRUE))</f>
        <v>0</v>
      </c>
    </row>
    <row r="502" spans="1:43">
      <c r="A502" s="4">
        <f>IF(B502=" "," ",HYPERLINK(CONCATENATE("#metadata!",ADDRESS(INDEX($W$2:$W$1001,MATCH(ROWS($U$2:U502),$U$2:$U$1001,0),0),2)),INDEX($Z$2:$Z$1001,MATCH(ROWS($U$2:U502),$U$2:$U$1001,0),0)))</f>
        <v>0</v>
      </c>
      <c r="B502" s="5">
        <f>IF(OR(INDEX($V$2:$V$1001,MATCH(ROWS($U$2:U502),$U$2:$U$1001,0),1)&gt;=100000,INDEX($AB$1005:$AQ$1005,1,MATCH(COLUMNS($AB$1006:AB1006),$AB$1006:$AQ$1006,0))&gt;=100000), " ",IF(INDEX($AB$2:$AQ$1001,MATCH(ROWS($U$2:U502),$U$2:$U$1001,0),MATCH(COLUMNS($AB$1006:AB1006),$AB$1006:$AQ$1006,0)), HYPERLINK("#",""), HYPERLINK(CONCATENATE("#Metadata!", ADDRESS(INDEX($W$2:$W$1001,MATCH(ROWS($U$2:U502),$U$2:$U$1001,0),0), INDEX($AB$1004:$AQ$1004,1,MATCH(COLUMNS($AB$1006:AB1006),$AB$1006:$AQ$1006,0)))),"Fix")))</f>
        <v>0</v>
      </c>
      <c r="C502" s="5">
        <f>IF(OR(INDEX($V$2:$V$1001,MATCH(ROWS($U$2:U502),$U$2:$U$1001,0),1)&gt;=100000,INDEX($AB$1005:$AQ$1005,1,MATCH(COLUMNS($AB$1006:AC1006),$AB$1006:$AQ$1006,0))&gt;=100000), " ",IF(INDEX($AB$2:$AQ$1001,MATCH(ROWS($U$2:U502),$U$2:$U$1001,0),MATCH(COLUMNS($AB$1006:AC1006),$AB$1006:$AQ$1006,0)), HYPERLINK("#",""), HYPERLINK(CONCATENATE("#Metadata!", ADDRESS(INDEX($W$2:$W$1001,MATCH(ROWS($U$2:U502),$U$2:$U$1001,0),0), INDEX($AB$1004:$AQ$1004,1,MATCH(COLUMNS($AB$1006:AC1006),$AB$1006:$AQ$1006,0)))),"Fix")))</f>
        <v>0</v>
      </c>
      <c r="D502" s="5">
        <f>IF(OR(INDEX($V$2:$V$1001,MATCH(ROWS($U$2:U502),$U$2:$U$1001,0),1)&gt;=100000,INDEX($AB$1005:$AQ$1005,1,MATCH(COLUMNS($AB$1006:AD1006),$AB$1006:$AQ$1006,0))&gt;=100000), " ",IF(INDEX($AB$2:$AQ$1001,MATCH(ROWS($U$2:U502),$U$2:$U$1001,0),MATCH(COLUMNS($AB$1006:AD1006),$AB$1006:$AQ$1006,0)), HYPERLINK("#",""), HYPERLINK(CONCATENATE("#Metadata!", ADDRESS(INDEX($W$2:$W$1001,MATCH(ROWS($U$2:U502),$U$2:$U$1001,0),0), INDEX($AB$1004:$AQ$1004,1,MATCH(COLUMNS($AB$1006:AD1006),$AB$1006:$AQ$1006,0)))),"Fix")))</f>
        <v>0</v>
      </c>
      <c r="E502" s="5">
        <f>IF(OR(INDEX($V$2:$V$1001,MATCH(ROWS($U$2:U502),$U$2:$U$1001,0),1)&gt;=100000,INDEX($AB$1005:$AQ$1005,1,MATCH(COLUMNS($AB$1006:AE1006),$AB$1006:$AQ$1006,0))&gt;=100000), " ",IF(INDEX($AB$2:$AQ$1001,MATCH(ROWS($U$2:U502),$U$2:$U$1001,0),MATCH(COLUMNS($AB$1006:AE1006),$AB$1006:$AQ$1006,0)), HYPERLINK("#",""), HYPERLINK(CONCATENATE("#Metadata!", ADDRESS(INDEX($W$2:$W$1001,MATCH(ROWS($U$2:U502),$U$2:$U$1001,0),0), INDEX($AB$1004:$AQ$1004,1,MATCH(COLUMNS($AB$1006:AE1006),$AB$1006:$AQ$1006,0)))),"Fix")))</f>
        <v>0</v>
      </c>
      <c r="F502" s="5">
        <f>IF(OR(INDEX($V$2:$V$1001,MATCH(ROWS($U$2:U502),$U$2:$U$1001,0),1)&gt;=100000,INDEX($AB$1005:$AQ$1005,1,MATCH(COLUMNS($AB$1006:AF1006),$AB$1006:$AQ$1006,0))&gt;=100000), " ",IF(INDEX($AB$2:$AQ$1001,MATCH(ROWS($U$2:U502),$U$2:$U$1001,0),MATCH(COLUMNS($AB$1006:AF1006),$AB$1006:$AQ$1006,0)), HYPERLINK("#",""), HYPERLINK(CONCATENATE("#Metadata!", ADDRESS(INDEX($W$2:$W$1001,MATCH(ROWS($U$2:U502),$U$2:$U$1001,0),0), INDEX($AB$1004:$AQ$1004,1,MATCH(COLUMNS($AB$1006:AF1006),$AB$1006:$AQ$1006,0)))),"Fix")))</f>
        <v>0</v>
      </c>
      <c r="G502" s="5">
        <f>IF(OR(INDEX($V$2:$V$1001,MATCH(ROWS($U$2:U502),$U$2:$U$1001,0),1)&gt;=100000,INDEX($AB$1005:$AQ$1005,1,MATCH(COLUMNS($AB$1006:AG1006),$AB$1006:$AQ$1006,0))&gt;=100000), " ",IF(INDEX($AB$2:$AQ$1001,MATCH(ROWS($U$2:U502),$U$2:$U$1001,0),MATCH(COLUMNS($AB$1006:AG1006),$AB$1006:$AQ$1006,0)), HYPERLINK("#",""), HYPERLINK(CONCATENATE("#Metadata!", ADDRESS(INDEX($W$2:$W$1001,MATCH(ROWS($U$2:U502),$U$2:$U$1001,0),0), INDEX($AB$1004:$AQ$1004,1,MATCH(COLUMNS($AB$1006:AG1006),$AB$1006:$AQ$1006,0)))),"Fix")))</f>
        <v>0</v>
      </c>
      <c r="H502" s="5">
        <f>IF(OR(INDEX($V$2:$V$1001,MATCH(ROWS($U$2:U502),$U$2:$U$1001,0),1)&gt;=100000,INDEX($AB$1005:$AQ$1005,1,MATCH(COLUMNS($AB$1006:AH1006),$AB$1006:$AQ$1006,0))&gt;=100000), " ",IF(INDEX($AB$2:$AQ$1001,MATCH(ROWS($U$2:U502),$U$2:$U$1001,0),MATCH(COLUMNS($AB$1006:AH1006),$AB$1006:$AQ$1006,0)), HYPERLINK("#",""), HYPERLINK(CONCATENATE("#Metadata!", ADDRESS(INDEX($W$2:$W$1001,MATCH(ROWS($U$2:U502),$U$2:$U$1001,0),0), INDEX($AB$1004:$AQ$1004,1,MATCH(COLUMNS($AB$1006:AH1006),$AB$1006:$AQ$1006,0)))),"Fix")))</f>
        <v>0</v>
      </c>
      <c r="I502" s="5">
        <f>IF(OR(INDEX($V$2:$V$1001,MATCH(ROWS($U$2:U502),$U$2:$U$1001,0),1)&gt;=100000,INDEX($AB$1005:$AQ$1005,1,MATCH(COLUMNS($AB$1006:AI1006),$AB$1006:$AQ$1006,0))&gt;=100000), " ",IF(INDEX($AB$2:$AQ$1001,MATCH(ROWS($U$2:U502),$U$2:$U$1001,0),MATCH(COLUMNS($AB$1006:AI1006),$AB$1006:$AQ$1006,0)), HYPERLINK("#",""), HYPERLINK(CONCATENATE("#Metadata!", ADDRESS(INDEX($W$2:$W$1001,MATCH(ROWS($U$2:U502),$U$2:$U$1001,0),0), INDEX($AB$1004:$AQ$1004,1,MATCH(COLUMNS($AB$1006:AI1006),$AB$1006:$AQ$1006,0)))),"Fix")))</f>
        <v>0</v>
      </c>
      <c r="J502" s="5">
        <f>IF(OR(INDEX($V$2:$V$1001,MATCH(ROWS($U$2:U502),$U$2:$U$1001,0),1)&gt;=100000,INDEX($AB$1005:$AQ$1005,1,MATCH(COLUMNS($AB$1006:AJ1006),$AB$1006:$AQ$1006,0))&gt;=100000), " ",IF(INDEX($AB$2:$AQ$1001,MATCH(ROWS($U$2:U502),$U$2:$U$1001,0),MATCH(COLUMNS($AB$1006:AJ1006),$AB$1006:$AQ$1006,0)), HYPERLINK("#",""), HYPERLINK(CONCATENATE("#Metadata!", ADDRESS(INDEX($W$2:$W$1001,MATCH(ROWS($U$2:U502),$U$2:$U$1001,0),0), INDEX($AB$1004:$AQ$1004,1,MATCH(COLUMNS($AB$1006:AJ1006),$AB$1006:$AQ$1006,0)))),"Fix")))</f>
        <v>0</v>
      </c>
      <c r="K502" s="5">
        <f>IF(OR(INDEX($V$2:$V$1001,MATCH(ROWS($U$2:U502),$U$2:$U$1001,0),1)&gt;=100000,INDEX($AB$1005:$AQ$1005,1,MATCH(COLUMNS($AB$1006:AK1006),$AB$1006:$AQ$1006,0))&gt;=100000), " ",IF(INDEX($AB$2:$AQ$1001,MATCH(ROWS($U$2:U502),$U$2:$U$1001,0),MATCH(COLUMNS($AB$1006:AK1006),$AB$1006:$AQ$1006,0)), HYPERLINK("#",""), HYPERLINK(CONCATENATE("#Metadata!", ADDRESS(INDEX($W$2:$W$1001,MATCH(ROWS($U$2:U502),$U$2:$U$1001,0),0), INDEX($AB$1004:$AQ$1004,1,MATCH(COLUMNS($AB$1006:AK1006),$AB$1006:$AQ$1006,0)))),"Fix")))</f>
        <v>0</v>
      </c>
      <c r="L502" s="5">
        <f>IF(OR(INDEX($V$2:$V$1001,MATCH(ROWS($U$2:U502),$U$2:$U$1001,0),1)&gt;=100000,INDEX($AB$1005:$AQ$1005,1,MATCH(COLUMNS($AB$1006:AL1006),$AB$1006:$AQ$1006,0))&gt;=100000), " ",IF(INDEX($AB$2:$AQ$1001,MATCH(ROWS($U$2:U502),$U$2:$U$1001,0),MATCH(COLUMNS($AB$1006:AL1006),$AB$1006:$AQ$1006,0)), HYPERLINK("#",""), HYPERLINK(CONCATENATE("#Metadata!", ADDRESS(INDEX($W$2:$W$1001,MATCH(ROWS($U$2:U502),$U$2:$U$1001,0),0), INDEX($AB$1004:$AQ$1004,1,MATCH(COLUMNS($AB$1006:AL1006),$AB$1006:$AQ$1006,0)))),"Fix")))</f>
        <v>0</v>
      </c>
      <c r="M502" s="5">
        <f>IF(OR(INDEX($V$2:$V$1001,MATCH(ROWS($U$2:U502),$U$2:$U$1001,0),1)&gt;=100000,INDEX($AB$1005:$AQ$1005,1,MATCH(COLUMNS($AB$1006:AM1006),$AB$1006:$AQ$1006,0))&gt;=100000), " ",IF(INDEX($AB$2:$AQ$1001,MATCH(ROWS($U$2:U502),$U$2:$U$1001,0),MATCH(COLUMNS($AB$1006:AM1006),$AB$1006:$AQ$1006,0)), HYPERLINK("#",""), HYPERLINK(CONCATENATE("#Metadata!", ADDRESS(INDEX($W$2:$W$1001,MATCH(ROWS($U$2:U502),$U$2:$U$1001,0),0), INDEX($AB$1004:$AQ$1004,1,MATCH(COLUMNS($AB$1006:AM1006),$AB$1006:$AQ$1006,0)))),"Fix")))</f>
        <v>0</v>
      </c>
      <c r="N502" s="5">
        <f>IF(OR(INDEX($V$2:$V$1001,MATCH(ROWS($U$2:U502),$U$2:$U$1001,0),1)&gt;=100000,INDEX($AB$1005:$AQ$1005,1,MATCH(COLUMNS($AB$1006:AN1006),$AB$1006:$AQ$1006,0))&gt;=100000), " ",IF(INDEX($AB$2:$AQ$1001,MATCH(ROWS($U$2:U502),$U$2:$U$1001,0),MATCH(COLUMNS($AB$1006:AN1006),$AB$1006:$AQ$1006,0)), HYPERLINK("#",""), HYPERLINK(CONCATENATE("#Metadata!", ADDRESS(INDEX($W$2:$W$1001,MATCH(ROWS($U$2:U502),$U$2:$U$1001,0),0), INDEX($AB$1004:$AQ$1004,1,MATCH(COLUMNS($AB$1006:AN1006),$AB$1006:$AQ$1006,0)))),"Fix")))</f>
        <v>0</v>
      </c>
      <c r="O502" s="5">
        <f>IF(OR(INDEX($V$2:$V$1001,MATCH(ROWS($U$2:U502),$U$2:$U$1001,0),1)&gt;=100000,INDEX($AB$1005:$AQ$1005,1,MATCH(COLUMNS($AB$1006:AO1006),$AB$1006:$AQ$1006,0))&gt;=100000), " ",IF(INDEX($AB$2:$AQ$1001,MATCH(ROWS($U$2:U502),$U$2:$U$1001,0),MATCH(COLUMNS($AB$1006:AO1006),$AB$1006:$AQ$1006,0)), HYPERLINK("#",""), HYPERLINK(CONCATENATE("#Metadata!", ADDRESS(INDEX($W$2:$W$1001,MATCH(ROWS($U$2:U502),$U$2:$U$1001,0),0), INDEX($AB$1004:$AQ$1004,1,MATCH(COLUMNS($AB$1006:AO1006),$AB$1006:$AQ$1006,0)))),"Fix")))</f>
        <v>0</v>
      </c>
      <c r="P502" s="5">
        <f>IF(OR(INDEX($V$2:$V$1001,MATCH(ROWS($U$2:U502),$U$2:$U$1001,0),1)&gt;=100000,INDEX($AB$1005:$AQ$1005,1,MATCH(COLUMNS($AB$1006:AP1006),$AB$1006:$AQ$1006,0))&gt;=100000), " ",IF(INDEX($AB$2:$AQ$1001,MATCH(ROWS($U$2:U502),$U$2:$U$1001,0),MATCH(COLUMNS($AB$1006:AP1006),$AB$1006:$AQ$1006,0)), HYPERLINK("#",""), HYPERLINK(CONCATENATE("#Metadata!", ADDRESS(INDEX($W$2:$W$1001,MATCH(ROWS($U$2:U502),$U$2:$U$1001,0),0), INDEX($AB$1004:$AQ$1004,1,MATCH(COLUMNS($AB$1006:AP1006),$AB$1006:$AQ$1006,0)))),"Fix")))</f>
        <v>0</v>
      </c>
      <c r="Q502" s="5">
        <f>IF(OR(INDEX($V$2:$V$1001,MATCH(ROWS($U$2:U502),$U$2:$U$1001,0),1)&gt;=100000,INDEX($AB$1005:$AQ$1005,1,MATCH(COLUMNS($AB$1006:AQ1006),$AB$1006:$AQ$1006,0))&gt;=100000), " ",IF(INDEX($AB$2:$AQ$1001,MATCH(ROWS($U$2:U502),$U$2:$U$1001,0),MATCH(COLUMNS($AB$1006:AQ1006),$AB$1006:$AQ$1006,0)), HYPERLINK("#",""), HYPERLINK(CONCATENATE("#Metadata!", ADDRESS(INDEX($W$2:$W$1001,MATCH(ROWS($U$2:U502),$U$2:$U$1001,0),0), INDEX($AB$1004:$AQ$1004,1,MATCH(COLUMNS($AB$1006:AQ1006),$AB$1006:$AQ$1006,0)))),"Fix")))</f>
        <v>0</v>
      </c>
      <c r="U502">
        <v>0</v>
      </c>
      <c r="V502">
        <v>0</v>
      </c>
      <c r="W502">
        <v>0</v>
      </c>
      <c r="X502">
        <f>IF(Y502,TRUE,AND(AB502:AQ502))</f>
        <v>0</v>
      </c>
      <c r="Y502">
        <f>COUNTBLANK(Metadata!B502:Q502)=COLUMNS(Metadata!B502:Q502)</f>
        <v>0</v>
      </c>
      <c r="Z502">
        <v>0</v>
      </c>
      <c r="AB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AC502">
        <f>AND(IF(Metadata!C502="",FALSE,TRUE),exact(Metadata!C502,"urban biome"))</f>
        <v>0</v>
      </c>
      <c r="AD502">
        <f>AND(IF(Metadata!D502="",FALSE,TRUE),exact(Metadata!D502,"human-associated habitat"))</f>
        <v>0</v>
      </c>
      <c r="AE502">
        <f>AND(IF(Metadata!E502="",FALSE,TRUE),OR(exact(Metadata!E502,"human-associated"),exact(Metadata!E502,"human-skin"),exact(Metadata!E502,"human-oral"),exact(Metadata!E502,"human-gut"),exact(Metadata!E502,"human-vaginal")))</f>
        <v>0</v>
      </c>
      <c r="AF502">
        <f>AND(IF(Metadata!F502="",FALSE,ISNUMBER(VALUE(Metadata!F502))),Metadata!F502&gt;0)</f>
        <v>0</v>
      </c>
      <c r="AG502">
        <f>AND(IF(Metadata!G502="",FALSE,TRUE),exact(Metadata!G502,"years"))</f>
        <v>0</v>
      </c>
      <c r="AH502">
        <f>OR(AND(IF(Metadata!H502="",FALSE,TRUE),OR(exact(Metadata!H502,"not applicable"),exact(Metadata!H502,"not collected"),exact(Metadata!H502,"not provided"),exact(Metadata!H502,"restricted access"))),AND(IF(Metadata!H502="",FALSE,ISNUMBER(VALUE(Metadata!H502))),Metadata!H502&gt;0))</f>
        <v>0</v>
      </c>
      <c r="AI502">
        <f>AND(IF(Metadata!I502="",FALSE,TRUE),exact(Metadata!I502,"human"))</f>
        <v>0</v>
      </c>
      <c r="AJ502">
        <f>AND(IF(Metadata!J502="",FALSE,ISNUMBER(VALUE(Metadata!J502))),Metadata!J502&gt;0)</f>
        <v>0</v>
      </c>
      <c r="AK502">
        <f>AND(IF(Metadata!K502="",FALSE,TRUE),exact(Metadata!K502,"cm"))</f>
        <v>0</v>
      </c>
      <c r="AL502">
        <f>AND(IF(Metadata!L502="",FALSE,TRUE),exact(Metadata!L502,"Homo sapiens"))</f>
        <v>0</v>
      </c>
      <c r="AM502">
        <f>AND(IF(Metadata!M502="",FALSE,TRUE),exact(Metadata!M502,"9606"))</f>
        <v>0</v>
      </c>
      <c r="AN502">
        <f>AND(IF(Metadata!N502="",FALSE,ISNUMBER(VALUE(Metadata!N502))),Metadata!N502&gt;0)</f>
        <v>0</v>
      </c>
      <c r="AO502">
        <f>AND(IF(Metadata!O502="",FALSE,TRUE),exact(Metadata!O502,"kg"))</f>
        <v>0</v>
      </c>
      <c r="AP502">
        <f>OR(AND(IF(Metadata!P502="",FALSE,TRUE),exact(Metadata!P502,"not provided")),IF(Metadata!P502="",FALSE,TRUE))</f>
        <v>0</v>
      </c>
      <c r="AQ502">
        <f>OR(AND(IF(Metadata!Q502="",FALSE,TRUE),exact(Metadata!Q502,"not provided")),IF(Metadata!Q502="",FALSE,TRUE))</f>
        <v>0</v>
      </c>
    </row>
    <row r="503" spans="1:43">
      <c r="A503" s="4">
        <f>IF(B503=" "," ",HYPERLINK(CONCATENATE("#metadata!",ADDRESS(INDEX($W$2:$W$1001,MATCH(ROWS($U$2:U503),$U$2:$U$1001,0),0),2)),INDEX($Z$2:$Z$1001,MATCH(ROWS($U$2:U503),$U$2:$U$1001,0),0)))</f>
        <v>0</v>
      </c>
      <c r="B503" s="5">
        <f>IF(OR(INDEX($V$2:$V$1001,MATCH(ROWS($U$2:U503),$U$2:$U$1001,0),1)&gt;=100000,INDEX($AB$1005:$AQ$1005,1,MATCH(COLUMNS($AB$1006:AB1006),$AB$1006:$AQ$1006,0))&gt;=100000), " ",IF(INDEX($AB$2:$AQ$1001,MATCH(ROWS($U$2:U503),$U$2:$U$1001,0),MATCH(COLUMNS($AB$1006:AB1006),$AB$1006:$AQ$1006,0)), HYPERLINK("#",""), HYPERLINK(CONCATENATE("#Metadata!", ADDRESS(INDEX($W$2:$W$1001,MATCH(ROWS($U$2:U503),$U$2:$U$1001,0),0), INDEX($AB$1004:$AQ$1004,1,MATCH(COLUMNS($AB$1006:AB1006),$AB$1006:$AQ$1006,0)))),"Fix")))</f>
        <v>0</v>
      </c>
      <c r="C503" s="5">
        <f>IF(OR(INDEX($V$2:$V$1001,MATCH(ROWS($U$2:U503),$U$2:$U$1001,0),1)&gt;=100000,INDEX($AB$1005:$AQ$1005,1,MATCH(COLUMNS($AB$1006:AC1006),$AB$1006:$AQ$1006,0))&gt;=100000), " ",IF(INDEX($AB$2:$AQ$1001,MATCH(ROWS($U$2:U503),$U$2:$U$1001,0),MATCH(COLUMNS($AB$1006:AC1006),$AB$1006:$AQ$1006,0)), HYPERLINK("#",""), HYPERLINK(CONCATENATE("#Metadata!", ADDRESS(INDEX($W$2:$W$1001,MATCH(ROWS($U$2:U503),$U$2:$U$1001,0),0), INDEX($AB$1004:$AQ$1004,1,MATCH(COLUMNS($AB$1006:AC1006),$AB$1006:$AQ$1006,0)))),"Fix")))</f>
        <v>0</v>
      </c>
      <c r="D503" s="5">
        <f>IF(OR(INDEX($V$2:$V$1001,MATCH(ROWS($U$2:U503),$U$2:$U$1001,0),1)&gt;=100000,INDEX($AB$1005:$AQ$1005,1,MATCH(COLUMNS($AB$1006:AD1006),$AB$1006:$AQ$1006,0))&gt;=100000), " ",IF(INDEX($AB$2:$AQ$1001,MATCH(ROWS($U$2:U503),$U$2:$U$1001,0),MATCH(COLUMNS($AB$1006:AD1006),$AB$1006:$AQ$1006,0)), HYPERLINK("#",""), HYPERLINK(CONCATENATE("#Metadata!", ADDRESS(INDEX($W$2:$W$1001,MATCH(ROWS($U$2:U503),$U$2:$U$1001,0),0), INDEX($AB$1004:$AQ$1004,1,MATCH(COLUMNS($AB$1006:AD1006),$AB$1006:$AQ$1006,0)))),"Fix")))</f>
        <v>0</v>
      </c>
      <c r="E503" s="5">
        <f>IF(OR(INDEX($V$2:$V$1001,MATCH(ROWS($U$2:U503),$U$2:$U$1001,0),1)&gt;=100000,INDEX($AB$1005:$AQ$1005,1,MATCH(COLUMNS($AB$1006:AE1006),$AB$1006:$AQ$1006,0))&gt;=100000), " ",IF(INDEX($AB$2:$AQ$1001,MATCH(ROWS($U$2:U503),$U$2:$U$1001,0),MATCH(COLUMNS($AB$1006:AE1006),$AB$1006:$AQ$1006,0)), HYPERLINK("#",""), HYPERLINK(CONCATENATE("#Metadata!", ADDRESS(INDEX($W$2:$W$1001,MATCH(ROWS($U$2:U503),$U$2:$U$1001,0),0), INDEX($AB$1004:$AQ$1004,1,MATCH(COLUMNS($AB$1006:AE1006),$AB$1006:$AQ$1006,0)))),"Fix")))</f>
        <v>0</v>
      </c>
      <c r="F503" s="5">
        <f>IF(OR(INDEX($V$2:$V$1001,MATCH(ROWS($U$2:U503),$U$2:$U$1001,0),1)&gt;=100000,INDEX($AB$1005:$AQ$1005,1,MATCH(COLUMNS($AB$1006:AF1006),$AB$1006:$AQ$1006,0))&gt;=100000), " ",IF(INDEX($AB$2:$AQ$1001,MATCH(ROWS($U$2:U503),$U$2:$U$1001,0),MATCH(COLUMNS($AB$1006:AF1006),$AB$1006:$AQ$1006,0)), HYPERLINK("#",""), HYPERLINK(CONCATENATE("#Metadata!", ADDRESS(INDEX($W$2:$W$1001,MATCH(ROWS($U$2:U503),$U$2:$U$1001,0),0), INDEX($AB$1004:$AQ$1004,1,MATCH(COLUMNS($AB$1006:AF1006),$AB$1006:$AQ$1006,0)))),"Fix")))</f>
        <v>0</v>
      </c>
      <c r="G503" s="5">
        <f>IF(OR(INDEX($V$2:$V$1001,MATCH(ROWS($U$2:U503),$U$2:$U$1001,0),1)&gt;=100000,INDEX($AB$1005:$AQ$1005,1,MATCH(COLUMNS($AB$1006:AG1006),$AB$1006:$AQ$1006,0))&gt;=100000), " ",IF(INDEX($AB$2:$AQ$1001,MATCH(ROWS($U$2:U503),$U$2:$U$1001,0),MATCH(COLUMNS($AB$1006:AG1006),$AB$1006:$AQ$1006,0)), HYPERLINK("#",""), HYPERLINK(CONCATENATE("#Metadata!", ADDRESS(INDEX($W$2:$W$1001,MATCH(ROWS($U$2:U503),$U$2:$U$1001,0),0), INDEX($AB$1004:$AQ$1004,1,MATCH(COLUMNS($AB$1006:AG1006),$AB$1006:$AQ$1006,0)))),"Fix")))</f>
        <v>0</v>
      </c>
      <c r="H503" s="5">
        <f>IF(OR(INDEX($V$2:$V$1001,MATCH(ROWS($U$2:U503),$U$2:$U$1001,0),1)&gt;=100000,INDEX($AB$1005:$AQ$1005,1,MATCH(COLUMNS($AB$1006:AH1006),$AB$1006:$AQ$1006,0))&gt;=100000), " ",IF(INDEX($AB$2:$AQ$1001,MATCH(ROWS($U$2:U503),$U$2:$U$1001,0),MATCH(COLUMNS($AB$1006:AH1006),$AB$1006:$AQ$1006,0)), HYPERLINK("#",""), HYPERLINK(CONCATENATE("#Metadata!", ADDRESS(INDEX($W$2:$W$1001,MATCH(ROWS($U$2:U503),$U$2:$U$1001,0),0), INDEX($AB$1004:$AQ$1004,1,MATCH(COLUMNS($AB$1006:AH1006),$AB$1006:$AQ$1006,0)))),"Fix")))</f>
        <v>0</v>
      </c>
      <c r="I503" s="5">
        <f>IF(OR(INDEX($V$2:$V$1001,MATCH(ROWS($U$2:U503),$U$2:$U$1001,0),1)&gt;=100000,INDEX($AB$1005:$AQ$1005,1,MATCH(COLUMNS($AB$1006:AI1006),$AB$1006:$AQ$1006,0))&gt;=100000), " ",IF(INDEX($AB$2:$AQ$1001,MATCH(ROWS($U$2:U503),$U$2:$U$1001,0),MATCH(COLUMNS($AB$1006:AI1006),$AB$1006:$AQ$1006,0)), HYPERLINK("#",""), HYPERLINK(CONCATENATE("#Metadata!", ADDRESS(INDEX($W$2:$W$1001,MATCH(ROWS($U$2:U503),$U$2:$U$1001,0),0), INDEX($AB$1004:$AQ$1004,1,MATCH(COLUMNS($AB$1006:AI1006),$AB$1006:$AQ$1006,0)))),"Fix")))</f>
        <v>0</v>
      </c>
      <c r="J503" s="5">
        <f>IF(OR(INDEX($V$2:$V$1001,MATCH(ROWS($U$2:U503),$U$2:$U$1001,0),1)&gt;=100000,INDEX($AB$1005:$AQ$1005,1,MATCH(COLUMNS($AB$1006:AJ1006),$AB$1006:$AQ$1006,0))&gt;=100000), " ",IF(INDEX($AB$2:$AQ$1001,MATCH(ROWS($U$2:U503),$U$2:$U$1001,0),MATCH(COLUMNS($AB$1006:AJ1006),$AB$1006:$AQ$1006,0)), HYPERLINK("#",""), HYPERLINK(CONCATENATE("#Metadata!", ADDRESS(INDEX($W$2:$W$1001,MATCH(ROWS($U$2:U503),$U$2:$U$1001,0),0), INDEX($AB$1004:$AQ$1004,1,MATCH(COLUMNS($AB$1006:AJ1006),$AB$1006:$AQ$1006,0)))),"Fix")))</f>
        <v>0</v>
      </c>
      <c r="K503" s="5">
        <f>IF(OR(INDEX($V$2:$V$1001,MATCH(ROWS($U$2:U503),$U$2:$U$1001,0),1)&gt;=100000,INDEX($AB$1005:$AQ$1005,1,MATCH(COLUMNS($AB$1006:AK1006),$AB$1006:$AQ$1006,0))&gt;=100000), " ",IF(INDEX($AB$2:$AQ$1001,MATCH(ROWS($U$2:U503),$U$2:$U$1001,0),MATCH(COLUMNS($AB$1006:AK1006),$AB$1006:$AQ$1006,0)), HYPERLINK("#",""), HYPERLINK(CONCATENATE("#Metadata!", ADDRESS(INDEX($W$2:$W$1001,MATCH(ROWS($U$2:U503),$U$2:$U$1001,0),0), INDEX($AB$1004:$AQ$1004,1,MATCH(COLUMNS($AB$1006:AK1006),$AB$1006:$AQ$1006,0)))),"Fix")))</f>
        <v>0</v>
      </c>
      <c r="L503" s="5">
        <f>IF(OR(INDEX($V$2:$V$1001,MATCH(ROWS($U$2:U503),$U$2:$U$1001,0),1)&gt;=100000,INDEX($AB$1005:$AQ$1005,1,MATCH(COLUMNS($AB$1006:AL1006),$AB$1006:$AQ$1006,0))&gt;=100000), " ",IF(INDEX($AB$2:$AQ$1001,MATCH(ROWS($U$2:U503),$U$2:$U$1001,0),MATCH(COLUMNS($AB$1006:AL1006),$AB$1006:$AQ$1006,0)), HYPERLINK("#",""), HYPERLINK(CONCATENATE("#Metadata!", ADDRESS(INDEX($W$2:$W$1001,MATCH(ROWS($U$2:U503),$U$2:$U$1001,0),0), INDEX($AB$1004:$AQ$1004,1,MATCH(COLUMNS($AB$1006:AL1006),$AB$1006:$AQ$1006,0)))),"Fix")))</f>
        <v>0</v>
      </c>
      <c r="M503" s="5">
        <f>IF(OR(INDEX($V$2:$V$1001,MATCH(ROWS($U$2:U503),$U$2:$U$1001,0),1)&gt;=100000,INDEX($AB$1005:$AQ$1005,1,MATCH(COLUMNS($AB$1006:AM1006),$AB$1006:$AQ$1006,0))&gt;=100000), " ",IF(INDEX($AB$2:$AQ$1001,MATCH(ROWS($U$2:U503),$U$2:$U$1001,0),MATCH(COLUMNS($AB$1006:AM1006),$AB$1006:$AQ$1006,0)), HYPERLINK("#",""), HYPERLINK(CONCATENATE("#Metadata!", ADDRESS(INDEX($W$2:$W$1001,MATCH(ROWS($U$2:U503),$U$2:$U$1001,0),0), INDEX($AB$1004:$AQ$1004,1,MATCH(COLUMNS($AB$1006:AM1006),$AB$1006:$AQ$1006,0)))),"Fix")))</f>
        <v>0</v>
      </c>
      <c r="N503" s="5">
        <f>IF(OR(INDEX($V$2:$V$1001,MATCH(ROWS($U$2:U503),$U$2:$U$1001,0),1)&gt;=100000,INDEX($AB$1005:$AQ$1005,1,MATCH(COLUMNS($AB$1006:AN1006),$AB$1006:$AQ$1006,0))&gt;=100000), " ",IF(INDEX($AB$2:$AQ$1001,MATCH(ROWS($U$2:U503),$U$2:$U$1001,0),MATCH(COLUMNS($AB$1006:AN1006),$AB$1006:$AQ$1006,0)), HYPERLINK("#",""), HYPERLINK(CONCATENATE("#Metadata!", ADDRESS(INDEX($W$2:$W$1001,MATCH(ROWS($U$2:U503),$U$2:$U$1001,0),0), INDEX($AB$1004:$AQ$1004,1,MATCH(COLUMNS($AB$1006:AN1006),$AB$1006:$AQ$1006,0)))),"Fix")))</f>
        <v>0</v>
      </c>
      <c r="O503" s="5">
        <f>IF(OR(INDEX($V$2:$V$1001,MATCH(ROWS($U$2:U503),$U$2:$U$1001,0),1)&gt;=100000,INDEX($AB$1005:$AQ$1005,1,MATCH(COLUMNS($AB$1006:AO1006),$AB$1006:$AQ$1006,0))&gt;=100000), " ",IF(INDEX($AB$2:$AQ$1001,MATCH(ROWS($U$2:U503),$U$2:$U$1001,0),MATCH(COLUMNS($AB$1006:AO1006),$AB$1006:$AQ$1006,0)), HYPERLINK("#",""), HYPERLINK(CONCATENATE("#Metadata!", ADDRESS(INDEX($W$2:$W$1001,MATCH(ROWS($U$2:U503),$U$2:$U$1001,0),0), INDEX($AB$1004:$AQ$1004,1,MATCH(COLUMNS($AB$1006:AO1006),$AB$1006:$AQ$1006,0)))),"Fix")))</f>
        <v>0</v>
      </c>
      <c r="P503" s="5">
        <f>IF(OR(INDEX($V$2:$V$1001,MATCH(ROWS($U$2:U503),$U$2:$U$1001,0),1)&gt;=100000,INDEX($AB$1005:$AQ$1005,1,MATCH(COLUMNS($AB$1006:AP1006),$AB$1006:$AQ$1006,0))&gt;=100000), " ",IF(INDEX($AB$2:$AQ$1001,MATCH(ROWS($U$2:U503),$U$2:$U$1001,0),MATCH(COLUMNS($AB$1006:AP1006),$AB$1006:$AQ$1006,0)), HYPERLINK("#",""), HYPERLINK(CONCATENATE("#Metadata!", ADDRESS(INDEX($W$2:$W$1001,MATCH(ROWS($U$2:U503),$U$2:$U$1001,0),0), INDEX($AB$1004:$AQ$1004,1,MATCH(COLUMNS($AB$1006:AP1006),$AB$1006:$AQ$1006,0)))),"Fix")))</f>
        <v>0</v>
      </c>
      <c r="Q503" s="5">
        <f>IF(OR(INDEX($V$2:$V$1001,MATCH(ROWS($U$2:U503),$U$2:$U$1001,0),1)&gt;=100000,INDEX($AB$1005:$AQ$1005,1,MATCH(COLUMNS($AB$1006:AQ1006),$AB$1006:$AQ$1006,0))&gt;=100000), " ",IF(INDEX($AB$2:$AQ$1001,MATCH(ROWS($U$2:U503),$U$2:$U$1001,0),MATCH(COLUMNS($AB$1006:AQ1006),$AB$1006:$AQ$1006,0)), HYPERLINK("#",""), HYPERLINK(CONCATENATE("#Metadata!", ADDRESS(INDEX($W$2:$W$1001,MATCH(ROWS($U$2:U503),$U$2:$U$1001,0),0), INDEX($AB$1004:$AQ$1004,1,MATCH(COLUMNS($AB$1006:AQ1006),$AB$1006:$AQ$1006,0)))),"Fix")))</f>
        <v>0</v>
      </c>
      <c r="U503">
        <v>0</v>
      </c>
      <c r="V503">
        <v>0</v>
      </c>
      <c r="W503">
        <v>0</v>
      </c>
      <c r="X503">
        <f>IF(Y503,TRUE,AND(AB503:AQ503))</f>
        <v>0</v>
      </c>
      <c r="Y503">
        <f>COUNTBLANK(Metadata!B503:Q503)=COLUMNS(Metadata!B503:Q503)</f>
        <v>0</v>
      </c>
      <c r="Z503">
        <v>0</v>
      </c>
      <c r="AB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AC503">
        <f>AND(IF(Metadata!C503="",FALSE,TRUE),exact(Metadata!C503,"urban biome"))</f>
        <v>0</v>
      </c>
      <c r="AD503">
        <f>AND(IF(Metadata!D503="",FALSE,TRUE),exact(Metadata!D503,"human-associated habitat"))</f>
        <v>0</v>
      </c>
      <c r="AE503">
        <f>AND(IF(Metadata!E503="",FALSE,TRUE),OR(exact(Metadata!E503,"human-associated"),exact(Metadata!E503,"human-skin"),exact(Metadata!E503,"human-oral"),exact(Metadata!E503,"human-gut"),exact(Metadata!E503,"human-vaginal")))</f>
        <v>0</v>
      </c>
      <c r="AF503">
        <f>AND(IF(Metadata!F503="",FALSE,ISNUMBER(VALUE(Metadata!F503))),Metadata!F503&gt;0)</f>
        <v>0</v>
      </c>
      <c r="AG503">
        <f>AND(IF(Metadata!G503="",FALSE,TRUE),exact(Metadata!G503,"years"))</f>
        <v>0</v>
      </c>
      <c r="AH503">
        <f>OR(AND(IF(Metadata!H503="",FALSE,TRUE),OR(exact(Metadata!H503,"not applicable"),exact(Metadata!H503,"not collected"),exact(Metadata!H503,"not provided"),exact(Metadata!H503,"restricted access"))),AND(IF(Metadata!H503="",FALSE,ISNUMBER(VALUE(Metadata!H503))),Metadata!H503&gt;0))</f>
        <v>0</v>
      </c>
      <c r="AI503">
        <f>AND(IF(Metadata!I503="",FALSE,TRUE),exact(Metadata!I503,"human"))</f>
        <v>0</v>
      </c>
      <c r="AJ503">
        <f>AND(IF(Metadata!J503="",FALSE,ISNUMBER(VALUE(Metadata!J503))),Metadata!J503&gt;0)</f>
        <v>0</v>
      </c>
      <c r="AK503">
        <f>AND(IF(Metadata!K503="",FALSE,TRUE),exact(Metadata!K503,"cm"))</f>
        <v>0</v>
      </c>
      <c r="AL503">
        <f>AND(IF(Metadata!L503="",FALSE,TRUE),exact(Metadata!L503,"Homo sapiens"))</f>
        <v>0</v>
      </c>
      <c r="AM503">
        <f>AND(IF(Metadata!M503="",FALSE,TRUE),exact(Metadata!M503,"9606"))</f>
        <v>0</v>
      </c>
      <c r="AN503">
        <f>AND(IF(Metadata!N503="",FALSE,ISNUMBER(VALUE(Metadata!N503))),Metadata!N503&gt;0)</f>
        <v>0</v>
      </c>
      <c r="AO503">
        <f>AND(IF(Metadata!O503="",FALSE,TRUE),exact(Metadata!O503,"kg"))</f>
        <v>0</v>
      </c>
      <c r="AP503">
        <f>OR(AND(IF(Metadata!P503="",FALSE,TRUE),exact(Metadata!P503,"not provided")),IF(Metadata!P503="",FALSE,TRUE))</f>
        <v>0</v>
      </c>
      <c r="AQ503">
        <f>OR(AND(IF(Metadata!Q503="",FALSE,TRUE),exact(Metadata!Q503,"not provided")),IF(Metadata!Q503="",FALSE,TRUE))</f>
        <v>0</v>
      </c>
    </row>
    <row r="504" spans="1:43">
      <c r="A504" s="4">
        <f>IF(B504=" "," ",HYPERLINK(CONCATENATE("#metadata!",ADDRESS(INDEX($W$2:$W$1001,MATCH(ROWS($U$2:U504),$U$2:$U$1001,0),0),2)),INDEX($Z$2:$Z$1001,MATCH(ROWS($U$2:U504),$U$2:$U$1001,0),0)))</f>
        <v>0</v>
      </c>
      <c r="B504" s="5">
        <f>IF(OR(INDEX($V$2:$V$1001,MATCH(ROWS($U$2:U504),$U$2:$U$1001,0),1)&gt;=100000,INDEX($AB$1005:$AQ$1005,1,MATCH(COLUMNS($AB$1006:AB1006),$AB$1006:$AQ$1006,0))&gt;=100000), " ",IF(INDEX($AB$2:$AQ$1001,MATCH(ROWS($U$2:U504),$U$2:$U$1001,0),MATCH(COLUMNS($AB$1006:AB1006),$AB$1006:$AQ$1006,0)), HYPERLINK("#",""), HYPERLINK(CONCATENATE("#Metadata!", ADDRESS(INDEX($W$2:$W$1001,MATCH(ROWS($U$2:U504),$U$2:$U$1001,0),0), INDEX($AB$1004:$AQ$1004,1,MATCH(COLUMNS($AB$1006:AB1006),$AB$1006:$AQ$1006,0)))),"Fix")))</f>
        <v>0</v>
      </c>
      <c r="C504" s="5">
        <f>IF(OR(INDEX($V$2:$V$1001,MATCH(ROWS($U$2:U504),$U$2:$U$1001,0),1)&gt;=100000,INDEX($AB$1005:$AQ$1005,1,MATCH(COLUMNS($AB$1006:AC1006),$AB$1006:$AQ$1006,0))&gt;=100000), " ",IF(INDEX($AB$2:$AQ$1001,MATCH(ROWS($U$2:U504),$U$2:$U$1001,0),MATCH(COLUMNS($AB$1006:AC1006),$AB$1006:$AQ$1006,0)), HYPERLINK("#",""), HYPERLINK(CONCATENATE("#Metadata!", ADDRESS(INDEX($W$2:$W$1001,MATCH(ROWS($U$2:U504),$U$2:$U$1001,0),0), INDEX($AB$1004:$AQ$1004,1,MATCH(COLUMNS($AB$1006:AC1006),$AB$1006:$AQ$1006,0)))),"Fix")))</f>
        <v>0</v>
      </c>
      <c r="D504" s="5">
        <f>IF(OR(INDEX($V$2:$V$1001,MATCH(ROWS($U$2:U504),$U$2:$U$1001,0),1)&gt;=100000,INDEX($AB$1005:$AQ$1005,1,MATCH(COLUMNS($AB$1006:AD1006),$AB$1006:$AQ$1006,0))&gt;=100000), " ",IF(INDEX($AB$2:$AQ$1001,MATCH(ROWS($U$2:U504),$U$2:$U$1001,0),MATCH(COLUMNS($AB$1006:AD1006),$AB$1006:$AQ$1006,0)), HYPERLINK("#",""), HYPERLINK(CONCATENATE("#Metadata!", ADDRESS(INDEX($W$2:$W$1001,MATCH(ROWS($U$2:U504),$U$2:$U$1001,0),0), INDEX($AB$1004:$AQ$1004,1,MATCH(COLUMNS($AB$1006:AD1006),$AB$1006:$AQ$1006,0)))),"Fix")))</f>
        <v>0</v>
      </c>
      <c r="E504" s="5">
        <f>IF(OR(INDEX($V$2:$V$1001,MATCH(ROWS($U$2:U504),$U$2:$U$1001,0),1)&gt;=100000,INDEX($AB$1005:$AQ$1005,1,MATCH(COLUMNS($AB$1006:AE1006),$AB$1006:$AQ$1006,0))&gt;=100000), " ",IF(INDEX($AB$2:$AQ$1001,MATCH(ROWS($U$2:U504),$U$2:$U$1001,0),MATCH(COLUMNS($AB$1006:AE1006),$AB$1006:$AQ$1006,0)), HYPERLINK("#",""), HYPERLINK(CONCATENATE("#Metadata!", ADDRESS(INDEX($W$2:$W$1001,MATCH(ROWS($U$2:U504),$U$2:$U$1001,0),0), INDEX($AB$1004:$AQ$1004,1,MATCH(COLUMNS($AB$1006:AE1006),$AB$1006:$AQ$1006,0)))),"Fix")))</f>
        <v>0</v>
      </c>
      <c r="F504" s="5">
        <f>IF(OR(INDEX($V$2:$V$1001,MATCH(ROWS($U$2:U504),$U$2:$U$1001,0),1)&gt;=100000,INDEX($AB$1005:$AQ$1005,1,MATCH(COLUMNS($AB$1006:AF1006),$AB$1006:$AQ$1006,0))&gt;=100000), " ",IF(INDEX($AB$2:$AQ$1001,MATCH(ROWS($U$2:U504),$U$2:$U$1001,0),MATCH(COLUMNS($AB$1006:AF1006),$AB$1006:$AQ$1006,0)), HYPERLINK("#",""), HYPERLINK(CONCATENATE("#Metadata!", ADDRESS(INDEX($W$2:$W$1001,MATCH(ROWS($U$2:U504),$U$2:$U$1001,0),0), INDEX($AB$1004:$AQ$1004,1,MATCH(COLUMNS($AB$1006:AF1006),$AB$1006:$AQ$1006,0)))),"Fix")))</f>
        <v>0</v>
      </c>
      <c r="G504" s="5">
        <f>IF(OR(INDEX($V$2:$V$1001,MATCH(ROWS($U$2:U504),$U$2:$U$1001,0),1)&gt;=100000,INDEX($AB$1005:$AQ$1005,1,MATCH(COLUMNS($AB$1006:AG1006),$AB$1006:$AQ$1006,0))&gt;=100000), " ",IF(INDEX($AB$2:$AQ$1001,MATCH(ROWS($U$2:U504),$U$2:$U$1001,0),MATCH(COLUMNS($AB$1006:AG1006),$AB$1006:$AQ$1006,0)), HYPERLINK("#",""), HYPERLINK(CONCATENATE("#Metadata!", ADDRESS(INDEX($W$2:$W$1001,MATCH(ROWS($U$2:U504),$U$2:$U$1001,0),0), INDEX($AB$1004:$AQ$1004,1,MATCH(COLUMNS($AB$1006:AG1006),$AB$1006:$AQ$1006,0)))),"Fix")))</f>
        <v>0</v>
      </c>
      <c r="H504" s="5">
        <f>IF(OR(INDEX($V$2:$V$1001,MATCH(ROWS($U$2:U504),$U$2:$U$1001,0),1)&gt;=100000,INDEX($AB$1005:$AQ$1005,1,MATCH(COLUMNS($AB$1006:AH1006),$AB$1006:$AQ$1006,0))&gt;=100000), " ",IF(INDEX($AB$2:$AQ$1001,MATCH(ROWS($U$2:U504),$U$2:$U$1001,0),MATCH(COLUMNS($AB$1006:AH1006),$AB$1006:$AQ$1006,0)), HYPERLINK("#",""), HYPERLINK(CONCATENATE("#Metadata!", ADDRESS(INDEX($W$2:$W$1001,MATCH(ROWS($U$2:U504),$U$2:$U$1001,0),0), INDEX($AB$1004:$AQ$1004,1,MATCH(COLUMNS($AB$1006:AH1006),$AB$1006:$AQ$1006,0)))),"Fix")))</f>
        <v>0</v>
      </c>
      <c r="I504" s="5">
        <f>IF(OR(INDEX($V$2:$V$1001,MATCH(ROWS($U$2:U504),$U$2:$U$1001,0),1)&gt;=100000,INDEX($AB$1005:$AQ$1005,1,MATCH(COLUMNS($AB$1006:AI1006),$AB$1006:$AQ$1006,0))&gt;=100000), " ",IF(INDEX($AB$2:$AQ$1001,MATCH(ROWS($U$2:U504),$U$2:$U$1001,0),MATCH(COLUMNS($AB$1006:AI1006),$AB$1006:$AQ$1006,0)), HYPERLINK("#",""), HYPERLINK(CONCATENATE("#Metadata!", ADDRESS(INDEX($W$2:$W$1001,MATCH(ROWS($U$2:U504),$U$2:$U$1001,0),0), INDEX($AB$1004:$AQ$1004,1,MATCH(COLUMNS($AB$1006:AI1006),$AB$1006:$AQ$1006,0)))),"Fix")))</f>
        <v>0</v>
      </c>
      <c r="J504" s="5">
        <f>IF(OR(INDEX($V$2:$V$1001,MATCH(ROWS($U$2:U504),$U$2:$U$1001,0),1)&gt;=100000,INDEX($AB$1005:$AQ$1005,1,MATCH(COLUMNS($AB$1006:AJ1006),$AB$1006:$AQ$1006,0))&gt;=100000), " ",IF(INDEX($AB$2:$AQ$1001,MATCH(ROWS($U$2:U504),$U$2:$U$1001,0),MATCH(COLUMNS($AB$1006:AJ1006),$AB$1006:$AQ$1006,0)), HYPERLINK("#",""), HYPERLINK(CONCATENATE("#Metadata!", ADDRESS(INDEX($W$2:$W$1001,MATCH(ROWS($U$2:U504),$U$2:$U$1001,0),0), INDEX($AB$1004:$AQ$1004,1,MATCH(COLUMNS($AB$1006:AJ1006),$AB$1006:$AQ$1006,0)))),"Fix")))</f>
        <v>0</v>
      </c>
      <c r="K504" s="5">
        <f>IF(OR(INDEX($V$2:$V$1001,MATCH(ROWS($U$2:U504),$U$2:$U$1001,0),1)&gt;=100000,INDEX($AB$1005:$AQ$1005,1,MATCH(COLUMNS($AB$1006:AK1006),$AB$1006:$AQ$1006,0))&gt;=100000), " ",IF(INDEX($AB$2:$AQ$1001,MATCH(ROWS($U$2:U504),$U$2:$U$1001,0),MATCH(COLUMNS($AB$1006:AK1006),$AB$1006:$AQ$1006,0)), HYPERLINK("#",""), HYPERLINK(CONCATENATE("#Metadata!", ADDRESS(INDEX($W$2:$W$1001,MATCH(ROWS($U$2:U504),$U$2:$U$1001,0),0), INDEX($AB$1004:$AQ$1004,1,MATCH(COLUMNS($AB$1006:AK1006),$AB$1006:$AQ$1006,0)))),"Fix")))</f>
        <v>0</v>
      </c>
      <c r="L504" s="5">
        <f>IF(OR(INDEX($V$2:$V$1001,MATCH(ROWS($U$2:U504),$U$2:$U$1001,0),1)&gt;=100000,INDEX($AB$1005:$AQ$1005,1,MATCH(COLUMNS($AB$1006:AL1006),$AB$1006:$AQ$1006,0))&gt;=100000), " ",IF(INDEX($AB$2:$AQ$1001,MATCH(ROWS($U$2:U504),$U$2:$U$1001,0),MATCH(COLUMNS($AB$1006:AL1006),$AB$1006:$AQ$1006,0)), HYPERLINK("#",""), HYPERLINK(CONCATENATE("#Metadata!", ADDRESS(INDEX($W$2:$W$1001,MATCH(ROWS($U$2:U504),$U$2:$U$1001,0),0), INDEX($AB$1004:$AQ$1004,1,MATCH(COLUMNS($AB$1006:AL1006),$AB$1006:$AQ$1006,0)))),"Fix")))</f>
        <v>0</v>
      </c>
      <c r="M504" s="5">
        <f>IF(OR(INDEX($V$2:$V$1001,MATCH(ROWS($U$2:U504),$U$2:$U$1001,0),1)&gt;=100000,INDEX($AB$1005:$AQ$1005,1,MATCH(COLUMNS($AB$1006:AM1006),$AB$1006:$AQ$1006,0))&gt;=100000), " ",IF(INDEX($AB$2:$AQ$1001,MATCH(ROWS($U$2:U504),$U$2:$U$1001,0),MATCH(COLUMNS($AB$1006:AM1006),$AB$1006:$AQ$1006,0)), HYPERLINK("#",""), HYPERLINK(CONCATENATE("#Metadata!", ADDRESS(INDEX($W$2:$W$1001,MATCH(ROWS($U$2:U504),$U$2:$U$1001,0),0), INDEX($AB$1004:$AQ$1004,1,MATCH(COLUMNS($AB$1006:AM1006),$AB$1006:$AQ$1006,0)))),"Fix")))</f>
        <v>0</v>
      </c>
      <c r="N504" s="5">
        <f>IF(OR(INDEX($V$2:$V$1001,MATCH(ROWS($U$2:U504),$U$2:$U$1001,0),1)&gt;=100000,INDEX($AB$1005:$AQ$1005,1,MATCH(COLUMNS($AB$1006:AN1006),$AB$1006:$AQ$1006,0))&gt;=100000), " ",IF(INDEX($AB$2:$AQ$1001,MATCH(ROWS($U$2:U504),$U$2:$U$1001,0),MATCH(COLUMNS($AB$1006:AN1006),$AB$1006:$AQ$1006,0)), HYPERLINK("#",""), HYPERLINK(CONCATENATE("#Metadata!", ADDRESS(INDEX($W$2:$W$1001,MATCH(ROWS($U$2:U504),$U$2:$U$1001,0),0), INDEX($AB$1004:$AQ$1004,1,MATCH(COLUMNS($AB$1006:AN1006),$AB$1006:$AQ$1006,0)))),"Fix")))</f>
        <v>0</v>
      </c>
      <c r="O504" s="5">
        <f>IF(OR(INDEX($V$2:$V$1001,MATCH(ROWS($U$2:U504),$U$2:$U$1001,0),1)&gt;=100000,INDEX($AB$1005:$AQ$1005,1,MATCH(COLUMNS($AB$1006:AO1006),$AB$1006:$AQ$1006,0))&gt;=100000), " ",IF(INDEX($AB$2:$AQ$1001,MATCH(ROWS($U$2:U504),$U$2:$U$1001,0),MATCH(COLUMNS($AB$1006:AO1006),$AB$1006:$AQ$1006,0)), HYPERLINK("#",""), HYPERLINK(CONCATENATE("#Metadata!", ADDRESS(INDEX($W$2:$W$1001,MATCH(ROWS($U$2:U504),$U$2:$U$1001,0),0), INDEX($AB$1004:$AQ$1004,1,MATCH(COLUMNS($AB$1006:AO1006),$AB$1006:$AQ$1006,0)))),"Fix")))</f>
        <v>0</v>
      </c>
      <c r="P504" s="5">
        <f>IF(OR(INDEX($V$2:$V$1001,MATCH(ROWS($U$2:U504),$U$2:$U$1001,0),1)&gt;=100000,INDEX($AB$1005:$AQ$1005,1,MATCH(COLUMNS($AB$1006:AP1006),$AB$1006:$AQ$1006,0))&gt;=100000), " ",IF(INDEX($AB$2:$AQ$1001,MATCH(ROWS($U$2:U504),$U$2:$U$1001,0),MATCH(COLUMNS($AB$1006:AP1006),$AB$1006:$AQ$1006,0)), HYPERLINK("#",""), HYPERLINK(CONCATENATE("#Metadata!", ADDRESS(INDEX($W$2:$W$1001,MATCH(ROWS($U$2:U504),$U$2:$U$1001,0),0), INDEX($AB$1004:$AQ$1004,1,MATCH(COLUMNS($AB$1006:AP1006),$AB$1006:$AQ$1006,0)))),"Fix")))</f>
        <v>0</v>
      </c>
      <c r="Q504" s="5">
        <f>IF(OR(INDEX($V$2:$V$1001,MATCH(ROWS($U$2:U504),$U$2:$U$1001,0),1)&gt;=100000,INDEX($AB$1005:$AQ$1005,1,MATCH(COLUMNS($AB$1006:AQ1006),$AB$1006:$AQ$1006,0))&gt;=100000), " ",IF(INDEX($AB$2:$AQ$1001,MATCH(ROWS($U$2:U504),$U$2:$U$1001,0),MATCH(COLUMNS($AB$1006:AQ1006),$AB$1006:$AQ$1006,0)), HYPERLINK("#",""), HYPERLINK(CONCATENATE("#Metadata!", ADDRESS(INDEX($W$2:$W$1001,MATCH(ROWS($U$2:U504),$U$2:$U$1001,0),0), INDEX($AB$1004:$AQ$1004,1,MATCH(COLUMNS($AB$1006:AQ1006),$AB$1006:$AQ$1006,0)))),"Fix")))</f>
        <v>0</v>
      </c>
      <c r="U504">
        <v>0</v>
      </c>
      <c r="V504">
        <v>0</v>
      </c>
      <c r="W504">
        <v>0</v>
      </c>
      <c r="X504">
        <f>IF(Y504,TRUE,AND(AB504:AQ504))</f>
        <v>0</v>
      </c>
      <c r="Y504">
        <f>COUNTBLANK(Metadata!B504:Q504)=COLUMNS(Metadata!B504:Q504)</f>
        <v>0</v>
      </c>
      <c r="Z504">
        <v>0</v>
      </c>
      <c r="AB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AC504">
        <f>AND(IF(Metadata!C504="",FALSE,TRUE),exact(Metadata!C504,"urban biome"))</f>
        <v>0</v>
      </c>
      <c r="AD504">
        <f>AND(IF(Metadata!D504="",FALSE,TRUE),exact(Metadata!D504,"human-associated habitat"))</f>
        <v>0</v>
      </c>
      <c r="AE504">
        <f>AND(IF(Metadata!E504="",FALSE,TRUE),OR(exact(Metadata!E504,"human-associated"),exact(Metadata!E504,"human-skin"),exact(Metadata!E504,"human-oral"),exact(Metadata!E504,"human-gut"),exact(Metadata!E504,"human-vaginal")))</f>
        <v>0</v>
      </c>
      <c r="AF504">
        <f>AND(IF(Metadata!F504="",FALSE,ISNUMBER(VALUE(Metadata!F504))),Metadata!F504&gt;0)</f>
        <v>0</v>
      </c>
      <c r="AG504">
        <f>AND(IF(Metadata!G504="",FALSE,TRUE),exact(Metadata!G504,"years"))</f>
        <v>0</v>
      </c>
      <c r="AH504">
        <f>OR(AND(IF(Metadata!H504="",FALSE,TRUE),OR(exact(Metadata!H504,"not applicable"),exact(Metadata!H504,"not collected"),exact(Metadata!H504,"not provided"),exact(Metadata!H504,"restricted access"))),AND(IF(Metadata!H504="",FALSE,ISNUMBER(VALUE(Metadata!H504))),Metadata!H504&gt;0))</f>
        <v>0</v>
      </c>
      <c r="AI504">
        <f>AND(IF(Metadata!I504="",FALSE,TRUE),exact(Metadata!I504,"human"))</f>
        <v>0</v>
      </c>
      <c r="AJ504">
        <f>AND(IF(Metadata!J504="",FALSE,ISNUMBER(VALUE(Metadata!J504))),Metadata!J504&gt;0)</f>
        <v>0</v>
      </c>
      <c r="AK504">
        <f>AND(IF(Metadata!K504="",FALSE,TRUE),exact(Metadata!K504,"cm"))</f>
        <v>0</v>
      </c>
      <c r="AL504">
        <f>AND(IF(Metadata!L504="",FALSE,TRUE),exact(Metadata!L504,"Homo sapiens"))</f>
        <v>0</v>
      </c>
      <c r="AM504">
        <f>AND(IF(Metadata!M504="",FALSE,TRUE),exact(Metadata!M504,"9606"))</f>
        <v>0</v>
      </c>
      <c r="AN504">
        <f>AND(IF(Metadata!N504="",FALSE,ISNUMBER(VALUE(Metadata!N504))),Metadata!N504&gt;0)</f>
        <v>0</v>
      </c>
      <c r="AO504">
        <f>AND(IF(Metadata!O504="",FALSE,TRUE),exact(Metadata!O504,"kg"))</f>
        <v>0</v>
      </c>
      <c r="AP504">
        <f>OR(AND(IF(Metadata!P504="",FALSE,TRUE),exact(Metadata!P504,"not provided")),IF(Metadata!P504="",FALSE,TRUE))</f>
        <v>0</v>
      </c>
      <c r="AQ504">
        <f>OR(AND(IF(Metadata!Q504="",FALSE,TRUE),exact(Metadata!Q504,"not provided")),IF(Metadata!Q504="",FALSE,TRUE))</f>
        <v>0</v>
      </c>
    </row>
    <row r="505" spans="1:43">
      <c r="A505" s="4">
        <f>IF(B505=" "," ",HYPERLINK(CONCATENATE("#metadata!",ADDRESS(INDEX($W$2:$W$1001,MATCH(ROWS($U$2:U505),$U$2:$U$1001,0),0),2)),INDEX($Z$2:$Z$1001,MATCH(ROWS($U$2:U505),$U$2:$U$1001,0),0)))</f>
        <v>0</v>
      </c>
      <c r="B505" s="5">
        <f>IF(OR(INDEX($V$2:$V$1001,MATCH(ROWS($U$2:U505),$U$2:$U$1001,0),1)&gt;=100000,INDEX($AB$1005:$AQ$1005,1,MATCH(COLUMNS($AB$1006:AB1006),$AB$1006:$AQ$1006,0))&gt;=100000), " ",IF(INDEX($AB$2:$AQ$1001,MATCH(ROWS($U$2:U505),$U$2:$U$1001,0),MATCH(COLUMNS($AB$1006:AB1006),$AB$1006:$AQ$1006,0)), HYPERLINK("#",""), HYPERLINK(CONCATENATE("#Metadata!", ADDRESS(INDEX($W$2:$W$1001,MATCH(ROWS($U$2:U505),$U$2:$U$1001,0),0), INDEX($AB$1004:$AQ$1004,1,MATCH(COLUMNS($AB$1006:AB1006),$AB$1006:$AQ$1006,0)))),"Fix")))</f>
        <v>0</v>
      </c>
      <c r="C505" s="5">
        <f>IF(OR(INDEX($V$2:$V$1001,MATCH(ROWS($U$2:U505),$U$2:$U$1001,0),1)&gt;=100000,INDEX($AB$1005:$AQ$1005,1,MATCH(COLUMNS($AB$1006:AC1006),$AB$1006:$AQ$1006,0))&gt;=100000), " ",IF(INDEX($AB$2:$AQ$1001,MATCH(ROWS($U$2:U505),$U$2:$U$1001,0),MATCH(COLUMNS($AB$1006:AC1006),$AB$1006:$AQ$1006,0)), HYPERLINK("#",""), HYPERLINK(CONCATENATE("#Metadata!", ADDRESS(INDEX($W$2:$W$1001,MATCH(ROWS($U$2:U505),$U$2:$U$1001,0),0), INDEX($AB$1004:$AQ$1004,1,MATCH(COLUMNS($AB$1006:AC1006),$AB$1006:$AQ$1006,0)))),"Fix")))</f>
        <v>0</v>
      </c>
      <c r="D505" s="5">
        <f>IF(OR(INDEX($V$2:$V$1001,MATCH(ROWS($U$2:U505),$U$2:$U$1001,0),1)&gt;=100000,INDEX($AB$1005:$AQ$1005,1,MATCH(COLUMNS($AB$1006:AD1006),$AB$1006:$AQ$1006,0))&gt;=100000), " ",IF(INDEX($AB$2:$AQ$1001,MATCH(ROWS($U$2:U505),$U$2:$U$1001,0),MATCH(COLUMNS($AB$1006:AD1006),$AB$1006:$AQ$1006,0)), HYPERLINK("#",""), HYPERLINK(CONCATENATE("#Metadata!", ADDRESS(INDEX($W$2:$W$1001,MATCH(ROWS($U$2:U505),$U$2:$U$1001,0),0), INDEX($AB$1004:$AQ$1004,1,MATCH(COLUMNS($AB$1006:AD1006),$AB$1006:$AQ$1006,0)))),"Fix")))</f>
        <v>0</v>
      </c>
      <c r="E505" s="5">
        <f>IF(OR(INDEX($V$2:$V$1001,MATCH(ROWS($U$2:U505),$U$2:$U$1001,0),1)&gt;=100000,INDEX($AB$1005:$AQ$1005,1,MATCH(COLUMNS($AB$1006:AE1006),$AB$1006:$AQ$1006,0))&gt;=100000), " ",IF(INDEX($AB$2:$AQ$1001,MATCH(ROWS($U$2:U505),$U$2:$U$1001,0),MATCH(COLUMNS($AB$1006:AE1006),$AB$1006:$AQ$1006,0)), HYPERLINK("#",""), HYPERLINK(CONCATENATE("#Metadata!", ADDRESS(INDEX($W$2:$W$1001,MATCH(ROWS($U$2:U505),$U$2:$U$1001,0),0), INDEX($AB$1004:$AQ$1004,1,MATCH(COLUMNS($AB$1006:AE1006),$AB$1006:$AQ$1006,0)))),"Fix")))</f>
        <v>0</v>
      </c>
      <c r="F505" s="5">
        <f>IF(OR(INDEX($V$2:$V$1001,MATCH(ROWS($U$2:U505),$U$2:$U$1001,0),1)&gt;=100000,INDEX($AB$1005:$AQ$1005,1,MATCH(COLUMNS($AB$1006:AF1006),$AB$1006:$AQ$1006,0))&gt;=100000), " ",IF(INDEX($AB$2:$AQ$1001,MATCH(ROWS($U$2:U505),$U$2:$U$1001,0),MATCH(COLUMNS($AB$1006:AF1006),$AB$1006:$AQ$1006,0)), HYPERLINK("#",""), HYPERLINK(CONCATENATE("#Metadata!", ADDRESS(INDEX($W$2:$W$1001,MATCH(ROWS($U$2:U505),$U$2:$U$1001,0),0), INDEX($AB$1004:$AQ$1004,1,MATCH(COLUMNS($AB$1006:AF1006),$AB$1006:$AQ$1006,0)))),"Fix")))</f>
        <v>0</v>
      </c>
      <c r="G505" s="5">
        <f>IF(OR(INDEX($V$2:$V$1001,MATCH(ROWS($U$2:U505),$U$2:$U$1001,0),1)&gt;=100000,INDEX($AB$1005:$AQ$1005,1,MATCH(COLUMNS($AB$1006:AG1006),$AB$1006:$AQ$1006,0))&gt;=100000), " ",IF(INDEX($AB$2:$AQ$1001,MATCH(ROWS($U$2:U505),$U$2:$U$1001,0),MATCH(COLUMNS($AB$1006:AG1006),$AB$1006:$AQ$1006,0)), HYPERLINK("#",""), HYPERLINK(CONCATENATE("#Metadata!", ADDRESS(INDEX($W$2:$W$1001,MATCH(ROWS($U$2:U505),$U$2:$U$1001,0),0), INDEX($AB$1004:$AQ$1004,1,MATCH(COLUMNS($AB$1006:AG1006),$AB$1006:$AQ$1006,0)))),"Fix")))</f>
        <v>0</v>
      </c>
      <c r="H505" s="5">
        <f>IF(OR(INDEX($V$2:$V$1001,MATCH(ROWS($U$2:U505),$U$2:$U$1001,0),1)&gt;=100000,INDEX($AB$1005:$AQ$1005,1,MATCH(COLUMNS($AB$1006:AH1006),$AB$1006:$AQ$1006,0))&gt;=100000), " ",IF(INDEX($AB$2:$AQ$1001,MATCH(ROWS($U$2:U505),$U$2:$U$1001,0),MATCH(COLUMNS($AB$1006:AH1006),$AB$1006:$AQ$1006,0)), HYPERLINK("#",""), HYPERLINK(CONCATENATE("#Metadata!", ADDRESS(INDEX($W$2:$W$1001,MATCH(ROWS($U$2:U505),$U$2:$U$1001,0),0), INDEX($AB$1004:$AQ$1004,1,MATCH(COLUMNS($AB$1006:AH1006),$AB$1006:$AQ$1006,0)))),"Fix")))</f>
        <v>0</v>
      </c>
      <c r="I505" s="5">
        <f>IF(OR(INDEX($V$2:$V$1001,MATCH(ROWS($U$2:U505),$U$2:$U$1001,0),1)&gt;=100000,INDEX($AB$1005:$AQ$1005,1,MATCH(COLUMNS($AB$1006:AI1006),$AB$1006:$AQ$1006,0))&gt;=100000), " ",IF(INDEX($AB$2:$AQ$1001,MATCH(ROWS($U$2:U505),$U$2:$U$1001,0),MATCH(COLUMNS($AB$1006:AI1006),$AB$1006:$AQ$1006,0)), HYPERLINK("#",""), HYPERLINK(CONCATENATE("#Metadata!", ADDRESS(INDEX($W$2:$W$1001,MATCH(ROWS($U$2:U505),$U$2:$U$1001,0),0), INDEX($AB$1004:$AQ$1004,1,MATCH(COLUMNS($AB$1006:AI1006),$AB$1006:$AQ$1006,0)))),"Fix")))</f>
        <v>0</v>
      </c>
      <c r="J505" s="5">
        <f>IF(OR(INDEX($V$2:$V$1001,MATCH(ROWS($U$2:U505),$U$2:$U$1001,0),1)&gt;=100000,INDEX($AB$1005:$AQ$1005,1,MATCH(COLUMNS($AB$1006:AJ1006),$AB$1006:$AQ$1006,0))&gt;=100000), " ",IF(INDEX($AB$2:$AQ$1001,MATCH(ROWS($U$2:U505),$U$2:$U$1001,0),MATCH(COLUMNS($AB$1006:AJ1006),$AB$1006:$AQ$1006,0)), HYPERLINK("#",""), HYPERLINK(CONCATENATE("#Metadata!", ADDRESS(INDEX($W$2:$W$1001,MATCH(ROWS($U$2:U505),$U$2:$U$1001,0),0), INDEX($AB$1004:$AQ$1004,1,MATCH(COLUMNS($AB$1006:AJ1006),$AB$1006:$AQ$1006,0)))),"Fix")))</f>
        <v>0</v>
      </c>
      <c r="K505" s="5">
        <f>IF(OR(INDEX($V$2:$V$1001,MATCH(ROWS($U$2:U505),$U$2:$U$1001,0),1)&gt;=100000,INDEX($AB$1005:$AQ$1005,1,MATCH(COLUMNS($AB$1006:AK1006),$AB$1006:$AQ$1006,0))&gt;=100000), " ",IF(INDEX($AB$2:$AQ$1001,MATCH(ROWS($U$2:U505),$U$2:$U$1001,0),MATCH(COLUMNS($AB$1006:AK1006),$AB$1006:$AQ$1006,0)), HYPERLINK("#",""), HYPERLINK(CONCATENATE("#Metadata!", ADDRESS(INDEX($W$2:$W$1001,MATCH(ROWS($U$2:U505),$U$2:$U$1001,0),0), INDEX($AB$1004:$AQ$1004,1,MATCH(COLUMNS($AB$1006:AK1006),$AB$1006:$AQ$1006,0)))),"Fix")))</f>
        <v>0</v>
      </c>
      <c r="L505" s="5">
        <f>IF(OR(INDEX($V$2:$V$1001,MATCH(ROWS($U$2:U505),$U$2:$U$1001,0),1)&gt;=100000,INDEX($AB$1005:$AQ$1005,1,MATCH(COLUMNS($AB$1006:AL1006),$AB$1006:$AQ$1006,0))&gt;=100000), " ",IF(INDEX($AB$2:$AQ$1001,MATCH(ROWS($U$2:U505),$U$2:$U$1001,0),MATCH(COLUMNS($AB$1006:AL1006),$AB$1006:$AQ$1006,0)), HYPERLINK("#",""), HYPERLINK(CONCATENATE("#Metadata!", ADDRESS(INDEX($W$2:$W$1001,MATCH(ROWS($U$2:U505),$U$2:$U$1001,0),0), INDEX($AB$1004:$AQ$1004,1,MATCH(COLUMNS($AB$1006:AL1006),$AB$1006:$AQ$1006,0)))),"Fix")))</f>
        <v>0</v>
      </c>
      <c r="M505" s="5">
        <f>IF(OR(INDEX($V$2:$V$1001,MATCH(ROWS($U$2:U505),$U$2:$U$1001,0),1)&gt;=100000,INDEX($AB$1005:$AQ$1005,1,MATCH(COLUMNS($AB$1006:AM1006),$AB$1006:$AQ$1006,0))&gt;=100000), " ",IF(INDEX($AB$2:$AQ$1001,MATCH(ROWS($U$2:U505),$U$2:$U$1001,0),MATCH(COLUMNS($AB$1006:AM1006),$AB$1006:$AQ$1006,0)), HYPERLINK("#",""), HYPERLINK(CONCATENATE("#Metadata!", ADDRESS(INDEX($W$2:$W$1001,MATCH(ROWS($U$2:U505),$U$2:$U$1001,0),0), INDEX($AB$1004:$AQ$1004,1,MATCH(COLUMNS($AB$1006:AM1006),$AB$1006:$AQ$1006,0)))),"Fix")))</f>
        <v>0</v>
      </c>
      <c r="N505" s="5">
        <f>IF(OR(INDEX($V$2:$V$1001,MATCH(ROWS($U$2:U505),$U$2:$U$1001,0),1)&gt;=100000,INDEX($AB$1005:$AQ$1005,1,MATCH(COLUMNS($AB$1006:AN1006),$AB$1006:$AQ$1006,0))&gt;=100000), " ",IF(INDEX($AB$2:$AQ$1001,MATCH(ROWS($U$2:U505),$U$2:$U$1001,0),MATCH(COLUMNS($AB$1006:AN1006),$AB$1006:$AQ$1006,0)), HYPERLINK("#",""), HYPERLINK(CONCATENATE("#Metadata!", ADDRESS(INDEX($W$2:$W$1001,MATCH(ROWS($U$2:U505),$U$2:$U$1001,0),0), INDEX($AB$1004:$AQ$1004,1,MATCH(COLUMNS($AB$1006:AN1006),$AB$1006:$AQ$1006,0)))),"Fix")))</f>
        <v>0</v>
      </c>
      <c r="O505" s="5">
        <f>IF(OR(INDEX($V$2:$V$1001,MATCH(ROWS($U$2:U505),$U$2:$U$1001,0),1)&gt;=100000,INDEX($AB$1005:$AQ$1005,1,MATCH(COLUMNS($AB$1006:AO1006),$AB$1006:$AQ$1006,0))&gt;=100000), " ",IF(INDEX($AB$2:$AQ$1001,MATCH(ROWS($U$2:U505),$U$2:$U$1001,0),MATCH(COLUMNS($AB$1006:AO1006),$AB$1006:$AQ$1006,0)), HYPERLINK("#",""), HYPERLINK(CONCATENATE("#Metadata!", ADDRESS(INDEX($W$2:$W$1001,MATCH(ROWS($U$2:U505),$U$2:$U$1001,0),0), INDEX($AB$1004:$AQ$1004,1,MATCH(COLUMNS($AB$1006:AO1006),$AB$1006:$AQ$1006,0)))),"Fix")))</f>
        <v>0</v>
      </c>
      <c r="P505" s="5">
        <f>IF(OR(INDEX($V$2:$V$1001,MATCH(ROWS($U$2:U505),$U$2:$U$1001,0),1)&gt;=100000,INDEX($AB$1005:$AQ$1005,1,MATCH(COLUMNS($AB$1006:AP1006),$AB$1006:$AQ$1006,0))&gt;=100000), " ",IF(INDEX($AB$2:$AQ$1001,MATCH(ROWS($U$2:U505),$U$2:$U$1001,0),MATCH(COLUMNS($AB$1006:AP1006),$AB$1006:$AQ$1006,0)), HYPERLINK("#",""), HYPERLINK(CONCATENATE("#Metadata!", ADDRESS(INDEX($W$2:$W$1001,MATCH(ROWS($U$2:U505),$U$2:$U$1001,0),0), INDEX($AB$1004:$AQ$1004,1,MATCH(COLUMNS($AB$1006:AP1006),$AB$1006:$AQ$1006,0)))),"Fix")))</f>
        <v>0</v>
      </c>
      <c r="Q505" s="5">
        <f>IF(OR(INDEX($V$2:$V$1001,MATCH(ROWS($U$2:U505),$U$2:$U$1001,0),1)&gt;=100000,INDEX($AB$1005:$AQ$1005,1,MATCH(COLUMNS($AB$1006:AQ1006),$AB$1006:$AQ$1006,0))&gt;=100000), " ",IF(INDEX($AB$2:$AQ$1001,MATCH(ROWS($U$2:U505),$U$2:$U$1001,0),MATCH(COLUMNS($AB$1006:AQ1006),$AB$1006:$AQ$1006,0)), HYPERLINK("#",""), HYPERLINK(CONCATENATE("#Metadata!", ADDRESS(INDEX($W$2:$W$1001,MATCH(ROWS($U$2:U505),$U$2:$U$1001,0),0), INDEX($AB$1004:$AQ$1004,1,MATCH(COLUMNS($AB$1006:AQ1006),$AB$1006:$AQ$1006,0)))),"Fix")))</f>
        <v>0</v>
      </c>
      <c r="U505">
        <v>0</v>
      </c>
      <c r="V505">
        <v>0</v>
      </c>
      <c r="W505">
        <v>0</v>
      </c>
      <c r="X505">
        <f>IF(Y505,TRUE,AND(AB505:AQ505))</f>
        <v>0</v>
      </c>
      <c r="Y505">
        <f>COUNTBLANK(Metadata!B505:Q505)=COLUMNS(Metadata!B505:Q505)</f>
        <v>0</v>
      </c>
      <c r="Z505">
        <v>0</v>
      </c>
      <c r="AB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AC505">
        <f>AND(IF(Metadata!C505="",FALSE,TRUE),exact(Metadata!C505,"urban biome"))</f>
        <v>0</v>
      </c>
      <c r="AD505">
        <f>AND(IF(Metadata!D505="",FALSE,TRUE),exact(Metadata!D505,"human-associated habitat"))</f>
        <v>0</v>
      </c>
      <c r="AE505">
        <f>AND(IF(Metadata!E505="",FALSE,TRUE),OR(exact(Metadata!E505,"human-associated"),exact(Metadata!E505,"human-skin"),exact(Metadata!E505,"human-oral"),exact(Metadata!E505,"human-gut"),exact(Metadata!E505,"human-vaginal")))</f>
        <v>0</v>
      </c>
      <c r="AF505">
        <f>AND(IF(Metadata!F505="",FALSE,ISNUMBER(VALUE(Metadata!F505))),Metadata!F505&gt;0)</f>
        <v>0</v>
      </c>
      <c r="AG505">
        <f>AND(IF(Metadata!G505="",FALSE,TRUE),exact(Metadata!G505,"years"))</f>
        <v>0</v>
      </c>
      <c r="AH505">
        <f>OR(AND(IF(Metadata!H505="",FALSE,TRUE),OR(exact(Metadata!H505,"not applicable"),exact(Metadata!H505,"not collected"),exact(Metadata!H505,"not provided"),exact(Metadata!H505,"restricted access"))),AND(IF(Metadata!H505="",FALSE,ISNUMBER(VALUE(Metadata!H505))),Metadata!H505&gt;0))</f>
        <v>0</v>
      </c>
      <c r="AI505">
        <f>AND(IF(Metadata!I505="",FALSE,TRUE),exact(Metadata!I505,"human"))</f>
        <v>0</v>
      </c>
      <c r="AJ505">
        <f>AND(IF(Metadata!J505="",FALSE,ISNUMBER(VALUE(Metadata!J505))),Metadata!J505&gt;0)</f>
        <v>0</v>
      </c>
      <c r="AK505">
        <f>AND(IF(Metadata!K505="",FALSE,TRUE),exact(Metadata!K505,"cm"))</f>
        <v>0</v>
      </c>
      <c r="AL505">
        <f>AND(IF(Metadata!L505="",FALSE,TRUE),exact(Metadata!L505,"Homo sapiens"))</f>
        <v>0</v>
      </c>
      <c r="AM505">
        <f>AND(IF(Metadata!M505="",FALSE,TRUE),exact(Metadata!M505,"9606"))</f>
        <v>0</v>
      </c>
      <c r="AN505">
        <f>AND(IF(Metadata!N505="",FALSE,ISNUMBER(VALUE(Metadata!N505))),Metadata!N505&gt;0)</f>
        <v>0</v>
      </c>
      <c r="AO505">
        <f>AND(IF(Metadata!O505="",FALSE,TRUE),exact(Metadata!O505,"kg"))</f>
        <v>0</v>
      </c>
      <c r="AP505">
        <f>OR(AND(IF(Metadata!P505="",FALSE,TRUE),exact(Metadata!P505,"not provided")),IF(Metadata!P505="",FALSE,TRUE))</f>
        <v>0</v>
      </c>
      <c r="AQ505">
        <f>OR(AND(IF(Metadata!Q505="",FALSE,TRUE),exact(Metadata!Q505,"not provided")),IF(Metadata!Q505="",FALSE,TRUE))</f>
        <v>0</v>
      </c>
    </row>
    <row r="506" spans="1:43">
      <c r="A506" s="4">
        <f>IF(B506=" "," ",HYPERLINK(CONCATENATE("#metadata!",ADDRESS(INDEX($W$2:$W$1001,MATCH(ROWS($U$2:U506),$U$2:$U$1001,0),0),2)),INDEX($Z$2:$Z$1001,MATCH(ROWS($U$2:U506),$U$2:$U$1001,0),0)))</f>
        <v>0</v>
      </c>
      <c r="B506" s="5">
        <f>IF(OR(INDEX($V$2:$V$1001,MATCH(ROWS($U$2:U506),$U$2:$U$1001,0),1)&gt;=100000,INDEX($AB$1005:$AQ$1005,1,MATCH(COLUMNS($AB$1006:AB1006),$AB$1006:$AQ$1006,0))&gt;=100000), " ",IF(INDEX($AB$2:$AQ$1001,MATCH(ROWS($U$2:U506),$U$2:$U$1001,0),MATCH(COLUMNS($AB$1006:AB1006),$AB$1006:$AQ$1006,0)), HYPERLINK("#",""), HYPERLINK(CONCATENATE("#Metadata!", ADDRESS(INDEX($W$2:$W$1001,MATCH(ROWS($U$2:U506),$U$2:$U$1001,0),0), INDEX($AB$1004:$AQ$1004,1,MATCH(COLUMNS($AB$1006:AB1006),$AB$1006:$AQ$1006,0)))),"Fix")))</f>
        <v>0</v>
      </c>
      <c r="C506" s="5">
        <f>IF(OR(INDEX($V$2:$V$1001,MATCH(ROWS($U$2:U506),$U$2:$U$1001,0),1)&gt;=100000,INDEX($AB$1005:$AQ$1005,1,MATCH(COLUMNS($AB$1006:AC1006),$AB$1006:$AQ$1006,0))&gt;=100000), " ",IF(INDEX($AB$2:$AQ$1001,MATCH(ROWS($U$2:U506),$U$2:$U$1001,0),MATCH(COLUMNS($AB$1006:AC1006),$AB$1006:$AQ$1006,0)), HYPERLINK("#",""), HYPERLINK(CONCATENATE("#Metadata!", ADDRESS(INDEX($W$2:$W$1001,MATCH(ROWS($U$2:U506),$U$2:$U$1001,0),0), INDEX($AB$1004:$AQ$1004,1,MATCH(COLUMNS($AB$1006:AC1006),$AB$1006:$AQ$1006,0)))),"Fix")))</f>
        <v>0</v>
      </c>
      <c r="D506" s="5">
        <f>IF(OR(INDEX($V$2:$V$1001,MATCH(ROWS($U$2:U506),$U$2:$U$1001,0),1)&gt;=100000,INDEX($AB$1005:$AQ$1005,1,MATCH(COLUMNS($AB$1006:AD1006),$AB$1006:$AQ$1006,0))&gt;=100000), " ",IF(INDEX($AB$2:$AQ$1001,MATCH(ROWS($U$2:U506),$U$2:$U$1001,0),MATCH(COLUMNS($AB$1006:AD1006),$AB$1006:$AQ$1006,0)), HYPERLINK("#",""), HYPERLINK(CONCATENATE("#Metadata!", ADDRESS(INDEX($W$2:$W$1001,MATCH(ROWS($U$2:U506),$U$2:$U$1001,0),0), INDEX($AB$1004:$AQ$1004,1,MATCH(COLUMNS($AB$1006:AD1006),$AB$1006:$AQ$1006,0)))),"Fix")))</f>
        <v>0</v>
      </c>
      <c r="E506" s="5">
        <f>IF(OR(INDEX($V$2:$V$1001,MATCH(ROWS($U$2:U506),$U$2:$U$1001,0),1)&gt;=100000,INDEX($AB$1005:$AQ$1005,1,MATCH(COLUMNS($AB$1006:AE1006),$AB$1006:$AQ$1006,0))&gt;=100000), " ",IF(INDEX($AB$2:$AQ$1001,MATCH(ROWS($U$2:U506),$U$2:$U$1001,0),MATCH(COLUMNS($AB$1006:AE1006),$AB$1006:$AQ$1006,0)), HYPERLINK("#",""), HYPERLINK(CONCATENATE("#Metadata!", ADDRESS(INDEX($W$2:$W$1001,MATCH(ROWS($U$2:U506),$U$2:$U$1001,0),0), INDEX($AB$1004:$AQ$1004,1,MATCH(COLUMNS($AB$1006:AE1006),$AB$1006:$AQ$1006,0)))),"Fix")))</f>
        <v>0</v>
      </c>
      <c r="F506" s="5">
        <f>IF(OR(INDEX($V$2:$V$1001,MATCH(ROWS($U$2:U506),$U$2:$U$1001,0),1)&gt;=100000,INDEX($AB$1005:$AQ$1005,1,MATCH(COLUMNS($AB$1006:AF1006),$AB$1006:$AQ$1006,0))&gt;=100000), " ",IF(INDEX($AB$2:$AQ$1001,MATCH(ROWS($U$2:U506),$U$2:$U$1001,0),MATCH(COLUMNS($AB$1006:AF1006),$AB$1006:$AQ$1006,0)), HYPERLINK("#",""), HYPERLINK(CONCATENATE("#Metadata!", ADDRESS(INDEX($W$2:$W$1001,MATCH(ROWS($U$2:U506),$U$2:$U$1001,0),0), INDEX($AB$1004:$AQ$1004,1,MATCH(COLUMNS($AB$1006:AF1006),$AB$1006:$AQ$1006,0)))),"Fix")))</f>
        <v>0</v>
      </c>
      <c r="G506" s="5">
        <f>IF(OR(INDEX($V$2:$V$1001,MATCH(ROWS($U$2:U506),$U$2:$U$1001,0),1)&gt;=100000,INDEX($AB$1005:$AQ$1005,1,MATCH(COLUMNS($AB$1006:AG1006),$AB$1006:$AQ$1006,0))&gt;=100000), " ",IF(INDEX($AB$2:$AQ$1001,MATCH(ROWS($U$2:U506),$U$2:$U$1001,0),MATCH(COLUMNS($AB$1006:AG1006),$AB$1006:$AQ$1006,0)), HYPERLINK("#",""), HYPERLINK(CONCATENATE("#Metadata!", ADDRESS(INDEX($W$2:$W$1001,MATCH(ROWS($U$2:U506),$U$2:$U$1001,0),0), INDEX($AB$1004:$AQ$1004,1,MATCH(COLUMNS($AB$1006:AG1006),$AB$1006:$AQ$1006,0)))),"Fix")))</f>
        <v>0</v>
      </c>
      <c r="H506" s="5">
        <f>IF(OR(INDEX($V$2:$V$1001,MATCH(ROWS($U$2:U506),$U$2:$U$1001,0),1)&gt;=100000,INDEX($AB$1005:$AQ$1005,1,MATCH(COLUMNS($AB$1006:AH1006),$AB$1006:$AQ$1006,0))&gt;=100000), " ",IF(INDEX($AB$2:$AQ$1001,MATCH(ROWS($U$2:U506),$U$2:$U$1001,0),MATCH(COLUMNS($AB$1006:AH1006),$AB$1006:$AQ$1006,0)), HYPERLINK("#",""), HYPERLINK(CONCATENATE("#Metadata!", ADDRESS(INDEX($W$2:$W$1001,MATCH(ROWS($U$2:U506),$U$2:$U$1001,0),0), INDEX($AB$1004:$AQ$1004,1,MATCH(COLUMNS($AB$1006:AH1006),$AB$1006:$AQ$1006,0)))),"Fix")))</f>
        <v>0</v>
      </c>
      <c r="I506" s="5">
        <f>IF(OR(INDEX($V$2:$V$1001,MATCH(ROWS($U$2:U506),$U$2:$U$1001,0),1)&gt;=100000,INDEX($AB$1005:$AQ$1005,1,MATCH(COLUMNS($AB$1006:AI1006),$AB$1006:$AQ$1006,0))&gt;=100000), " ",IF(INDEX($AB$2:$AQ$1001,MATCH(ROWS($U$2:U506),$U$2:$U$1001,0),MATCH(COLUMNS($AB$1006:AI1006),$AB$1006:$AQ$1006,0)), HYPERLINK("#",""), HYPERLINK(CONCATENATE("#Metadata!", ADDRESS(INDEX($W$2:$W$1001,MATCH(ROWS($U$2:U506),$U$2:$U$1001,0),0), INDEX($AB$1004:$AQ$1004,1,MATCH(COLUMNS($AB$1006:AI1006),$AB$1006:$AQ$1006,0)))),"Fix")))</f>
        <v>0</v>
      </c>
      <c r="J506" s="5">
        <f>IF(OR(INDEX($V$2:$V$1001,MATCH(ROWS($U$2:U506),$U$2:$U$1001,0),1)&gt;=100000,INDEX($AB$1005:$AQ$1005,1,MATCH(COLUMNS($AB$1006:AJ1006),$AB$1006:$AQ$1006,0))&gt;=100000), " ",IF(INDEX($AB$2:$AQ$1001,MATCH(ROWS($U$2:U506),$U$2:$U$1001,0),MATCH(COLUMNS($AB$1006:AJ1006),$AB$1006:$AQ$1006,0)), HYPERLINK("#",""), HYPERLINK(CONCATENATE("#Metadata!", ADDRESS(INDEX($W$2:$W$1001,MATCH(ROWS($U$2:U506),$U$2:$U$1001,0),0), INDEX($AB$1004:$AQ$1004,1,MATCH(COLUMNS($AB$1006:AJ1006),$AB$1006:$AQ$1006,0)))),"Fix")))</f>
        <v>0</v>
      </c>
      <c r="K506" s="5">
        <f>IF(OR(INDEX($V$2:$V$1001,MATCH(ROWS($U$2:U506),$U$2:$U$1001,0),1)&gt;=100000,INDEX($AB$1005:$AQ$1005,1,MATCH(COLUMNS($AB$1006:AK1006),$AB$1006:$AQ$1006,0))&gt;=100000), " ",IF(INDEX($AB$2:$AQ$1001,MATCH(ROWS($U$2:U506),$U$2:$U$1001,0),MATCH(COLUMNS($AB$1006:AK1006),$AB$1006:$AQ$1006,0)), HYPERLINK("#",""), HYPERLINK(CONCATENATE("#Metadata!", ADDRESS(INDEX($W$2:$W$1001,MATCH(ROWS($U$2:U506),$U$2:$U$1001,0),0), INDEX($AB$1004:$AQ$1004,1,MATCH(COLUMNS($AB$1006:AK1006),$AB$1006:$AQ$1006,0)))),"Fix")))</f>
        <v>0</v>
      </c>
      <c r="L506" s="5">
        <f>IF(OR(INDEX($V$2:$V$1001,MATCH(ROWS($U$2:U506),$U$2:$U$1001,0),1)&gt;=100000,INDEX($AB$1005:$AQ$1005,1,MATCH(COLUMNS($AB$1006:AL1006),$AB$1006:$AQ$1006,0))&gt;=100000), " ",IF(INDEX($AB$2:$AQ$1001,MATCH(ROWS($U$2:U506),$U$2:$U$1001,0),MATCH(COLUMNS($AB$1006:AL1006),$AB$1006:$AQ$1006,0)), HYPERLINK("#",""), HYPERLINK(CONCATENATE("#Metadata!", ADDRESS(INDEX($W$2:$W$1001,MATCH(ROWS($U$2:U506),$U$2:$U$1001,0),0), INDEX($AB$1004:$AQ$1004,1,MATCH(COLUMNS($AB$1006:AL1006),$AB$1006:$AQ$1006,0)))),"Fix")))</f>
        <v>0</v>
      </c>
      <c r="M506" s="5">
        <f>IF(OR(INDEX($V$2:$V$1001,MATCH(ROWS($U$2:U506),$U$2:$U$1001,0),1)&gt;=100000,INDEX($AB$1005:$AQ$1005,1,MATCH(COLUMNS($AB$1006:AM1006),$AB$1006:$AQ$1006,0))&gt;=100000), " ",IF(INDEX($AB$2:$AQ$1001,MATCH(ROWS($U$2:U506),$U$2:$U$1001,0),MATCH(COLUMNS($AB$1006:AM1006),$AB$1006:$AQ$1006,0)), HYPERLINK("#",""), HYPERLINK(CONCATENATE("#Metadata!", ADDRESS(INDEX($W$2:$W$1001,MATCH(ROWS($U$2:U506),$U$2:$U$1001,0),0), INDEX($AB$1004:$AQ$1004,1,MATCH(COLUMNS($AB$1006:AM1006),$AB$1006:$AQ$1006,0)))),"Fix")))</f>
        <v>0</v>
      </c>
      <c r="N506" s="5">
        <f>IF(OR(INDEX($V$2:$V$1001,MATCH(ROWS($U$2:U506),$U$2:$U$1001,0),1)&gt;=100000,INDEX($AB$1005:$AQ$1005,1,MATCH(COLUMNS($AB$1006:AN1006),$AB$1006:$AQ$1006,0))&gt;=100000), " ",IF(INDEX($AB$2:$AQ$1001,MATCH(ROWS($U$2:U506),$U$2:$U$1001,0),MATCH(COLUMNS($AB$1006:AN1006),$AB$1006:$AQ$1006,0)), HYPERLINK("#",""), HYPERLINK(CONCATENATE("#Metadata!", ADDRESS(INDEX($W$2:$W$1001,MATCH(ROWS($U$2:U506),$U$2:$U$1001,0),0), INDEX($AB$1004:$AQ$1004,1,MATCH(COLUMNS($AB$1006:AN1006),$AB$1006:$AQ$1006,0)))),"Fix")))</f>
        <v>0</v>
      </c>
      <c r="O506" s="5">
        <f>IF(OR(INDEX($V$2:$V$1001,MATCH(ROWS($U$2:U506),$U$2:$U$1001,0),1)&gt;=100000,INDEX($AB$1005:$AQ$1005,1,MATCH(COLUMNS($AB$1006:AO1006),$AB$1006:$AQ$1006,0))&gt;=100000), " ",IF(INDEX($AB$2:$AQ$1001,MATCH(ROWS($U$2:U506),$U$2:$U$1001,0),MATCH(COLUMNS($AB$1006:AO1006),$AB$1006:$AQ$1006,0)), HYPERLINK("#",""), HYPERLINK(CONCATENATE("#Metadata!", ADDRESS(INDEX($W$2:$W$1001,MATCH(ROWS($U$2:U506),$U$2:$U$1001,0),0), INDEX($AB$1004:$AQ$1004,1,MATCH(COLUMNS($AB$1006:AO1006),$AB$1006:$AQ$1006,0)))),"Fix")))</f>
        <v>0</v>
      </c>
      <c r="P506" s="5">
        <f>IF(OR(INDEX($V$2:$V$1001,MATCH(ROWS($U$2:U506),$U$2:$U$1001,0),1)&gt;=100000,INDEX($AB$1005:$AQ$1005,1,MATCH(COLUMNS($AB$1006:AP1006),$AB$1006:$AQ$1006,0))&gt;=100000), " ",IF(INDEX($AB$2:$AQ$1001,MATCH(ROWS($U$2:U506),$U$2:$U$1001,0),MATCH(COLUMNS($AB$1006:AP1006),$AB$1006:$AQ$1006,0)), HYPERLINK("#",""), HYPERLINK(CONCATENATE("#Metadata!", ADDRESS(INDEX($W$2:$W$1001,MATCH(ROWS($U$2:U506),$U$2:$U$1001,0),0), INDEX($AB$1004:$AQ$1004,1,MATCH(COLUMNS($AB$1006:AP1006),$AB$1006:$AQ$1006,0)))),"Fix")))</f>
        <v>0</v>
      </c>
      <c r="Q506" s="5">
        <f>IF(OR(INDEX($V$2:$V$1001,MATCH(ROWS($U$2:U506),$U$2:$U$1001,0),1)&gt;=100000,INDEX($AB$1005:$AQ$1005,1,MATCH(COLUMNS($AB$1006:AQ1006),$AB$1006:$AQ$1006,0))&gt;=100000), " ",IF(INDEX($AB$2:$AQ$1001,MATCH(ROWS($U$2:U506),$U$2:$U$1001,0),MATCH(COLUMNS($AB$1006:AQ1006),$AB$1006:$AQ$1006,0)), HYPERLINK("#",""), HYPERLINK(CONCATENATE("#Metadata!", ADDRESS(INDEX($W$2:$W$1001,MATCH(ROWS($U$2:U506),$U$2:$U$1001,0),0), INDEX($AB$1004:$AQ$1004,1,MATCH(COLUMNS($AB$1006:AQ1006),$AB$1006:$AQ$1006,0)))),"Fix")))</f>
        <v>0</v>
      </c>
      <c r="U506">
        <v>0</v>
      </c>
      <c r="V506">
        <v>0</v>
      </c>
      <c r="W506">
        <v>0</v>
      </c>
      <c r="X506">
        <f>IF(Y506,TRUE,AND(AB506:AQ506))</f>
        <v>0</v>
      </c>
      <c r="Y506">
        <f>COUNTBLANK(Metadata!B506:Q506)=COLUMNS(Metadata!B506:Q506)</f>
        <v>0</v>
      </c>
      <c r="Z506">
        <v>0</v>
      </c>
      <c r="AB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AC506">
        <f>AND(IF(Metadata!C506="",FALSE,TRUE),exact(Metadata!C506,"urban biome"))</f>
        <v>0</v>
      </c>
      <c r="AD506">
        <f>AND(IF(Metadata!D506="",FALSE,TRUE),exact(Metadata!D506,"human-associated habitat"))</f>
        <v>0</v>
      </c>
      <c r="AE506">
        <f>AND(IF(Metadata!E506="",FALSE,TRUE),OR(exact(Metadata!E506,"human-associated"),exact(Metadata!E506,"human-skin"),exact(Metadata!E506,"human-oral"),exact(Metadata!E506,"human-gut"),exact(Metadata!E506,"human-vaginal")))</f>
        <v>0</v>
      </c>
      <c r="AF506">
        <f>AND(IF(Metadata!F506="",FALSE,ISNUMBER(VALUE(Metadata!F506))),Metadata!F506&gt;0)</f>
        <v>0</v>
      </c>
      <c r="AG506">
        <f>AND(IF(Metadata!G506="",FALSE,TRUE),exact(Metadata!G506,"years"))</f>
        <v>0</v>
      </c>
      <c r="AH506">
        <f>OR(AND(IF(Metadata!H506="",FALSE,TRUE),OR(exact(Metadata!H506,"not applicable"),exact(Metadata!H506,"not collected"),exact(Metadata!H506,"not provided"),exact(Metadata!H506,"restricted access"))),AND(IF(Metadata!H506="",FALSE,ISNUMBER(VALUE(Metadata!H506))),Metadata!H506&gt;0))</f>
        <v>0</v>
      </c>
      <c r="AI506">
        <f>AND(IF(Metadata!I506="",FALSE,TRUE),exact(Metadata!I506,"human"))</f>
        <v>0</v>
      </c>
      <c r="AJ506">
        <f>AND(IF(Metadata!J506="",FALSE,ISNUMBER(VALUE(Metadata!J506))),Metadata!J506&gt;0)</f>
        <v>0</v>
      </c>
      <c r="AK506">
        <f>AND(IF(Metadata!K506="",FALSE,TRUE),exact(Metadata!K506,"cm"))</f>
        <v>0</v>
      </c>
      <c r="AL506">
        <f>AND(IF(Metadata!L506="",FALSE,TRUE),exact(Metadata!L506,"Homo sapiens"))</f>
        <v>0</v>
      </c>
      <c r="AM506">
        <f>AND(IF(Metadata!M506="",FALSE,TRUE),exact(Metadata!M506,"9606"))</f>
        <v>0</v>
      </c>
      <c r="AN506">
        <f>AND(IF(Metadata!N506="",FALSE,ISNUMBER(VALUE(Metadata!N506))),Metadata!N506&gt;0)</f>
        <v>0</v>
      </c>
      <c r="AO506">
        <f>AND(IF(Metadata!O506="",FALSE,TRUE),exact(Metadata!O506,"kg"))</f>
        <v>0</v>
      </c>
      <c r="AP506">
        <f>OR(AND(IF(Metadata!P506="",FALSE,TRUE),exact(Metadata!P506,"not provided")),IF(Metadata!P506="",FALSE,TRUE))</f>
        <v>0</v>
      </c>
      <c r="AQ506">
        <f>OR(AND(IF(Metadata!Q506="",FALSE,TRUE),exact(Metadata!Q506,"not provided")),IF(Metadata!Q506="",FALSE,TRUE))</f>
        <v>0</v>
      </c>
    </row>
    <row r="507" spans="1:43">
      <c r="A507" s="4">
        <f>IF(B507=" "," ",HYPERLINK(CONCATENATE("#metadata!",ADDRESS(INDEX($W$2:$W$1001,MATCH(ROWS($U$2:U507),$U$2:$U$1001,0),0),2)),INDEX($Z$2:$Z$1001,MATCH(ROWS($U$2:U507),$U$2:$U$1001,0),0)))</f>
        <v>0</v>
      </c>
      <c r="B507" s="5">
        <f>IF(OR(INDEX($V$2:$V$1001,MATCH(ROWS($U$2:U507),$U$2:$U$1001,0),1)&gt;=100000,INDEX($AB$1005:$AQ$1005,1,MATCH(COLUMNS($AB$1006:AB1006),$AB$1006:$AQ$1006,0))&gt;=100000), " ",IF(INDEX($AB$2:$AQ$1001,MATCH(ROWS($U$2:U507),$U$2:$U$1001,0),MATCH(COLUMNS($AB$1006:AB1006),$AB$1006:$AQ$1006,0)), HYPERLINK("#",""), HYPERLINK(CONCATENATE("#Metadata!", ADDRESS(INDEX($W$2:$W$1001,MATCH(ROWS($U$2:U507),$U$2:$U$1001,0),0), INDEX($AB$1004:$AQ$1004,1,MATCH(COLUMNS($AB$1006:AB1006),$AB$1006:$AQ$1006,0)))),"Fix")))</f>
        <v>0</v>
      </c>
      <c r="C507" s="5">
        <f>IF(OR(INDEX($V$2:$V$1001,MATCH(ROWS($U$2:U507),$U$2:$U$1001,0),1)&gt;=100000,INDEX($AB$1005:$AQ$1005,1,MATCH(COLUMNS($AB$1006:AC1006),$AB$1006:$AQ$1006,0))&gt;=100000), " ",IF(INDEX($AB$2:$AQ$1001,MATCH(ROWS($U$2:U507),$U$2:$U$1001,0),MATCH(COLUMNS($AB$1006:AC1006),$AB$1006:$AQ$1006,0)), HYPERLINK("#",""), HYPERLINK(CONCATENATE("#Metadata!", ADDRESS(INDEX($W$2:$W$1001,MATCH(ROWS($U$2:U507),$U$2:$U$1001,0),0), INDEX($AB$1004:$AQ$1004,1,MATCH(COLUMNS($AB$1006:AC1006),$AB$1006:$AQ$1006,0)))),"Fix")))</f>
        <v>0</v>
      </c>
      <c r="D507" s="5">
        <f>IF(OR(INDEX($V$2:$V$1001,MATCH(ROWS($U$2:U507),$U$2:$U$1001,0),1)&gt;=100000,INDEX($AB$1005:$AQ$1005,1,MATCH(COLUMNS($AB$1006:AD1006),$AB$1006:$AQ$1006,0))&gt;=100000), " ",IF(INDEX($AB$2:$AQ$1001,MATCH(ROWS($U$2:U507),$U$2:$U$1001,0),MATCH(COLUMNS($AB$1006:AD1006),$AB$1006:$AQ$1006,0)), HYPERLINK("#",""), HYPERLINK(CONCATENATE("#Metadata!", ADDRESS(INDEX($W$2:$W$1001,MATCH(ROWS($U$2:U507),$U$2:$U$1001,0),0), INDEX($AB$1004:$AQ$1004,1,MATCH(COLUMNS($AB$1006:AD1006),$AB$1006:$AQ$1006,0)))),"Fix")))</f>
        <v>0</v>
      </c>
      <c r="E507" s="5">
        <f>IF(OR(INDEX($V$2:$V$1001,MATCH(ROWS($U$2:U507),$U$2:$U$1001,0),1)&gt;=100000,INDEX($AB$1005:$AQ$1005,1,MATCH(COLUMNS($AB$1006:AE1006),$AB$1006:$AQ$1006,0))&gt;=100000), " ",IF(INDEX($AB$2:$AQ$1001,MATCH(ROWS($U$2:U507),$U$2:$U$1001,0),MATCH(COLUMNS($AB$1006:AE1006),$AB$1006:$AQ$1006,0)), HYPERLINK("#",""), HYPERLINK(CONCATENATE("#Metadata!", ADDRESS(INDEX($W$2:$W$1001,MATCH(ROWS($U$2:U507),$U$2:$U$1001,0),0), INDEX($AB$1004:$AQ$1004,1,MATCH(COLUMNS($AB$1006:AE1006),$AB$1006:$AQ$1006,0)))),"Fix")))</f>
        <v>0</v>
      </c>
      <c r="F507" s="5">
        <f>IF(OR(INDEX($V$2:$V$1001,MATCH(ROWS($U$2:U507),$U$2:$U$1001,0),1)&gt;=100000,INDEX($AB$1005:$AQ$1005,1,MATCH(COLUMNS($AB$1006:AF1006),$AB$1006:$AQ$1006,0))&gt;=100000), " ",IF(INDEX($AB$2:$AQ$1001,MATCH(ROWS($U$2:U507),$U$2:$U$1001,0),MATCH(COLUMNS($AB$1006:AF1006),$AB$1006:$AQ$1006,0)), HYPERLINK("#",""), HYPERLINK(CONCATENATE("#Metadata!", ADDRESS(INDEX($W$2:$W$1001,MATCH(ROWS($U$2:U507),$U$2:$U$1001,0),0), INDEX($AB$1004:$AQ$1004,1,MATCH(COLUMNS($AB$1006:AF1006),$AB$1006:$AQ$1006,0)))),"Fix")))</f>
        <v>0</v>
      </c>
      <c r="G507" s="5">
        <f>IF(OR(INDEX($V$2:$V$1001,MATCH(ROWS($U$2:U507),$U$2:$U$1001,0),1)&gt;=100000,INDEX($AB$1005:$AQ$1005,1,MATCH(COLUMNS($AB$1006:AG1006),$AB$1006:$AQ$1006,0))&gt;=100000), " ",IF(INDEX($AB$2:$AQ$1001,MATCH(ROWS($U$2:U507),$U$2:$U$1001,0),MATCH(COLUMNS($AB$1006:AG1006),$AB$1006:$AQ$1006,0)), HYPERLINK("#",""), HYPERLINK(CONCATENATE("#Metadata!", ADDRESS(INDEX($W$2:$W$1001,MATCH(ROWS($U$2:U507),$U$2:$U$1001,0),0), INDEX($AB$1004:$AQ$1004,1,MATCH(COLUMNS($AB$1006:AG1006),$AB$1006:$AQ$1006,0)))),"Fix")))</f>
        <v>0</v>
      </c>
      <c r="H507" s="5">
        <f>IF(OR(INDEX($V$2:$V$1001,MATCH(ROWS($U$2:U507),$U$2:$U$1001,0),1)&gt;=100000,INDEX($AB$1005:$AQ$1005,1,MATCH(COLUMNS($AB$1006:AH1006),$AB$1006:$AQ$1006,0))&gt;=100000), " ",IF(INDEX($AB$2:$AQ$1001,MATCH(ROWS($U$2:U507),$U$2:$U$1001,0),MATCH(COLUMNS($AB$1006:AH1006),$AB$1006:$AQ$1006,0)), HYPERLINK("#",""), HYPERLINK(CONCATENATE("#Metadata!", ADDRESS(INDEX($W$2:$W$1001,MATCH(ROWS($U$2:U507),$U$2:$U$1001,0),0), INDEX($AB$1004:$AQ$1004,1,MATCH(COLUMNS($AB$1006:AH1006),$AB$1006:$AQ$1006,0)))),"Fix")))</f>
        <v>0</v>
      </c>
      <c r="I507" s="5">
        <f>IF(OR(INDEX($V$2:$V$1001,MATCH(ROWS($U$2:U507),$U$2:$U$1001,0),1)&gt;=100000,INDEX($AB$1005:$AQ$1005,1,MATCH(COLUMNS($AB$1006:AI1006),$AB$1006:$AQ$1006,0))&gt;=100000), " ",IF(INDEX($AB$2:$AQ$1001,MATCH(ROWS($U$2:U507),$U$2:$U$1001,0),MATCH(COLUMNS($AB$1006:AI1006),$AB$1006:$AQ$1006,0)), HYPERLINK("#",""), HYPERLINK(CONCATENATE("#Metadata!", ADDRESS(INDEX($W$2:$W$1001,MATCH(ROWS($U$2:U507),$U$2:$U$1001,0),0), INDEX($AB$1004:$AQ$1004,1,MATCH(COLUMNS($AB$1006:AI1006),$AB$1006:$AQ$1006,0)))),"Fix")))</f>
        <v>0</v>
      </c>
      <c r="J507" s="5">
        <f>IF(OR(INDEX($V$2:$V$1001,MATCH(ROWS($U$2:U507),$U$2:$U$1001,0),1)&gt;=100000,INDEX($AB$1005:$AQ$1005,1,MATCH(COLUMNS($AB$1006:AJ1006),$AB$1006:$AQ$1006,0))&gt;=100000), " ",IF(INDEX($AB$2:$AQ$1001,MATCH(ROWS($U$2:U507),$U$2:$U$1001,0),MATCH(COLUMNS($AB$1006:AJ1006),$AB$1006:$AQ$1006,0)), HYPERLINK("#",""), HYPERLINK(CONCATENATE("#Metadata!", ADDRESS(INDEX($W$2:$W$1001,MATCH(ROWS($U$2:U507),$U$2:$U$1001,0),0), INDEX($AB$1004:$AQ$1004,1,MATCH(COLUMNS($AB$1006:AJ1006),$AB$1006:$AQ$1006,0)))),"Fix")))</f>
        <v>0</v>
      </c>
      <c r="K507" s="5">
        <f>IF(OR(INDEX($V$2:$V$1001,MATCH(ROWS($U$2:U507),$U$2:$U$1001,0),1)&gt;=100000,INDEX($AB$1005:$AQ$1005,1,MATCH(COLUMNS($AB$1006:AK1006),$AB$1006:$AQ$1006,0))&gt;=100000), " ",IF(INDEX($AB$2:$AQ$1001,MATCH(ROWS($U$2:U507),$U$2:$U$1001,0),MATCH(COLUMNS($AB$1006:AK1006),$AB$1006:$AQ$1006,0)), HYPERLINK("#",""), HYPERLINK(CONCATENATE("#Metadata!", ADDRESS(INDEX($W$2:$W$1001,MATCH(ROWS($U$2:U507),$U$2:$U$1001,0),0), INDEX($AB$1004:$AQ$1004,1,MATCH(COLUMNS($AB$1006:AK1006),$AB$1006:$AQ$1006,0)))),"Fix")))</f>
        <v>0</v>
      </c>
      <c r="L507" s="5">
        <f>IF(OR(INDEX($V$2:$V$1001,MATCH(ROWS($U$2:U507),$U$2:$U$1001,0),1)&gt;=100000,INDEX($AB$1005:$AQ$1005,1,MATCH(COLUMNS($AB$1006:AL1006),$AB$1006:$AQ$1006,0))&gt;=100000), " ",IF(INDEX($AB$2:$AQ$1001,MATCH(ROWS($U$2:U507),$U$2:$U$1001,0),MATCH(COLUMNS($AB$1006:AL1006),$AB$1006:$AQ$1006,0)), HYPERLINK("#",""), HYPERLINK(CONCATENATE("#Metadata!", ADDRESS(INDEX($W$2:$W$1001,MATCH(ROWS($U$2:U507),$U$2:$U$1001,0),0), INDEX($AB$1004:$AQ$1004,1,MATCH(COLUMNS($AB$1006:AL1006),$AB$1006:$AQ$1006,0)))),"Fix")))</f>
        <v>0</v>
      </c>
      <c r="M507" s="5">
        <f>IF(OR(INDEX($V$2:$V$1001,MATCH(ROWS($U$2:U507),$U$2:$U$1001,0),1)&gt;=100000,INDEX($AB$1005:$AQ$1005,1,MATCH(COLUMNS($AB$1006:AM1006),$AB$1006:$AQ$1006,0))&gt;=100000), " ",IF(INDEX($AB$2:$AQ$1001,MATCH(ROWS($U$2:U507),$U$2:$U$1001,0),MATCH(COLUMNS($AB$1006:AM1006),$AB$1006:$AQ$1006,0)), HYPERLINK("#",""), HYPERLINK(CONCATENATE("#Metadata!", ADDRESS(INDEX($W$2:$W$1001,MATCH(ROWS($U$2:U507),$U$2:$U$1001,0),0), INDEX($AB$1004:$AQ$1004,1,MATCH(COLUMNS($AB$1006:AM1006),$AB$1006:$AQ$1006,0)))),"Fix")))</f>
        <v>0</v>
      </c>
      <c r="N507" s="5">
        <f>IF(OR(INDEX($V$2:$V$1001,MATCH(ROWS($U$2:U507),$U$2:$U$1001,0),1)&gt;=100000,INDEX($AB$1005:$AQ$1005,1,MATCH(COLUMNS($AB$1006:AN1006),$AB$1006:$AQ$1006,0))&gt;=100000), " ",IF(INDEX($AB$2:$AQ$1001,MATCH(ROWS($U$2:U507),$U$2:$U$1001,0),MATCH(COLUMNS($AB$1006:AN1006),$AB$1006:$AQ$1006,0)), HYPERLINK("#",""), HYPERLINK(CONCATENATE("#Metadata!", ADDRESS(INDEX($W$2:$W$1001,MATCH(ROWS($U$2:U507),$U$2:$U$1001,0),0), INDEX($AB$1004:$AQ$1004,1,MATCH(COLUMNS($AB$1006:AN1006),$AB$1006:$AQ$1006,0)))),"Fix")))</f>
        <v>0</v>
      </c>
      <c r="O507" s="5">
        <f>IF(OR(INDEX($V$2:$V$1001,MATCH(ROWS($U$2:U507),$U$2:$U$1001,0),1)&gt;=100000,INDEX($AB$1005:$AQ$1005,1,MATCH(COLUMNS($AB$1006:AO1006),$AB$1006:$AQ$1006,0))&gt;=100000), " ",IF(INDEX($AB$2:$AQ$1001,MATCH(ROWS($U$2:U507),$U$2:$U$1001,0),MATCH(COLUMNS($AB$1006:AO1006),$AB$1006:$AQ$1006,0)), HYPERLINK("#",""), HYPERLINK(CONCATENATE("#Metadata!", ADDRESS(INDEX($W$2:$W$1001,MATCH(ROWS($U$2:U507),$U$2:$U$1001,0),0), INDEX($AB$1004:$AQ$1004,1,MATCH(COLUMNS($AB$1006:AO1006),$AB$1006:$AQ$1006,0)))),"Fix")))</f>
        <v>0</v>
      </c>
      <c r="P507" s="5">
        <f>IF(OR(INDEX($V$2:$V$1001,MATCH(ROWS($U$2:U507),$U$2:$U$1001,0),1)&gt;=100000,INDEX($AB$1005:$AQ$1005,1,MATCH(COLUMNS($AB$1006:AP1006),$AB$1006:$AQ$1006,0))&gt;=100000), " ",IF(INDEX($AB$2:$AQ$1001,MATCH(ROWS($U$2:U507),$U$2:$U$1001,0),MATCH(COLUMNS($AB$1006:AP1006),$AB$1006:$AQ$1006,0)), HYPERLINK("#",""), HYPERLINK(CONCATENATE("#Metadata!", ADDRESS(INDEX($W$2:$W$1001,MATCH(ROWS($U$2:U507),$U$2:$U$1001,0),0), INDEX($AB$1004:$AQ$1004,1,MATCH(COLUMNS($AB$1006:AP1006),$AB$1006:$AQ$1006,0)))),"Fix")))</f>
        <v>0</v>
      </c>
      <c r="Q507" s="5">
        <f>IF(OR(INDEX($V$2:$V$1001,MATCH(ROWS($U$2:U507),$U$2:$U$1001,0),1)&gt;=100000,INDEX($AB$1005:$AQ$1005,1,MATCH(COLUMNS($AB$1006:AQ1006),$AB$1006:$AQ$1006,0))&gt;=100000), " ",IF(INDEX($AB$2:$AQ$1001,MATCH(ROWS($U$2:U507),$U$2:$U$1001,0),MATCH(COLUMNS($AB$1006:AQ1006),$AB$1006:$AQ$1006,0)), HYPERLINK("#",""), HYPERLINK(CONCATENATE("#Metadata!", ADDRESS(INDEX($W$2:$W$1001,MATCH(ROWS($U$2:U507),$U$2:$U$1001,0),0), INDEX($AB$1004:$AQ$1004,1,MATCH(COLUMNS($AB$1006:AQ1006),$AB$1006:$AQ$1006,0)))),"Fix")))</f>
        <v>0</v>
      </c>
      <c r="U507">
        <v>0</v>
      </c>
      <c r="V507">
        <v>0</v>
      </c>
      <c r="W507">
        <v>0</v>
      </c>
      <c r="X507">
        <f>IF(Y507,TRUE,AND(AB507:AQ507))</f>
        <v>0</v>
      </c>
      <c r="Y507">
        <f>COUNTBLANK(Metadata!B507:Q507)=COLUMNS(Metadata!B507:Q507)</f>
        <v>0</v>
      </c>
      <c r="Z507">
        <v>0</v>
      </c>
      <c r="AB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AC507">
        <f>AND(IF(Metadata!C507="",FALSE,TRUE),exact(Metadata!C507,"urban biome"))</f>
        <v>0</v>
      </c>
      <c r="AD507">
        <f>AND(IF(Metadata!D507="",FALSE,TRUE),exact(Metadata!D507,"human-associated habitat"))</f>
        <v>0</v>
      </c>
      <c r="AE507">
        <f>AND(IF(Metadata!E507="",FALSE,TRUE),OR(exact(Metadata!E507,"human-associated"),exact(Metadata!E507,"human-skin"),exact(Metadata!E507,"human-oral"),exact(Metadata!E507,"human-gut"),exact(Metadata!E507,"human-vaginal")))</f>
        <v>0</v>
      </c>
      <c r="AF507">
        <f>AND(IF(Metadata!F507="",FALSE,ISNUMBER(VALUE(Metadata!F507))),Metadata!F507&gt;0)</f>
        <v>0</v>
      </c>
      <c r="AG507">
        <f>AND(IF(Metadata!G507="",FALSE,TRUE),exact(Metadata!G507,"years"))</f>
        <v>0</v>
      </c>
      <c r="AH507">
        <f>OR(AND(IF(Metadata!H507="",FALSE,TRUE),OR(exact(Metadata!H507,"not applicable"),exact(Metadata!H507,"not collected"),exact(Metadata!H507,"not provided"),exact(Metadata!H507,"restricted access"))),AND(IF(Metadata!H507="",FALSE,ISNUMBER(VALUE(Metadata!H507))),Metadata!H507&gt;0))</f>
        <v>0</v>
      </c>
      <c r="AI507">
        <f>AND(IF(Metadata!I507="",FALSE,TRUE),exact(Metadata!I507,"human"))</f>
        <v>0</v>
      </c>
      <c r="AJ507">
        <f>AND(IF(Metadata!J507="",FALSE,ISNUMBER(VALUE(Metadata!J507))),Metadata!J507&gt;0)</f>
        <v>0</v>
      </c>
      <c r="AK507">
        <f>AND(IF(Metadata!K507="",FALSE,TRUE),exact(Metadata!K507,"cm"))</f>
        <v>0</v>
      </c>
      <c r="AL507">
        <f>AND(IF(Metadata!L507="",FALSE,TRUE),exact(Metadata!L507,"Homo sapiens"))</f>
        <v>0</v>
      </c>
      <c r="AM507">
        <f>AND(IF(Metadata!M507="",FALSE,TRUE),exact(Metadata!M507,"9606"))</f>
        <v>0</v>
      </c>
      <c r="AN507">
        <f>AND(IF(Metadata!N507="",FALSE,ISNUMBER(VALUE(Metadata!N507))),Metadata!N507&gt;0)</f>
        <v>0</v>
      </c>
      <c r="AO507">
        <f>AND(IF(Metadata!O507="",FALSE,TRUE),exact(Metadata!O507,"kg"))</f>
        <v>0</v>
      </c>
      <c r="AP507">
        <f>OR(AND(IF(Metadata!P507="",FALSE,TRUE),exact(Metadata!P507,"not provided")),IF(Metadata!P507="",FALSE,TRUE))</f>
        <v>0</v>
      </c>
      <c r="AQ507">
        <f>OR(AND(IF(Metadata!Q507="",FALSE,TRUE),exact(Metadata!Q507,"not provided")),IF(Metadata!Q507="",FALSE,TRUE))</f>
        <v>0</v>
      </c>
    </row>
    <row r="508" spans="1:43">
      <c r="A508" s="4">
        <f>IF(B508=" "," ",HYPERLINK(CONCATENATE("#metadata!",ADDRESS(INDEX($W$2:$W$1001,MATCH(ROWS($U$2:U508),$U$2:$U$1001,0),0),2)),INDEX($Z$2:$Z$1001,MATCH(ROWS($U$2:U508),$U$2:$U$1001,0),0)))</f>
        <v>0</v>
      </c>
      <c r="B508" s="5">
        <f>IF(OR(INDEX($V$2:$V$1001,MATCH(ROWS($U$2:U508),$U$2:$U$1001,0),1)&gt;=100000,INDEX($AB$1005:$AQ$1005,1,MATCH(COLUMNS($AB$1006:AB1006),$AB$1006:$AQ$1006,0))&gt;=100000), " ",IF(INDEX($AB$2:$AQ$1001,MATCH(ROWS($U$2:U508),$U$2:$U$1001,0),MATCH(COLUMNS($AB$1006:AB1006),$AB$1006:$AQ$1006,0)), HYPERLINK("#",""), HYPERLINK(CONCATENATE("#Metadata!", ADDRESS(INDEX($W$2:$W$1001,MATCH(ROWS($U$2:U508),$U$2:$U$1001,0),0), INDEX($AB$1004:$AQ$1004,1,MATCH(COLUMNS($AB$1006:AB1006),$AB$1006:$AQ$1006,0)))),"Fix")))</f>
        <v>0</v>
      </c>
      <c r="C508" s="5">
        <f>IF(OR(INDEX($V$2:$V$1001,MATCH(ROWS($U$2:U508),$U$2:$U$1001,0),1)&gt;=100000,INDEX($AB$1005:$AQ$1005,1,MATCH(COLUMNS($AB$1006:AC1006),$AB$1006:$AQ$1006,0))&gt;=100000), " ",IF(INDEX($AB$2:$AQ$1001,MATCH(ROWS($U$2:U508),$U$2:$U$1001,0),MATCH(COLUMNS($AB$1006:AC1006),$AB$1006:$AQ$1006,0)), HYPERLINK("#",""), HYPERLINK(CONCATENATE("#Metadata!", ADDRESS(INDEX($W$2:$W$1001,MATCH(ROWS($U$2:U508),$U$2:$U$1001,0),0), INDEX($AB$1004:$AQ$1004,1,MATCH(COLUMNS($AB$1006:AC1006),$AB$1006:$AQ$1006,0)))),"Fix")))</f>
        <v>0</v>
      </c>
      <c r="D508" s="5">
        <f>IF(OR(INDEX($V$2:$V$1001,MATCH(ROWS($U$2:U508),$U$2:$U$1001,0),1)&gt;=100000,INDEX($AB$1005:$AQ$1005,1,MATCH(COLUMNS($AB$1006:AD1006),$AB$1006:$AQ$1006,0))&gt;=100000), " ",IF(INDEX($AB$2:$AQ$1001,MATCH(ROWS($U$2:U508),$U$2:$U$1001,0),MATCH(COLUMNS($AB$1006:AD1006),$AB$1006:$AQ$1006,0)), HYPERLINK("#",""), HYPERLINK(CONCATENATE("#Metadata!", ADDRESS(INDEX($W$2:$W$1001,MATCH(ROWS($U$2:U508),$U$2:$U$1001,0),0), INDEX($AB$1004:$AQ$1004,1,MATCH(COLUMNS($AB$1006:AD1006),$AB$1006:$AQ$1006,0)))),"Fix")))</f>
        <v>0</v>
      </c>
      <c r="E508" s="5">
        <f>IF(OR(INDEX($V$2:$V$1001,MATCH(ROWS($U$2:U508),$U$2:$U$1001,0),1)&gt;=100000,INDEX($AB$1005:$AQ$1005,1,MATCH(COLUMNS($AB$1006:AE1006),$AB$1006:$AQ$1006,0))&gt;=100000), " ",IF(INDEX($AB$2:$AQ$1001,MATCH(ROWS($U$2:U508),$U$2:$U$1001,0),MATCH(COLUMNS($AB$1006:AE1006),$AB$1006:$AQ$1006,0)), HYPERLINK("#",""), HYPERLINK(CONCATENATE("#Metadata!", ADDRESS(INDEX($W$2:$W$1001,MATCH(ROWS($U$2:U508),$U$2:$U$1001,0),0), INDEX($AB$1004:$AQ$1004,1,MATCH(COLUMNS($AB$1006:AE1006),$AB$1006:$AQ$1006,0)))),"Fix")))</f>
        <v>0</v>
      </c>
      <c r="F508" s="5">
        <f>IF(OR(INDEX($V$2:$V$1001,MATCH(ROWS($U$2:U508),$U$2:$U$1001,0),1)&gt;=100000,INDEX($AB$1005:$AQ$1005,1,MATCH(COLUMNS($AB$1006:AF1006),$AB$1006:$AQ$1006,0))&gt;=100000), " ",IF(INDEX($AB$2:$AQ$1001,MATCH(ROWS($U$2:U508),$U$2:$U$1001,0),MATCH(COLUMNS($AB$1006:AF1006),$AB$1006:$AQ$1006,0)), HYPERLINK("#",""), HYPERLINK(CONCATENATE("#Metadata!", ADDRESS(INDEX($W$2:$W$1001,MATCH(ROWS($U$2:U508),$U$2:$U$1001,0),0), INDEX($AB$1004:$AQ$1004,1,MATCH(COLUMNS($AB$1006:AF1006),$AB$1006:$AQ$1006,0)))),"Fix")))</f>
        <v>0</v>
      </c>
      <c r="G508" s="5">
        <f>IF(OR(INDEX($V$2:$V$1001,MATCH(ROWS($U$2:U508),$U$2:$U$1001,0),1)&gt;=100000,INDEX($AB$1005:$AQ$1005,1,MATCH(COLUMNS($AB$1006:AG1006),$AB$1006:$AQ$1006,0))&gt;=100000), " ",IF(INDEX($AB$2:$AQ$1001,MATCH(ROWS($U$2:U508),$U$2:$U$1001,0),MATCH(COLUMNS($AB$1006:AG1006),$AB$1006:$AQ$1006,0)), HYPERLINK("#",""), HYPERLINK(CONCATENATE("#Metadata!", ADDRESS(INDEX($W$2:$W$1001,MATCH(ROWS($U$2:U508),$U$2:$U$1001,0),0), INDEX($AB$1004:$AQ$1004,1,MATCH(COLUMNS($AB$1006:AG1006),$AB$1006:$AQ$1006,0)))),"Fix")))</f>
        <v>0</v>
      </c>
      <c r="H508" s="5">
        <f>IF(OR(INDEX($V$2:$V$1001,MATCH(ROWS($U$2:U508),$U$2:$U$1001,0),1)&gt;=100000,INDEX($AB$1005:$AQ$1005,1,MATCH(COLUMNS($AB$1006:AH1006),$AB$1006:$AQ$1006,0))&gt;=100000), " ",IF(INDEX($AB$2:$AQ$1001,MATCH(ROWS($U$2:U508),$U$2:$U$1001,0),MATCH(COLUMNS($AB$1006:AH1006),$AB$1006:$AQ$1006,0)), HYPERLINK("#",""), HYPERLINK(CONCATENATE("#Metadata!", ADDRESS(INDEX($W$2:$W$1001,MATCH(ROWS($U$2:U508),$U$2:$U$1001,0),0), INDEX($AB$1004:$AQ$1004,1,MATCH(COLUMNS($AB$1006:AH1006),$AB$1006:$AQ$1006,0)))),"Fix")))</f>
        <v>0</v>
      </c>
      <c r="I508" s="5">
        <f>IF(OR(INDEX($V$2:$V$1001,MATCH(ROWS($U$2:U508),$U$2:$U$1001,0),1)&gt;=100000,INDEX($AB$1005:$AQ$1005,1,MATCH(COLUMNS($AB$1006:AI1006),$AB$1006:$AQ$1006,0))&gt;=100000), " ",IF(INDEX($AB$2:$AQ$1001,MATCH(ROWS($U$2:U508),$U$2:$U$1001,0),MATCH(COLUMNS($AB$1006:AI1006),$AB$1006:$AQ$1006,0)), HYPERLINK("#",""), HYPERLINK(CONCATENATE("#Metadata!", ADDRESS(INDEX($W$2:$W$1001,MATCH(ROWS($U$2:U508),$U$2:$U$1001,0),0), INDEX($AB$1004:$AQ$1004,1,MATCH(COLUMNS($AB$1006:AI1006),$AB$1006:$AQ$1006,0)))),"Fix")))</f>
        <v>0</v>
      </c>
      <c r="J508" s="5">
        <f>IF(OR(INDEX($V$2:$V$1001,MATCH(ROWS($U$2:U508),$U$2:$U$1001,0),1)&gt;=100000,INDEX($AB$1005:$AQ$1005,1,MATCH(COLUMNS($AB$1006:AJ1006),$AB$1006:$AQ$1006,0))&gt;=100000), " ",IF(INDEX($AB$2:$AQ$1001,MATCH(ROWS($U$2:U508),$U$2:$U$1001,0),MATCH(COLUMNS($AB$1006:AJ1006),$AB$1006:$AQ$1006,0)), HYPERLINK("#",""), HYPERLINK(CONCATENATE("#Metadata!", ADDRESS(INDEX($W$2:$W$1001,MATCH(ROWS($U$2:U508),$U$2:$U$1001,0),0), INDEX($AB$1004:$AQ$1004,1,MATCH(COLUMNS($AB$1006:AJ1006),$AB$1006:$AQ$1006,0)))),"Fix")))</f>
        <v>0</v>
      </c>
      <c r="K508" s="5">
        <f>IF(OR(INDEX($V$2:$V$1001,MATCH(ROWS($U$2:U508),$U$2:$U$1001,0),1)&gt;=100000,INDEX($AB$1005:$AQ$1005,1,MATCH(COLUMNS($AB$1006:AK1006),$AB$1006:$AQ$1006,0))&gt;=100000), " ",IF(INDEX($AB$2:$AQ$1001,MATCH(ROWS($U$2:U508),$U$2:$U$1001,0),MATCH(COLUMNS($AB$1006:AK1006),$AB$1006:$AQ$1006,0)), HYPERLINK("#",""), HYPERLINK(CONCATENATE("#Metadata!", ADDRESS(INDEX($W$2:$W$1001,MATCH(ROWS($U$2:U508),$U$2:$U$1001,0),0), INDEX($AB$1004:$AQ$1004,1,MATCH(COLUMNS($AB$1006:AK1006),$AB$1006:$AQ$1006,0)))),"Fix")))</f>
        <v>0</v>
      </c>
      <c r="L508" s="5">
        <f>IF(OR(INDEX($V$2:$V$1001,MATCH(ROWS($U$2:U508),$U$2:$U$1001,0),1)&gt;=100000,INDEX($AB$1005:$AQ$1005,1,MATCH(COLUMNS($AB$1006:AL1006),$AB$1006:$AQ$1006,0))&gt;=100000), " ",IF(INDEX($AB$2:$AQ$1001,MATCH(ROWS($U$2:U508),$U$2:$U$1001,0),MATCH(COLUMNS($AB$1006:AL1006),$AB$1006:$AQ$1006,0)), HYPERLINK("#",""), HYPERLINK(CONCATENATE("#Metadata!", ADDRESS(INDEX($W$2:$W$1001,MATCH(ROWS($U$2:U508),$U$2:$U$1001,0),0), INDEX($AB$1004:$AQ$1004,1,MATCH(COLUMNS($AB$1006:AL1006),$AB$1006:$AQ$1006,0)))),"Fix")))</f>
        <v>0</v>
      </c>
      <c r="M508" s="5">
        <f>IF(OR(INDEX($V$2:$V$1001,MATCH(ROWS($U$2:U508),$U$2:$U$1001,0),1)&gt;=100000,INDEX($AB$1005:$AQ$1005,1,MATCH(COLUMNS($AB$1006:AM1006),$AB$1006:$AQ$1006,0))&gt;=100000), " ",IF(INDEX($AB$2:$AQ$1001,MATCH(ROWS($U$2:U508),$U$2:$U$1001,0),MATCH(COLUMNS($AB$1006:AM1006),$AB$1006:$AQ$1006,0)), HYPERLINK("#",""), HYPERLINK(CONCATENATE("#Metadata!", ADDRESS(INDEX($W$2:$W$1001,MATCH(ROWS($U$2:U508),$U$2:$U$1001,0),0), INDEX($AB$1004:$AQ$1004,1,MATCH(COLUMNS($AB$1006:AM1006),$AB$1006:$AQ$1006,0)))),"Fix")))</f>
        <v>0</v>
      </c>
      <c r="N508" s="5">
        <f>IF(OR(INDEX($V$2:$V$1001,MATCH(ROWS($U$2:U508),$U$2:$U$1001,0),1)&gt;=100000,INDEX($AB$1005:$AQ$1005,1,MATCH(COLUMNS($AB$1006:AN1006),$AB$1006:$AQ$1006,0))&gt;=100000), " ",IF(INDEX($AB$2:$AQ$1001,MATCH(ROWS($U$2:U508),$U$2:$U$1001,0),MATCH(COLUMNS($AB$1006:AN1006),$AB$1006:$AQ$1006,0)), HYPERLINK("#",""), HYPERLINK(CONCATENATE("#Metadata!", ADDRESS(INDEX($W$2:$W$1001,MATCH(ROWS($U$2:U508),$U$2:$U$1001,0),0), INDEX($AB$1004:$AQ$1004,1,MATCH(COLUMNS($AB$1006:AN1006),$AB$1006:$AQ$1006,0)))),"Fix")))</f>
        <v>0</v>
      </c>
      <c r="O508" s="5">
        <f>IF(OR(INDEX($V$2:$V$1001,MATCH(ROWS($U$2:U508),$U$2:$U$1001,0),1)&gt;=100000,INDEX($AB$1005:$AQ$1005,1,MATCH(COLUMNS($AB$1006:AO1006),$AB$1006:$AQ$1006,0))&gt;=100000), " ",IF(INDEX($AB$2:$AQ$1001,MATCH(ROWS($U$2:U508),$U$2:$U$1001,0),MATCH(COLUMNS($AB$1006:AO1006),$AB$1006:$AQ$1006,0)), HYPERLINK("#",""), HYPERLINK(CONCATENATE("#Metadata!", ADDRESS(INDEX($W$2:$W$1001,MATCH(ROWS($U$2:U508),$U$2:$U$1001,0),0), INDEX($AB$1004:$AQ$1004,1,MATCH(COLUMNS($AB$1006:AO1006),$AB$1006:$AQ$1006,0)))),"Fix")))</f>
        <v>0</v>
      </c>
      <c r="P508" s="5">
        <f>IF(OR(INDEX($V$2:$V$1001,MATCH(ROWS($U$2:U508),$U$2:$U$1001,0),1)&gt;=100000,INDEX($AB$1005:$AQ$1005,1,MATCH(COLUMNS($AB$1006:AP1006),$AB$1006:$AQ$1006,0))&gt;=100000), " ",IF(INDEX($AB$2:$AQ$1001,MATCH(ROWS($U$2:U508),$U$2:$U$1001,0),MATCH(COLUMNS($AB$1006:AP1006),$AB$1006:$AQ$1006,0)), HYPERLINK("#",""), HYPERLINK(CONCATENATE("#Metadata!", ADDRESS(INDEX($W$2:$W$1001,MATCH(ROWS($U$2:U508),$U$2:$U$1001,0),0), INDEX($AB$1004:$AQ$1004,1,MATCH(COLUMNS($AB$1006:AP1006),$AB$1006:$AQ$1006,0)))),"Fix")))</f>
        <v>0</v>
      </c>
      <c r="Q508" s="5">
        <f>IF(OR(INDEX($V$2:$V$1001,MATCH(ROWS($U$2:U508),$U$2:$U$1001,0),1)&gt;=100000,INDEX($AB$1005:$AQ$1005,1,MATCH(COLUMNS($AB$1006:AQ1006),$AB$1006:$AQ$1006,0))&gt;=100000), " ",IF(INDEX($AB$2:$AQ$1001,MATCH(ROWS($U$2:U508),$U$2:$U$1001,0),MATCH(COLUMNS($AB$1006:AQ1006),$AB$1006:$AQ$1006,0)), HYPERLINK("#",""), HYPERLINK(CONCATENATE("#Metadata!", ADDRESS(INDEX($W$2:$W$1001,MATCH(ROWS($U$2:U508),$U$2:$U$1001,0),0), INDEX($AB$1004:$AQ$1004,1,MATCH(COLUMNS($AB$1006:AQ1006),$AB$1006:$AQ$1006,0)))),"Fix")))</f>
        <v>0</v>
      </c>
      <c r="U508">
        <v>0</v>
      </c>
      <c r="V508">
        <v>0</v>
      </c>
      <c r="W508">
        <v>0</v>
      </c>
      <c r="X508">
        <f>IF(Y508,TRUE,AND(AB508:AQ508))</f>
        <v>0</v>
      </c>
      <c r="Y508">
        <f>COUNTBLANK(Metadata!B508:Q508)=COLUMNS(Metadata!B508:Q508)</f>
        <v>0</v>
      </c>
      <c r="Z508">
        <v>0</v>
      </c>
      <c r="AB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AC508">
        <f>AND(IF(Metadata!C508="",FALSE,TRUE),exact(Metadata!C508,"urban biome"))</f>
        <v>0</v>
      </c>
      <c r="AD508">
        <f>AND(IF(Metadata!D508="",FALSE,TRUE),exact(Metadata!D508,"human-associated habitat"))</f>
        <v>0</v>
      </c>
      <c r="AE508">
        <f>AND(IF(Metadata!E508="",FALSE,TRUE),OR(exact(Metadata!E508,"human-associated"),exact(Metadata!E508,"human-skin"),exact(Metadata!E508,"human-oral"),exact(Metadata!E508,"human-gut"),exact(Metadata!E508,"human-vaginal")))</f>
        <v>0</v>
      </c>
      <c r="AF508">
        <f>AND(IF(Metadata!F508="",FALSE,ISNUMBER(VALUE(Metadata!F508))),Metadata!F508&gt;0)</f>
        <v>0</v>
      </c>
      <c r="AG508">
        <f>AND(IF(Metadata!G508="",FALSE,TRUE),exact(Metadata!G508,"years"))</f>
        <v>0</v>
      </c>
      <c r="AH508">
        <f>OR(AND(IF(Metadata!H508="",FALSE,TRUE),OR(exact(Metadata!H508,"not applicable"),exact(Metadata!H508,"not collected"),exact(Metadata!H508,"not provided"),exact(Metadata!H508,"restricted access"))),AND(IF(Metadata!H508="",FALSE,ISNUMBER(VALUE(Metadata!H508))),Metadata!H508&gt;0))</f>
        <v>0</v>
      </c>
      <c r="AI508">
        <f>AND(IF(Metadata!I508="",FALSE,TRUE),exact(Metadata!I508,"human"))</f>
        <v>0</v>
      </c>
      <c r="AJ508">
        <f>AND(IF(Metadata!J508="",FALSE,ISNUMBER(VALUE(Metadata!J508))),Metadata!J508&gt;0)</f>
        <v>0</v>
      </c>
      <c r="AK508">
        <f>AND(IF(Metadata!K508="",FALSE,TRUE),exact(Metadata!K508,"cm"))</f>
        <v>0</v>
      </c>
      <c r="AL508">
        <f>AND(IF(Metadata!L508="",FALSE,TRUE),exact(Metadata!L508,"Homo sapiens"))</f>
        <v>0</v>
      </c>
      <c r="AM508">
        <f>AND(IF(Metadata!M508="",FALSE,TRUE),exact(Metadata!M508,"9606"))</f>
        <v>0</v>
      </c>
      <c r="AN508">
        <f>AND(IF(Metadata!N508="",FALSE,ISNUMBER(VALUE(Metadata!N508))),Metadata!N508&gt;0)</f>
        <v>0</v>
      </c>
      <c r="AO508">
        <f>AND(IF(Metadata!O508="",FALSE,TRUE),exact(Metadata!O508,"kg"))</f>
        <v>0</v>
      </c>
      <c r="AP508">
        <f>OR(AND(IF(Metadata!P508="",FALSE,TRUE),exact(Metadata!P508,"not provided")),IF(Metadata!P508="",FALSE,TRUE))</f>
        <v>0</v>
      </c>
      <c r="AQ508">
        <f>OR(AND(IF(Metadata!Q508="",FALSE,TRUE),exact(Metadata!Q508,"not provided")),IF(Metadata!Q508="",FALSE,TRUE))</f>
        <v>0</v>
      </c>
    </row>
    <row r="509" spans="1:43">
      <c r="A509" s="4">
        <f>IF(B509=" "," ",HYPERLINK(CONCATENATE("#metadata!",ADDRESS(INDEX($W$2:$W$1001,MATCH(ROWS($U$2:U509),$U$2:$U$1001,0),0),2)),INDEX($Z$2:$Z$1001,MATCH(ROWS($U$2:U509),$U$2:$U$1001,0),0)))</f>
        <v>0</v>
      </c>
      <c r="B509" s="5">
        <f>IF(OR(INDEX($V$2:$V$1001,MATCH(ROWS($U$2:U509),$U$2:$U$1001,0),1)&gt;=100000,INDEX($AB$1005:$AQ$1005,1,MATCH(COLUMNS($AB$1006:AB1006),$AB$1006:$AQ$1006,0))&gt;=100000), " ",IF(INDEX($AB$2:$AQ$1001,MATCH(ROWS($U$2:U509),$U$2:$U$1001,0),MATCH(COLUMNS($AB$1006:AB1006),$AB$1006:$AQ$1006,0)), HYPERLINK("#",""), HYPERLINK(CONCATENATE("#Metadata!", ADDRESS(INDEX($W$2:$W$1001,MATCH(ROWS($U$2:U509),$U$2:$U$1001,0),0), INDEX($AB$1004:$AQ$1004,1,MATCH(COLUMNS($AB$1006:AB1006),$AB$1006:$AQ$1006,0)))),"Fix")))</f>
        <v>0</v>
      </c>
      <c r="C509" s="5">
        <f>IF(OR(INDEX($V$2:$V$1001,MATCH(ROWS($U$2:U509),$U$2:$U$1001,0),1)&gt;=100000,INDEX($AB$1005:$AQ$1005,1,MATCH(COLUMNS($AB$1006:AC1006),$AB$1006:$AQ$1006,0))&gt;=100000), " ",IF(INDEX($AB$2:$AQ$1001,MATCH(ROWS($U$2:U509),$U$2:$U$1001,0),MATCH(COLUMNS($AB$1006:AC1006),$AB$1006:$AQ$1006,0)), HYPERLINK("#",""), HYPERLINK(CONCATENATE("#Metadata!", ADDRESS(INDEX($W$2:$W$1001,MATCH(ROWS($U$2:U509),$U$2:$U$1001,0),0), INDEX($AB$1004:$AQ$1004,1,MATCH(COLUMNS($AB$1006:AC1006),$AB$1006:$AQ$1006,0)))),"Fix")))</f>
        <v>0</v>
      </c>
      <c r="D509" s="5">
        <f>IF(OR(INDEX($V$2:$V$1001,MATCH(ROWS($U$2:U509),$U$2:$U$1001,0),1)&gt;=100000,INDEX($AB$1005:$AQ$1005,1,MATCH(COLUMNS($AB$1006:AD1006),$AB$1006:$AQ$1006,0))&gt;=100000), " ",IF(INDEX($AB$2:$AQ$1001,MATCH(ROWS($U$2:U509),$U$2:$U$1001,0),MATCH(COLUMNS($AB$1006:AD1006),$AB$1006:$AQ$1006,0)), HYPERLINK("#",""), HYPERLINK(CONCATENATE("#Metadata!", ADDRESS(INDEX($W$2:$W$1001,MATCH(ROWS($U$2:U509),$U$2:$U$1001,0),0), INDEX($AB$1004:$AQ$1004,1,MATCH(COLUMNS($AB$1006:AD1006),$AB$1006:$AQ$1006,0)))),"Fix")))</f>
        <v>0</v>
      </c>
      <c r="E509" s="5">
        <f>IF(OR(INDEX($V$2:$V$1001,MATCH(ROWS($U$2:U509),$U$2:$U$1001,0),1)&gt;=100000,INDEX($AB$1005:$AQ$1005,1,MATCH(COLUMNS($AB$1006:AE1006),$AB$1006:$AQ$1006,0))&gt;=100000), " ",IF(INDEX($AB$2:$AQ$1001,MATCH(ROWS($U$2:U509),$U$2:$U$1001,0),MATCH(COLUMNS($AB$1006:AE1006),$AB$1006:$AQ$1006,0)), HYPERLINK("#",""), HYPERLINK(CONCATENATE("#Metadata!", ADDRESS(INDEX($W$2:$W$1001,MATCH(ROWS($U$2:U509),$U$2:$U$1001,0),0), INDEX($AB$1004:$AQ$1004,1,MATCH(COLUMNS($AB$1006:AE1006),$AB$1006:$AQ$1006,0)))),"Fix")))</f>
        <v>0</v>
      </c>
      <c r="F509" s="5">
        <f>IF(OR(INDEX($V$2:$V$1001,MATCH(ROWS($U$2:U509),$U$2:$U$1001,0),1)&gt;=100000,INDEX($AB$1005:$AQ$1005,1,MATCH(COLUMNS($AB$1006:AF1006),$AB$1006:$AQ$1006,0))&gt;=100000), " ",IF(INDEX($AB$2:$AQ$1001,MATCH(ROWS($U$2:U509),$U$2:$U$1001,0),MATCH(COLUMNS($AB$1006:AF1006),$AB$1006:$AQ$1006,0)), HYPERLINK("#",""), HYPERLINK(CONCATENATE("#Metadata!", ADDRESS(INDEX($W$2:$W$1001,MATCH(ROWS($U$2:U509),$U$2:$U$1001,0),0), INDEX($AB$1004:$AQ$1004,1,MATCH(COLUMNS($AB$1006:AF1006),$AB$1006:$AQ$1006,0)))),"Fix")))</f>
        <v>0</v>
      </c>
      <c r="G509" s="5">
        <f>IF(OR(INDEX($V$2:$V$1001,MATCH(ROWS($U$2:U509),$U$2:$U$1001,0),1)&gt;=100000,INDEX($AB$1005:$AQ$1005,1,MATCH(COLUMNS($AB$1006:AG1006),$AB$1006:$AQ$1006,0))&gt;=100000), " ",IF(INDEX($AB$2:$AQ$1001,MATCH(ROWS($U$2:U509),$U$2:$U$1001,0),MATCH(COLUMNS($AB$1006:AG1006),$AB$1006:$AQ$1006,0)), HYPERLINK("#",""), HYPERLINK(CONCATENATE("#Metadata!", ADDRESS(INDEX($W$2:$W$1001,MATCH(ROWS($U$2:U509),$U$2:$U$1001,0),0), INDEX($AB$1004:$AQ$1004,1,MATCH(COLUMNS($AB$1006:AG1006),$AB$1006:$AQ$1006,0)))),"Fix")))</f>
        <v>0</v>
      </c>
      <c r="H509" s="5">
        <f>IF(OR(INDEX($V$2:$V$1001,MATCH(ROWS($U$2:U509),$U$2:$U$1001,0),1)&gt;=100000,INDEX($AB$1005:$AQ$1005,1,MATCH(COLUMNS($AB$1006:AH1006),$AB$1006:$AQ$1006,0))&gt;=100000), " ",IF(INDEX($AB$2:$AQ$1001,MATCH(ROWS($U$2:U509),$U$2:$U$1001,0),MATCH(COLUMNS($AB$1006:AH1006),$AB$1006:$AQ$1006,0)), HYPERLINK("#",""), HYPERLINK(CONCATENATE("#Metadata!", ADDRESS(INDEX($W$2:$W$1001,MATCH(ROWS($U$2:U509),$U$2:$U$1001,0),0), INDEX($AB$1004:$AQ$1004,1,MATCH(COLUMNS($AB$1006:AH1006),$AB$1006:$AQ$1006,0)))),"Fix")))</f>
        <v>0</v>
      </c>
      <c r="I509" s="5">
        <f>IF(OR(INDEX($V$2:$V$1001,MATCH(ROWS($U$2:U509),$U$2:$U$1001,0),1)&gt;=100000,INDEX($AB$1005:$AQ$1005,1,MATCH(COLUMNS($AB$1006:AI1006),$AB$1006:$AQ$1006,0))&gt;=100000), " ",IF(INDEX($AB$2:$AQ$1001,MATCH(ROWS($U$2:U509),$U$2:$U$1001,0),MATCH(COLUMNS($AB$1006:AI1006),$AB$1006:$AQ$1006,0)), HYPERLINK("#",""), HYPERLINK(CONCATENATE("#Metadata!", ADDRESS(INDEX($W$2:$W$1001,MATCH(ROWS($U$2:U509),$U$2:$U$1001,0),0), INDEX($AB$1004:$AQ$1004,1,MATCH(COLUMNS($AB$1006:AI1006),$AB$1006:$AQ$1006,0)))),"Fix")))</f>
        <v>0</v>
      </c>
      <c r="J509" s="5">
        <f>IF(OR(INDEX($V$2:$V$1001,MATCH(ROWS($U$2:U509),$U$2:$U$1001,0),1)&gt;=100000,INDEX($AB$1005:$AQ$1005,1,MATCH(COLUMNS($AB$1006:AJ1006),$AB$1006:$AQ$1006,0))&gt;=100000), " ",IF(INDEX($AB$2:$AQ$1001,MATCH(ROWS($U$2:U509),$U$2:$U$1001,0),MATCH(COLUMNS($AB$1006:AJ1006),$AB$1006:$AQ$1006,0)), HYPERLINK("#",""), HYPERLINK(CONCATENATE("#Metadata!", ADDRESS(INDEX($W$2:$W$1001,MATCH(ROWS($U$2:U509),$U$2:$U$1001,0),0), INDEX($AB$1004:$AQ$1004,1,MATCH(COLUMNS($AB$1006:AJ1006),$AB$1006:$AQ$1006,0)))),"Fix")))</f>
        <v>0</v>
      </c>
      <c r="K509" s="5">
        <f>IF(OR(INDEX($V$2:$V$1001,MATCH(ROWS($U$2:U509),$U$2:$U$1001,0),1)&gt;=100000,INDEX($AB$1005:$AQ$1005,1,MATCH(COLUMNS($AB$1006:AK1006),$AB$1006:$AQ$1006,0))&gt;=100000), " ",IF(INDEX($AB$2:$AQ$1001,MATCH(ROWS($U$2:U509),$U$2:$U$1001,0),MATCH(COLUMNS($AB$1006:AK1006),$AB$1006:$AQ$1006,0)), HYPERLINK("#",""), HYPERLINK(CONCATENATE("#Metadata!", ADDRESS(INDEX($W$2:$W$1001,MATCH(ROWS($U$2:U509),$U$2:$U$1001,0),0), INDEX($AB$1004:$AQ$1004,1,MATCH(COLUMNS($AB$1006:AK1006),$AB$1006:$AQ$1006,0)))),"Fix")))</f>
        <v>0</v>
      </c>
      <c r="L509" s="5">
        <f>IF(OR(INDEX($V$2:$V$1001,MATCH(ROWS($U$2:U509),$U$2:$U$1001,0),1)&gt;=100000,INDEX($AB$1005:$AQ$1005,1,MATCH(COLUMNS($AB$1006:AL1006),$AB$1006:$AQ$1006,0))&gt;=100000), " ",IF(INDEX($AB$2:$AQ$1001,MATCH(ROWS($U$2:U509),$U$2:$U$1001,0),MATCH(COLUMNS($AB$1006:AL1006),$AB$1006:$AQ$1006,0)), HYPERLINK("#",""), HYPERLINK(CONCATENATE("#Metadata!", ADDRESS(INDEX($W$2:$W$1001,MATCH(ROWS($U$2:U509),$U$2:$U$1001,0),0), INDEX($AB$1004:$AQ$1004,1,MATCH(COLUMNS($AB$1006:AL1006),$AB$1006:$AQ$1006,0)))),"Fix")))</f>
        <v>0</v>
      </c>
      <c r="M509" s="5">
        <f>IF(OR(INDEX($V$2:$V$1001,MATCH(ROWS($U$2:U509),$U$2:$U$1001,0),1)&gt;=100000,INDEX($AB$1005:$AQ$1005,1,MATCH(COLUMNS($AB$1006:AM1006),$AB$1006:$AQ$1006,0))&gt;=100000), " ",IF(INDEX($AB$2:$AQ$1001,MATCH(ROWS($U$2:U509),$U$2:$U$1001,0),MATCH(COLUMNS($AB$1006:AM1006),$AB$1006:$AQ$1006,0)), HYPERLINK("#",""), HYPERLINK(CONCATENATE("#Metadata!", ADDRESS(INDEX($W$2:$W$1001,MATCH(ROWS($U$2:U509),$U$2:$U$1001,0),0), INDEX($AB$1004:$AQ$1004,1,MATCH(COLUMNS($AB$1006:AM1006),$AB$1006:$AQ$1006,0)))),"Fix")))</f>
        <v>0</v>
      </c>
      <c r="N509" s="5">
        <f>IF(OR(INDEX($V$2:$V$1001,MATCH(ROWS($U$2:U509),$U$2:$U$1001,0),1)&gt;=100000,INDEX($AB$1005:$AQ$1005,1,MATCH(COLUMNS($AB$1006:AN1006),$AB$1006:$AQ$1006,0))&gt;=100000), " ",IF(INDEX($AB$2:$AQ$1001,MATCH(ROWS($U$2:U509),$U$2:$U$1001,0),MATCH(COLUMNS($AB$1006:AN1006),$AB$1006:$AQ$1006,0)), HYPERLINK("#",""), HYPERLINK(CONCATENATE("#Metadata!", ADDRESS(INDEX($W$2:$W$1001,MATCH(ROWS($U$2:U509),$U$2:$U$1001,0),0), INDEX($AB$1004:$AQ$1004,1,MATCH(COLUMNS($AB$1006:AN1006),$AB$1006:$AQ$1006,0)))),"Fix")))</f>
        <v>0</v>
      </c>
      <c r="O509" s="5">
        <f>IF(OR(INDEX($V$2:$V$1001,MATCH(ROWS($U$2:U509),$U$2:$U$1001,0),1)&gt;=100000,INDEX($AB$1005:$AQ$1005,1,MATCH(COLUMNS($AB$1006:AO1006),$AB$1006:$AQ$1006,0))&gt;=100000), " ",IF(INDEX($AB$2:$AQ$1001,MATCH(ROWS($U$2:U509),$U$2:$U$1001,0),MATCH(COLUMNS($AB$1006:AO1006),$AB$1006:$AQ$1006,0)), HYPERLINK("#",""), HYPERLINK(CONCATENATE("#Metadata!", ADDRESS(INDEX($W$2:$W$1001,MATCH(ROWS($U$2:U509),$U$2:$U$1001,0),0), INDEX($AB$1004:$AQ$1004,1,MATCH(COLUMNS($AB$1006:AO1006),$AB$1006:$AQ$1006,0)))),"Fix")))</f>
        <v>0</v>
      </c>
      <c r="P509" s="5">
        <f>IF(OR(INDEX($V$2:$V$1001,MATCH(ROWS($U$2:U509),$U$2:$U$1001,0),1)&gt;=100000,INDEX($AB$1005:$AQ$1005,1,MATCH(COLUMNS($AB$1006:AP1006),$AB$1006:$AQ$1006,0))&gt;=100000), " ",IF(INDEX($AB$2:$AQ$1001,MATCH(ROWS($U$2:U509),$U$2:$U$1001,0),MATCH(COLUMNS($AB$1006:AP1006),$AB$1006:$AQ$1006,0)), HYPERLINK("#",""), HYPERLINK(CONCATENATE("#Metadata!", ADDRESS(INDEX($W$2:$W$1001,MATCH(ROWS($U$2:U509),$U$2:$U$1001,0),0), INDEX($AB$1004:$AQ$1004,1,MATCH(COLUMNS($AB$1006:AP1006),$AB$1006:$AQ$1006,0)))),"Fix")))</f>
        <v>0</v>
      </c>
      <c r="Q509" s="5">
        <f>IF(OR(INDEX($V$2:$V$1001,MATCH(ROWS($U$2:U509),$U$2:$U$1001,0),1)&gt;=100000,INDEX($AB$1005:$AQ$1005,1,MATCH(COLUMNS($AB$1006:AQ1006),$AB$1006:$AQ$1006,0))&gt;=100000), " ",IF(INDEX($AB$2:$AQ$1001,MATCH(ROWS($U$2:U509),$U$2:$U$1001,0),MATCH(COLUMNS($AB$1006:AQ1006),$AB$1006:$AQ$1006,0)), HYPERLINK("#",""), HYPERLINK(CONCATENATE("#Metadata!", ADDRESS(INDEX($W$2:$W$1001,MATCH(ROWS($U$2:U509),$U$2:$U$1001,0),0), INDEX($AB$1004:$AQ$1004,1,MATCH(COLUMNS($AB$1006:AQ1006),$AB$1006:$AQ$1006,0)))),"Fix")))</f>
        <v>0</v>
      </c>
      <c r="U509">
        <v>0</v>
      </c>
      <c r="V509">
        <v>0</v>
      </c>
      <c r="W509">
        <v>0</v>
      </c>
      <c r="X509">
        <f>IF(Y509,TRUE,AND(AB509:AQ509))</f>
        <v>0</v>
      </c>
      <c r="Y509">
        <f>COUNTBLANK(Metadata!B509:Q509)=COLUMNS(Metadata!B509:Q509)</f>
        <v>0</v>
      </c>
      <c r="Z509">
        <v>0</v>
      </c>
      <c r="AB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AC509">
        <f>AND(IF(Metadata!C509="",FALSE,TRUE),exact(Metadata!C509,"urban biome"))</f>
        <v>0</v>
      </c>
      <c r="AD509">
        <f>AND(IF(Metadata!D509="",FALSE,TRUE),exact(Metadata!D509,"human-associated habitat"))</f>
        <v>0</v>
      </c>
      <c r="AE509">
        <f>AND(IF(Metadata!E509="",FALSE,TRUE),OR(exact(Metadata!E509,"human-associated"),exact(Metadata!E509,"human-skin"),exact(Metadata!E509,"human-oral"),exact(Metadata!E509,"human-gut"),exact(Metadata!E509,"human-vaginal")))</f>
        <v>0</v>
      </c>
      <c r="AF509">
        <f>AND(IF(Metadata!F509="",FALSE,ISNUMBER(VALUE(Metadata!F509))),Metadata!F509&gt;0)</f>
        <v>0</v>
      </c>
      <c r="AG509">
        <f>AND(IF(Metadata!G509="",FALSE,TRUE),exact(Metadata!G509,"years"))</f>
        <v>0</v>
      </c>
      <c r="AH509">
        <f>OR(AND(IF(Metadata!H509="",FALSE,TRUE),OR(exact(Metadata!H509,"not applicable"),exact(Metadata!H509,"not collected"),exact(Metadata!H509,"not provided"),exact(Metadata!H509,"restricted access"))),AND(IF(Metadata!H509="",FALSE,ISNUMBER(VALUE(Metadata!H509))),Metadata!H509&gt;0))</f>
        <v>0</v>
      </c>
      <c r="AI509">
        <f>AND(IF(Metadata!I509="",FALSE,TRUE),exact(Metadata!I509,"human"))</f>
        <v>0</v>
      </c>
      <c r="AJ509">
        <f>AND(IF(Metadata!J509="",FALSE,ISNUMBER(VALUE(Metadata!J509))),Metadata!J509&gt;0)</f>
        <v>0</v>
      </c>
      <c r="AK509">
        <f>AND(IF(Metadata!K509="",FALSE,TRUE),exact(Metadata!K509,"cm"))</f>
        <v>0</v>
      </c>
      <c r="AL509">
        <f>AND(IF(Metadata!L509="",FALSE,TRUE),exact(Metadata!L509,"Homo sapiens"))</f>
        <v>0</v>
      </c>
      <c r="AM509">
        <f>AND(IF(Metadata!M509="",FALSE,TRUE),exact(Metadata!M509,"9606"))</f>
        <v>0</v>
      </c>
      <c r="AN509">
        <f>AND(IF(Metadata!N509="",FALSE,ISNUMBER(VALUE(Metadata!N509))),Metadata!N509&gt;0)</f>
        <v>0</v>
      </c>
      <c r="AO509">
        <f>AND(IF(Metadata!O509="",FALSE,TRUE),exact(Metadata!O509,"kg"))</f>
        <v>0</v>
      </c>
      <c r="AP509">
        <f>OR(AND(IF(Metadata!P509="",FALSE,TRUE),exact(Metadata!P509,"not provided")),IF(Metadata!P509="",FALSE,TRUE))</f>
        <v>0</v>
      </c>
      <c r="AQ509">
        <f>OR(AND(IF(Metadata!Q509="",FALSE,TRUE),exact(Metadata!Q509,"not provided")),IF(Metadata!Q509="",FALSE,TRUE))</f>
        <v>0</v>
      </c>
    </row>
    <row r="510" spans="1:43">
      <c r="A510" s="4">
        <f>IF(B510=" "," ",HYPERLINK(CONCATENATE("#metadata!",ADDRESS(INDEX($W$2:$W$1001,MATCH(ROWS($U$2:U510),$U$2:$U$1001,0),0),2)),INDEX($Z$2:$Z$1001,MATCH(ROWS($U$2:U510),$U$2:$U$1001,0),0)))</f>
        <v>0</v>
      </c>
      <c r="B510" s="5">
        <f>IF(OR(INDEX($V$2:$V$1001,MATCH(ROWS($U$2:U510),$U$2:$U$1001,0),1)&gt;=100000,INDEX($AB$1005:$AQ$1005,1,MATCH(COLUMNS($AB$1006:AB1006),$AB$1006:$AQ$1006,0))&gt;=100000), " ",IF(INDEX($AB$2:$AQ$1001,MATCH(ROWS($U$2:U510),$U$2:$U$1001,0),MATCH(COLUMNS($AB$1006:AB1006),$AB$1006:$AQ$1006,0)), HYPERLINK("#",""), HYPERLINK(CONCATENATE("#Metadata!", ADDRESS(INDEX($W$2:$W$1001,MATCH(ROWS($U$2:U510),$U$2:$U$1001,0),0), INDEX($AB$1004:$AQ$1004,1,MATCH(COLUMNS($AB$1006:AB1006),$AB$1006:$AQ$1006,0)))),"Fix")))</f>
        <v>0</v>
      </c>
      <c r="C510" s="5">
        <f>IF(OR(INDEX($V$2:$V$1001,MATCH(ROWS($U$2:U510),$U$2:$U$1001,0),1)&gt;=100000,INDEX($AB$1005:$AQ$1005,1,MATCH(COLUMNS($AB$1006:AC1006),$AB$1006:$AQ$1006,0))&gt;=100000), " ",IF(INDEX($AB$2:$AQ$1001,MATCH(ROWS($U$2:U510),$U$2:$U$1001,0),MATCH(COLUMNS($AB$1006:AC1006),$AB$1006:$AQ$1006,0)), HYPERLINK("#",""), HYPERLINK(CONCATENATE("#Metadata!", ADDRESS(INDEX($W$2:$W$1001,MATCH(ROWS($U$2:U510),$U$2:$U$1001,0),0), INDEX($AB$1004:$AQ$1004,1,MATCH(COLUMNS($AB$1006:AC1006),$AB$1006:$AQ$1006,0)))),"Fix")))</f>
        <v>0</v>
      </c>
      <c r="D510" s="5">
        <f>IF(OR(INDEX($V$2:$V$1001,MATCH(ROWS($U$2:U510),$U$2:$U$1001,0),1)&gt;=100000,INDEX($AB$1005:$AQ$1005,1,MATCH(COLUMNS($AB$1006:AD1006),$AB$1006:$AQ$1006,0))&gt;=100000), " ",IF(INDEX($AB$2:$AQ$1001,MATCH(ROWS($U$2:U510),$U$2:$U$1001,0),MATCH(COLUMNS($AB$1006:AD1006),$AB$1006:$AQ$1006,0)), HYPERLINK("#",""), HYPERLINK(CONCATENATE("#Metadata!", ADDRESS(INDEX($W$2:$W$1001,MATCH(ROWS($U$2:U510),$U$2:$U$1001,0),0), INDEX($AB$1004:$AQ$1004,1,MATCH(COLUMNS($AB$1006:AD1006),$AB$1006:$AQ$1006,0)))),"Fix")))</f>
        <v>0</v>
      </c>
      <c r="E510" s="5">
        <f>IF(OR(INDEX($V$2:$V$1001,MATCH(ROWS($U$2:U510),$U$2:$U$1001,0),1)&gt;=100000,INDEX($AB$1005:$AQ$1005,1,MATCH(COLUMNS($AB$1006:AE1006),$AB$1006:$AQ$1006,0))&gt;=100000), " ",IF(INDEX($AB$2:$AQ$1001,MATCH(ROWS($U$2:U510),$U$2:$U$1001,0),MATCH(COLUMNS($AB$1006:AE1006),$AB$1006:$AQ$1006,0)), HYPERLINK("#",""), HYPERLINK(CONCATENATE("#Metadata!", ADDRESS(INDEX($W$2:$W$1001,MATCH(ROWS($U$2:U510),$U$2:$U$1001,0),0), INDEX($AB$1004:$AQ$1004,1,MATCH(COLUMNS($AB$1006:AE1006),$AB$1006:$AQ$1006,0)))),"Fix")))</f>
        <v>0</v>
      </c>
      <c r="F510" s="5">
        <f>IF(OR(INDEX($V$2:$V$1001,MATCH(ROWS($U$2:U510),$U$2:$U$1001,0),1)&gt;=100000,INDEX($AB$1005:$AQ$1005,1,MATCH(COLUMNS($AB$1006:AF1006),$AB$1006:$AQ$1006,0))&gt;=100000), " ",IF(INDEX($AB$2:$AQ$1001,MATCH(ROWS($U$2:U510),$U$2:$U$1001,0),MATCH(COLUMNS($AB$1006:AF1006),$AB$1006:$AQ$1006,0)), HYPERLINK("#",""), HYPERLINK(CONCATENATE("#Metadata!", ADDRESS(INDEX($W$2:$W$1001,MATCH(ROWS($U$2:U510),$U$2:$U$1001,0),0), INDEX($AB$1004:$AQ$1004,1,MATCH(COLUMNS($AB$1006:AF1006),$AB$1006:$AQ$1006,0)))),"Fix")))</f>
        <v>0</v>
      </c>
      <c r="G510" s="5">
        <f>IF(OR(INDEX($V$2:$V$1001,MATCH(ROWS($U$2:U510),$U$2:$U$1001,0),1)&gt;=100000,INDEX($AB$1005:$AQ$1005,1,MATCH(COLUMNS($AB$1006:AG1006),$AB$1006:$AQ$1006,0))&gt;=100000), " ",IF(INDEX($AB$2:$AQ$1001,MATCH(ROWS($U$2:U510),$U$2:$U$1001,0),MATCH(COLUMNS($AB$1006:AG1006),$AB$1006:$AQ$1006,0)), HYPERLINK("#",""), HYPERLINK(CONCATENATE("#Metadata!", ADDRESS(INDEX($W$2:$W$1001,MATCH(ROWS($U$2:U510),$U$2:$U$1001,0),0), INDEX($AB$1004:$AQ$1004,1,MATCH(COLUMNS($AB$1006:AG1006),$AB$1006:$AQ$1006,0)))),"Fix")))</f>
        <v>0</v>
      </c>
      <c r="H510" s="5">
        <f>IF(OR(INDEX($V$2:$V$1001,MATCH(ROWS($U$2:U510),$U$2:$U$1001,0),1)&gt;=100000,INDEX($AB$1005:$AQ$1005,1,MATCH(COLUMNS($AB$1006:AH1006),$AB$1006:$AQ$1006,0))&gt;=100000), " ",IF(INDEX($AB$2:$AQ$1001,MATCH(ROWS($U$2:U510),$U$2:$U$1001,0),MATCH(COLUMNS($AB$1006:AH1006),$AB$1006:$AQ$1006,0)), HYPERLINK("#",""), HYPERLINK(CONCATENATE("#Metadata!", ADDRESS(INDEX($W$2:$W$1001,MATCH(ROWS($U$2:U510),$U$2:$U$1001,0),0), INDEX($AB$1004:$AQ$1004,1,MATCH(COLUMNS($AB$1006:AH1006),$AB$1006:$AQ$1006,0)))),"Fix")))</f>
        <v>0</v>
      </c>
      <c r="I510" s="5">
        <f>IF(OR(INDEX($V$2:$V$1001,MATCH(ROWS($U$2:U510),$U$2:$U$1001,0),1)&gt;=100000,INDEX($AB$1005:$AQ$1005,1,MATCH(COLUMNS($AB$1006:AI1006),$AB$1006:$AQ$1006,0))&gt;=100000), " ",IF(INDEX($AB$2:$AQ$1001,MATCH(ROWS($U$2:U510),$U$2:$U$1001,0),MATCH(COLUMNS($AB$1006:AI1006),$AB$1006:$AQ$1006,0)), HYPERLINK("#",""), HYPERLINK(CONCATENATE("#Metadata!", ADDRESS(INDEX($W$2:$W$1001,MATCH(ROWS($U$2:U510),$U$2:$U$1001,0),0), INDEX($AB$1004:$AQ$1004,1,MATCH(COLUMNS($AB$1006:AI1006),$AB$1006:$AQ$1006,0)))),"Fix")))</f>
        <v>0</v>
      </c>
      <c r="J510" s="5">
        <f>IF(OR(INDEX($V$2:$V$1001,MATCH(ROWS($U$2:U510),$U$2:$U$1001,0),1)&gt;=100000,INDEX($AB$1005:$AQ$1005,1,MATCH(COLUMNS($AB$1006:AJ1006),$AB$1006:$AQ$1006,0))&gt;=100000), " ",IF(INDEX($AB$2:$AQ$1001,MATCH(ROWS($U$2:U510),$U$2:$U$1001,0),MATCH(COLUMNS($AB$1006:AJ1006),$AB$1006:$AQ$1006,0)), HYPERLINK("#",""), HYPERLINK(CONCATENATE("#Metadata!", ADDRESS(INDEX($W$2:$W$1001,MATCH(ROWS($U$2:U510),$U$2:$U$1001,0),0), INDEX($AB$1004:$AQ$1004,1,MATCH(COLUMNS($AB$1006:AJ1006),$AB$1006:$AQ$1006,0)))),"Fix")))</f>
        <v>0</v>
      </c>
      <c r="K510" s="5">
        <f>IF(OR(INDEX($V$2:$V$1001,MATCH(ROWS($U$2:U510),$U$2:$U$1001,0),1)&gt;=100000,INDEX($AB$1005:$AQ$1005,1,MATCH(COLUMNS($AB$1006:AK1006),$AB$1006:$AQ$1006,0))&gt;=100000), " ",IF(INDEX($AB$2:$AQ$1001,MATCH(ROWS($U$2:U510),$U$2:$U$1001,0),MATCH(COLUMNS($AB$1006:AK1006),$AB$1006:$AQ$1006,0)), HYPERLINK("#",""), HYPERLINK(CONCATENATE("#Metadata!", ADDRESS(INDEX($W$2:$W$1001,MATCH(ROWS($U$2:U510),$U$2:$U$1001,0),0), INDEX($AB$1004:$AQ$1004,1,MATCH(COLUMNS($AB$1006:AK1006),$AB$1006:$AQ$1006,0)))),"Fix")))</f>
        <v>0</v>
      </c>
      <c r="L510" s="5">
        <f>IF(OR(INDEX($V$2:$V$1001,MATCH(ROWS($U$2:U510),$U$2:$U$1001,0),1)&gt;=100000,INDEX($AB$1005:$AQ$1005,1,MATCH(COLUMNS($AB$1006:AL1006),$AB$1006:$AQ$1006,0))&gt;=100000), " ",IF(INDEX($AB$2:$AQ$1001,MATCH(ROWS($U$2:U510),$U$2:$U$1001,0),MATCH(COLUMNS($AB$1006:AL1006),$AB$1006:$AQ$1006,0)), HYPERLINK("#",""), HYPERLINK(CONCATENATE("#Metadata!", ADDRESS(INDEX($W$2:$W$1001,MATCH(ROWS($U$2:U510),$U$2:$U$1001,0),0), INDEX($AB$1004:$AQ$1004,1,MATCH(COLUMNS($AB$1006:AL1006),$AB$1006:$AQ$1006,0)))),"Fix")))</f>
        <v>0</v>
      </c>
      <c r="M510" s="5">
        <f>IF(OR(INDEX($V$2:$V$1001,MATCH(ROWS($U$2:U510),$U$2:$U$1001,0),1)&gt;=100000,INDEX($AB$1005:$AQ$1005,1,MATCH(COLUMNS($AB$1006:AM1006),$AB$1006:$AQ$1006,0))&gt;=100000), " ",IF(INDEX($AB$2:$AQ$1001,MATCH(ROWS($U$2:U510),$U$2:$U$1001,0),MATCH(COLUMNS($AB$1006:AM1006),$AB$1006:$AQ$1006,0)), HYPERLINK("#",""), HYPERLINK(CONCATENATE("#Metadata!", ADDRESS(INDEX($W$2:$W$1001,MATCH(ROWS($U$2:U510),$U$2:$U$1001,0),0), INDEX($AB$1004:$AQ$1004,1,MATCH(COLUMNS($AB$1006:AM1006),$AB$1006:$AQ$1006,0)))),"Fix")))</f>
        <v>0</v>
      </c>
      <c r="N510" s="5">
        <f>IF(OR(INDEX($V$2:$V$1001,MATCH(ROWS($U$2:U510),$U$2:$U$1001,0),1)&gt;=100000,INDEX($AB$1005:$AQ$1005,1,MATCH(COLUMNS($AB$1006:AN1006),$AB$1006:$AQ$1006,0))&gt;=100000), " ",IF(INDEX($AB$2:$AQ$1001,MATCH(ROWS($U$2:U510),$U$2:$U$1001,0),MATCH(COLUMNS($AB$1006:AN1006),$AB$1006:$AQ$1006,0)), HYPERLINK("#",""), HYPERLINK(CONCATENATE("#Metadata!", ADDRESS(INDEX($W$2:$W$1001,MATCH(ROWS($U$2:U510),$U$2:$U$1001,0),0), INDEX($AB$1004:$AQ$1004,1,MATCH(COLUMNS($AB$1006:AN1006),$AB$1006:$AQ$1006,0)))),"Fix")))</f>
        <v>0</v>
      </c>
      <c r="O510" s="5">
        <f>IF(OR(INDEX($V$2:$V$1001,MATCH(ROWS($U$2:U510),$U$2:$U$1001,0),1)&gt;=100000,INDEX($AB$1005:$AQ$1005,1,MATCH(COLUMNS($AB$1006:AO1006),$AB$1006:$AQ$1006,0))&gt;=100000), " ",IF(INDEX($AB$2:$AQ$1001,MATCH(ROWS($U$2:U510),$U$2:$U$1001,0),MATCH(COLUMNS($AB$1006:AO1006),$AB$1006:$AQ$1006,0)), HYPERLINK("#",""), HYPERLINK(CONCATENATE("#Metadata!", ADDRESS(INDEX($W$2:$W$1001,MATCH(ROWS($U$2:U510),$U$2:$U$1001,0),0), INDEX($AB$1004:$AQ$1004,1,MATCH(COLUMNS($AB$1006:AO1006),$AB$1006:$AQ$1006,0)))),"Fix")))</f>
        <v>0</v>
      </c>
      <c r="P510" s="5">
        <f>IF(OR(INDEX($V$2:$V$1001,MATCH(ROWS($U$2:U510),$U$2:$U$1001,0),1)&gt;=100000,INDEX($AB$1005:$AQ$1005,1,MATCH(COLUMNS($AB$1006:AP1006),$AB$1006:$AQ$1006,0))&gt;=100000), " ",IF(INDEX($AB$2:$AQ$1001,MATCH(ROWS($U$2:U510),$U$2:$U$1001,0),MATCH(COLUMNS($AB$1006:AP1006),$AB$1006:$AQ$1006,0)), HYPERLINK("#",""), HYPERLINK(CONCATENATE("#Metadata!", ADDRESS(INDEX($W$2:$W$1001,MATCH(ROWS($U$2:U510),$U$2:$U$1001,0),0), INDEX($AB$1004:$AQ$1004,1,MATCH(COLUMNS($AB$1006:AP1006),$AB$1006:$AQ$1006,0)))),"Fix")))</f>
        <v>0</v>
      </c>
      <c r="Q510" s="5">
        <f>IF(OR(INDEX($V$2:$V$1001,MATCH(ROWS($U$2:U510),$U$2:$U$1001,0),1)&gt;=100000,INDEX($AB$1005:$AQ$1005,1,MATCH(COLUMNS($AB$1006:AQ1006),$AB$1006:$AQ$1006,0))&gt;=100000), " ",IF(INDEX($AB$2:$AQ$1001,MATCH(ROWS($U$2:U510),$U$2:$U$1001,0),MATCH(COLUMNS($AB$1006:AQ1006),$AB$1006:$AQ$1006,0)), HYPERLINK("#",""), HYPERLINK(CONCATENATE("#Metadata!", ADDRESS(INDEX($W$2:$W$1001,MATCH(ROWS($U$2:U510),$U$2:$U$1001,0),0), INDEX($AB$1004:$AQ$1004,1,MATCH(COLUMNS($AB$1006:AQ1006),$AB$1006:$AQ$1006,0)))),"Fix")))</f>
        <v>0</v>
      </c>
      <c r="U510">
        <v>0</v>
      </c>
      <c r="V510">
        <v>0</v>
      </c>
      <c r="W510">
        <v>0</v>
      </c>
      <c r="X510">
        <f>IF(Y510,TRUE,AND(AB510:AQ510))</f>
        <v>0</v>
      </c>
      <c r="Y510">
        <f>COUNTBLANK(Metadata!B510:Q510)=COLUMNS(Metadata!B510:Q510)</f>
        <v>0</v>
      </c>
      <c r="Z510">
        <v>0</v>
      </c>
      <c r="AB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AC510">
        <f>AND(IF(Metadata!C510="",FALSE,TRUE),exact(Metadata!C510,"urban biome"))</f>
        <v>0</v>
      </c>
      <c r="AD510">
        <f>AND(IF(Metadata!D510="",FALSE,TRUE),exact(Metadata!D510,"human-associated habitat"))</f>
        <v>0</v>
      </c>
      <c r="AE510">
        <f>AND(IF(Metadata!E510="",FALSE,TRUE),OR(exact(Metadata!E510,"human-associated"),exact(Metadata!E510,"human-skin"),exact(Metadata!E510,"human-oral"),exact(Metadata!E510,"human-gut"),exact(Metadata!E510,"human-vaginal")))</f>
        <v>0</v>
      </c>
      <c r="AF510">
        <f>AND(IF(Metadata!F510="",FALSE,ISNUMBER(VALUE(Metadata!F510))),Metadata!F510&gt;0)</f>
        <v>0</v>
      </c>
      <c r="AG510">
        <f>AND(IF(Metadata!G510="",FALSE,TRUE),exact(Metadata!G510,"years"))</f>
        <v>0</v>
      </c>
      <c r="AH510">
        <f>OR(AND(IF(Metadata!H510="",FALSE,TRUE),OR(exact(Metadata!H510,"not applicable"),exact(Metadata!H510,"not collected"),exact(Metadata!H510,"not provided"),exact(Metadata!H510,"restricted access"))),AND(IF(Metadata!H510="",FALSE,ISNUMBER(VALUE(Metadata!H510))),Metadata!H510&gt;0))</f>
        <v>0</v>
      </c>
      <c r="AI510">
        <f>AND(IF(Metadata!I510="",FALSE,TRUE),exact(Metadata!I510,"human"))</f>
        <v>0</v>
      </c>
      <c r="AJ510">
        <f>AND(IF(Metadata!J510="",FALSE,ISNUMBER(VALUE(Metadata!J510))),Metadata!J510&gt;0)</f>
        <v>0</v>
      </c>
      <c r="AK510">
        <f>AND(IF(Metadata!K510="",FALSE,TRUE),exact(Metadata!K510,"cm"))</f>
        <v>0</v>
      </c>
      <c r="AL510">
        <f>AND(IF(Metadata!L510="",FALSE,TRUE),exact(Metadata!L510,"Homo sapiens"))</f>
        <v>0</v>
      </c>
      <c r="AM510">
        <f>AND(IF(Metadata!M510="",FALSE,TRUE),exact(Metadata!M510,"9606"))</f>
        <v>0</v>
      </c>
      <c r="AN510">
        <f>AND(IF(Metadata!N510="",FALSE,ISNUMBER(VALUE(Metadata!N510))),Metadata!N510&gt;0)</f>
        <v>0</v>
      </c>
      <c r="AO510">
        <f>AND(IF(Metadata!O510="",FALSE,TRUE),exact(Metadata!O510,"kg"))</f>
        <v>0</v>
      </c>
      <c r="AP510">
        <f>OR(AND(IF(Metadata!P510="",FALSE,TRUE),exact(Metadata!P510,"not provided")),IF(Metadata!P510="",FALSE,TRUE))</f>
        <v>0</v>
      </c>
      <c r="AQ510">
        <f>OR(AND(IF(Metadata!Q510="",FALSE,TRUE),exact(Metadata!Q510,"not provided")),IF(Metadata!Q510="",FALSE,TRUE))</f>
        <v>0</v>
      </c>
    </row>
    <row r="511" spans="1:43">
      <c r="A511" s="4">
        <f>IF(B511=" "," ",HYPERLINK(CONCATENATE("#metadata!",ADDRESS(INDEX($W$2:$W$1001,MATCH(ROWS($U$2:U511),$U$2:$U$1001,0),0),2)),INDEX($Z$2:$Z$1001,MATCH(ROWS($U$2:U511),$U$2:$U$1001,0),0)))</f>
        <v>0</v>
      </c>
      <c r="B511" s="5">
        <f>IF(OR(INDEX($V$2:$V$1001,MATCH(ROWS($U$2:U511),$U$2:$U$1001,0),1)&gt;=100000,INDEX($AB$1005:$AQ$1005,1,MATCH(COLUMNS($AB$1006:AB1006),$AB$1006:$AQ$1006,0))&gt;=100000), " ",IF(INDEX($AB$2:$AQ$1001,MATCH(ROWS($U$2:U511),$U$2:$U$1001,0),MATCH(COLUMNS($AB$1006:AB1006),$AB$1006:$AQ$1006,0)), HYPERLINK("#",""), HYPERLINK(CONCATENATE("#Metadata!", ADDRESS(INDEX($W$2:$W$1001,MATCH(ROWS($U$2:U511),$U$2:$U$1001,0),0), INDEX($AB$1004:$AQ$1004,1,MATCH(COLUMNS($AB$1006:AB1006),$AB$1006:$AQ$1006,0)))),"Fix")))</f>
        <v>0</v>
      </c>
      <c r="C511" s="5">
        <f>IF(OR(INDEX($V$2:$V$1001,MATCH(ROWS($U$2:U511),$U$2:$U$1001,0),1)&gt;=100000,INDEX($AB$1005:$AQ$1005,1,MATCH(COLUMNS($AB$1006:AC1006),$AB$1006:$AQ$1006,0))&gt;=100000), " ",IF(INDEX($AB$2:$AQ$1001,MATCH(ROWS($U$2:U511),$U$2:$U$1001,0),MATCH(COLUMNS($AB$1006:AC1006),$AB$1006:$AQ$1006,0)), HYPERLINK("#",""), HYPERLINK(CONCATENATE("#Metadata!", ADDRESS(INDEX($W$2:$W$1001,MATCH(ROWS($U$2:U511),$U$2:$U$1001,0),0), INDEX($AB$1004:$AQ$1004,1,MATCH(COLUMNS($AB$1006:AC1006),$AB$1006:$AQ$1006,0)))),"Fix")))</f>
        <v>0</v>
      </c>
      <c r="D511" s="5">
        <f>IF(OR(INDEX($V$2:$V$1001,MATCH(ROWS($U$2:U511),$U$2:$U$1001,0),1)&gt;=100000,INDEX($AB$1005:$AQ$1005,1,MATCH(COLUMNS($AB$1006:AD1006),$AB$1006:$AQ$1006,0))&gt;=100000), " ",IF(INDEX($AB$2:$AQ$1001,MATCH(ROWS($U$2:U511),$U$2:$U$1001,0),MATCH(COLUMNS($AB$1006:AD1006),$AB$1006:$AQ$1006,0)), HYPERLINK("#",""), HYPERLINK(CONCATENATE("#Metadata!", ADDRESS(INDEX($W$2:$W$1001,MATCH(ROWS($U$2:U511),$U$2:$U$1001,0),0), INDEX($AB$1004:$AQ$1004,1,MATCH(COLUMNS($AB$1006:AD1006),$AB$1006:$AQ$1006,0)))),"Fix")))</f>
        <v>0</v>
      </c>
      <c r="E511" s="5">
        <f>IF(OR(INDEX($V$2:$V$1001,MATCH(ROWS($U$2:U511),$U$2:$U$1001,0),1)&gt;=100000,INDEX($AB$1005:$AQ$1005,1,MATCH(COLUMNS($AB$1006:AE1006),$AB$1006:$AQ$1006,0))&gt;=100000), " ",IF(INDEX($AB$2:$AQ$1001,MATCH(ROWS($U$2:U511),$U$2:$U$1001,0),MATCH(COLUMNS($AB$1006:AE1006),$AB$1006:$AQ$1006,0)), HYPERLINK("#",""), HYPERLINK(CONCATENATE("#Metadata!", ADDRESS(INDEX($W$2:$W$1001,MATCH(ROWS($U$2:U511),$U$2:$U$1001,0),0), INDEX($AB$1004:$AQ$1004,1,MATCH(COLUMNS($AB$1006:AE1006),$AB$1006:$AQ$1006,0)))),"Fix")))</f>
        <v>0</v>
      </c>
      <c r="F511" s="5">
        <f>IF(OR(INDEX($V$2:$V$1001,MATCH(ROWS($U$2:U511),$U$2:$U$1001,0),1)&gt;=100000,INDEX($AB$1005:$AQ$1005,1,MATCH(COLUMNS($AB$1006:AF1006),$AB$1006:$AQ$1006,0))&gt;=100000), " ",IF(INDEX($AB$2:$AQ$1001,MATCH(ROWS($U$2:U511),$U$2:$U$1001,0),MATCH(COLUMNS($AB$1006:AF1006),$AB$1006:$AQ$1006,0)), HYPERLINK("#",""), HYPERLINK(CONCATENATE("#Metadata!", ADDRESS(INDEX($W$2:$W$1001,MATCH(ROWS($U$2:U511),$U$2:$U$1001,0),0), INDEX($AB$1004:$AQ$1004,1,MATCH(COLUMNS($AB$1006:AF1006),$AB$1006:$AQ$1006,0)))),"Fix")))</f>
        <v>0</v>
      </c>
      <c r="G511" s="5">
        <f>IF(OR(INDEX($V$2:$V$1001,MATCH(ROWS($U$2:U511),$U$2:$U$1001,0),1)&gt;=100000,INDEX($AB$1005:$AQ$1005,1,MATCH(COLUMNS($AB$1006:AG1006),$AB$1006:$AQ$1006,0))&gt;=100000), " ",IF(INDEX($AB$2:$AQ$1001,MATCH(ROWS($U$2:U511),$U$2:$U$1001,0),MATCH(COLUMNS($AB$1006:AG1006),$AB$1006:$AQ$1006,0)), HYPERLINK("#",""), HYPERLINK(CONCATENATE("#Metadata!", ADDRESS(INDEX($W$2:$W$1001,MATCH(ROWS($U$2:U511),$U$2:$U$1001,0),0), INDEX($AB$1004:$AQ$1004,1,MATCH(COLUMNS($AB$1006:AG1006),$AB$1006:$AQ$1006,0)))),"Fix")))</f>
        <v>0</v>
      </c>
      <c r="H511" s="5">
        <f>IF(OR(INDEX($V$2:$V$1001,MATCH(ROWS($U$2:U511),$U$2:$U$1001,0),1)&gt;=100000,INDEX($AB$1005:$AQ$1005,1,MATCH(COLUMNS($AB$1006:AH1006),$AB$1006:$AQ$1006,0))&gt;=100000), " ",IF(INDEX($AB$2:$AQ$1001,MATCH(ROWS($U$2:U511),$U$2:$U$1001,0),MATCH(COLUMNS($AB$1006:AH1006),$AB$1006:$AQ$1006,0)), HYPERLINK("#",""), HYPERLINK(CONCATENATE("#Metadata!", ADDRESS(INDEX($W$2:$W$1001,MATCH(ROWS($U$2:U511),$U$2:$U$1001,0),0), INDEX($AB$1004:$AQ$1004,1,MATCH(COLUMNS($AB$1006:AH1006),$AB$1006:$AQ$1006,0)))),"Fix")))</f>
        <v>0</v>
      </c>
      <c r="I511" s="5">
        <f>IF(OR(INDEX($V$2:$V$1001,MATCH(ROWS($U$2:U511),$U$2:$U$1001,0),1)&gt;=100000,INDEX($AB$1005:$AQ$1005,1,MATCH(COLUMNS($AB$1006:AI1006),$AB$1006:$AQ$1006,0))&gt;=100000), " ",IF(INDEX($AB$2:$AQ$1001,MATCH(ROWS($U$2:U511),$U$2:$U$1001,0),MATCH(COLUMNS($AB$1006:AI1006),$AB$1006:$AQ$1006,0)), HYPERLINK("#",""), HYPERLINK(CONCATENATE("#Metadata!", ADDRESS(INDEX($W$2:$W$1001,MATCH(ROWS($U$2:U511),$U$2:$U$1001,0),0), INDEX($AB$1004:$AQ$1004,1,MATCH(COLUMNS($AB$1006:AI1006),$AB$1006:$AQ$1006,0)))),"Fix")))</f>
        <v>0</v>
      </c>
      <c r="J511" s="5">
        <f>IF(OR(INDEX($V$2:$V$1001,MATCH(ROWS($U$2:U511),$U$2:$U$1001,0),1)&gt;=100000,INDEX($AB$1005:$AQ$1005,1,MATCH(COLUMNS($AB$1006:AJ1006),$AB$1006:$AQ$1006,0))&gt;=100000), " ",IF(INDEX($AB$2:$AQ$1001,MATCH(ROWS($U$2:U511),$U$2:$U$1001,0),MATCH(COLUMNS($AB$1006:AJ1006),$AB$1006:$AQ$1006,0)), HYPERLINK("#",""), HYPERLINK(CONCATENATE("#Metadata!", ADDRESS(INDEX($W$2:$W$1001,MATCH(ROWS($U$2:U511),$U$2:$U$1001,0),0), INDEX($AB$1004:$AQ$1004,1,MATCH(COLUMNS($AB$1006:AJ1006),$AB$1006:$AQ$1006,0)))),"Fix")))</f>
        <v>0</v>
      </c>
      <c r="K511" s="5">
        <f>IF(OR(INDEX($V$2:$V$1001,MATCH(ROWS($U$2:U511),$U$2:$U$1001,0),1)&gt;=100000,INDEX($AB$1005:$AQ$1005,1,MATCH(COLUMNS($AB$1006:AK1006),$AB$1006:$AQ$1006,0))&gt;=100000), " ",IF(INDEX($AB$2:$AQ$1001,MATCH(ROWS($U$2:U511),$U$2:$U$1001,0),MATCH(COLUMNS($AB$1006:AK1006),$AB$1006:$AQ$1006,0)), HYPERLINK("#",""), HYPERLINK(CONCATENATE("#Metadata!", ADDRESS(INDEX($W$2:$W$1001,MATCH(ROWS($U$2:U511),$U$2:$U$1001,0),0), INDEX($AB$1004:$AQ$1004,1,MATCH(COLUMNS($AB$1006:AK1006),$AB$1006:$AQ$1006,0)))),"Fix")))</f>
        <v>0</v>
      </c>
      <c r="L511" s="5">
        <f>IF(OR(INDEX($V$2:$V$1001,MATCH(ROWS($U$2:U511),$U$2:$U$1001,0),1)&gt;=100000,INDEX($AB$1005:$AQ$1005,1,MATCH(COLUMNS($AB$1006:AL1006),$AB$1006:$AQ$1006,0))&gt;=100000), " ",IF(INDEX($AB$2:$AQ$1001,MATCH(ROWS($U$2:U511),$U$2:$U$1001,0),MATCH(COLUMNS($AB$1006:AL1006),$AB$1006:$AQ$1006,0)), HYPERLINK("#",""), HYPERLINK(CONCATENATE("#Metadata!", ADDRESS(INDEX($W$2:$W$1001,MATCH(ROWS($U$2:U511),$U$2:$U$1001,0),0), INDEX($AB$1004:$AQ$1004,1,MATCH(COLUMNS($AB$1006:AL1006),$AB$1006:$AQ$1006,0)))),"Fix")))</f>
        <v>0</v>
      </c>
      <c r="M511" s="5">
        <f>IF(OR(INDEX($V$2:$V$1001,MATCH(ROWS($U$2:U511),$U$2:$U$1001,0),1)&gt;=100000,INDEX($AB$1005:$AQ$1005,1,MATCH(COLUMNS($AB$1006:AM1006),$AB$1006:$AQ$1006,0))&gt;=100000), " ",IF(INDEX($AB$2:$AQ$1001,MATCH(ROWS($U$2:U511),$U$2:$U$1001,0),MATCH(COLUMNS($AB$1006:AM1006),$AB$1006:$AQ$1006,0)), HYPERLINK("#",""), HYPERLINK(CONCATENATE("#Metadata!", ADDRESS(INDEX($W$2:$W$1001,MATCH(ROWS($U$2:U511),$U$2:$U$1001,0),0), INDEX($AB$1004:$AQ$1004,1,MATCH(COLUMNS($AB$1006:AM1006),$AB$1006:$AQ$1006,0)))),"Fix")))</f>
        <v>0</v>
      </c>
      <c r="N511" s="5">
        <f>IF(OR(INDEX($V$2:$V$1001,MATCH(ROWS($U$2:U511),$U$2:$U$1001,0),1)&gt;=100000,INDEX($AB$1005:$AQ$1005,1,MATCH(COLUMNS($AB$1006:AN1006),$AB$1006:$AQ$1006,0))&gt;=100000), " ",IF(INDEX($AB$2:$AQ$1001,MATCH(ROWS($U$2:U511),$U$2:$U$1001,0),MATCH(COLUMNS($AB$1006:AN1006),$AB$1006:$AQ$1006,0)), HYPERLINK("#",""), HYPERLINK(CONCATENATE("#Metadata!", ADDRESS(INDEX($W$2:$W$1001,MATCH(ROWS($U$2:U511),$U$2:$U$1001,0),0), INDEX($AB$1004:$AQ$1004,1,MATCH(COLUMNS($AB$1006:AN1006),$AB$1006:$AQ$1006,0)))),"Fix")))</f>
        <v>0</v>
      </c>
      <c r="O511" s="5">
        <f>IF(OR(INDEX($V$2:$V$1001,MATCH(ROWS($U$2:U511),$U$2:$U$1001,0),1)&gt;=100000,INDEX($AB$1005:$AQ$1005,1,MATCH(COLUMNS($AB$1006:AO1006),$AB$1006:$AQ$1006,0))&gt;=100000), " ",IF(INDEX($AB$2:$AQ$1001,MATCH(ROWS($U$2:U511),$U$2:$U$1001,0),MATCH(COLUMNS($AB$1006:AO1006),$AB$1006:$AQ$1006,0)), HYPERLINK("#",""), HYPERLINK(CONCATENATE("#Metadata!", ADDRESS(INDEX($W$2:$W$1001,MATCH(ROWS($U$2:U511),$U$2:$U$1001,0),0), INDEX($AB$1004:$AQ$1004,1,MATCH(COLUMNS($AB$1006:AO1006),$AB$1006:$AQ$1006,0)))),"Fix")))</f>
        <v>0</v>
      </c>
      <c r="P511" s="5">
        <f>IF(OR(INDEX($V$2:$V$1001,MATCH(ROWS($U$2:U511),$U$2:$U$1001,0),1)&gt;=100000,INDEX($AB$1005:$AQ$1005,1,MATCH(COLUMNS($AB$1006:AP1006),$AB$1006:$AQ$1006,0))&gt;=100000), " ",IF(INDEX($AB$2:$AQ$1001,MATCH(ROWS($U$2:U511),$U$2:$U$1001,0),MATCH(COLUMNS($AB$1006:AP1006),$AB$1006:$AQ$1006,0)), HYPERLINK("#",""), HYPERLINK(CONCATENATE("#Metadata!", ADDRESS(INDEX($W$2:$W$1001,MATCH(ROWS($U$2:U511),$U$2:$U$1001,0),0), INDEX($AB$1004:$AQ$1004,1,MATCH(COLUMNS($AB$1006:AP1006),$AB$1006:$AQ$1006,0)))),"Fix")))</f>
        <v>0</v>
      </c>
      <c r="Q511" s="5">
        <f>IF(OR(INDEX($V$2:$V$1001,MATCH(ROWS($U$2:U511),$U$2:$U$1001,0),1)&gt;=100000,INDEX($AB$1005:$AQ$1005,1,MATCH(COLUMNS($AB$1006:AQ1006),$AB$1006:$AQ$1006,0))&gt;=100000), " ",IF(INDEX($AB$2:$AQ$1001,MATCH(ROWS($U$2:U511),$U$2:$U$1001,0),MATCH(COLUMNS($AB$1006:AQ1006),$AB$1006:$AQ$1006,0)), HYPERLINK("#",""), HYPERLINK(CONCATENATE("#Metadata!", ADDRESS(INDEX($W$2:$W$1001,MATCH(ROWS($U$2:U511),$U$2:$U$1001,0),0), INDEX($AB$1004:$AQ$1004,1,MATCH(COLUMNS($AB$1006:AQ1006),$AB$1006:$AQ$1006,0)))),"Fix")))</f>
        <v>0</v>
      </c>
      <c r="U511">
        <v>0</v>
      </c>
      <c r="V511">
        <v>0</v>
      </c>
      <c r="W511">
        <v>0</v>
      </c>
      <c r="X511">
        <f>IF(Y511,TRUE,AND(AB511:AQ511))</f>
        <v>0</v>
      </c>
      <c r="Y511">
        <f>COUNTBLANK(Metadata!B511:Q511)=COLUMNS(Metadata!B511:Q511)</f>
        <v>0</v>
      </c>
      <c r="Z511">
        <v>0</v>
      </c>
      <c r="AB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AC511">
        <f>AND(IF(Metadata!C511="",FALSE,TRUE),exact(Metadata!C511,"urban biome"))</f>
        <v>0</v>
      </c>
      <c r="AD511">
        <f>AND(IF(Metadata!D511="",FALSE,TRUE),exact(Metadata!D511,"human-associated habitat"))</f>
        <v>0</v>
      </c>
      <c r="AE511">
        <f>AND(IF(Metadata!E511="",FALSE,TRUE),OR(exact(Metadata!E511,"human-associated"),exact(Metadata!E511,"human-skin"),exact(Metadata!E511,"human-oral"),exact(Metadata!E511,"human-gut"),exact(Metadata!E511,"human-vaginal")))</f>
        <v>0</v>
      </c>
      <c r="AF511">
        <f>AND(IF(Metadata!F511="",FALSE,ISNUMBER(VALUE(Metadata!F511))),Metadata!F511&gt;0)</f>
        <v>0</v>
      </c>
      <c r="AG511">
        <f>AND(IF(Metadata!G511="",FALSE,TRUE),exact(Metadata!G511,"years"))</f>
        <v>0</v>
      </c>
      <c r="AH511">
        <f>OR(AND(IF(Metadata!H511="",FALSE,TRUE),OR(exact(Metadata!H511,"not applicable"),exact(Metadata!H511,"not collected"),exact(Metadata!H511,"not provided"),exact(Metadata!H511,"restricted access"))),AND(IF(Metadata!H511="",FALSE,ISNUMBER(VALUE(Metadata!H511))),Metadata!H511&gt;0))</f>
        <v>0</v>
      </c>
      <c r="AI511">
        <f>AND(IF(Metadata!I511="",FALSE,TRUE),exact(Metadata!I511,"human"))</f>
        <v>0</v>
      </c>
      <c r="AJ511">
        <f>AND(IF(Metadata!J511="",FALSE,ISNUMBER(VALUE(Metadata!J511))),Metadata!J511&gt;0)</f>
        <v>0</v>
      </c>
      <c r="AK511">
        <f>AND(IF(Metadata!K511="",FALSE,TRUE),exact(Metadata!K511,"cm"))</f>
        <v>0</v>
      </c>
      <c r="AL511">
        <f>AND(IF(Metadata!L511="",FALSE,TRUE),exact(Metadata!L511,"Homo sapiens"))</f>
        <v>0</v>
      </c>
      <c r="AM511">
        <f>AND(IF(Metadata!M511="",FALSE,TRUE),exact(Metadata!M511,"9606"))</f>
        <v>0</v>
      </c>
      <c r="AN511">
        <f>AND(IF(Metadata!N511="",FALSE,ISNUMBER(VALUE(Metadata!N511))),Metadata!N511&gt;0)</f>
        <v>0</v>
      </c>
      <c r="AO511">
        <f>AND(IF(Metadata!O511="",FALSE,TRUE),exact(Metadata!O511,"kg"))</f>
        <v>0</v>
      </c>
      <c r="AP511">
        <f>OR(AND(IF(Metadata!P511="",FALSE,TRUE),exact(Metadata!P511,"not provided")),IF(Metadata!P511="",FALSE,TRUE))</f>
        <v>0</v>
      </c>
      <c r="AQ511">
        <f>OR(AND(IF(Metadata!Q511="",FALSE,TRUE),exact(Metadata!Q511,"not provided")),IF(Metadata!Q511="",FALSE,TRUE))</f>
        <v>0</v>
      </c>
    </row>
    <row r="512" spans="1:43">
      <c r="A512" s="4">
        <f>IF(B512=" "," ",HYPERLINK(CONCATENATE("#metadata!",ADDRESS(INDEX($W$2:$W$1001,MATCH(ROWS($U$2:U512),$U$2:$U$1001,0),0),2)),INDEX($Z$2:$Z$1001,MATCH(ROWS($U$2:U512),$U$2:$U$1001,0),0)))</f>
        <v>0</v>
      </c>
      <c r="B512" s="5">
        <f>IF(OR(INDEX($V$2:$V$1001,MATCH(ROWS($U$2:U512),$U$2:$U$1001,0),1)&gt;=100000,INDEX($AB$1005:$AQ$1005,1,MATCH(COLUMNS($AB$1006:AB1006),$AB$1006:$AQ$1006,0))&gt;=100000), " ",IF(INDEX($AB$2:$AQ$1001,MATCH(ROWS($U$2:U512),$U$2:$U$1001,0),MATCH(COLUMNS($AB$1006:AB1006),$AB$1006:$AQ$1006,0)), HYPERLINK("#",""), HYPERLINK(CONCATENATE("#Metadata!", ADDRESS(INDEX($W$2:$W$1001,MATCH(ROWS($U$2:U512),$U$2:$U$1001,0),0), INDEX($AB$1004:$AQ$1004,1,MATCH(COLUMNS($AB$1006:AB1006),$AB$1006:$AQ$1006,0)))),"Fix")))</f>
        <v>0</v>
      </c>
      <c r="C512" s="5">
        <f>IF(OR(INDEX($V$2:$V$1001,MATCH(ROWS($U$2:U512),$U$2:$U$1001,0),1)&gt;=100000,INDEX($AB$1005:$AQ$1005,1,MATCH(COLUMNS($AB$1006:AC1006),$AB$1006:$AQ$1006,0))&gt;=100000), " ",IF(INDEX($AB$2:$AQ$1001,MATCH(ROWS($U$2:U512),$U$2:$U$1001,0),MATCH(COLUMNS($AB$1006:AC1006),$AB$1006:$AQ$1006,0)), HYPERLINK("#",""), HYPERLINK(CONCATENATE("#Metadata!", ADDRESS(INDEX($W$2:$W$1001,MATCH(ROWS($U$2:U512),$U$2:$U$1001,0),0), INDEX($AB$1004:$AQ$1004,1,MATCH(COLUMNS($AB$1006:AC1006),$AB$1006:$AQ$1006,0)))),"Fix")))</f>
        <v>0</v>
      </c>
      <c r="D512" s="5">
        <f>IF(OR(INDEX($V$2:$V$1001,MATCH(ROWS($U$2:U512),$U$2:$U$1001,0),1)&gt;=100000,INDEX($AB$1005:$AQ$1005,1,MATCH(COLUMNS($AB$1006:AD1006),$AB$1006:$AQ$1006,0))&gt;=100000), " ",IF(INDEX($AB$2:$AQ$1001,MATCH(ROWS($U$2:U512),$U$2:$U$1001,0),MATCH(COLUMNS($AB$1006:AD1006),$AB$1006:$AQ$1006,0)), HYPERLINK("#",""), HYPERLINK(CONCATENATE("#Metadata!", ADDRESS(INDEX($W$2:$W$1001,MATCH(ROWS($U$2:U512),$U$2:$U$1001,0),0), INDEX($AB$1004:$AQ$1004,1,MATCH(COLUMNS($AB$1006:AD1006),$AB$1006:$AQ$1006,0)))),"Fix")))</f>
        <v>0</v>
      </c>
      <c r="E512" s="5">
        <f>IF(OR(INDEX($V$2:$V$1001,MATCH(ROWS($U$2:U512),$U$2:$U$1001,0),1)&gt;=100000,INDEX($AB$1005:$AQ$1005,1,MATCH(COLUMNS($AB$1006:AE1006),$AB$1006:$AQ$1006,0))&gt;=100000), " ",IF(INDEX($AB$2:$AQ$1001,MATCH(ROWS($U$2:U512),$U$2:$U$1001,0),MATCH(COLUMNS($AB$1006:AE1006),$AB$1006:$AQ$1006,0)), HYPERLINK("#",""), HYPERLINK(CONCATENATE("#Metadata!", ADDRESS(INDEX($W$2:$W$1001,MATCH(ROWS($U$2:U512),$U$2:$U$1001,0),0), INDEX($AB$1004:$AQ$1004,1,MATCH(COLUMNS($AB$1006:AE1006),$AB$1006:$AQ$1006,0)))),"Fix")))</f>
        <v>0</v>
      </c>
      <c r="F512" s="5">
        <f>IF(OR(INDEX($V$2:$V$1001,MATCH(ROWS($U$2:U512),$U$2:$U$1001,0),1)&gt;=100000,INDEX($AB$1005:$AQ$1005,1,MATCH(COLUMNS($AB$1006:AF1006),$AB$1006:$AQ$1006,0))&gt;=100000), " ",IF(INDEX($AB$2:$AQ$1001,MATCH(ROWS($U$2:U512),$U$2:$U$1001,0),MATCH(COLUMNS($AB$1006:AF1006),$AB$1006:$AQ$1006,0)), HYPERLINK("#",""), HYPERLINK(CONCATENATE("#Metadata!", ADDRESS(INDEX($W$2:$W$1001,MATCH(ROWS($U$2:U512),$U$2:$U$1001,0),0), INDEX($AB$1004:$AQ$1004,1,MATCH(COLUMNS($AB$1006:AF1006),$AB$1006:$AQ$1006,0)))),"Fix")))</f>
        <v>0</v>
      </c>
      <c r="G512" s="5">
        <f>IF(OR(INDEX($V$2:$V$1001,MATCH(ROWS($U$2:U512),$U$2:$U$1001,0),1)&gt;=100000,INDEX($AB$1005:$AQ$1005,1,MATCH(COLUMNS($AB$1006:AG1006),$AB$1006:$AQ$1006,0))&gt;=100000), " ",IF(INDEX($AB$2:$AQ$1001,MATCH(ROWS($U$2:U512),$U$2:$U$1001,0),MATCH(COLUMNS($AB$1006:AG1006),$AB$1006:$AQ$1006,0)), HYPERLINK("#",""), HYPERLINK(CONCATENATE("#Metadata!", ADDRESS(INDEX($W$2:$W$1001,MATCH(ROWS($U$2:U512),$U$2:$U$1001,0),0), INDEX($AB$1004:$AQ$1004,1,MATCH(COLUMNS($AB$1006:AG1006),$AB$1006:$AQ$1006,0)))),"Fix")))</f>
        <v>0</v>
      </c>
      <c r="H512" s="5">
        <f>IF(OR(INDEX($V$2:$V$1001,MATCH(ROWS($U$2:U512),$U$2:$U$1001,0),1)&gt;=100000,INDEX($AB$1005:$AQ$1005,1,MATCH(COLUMNS($AB$1006:AH1006),$AB$1006:$AQ$1006,0))&gt;=100000), " ",IF(INDEX($AB$2:$AQ$1001,MATCH(ROWS($U$2:U512),$U$2:$U$1001,0),MATCH(COLUMNS($AB$1006:AH1006),$AB$1006:$AQ$1006,0)), HYPERLINK("#",""), HYPERLINK(CONCATENATE("#Metadata!", ADDRESS(INDEX($W$2:$W$1001,MATCH(ROWS($U$2:U512),$U$2:$U$1001,0),0), INDEX($AB$1004:$AQ$1004,1,MATCH(COLUMNS($AB$1006:AH1006),$AB$1006:$AQ$1006,0)))),"Fix")))</f>
        <v>0</v>
      </c>
      <c r="I512" s="5">
        <f>IF(OR(INDEX($V$2:$V$1001,MATCH(ROWS($U$2:U512),$U$2:$U$1001,0),1)&gt;=100000,INDEX($AB$1005:$AQ$1005,1,MATCH(COLUMNS($AB$1006:AI1006),$AB$1006:$AQ$1006,0))&gt;=100000), " ",IF(INDEX($AB$2:$AQ$1001,MATCH(ROWS($U$2:U512),$U$2:$U$1001,0),MATCH(COLUMNS($AB$1006:AI1006),$AB$1006:$AQ$1006,0)), HYPERLINK("#",""), HYPERLINK(CONCATENATE("#Metadata!", ADDRESS(INDEX($W$2:$W$1001,MATCH(ROWS($U$2:U512),$U$2:$U$1001,0),0), INDEX($AB$1004:$AQ$1004,1,MATCH(COLUMNS($AB$1006:AI1006),$AB$1006:$AQ$1006,0)))),"Fix")))</f>
        <v>0</v>
      </c>
      <c r="J512" s="5">
        <f>IF(OR(INDEX($V$2:$V$1001,MATCH(ROWS($U$2:U512),$U$2:$U$1001,0),1)&gt;=100000,INDEX($AB$1005:$AQ$1005,1,MATCH(COLUMNS($AB$1006:AJ1006),$AB$1006:$AQ$1006,0))&gt;=100000), " ",IF(INDEX($AB$2:$AQ$1001,MATCH(ROWS($U$2:U512),$U$2:$U$1001,0),MATCH(COLUMNS($AB$1006:AJ1006),$AB$1006:$AQ$1006,0)), HYPERLINK("#",""), HYPERLINK(CONCATENATE("#Metadata!", ADDRESS(INDEX($W$2:$W$1001,MATCH(ROWS($U$2:U512),$U$2:$U$1001,0),0), INDEX($AB$1004:$AQ$1004,1,MATCH(COLUMNS($AB$1006:AJ1006),$AB$1006:$AQ$1006,0)))),"Fix")))</f>
        <v>0</v>
      </c>
      <c r="K512" s="5">
        <f>IF(OR(INDEX($V$2:$V$1001,MATCH(ROWS($U$2:U512),$U$2:$U$1001,0),1)&gt;=100000,INDEX($AB$1005:$AQ$1005,1,MATCH(COLUMNS($AB$1006:AK1006),$AB$1006:$AQ$1006,0))&gt;=100000), " ",IF(INDEX($AB$2:$AQ$1001,MATCH(ROWS($U$2:U512),$U$2:$U$1001,0),MATCH(COLUMNS($AB$1006:AK1006),$AB$1006:$AQ$1006,0)), HYPERLINK("#",""), HYPERLINK(CONCATENATE("#Metadata!", ADDRESS(INDEX($W$2:$W$1001,MATCH(ROWS($U$2:U512),$U$2:$U$1001,0),0), INDEX($AB$1004:$AQ$1004,1,MATCH(COLUMNS($AB$1006:AK1006),$AB$1006:$AQ$1006,0)))),"Fix")))</f>
        <v>0</v>
      </c>
      <c r="L512" s="5">
        <f>IF(OR(INDEX($V$2:$V$1001,MATCH(ROWS($U$2:U512),$U$2:$U$1001,0),1)&gt;=100000,INDEX($AB$1005:$AQ$1005,1,MATCH(COLUMNS($AB$1006:AL1006),$AB$1006:$AQ$1006,0))&gt;=100000), " ",IF(INDEX($AB$2:$AQ$1001,MATCH(ROWS($U$2:U512),$U$2:$U$1001,0),MATCH(COLUMNS($AB$1006:AL1006),$AB$1006:$AQ$1006,0)), HYPERLINK("#",""), HYPERLINK(CONCATENATE("#Metadata!", ADDRESS(INDEX($W$2:$W$1001,MATCH(ROWS($U$2:U512),$U$2:$U$1001,0),0), INDEX($AB$1004:$AQ$1004,1,MATCH(COLUMNS($AB$1006:AL1006),$AB$1006:$AQ$1006,0)))),"Fix")))</f>
        <v>0</v>
      </c>
      <c r="M512" s="5">
        <f>IF(OR(INDEX($V$2:$V$1001,MATCH(ROWS($U$2:U512),$U$2:$U$1001,0),1)&gt;=100000,INDEX($AB$1005:$AQ$1005,1,MATCH(COLUMNS($AB$1006:AM1006),$AB$1006:$AQ$1006,0))&gt;=100000), " ",IF(INDEX($AB$2:$AQ$1001,MATCH(ROWS($U$2:U512),$U$2:$U$1001,0),MATCH(COLUMNS($AB$1006:AM1006),$AB$1006:$AQ$1006,0)), HYPERLINK("#",""), HYPERLINK(CONCATENATE("#Metadata!", ADDRESS(INDEX($W$2:$W$1001,MATCH(ROWS($U$2:U512),$U$2:$U$1001,0),0), INDEX($AB$1004:$AQ$1004,1,MATCH(COLUMNS($AB$1006:AM1006),$AB$1006:$AQ$1006,0)))),"Fix")))</f>
        <v>0</v>
      </c>
      <c r="N512" s="5">
        <f>IF(OR(INDEX($V$2:$V$1001,MATCH(ROWS($U$2:U512),$U$2:$U$1001,0),1)&gt;=100000,INDEX($AB$1005:$AQ$1005,1,MATCH(COLUMNS($AB$1006:AN1006),$AB$1006:$AQ$1006,0))&gt;=100000), " ",IF(INDEX($AB$2:$AQ$1001,MATCH(ROWS($U$2:U512),$U$2:$U$1001,0),MATCH(COLUMNS($AB$1006:AN1006),$AB$1006:$AQ$1006,0)), HYPERLINK("#",""), HYPERLINK(CONCATENATE("#Metadata!", ADDRESS(INDEX($W$2:$W$1001,MATCH(ROWS($U$2:U512),$U$2:$U$1001,0),0), INDEX($AB$1004:$AQ$1004,1,MATCH(COLUMNS($AB$1006:AN1006),$AB$1006:$AQ$1006,0)))),"Fix")))</f>
        <v>0</v>
      </c>
      <c r="O512" s="5">
        <f>IF(OR(INDEX($V$2:$V$1001,MATCH(ROWS($U$2:U512),$U$2:$U$1001,0),1)&gt;=100000,INDEX($AB$1005:$AQ$1005,1,MATCH(COLUMNS($AB$1006:AO1006),$AB$1006:$AQ$1006,0))&gt;=100000), " ",IF(INDEX($AB$2:$AQ$1001,MATCH(ROWS($U$2:U512),$U$2:$U$1001,0),MATCH(COLUMNS($AB$1006:AO1006),$AB$1006:$AQ$1006,0)), HYPERLINK("#",""), HYPERLINK(CONCATENATE("#Metadata!", ADDRESS(INDEX($W$2:$W$1001,MATCH(ROWS($U$2:U512),$U$2:$U$1001,0),0), INDEX($AB$1004:$AQ$1004,1,MATCH(COLUMNS($AB$1006:AO1006),$AB$1006:$AQ$1006,0)))),"Fix")))</f>
        <v>0</v>
      </c>
      <c r="P512" s="5">
        <f>IF(OR(INDEX($V$2:$V$1001,MATCH(ROWS($U$2:U512),$U$2:$U$1001,0),1)&gt;=100000,INDEX($AB$1005:$AQ$1005,1,MATCH(COLUMNS($AB$1006:AP1006),$AB$1006:$AQ$1006,0))&gt;=100000), " ",IF(INDEX($AB$2:$AQ$1001,MATCH(ROWS($U$2:U512),$U$2:$U$1001,0),MATCH(COLUMNS($AB$1006:AP1006),$AB$1006:$AQ$1006,0)), HYPERLINK("#",""), HYPERLINK(CONCATENATE("#Metadata!", ADDRESS(INDEX($W$2:$W$1001,MATCH(ROWS($U$2:U512),$U$2:$U$1001,0),0), INDEX($AB$1004:$AQ$1004,1,MATCH(COLUMNS($AB$1006:AP1006),$AB$1006:$AQ$1006,0)))),"Fix")))</f>
        <v>0</v>
      </c>
      <c r="Q512" s="5">
        <f>IF(OR(INDEX($V$2:$V$1001,MATCH(ROWS($U$2:U512),$U$2:$U$1001,0),1)&gt;=100000,INDEX($AB$1005:$AQ$1005,1,MATCH(COLUMNS($AB$1006:AQ1006),$AB$1006:$AQ$1006,0))&gt;=100000), " ",IF(INDEX($AB$2:$AQ$1001,MATCH(ROWS($U$2:U512),$U$2:$U$1001,0),MATCH(COLUMNS($AB$1006:AQ1006),$AB$1006:$AQ$1006,0)), HYPERLINK("#",""), HYPERLINK(CONCATENATE("#Metadata!", ADDRESS(INDEX($W$2:$W$1001,MATCH(ROWS($U$2:U512),$U$2:$U$1001,0),0), INDEX($AB$1004:$AQ$1004,1,MATCH(COLUMNS($AB$1006:AQ1006),$AB$1006:$AQ$1006,0)))),"Fix")))</f>
        <v>0</v>
      </c>
      <c r="U512">
        <v>0</v>
      </c>
      <c r="V512">
        <v>0</v>
      </c>
      <c r="W512">
        <v>0</v>
      </c>
      <c r="X512">
        <f>IF(Y512,TRUE,AND(AB512:AQ512))</f>
        <v>0</v>
      </c>
      <c r="Y512">
        <f>COUNTBLANK(Metadata!B512:Q512)=COLUMNS(Metadata!B512:Q512)</f>
        <v>0</v>
      </c>
      <c r="Z512">
        <v>0</v>
      </c>
      <c r="AB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AC512">
        <f>AND(IF(Metadata!C512="",FALSE,TRUE),exact(Metadata!C512,"urban biome"))</f>
        <v>0</v>
      </c>
      <c r="AD512">
        <f>AND(IF(Metadata!D512="",FALSE,TRUE),exact(Metadata!D512,"human-associated habitat"))</f>
        <v>0</v>
      </c>
      <c r="AE512">
        <f>AND(IF(Metadata!E512="",FALSE,TRUE),OR(exact(Metadata!E512,"human-associated"),exact(Metadata!E512,"human-skin"),exact(Metadata!E512,"human-oral"),exact(Metadata!E512,"human-gut"),exact(Metadata!E512,"human-vaginal")))</f>
        <v>0</v>
      </c>
      <c r="AF512">
        <f>AND(IF(Metadata!F512="",FALSE,ISNUMBER(VALUE(Metadata!F512))),Metadata!F512&gt;0)</f>
        <v>0</v>
      </c>
      <c r="AG512">
        <f>AND(IF(Metadata!G512="",FALSE,TRUE),exact(Metadata!G512,"years"))</f>
        <v>0</v>
      </c>
      <c r="AH512">
        <f>OR(AND(IF(Metadata!H512="",FALSE,TRUE),OR(exact(Metadata!H512,"not applicable"),exact(Metadata!H512,"not collected"),exact(Metadata!H512,"not provided"),exact(Metadata!H512,"restricted access"))),AND(IF(Metadata!H512="",FALSE,ISNUMBER(VALUE(Metadata!H512))),Metadata!H512&gt;0))</f>
        <v>0</v>
      </c>
      <c r="AI512">
        <f>AND(IF(Metadata!I512="",FALSE,TRUE),exact(Metadata!I512,"human"))</f>
        <v>0</v>
      </c>
      <c r="AJ512">
        <f>AND(IF(Metadata!J512="",FALSE,ISNUMBER(VALUE(Metadata!J512))),Metadata!J512&gt;0)</f>
        <v>0</v>
      </c>
      <c r="AK512">
        <f>AND(IF(Metadata!K512="",FALSE,TRUE),exact(Metadata!K512,"cm"))</f>
        <v>0</v>
      </c>
      <c r="AL512">
        <f>AND(IF(Metadata!L512="",FALSE,TRUE),exact(Metadata!L512,"Homo sapiens"))</f>
        <v>0</v>
      </c>
      <c r="AM512">
        <f>AND(IF(Metadata!M512="",FALSE,TRUE),exact(Metadata!M512,"9606"))</f>
        <v>0</v>
      </c>
      <c r="AN512">
        <f>AND(IF(Metadata!N512="",FALSE,ISNUMBER(VALUE(Metadata!N512))),Metadata!N512&gt;0)</f>
        <v>0</v>
      </c>
      <c r="AO512">
        <f>AND(IF(Metadata!O512="",FALSE,TRUE),exact(Metadata!O512,"kg"))</f>
        <v>0</v>
      </c>
      <c r="AP512">
        <f>OR(AND(IF(Metadata!P512="",FALSE,TRUE),exact(Metadata!P512,"not provided")),IF(Metadata!P512="",FALSE,TRUE))</f>
        <v>0</v>
      </c>
      <c r="AQ512">
        <f>OR(AND(IF(Metadata!Q512="",FALSE,TRUE),exact(Metadata!Q512,"not provided")),IF(Metadata!Q512="",FALSE,TRUE))</f>
        <v>0</v>
      </c>
    </row>
    <row r="513" spans="1:43">
      <c r="A513" s="4">
        <f>IF(B513=" "," ",HYPERLINK(CONCATENATE("#metadata!",ADDRESS(INDEX($W$2:$W$1001,MATCH(ROWS($U$2:U513),$U$2:$U$1001,0),0),2)),INDEX($Z$2:$Z$1001,MATCH(ROWS($U$2:U513),$U$2:$U$1001,0),0)))</f>
        <v>0</v>
      </c>
      <c r="B513" s="5">
        <f>IF(OR(INDEX($V$2:$V$1001,MATCH(ROWS($U$2:U513),$U$2:$U$1001,0),1)&gt;=100000,INDEX($AB$1005:$AQ$1005,1,MATCH(COLUMNS($AB$1006:AB1006),$AB$1006:$AQ$1006,0))&gt;=100000), " ",IF(INDEX($AB$2:$AQ$1001,MATCH(ROWS($U$2:U513),$U$2:$U$1001,0),MATCH(COLUMNS($AB$1006:AB1006),$AB$1006:$AQ$1006,0)), HYPERLINK("#",""), HYPERLINK(CONCATENATE("#Metadata!", ADDRESS(INDEX($W$2:$W$1001,MATCH(ROWS($U$2:U513),$U$2:$U$1001,0),0), INDEX($AB$1004:$AQ$1004,1,MATCH(COLUMNS($AB$1006:AB1006),$AB$1006:$AQ$1006,0)))),"Fix")))</f>
        <v>0</v>
      </c>
      <c r="C513" s="5">
        <f>IF(OR(INDEX($V$2:$V$1001,MATCH(ROWS($U$2:U513),$U$2:$U$1001,0),1)&gt;=100000,INDEX($AB$1005:$AQ$1005,1,MATCH(COLUMNS($AB$1006:AC1006),$AB$1006:$AQ$1006,0))&gt;=100000), " ",IF(INDEX($AB$2:$AQ$1001,MATCH(ROWS($U$2:U513),$U$2:$U$1001,0),MATCH(COLUMNS($AB$1006:AC1006),$AB$1006:$AQ$1006,0)), HYPERLINK("#",""), HYPERLINK(CONCATENATE("#Metadata!", ADDRESS(INDEX($W$2:$W$1001,MATCH(ROWS($U$2:U513),$U$2:$U$1001,0),0), INDEX($AB$1004:$AQ$1004,1,MATCH(COLUMNS($AB$1006:AC1006),$AB$1006:$AQ$1006,0)))),"Fix")))</f>
        <v>0</v>
      </c>
      <c r="D513" s="5">
        <f>IF(OR(INDEX($V$2:$V$1001,MATCH(ROWS($U$2:U513),$U$2:$U$1001,0),1)&gt;=100000,INDEX($AB$1005:$AQ$1005,1,MATCH(COLUMNS($AB$1006:AD1006),$AB$1006:$AQ$1006,0))&gt;=100000), " ",IF(INDEX($AB$2:$AQ$1001,MATCH(ROWS($U$2:U513),$U$2:$U$1001,0),MATCH(COLUMNS($AB$1006:AD1006),$AB$1006:$AQ$1006,0)), HYPERLINK("#",""), HYPERLINK(CONCATENATE("#Metadata!", ADDRESS(INDEX($W$2:$W$1001,MATCH(ROWS($U$2:U513),$U$2:$U$1001,0),0), INDEX($AB$1004:$AQ$1004,1,MATCH(COLUMNS($AB$1006:AD1006),$AB$1006:$AQ$1006,0)))),"Fix")))</f>
        <v>0</v>
      </c>
      <c r="E513" s="5">
        <f>IF(OR(INDEX($V$2:$V$1001,MATCH(ROWS($U$2:U513),$U$2:$U$1001,0),1)&gt;=100000,INDEX($AB$1005:$AQ$1005,1,MATCH(COLUMNS($AB$1006:AE1006),$AB$1006:$AQ$1006,0))&gt;=100000), " ",IF(INDEX($AB$2:$AQ$1001,MATCH(ROWS($U$2:U513),$U$2:$U$1001,0),MATCH(COLUMNS($AB$1006:AE1006),$AB$1006:$AQ$1006,0)), HYPERLINK("#",""), HYPERLINK(CONCATENATE("#Metadata!", ADDRESS(INDEX($W$2:$W$1001,MATCH(ROWS($U$2:U513),$U$2:$U$1001,0),0), INDEX($AB$1004:$AQ$1004,1,MATCH(COLUMNS($AB$1006:AE1006),$AB$1006:$AQ$1006,0)))),"Fix")))</f>
        <v>0</v>
      </c>
      <c r="F513" s="5">
        <f>IF(OR(INDEX($V$2:$V$1001,MATCH(ROWS($U$2:U513),$U$2:$U$1001,0),1)&gt;=100000,INDEX($AB$1005:$AQ$1005,1,MATCH(COLUMNS($AB$1006:AF1006),$AB$1006:$AQ$1006,0))&gt;=100000), " ",IF(INDEX($AB$2:$AQ$1001,MATCH(ROWS($U$2:U513),$U$2:$U$1001,0),MATCH(COLUMNS($AB$1006:AF1006),$AB$1006:$AQ$1006,0)), HYPERLINK("#",""), HYPERLINK(CONCATENATE("#Metadata!", ADDRESS(INDEX($W$2:$W$1001,MATCH(ROWS($U$2:U513),$U$2:$U$1001,0),0), INDEX($AB$1004:$AQ$1004,1,MATCH(COLUMNS($AB$1006:AF1006),$AB$1006:$AQ$1006,0)))),"Fix")))</f>
        <v>0</v>
      </c>
      <c r="G513" s="5">
        <f>IF(OR(INDEX($V$2:$V$1001,MATCH(ROWS($U$2:U513),$U$2:$U$1001,0),1)&gt;=100000,INDEX($AB$1005:$AQ$1005,1,MATCH(COLUMNS($AB$1006:AG1006),$AB$1006:$AQ$1006,0))&gt;=100000), " ",IF(INDEX($AB$2:$AQ$1001,MATCH(ROWS($U$2:U513),$U$2:$U$1001,0),MATCH(COLUMNS($AB$1006:AG1006),$AB$1006:$AQ$1006,0)), HYPERLINK("#",""), HYPERLINK(CONCATENATE("#Metadata!", ADDRESS(INDEX($W$2:$W$1001,MATCH(ROWS($U$2:U513),$U$2:$U$1001,0),0), INDEX($AB$1004:$AQ$1004,1,MATCH(COLUMNS($AB$1006:AG1006),$AB$1006:$AQ$1006,0)))),"Fix")))</f>
        <v>0</v>
      </c>
      <c r="H513" s="5">
        <f>IF(OR(INDEX($V$2:$V$1001,MATCH(ROWS($U$2:U513),$U$2:$U$1001,0),1)&gt;=100000,INDEX($AB$1005:$AQ$1005,1,MATCH(COLUMNS($AB$1006:AH1006),$AB$1006:$AQ$1006,0))&gt;=100000), " ",IF(INDEX($AB$2:$AQ$1001,MATCH(ROWS($U$2:U513),$U$2:$U$1001,0),MATCH(COLUMNS($AB$1006:AH1006),$AB$1006:$AQ$1006,0)), HYPERLINK("#",""), HYPERLINK(CONCATENATE("#Metadata!", ADDRESS(INDEX($W$2:$W$1001,MATCH(ROWS($U$2:U513),$U$2:$U$1001,0),0), INDEX($AB$1004:$AQ$1004,1,MATCH(COLUMNS($AB$1006:AH1006),$AB$1006:$AQ$1006,0)))),"Fix")))</f>
        <v>0</v>
      </c>
      <c r="I513" s="5">
        <f>IF(OR(INDEX($V$2:$V$1001,MATCH(ROWS($U$2:U513),$U$2:$U$1001,0),1)&gt;=100000,INDEX($AB$1005:$AQ$1005,1,MATCH(COLUMNS($AB$1006:AI1006),$AB$1006:$AQ$1006,0))&gt;=100000), " ",IF(INDEX($AB$2:$AQ$1001,MATCH(ROWS($U$2:U513),$U$2:$U$1001,0),MATCH(COLUMNS($AB$1006:AI1006),$AB$1006:$AQ$1006,0)), HYPERLINK("#",""), HYPERLINK(CONCATENATE("#Metadata!", ADDRESS(INDEX($W$2:$W$1001,MATCH(ROWS($U$2:U513),$U$2:$U$1001,0),0), INDEX($AB$1004:$AQ$1004,1,MATCH(COLUMNS($AB$1006:AI1006),$AB$1006:$AQ$1006,0)))),"Fix")))</f>
        <v>0</v>
      </c>
      <c r="J513" s="5">
        <f>IF(OR(INDEX($V$2:$V$1001,MATCH(ROWS($U$2:U513),$U$2:$U$1001,0),1)&gt;=100000,INDEX($AB$1005:$AQ$1005,1,MATCH(COLUMNS($AB$1006:AJ1006),$AB$1006:$AQ$1006,0))&gt;=100000), " ",IF(INDEX($AB$2:$AQ$1001,MATCH(ROWS($U$2:U513),$U$2:$U$1001,0),MATCH(COLUMNS($AB$1006:AJ1006),$AB$1006:$AQ$1006,0)), HYPERLINK("#",""), HYPERLINK(CONCATENATE("#Metadata!", ADDRESS(INDEX($W$2:$W$1001,MATCH(ROWS($U$2:U513),$U$2:$U$1001,0),0), INDEX($AB$1004:$AQ$1004,1,MATCH(COLUMNS($AB$1006:AJ1006),$AB$1006:$AQ$1006,0)))),"Fix")))</f>
        <v>0</v>
      </c>
      <c r="K513" s="5">
        <f>IF(OR(INDEX($V$2:$V$1001,MATCH(ROWS($U$2:U513),$U$2:$U$1001,0),1)&gt;=100000,INDEX($AB$1005:$AQ$1005,1,MATCH(COLUMNS($AB$1006:AK1006),$AB$1006:$AQ$1006,0))&gt;=100000), " ",IF(INDEX($AB$2:$AQ$1001,MATCH(ROWS($U$2:U513),$U$2:$U$1001,0),MATCH(COLUMNS($AB$1006:AK1006),$AB$1006:$AQ$1006,0)), HYPERLINK("#",""), HYPERLINK(CONCATENATE("#Metadata!", ADDRESS(INDEX($W$2:$W$1001,MATCH(ROWS($U$2:U513),$U$2:$U$1001,0),0), INDEX($AB$1004:$AQ$1004,1,MATCH(COLUMNS($AB$1006:AK1006),$AB$1006:$AQ$1006,0)))),"Fix")))</f>
        <v>0</v>
      </c>
      <c r="L513" s="5">
        <f>IF(OR(INDEX($V$2:$V$1001,MATCH(ROWS($U$2:U513),$U$2:$U$1001,0),1)&gt;=100000,INDEX($AB$1005:$AQ$1005,1,MATCH(COLUMNS($AB$1006:AL1006),$AB$1006:$AQ$1006,0))&gt;=100000), " ",IF(INDEX($AB$2:$AQ$1001,MATCH(ROWS($U$2:U513),$U$2:$U$1001,0),MATCH(COLUMNS($AB$1006:AL1006),$AB$1006:$AQ$1006,0)), HYPERLINK("#",""), HYPERLINK(CONCATENATE("#Metadata!", ADDRESS(INDEX($W$2:$W$1001,MATCH(ROWS($U$2:U513),$U$2:$U$1001,0),0), INDEX($AB$1004:$AQ$1004,1,MATCH(COLUMNS($AB$1006:AL1006),$AB$1006:$AQ$1006,0)))),"Fix")))</f>
        <v>0</v>
      </c>
      <c r="M513" s="5">
        <f>IF(OR(INDEX($V$2:$V$1001,MATCH(ROWS($U$2:U513),$U$2:$U$1001,0),1)&gt;=100000,INDEX($AB$1005:$AQ$1005,1,MATCH(COLUMNS($AB$1006:AM1006),$AB$1006:$AQ$1006,0))&gt;=100000), " ",IF(INDEX($AB$2:$AQ$1001,MATCH(ROWS($U$2:U513),$U$2:$U$1001,0),MATCH(COLUMNS($AB$1006:AM1006),$AB$1006:$AQ$1006,0)), HYPERLINK("#",""), HYPERLINK(CONCATENATE("#Metadata!", ADDRESS(INDEX($W$2:$W$1001,MATCH(ROWS($U$2:U513),$U$2:$U$1001,0),0), INDEX($AB$1004:$AQ$1004,1,MATCH(COLUMNS($AB$1006:AM1006),$AB$1006:$AQ$1006,0)))),"Fix")))</f>
        <v>0</v>
      </c>
      <c r="N513" s="5">
        <f>IF(OR(INDEX($V$2:$V$1001,MATCH(ROWS($U$2:U513),$U$2:$U$1001,0),1)&gt;=100000,INDEX($AB$1005:$AQ$1005,1,MATCH(COLUMNS($AB$1006:AN1006),$AB$1006:$AQ$1006,0))&gt;=100000), " ",IF(INDEX($AB$2:$AQ$1001,MATCH(ROWS($U$2:U513),$U$2:$U$1001,0),MATCH(COLUMNS($AB$1006:AN1006),$AB$1006:$AQ$1006,0)), HYPERLINK("#",""), HYPERLINK(CONCATENATE("#Metadata!", ADDRESS(INDEX($W$2:$W$1001,MATCH(ROWS($U$2:U513),$U$2:$U$1001,0),0), INDEX($AB$1004:$AQ$1004,1,MATCH(COLUMNS($AB$1006:AN1006),$AB$1006:$AQ$1006,0)))),"Fix")))</f>
        <v>0</v>
      </c>
      <c r="O513" s="5">
        <f>IF(OR(INDEX($V$2:$V$1001,MATCH(ROWS($U$2:U513),$U$2:$U$1001,0),1)&gt;=100000,INDEX($AB$1005:$AQ$1005,1,MATCH(COLUMNS($AB$1006:AO1006),$AB$1006:$AQ$1006,0))&gt;=100000), " ",IF(INDEX($AB$2:$AQ$1001,MATCH(ROWS($U$2:U513),$U$2:$U$1001,0),MATCH(COLUMNS($AB$1006:AO1006),$AB$1006:$AQ$1006,0)), HYPERLINK("#",""), HYPERLINK(CONCATENATE("#Metadata!", ADDRESS(INDEX($W$2:$W$1001,MATCH(ROWS($U$2:U513),$U$2:$U$1001,0),0), INDEX($AB$1004:$AQ$1004,1,MATCH(COLUMNS($AB$1006:AO1006),$AB$1006:$AQ$1006,0)))),"Fix")))</f>
        <v>0</v>
      </c>
      <c r="P513" s="5">
        <f>IF(OR(INDEX($V$2:$V$1001,MATCH(ROWS($U$2:U513),$U$2:$U$1001,0),1)&gt;=100000,INDEX($AB$1005:$AQ$1005,1,MATCH(COLUMNS($AB$1006:AP1006),$AB$1006:$AQ$1006,0))&gt;=100000), " ",IF(INDEX($AB$2:$AQ$1001,MATCH(ROWS($U$2:U513),$U$2:$U$1001,0),MATCH(COLUMNS($AB$1006:AP1006),$AB$1006:$AQ$1006,0)), HYPERLINK("#",""), HYPERLINK(CONCATENATE("#Metadata!", ADDRESS(INDEX($W$2:$W$1001,MATCH(ROWS($U$2:U513),$U$2:$U$1001,0),0), INDEX($AB$1004:$AQ$1004,1,MATCH(COLUMNS($AB$1006:AP1006),$AB$1006:$AQ$1006,0)))),"Fix")))</f>
        <v>0</v>
      </c>
      <c r="Q513" s="5">
        <f>IF(OR(INDEX($V$2:$V$1001,MATCH(ROWS($U$2:U513),$U$2:$U$1001,0),1)&gt;=100000,INDEX($AB$1005:$AQ$1005,1,MATCH(COLUMNS($AB$1006:AQ1006),$AB$1006:$AQ$1006,0))&gt;=100000), " ",IF(INDEX($AB$2:$AQ$1001,MATCH(ROWS($U$2:U513),$U$2:$U$1001,0),MATCH(COLUMNS($AB$1006:AQ1006),$AB$1006:$AQ$1006,0)), HYPERLINK("#",""), HYPERLINK(CONCATENATE("#Metadata!", ADDRESS(INDEX($W$2:$W$1001,MATCH(ROWS($U$2:U513),$U$2:$U$1001,0),0), INDEX($AB$1004:$AQ$1004,1,MATCH(COLUMNS($AB$1006:AQ1006),$AB$1006:$AQ$1006,0)))),"Fix")))</f>
        <v>0</v>
      </c>
      <c r="U513">
        <v>0</v>
      </c>
      <c r="V513">
        <v>0</v>
      </c>
      <c r="W513">
        <v>0</v>
      </c>
      <c r="X513">
        <f>IF(Y513,TRUE,AND(AB513:AQ513))</f>
        <v>0</v>
      </c>
      <c r="Y513">
        <f>COUNTBLANK(Metadata!B513:Q513)=COLUMNS(Metadata!B513:Q513)</f>
        <v>0</v>
      </c>
      <c r="Z513">
        <v>0</v>
      </c>
      <c r="AB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AC513">
        <f>AND(IF(Metadata!C513="",FALSE,TRUE),exact(Metadata!C513,"urban biome"))</f>
        <v>0</v>
      </c>
      <c r="AD513">
        <f>AND(IF(Metadata!D513="",FALSE,TRUE),exact(Metadata!D513,"human-associated habitat"))</f>
        <v>0</v>
      </c>
      <c r="AE513">
        <f>AND(IF(Metadata!E513="",FALSE,TRUE),OR(exact(Metadata!E513,"human-associated"),exact(Metadata!E513,"human-skin"),exact(Metadata!E513,"human-oral"),exact(Metadata!E513,"human-gut"),exact(Metadata!E513,"human-vaginal")))</f>
        <v>0</v>
      </c>
      <c r="AF513">
        <f>AND(IF(Metadata!F513="",FALSE,ISNUMBER(VALUE(Metadata!F513))),Metadata!F513&gt;0)</f>
        <v>0</v>
      </c>
      <c r="AG513">
        <f>AND(IF(Metadata!G513="",FALSE,TRUE),exact(Metadata!G513,"years"))</f>
        <v>0</v>
      </c>
      <c r="AH513">
        <f>OR(AND(IF(Metadata!H513="",FALSE,TRUE),OR(exact(Metadata!H513,"not applicable"),exact(Metadata!H513,"not collected"),exact(Metadata!H513,"not provided"),exact(Metadata!H513,"restricted access"))),AND(IF(Metadata!H513="",FALSE,ISNUMBER(VALUE(Metadata!H513))),Metadata!H513&gt;0))</f>
        <v>0</v>
      </c>
      <c r="AI513">
        <f>AND(IF(Metadata!I513="",FALSE,TRUE),exact(Metadata!I513,"human"))</f>
        <v>0</v>
      </c>
      <c r="AJ513">
        <f>AND(IF(Metadata!J513="",FALSE,ISNUMBER(VALUE(Metadata!J513))),Metadata!J513&gt;0)</f>
        <v>0</v>
      </c>
      <c r="AK513">
        <f>AND(IF(Metadata!K513="",FALSE,TRUE),exact(Metadata!K513,"cm"))</f>
        <v>0</v>
      </c>
      <c r="AL513">
        <f>AND(IF(Metadata!L513="",FALSE,TRUE),exact(Metadata!L513,"Homo sapiens"))</f>
        <v>0</v>
      </c>
      <c r="AM513">
        <f>AND(IF(Metadata!M513="",FALSE,TRUE),exact(Metadata!M513,"9606"))</f>
        <v>0</v>
      </c>
      <c r="AN513">
        <f>AND(IF(Metadata!N513="",FALSE,ISNUMBER(VALUE(Metadata!N513))),Metadata!N513&gt;0)</f>
        <v>0</v>
      </c>
      <c r="AO513">
        <f>AND(IF(Metadata!O513="",FALSE,TRUE),exact(Metadata!O513,"kg"))</f>
        <v>0</v>
      </c>
      <c r="AP513">
        <f>OR(AND(IF(Metadata!P513="",FALSE,TRUE),exact(Metadata!P513,"not provided")),IF(Metadata!P513="",FALSE,TRUE))</f>
        <v>0</v>
      </c>
      <c r="AQ513">
        <f>OR(AND(IF(Metadata!Q513="",FALSE,TRUE),exact(Metadata!Q513,"not provided")),IF(Metadata!Q513="",FALSE,TRUE))</f>
        <v>0</v>
      </c>
    </row>
    <row r="514" spans="1:43">
      <c r="A514" s="4">
        <f>IF(B514=" "," ",HYPERLINK(CONCATENATE("#metadata!",ADDRESS(INDEX($W$2:$W$1001,MATCH(ROWS($U$2:U514),$U$2:$U$1001,0),0),2)),INDEX($Z$2:$Z$1001,MATCH(ROWS($U$2:U514),$U$2:$U$1001,0),0)))</f>
        <v>0</v>
      </c>
      <c r="B514" s="5">
        <f>IF(OR(INDEX($V$2:$V$1001,MATCH(ROWS($U$2:U514),$U$2:$U$1001,0),1)&gt;=100000,INDEX($AB$1005:$AQ$1005,1,MATCH(COLUMNS($AB$1006:AB1006),$AB$1006:$AQ$1006,0))&gt;=100000), " ",IF(INDEX($AB$2:$AQ$1001,MATCH(ROWS($U$2:U514),$U$2:$U$1001,0),MATCH(COLUMNS($AB$1006:AB1006),$AB$1006:$AQ$1006,0)), HYPERLINK("#",""), HYPERLINK(CONCATENATE("#Metadata!", ADDRESS(INDEX($W$2:$W$1001,MATCH(ROWS($U$2:U514),$U$2:$U$1001,0),0), INDEX($AB$1004:$AQ$1004,1,MATCH(COLUMNS($AB$1006:AB1006),$AB$1006:$AQ$1006,0)))),"Fix")))</f>
        <v>0</v>
      </c>
      <c r="C514" s="5">
        <f>IF(OR(INDEX($V$2:$V$1001,MATCH(ROWS($U$2:U514),$U$2:$U$1001,0),1)&gt;=100000,INDEX($AB$1005:$AQ$1005,1,MATCH(COLUMNS($AB$1006:AC1006),$AB$1006:$AQ$1006,0))&gt;=100000), " ",IF(INDEX($AB$2:$AQ$1001,MATCH(ROWS($U$2:U514),$U$2:$U$1001,0),MATCH(COLUMNS($AB$1006:AC1006),$AB$1006:$AQ$1006,0)), HYPERLINK("#",""), HYPERLINK(CONCATENATE("#Metadata!", ADDRESS(INDEX($W$2:$W$1001,MATCH(ROWS($U$2:U514),$U$2:$U$1001,0),0), INDEX($AB$1004:$AQ$1004,1,MATCH(COLUMNS($AB$1006:AC1006),$AB$1006:$AQ$1006,0)))),"Fix")))</f>
        <v>0</v>
      </c>
      <c r="D514" s="5">
        <f>IF(OR(INDEX($V$2:$V$1001,MATCH(ROWS($U$2:U514),$U$2:$U$1001,0),1)&gt;=100000,INDEX($AB$1005:$AQ$1005,1,MATCH(COLUMNS($AB$1006:AD1006),$AB$1006:$AQ$1006,0))&gt;=100000), " ",IF(INDEX($AB$2:$AQ$1001,MATCH(ROWS($U$2:U514),$U$2:$U$1001,0),MATCH(COLUMNS($AB$1006:AD1006),$AB$1006:$AQ$1006,0)), HYPERLINK("#",""), HYPERLINK(CONCATENATE("#Metadata!", ADDRESS(INDEX($W$2:$W$1001,MATCH(ROWS($U$2:U514),$U$2:$U$1001,0),0), INDEX($AB$1004:$AQ$1004,1,MATCH(COLUMNS($AB$1006:AD1006),$AB$1006:$AQ$1006,0)))),"Fix")))</f>
        <v>0</v>
      </c>
      <c r="E514" s="5">
        <f>IF(OR(INDEX($V$2:$V$1001,MATCH(ROWS($U$2:U514),$U$2:$U$1001,0),1)&gt;=100000,INDEX($AB$1005:$AQ$1005,1,MATCH(COLUMNS($AB$1006:AE1006),$AB$1006:$AQ$1006,0))&gt;=100000), " ",IF(INDEX($AB$2:$AQ$1001,MATCH(ROWS($U$2:U514),$U$2:$U$1001,0),MATCH(COLUMNS($AB$1006:AE1006),$AB$1006:$AQ$1006,0)), HYPERLINK("#",""), HYPERLINK(CONCATENATE("#Metadata!", ADDRESS(INDEX($W$2:$W$1001,MATCH(ROWS($U$2:U514),$U$2:$U$1001,0),0), INDEX($AB$1004:$AQ$1004,1,MATCH(COLUMNS($AB$1006:AE1006),$AB$1006:$AQ$1006,0)))),"Fix")))</f>
        <v>0</v>
      </c>
      <c r="F514" s="5">
        <f>IF(OR(INDEX($V$2:$V$1001,MATCH(ROWS($U$2:U514),$U$2:$U$1001,0),1)&gt;=100000,INDEX($AB$1005:$AQ$1005,1,MATCH(COLUMNS($AB$1006:AF1006),$AB$1006:$AQ$1006,0))&gt;=100000), " ",IF(INDEX($AB$2:$AQ$1001,MATCH(ROWS($U$2:U514),$U$2:$U$1001,0),MATCH(COLUMNS($AB$1006:AF1006),$AB$1006:$AQ$1006,0)), HYPERLINK("#",""), HYPERLINK(CONCATENATE("#Metadata!", ADDRESS(INDEX($W$2:$W$1001,MATCH(ROWS($U$2:U514),$U$2:$U$1001,0),0), INDEX($AB$1004:$AQ$1004,1,MATCH(COLUMNS($AB$1006:AF1006),$AB$1006:$AQ$1006,0)))),"Fix")))</f>
        <v>0</v>
      </c>
      <c r="G514" s="5">
        <f>IF(OR(INDEX($V$2:$V$1001,MATCH(ROWS($U$2:U514),$U$2:$U$1001,0),1)&gt;=100000,INDEX($AB$1005:$AQ$1005,1,MATCH(COLUMNS($AB$1006:AG1006),$AB$1006:$AQ$1006,0))&gt;=100000), " ",IF(INDEX($AB$2:$AQ$1001,MATCH(ROWS($U$2:U514),$U$2:$U$1001,0),MATCH(COLUMNS($AB$1006:AG1006),$AB$1006:$AQ$1006,0)), HYPERLINK("#",""), HYPERLINK(CONCATENATE("#Metadata!", ADDRESS(INDEX($W$2:$W$1001,MATCH(ROWS($U$2:U514),$U$2:$U$1001,0),0), INDEX($AB$1004:$AQ$1004,1,MATCH(COLUMNS($AB$1006:AG1006),$AB$1006:$AQ$1006,0)))),"Fix")))</f>
        <v>0</v>
      </c>
      <c r="H514" s="5">
        <f>IF(OR(INDEX($V$2:$V$1001,MATCH(ROWS($U$2:U514),$U$2:$U$1001,0),1)&gt;=100000,INDEX($AB$1005:$AQ$1005,1,MATCH(COLUMNS($AB$1006:AH1006),$AB$1006:$AQ$1006,0))&gt;=100000), " ",IF(INDEX($AB$2:$AQ$1001,MATCH(ROWS($U$2:U514),$U$2:$U$1001,0),MATCH(COLUMNS($AB$1006:AH1006),$AB$1006:$AQ$1006,0)), HYPERLINK("#",""), HYPERLINK(CONCATENATE("#Metadata!", ADDRESS(INDEX($W$2:$W$1001,MATCH(ROWS($U$2:U514),$U$2:$U$1001,0),0), INDEX($AB$1004:$AQ$1004,1,MATCH(COLUMNS($AB$1006:AH1006),$AB$1006:$AQ$1006,0)))),"Fix")))</f>
        <v>0</v>
      </c>
      <c r="I514" s="5">
        <f>IF(OR(INDEX($V$2:$V$1001,MATCH(ROWS($U$2:U514),$U$2:$U$1001,0),1)&gt;=100000,INDEX($AB$1005:$AQ$1005,1,MATCH(COLUMNS($AB$1006:AI1006),$AB$1006:$AQ$1006,0))&gt;=100000), " ",IF(INDEX($AB$2:$AQ$1001,MATCH(ROWS($U$2:U514),$U$2:$U$1001,0),MATCH(COLUMNS($AB$1006:AI1006),$AB$1006:$AQ$1006,0)), HYPERLINK("#",""), HYPERLINK(CONCATENATE("#Metadata!", ADDRESS(INDEX($W$2:$W$1001,MATCH(ROWS($U$2:U514),$U$2:$U$1001,0),0), INDEX($AB$1004:$AQ$1004,1,MATCH(COLUMNS($AB$1006:AI1006),$AB$1006:$AQ$1006,0)))),"Fix")))</f>
        <v>0</v>
      </c>
      <c r="J514" s="5">
        <f>IF(OR(INDEX($V$2:$V$1001,MATCH(ROWS($U$2:U514),$U$2:$U$1001,0),1)&gt;=100000,INDEX($AB$1005:$AQ$1005,1,MATCH(COLUMNS($AB$1006:AJ1006),$AB$1006:$AQ$1006,0))&gt;=100000), " ",IF(INDEX($AB$2:$AQ$1001,MATCH(ROWS($U$2:U514),$U$2:$U$1001,0),MATCH(COLUMNS($AB$1006:AJ1006),$AB$1006:$AQ$1006,0)), HYPERLINK("#",""), HYPERLINK(CONCATENATE("#Metadata!", ADDRESS(INDEX($W$2:$W$1001,MATCH(ROWS($U$2:U514),$U$2:$U$1001,0),0), INDEX($AB$1004:$AQ$1004,1,MATCH(COLUMNS($AB$1006:AJ1006),$AB$1006:$AQ$1006,0)))),"Fix")))</f>
        <v>0</v>
      </c>
      <c r="K514" s="5">
        <f>IF(OR(INDEX($V$2:$V$1001,MATCH(ROWS($U$2:U514),$U$2:$U$1001,0),1)&gt;=100000,INDEX($AB$1005:$AQ$1005,1,MATCH(COLUMNS($AB$1006:AK1006),$AB$1006:$AQ$1006,0))&gt;=100000), " ",IF(INDEX($AB$2:$AQ$1001,MATCH(ROWS($U$2:U514),$U$2:$U$1001,0),MATCH(COLUMNS($AB$1006:AK1006),$AB$1006:$AQ$1006,0)), HYPERLINK("#",""), HYPERLINK(CONCATENATE("#Metadata!", ADDRESS(INDEX($W$2:$W$1001,MATCH(ROWS($U$2:U514),$U$2:$U$1001,0),0), INDEX($AB$1004:$AQ$1004,1,MATCH(COLUMNS($AB$1006:AK1006),$AB$1006:$AQ$1006,0)))),"Fix")))</f>
        <v>0</v>
      </c>
      <c r="L514" s="5">
        <f>IF(OR(INDEX($V$2:$V$1001,MATCH(ROWS($U$2:U514),$U$2:$U$1001,0),1)&gt;=100000,INDEX($AB$1005:$AQ$1005,1,MATCH(COLUMNS($AB$1006:AL1006),$AB$1006:$AQ$1006,0))&gt;=100000), " ",IF(INDEX($AB$2:$AQ$1001,MATCH(ROWS($U$2:U514),$U$2:$U$1001,0),MATCH(COLUMNS($AB$1006:AL1006),$AB$1006:$AQ$1006,0)), HYPERLINK("#",""), HYPERLINK(CONCATENATE("#Metadata!", ADDRESS(INDEX($W$2:$W$1001,MATCH(ROWS($U$2:U514),$U$2:$U$1001,0),0), INDEX($AB$1004:$AQ$1004,1,MATCH(COLUMNS($AB$1006:AL1006),$AB$1006:$AQ$1006,0)))),"Fix")))</f>
        <v>0</v>
      </c>
      <c r="M514" s="5">
        <f>IF(OR(INDEX($V$2:$V$1001,MATCH(ROWS($U$2:U514),$U$2:$U$1001,0),1)&gt;=100000,INDEX($AB$1005:$AQ$1005,1,MATCH(COLUMNS($AB$1006:AM1006),$AB$1006:$AQ$1006,0))&gt;=100000), " ",IF(INDEX($AB$2:$AQ$1001,MATCH(ROWS($U$2:U514),$U$2:$U$1001,0),MATCH(COLUMNS($AB$1006:AM1006),$AB$1006:$AQ$1006,0)), HYPERLINK("#",""), HYPERLINK(CONCATENATE("#Metadata!", ADDRESS(INDEX($W$2:$W$1001,MATCH(ROWS($U$2:U514),$U$2:$U$1001,0),0), INDEX($AB$1004:$AQ$1004,1,MATCH(COLUMNS($AB$1006:AM1006),$AB$1006:$AQ$1006,0)))),"Fix")))</f>
        <v>0</v>
      </c>
      <c r="N514" s="5">
        <f>IF(OR(INDEX($V$2:$V$1001,MATCH(ROWS($U$2:U514),$U$2:$U$1001,0),1)&gt;=100000,INDEX($AB$1005:$AQ$1005,1,MATCH(COLUMNS($AB$1006:AN1006),$AB$1006:$AQ$1006,0))&gt;=100000), " ",IF(INDEX($AB$2:$AQ$1001,MATCH(ROWS($U$2:U514),$U$2:$U$1001,0),MATCH(COLUMNS($AB$1006:AN1006),$AB$1006:$AQ$1006,0)), HYPERLINK("#",""), HYPERLINK(CONCATENATE("#Metadata!", ADDRESS(INDEX($W$2:$W$1001,MATCH(ROWS($U$2:U514),$U$2:$U$1001,0),0), INDEX($AB$1004:$AQ$1004,1,MATCH(COLUMNS($AB$1006:AN1006),$AB$1006:$AQ$1006,0)))),"Fix")))</f>
        <v>0</v>
      </c>
      <c r="O514" s="5">
        <f>IF(OR(INDEX($V$2:$V$1001,MATCH(ROWS($U$2:U514),$U$2:$U$1001,0),1)&gt;=100000,INDEX($AB$1005:$AQ$1005,1,MATCH(COLUMNS($AB$1006:AO1006),$AB$1006:$AQ$1006,0))&gt;=100000), " ",IF(INDEX($AB$2:$AQ$1001,MATCH(ROWS($U$2:U514),$U$2:$U$1001,0),MATCH(COLUMNS($AB$1006:AO1006),$AB$1006:$AQ$1006,0)), HYPERLINK("#",""), HYPERLINK(CONCATENATE("#Metadata!", ADDRESS(INDEX($W$2:$W$1001,MATCH(ROWS($U$2:U514),$U$2:$U$1001,0),0), INDEX($AB$1004:$AQ$1004,1,MATCH(COLUMNS($AB$1006:AO1006),$AB$1006:$AQ$1006,0)))),"Fix")))</f>
        <v>0</v>
      </c>
      <c r="P514" s="5">
        <f>IF(OR(INDEX($V$2:$V$1001,MATCH(ROWS($U$2:U514),$U$2:$U$1001,0),1)&gt;=100000,INDEX($AB$1005:$AQ$1005,1,MATCH(COLUMNS($AB$1006:AP1006),$AB$1006:$AQ$1006,0))&gt;=100000), " ",IF(INDEX($AB$2:$AQ$1001,MATCH(ROWS($U$2:U514),$U$2:$U$1001,0),MATCH(COLUMNS($AB$1006:AP1006),$AB$1006:$AQ$1006,0)), HYPERLINK("#",""), HYPERLINK(CONCATENATE("#Metadata!", ADDRESS(INDEX($W$2:$W$1001,MATCH(ROWS($U$2:U514),$U$2:$U$1001,0),0), INDEX($AB$1004:$AQ$1004,1,MATCH(COLUMNS($AB$1006:AP1006),$AB$1006:$AQ$1006,0)))),"Fix")))</f>
        <v>0</v>
      </c>
      <c r="Q514" s="5">
        <f>IF(OR(INDEX($V$2:$V$1001,MATCH(ROWS($U$2:U514),$U$2:$U$1001,0),1)&gt;=100000,INDEX($AB$1005:$AQ$1005,1,MATCH(COLUMNS($AB$1006:AQ1006),$AB$1006:$AQ$1006,0))&gt;=100000), " ",IF(INDEX($AB$2:$AQ$1001,MATCH(ROWS($U$2:U514),$U$2:$U$1001,0),MATCH(COLUMNS($AB$1006:AQ1006),$AB$1006:$AQ$1006,0)), HYPERLINK("#",""), HYPERLINK(CONCATENATE("#Metadata!", ADDRESS(INDEX($W$2:$W$1001,MATCH(ROWS($U$2:U514),$U$2:$U$1001,0),0), INDEX($AB$1004:$AQ$1004,1,MATCH(COLUMNS($AB$1006:AQ1006),$AB$1006:$AQ$1006,0)))),"Fix")))</f>
        <v>0</v>
      </c>
      <c r="U514">
        <v>0</v>
      </c>
      <c r="V514">
        <v>0</v>
      </c>
      <c r="W514">
        <v>0</v>
      </c>
      <c r="X514">
        <f>IF(Y514,TRUE,AND(AB514:AQ514))</f>
        <v>0</v>
      </c>
      <c r="Y514">
        <f>COUNTBLANK(Metadata!B514:Q514)=COLUMNS(Metadata!B514:Q514)</f>
        <v>0</v>
      </c>
      <c r="Z514">
        <v>0</v>
      </c>
      <c r="AB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AC514">
        <f>AND(IF(Metadata!C514="",FALSE,TRUE),exact(Metadata!C514,"urban biome"))</f>
        <v>0</v>
      </c>
      <c r="AD514">
        <f>AND(IF(Metadata!D514="",FALSE,TRUE),exact(Metadata!D514,"human-associated habitat"))</f>
        <v>0</v>
      </c>
      <c r="AE514">
        <f>AND(IF(Metadata!E514="",FALSE,TRUE),OR(exact(Metadata!E514,"human-associated"),exact(Metadata!E514,"human-skin"),exact(Metadata!E514,"human-oral"),exact(Metadata!E514,"human-gut"),exact(Metadata!E514,"human-vaginal")))</f>
        <v>0</v>
      </c>
      <c r="AF514">
        <f>AND(IF(Metadata!F514="",FALSE,ISNUMBER(VALUE(Metadata!F514))),Metadata!F514&gt;0)</f>
        <v>0</v>
      </c>
      <c r="AG514">
        <f>AND(IF(Metadata!G514="",FALSE,TRUE),exact(Metadata!G514,"years"))</f>
        <v>0</v>
      </c>
      <c r="AH514">
        <f>OR(AND(IF(Metadata!H514="",FALSE,TRUE),OR(exact(Metadata!H514,"not applicable"),exact(Metadata!H514,"not collected"),exact(Metadata!H514,"not provided"),exact(Metadata!H514,"restricted access"))),AND(IF(Metadata!H514="",FALSE,ISNUMBER(VALUE(Metadata!H514))),Metadata!H514&gt;0))</f>
        <v>0</v>
      </c>
      <c r="AI514">
        <f>AND(IF(Metadata!I514="",FALSE,TRUE),exact(Metadata!I514,"human"))</f>
        <v>0</v>
      </c>
      <c r="AJ514">
        <f>AND(IF(Metadata!J514="",FALSE,ISNUMBER(VALUE(Metadata!J514))),Metadata!J514&gt;0)</f>
        <v>0</v>
      </c>
      <c r="AK514">
        <f>AND(IF(Metadata!K514="",FALSE,TRUE),exact(Metadata!K514,"cm"))</f>
        <v>0</v>
      </c>
      <c r="AL514">
        <f>AND(IF(Metadata!L514="",FALSE,TRUE),exact(Metadata!L514,"Homo sapiens"))</f>
        <v>0</v>
      </c>
      <c r="AM514">
        <f>AND(IF(Metadata!M514="",FALSE,TRUE),exact(Metadata!M514,"9606"))</f>
        <v>0</v>
      </c>
      <c r="AN514">
        <f>AND(IF(Metadata!N514="",FALSE,ISNUMBER(VALUE(Metadata!N514))),Metadata!N514&gt;0)</f>
        <v>0</v>
      </c>
      <c r="AO514">
        <f>AND(IF(Metadata!O514="",FALSE,TRUE),exact(Metadata!O514,"kg"))</f>
        <v>0</v>
      </c>
      <c r="AP514">
        <f>OR(AND(IF(Metadata!P514="",FALSE,TRUE),exact(Metadata!P514,"not provided")),IF(Metadata!P514="",FALSE,TRUE))</f>
        <v>0</v>
      </c>
      <c r="AQ514">
        <f>OR(AND(IF(Metadata!Q514="",FALSE,TRUE),exact(Metadata!Q514,"not provided")),IF(Metadata!Q514="",FALSE,TRUE))</f>
        <v>0</v>
      </c>
    </row>
    <row r="515" spans="1:43">
      <c r="A515" s="4">
        <f>IF(B515=" "," ",HYPERLINK(CONCATENATE("#metadata!",ADDRESS(INDEX($W$2:$W$1001,MATCH(ROWS($U$2:U515),$U$2:$U$1001,0),0),2)),INDEX($Z$2:$Z$1001,MATCH(ROWS($U$2:U515),$U$2:$U$1001,0),0)))</f>
        <v>0</v>
      </c>
      <c r="B515" s="5">
        <f>IF(OR(INDEX($V$2:$V$1001,MATCH(ROWS($U$2:U515),$U$2:$U$1001,0),1)&gt;=100000,INDEX($AB$1005:$AQ$1005,1,MATCH(COLUMNS($AB$1006:AB1006),$AB$1006:$AQ$1006,0))&gt;=100000), " ",IF(INDEX($AB$2:$AQ$1001,MATCH(ROWS($U$2:U515),$U$2:$U$1001,0),MATCH(COLUMNS($AB$1006:AB1006),$AB$1006:$AQ$1006,0)), HYPERLINK("#",""), HYPERLINK(CONCATENATE("#Metadata!", ADDRESS(INDEX($W$2:$W$1001,MATCH(ROWS($U$2:U515),$U$2:$U$1001,0),0), INDEX($AB$1004:$AQ$1004,1,MATCH(COLUMNS($AB$1006:AB1006),$AB$1006:$AQ$1006,0)))),"Fix")))</f>
        <v>0</v>
      </c>
      <c r="C515" s="5">
        <f>IF(OR(INDEX($V$2:$V$1001,MATCH(ROWS($U$2:U515),$U$2:$U$1001,0),1)&gt;=100000,INDEX($AB$1005:$AQ$1005,1,MATCH(COLUMNS($AB$1006:AC1006),$AB$1006:$AQ$1006,0))&gt;=100000), " ",IF(INDEX($AB$2:$AQ$1001,MATCH(ROWS($U$2:U515),$U$2:$U$1001,0),MATCH(COLUMNS($AB$1006:AC1006),$AB$1006:$AQ$1006,0)), HYPERLINK("#",""), HYPERLINK(CONCATENATE("#Metadata!", ADDRESS(INDEX($W$2:$W$1001,MATCH(ROWS($U$2:U515),$U$2:$U$1001,0),0), INDEX($AB$1004:$AQ$1004,1,MATCH(COLUMNS($AB$1006:AC1006),$AB$1006:$AQ$1006,0)))),"Fix")))</f>
        <v>0</v>
      </c>
      <c r="D515" s="5">
        <f>IF(OR(INDEX($V$2:$V$1001,MATCH(ROWS($U$2:U515),$U$2:$U$1001,0),1)&gt;=100000,INDEX($AB$1005:$AQ$1005,1,MATCH(COLUMNS($AB$1006:AD1006),$AB$1006:$AQ$1006,0))&gt;=100000), " ",IF(INDEX($AB$2:$AQ$1001,MATCH(ROWS($U$2:U515),$U$2:$U$1001,0),MATCH(COLUMNS($AB$1006:AD1006),$AB$1006:$AQ$1006,0)), HYPERLINK("#",""), HYPERLINK(CONCATENATE("#Metadata!", ADDRESS(INDEX($W$2:$W$1001,MATCH(ROWS($U$2:U515),$U$2:$U$1001,0),0), INDEX($AB$1004:$AQ$1004,1,MATCH(COLUMNS($AB$1006:AD1006),$AB$1006:$AQ$1006,0)))),"Fix")))</f>
        <v>0</v>
      </c>
      <c r="E515" s="5">
        <f>IF(OR(INDEX($V$2:$V$1001,MATCH(ROWS($U$2:U515),$U$2:$U$1001,0),1)&gt;=100000,INDEX($AB$1005:$AQ$1005,1,MATCH(COLUMNS($AB$1006:AE1006),$AB$1006:$AQ$1006,0))&gt;=100000), " ",IF(INDEX($AB$2:$AQ$1001,MATCH(ROWS($U$2:U515),$U$2:$U$1001,0),MATCH(COLUMNS($AB$1006:AE1006),$AB$1006:$AQ$1006,0)), HYPERLINK("#",""), HYPERLINK(CONCATENATE("#Metadata!", ADDRESS(INDEX($W$2:$W$1001,MATCH(ROWS($U$2:U515),$U$2:$U$1001,0),0), INDEX($AB$1004:$AQ$1004,1,MATCH(COLUMNS($AB$1006:AE1006),$AB$1006:$AQ$1006,0)))),"Fix")))</f>
        <v>0</v>
      </c>
      <c r="F515" s="5">
        <f>IF(OR(INDEX($V$2:$V$1001,MATCH(ROWS($U$2:U515),$U$2:$U$1001,0),1)&gt;=100000,INDEX($AB$1005:$AQ$1005,1,MATCH(COLUMNS($AB$1006:AF1006),$AB$1006:$AQ$1006,0))&gt;=100000), " ",IF(INDEX($AB$2:$AQ$1001,MATCH(ROWS($U$2:U515),$U$2:$U$1001,0),MATCH(COLUMNS($AB$1006:AF1006),$AB$1006:$AQ$1006,0)), HYPERLINK("#",""), HYPERLINK(CONCATENATE("#Metadata!", ADDRESS(INDEX($W$2:$W$1001,MATCH(ROWS($U$2:U515),$U$2:$U$1001,0),0), INDEX($AB$1004:$AQ$1004,1,MATCH(COLUMNS($AB$1006:AF1006),$AB$1006:$AQ$1006,0)))),"Fix")))</f>
        <v>0</v>
      </c>
      <c r="G515" s="5">
        <f>IF(OR(INDEX($V$2:$V$1001,MATCH(ROWS($U$2:U515),$U$2:$U$1001,0),1)&gt;=100000,INDEX($AB$1005:$AQ$1005,1,MATCH(COLUMNS($AB$1006:AG1006),$AB$1006:$AQ$1006,0))&gt;=100000), " ",IF(INDEX($AB$2:$AQ$1001,MATCH(ROWS($U$2:U515),$U$2:$U$1001,0),MATCH(COLUMNS($AB$1006:AG1006),$AB$1006:$AQ$1006,0)), HYPERLINK("#",""), HYPERLINK(CONCATENATE("#Metadata!", ADDRESS(INDEX($W$2:$W$1001,MATCH(ROWS($U$2:U515),$U$2:$U$1001,0),0), INDEX($AB$1004:$AQ$1004,1,MATCH(COLUMNS($AB$1006:AG1006),$AB$1006:$AQ$1006,0)))),"Fix")))</f>
        <v>0</v>
      </c>
      <c r="H515" s="5">
        <f>IF(OR(INDEX($V$2:$V$1001,MATCH(ROWS($U$2:U515),$U$2:$U$1001,0),1)&gt;=100000,INDEX($AB$1005:$AQ$1005,1,MATCH(COLUMNS($AB$1006:AH1006),$AB$1006:$AQ$1006,0))&gt;=100000), " ",IF(INDEX($AB$2:$AQ$1001,MATCH(ROWS($U$2:U515),$U$2:$U$1001,0),MATCH(COLUMNS($AB$1006:AH1006),$AB$1006:$AQ$1006,0)), HYPERLINK("#",""), HYPERLINK(CONCATENATE("#Metadata!", ADDRESS(INDEX($W$2:$W$1001,MATCH(ROWS($U$2:U515),$U$2:$U$1001,0),0), INDEX($AB$1004:$AQ$1004,1,MATCH(COLUMNS($AB$1006:AH1006),$AB$1006:$AQ$1006,0)))),"Fix")))</f>
        <v>0</v>
      </c>
      <c r="I515" s="5">
        <f>IF(OR(INDEX($V$2:$V$1001,MATCH(ROWS($U$2:U515),$U$2:$U$1001,0),1)&gt;=100000,INDEX($AB$1005:$AQ$1005,1,MATCH(COLUMNS($AB$1006:AI1006),$AB$1006:$AQ$1006,0))&gt;=100000), " ",IF(INDEX($AB$2:$AQ$1001,MATCH(ROWS($U$2:U515),$U$2:$U$1001,0),MATCH(COLUMNS($AB$1006:AI1006),$AB$1006:$AQ$1006,0)), HYPERLINK("#",""), HYPERLINK(CONCATENATE("#Metadata!", ADDRESS(INDEX($W$2:$W$1001,MATCH(ROWS($U$2:U515),$U$2:$U$1001,0),0), INDEX($AB$1004:$AQ$1004,1,MATCH(COLUMNS($AB$1006:AI1006),$AB$1006:$AQ$1006,0)))),"Fix")))</f>
        <v>0</v>
      </c>
      <c r="J515" s="5">
        <f>IF(OR(INDEX($V$2:$V$1001,MATCH(ROWS($U$2:U515),$U$2:$U$1001,0),1)&gt;=100000,INDEX($AB$1005:$AQ$1005,1,MATCH(COLUMNS($AB$1006:AJ1006),$AB$1006:$AQ$1006,0))&gt;=100000), " ",IF(INDEX($AB$2:$AQ$1001,MATCH(ROWS($U$2:U515),$U$2:$U$1001,0),MATCH(COLUMNS($AB$1006:AJ1006),$AB$1006:$AQ$1006,0)), HYPERLINK("#",""), HYPERLINK(CONCATENATE("#Metadata!", ADDRESS(INDEX($W$2:$W$1001,MATCH(ROWS($U$2:U515),$U$2:$U$1001,0),0), INDEX($AB$1004:$AQ$1004,1,MATCH(COLUMNS($AB$1006:AJ1006),$AB$1006:$AQ$1006,0)))),"Fix")))</f>
        <v>0</v>
      </c>
      <c r="K515" s="5">
        <f>IF(OR(INDEX($V$2:$V$1001,MATCH(ROWS($U$2:U515),$U$2:$U$1001,0),1)&gt;=100000,INDEX($AB$1005:$AQ$1005,1,MATCH(COLUMNS($AB$1006:AK1006),$AB$1006:$AQ$1006,0))&gt;=100000), " ",IF(INDEX($AB$2:$AQ$1001,MATCH(ROWS($U$2:U515),$U$2:$U$1001,0),MATCH(COLUMNS($AB$1006:AK1006),$AB$1006:$AQ$1006,0)), HYPERLINK("#",""), HYPERLINK(CONCATENATE("#Metadata!", ADDRESS(INDEX($W$2:$W$1001,MATCH(ROWS($U$2:U515),$U$2:$U$1001,0),0), INDEX($AB$1004:$AQ$1004,1,MATCH(COLUMNS($AB$1006:AK1006),$AB$1006:$AQ$1006,0)))),"Fix")))</f>
        <v>0</v>
      </c>
      <c r="L515" s="5">
        <f>IF(OR(INDEX($V$2:$V$1001,MATCH(ROWS($U$2:U515),$U$2:$U$1001,0),1)&gt;=100000,INDEX($AB$1005:$AQ$1005,1,MATCH(COLUMNS($AB$1006:AL1006),$AB$1006:$AQ$1006,0))&gt;=100000), " ",IF(INDEX($AB$2:$AQ$1001,MATCH(ROWS($U$2:U515),$U$2:$U$1001,0),MATCH(COLUMNS($AB$1006:AL1006),$AB$1006:$AQ$1006,0)), HYPERLINK("#",""), HYPERLINK(CONCATENATE("#Metadata!", ADDRESS(INDEX($W$2:$W$1001,MATCH(ROWS($U$2:U515),$U$2:$U$1001,0),0), INDEX($AB$1004:$AQ$1004,1,MATCH(COLUMNS($AB$1006:AL1006),$AB$1006:$AQ$1006,0)))),"Fix")))</f>
        <v>0</v>
      </c>
      <c r="M515" s="5">
        <f>IF(OR(INDEX($V$2:$V$1001,MATCH(ROWS($U$2:U515),$U$2:$U$1001,0),1)&gt;=100000,INDEX($AB$1005:$AQ$1005,1,MATCH(COLUMNS($AB$1006:AM1006),$AB$1006:$AQ$1006,0))&gt;=100000), " ",IF(INDEX($AB$2:$AQ$1001,MATCH(ROWS($U$2:U515),$U$2:$U$1001,0),MATCH(COLUMNS($AB$1006:AM1006),$AB$1006:$AQ$1006,0)), HYPERLINK("#",""), HYPERLINK(CONCATENATE("#Metadata!", ADDRESS(INDEX($W$2:$W$1001,MATCH(ROWS($U$2:U515),$U$2:$U$1001,0),0), INDEX($AB$1004:$AQ$1004,1,MATCH(COLUMNS($AB$1006:AM1006),$AB$1006:$AQ$1006,0)))),"Fix")))</f>
        <v>0</v>
      </c>
      <c r="N515" s="5">
        <f>IF(OR(INDEX($V$2:$V$1001,MATCH(ROWS($U$2:U515),$U$2:$U$1001,0),1)&gt;=100000,INDEX($AB$1005:$AQ$1005,1,MATCH(COLUMNS($AB$1006:AN1006),$AB$1006:$AQ$1006,0))&gt;=100000), " ",IF(INDEX($AB$2:$AQ$1001,MATCH(ROWS($U$2:U515),$U$2:$U$1001,0),MATCH(COLUMNS($AB$1006:AN1006),$AB$1006:$AQ$1006,0)), HYPERLINK("#",""), HYPERLINK(CONCATENATE("#Metadata!", ADDRESS(INDEX($W$2:$W$1001,MATCH(ROWS($U$2:U515),$U$2:$U$1001,0),0), INDEX($AB$1004:$AQ$1004,1,MATCH(COLUMNS($AB$1006:AN1006),$AB$1006:$AQ$1006,0)))),"Fix")))</f>
        <v>0</v>
      </c>
      <c r="O515" s="5">
        <f>IF(OR(INDEX($V$2:$V$1001,MATCH(ROWS($U$2:U515),$U$2:$U$1001,0),1)&gt;=100000,INDEX($AB$1005:$AQ$1005,1,MATCH(COLUMNS($AB$1006:AO1006),$AB$1006:$AQ$1006,0))&gt;=100000), " ",IF(INDEX($AB$2:$AQ$1001,MATCH(ROWS($U$2:U515),$U$2:$U$1001,0),MATCH(COLUMNS($AB$1006:AO1006),$AB$1006:$AQ$1006,0)), HYPERLINK("#",""), HYPERLINK(CONCATENATE("#Metadata!", ADDRESS(INDEX($W$2:$W$1001,MATCH(ROWS($U$2:U515),$U$2:$U$1001,0),0), INDEX($AB$1004:$AQ$1004,1,MATCH(COLUMNS($AB$1006:AO1006),$AB$1006:$AQ$1006,0)))),"Fix")))</f>
        <v>0</v>
      </c>
      <c r="P515" s="5">
        <f>IF(OR(INDEX($V$2:$V$1001,MATCH(ROWS($U$2:U515),$U$2:$U$1001,0),1)&gt;=100000,INDEX($AB$1005:$AQ$1005,1,MATCH(COLUMNS($AB$1006:AP1006),$AB$1006:$AQ$1006,0))&gt;=100000), " ",IF(INDEX($AB$2:$AQ$1001,MATCH(ROWS($U$2:U515),$U$2:$U$1001,0),MATCH(COLUMNS($AB$1006:AP1006),$AB$1006:$AQ$1006,0)), HYPERLINK("#",""), HYPERLINK(CONCATENATE("#Metadata!", ADDRESS(INDEX($W$2:$W$1001,MATCH(ROWS($U$2:U515),$U$2:$U$1001,0),0), INDEX($AB$1004:$AQ$1004,1,MATCH(COLUMNS($AB$1006:AP1006),$AB$1006:$AQ$1006,0)))),"Fix")))</f>
        <v>0</v>
      </c>
      <c r="Q515" s="5">
        <f>IF(OR(INDEX($V$2:$V$1001,MATCH(ROWS($U$2:U515),$U$2:$U$1001,0),1)&gt;=100000,INDEX($AB$1005:$AQ$1005,1,MATCH(COLUMNS($AB$1006:AQ1006),$AB$1006:$AQ$1006,0))&gt;=100000), " ",IF(INDEX($AB$2:$AQ$1001,MATCH(ROWS($U$2:U515),$U$2:$U$1001,0),MATCH(COLUMNS($AB$1006:AQ1006),$AB$1006:$AQ$1006,0)), HYPERLINK("#",""), HYPERLINK(CONCATENATE("#Metadata!", ADDRESS(INDEX($W$2:$W$1001,MATCH(ROWS($U$2:U515),$U$2:$U$1001,0),0), INDEX($AB$1004:$AQ$1004,1,MATCH(COLUMNS($AB$1006:AQ1006),$AB$1006:$AQ$1006,0)))),"Fix")))</f>
        <v>0</v>
      </c>
      <c r="U515">
        <v>0</v>
      </c>
      <c r="V515">
        <v>0</v>
      </c>
      <c r="W515">
        <v>0</v>
      </c>
      <c r="X515">
        <f>IF(Y515,TRUE,AND(AB515:AQ515))</f>
        <v>0</v>
      </c>
      <c r="Y515">
        <f>COUNTBLANK(Metadata!B515:Q515)=COLUMNS(Metadata!B515:Q515)</f>
        <v>0</v>
      </c>
      <c r="Z515">
        <v>0</v>
      </c>
      <c r="AB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AC515">
        <f>AND(IF(Metadata!C515="",FALSE,TRUE),exact(Metadata!C515,"urban biome"))</f>
        <v>0</v>
      </c>
      <c r="AD515">
        <f>AND(IF(Metadata!D515="",FALSE,TRUE),exact(Metadata!D515,"human-associated habitat"))</f>
        <v>0</v>
      </c>
      <c r="AE515">
        <f>AND(IF(Metadata!E515="",FALSE,TRUE),OR(exact(Metadata!E515,"human-associated"),exact(Metadata!E515,"human-skin"),exact(Metadata!E515,"human-oral"),exact(Metadata!E515,"human-gut"),exact(Metadata!E515,"human-vaginal")))</f>
        <v>0</v>
      </c>
      <c r="AF515">
        <f>AND(IF(Metadata!F515="",FALSE,ISNUMBER(VALUE(Metadata!F515))),Metadata!F515&gt;0)</f>
        <v>0</v>
      </c>
      <c r="AG515">
        <f>AND(IF(Metadata!G515="",FALSE,TRUE),exact(Metadata!G515,"years"))</f>
        <v>0</v>
      </c>
      <c r="AH515">
        <f>OR(AND(IF(Metadata!H515="",FALSE,TRUE),OR(exact(Metadata!H515,"not applicable"),exact(Metadata!H515,"not collected"),exact(Metadata!H515,"not provided"),exact(Metadata!H515,"restricted access"))),AND(IF(Metadata!H515="",FALSE,ISNUMBER(VALUE(Metadata!H515))),Metadata!H515&gt;0))</f>
        <v>0</v>
      </c>
      <c r="AI515">
        <f>AND(IF(Metadata!I515="",FALSE,TRUE),exact(Metadata!I515,"human"))</f>
        <v>0</v>
      </c>
      <c r="AJ515">
        <f>AND(IF(Metadata!J515="",FALSE,ISNUMBER(VALUE(Metadata!J515))),Metadata!J515&gt;0)</f>
        <v>0</v>
      </c>
      <c r="AK515">
        <f>AND(IF(Metadata!K515="",FALSE,TRUE),exact(Metadata!K515,"cm"))</f>
        <v>0</v>
      </c>
      <c r="AL515">
        <f>AND(IF(Metadata!L515="",FALSE,TRUE),exact(Metadata!L515,"Homo sapiens"))</f>
        <v>0</v>
      </c>
      <c r="AM515">
        <f>AND(IF(Metadata!M515="",FALSE,TRUE),exact(Metadata!M515,"9606"))</f>
        <v>0</v>
      </c>
      <c r="AN515">
        <f>AND(IF(Metadata!N515="",FALSE,ISNUMBER(VALUE(Metadata!N515))),Metadata!N515&gt;0)</f>
        <v>0</v>
      </c>
      <c r="AO515">
        <f>AND(IF(Metadata!O515="",FALSE,TRUE),exact(Metadata!O515,"kg"))</f>
        <v>0</v>
      </c>
      <c r="AP515">
        <f>OR(AND(IF(Metadata!P515="",FALSE,TRUE),exact(Metadata!P515,"not provided")),IF(Metadata!P515="",FALSE,TRUE))</f>
        <v>0</v>
      </c>
      <c r="AQ515">
        <f>OR(AND(IF(Metadata!Q515="",FALSE,TRUE),exact(Metadata!Q515,"not provided")),IF(Metadata!Q515="",FALSE,TRUE))</f>
        <v>0</v>
      </c>
    </row>
    <row r="516" spans="1:43">
      <c r="A516" s="4">
        <f>IF(B516=" "," ",HYPERLINK(CONCATENATE("#metadata!",ADDRESS(INDEX($W$2:$W$1001,MATCH(ROWS($U$2:U516),$U$2:$U$1001,0),0),2)),INDEX($Z$2:$Z$1001,MATCH(ROWS($U$2:U516),$U$2:$U$1001,0),0)))</f>
        <v>0</v>
      </c>
      <c r="B516" s="5">
        <f>IF(OR(INDEX($V$2:$V$1001,MATCH(ROWS($U$2:U516),$U$2:$U$1001,0),1)&gt;=100000,INDEX($AB$1005:$AQ$1005,1,MATCH(COLUMNS($AB$1006:AB1006),$AB$1006:$AQ$1006,0))&gt;=100000), " ",IF(INDEX($AB$2:$AQ$1001,MATCH(ROWS($U$2:U516),$U$2:$U$1001,0),MATCH(COLUMNS($AB$1006:AB1006),$AB$1006:$AQ$1006,0)), HYPERLINK("#",""), HYPERLINK(CONCATENATE("#Metadata!", ADDRESS(INDEX($W$2:$W$1001,MATCH(ROWS($U$2:U516),$U$2:$U$1001,0),0), INDEX($AB$1004:$AQ$1004,1,MATCH(COLUMNS($AB$1006:AB1006),$AB$1006:$AQ$1006,0)))),"Fix")))</f>
        <v>0</v>
      </c>
      <c r="C516" s="5">
        <f>IF(OR(INDEX($V$2:$V$1001,MATCH(ROWS($U$2:U516),$U$2:$U$1001,0),1)&gt;=100000,INDEX($AB$1005:$AQ$1005,1,MATCH(COLUMNS($AB$1006:AC1006),$AB$1006:$AQ$1006,0))&gt;=100000), " ",IF(INDEX($AB$2:$AQ$1001,MATCH(ROWS($U$2:U516),$U$2:$U$1001,0),MATCH(COLUMNS($AB$1006:AC1006),$AB$1006:$AQ$1006,0)), HYPERLINK("#",""), HYPERLINK(CONCATENATE("#Metadata!", ADDRESS(INDEX($W$2:$W$1001,MATCH(ROWS($U$2:U516),$U$2:$U$1001,0),0), INDEX($AB$1004:$AQ$1004,1,MATCH(COLUMNS($AB$1006:AC1006),$AB$1006:$AQ$1006,0)))),"Fix")))</f>
        <v>0</v>
      </c>
      <c r="D516" s="5">
        <f>IF(OR(INDEX($V$2:$V$1001,MATCH(ROWS($U$2:U516),$U$2:$U$1001,0),1)&gt;=100000,INDEX($AB$1005:$AQ$1005,1,MATCH(COLUMNS($AB$1006:AD1006),$AB$1006:$AQ$1006,0))&gt;=100000), " ",IF(INDEX($AB$2:$AQ$1001,MATCH(ROWS($U$2:U516),$U$2:$U$1001,0),MATCH(COLUMNS($AB$1006:AD1006),$AB$1006:$AQ$1006,0)), HYPERLINK("#",""), HYPERLINK(CONCATENATE("#Metadata!", ADDRESS(INDEX($W$2:$W$1001,MATCH(ROWS($U$2:U516),$U$2:$U$1001,0),0), INDEX($AB$1004:$AQ$1004,1,MATCH(COLUMNS($AB$1006:AD1006),$AB$1006:$AQ$1006,0)))),"Fix")))</f>
        <v>0</v>
      </c>
      <c r="E516" s="5">
        <f>IF(OR(INDEX($V$2:$V$1001,MATCH(ROWS($U$2:U516),$U$2:$U$1001,0),1)&gt;=100000,INDEX($AB$1005:$AQ$1005,1,MATCH(COLUMNS($AB$1006:AE1006),$AB$1006:$AQ$1006,0))&gt;=100000), " ",IF(INDEX($AB$2:$AQ$1001,MATCH(ROWS($U$2:U516),$U$2:$U$1001,0),MATCH(COLUMNS($AB$1006:AE1006),$AB$1006:$AQ$1006,0)), HYPERLINK("#",""), HYPERLINK(CONCATENATE("#Metadata!", ADDRESS(INDEX($W$2:$W$1001,MATCH(ROWS($U$2:U516),$U$2:$U$1001,0),0), INDEX($AB$1004:$AQ$1004,1,MATCH(COLUMNS($AB$1006:AE1006),$AB$1006:$AQ$1006,0)))),"Fix")))</f>
        <v>0</v>
      </c>
      <c r="F516" s="5">
        <f>IF(OR(INDEX($V$2:$V$1001,MATCH(ROWS($U$2:U516),$U$2:$U$1001,0),1)&gt;=100000,INDEX($AB$1005:$AQ$1005,1,MATCH(COLUMNS($AB$1006:AF1006),$AB$1006:$AQ$1006,0))&gt;=100000), " ",IF(INDEX($AB$2:$AQ$1001,MATCH(ROWS($U$2:U516),$U$2:$U$1001,0),MATCH(COLUMNS($AB$1006:AF1006),$AB$1006:$AQ$1006,0)), HYPERLINK("#",""), HYPERLINK(CONCATENATE("#Metadata!", ADDRESS(INDEX($W$2:$W$1001,MATCH(ROWS($U$2:U516),$U$2:$U$1001,0),0), INDEX($AB$1004:$AQ$1004,1,MATCH(COLUMNS($AB$1006:AF1006),$AB$1006:$AQ$1006,0)))),"Fix")))</f>
        <v>0</v>
      </c>
      <c r="G516" s="5">
        <f>IF(OR(INDEX($V$2:$V$1001,MATCH(ROWS($U$2:U516),$U$2:$U$1001,0),1)&gt;=100000,INDEX($AB$1005:$AQ$1005,1,MATCH(COLUMNS($AB$1006:AG1006),$AB$1006:$AQ$1006,0))&gt;=100000), " ",IF(INDEX($AB$2:$AQ$1001,MATCH(ROWS($U$2:U516),$U$2:$U$1001,0),MATCH(COLUMNS($AB$1006:AG1006),$AB$1006:$AQ$1006,0)), HYPERLINK("#",""), HYPERLINK(CONCATENATE("#Metadata!", ADDRESS(INDEX($W$2:$W$1001,MATCH(ROWS($U$2:U516),$U$2:$U$1001,0),0), INDEX($AB$1004:$AQ$1004,1,MATCH(COLUMNS($AB$1006:AG1006),$AB$1006:$AQ$1006,0)))),"Fix")))</f>
        <v>0</v>
      </c>
      <c r="H516" s="5">
        <f>IF(OR(INDEX($V$2:$V$1001,MATCH(ROWS($U$2:U516),$U$2:$U$1001,0),1)&gt;=100000,INDEX($AB$1005:$AQ$1005,1,MATCH(COLUMNS($AB$1006:AH1006),$AB$1006:$AQ$1006,0))&gt;=100000), " ",IF(INDEX($AB$2:$AQ$1001,MATCH(ROWS($U$2:U516),$U$2:$U$1001,0),MATCH(COLUMNS($AB$1006:AH1006),$AB$1006:$AQ$1006,0)), HYPERLINK("#",""), HYPERLINK(CONCATENATE("#Metadata!", ADDRESS(INDEX($W$2:$W$1001,MATCH(ROWS($U$2:U516),$U$2:$U$1001,0),0), INDEX($AB$1004:$AQ$1004,1,MATCH(COLUMNS($AB$1006:AH1006),$AB$1006:$AQ$1006,0)))),"Fix")))</f>
        <v>0</v>
      </c>
      <c r="I516" s="5">
        <f>IF(OR(INDEX($V$2:$V$1001,MATCH(ROWS($U$2:U516),$U$2:$U$1001,0),1)&gt;=100000,INDEX($AB$1005:$AQ$1005,1,MATCH(COLUMNS($AB$1006:AI1006),$AB$1006:$AQ$1006,0))&gt;=100000), " ",IF(INDEX($AB$2:$AQ$1001,MATCH(ROWS($U$2:U516),$U$2:$U$1001,0),MATCH(COLUMNS($AB$1006:AI1006),$AB$1006:$AQ$1006,0)), HYPERLINK("#",""), HYPERLINK(CONCATENATE("#Metadata!", ADDRESS(INDEX($W$2:$W$1001,MATCH(ROWS($U$2:U516),$U$2:$U$1001,0),0), INDEX($AB$1004:$AQ$1004,1,MATCH(COLUMNS($AB$1006:AI1006),$AB$1006:$AQ$1006,0)))),"Fix")))</f>
        <v>0</v>
      </c>
      <c r="J516" s="5">
        <f>IF(OR(INDEX($V$2:$V$1001,MATCH(ROWS($U$2:U516),$U$2:$U$1001,0),1)&gt;=100000,INDEX($AB$1005:$AQ$1005,1,MATCH(COLUMNS($AB$1006:AJ1006),$AB$1006:$AQ$1006,0))&gt;=100000), " ",IF(INDEX($AB$2:$AQ$1001,MATCH(ROWS($U$2:U516),$U$2:$U$1001,0),MATCH(COLUMNS($AB$1006:AJ1006),$AB$1006:$AQ$1006,0)), HYPERLINK("#",""), HYPERLINK(CONCATENATE("#Metadata!", ADDRESS(INDEX($W$2:$W$1001,MATCH(ROWS($U$2:U516),$U$2:$U$1001,0),0), INDEX($AB$1004:$AQ$1004,1,MATCH(COLUMNS($AB$1006:AJ1006),$AB$1006:$AQ$1006,0)))),"Fix")))</f>
        <v>0</v>
      </c>
      <c r="K516" s="5">
        <f>IF(OR(INDEX($V$2:$V$1001,MATCH(ROWS($U$2:U516),$U$2:$U$1001,0),1)&gt;=100000,INDEX($AB$1005:$AQ$1005,1,MATCH(COLUMNS($AB$1006:AK1006),$AB$1006:$AQ$1006,0))&gt;=100000), " ",IF(INDEX($AB$2:$AQ$1001,MATCH(ROWS($U$2:U516),$U$2:$U$1001,0),MATCH(COLUMNS($AB$1006:AK1006),$AB$1006:$AQ$1006,0)), HYPERLINK("#",""), HYPERLINK(CONCATENATE("#Metadata!", ADDRESS(INDEX($W$2:$W$1001,MATCH(ROWS($U$2:U516),$U$2:$U$1001,0),0), INDEX($AB$1004:$AQ$1004,1,MATCH(COLUMNS($AB$1006:AK1006),$AB$1006:$AQ$1006,0)))),"Fix")))</f>
        <v>0</v>
      </c>
      <c r="L516" s="5">
        <f>IF(OR(INDEX($V$2:$V$1001,MATCH(ROWS($U$2:U516),$U$2:$U$1001,0),1)&gt;=100000,INDEX($AB$1005:$AQ$1005,1,MATCH(COLUMNS($AB$1006:AL1006),$AB$1006:$AQ$1006,0))&gt;=100000), " ",IF(INDEX($AB$2:$AQ$1001,MATCH(ROWS($U$2:U516),$U$2:$U$1001,0),MATCH(COLUMNS($AB$1006:AL1006),$AB$1006:$AQ$1006,0)), HYPERLINK("#",""), HYPERLINK(CONCATENATE("#Metadata!", ADDRESS(INDEX($W$2:$W$1001,MATCH(ROWS($U$2:U516),$U$2:$U$1001,0),0), INDEX($AB$1004:$AQ$1004,1,MATCH(COLUMNS($AB$1006:AL1006),$AB$1006:$AQ$1006,0)))),"Fix")))</f>
        <v>0</v>
      </c>
      <c r="M516" s="5">
        <f>IF(OR(INDEX($V$2:$V$1001,MATCH(ROWS($U$2:U516),$U$2:$U$1001,0),1)&gt;=100000,INDEX($AB$1005:$AQ$1005,1,MATCH(COLUMNS($AB$1006:AM1006),$AB$1006:$AQ$1006,0))&gt;=100000), " ",IF(INDEX($AB$2:$AQ$1001,MATCH(ROWS($U$2:U516),$U$2:$U$1001,0),MATCH(COLUMNS($AB$1006:AM1006),$AB$1006:$AQ$1006,0)), HYPERLINK("#",""), HYPERLINK(CONCATENATE("#Metadata!", ADDRESS(INDEX($W$2:$W$1001,MATCH(ROWS($U$2:U516),$U$2:$U$1001,0),0), INDEX($AB$1004:$AQ$1004,1,MATCH(COLUMNS($AB$1006:AM1006),$AB$1006:$AQ$1006,0)))),"Fix")))</f>
        <v>0</v>
      </c>
      <c r="N516" s="5">
        <f>IF(OR(INDEX($V$2:$V$1001,MATCH(ROWS($U$2:U516),$U$2:$U$1001,0),1)&gt;=100000,INDEX($AB$1005:$AQ$1005,1,MATCH(COLUMNS($AB$1006:AN1006),$AB$1006:$AQ$1006,0))&gt;=100000), " ",IF(INDEX($AB$2:$AQ$1001,MATCH(ROWS($U$2:U516),$U$2:$U$1001,0),MATCH(COLUMNS($AB$1006:AN1006),$AB$1006:$AQ$1006,0)), HYPERLINK("#",""), HYPERLINK(CONCATENATE("#Metadata!", ADDRESS(INDEX($W$2:$W$1001,MATCH(ROWS($U$2:U516),$U$2:$U$1001,0),0), INDEX($AB$1004:$AQ$1004,1,MATCH(COLUMNS($AB$1006:AN1006),$AB$1006:$AQ$1006,0)))),"Fix")))</f>
        <v>0</v>
      </c>
      <c r="O516" s="5">
        <f>IF(OR(INDEX($V$2:$V$1001,MATCH(ROWS($U$2:U516),$U$2:$U$1001,0),1)&gt;=100000,INDEX($AB$1005:$AQ$1005,1,MATCH(COLUMNS($AB$1006:AO1006),$AB$1006:$AQ$1006,0))&gt;=100000), " ",IF(INDEX($AB$2:$AQ$1001,MATCH(ROWS($U$2:U516),$U$2:$U$1001,0),MATCH(COLUMNS($AB$1006:AO1006),$AB$1006:$AQ$1006,0)), HYPERLINK("#",""), HYPERLINK(CONCATENATE("#Metadata!", ADDRESS(INDEX($W$2:$W$1001,MATCH(ROWS($U$2:U516),$U$2:$U$1001,0),0), INDEX($AB$1004:$AQ$1004,1,MATCH(COLUMNS($AB$1006:AO1006),$AB$1006:$AQ$1006,0)))),"Fix")))</f>
        <v>0</v>
      </c>
      <c r="P516" s="5">
        <f>IF(OR(INDEX($V$2:$V$1001,MATCH(ROWS($U$2:U516),$U$2:$U$1001,0),1)&gt;=100000,INDEX($AB$1005:$AQ$1005,1,MATCH(COLUMNS($AB$1006:AP1006),$AB$1006:$AQ$1006,0))&gt;=100000), " ",IF(INDEX($AB$2:$AQ$1001,MATCH(ROWS($U$2:U516),$U$2:$U$1001,0),MATCH(COLUMNS($AB$1006:AP1006),$AB$1006:$AQ$1006,0)), HYPERLINK("#",""), HYPERLINK(CONCATENATE("#Metadata!", ADDRESS(INDEX($W$2:$W$1001,MATCH(ROWS($U$2:U516),$U$2:$U$1001,0),0), INDEX($AB$1004:$AQ$1004,1,MATCH(COLUMNS($AB$1006:AP1006),$AB$1006:$AQ$1006,0)))),"Fix")))</f>
        <v>0</v>
      </c>
      <c r="Q516" s="5">
        <f>IF(OR(INDEX($V$2:$V$1001,MATCH(ROWS($U$2:U516),$U$2:$U$1001,0),1)&gt;=100000,INDEX($AB$1005:$AQ$1005,1,MATCH(COLUMNS($AB$1006:AQ1006),$AB$1006:$AQ$1006,0))&gt;=100000), " ",IF(INDEX($AB$2:$AQ$1001,MATCH(ROWS($U$2:U516),$U$2:$U$1001,0),MATCH(COLUMNS($AB$1006:AQ1006),$AB$1006:$AQ$1006,0)), HYPERLINK("#",""), HYPERLINK(CONCATENATE("#Metadata!", ADDRESS(INDEX($W$2:$W$1001,MATCH(ROWS($U$2:U516),$U$2:$U$1001,0),0), INDEX($AB$1004:$AQ$1004,1,MATCH(COLUMNS($AB$1006:AQ1006),$AB$1006:$AQ$1006,0)))),"Fix")))</f>
        <v>0</v>
      </c>
      <c r="U516">
        <v>0</v>
      </c>
      <c r="V516">
        <v>0</v>
      </c>
      <c r="W516">
        <v>0</v>
      </c>
      <c r="X516">
        <f>IF(Y516,TRUE,AND(AB516:AQ516))</f>
        <v>0</v>
      </c>
      <c r="Y516">
        <f>COUNTBLANK(Metadata!B516:Q516)=COLUMNS(Metadata!B516:Q516)</f>
        <v>0</v>
      </c>
      <c r="Z516">
        <v>0</v>
      </c>
      <c r="AB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AC516">
        <f>AND(IF(Metadata!C516="",FALSE,TRUE),exact(Metadata!C516,"urban biome"))</f>
        <v>0</v>
      </c>
      <c r="AD516">
        <f>AND(IF(Metadata!D516="",FALSE,TRUE),exact(Metadata!D516,"human-associated habitat"))</f>
        <v>0</v>
      </c>
      <c r="AE516">
        <f>AND(IF(Metadata!E516="",FALSE,TRUE),OR(exact(Metadata!E516,"human-associated"),exact(Metadata!E516,"human-skin"),exact(Metadata!E516,"human-oral"),exact(Metadata!E516,"human-gut"),exact(Metadata!E516,"human-vaginal")))</f>
        <v>0</v>
      </c>
      <c r="AF516">
        <f>AND(IF(Metadata!F516="",FALSE,ISNUMBER(VALUE(Metadata!F516))),Metadata!F516&gt;0)</f>
        <v>0</v>
      </c>
      <c r="AG516">
        <f>AND(IF(Metadata!G516="",FALSE,TRUE),exact(Metadata!G516,"years"))</f>
        <v>0</v>
      </c>
      <c r="AH516">
        <f>OR(AND(IF(Metadata!H516="",FALSE,TRUE),OR(exact(Metadata!H516,"not applicable"),exact(Metadata!H516,"not collected"),exact(Metadata!H516,"not provided"),exact(Metadata!H516,"restricted access"))),AND(IF(Metadata!H516="",FALSE,ISNUMBER(VALUE(Metadata!H516))),Metadata!H516&gt;0))</f>
        <v>0</v>
      </c>
      <c r="AI516">
        <f>AND(IF(Metadata!I516="",FALSE,TRUE),exact(Metadata!I516,"human"))</f>
        <v>0</v>
      </c>
      <c r="AJ516">
        <f>AND(IF(Metadata!J516="",FALSE,ISNUMBER(VALUE(Metadata!J516))),Metadata!J516&gt;0)</f>
        <v>0</v>
      </c>
      <c r="AK516">
        <f>AND(IF(Metadata!K516="",FALSE,TRUE),exact(Metadata!K516,"cm"))</f>
        <v>0</v>
      </c>
      <c r="AL516">
        <f>AND(IF(Metadata!L516="",FALSE,TRUE),exact(Metadata!L516,"Homo sapiens"))</f>
        <v>0</v>
      </c>
      <c r="AM516">
        <f>AND(IF(Metadata!M516="",FALSE,TRUE),exact(Metadata!M516,"9606"))</f>
        <v>0</v>
      </c>
      <c r="AN516">
        <f>AND(IF(Metadata!N516="",FALSE,ISNUMBER(VALUE(Metadata!N516))),Metadata!N516&gt;0)</f>
        <v>0</v>
      </c>
      <c r="AO516">
        <f>AND(IF(Metadata!O516="",FALSE,TRUE),exact(Metadata!O516,"kg"))</f>
        <v>0</v>
      </c>
      <c r="AP516">
        <f>OR(AND(IF(Metadata!P516="",FALSE,TRUE),exact(Metadata!P516,"not provided")),IF(Metadata!P516="",FALSE,TRUE))</f>
        <v>0</v>
      </c>
      <c r="AQ516">
        <f>OR(AND(IF(Metadata!Q516="",FALSE,TRUE),exact(Metadata!Q516,"not provided")),IF(Metadata!Q516="",FALSE,TRUE))</f>
        <v>0</v>
      </c>
    </row>
    <row r="517" spans="1:43">
      <c r="A517" s="4">
        <f>IF(B517=" "," ",HYPERLINK(CONCATENATE("#metadata!",ADDRESS(INDEX($W$2:$W$1001,MATCH(ROWS($U$2:U517),$U$2:$U$1001,0),0),2)),INDEX($Z$2:$Z$1001,MATCH(ROWS($U$2:U517),$U$2:$U$1001,0),0)))</f>
        <v>0</v>
      </c>
      <c r="B517" s="5">
        <f>IF(OR(INDEX($V$2:$V$1001,MATCH(ROWS($U$2:U517),$U$2:$U$1001,0),1)&gt;=100000,INDEX($AB$1005:$AQ$1005,1,MATCH(COLUMNS($AB$1006:AB1006),$AB$1006:$AQ$1006,0))&gt;=100000), " ",IF(INDEX($AB$2:$AQ$1001,MATCH(ROWS($U$2:U517),$U$2:$U$1001,0),MATCH(COLUMNS($AB$1006:AB1006),$AB$1006:$AQ$1006,0)), HYPERLINK("#",""), HYPERLINK(CONCATENATE("#Metadata!", ADDRESS(INDEX($W$2:$W$1001,MATCH(ROWS($U$2:U517),$U$2:$U$1001,0),0), INDEX($AB$1004:$AQ$1004,1,MATCH(COLUMNS($AB$1006:AB1006),$AB$1006:$AQ$1006,0)))),"Fix")))</f>
        <v>0</v>
      </c>
      <c r="C517" s="5">
        <f>IF(OR(INDEX($V$2:$V$1001,MATCH(ROWS($U$2:U517),$U$2:$U$1001,0),1)&gt;=100000,INDEX($AB$1005:$AQ$1005,1,MATCH(COLUMNS($AB$1006:AC1006),$AB$1006:$AQ$1006,0))&gt;=100000), " ",IF(INDEX($AB$2:$AQ$1001,MATCH(ROWS($U$2:U517),$U$2:$U$1001,0),MATCH(COLUMNS($AB$1006:AC1006),$AB$1006:$AQ$1006,0)), HYPERLINK("#",""), HYPERLINK(CONCATENATE("#Metadata!", ADDRESS(INDEX($W$2:$W$1001,MATCH(ROWS($U$2:U517),$U$2:$U$1001,0),0), INDEX($AB$1004:$AQ$1004,1,MATCH(COLUMNS($AB$1006:AC1006),$AB$1006:$AQ$1006,0)))),"Fix")))</f>
        <v>0</v>
      </c>
      <c r="D517" s="5">
        <f>IF(OR(INDEX($V$2:$V$1001,MATCH(ROWS($U$2:U517),$U$2:$U$1001,0),1)&gt;=100000,INDEX($AB$1005:$AQ$1005,1,MATCH(COLUMNS($AB$1006:AD1006),$AB$1006:$AQ$1006,0))&gt;=100000), " ",IF(INDEX($AB$2:$AQ$1001,MATCH(ROWS($U$2:U517),$U$2:$U$1001,0),MATCH(COLUMNS($AB$1006:AD1006),$AB$1006:$AQ$1006,0)), HYPERLINK("#",""), HYPERLINK(CONCATENATE("#Metadata!", ADDRESS(INDEX($W$2:$W$1001,MATCH(ROWS($U$2:U517),$U$2:$U$1001,0),0), INDEX($AB$1004:$AQ$1004,1,MATCH(COLUMNS($AB$1006:AD1006),$AB$1006:$AQ$1006,0)))),"Fix")))</f>
        <v>0</v>
      </c>
      <c r="E517" s="5">
        <f>IF(OR(INDEX($V$2:$V$1001,MATCH(ROWS($U$2:U517),$U$2:$U$1001,0),1)&gt;=100000,INDEX($AB$1005:$AQ$1005,1,MATCH(COLUMNS($AB$1006:AE1006),$AB$1006:$AQ$1006,0))&gt;=100000), " ",IF(INDEX($AB$2:$AQ$1001,MATCH(ROWS($U$2:U517),$U$2:$U$1001,0),MATCH(COLUMNS($AB$1006:AE1006),$AB$1006:$AQ$1006,0)), HYPERLINK("#",""), HYPERLINK(CONCATENATE("#Metadata!", ADDRESS(INDEX($W$2:$W$1001,MATCH(ROWS($U$2:U517),$U$2:$U$1001,0),0), INDEX($AB$1004:$AQ$1004,1,MATCH(COLUMNS($AB$1006:AE1006),$AB$1006:$AQ$1006,0)))),"Fix")))</f>
        <v>0</v>
      </c>
      <c r="F517" s="5">
        <f>IF(OR(INDEX($V$2:$V$1001,MATCH(ROWS($U$2:U517),$U$2:$U$1001,0),1)&gt;=100000,INDEX($AB$1005:$AQ$1005,1,MATCH(COLUMNS($AB$1006:AF1006),$AB$1006:$AQ$1006,0))&gt;=100000), " ",IF(INDEX($AB$2:$AQ$1001,MATCH(ROWS($U$2:U517),$U$2:$U$1001,0),MATCH(COLUMNS($AB$1006:AF1006),$AB$1006:$AQ$1006,0)), HYPERLINK("#",""), HYPERLINK(CONCATENATE("#Metadata!", ADDRESS(INDEX($W$2:$W$1001,MATCH(ROWS($U$2:U517),$U$2:$U$1001,0),0), INDEX($AB$1004:$AQ$1004,1,MATCH(COLUMNS($AB$1006:AF1006),$AB$1006:$AQ$1006,0)))),"Fix")))</f>
        <v>0</v>
      </c>
      <c r="G517" s="5">
        <f>IF(OR(INDEX($V$2:$V$1001,MATCH(ROWS($U$2:U517),$U$2:$U$1001,0),1)&gt;=100000,INDEX($AB$1005:$AQ$1005,1,MATCH(COLUMNS($AB$1006:AG1006),$AB$1006:$AQ$1006,0))&gt;=100000), " ",IF(INDEX($AB$2:$AQ$1001,MATCH(ROWS($U$2:U517),$U$2:$U$1001,0),MATCH(COLUMNS($AB$1006:AG1006),$AB$1006:$AQ$1006,0)), HYPERLINK("#",""), HYPERLINK(CONCATENATE("#Metadata!", ADDRESS(INDEX($W$2:$W$1001,MATCH(ROWS($U$2:U517),$U$2:$U$1001,0),0), INDEX($AB$1004:$AQ$1004,1,MATCH(COLUMNS($AB$1006:AG1006),$AB$1006:$AQ$1006,0)))),"Fix")))</f>
        <v>0</v>
      </c>
      <c r="H517" s="5">
        <f>IF(OR(INDEX($V$2:$V$1001,MATCH(ROWS($U$2:U517),$U$2:$U$1001,0),1)&gt;=100000,INDEX($AB$1005:$AQ$1005,1,MATCH(COLUMNS($AB$1006:AH1006),$AB$1006:$AQ$1006,0))&gt;=100000), " ",IF(INDEX($AB$2:$AQ$1001,MATCH(ROWS($U$2:U517),$U$2:$U$1001,0),MATCH(COLUMNS($AB$1006:AH1006),$AB$1006:$AQ$1006,0)), HYPERLINK("#",""), HYPERLINK(CONCATENATE("#Metadata!", ADDRESS(INDEX($W$2:$W$1001,MATCH(ROWS($U$2:U517),$U$2:$U$1001,0),0), INDEX($AB$1004:$AQ$1004,1,MATCH(COLUMNS($AB$1006:AH1006),$AB$1006:$AQ$1006,0)))),"Fix")))</f>
        <v>0</v>
      </c>
      <c r="I517" s="5">
        <f>IF(OR(INDEX($V$2:$V$1001,MATCH(ROWS($U$2:U517),$U$2:$U$1001,0),1)&gt;=100000,INDEX($AB$1005:$AQ$1005,1,MATCH(COLUMNS($AB$1006:AI1006),$AB$1006:$AQ$1006,0))&gt;=100000), " ",IF(INDEX($AB$2:$AQ$1001,MATCH(ROWS($U$2:U517),$U$2:$U$1001,0),MATCH(COLUMNS($AB$1006:AI1006),$AB$1006:$AQ$1006,0)), HYPERLINK("#",""), HYPERLINK(CONCATENATE("#Metadata!", ADDRESS(INDEX($W$2:$W$1001,MATCH(ROWS($U$2:U517),$U$2:$U$1001,0),0), INDEX($AB$1004:$AQ$1004,1,MATCH(COLUMNS($AB$1006:AI1006),$AB$1006:$AQ$1006,0)))),"Fix")))</f>
        <v>0</v>
      </c>
      <c r="J517" s="5">
        <f>IF(OR(INDEX($V$2:$V$1001,MATCH(ROWS($U$2:U517),$U$2:$U$1001,0),1)&gt;=100000,INDEX($AB$1005:$AQ$1005,1,MATCH(COLUMNS($AB$1006:AJ1006),$AB$1006:$AQ$1006,0))&gt;=100000), " ",IF(INDEX($AB$2:$AQ$1001,MATCH(ROWS($U$2:U517),$U$2:$U$1001,0),MATCH(COLUMNS($AB$1006:AJ1006),$AB$1006:$AQ$1006,0)), HYPERLINK("#",""), HYPERLINK(CONCATENATE("#Metadata!", ADDRESS(INDEX($W$2:$W$1001,MATCH(ROWS($U$2:U517),$U$2:$U$1001,0),0), INDEX($AB$1004:$AQ$1004,1,MATCH(COLUMNS($AB$1006:AJ1006),$AB$1006:$AQ$1006,0)))),"Fix")))</f>
        <v>0</v>
      </c>
      <c r="K517" s="5">
        <f>IF(OR(INDEX($V$2:$V$1001,MATCH(ROWS($U$2:U517),$U$2:$U$1001,0),1)&gt;=100000,INDEX($AB$1005:$AQ$1005,1,MATCH(COLUMNS($AB$1006:AK1006),$AB$1006:$AQ$1006,0))&gt;=100000), " ",IF(INDEX($AB$2:$AQ$1001,MATCH(ROWS($U$2:U517),$U$2:$U$1001,0),MATCH(COLUMNS($AB$1006:AK1006),$AB$1006:$AQ$1006,0)), HYPERLINK("#",""), HYPERLINK(CONCATENATE("#Metadata!", ADDRESS(INDEX($W$2:$W$1001,MATCH(ROWS($U$2:U517),$U$2:$U$1001,0),0), INDEX($AB$1004:$AQ$1004,1,MATCH(COLUMNS($AB$1006:AK1006),$AB$1006:$AQ$1006,0)))),"Fix")))</f>
        <v>0</v>
      </c>
      <c r="L517" s="5">
        <f>IF(OR(INDEX($V$2:$V$1001,MATCH(ROWS($U$2:U517),$U$2:$U$1001,0),1)&gt;=100000,INDEX($AB$1005:$AQ$1005,1,MATCH(COLUMNS($AB$1006:AL1006),$AB$1006:$AQ$1006,0))&gt;=100000), " ",IF(INDEX($AB$2:$AQ$1001,MATCH(ROWS($U$2:U517),$U$2:$U$1001,0),MATCH(COLUMNS($AB$1006:AL1006),$AB$1006:$AQ$1006,0)), HYPERLINK("#",""), HYPERLINK(CONCATENATE("#Metadata!", ADDRESS(INDEX($W$2:$W$1001,MATCH(ROWS($U$2:U517),$U$2:$U$1001,0),0), INDEX($AB$1004:$AQ$1004,1,MATCH(COLUMNS($AB$1006:AL1006),$AB$1006:$AQ$1006,0)))),"Fix")))</f>
        <v>0</v>
      </c>
      <c r="M517" s="5">
        <f>IF(OR(INDEX($V$2:$V$1001,MATCH(ROWS($U$2:U517),$U$2:$U$1001,0),1)&gt;=100000,INDEX($AB$1005:$AQ$1005,1,MATCH(COLUMNS($AB$1006:AM1006),$AB$1006:$AQ$1006,0))&gt;=100000), " ",IF(INDEX($AB$2:$AQ$1001,MATCH(ROWS($U$2:U517),$U$2:$U$1001,0),MATCH(COLUMNS($AB$1006:AM1006),$AB$1006:$AQ$1006,0)), HYPERLINK("#",""), HYPERLINK(CONCATENATE("#Metadata!", ADDRESS(INDEX($W$2:$W$1001,MATCH(ROWS($U$2:U517),$U$2:$U$1001,0),0), INDEX($AB$1004:$AQ$1004,1,MATCH(COLUMNS($AB$1006:AM1006),$AB$1006:$AQ$1006,0)))),"Fix")))</f>
        <v>0</v>
      </c>
      <c r="N517" s="5">
        <f>IF(OR(INDEX($V$2:$V$1001,MATCH(ROWS($U$2:U517),$U$2:$U$1001,0),1)&gt;=100000,INDEX($AB$1005:$AQ$1005,1,MATCH(COLUMNS($AB$1006:AN1006),$AB$1006:$AQ$1006,0))&gt;=100000), " ",IF(INDEX($AB$2:$AQ$1001,MATCH(ROWS($U$2:U517),$U$2:$U$1001,0),MATCH(COLUMNS($AB$1006:AN1006),$AB$1006:$AQ$1006,0)), HYPERLINK("#",""), HYPERLINK(CONCATENATE("#Metadata!", ADDRESS(INDEX($W$2:$W$1001,MATCH(ROWS($U$2:U517),$U$2:$U$1001,0),0), INDEX($AB$1004:$AQ$1004,1,MATCH(COLUMNS($AB$1006:AN1006),$AB$1006:$AQ$1006,0)))),"Fix")))</f>
        <v>0</v>
      </c>
      <c r="O517" s="5">
        <f>IF(OR(INDEX($V$2:$V$1001,MATCH(ROWS($U$2:U517),$U$2:$U$1001,0),1)&gt;=100000,INDEX($AB$1005:$AQ$1005,1,MATCH(COLUMNS($AB$1006:AO1006),$AB$1006:$AQ$1006,0))&gt;=100000), " ",IF(INDEX($AB$2:$AQ$1001,MATCH(ROWS($U$2:U517),$U$2:$U$1001,0),MATCH(COLUMNS($AB$1006:AO1006),$AB$1006:$AQ$1006,0)), HYPERLINK("#",""), HYPERLINK(CONCATENATE("#Metadata!", ADDRESS(INDEX($W$2:$W$1001,MATCH(ROWS($U$2:U517),$U$2:$U$1001,0),0), INDEX($AB$1004:$AQ$1004,1,MATCH(COLUMNS($AB$1006:AO1006),$AB$1006:$AQ$1006,0)))),"Fix")))</f>
        <v>0</v>
      </c>
      <c r="P517" s="5">
        <f>IF(OR(INDEX($V$2:$V$1001,MATCH(ROWS($U$2:U517),$U$2:$U$1001,0),1)&gt;=100000,INDEX($AB$1005:$AQ$1005,1,MATCH(COLUMNS($AB$1006:AP1006),$AB$1006:$AQ$1006,0))&gt;=100000), " ",IF(INDEX($AB$2:$AQ$1001,MATCH(ROWS($U$2:U517),$U$2:$U$1001,0),MATCH(COLUMNS($AB$1006:AP1006),$AB$1006:$AQ$1006,0)), HYPERLINK("#",""), HYPERLINK(CONCATENATE("#Metadata!", ADDRESS(INDEX($W$2:$W$1001,MATCH(ROWS($U$2:U517),$U$2:$U$1001,0),0), INDEX($AB$1004:$AQ$1004,1,MATCH(COLUMNS($AB$1006:AP1006),$AB$1006:$AQ$1006,0)))),"Fix")))</f>
        <v>0</v>
      </c>
      <c r="Q517" s="5">
        <f>IF(OR(INDEX($V$2:$V$1001,MATCH(ROWS($U$2:U517),$U$2:$U$1001,0),1)&gt;=100000,INDEX($AB$1005:$AQ$1005,1,MATCH(COLUMNS($AB$1006:AQ1006),$AB$1006:$AQ$1006,0))&gt;=100000), " ",IF(INDEX($AB$2:$AQ$1001,MATCH(ROWS($U$2:U517),$U$2:$U$1001,0),MATCH(COLUMNS($AB$1006:AQ1006),$AB$1006:$AQ$1006,0)), HYPERLINK("#",""), HYPERLINK(CONCATENATE("#Metadata!", ADDRESS(INDEX($W$2:$W$1001,MATCH(ROWS($U$2:U517),$U$2:$U$1001,0),0), INDEX($AB$1004:$AQ$1004,1,MATCH(COLUMNS($AB$1006:AQ1006),$AB$1006:$AQ$1006,0)))),"Fix")))</f>
        <v>0</v>
      </c>
      <c r="U517">
        <v>0</v>
      </c>
      <c r="V517">
        <v>0</v>
      </c>
      <c r="W517">
        <v>0</v>
      </c>
      <c r="X517">
        <f>IF(Y517,TRUE,AND(AB517:AQ517))</f>
        <v>0</v>
      </c>
      <c r="Y517">
        <f>COUNTBLANK(Metadata!B517:Q517)=COLUMNS(Metadata!B517:Q517)</f>
        <v>0</v>
      </c>
      <c r="Z517">
        <v>0</v>
      </c>
      <c r="AB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AC517">
        <f>AND(IF(Metadata!C517="",FALSE,TRUE),exact(Metadata!C517,"urban biome"))</f>
        <v>0</v>
      </c>
      <c r="AD517">
        <f>AND(IF(Metadata!D517="",FALSE,TRUE),exact(Metadata!D517,"human-associated habitat"))</f>
        <v>0</v>
      </c>
      <c r="AE517">
        <f>AND(IF(Metadata!E517="",FALSE,TRUE),OR(exact(Metadata!E517,"human-associated"),exact(Metadata!E517,"human-skin"),exact(Metadata!E517,"human-oral"),exact(Metadata!E517,"human-gut"),exact(Metadata!E517,"human-vaginal")))</f>
        <v>0</v>
      </c>
      <c r="AF517">
        <f>AND(IF(Metadata!F517="",FALSE,ISNUMBER(VALUE(Metadata!F517))),Metadata!F517&gt;0)</f>
        <v>0</v>
      </c>
      <c r="AG517">
        <f>AND(IF(Metadata!G517="",FALSE,TRUE),exact(Metadata!G517,"years"))</f>
        <v>0</v>
      </c>
      <c r="AH517">
        <f>OR(AND(IF(Metadata!H517="",FALSE,TRUE),OR(exact(Metadata!H517,"not applicable"),exact(Metadata!H517,"not collected"),exact(Metadata!H517,"not provided"),exact(Metadata!H517,"restricted access"))),AND(IF(Metadata!H517="",FALSE,ISNUMBER(VALUE(Metadata!H517))),Metadata!H517&gt;0))</f>
        <v>0</v>
      </c>
      <c r="AI517">
        <f>AND(IF(Metadata!I517="",FALSE,TRUE),exact(Metadata!I517,"human"))</f>
        <v>0</v>
      </c>
      <c r="AJ517">
        <f>AND(IF(Metadata!J517="",FALSE,ISNUMBER(VALUE(Metadata!J517))),Metadata!J517&gt;0)</f>
        <v>0</v>
      </c>
      <c r="AK517">
        <f>AND(IF(Metadata!K517="",FALSE,TRUE),exact(Metadata!K517,"cm"))</f>
        <v>0</v>
      </c>
      <c r="AL517">
        <f>AND(IF(Metadata!L517="",FALSE,TRUE),exact(Metadata!L517,"Homo sapiens"))</f>
        <v>0</v>
      </c>
      <c r="AM517">
        <f>AND(IF(Metadata!M517="",FALSE,TRUE),exact(Metadata!M517,"9606"))</f>
        <v>0</v>
      </c>
      <c r="AN517">
        <f>AND(IF(Metadata!N517="",FALSE,ISNUMBER(VALUE(Metadata!N517))),Metadata!N517&gt;0)</f>
        <v>0</v>
      </c>
      <c r="AO517">
        <f>AND(IF(Metadata!O517="",FALSE,TRUE),exact(Metadata!O517,"kg"))</f>
        <v>0</v>
      </c>
      <c r="AP517">
        <f>OR(AND(IF(Metadata!P517="",FALSE,TRUE),exact(Metadata!P517,"not provided")),IF(Metadata!P517="",FALSE,TRUE))</f>
        <v>0</v>
      </c>
      <c r="AQ517">
        <f>OR(AND(IF(Metadata!Q517="",FALSE,TRUE),exact(Metadata!Q517,"not provided")),IF(Metadata!Q517="",FALSE,TRUE))</f>
        <v>0</v>
      </c>
    </row>
    <row r="518" spans="1:43">
      <c r="A518" s="4">
        <f>IF(B518=" "," ",HYPERLINK(CONCATENATE("#metadata!",ADDRESS(INDEX($W$2:$W$1001,MATCH(ROWS($U$2:U518),$U$2:$U$1001,0),0),2)),INDEX($Z$2:$Z$1001,MATCH(ROWS($U$2:U518),$U$2:$U$1001,0),0)))</f>
        <v>0</v>
      </c>
      <c r="B518" s="5">
        <f>IF(OR(INDEX($V$2:$V$1001,MATCH(ROWS($U$2:U518),$U$2:$U$1001,0),1)&gt;=100000,INDEX($AB$1005:$AQ$1005,1,MATCH(COLUMNS($AB$1006:AB1006),$AB$1006:$AQ$1006,0))&gt;=100000), " ",IF(INDEX($AB$2:$AQ$1001,MATCH(ROWS($U$2:U518),$U$2:$U$1001,0),MATCH(COLUMNS($AB$1006:AB1006),$AB$1006:$AQ$1006,0)), HYPERLINK("#",""), HYPERLINK(CONCATENATE("#Metadata!", ADDRESS(INDEX($W$2:$W$1001,MATCH(ROWS($U$2:U518),$U$2:$U$1001,0),0), INDEX($AB$1004:$AQ$1004,1,MATCH(COLUMNS($AB$1006:AB1006),$AB$1006:$AQ$1006,0)))),"Fix")))</f>
        <v>0</v>
      </c>
      <c r="C518" s="5">
        <f>IF(OR(INDEX($V$2:$V$1001,MATCH(ROWS($U$2:U518),$U$2:$U$1001,0),1)&gt;=100000,INDEX($AB$1005:$AQ$1005,1,MATCH(COLUMNS($AB$1006:AC1006),$AB$1006:$AQ$1006,0))&gt;=100000), " ",IF(INDEX($AB$2:$AQ$1001,MATCH(ROWS($U$2:U518),$U$2:$U$1001,0),MATCH(COLUMNS($AB$1006:AC1006),$AB$1006:$AQ$1006,0)), HYPERLINK("#",""), HYPERLINK(CONCATENATE("#Metadata!", ADDRESS(INDEX($W$2:$W$1001,MATCH(ROWS($U$2:U518),$U$2:$U$1001,0),0), INDEX($AB$1004:$AQ$1004,1,MATCH(COLUMNS($AB$1006:AC1006),$AB$1006:$AQ$1006,0)))),"Fix")))</f>
        <v>0</v>
      </c>
      <c r="D518" s="5">
        <f>IF(OR(INDEX($V$2:$V$1001,MATCH(ROWS($U$2:U518),$U$2:$U$1001,0),1)&gt;=100000,INDEX($AB$1005:$AQ$1005,1,MATCH(COLUMNS($AB$1006:AD1006),$AB$1006:$AQ$1006,0))&gt;=100000), " ",IF(INDEX($AB$2:$AQ$1001,MATCH(ROWS($U$2:U518),$U$2:$U$1001,0),MATCH(COLUMNS($AB$1006:AD1006),$AB$1006:$AQ$1006,0)), HYPERLINK("#",""), HYPERLINK(CONCATENATE("#Metadata!", ADDRESS(INDEX($W$2:$W$1001,MATCH(ROWS($U$2:U518),$U$2:$U$1001,0),0), INDEX($AB$1004:$AQ$1004,1,MATCH(COLUMNS($AB$1006:AD1006),$AB$1006:$AQ$1006,0)))),"Fix")))</f>
        <v>0</v>
      </c>
      <c r="E518" s="5">
        <f>IF(OR(INDEX($V$2:$V$1001,MATCH(ROWS($U$2:U518),$U$2:$U$1001,0),1)&gt;=100000,INDEX($AB$1005:$AQ$1005,1,MATCH(COLUMNS($AB$1006:AE1006),$AB$1006:$AQ$1006,0))&gt;=100000), " ",IF(INDEX($AB$2:$AQ$1001,MATCH(ROWS($U$2:U518),$U$2:$U$1001,0),MATCH(COLUMNS($AB$1006:AE1006),$AB$1006:$AQ$1006,0)), HYPERLINK("#",""), HYPERLINK(CONCATENATE("#Metadata!", ADDRESS(INDEX($W$2:$W$1001,MATCH(ROWS($U$2:U518),$U$2:$U$1001,0),0), INDEX($AB$1004:$AQ$1004,1,MATCH(COLUMNS($AB$1006:AE1006),$AB$1006:$AQ$1006,0)))),"Fix")))</f>
        <v>0</v>
      </c>
      <c r="F518" s="5">
        <f>IF(OR(INDEX($V$2:$V$1001,MATCH(ROWS($U$2:U518),$U$2:$U$1001,0),1)&gt;=100000,INDEX($AB$1005:$AQ$1005,1,MATCH(COLUMNS($AB$1006:AF1006),$AB$1006:$AQ$1006,0))&gt;=100000), " ",IF(INDEX($AB$2:$AQ$1001,MATCH(ROWS($U$2:U518),$U$2:$U$1001,0),MATCH(COLUMNS($AB$1006:AF1006),$AB$1006:$AQ$1006,0)), HYPERLINK("#",""), HYPERLINK(CONCATENATE("#Metadata!", ADDRESS(INDEX($W$2:$W$1001,MATCH(ROWS($U$2:U518),$U$2:$U$1001,0),0), INDEX($AB$1004:$AQ$1004,1,MATCH(COLUMNS($AB$1006:AF1006),$AB$1006:$AQ$1006,0)))),"Fix")))</f>
        <v>0</v>
      </c>
      <c r="G518" s="5">
        <f>IF(OR(INDEX($V$2:$V$1001,MATCH(ROWS($U$2:U518),$U$2:$U$1001,0),1)&gt;=100000,INDEX($AB$1005:$AQ$1005,1,MATCH(COLUMNS($AB$1006:AG1006),$AB$1006:$AQ$1006,0))&gt;=100000), " ",IF(INDEX($AB$2:$AQ$1001,MATCH(ROWS($U$2:U518),$U$2:$U$1001,0),MATCH(COLUMNS($AB$1006:AG1006),$AB$1006:$AQ$1006,0)), HYPERLINK("#",""), HYPERLINK(CONCATENATE("#Metadata!", ADDRESS(INDEX($W$2:$W$1001,MATCH(ROWS($U$2:U518),$U$2:$U$1001,0),0), INDEX($AB$1004:$AQ$1004,1,MATCH(COLUMNS($AB$1006:AG1006),$AB$1006:$AQ$1006,0)))),"Fix")))</f>
        <v>0</v>
      </c>
      <c r="H518" s="5">
        <f>IF(OR(INDEX($V$2:$V$1001,MATCH(ROWS($U$2:U518),$U$2:$U$1001,0),1)&gt;=100000,INDEX($AB$1005:$AQ$1005,1,MATCH(COLUMNS($AB$1006:AH1006),$AB$1006:$AQ$1006,0))&gt;=100000), " ",IF(INDEX($AB$2:$AQ$1001,MATCH(ROWS($U$2:U518),$U$2:$U$1001,0),MATCH(COLUMNS($AB$1006:AH1006),$AB$1006:$AQ$1006,0)), HYPERLINK("#",""), HYPERLINK(CONCATENATE("#Metadata!", ADDRESS(INDEX($W$2:$W$1001,MATCH(ROWS($U$2:U518),$U$2:$U$1001,0),0), INDEX($AB$1004:$AQ$1004,1,MATCH(COLUMNS($AB$1006:AH1006),$AB$1006:$AQ$1006,0)))),"Fix")))</f>
        <v>0</v>
      </c>
      <c r="I518" s="5">
        <f>IF(OR(INDEX($V$2:$V$1001,MATCH(ROWS($U$2:U518),$U$2:$U$1001,0),1)&gt;=100000,INDEX($AB$1005:$AQ$1005,1,MATCH(COLUMNS($AB$1006:AI1006),$AB$1006:$AQ$1006,0))&gt;=100000), " ",IF(INDEX($AB$2:$AQ$1001,MATCH(ROWS($U$2:U518),$U$2:$U$1001,0),MATCH(COLUMNS($AB$1006:AI1006),$AB$1006:$AQ$1006,0)), HYPERLINK("#",""), HYPERLINK(CONCATENATE("#Metadata!", ADDRESS(INDEX($W$2:$W$1001,MATCH(ROWS($U$2:U518),$U$2:$U$1001,0),0), INDEX($AB$1004:$AQ$1004,1,MATCH(COLUMNS($AB$1006:AI1006),$AB$1006:$AQ$1006,0)))),"Fix")))</f>
        <v>0</v>
      </c>
      <c r="J518" s="5">
        <f>IF(OR(INDEX($V$2:$V$1001,MATCH(ROWS($U$2:U518),$U$2:$U$1001,0),1)&gt;=100000,INDEX($AB$1005:$AQ$1005,1,MATCH(COLUMNS($AB$1006:AJ1006),$AB$1006:$AQ$1006,0))&gt;=100000), " ",IF(INDEX($AB$2:$AQ$1001,MATCH(ROWS($U$2:U518),$U$2:$U$1001,0),MATCH(COLUMNS($AB$1006:AJ1006),$AB$1006:$AQ$1006,0)), HYPERLINK("#",""), HYPERLINK(CONCATENATE("#Metadata!", ADDRESS(INDEX($W$2:$W$1001,MATCH(ROWS($U$2:U518),$U$2:$U$1001,0),0), INDEX($AB$1004:$AQ$1004,1,MATCH(COLUMNS($AB$1006:AJ1006),$AB$1006:$AQ$1006,0)))),"Fix")))</f>
        <v>0</v>
      </c>
      <c r="K518" s="5">
        <f>IF(OR(INDEX($V$2:$V$1001,MATCH(ROWS($U$2:U518),$U$2:$U$1001,0),1)&gt;=100000,INDEX($AB$1005:$AQ$1005,1,MATCH(COLUMNS($AB$1006:AK1006),$AB$1006:$AQ$1006,0))&gt;=100000), " ",IF(INDEX($AB$2:$AQ$1001,MATCH(ROWS($U$2:U518),$U$2:$U$1001,0),MATCH(COLUMNS($AB$1006:AK1006),$AB$1006:$AQ$1006,0)), HYPERLINK("#",""), HYPERLINK(CONCATENATE("#Metadata!", ADDRESS(INDEX($W$2:$W$1001,MATCH(ROWS($U$2:U518),$U$2:$U$1001,0),0), INDEX($AB$1004:$AQ$1004,1,MATCH(COLUMNS($AB$1006:AK1006),$AB$1006:$AQ$1006,0)))),"Fix")))</f>
        <v>0</v>
      </c>
      <c r="L518" s="5">
        <f>IF(OR(INDEX($V$2:$V$1001,MATCH(ROWS($U$2:U518),$U$2:$U$1001,0),1)&gt;=100000,INDEX($AB$1005:$AQ$1005,1,MATCH(COLUMNS($AB$1006:AL1006),$AB$1006:$AQ$1006,0))&gt;=100000), " ",IF(INDEX($AB$2:$AQ$1001,MATCH(ROWS($U$2:U518),$U$2:$U$1001,0),MATCH(COLUMNS($AB$1006:AL1006),$AB$1006:$AQ$1006,0)), HYPERLINK("#",""), HYPERLINK(CONCATENATE("#Metadata!", ADDRESS(INDEX($W$2:$W$1001,MATCH(ROWS($U$2:U518),$U$2:$U$1001,0),0), INDEX($AB$1004:$AQ$1004,1,MATCH(COLUMNS($AB$1006:AL1006),$AB$1006:$AQ$1006,0)))),"Fix")))</f>
        <v>0</v>
      </c>
      <c r="M518" s="5">
        <f>IF(OR(INDEX($V$2:$V$1001,MATCH(ROWS($U$2:U518),$U$2:$U$1001,0),1)&gt;=100000,INDEX($AB$1005:$AQ$1005,1,MATCH(COLUMNS($AB$1006:AM1006),$AB$1006:$AQ$1006,0))&gt;=100000), " ",IF(INDEX($AB$2:$AQ$1001,MATCH(ROWS($U$2:U518),$U$2:$U$1001,0),MATCH(COLUMNS($AB$1006:AM1006),$AB$1006:$AQ$1006,0)), HYPERLINK("#",""), HYPERLINK(CONCATENATE("#Metadata!", ADDRESS(INDEX($W$2:$W$1001,MATCH(ROWS($U$2:U518),$U$2:$U$1001,0),0), INDEX($AB$1004:$AQ$1004,1,MATCH(COLUMNS($AB$1006:AM1006),$AB$1006:$AQ$1006,0)))),"Fix")))</f>
        <v>0</v>
      </c>
      <c r="N518" s="5">
        <f>IF(OR(INDEX($V$2:$V$1001,MATCH(ROWS($U$2:U518),$U$2:$U$1001,0),1)&gt;=100000,INDEX($AB$1005:$AQ$1005,1,MATCH(COLUMNS($AB$1006:AN1006),$AB$1006:$AQ$1006,0))&gt;=100000), " ",IF(INDEX($AB$2:$AQ$1001,MATCH(ROWS($U$2:U518),$U$2:$U$1001,0),MATCH(COLUMNS($AB$1006:AN1006),$AB$1006:$AQ$1006,0)), HYPERLINK("#",""), HYPERLINK(CONCATENATE("#Metadata!", ADDRESS(INDEX($W$2:$W$1001,MATCH(ROWS($U$2:U518),$U$2:$U$1001,0),0), INDEX($AB$1004:$AQ$1004,1,MATCH(COLUMNS($AB$1006:AN1006),$AB$1006:$AQ$1006,0)))),"Fix")))</f>
        <v>0</v>
      </c>
      <c r="O518" s="5">
        <f>IF(OR(INDEX($V$2:$V$1001,MATCH(ROWS($U$2:U518),$U$2:$U$1001,0),1)&gt;=100000,INDEX($AB$1005:$AQ$1005,1,MATCH(COLUMNS($AB$1006:AO1006),$AB$1006:$AQ$1006,0))&gt;=100000), " ",IF(INDEX($AB$2:$AQ$1001,MATCH(ROWS($U$2:U518),$U$2:$U$1001,0),MATCH(COLUMNS($AB$1006:AO1006),$AB$1006:$AQ$1006,0)), HYPERLINK("#",""), HYPERLINK(CONCATENATE("#Metadata!", ADDRESS(INDEX($W$2:$W$1001,MATCH(ROWS($U$2:U518),$U$2:$U$1001,0),0), INDEX($AB$1004:$AQ$1004,1,MATCH(COLUMNS($AB$1006:AO1006),$AB$1006:$AQ$1006,0)))),"Fix")))</f>
        <v>0</v>
      </c>
      <c r="P518" s="5">
        <f>IF(OR(INDEX($V$2:$V$1001,MATCH(ROWS($U$2:U518),$U$2:$U$1001,0),1)&gt;=100000,INDEX($AB$1005:$AQ$1005,1,MATCH(COLUMNS($AB$1006:AP1006),$AB$1006:$AQ$1006,0))&gt;=100000), " ",IF(INDEX($AB$2:$AQ$1001,MATCH(ROWS($U$2:U518),$U$2:$U$1001,0),MATCH(COLUMNS($AB$1006:AP1006),$AB$1006:$AQ$1006,0)), HYPERLINK("#",""), HYPERLINK(CONCATENATE("#Metadata!", ADDRESS(INDEX($W$2:$W$1001,MATCH(ROWS($U$2:U518),$U$2:$U$1001,0),0), INDEX($AB$1004:$AQ$1004,1,MATCH(COLUMNS($AB$1006:AP1006),$AB$1006:$AQ$1006,0)))),"Fix")))</f>
        <v>0</v>
      </c>
      <c r="Q518" s="5">
        <f>IF(OR(INDEX($V$2:$V$1001,MATCH(ROWS($U$2:U518),$U$2:$U$1001,0),1)&gt;=100000,INDEX($AB$1005:$AQ$1005,1,MATCH(COLUMNS($AB$1006:AQ1006),$AB$1006:$AQ$1006,0))&gt;=100000), " ",IF(INDEX($AB$2:$AQ$1001,MATCH(ROWS($U$2:U518),$U$2:$U$1001,0),MATCH(COLUMNS($AB$1006:AQ1006),$AB$1006:$AQ$1006,0)), HYPERLINK("#",""), HYPERLINK(CONCATENATE("#Metadata!", ADDRESS(INDEX($W$2:$W$1001,MATCH(ROWS($U$2:U518),$U$2:$U$1001,0),0), INDEX($AB$1004:$AQ$1004,1,MATCH(COLUMNS($AB$1006:AQ1006),$AB$1006:$AQ$1006,0)))),"Fix")))</f>
        <v>0</v>
      </c>
      <c r="U518">
        <v>0</v>
      </c>
      <c r="V518">
        <v>0</v>
      </c>
      <c r="W518">
        <v>0</v>
      </c>
      <c r="X518">
        <f>IF(Y518,TRUE,AND(AB518:AQ518))</f>
        <v>0</v>
      </c>
      <c r="Y518">
        <f>COUNTBLANK(Metadata!B518:Q518)=COLUMNS(Metadata!B518:Q518)</f>
        <v>0</v>
      </c>
      <c r="Z518">
        <v>0</v>
      </c>
      <c r="AB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AC518">
        <f>AND(IF(Metadata!C518="",FALSE,TRUE),exact(Metadata!C518,"urban biome"))</f>
        <v>0</v>
      </c>
      <c r="AD518">
        <f>AND(IF(Metadata!D518="",FALSE,TRUE),exact(Metadata!D518,"human-associated habitat"))</f>
        <v>0</v>
      </c>
      <c r="AE518">
        <f>AND(IF(Metadata!E518="",FALSE,TRUE),OR(exact(Metadata!E518,"human-associated"),exact(Metadata!E518,"human-skin"),exact(Metadata!E518,"human-oral"),exact(Metadata!E518,"human-gut"),exact(Metadata!E518,"human-vaginal")))</f>
        <v>0</v>
      </c>
      <c r="AF518">
        <f>AND(IF(Metadata!F518="",FALSE,ISNUMBER(VALUE(Metadata!F518))),Metadata!F518&gt;0)</f>
        <v>0</v>
      </c>
      <c r="AG518">
        <f>AND(IF(Metadata!G518="",FALSE,TRUE),exact(Metadata!G518,"years"))</f>
        <v>0</v>
      </c>
      <c r="AH518">
        <f>OR(AND(IF(Metadata!H518="",FALSE,TRUE),OR(exact(Metadata!H518,"not applicable"),exact(Metadata!H518,"not collected"),exact(Metadata!H518,"not provided"),exact(Metadata!H518,"restricted access"))),AND(IF(Metadata!H518="",FALSE,ISNUMBER(VALUE(Metadata!H518))),Metadata!H518&gt;0))</f>
        <v>0</v>
      </c>
      <c r="AI518">
        <f>AND(IF(Metadata!I518="",FALSE,TRUE),exact(Metadata!I518,"human"))</f>
        <v>0</v>
      </c>
      <c r="AJ518">
        <f>AND(IF(Metadata!J518="",FALSE,ISNUMBER(VALUE(Metadata!J518))),Metadata!J518&gt;0)</f>
        <v>0</v>
      </c>
      <c r="AK518">
        <f>AND(IF(Metadata!K518="",FALSE,TRUE),exact(Metadata!K518,"cm"))</f>
        <v>0</v>
      </c>
      <c r="AL518">
        <f>AND(IF(Metadata!L518="",FALSE,TRUE),exact(Metadata!L518,"Homo sapiens"))</f>
        <v>0</v>
      </c>
      <c r="AM518">
        <f>AND(IF(Metadata!M518="",FALSE,TRUE),exact(Metadata!M518,"9606"))</f>
        <v>0</v>
      </c>
      <c r="AN518">
        <f>AND(IF(Metadata!N518="",FALSE,ISNUMBER(VALUE(Metadata!N518))),Metadata!N518&gt;0)</f>
        <v>0</v>
      </c>
      <c r="AO518">
        <f>AND(IF(Metadata!O518="",FALSE,TRUE),exact(Metadata!O518,"kg"))</f>
        <v>0</v>
      </c>
      <c r="AP518">
        <f>OR(AND(IF(Metadata!P518="",FALSE,TRUE),exact(Metadata!P518,"not provided")),IF(Metadata!P518="",FALSE,TRUE))</f>
        <v>0</v>
      </c>
      <c r="AQ518">
        <f>OR(AND(IF(Metadata!Q518="",FALSE,TRUE),exact(Metadata!Q518,"not provided")),IF(Metadata!Q518="",FALSE,TRUE))</f>
        <v>0</v>
      </c>
    </row>
    <row r="519" spans="1:43">
      <c r="A519" s="4">
        <f>IF(B519=" "," ",HYPERLINK(CONCATENATE("#metadata!",ADDRESS(INDEX($W$2:$W$1001,MATCH(ROWS($U$2:U519),$U$2:$U$1001,0),0),2)),INDEX($Z$2:$Z$1001,MATCH(ROWS($U$2:U519),$U$2:$U$1001,0),0)))</f>
        <v>0</v>
      </c>
      <c r="B519" s="5">
        <f>IF(OR(INDEX($V$2:$V$1001,MATCH(ROWS($U$2:U519),$U$2:$U$1001,0),1)&gt;=100000,INDEX($AB$1005:$AQ$1005,1,MATCH(COLUMNS($AB$1006:AB1006),$AB$1006:$AQ$1006,0))&gt;=100000), " ",IF(INDEX($AB$2:$AQ$1001,MATCH(ROWS($U$2:U519),$U$2:$U$1001,0),MATCH(COLUMNS($AB$1006:AB1006),$AB$1006:$AQ$1006,0)), HYPERLINK("#",""), HYPERLINK(CONCATENATE("#Metadata!", ADDRESS(INDEX($W$2:$W$1001,MATCH(ROWS($U$2:U519),$U$2:$U$1001,0),0), INDEX($AB$1004:$AQ$1004,1,MATCH(COLUMNS($AB$1006:AB1006),$AB$1006:$AQ$1006,0)))),"Fix")))</f>
        <v>0</v>
      </c>
      <c r="C519" s="5">
        <f>IF(OR(INDEX($V$2:$V$1001,MATCH(ROWS($U$2:U519),$U$2:$U$1001,0),1)&gt;=100000,INDEX($AB$1005:$AQ$1005,1,MATCH(COLUMNS($AB$1006:AC1006),$AB$1006:$AQ$1006,0))&gt;=100000), " ",IF(INDEX($AB$2:$AQ$1001,MATCH(ROWS($U$2:U519),$U$2:$U$1001,0),MATCH(COLUMNS($AB$1006:AC1006),$AB$1006:$AQ$1006,0)), HYPERLINK("#",""), HYPERLINK(CONCATENATE("#Metadata!", ADDRESS(INDEX($W$2:$W$1001,MATCH(ROWS($U$2:U519),$U$2:$U$1001,0),0), INDEX($AB$1004:$AQ$1004,1,MATCH(COLUMNS($AB$1006:AC1006),$AB$1006:$AQ$1006,0)))),"Fix")))</f>
        <v>0</v>
      </c>
      <c r="D519" s="5">
        <f>IF(OR(INDEX($V$2:$V$1001,MATCH(ROWS($U$2:U519),$U$2:$U$1001,0),1)&gt;=100000,INDEX($AB$1005:$AQ$1005,1,MATCH(COLUMNS($AB$1006:AD1006),$AB$1006:$AQ$1006,0))&gt;=100000), " ",IF(INDEX($AB$2:$AQ$1001,MATCH(ROWS($U$2:U519),$U$2:$U$1001,0),MATCH(COLUMNS($AB$1006:AD1006),$AB$1006:$AQ$1006,0)), HYPERLINK("#",""), HYPERLINK(CONCATENATE("#Metadata!", ADDRESS(INDEX($W$2:$W$1001,MATCH(ROWS($U$2:U519),$U$2:$U$1001,0),0), INDEX($AB$1004:$AQ$1004,1,MATCH(COLUMNS($AB$1006:AD1006),$AB$1006:$AQ$1006,0)))),"Fix")))</f>
        <v>0</v>
      </c>
      <c r="E519" s="5">
        <f>IF(OR(INDEX($V$2:$V$1001,MATCH(ROWS($U$2:U519),$U$2:$U$1001,0),1)&gt;=100000,INDEX($AB$1005:$AQ$1005,1,MATCH(COLUMNS($AB$1006:AE1006),$AB$1006:$AQ$1006,0))&gt;=100000), " ",IF(INDEX($AB$2:$AQ$1001,MATCH(ROWS($U$2:U519),$U$2:$U$1001,0),MATCH(COLUMNS($AB$1006:AE1006),$AB$1006:$AQ$1006,0)), HYPERLINK("#",""), HYPERLINK(CONCATENATE("#Metadata!", ADDRESS(INDEX($W$2:$W$1001,MATCH(ROWS($U$2:U519),$U$2:$U$1001,0),0), INDEX($AB$1004:$AQ$1004,1,MATCH(COLUMNS($AB$1006:AE1006),$AB$1006:$AQ$1006,0)))),"Fix")))</f>
        <v>0</v>
      </c>
      <c r="F519" s="5">
        <f>IF(OR(INDEX($V$2:$V$1001,MATCH(ROWS($U$2:U519),$U$2:$U$1001,0),1)&gt;=100000,INDEX($AB$1005:$AQ$1005,1,MATCH(COLUMNS($AB$1006:AF1006),$AB$1006:$AQ$1006,0))&gt;=100000), " ",IF(INDEX($AB$2:$AQ$1001,MATCH(ROWS($U$2:U519),$U$2:$U$1001,0),MATCH(COLUMNS($AB$1006:AF1006),$AB$1006:$AQ$1006,0)), HYPERLINK("#",""), HYPERLINK(CONCATENATE("#Metadata!", ADDRESS(INDEX($W$2:$W$1001,MATCH(ROWS($U$2:U519),$U$2:$U$1001,0),0), INDEX($AB$1004:$AQ$1004,1,MATCH(COLUMNS($AB$1006:AF1006),$AB$1006:$AQ$1006,0)))),"Fix")))</f>
        <v>0</v>
      </c>
      <c r="G519" s="5">
        <f>IF(OR(INDEX($V$2:$V$1001,MATCH(ROWS($U$2:U519),$U$2:$U$1001,0),1)&gt;=100000,INDEX($AB$1005:$AQ$1005,1,MATCH(COLUMNS($AB$1006:AG1006),$AB$1006:$AQ$1006,0))&gt;=100000), " ",IF(INDEX($AB$2:$AQ$1001,MATCH(ROWS($U$2:U519),$U$2:$U$1001,0),MATCH(COLUMNS($AB$1006:AG1006),$AB$1006:$AQ$1006,0)), HYPERLINK("#",""), HYPERLINK(CONCATENATE("#Metadata!", ADDRESS(INDEX($W$2:$W$1001,MATCH(ROWS($U$2:U519),$U$2:$U$1001,0),0), INDEX($AB$1004:$AQ$1004,1,MATCH(COLUMNS($AB$1006:AG1006),$AB$1006:$AQ$1006,0)))),"Fix")))</f>
        <v>0</v>
      </c>
      <c r="H519" s="5">
        <f>IF(OR(INDEX($V$2:$V$1001,MATCH(ROWS($U$2:U519),$U$2:$U$1001,0),1)&gt;=100000,INDEX($AB$1005:$AQ$1005,1,MATCH(COLUMNS($AB$1006:AH1006),$AB$1006:$AQ$1006,0))&gt;=100000), " ",IF(INDEX($AB$2:$AQ$1001,MATCH(ROWS($U$2:U519),$U$2:$U$1001,0),MATCH(COLUMNS($AB$1006:AH1006),$AB$1006:$AQ$1006,0)), HYPERLINK("#",""), HYPERLINK(CONCATENATE("#Metadata!", ADDRESS(INDEX($W$2:$W$1001,MATCH(ROWS($U$2:U519),$U$2:$U$1001,0),0), INDEX($AB$1004:$AQ$1004,1,MATCH(COLUMNS($AB$1006:AH1006),$AB$1006:$AQ$1006,0)))),"Fix")))</f>
        <v>0</v>
      </c>
      <c r="I519" s="5">
        <f>IF(OR(INDEX($V$2:$V$1001,MATCH(ROWS($U$2:U519),$U$2:$U$1001,0),1)&gt;=100000,INDEX($AB$1005:$AQ$1005,1,MATCH(COLUMNS($AB$1006:AI1006),$AB$1006:$AQ$1006,0))&gt;=100000), " ",IF(INDEX($AB$2:$AQ$1001,MATCH(ROWS($U$2:U519),$U$2:$U$1001,0),MATCH(COLUMNS($AB$1006:AI1006),$AB$1006:$AQ$1006,0)), HYPERLINK("#",""), HYPERLINK(CONCATENATE("#Metadata!", ADDRESS(INDEX($W$2:$W$1001,MATCH(ROWS($U$2:U519),$U$2:$U$1001,0),0), INDEX($AB$1004:$AQ$1004,1,MATCH(COLUMNS($AB$1006:AI1006),$AB$1006:$AQ$1006,0)))),"Fix")))</f>
        <v>0</v>
      </c>
      <c r="J519" s="5">
        <f>IF(OR(INDEX($V$2:$V$1001,MATCH(ROWS($U$2:U519),$U$2:$U$1001,0),1)&gt;=100000,INDEX($AB$1005:$AQ$1005,1,MATCH(COLUMNS($AB$1006:AJ1006),$AB$1006:$AQ$1006,0))&gt;=100000), " ",IF(INDEX($AB$2:$AQ$1001,MATCH(ROWS($U$2:U519),$U$2:$U$1001,0),MATCH(COLUMNS($AB$1006:AJ1006),$AB$1006:$AQ$1006,0)), HYPERLINK("#",""), HYPERLINK(CONCATENATE("#Metadata!", ADDRESS(INDEX($W$2:$W$1001,MATCH(ROWS($U$2:U519),$U$2:$U$1001,0),0), INDEX($AB$1004:$AQ$1004,1,MATCH(COLUMNS($AB$1006:AJ1006),$AB$1006:$AQ$1006,0)))),"Fix")))</f>
        <v>0</v>
      </c>
      <c r="K519" s="5">
        <f>IF(OR(INDEX($V$2:$V$1001,MATCH(ROWS($U$2:U519),$U$2:$U$1001,0),1)&gt;=100000,INDEX($AB$1005:$AQ$1005,1,MATCH(COLUMNS($AB$1006:AK1006),$AB$1006:$AQ$1006,0))&gt;=100000), " ",IF(INDEX($AB$2:$AQ$1001,MATCH(ROWS($U$2:U519),$U$2:$U$1001,0),MATCH(COLUMNS($AB$1006:AK1006),$AB$1006:$AQ$1006,0)), HYPERLINK("#",""), HYPERLINK(CONCATENATE("#Metadata!", ADDRESS(INDEX($W$2:$W$1001,MATCH(ROWS($U$2:U519),$U$2:$U$1001,0),0), INDEX($AB$1004:$AQ$1004,1,MATCH(COLUMNS($AB$1006:AK1006),$AB$1006:$AQ$1006,0)))),"Fix")))</f>
        <v>0</v>
      </c>
      <c r="L519" s="5">
        <f>IF(OR(INDEX($V$2:$V$1001,MATCH(ROWS($U$2:U519),$U$2:$U$1001,0),1)&gt;=100000,INDEX($AB$1005:$AQ$1005,1,MATCH(COLUMNS($AB$1006:AL1006),$AB$1006:$AQ$1006,0))&gt;=100000), " ",IF(INDEX($AB$2:$AQ$1001,MATCH(ROWS($U$2:U519),$U$2:$U$1001,0),MATCH(COLUMNS($AB$1006:AL1006),$AB$1006:$AQ$1006,0)), HYPERLINK("#",""), HYPERLINK(CONCATENATE("#Metadata!", ADDRESS(INDEX($W$2:$W$1001,MATCH(ROWS($U$2:U519),$U$2:$U$1001,0),0), INDEX($AB$1004:$AQ$1004,1,MATCH(COLUMNS($AB$1006:AL1006),$AB$1006:$AQ$1006,0)))),"Fix")))</f>
        <v>0</v>
      </c>
      <c r="M519" s="5">
        <f>IF(OR(INDEX($V$2:$V$1001,MATCH(ROWS($U$2:U519),$U$2:$U$1001,0),1)&gt;=100000,INDEX($AB$1005:$AQ$1005,1,MATCH(COLUMNS($AB$1006:AM1006),$AB$1006:$AQ$1006,0))&gt;=100000), " ",IF(INDEX($AB$2:$AQ$1001,MATCH(ROWS($U$2:U519),$U$2:$U$1001,0),MATCH(COLUMNS($AB$1006:AM1006),$AB$1006:$AQ$1006,0)), HYPERLINK("#",""), HYPERLINK(CONCATENATE("#Metadata!", ADDRESS(INDEX($W$2:$W$1001,MATCH(ROWS($U$2:U519),$U$2:$U$1001,0),0), INDEX($AB$1004:$AQ$1004,1,MATCH(COLUMNS($AB$1006:AM1006),$AB$1006:$AQ$1006,0)))),"Fix")))</f>
        <v>0</v>
      </c>
      <c r="N519" s="5">
        <f>IF(OR(INDEX($V$2:$V$1001,MATCH(ROWS($U$2:U519),$U$2:$U$1001,0),1)&gt;=100000,INDEX($AB$1005:$AQ$1005,1,MATCH(COLUMNS($AB$1006:AN1006),$AB$1006:$AQ$1006,0))&gt;=100000), " ",IF(INDEX($AB$2:$AQ$1001,MATCH(ROWS($U$2:U519),$U$2:$U$1001,0),MATCH(COLUMNS($AB$1006:AN1006),$AB$1006:$AQ$1006,0)), HYPERLINK("#",""), HYPERLINK(CONCATENATE("#Metadata!", ADDRESS(INDEX($W$2:$W$1001,MATCH(ROWS($U$2:U519),$U$2:$U$1001,0),0), INDEX($AB$1004:$AQ$1004,1,MATCH(COLUMNS($AB$1006:AN1006),$AB$1006:$AQ$1006,0)))),"Fix")))</f>
        <v>0</v>
      </c>
      <c r="O519" s="5">
        <f>IF(OR(INDEX($V$2:$V$1001,MATCH(ROWS($U$2:U519),$U$2:$U$1001,0),1)&gt;=100000,INDEX($AB$1005:$AQ$1005,1,MATCH(COLUMNS($AB$1006:AO1006),$AB$1006:$AQ$1006,0))&gt;=100000), " ",IF(INDEX($AB$2:$AQ$1001,MATCH(ROWS($U$2:U519),$U$2:$U$1001,0),MATCH(COLUMNS($AB$1006:AO1006),$AB$1006:$AQ$1006,0)), HYPERLINK("#",""), HYPERLINK(CONCATENATE("#Metadata!", ADDRESS(INDEX($W$2:$W$1001,MATCH(ROWS($U$2:U519),$U$2:$U$1001,0),0), INDEX($AB$1004:$AQ$1004,1,MATCH(COLUMNS($AB$1006:AO1006),$AB$1006:$AQ$1006,0)))),"Fix")))</f>
        <v>0</v>
      </c>
      <c r="P519" s="5">
        <f>IF(OR(INDEX($V$2:$V$1001,MATCH(ROWS($U$2:U519),$U$2:$U$1001,0),1)&gt;=100000,INDEX($AB$1005:$AQ$1005,1,MATCH(COLUMNS($AB$1006:AP1006),$AB$1006:$AQ$1006,0))&gt;=100000), " ",IF(INDEX($AB$2:$AQ$1001,MATCH(ROWS($U$2:U519),$U$2:$U$1001,0),MATCH(COLUMNS($AB$1006:AP1006),$AB$1006:$AQ$1006,0)), HYPERLINK("#",""), HYPERLINK(CONCATENATE("#Metadata!", ADDRESS(INDEX($W$2:$W$1001,MATCH(ROWS($U$2:U519),$U$2:$U$1001,0),0), INDEX($AB$1004:$AQ$1004,1,MATCH(COLUMNS($AB$1006:AP1006),$AB$1006:$AQ$1006,0)))),"Fix")))</f>
        <v>0</v>
      </c>
      <c r="Q519" s="5">
        <f>IF(OR(INDEX($V$2:$V$1001,MATCH(ROWS($U$2:U519),$U$2:$U$1001,0),1)&gt;=100000,INDEX($AB$1005:$AQ$1005,1,MATCH(COLUMNS($AB$1006:AQ1006),$AB$1006:$AQ$1006,0))&gt;=100000), " ",IF(INDEX($AB$2:$AQ$1001,MATCH(ROWS($U$2:U519),$U$2:$U$1001,0),MATCH(COLUMNS($AB$1006:AQ1006),$AB$1006:$AQ$1006,0)), HYPERLINK("#",""), HYPERLINK(CONCATENATE("#Metadata!", ADDRESS(INDEX($W$2:$W$1001,MATCH(ROWS($U$2:U519),$U$2:$U$1001,0),0), INDEX($AB$1004:$AQ$1004,1,MATCH(COLUMNS($AB$1006:AQ1006),$AB$1006:$AQ$1006,0)))),"Fix")))</f>
        <v>0</v>
      </c>
      <c r="U519">
        <v>0</v>
      </c>
      <c r="V519">
        <v>0</v>
      </c>
      <c r="W519">
        <v>0</v>
      </c>
      <c r="X519">
        <f>IF(Y519,TRUE,AND(AB519:AQ519))</f>
        <v>0</v>
      </c>
      <c r="Y519">
        <f>COUNTBLANK(Metadata!B519:Q519)=COLUMNS(Metadata!B519:Q519)</f>
        <v>0</v>
      </c>
      <c r="Z519">
        <v>0</v>
      </c>
      <c r="AB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AC519">
        <f>AND(IF(Metadata!C519="",FALSE,TRUE),exact(Metadata!C519,"urban biome"))</f>
        <v>0</v>
      </c>
      <c r="AD519">
        <f>AND(IF(Metadata!D519="",FALSE,TRUE),exact(Metadata!D519,"human-associated habitat"))</f>
        <v>0</v>
      </c>
      <c r="AE519">
        <f>AND(IF(Metadata!E519="",FALSE,TRUE),OR(exact(Metadata!E519,"human-associated"),exact(Metadata!E519,"human-skin"),exact(Metadata!E519,"human-oral"),exact(Metadata!E519,"human-gut"),exact(Metadata!E519,"human-vaginal")))</f>
        <v>0</v>
      </c>
      <c r="AF519">
        <f>AND(IF(Metadata!F519="",FALSE,ISNUMBER(VALUE(Metadata!F519))),Metadata!F519&gt;0)</f>
        <v>0</v>
      </c>
      <c r="AG519">
        <f>AND(IF(Metadata!G519="",FALSE,TRUE),exact(Metadata!G519,"years"))</f>
        <v>0</v>
      </c>
      <c r="AH519">
        <f>OR(AND(IF(Metadata!H519="",FALSE,TRUE),OR(exact(Metadata!H519,"not applicable"),exact(Metadata!H519,"not collected"),exact(Metadata!H519,"not provided"),exact(Metadata!H519,"restricted access"))),AND(IF(Metadata!H519="",FALSE,ISNUMBER(VALUE(Metadata!H519))),Metadata!H519&gt;0))</f>
        <v>0</v>
      </c>
      <c r="AI519">
        <f>AND(IF(Metadata!I519="",FALSE,TRUE),exact(Metadata!I519,"human"))</f>
        <v>0</v>
      </c>
      <c r="AJ519">
        <f>AND(IF(Metadata!J519="",FALSE,ISNUMBER(VALUE(Metadata!J519))),Metadata!J519&gt;0)</f>
        <v>0</v>
      </c>
      <c r="AK519">
        <f>AND(IF(Metadata!K519="",FALSE,TRUE),exact(Metadata!K519,"cm"))</f>
        <v>0</v>
      </c>
      <c r="AL519">
        <f>AND(IF(Metadata!L519="",FALSE,TRUE),exact(Metadata!L519,"Homo sapiens"))</f>
        <v>0</v>
      </c>
      <c r="AM519">
        <f>AND(IF(Metadata!M519="",FALSE,TRUE),exact(Metadata!M519,"9606"))</f>
        <v>0</v>
      </c>
      <c r="AN519">
        <f>AND(IF(Metadata!N519="",FALSE,ISNUMBER(VALUE(Metadata!N519))),Metadata!N519&gt;0)</f>
        <v>0</v>
      </c>
      <c r="AO519">
        <f>AND(IF(Metadata!O519="",FALSE,TRUE),exact(Metadata!O519,"kg"))</f>
        <v>0</v>
      </c>
      <c r="AP519">
        <f>OR(AND(IF(Metadata!P519="",FALSE,TRUE),exact(Metadata!P519,"not provided")),IF(Metadata!P519="",FALSE,TRUE))</f>
        <v>0</v>
      </c>
      <c r="AQ519">
        <f>OR(AND(IF(Metadata!Q519="",FALSE,TRUE),exact(Metadata!Q519,"not provided")),IF(Metadata!Q519="",FALSE,TRUE))</f>
        <v>0</v>
      </c>
    </row>
    <row r="520" spans="1:43">
      <c r="A520" s="4">
        <f>IF(B520=" "," ",HYPERLINK(CONCATENATE("#metadata!",ADDRESS(INDEX($W$2:$W$1001,MATCH(ROWS($U$2:U520),$U$2:$U$1001,0),0),2)),INDEX($Z$2:$Z$1001,MATCH(ROWS($U$2:U520),$U$2:$U$1001,0),0)))</f>
        <v>0</v>
      </c>
      <c r="B520" s="5">
        <f>IF(OR(INDEX($V$2:$V$1001,MATCH(ROWS($U$2:U520),$U$2:$U$1001,0),1)&gt;=100000,INDEX($AB$1005:$AQ$1005,1,MATCH(COLUMNS($AB$1006:AB1006),$AB$1006:$AQ$1006,0))&gt;=100000), " ",IF(INDEX($AB$2:$AQ$1001,MATCH(ROWS($U$2:U520),$U$2:$U$1001,0),MATCH(COLUMNS($AB$1006:AB1006),$AB$1006:$AQ$1006,0)), HYPERLINK("#",""), HYPERLINK(CONCATENATE("#Metadata!", ADDRESS(INDEX($W$2:$W$1001,MATCH(ROWS($U$2:U520),$U$2:$U$1001,0),0), INDEX($AB$1004:$AQ$1004,1,MATCH(COLUMNS($AB$1006:AB1006),$AB$1006:$AQ$1006,0)))),"Fix")))</f>
        <v>0</v>
      </c>
      <c r="C520" s="5">
        <f>IF(OR(INDEX($V$2:$V$1001,MATCH(ROWS($U$2:U520),$U$2:$U$1001,0),1)&gt;=100000,INDEX($AB$1005:$AQ$1005,1,MATCH(COLUMNS($AB$1006:AC1006),$AB$1006:$AQ$1006,0))&gt;=100000), " ",IF(INDEX($AB$2:$AQ$1001,MATCH(ROWS($U$2:U520),$U$2:$U$1001,0),MATCH(COLUMNS($AB$1006:AC1006),$AB$1006:$AQ$1006,0)), HYPERLINK("#",""), HYPERLINK(CONCATENATE("#Metadata!", ADDRESS(INDEX($W$2:$W$1001,MATCH(ROWS($U$2:U520),$U$2:$U$1001,0),0), INDEX($AB$1004:$AQ$1004,1,MATCH(COLUMNS($AB$1006:AC1006),$AB$1006:$AQ$1006,0)))),"Fix")))</f>
        <v>0</v>
      </c>
      <c r="D520" s="5">
        <f>IF(OR(INDEX($V$2:$V$1001,MATCH(ROWS($U$2:U520),$U$2:$U$1001,0),1)&gt;=100000,INDEX($AB$1005:$AQ$1005,1,MATCH(COLUMNS($AB$1006:AD1006),$AB$1006:$AQ$1006,0))&gt;=100000), " ",IF(INDEX($AB$2:$AQ$1001,MATCH(ROWS($U$2:U520),$U$2:$U$1001,0),MATCH(COLUMNS($AB$1006:AD1006),$AB$1006:$AQ$1006,0)), HYPERLINK("#",""), HYPERLINK(CONCATENATE("#Metadata!", ADDRESS(INDEX($W$2:$W$1001,MATCH(ROWS($U$2:U520),$U$2:$U$1001,0),0), INDEX($AB$1004:$AQ$1004,1,MATCH(COLUMNS($AB$1006:AD1006),$AB$1006:$AQ$1006,0)))),"Fix")))</f>
        <v>0</v>
      </c>
      <c r="E520" s="5">
        <f>IF(OR(INDEX($V$2:$V$1001,MATCH(ROWS($U$2:U520),$U$2:$U$1001,0),1)&gt;=100000,INDEX($AB$1005:$AQ$1005,1,MATCH(COLUMNS($AB$1006:AE1006),$AB$1006:$AQ$1006,0))&gt;=100000), " ",IF(INDEX($AB$2:$AQ$1001,MATCH(ROWS($U$2:U520),$U$2:$U$1001,0),MATCH(COLUMNS($AB$1006:AE1006),$AB$1006:$AQ$1006,0)), HYPERLINK("#",""), HYPERLINK(CONCATENATE("#Metadata!", ADDRESS(INDEX($W$2:$W$1001,MATCH(ROWS($U$2:U520),$U$2:$U$1001,0),0), INDEX($AB$1004:$AQ$1004,1,MATCH(COLUMNS($AB$1006:AE1006),$AB$1006:$AQ$1006,0)))),"Fix")))</f>
        <v>0</v>
      </c>
      <c r="F520" s="5">
        <f>IF(OR(INDEX($V$2:$V$1001,MATCH(ROWS($U$2:U520),$U$2:$U$1001,0),1)&gt;=100000,INDEX($AB$1005:$AQ$1005,1,MATCH(COLUMNS($AB$1006:AF1006),$AB$1006:$AQ$1006,0))&gt;=100000), " ",IF(INDEX($AB$2:$AQ$1001,MATCH(ROWS($U$2:U520),$U$2:$U$1001,0),MATCH(COLUMNS($AB$1006:AF1006),$AB$1006:$AQ$1006,0)), HYPERLINK("#",""), HYPERLINK(CONCATENATE("#Metadata!", ADDRESS(INDEX($W$2:$W$1001,MATCH(ROWS($U$2:U520),$U$2:$U$1001,0),0), INDEX($AB$1004:$AQ$1004,1,MATCH(COLUMNS($AB$1006:AF1006),$AB$1006:$AQ$1006,0)))),"Fix")))</f>
        <v>0</v>
      </c>
      <c r="G520" s="5">
        <f>IF(OR(INDEX($V$2:$V$1001,MATCH(ROWS($U$2:U520),$U$2:$U$1001,0),1)&gt;=100000,INDEX($AB$1005:$AQ$1005,1,MATCH(COLUMNS($AB$1006:AG1006),$AB$1006:$AQ$1006,0))&gt;=100000), " ",IF(INDEX($AB$2:$AQ$1001,MATCH(ROWS($U$2:U520),$U$2:$U$1001,0),MATCH(COLUMNS($AB$1006:AG1006),$AB$1006:$AQ$1006,0)), HYPERLINK("#",""), HYPERLINK(CONCATENATE("#Metadata!", ADDRESS(INDEX($W$2:$W$1001,MATCH(ROWS($U$2:U520),$U$2:$U$1001,0),0), INDEX($AB$1004:$AQ$1004,1,MATCH(COLUMNS($AB$1006:AG1006),$AB$1006:$AQ$1006,0)))),"Fix")))</f>
        <v>0</v>
      </c>
      <c r="H520" s="5">
        <f>IF(OR(INDEX($V$2:$V$1001,MATCH(ROWS($U$2:U520),$U$2:$U$1001,0),1)&gt;=100000,INDEX($AB$1005:$AQ$1005,1,MATCH(COLUMNS($AB$1006:AH1006),$AB$1006:$AQ$1006,0))&gt;=100000), " ",IF(INDEX($AB$2:$AQ$1001,MATCH(ROWS($U$2:U520),$U$2:$U$1001,0),MATCH(COLUMNS($AB$1006:AH1006),$AB$1006:$AQ$1006,0)), HYPERLINK("#",""), HYPERLINK(CONCATENATE("#Metadata!", ADDRESS(INDEX($W$2:$W$1001,MATCH(ROWS($U$2:U520),$U$2:$U$1001,0),0), INDEX($AB$1004:$AQ$1004,1,MATCH(COLUMNS($AB$1006:AH1006),$AB$1006:$AQ$1006,0)))),"Fix")))</f>
        <v>0</v>
      </c>
      <c r="I520" s="5">
        <f>IF(OR(INDEX($V$2:$V$1001,MATCH(ROWS($U$2:U520),$U$2:$U$1001,0),1)&gt;=100000,INDEX($AB$1005:$AQ$1005,1,MATCH(COLUMNS($AB$1006:AI1006),$AB$1006:$AQ$1006,0))&gt;=100000), " ",IF(INDEX($AB$2:$AQ$1001,MATCH(ROWS($U$2:U520),$U$2:$U$1001,0),MATCH(COLUMNS($AB$1006:AI1006),$AB$1006:$AQ$1006,0)), HYPERLINK("#",""), HYPERLINK(CONCATENATE("#Metadata!", ADDRESS(INDEX($W$2:$W$1001,MATCH(ROWS($U$2:U520),$U$2:$U$1001,0),0), INDEX($AB$1004:$AQ$1004,1,MATCH(COLUMNS($AB$1006:AI1006),$AB$1006:$AQ$1006,0)))),"Fix")))</f>
        <v>0</v>
      </c>
      <c r="J520" s="5">
        <f>IF(OR(INDEX($V$2:$V$1001,MATCH(ROWS($U$2:U520),$U$2:$U$1001,0),1)&gt;=100000,INDEX($AB$1005:$AQ$1005,1,MATCH(COLUMNS($AB$1006:AJ1006),$AB$1006:$AQ$1006,0))&gt;=100000), " ",IF(INDEX($AB$2:$AQ$1001,MATCH(ROWS($U$2:U520),$U$2:$U$1001,0),MATCH(COLUMNS($AB$1006:AJ1006),$AB$1006:$AQ$1006,0)), HYPERLINK("#",""), HYPERLINK(CONCATENATE("#Metadata!", ADDRESS(INDEX($W$2:$W$1001,MATCH(ROWS($U$2:U520),$U$2:$U$1001,0),0), INDEX($AB$1004:$AQ$1004,1,MATCH(COLUMNS($AB$1006:AJ1006),$AB$1006:$AQ$1006,0)))),"Fix")))</f>
        <v>0</v>
      </c>
      <c r="K520" s="5">
        <f>IF(OR(INDEX($V$2:$V$1001,MATCH(ROWS($U$2:U520),$U$2:$U$1001,0),1)&gt;=100000,INDEX($AB$1005:$AQ$1005,1,MATCH(COLUMNS($AB$1006:AK1006),$AB$1006:$AQ$1006,0))&gt;=100000), " ",IF(INDEX($AB$2:$AQ$1001,MATCH(ROWS($U$2:U520),$U$2:$U$1001,0),MATCH(COLUMNS($AB$1006:AK1006),$AB$1006:$AQ$1006,0)), HYPERLINK("#",""), HYPERLINK(CONCATENATE("#Metadata!", ADDRESS(INDEX($W$2:$W$1001,MATCH(ROWS($U$2:U520),$U$2:$U$1001,0),0), INDEX($AB$1004:$AQ$1004,1,MATCH(COLUMNS($AB$1006:AK1006),$AB$1006:$AQ$1006,0)))),"Fix")))</f>
        <v>0</v>
      </c>
      <c r="L520" s="5">
        <f>IF(OR(INDEX($V$2:$V$1001,MATCH(ROWS($U$2:U520),$U$2:$U$1001,0),1)&gt;=100000,INDEX($AB$1005:$AQ$1005,1,MATCH(COLUMNS($AB$1006:AL1006),$AB$1006:$AQ$1006,0))&gt;=100000), " ",IF(INDEX($AB$2:$AQ$1001,MATCH(ROWS($U$2:U520),$U$2:$U$1001,0),MATCH(COLUMNS($AB$1006:AL1006),$AB$1006:$AQ$1006,0)), HYPERLINK("#",""), HYPERLINK(CONCATENATE("#Metadata!", ADDRESS(INDEX($W$2:$W$1001,MATCH(ROWS($U$2:U520),$U$2:$U$1001,0),0), INDEX($AB$1004:$AQ$1004,1,MATCH(COLUMNS($AB$1006:AL1006),$AB$1006:$AQ$1006,0)))),"Fix")))</f>
        <v>0</v>
      </c>
      <c r="M520" s="5">
        <f>IF(OR(INDEX($V$2:$V$1001,MATCH(ROWS($U$2:U520),$U$2:$U$1001,0),1)&gt;=100000,INDEX($AB$1005:$AQ$1005,1,MATCH(COLUMNS($AB$1006:AM1006),$AB$1006:$AQ$1006,0))&gt;=100000), " ",IF(INDEX($AB$2:$AQ$1001,MATCH(ROWS($U$2:U520),$U$2:$U$1001,0),MATCH(COLUMNS($AB$1006:AM1006),$AB$1006:$AQ$1006,0)), HYPERLINK("#",""), HYPERLINK(CONCATENATE("#Metadata!", ADDRESS(INDEX($W$2:$W$1001,MATCH(ROWS($U$2:U520),$U$2:$U$1001,0),0), INDEX($AB$1004:$AQ$1004,1,MATCH(COLUMNS($AB$1006:AM1006),$AB$1006:$AQ$1006,0)))),"Fix")))</f>
        <v>0</v>
      </c>
      <c r="N520" s="5">
        <f>IF(OR(INDEX($V$2:$V$1001,MATCH(ROWS($U$2:U520),$U$2:$U$1001,0),1)&gt;=100000,INDEX($AB$1005:$AQ$1005,1,MATCH(COLUMNS($AB$1006:AN1006),$AB$1006:$AQ$1006,0))&gt;=100000), " ",IF(INDEX($AB$2:$AQ$1001,MATCH(ROWS($U$2:U520),$U$2:$U$1001,0),MATCH(COLUMNS($AB$1006:AN1006),$AB$1006:$AQ$1006,0)), HYPERLINK("#",""), HYPERLINK(CONCATENATE("#Metadata!", ADDRESS(INDEX($W$2:$W$1001,MATCH(ROWS($U$2:U520),$U$2:$U$1001,0),0), INDEX($AB$1004:$AQ$1004,1,MATCH(COLUMNS($AB$1006:AN1006),$AB$1006:$AQ$1006,0)))),"Fix")))</f>
        <v>0</v>
      </c>
      <c r="O520" s="5">
        <f>IF(OR(INDEX($V$2:$V$1001,MATCH(ROWS($U$2:U520),$U$2:$U$1001,0),1)&gt;=100000,INDEX($AB$1005:$AQ$1005,1,MATCH(COLUMNS($AB$1006:AO1006),$AB$1006:$AQ$1006,0))&gt;=100000), " ",IF(INDEX($AB$2:$AQ$1001,MATCH(ROWS($U$2:U520),$U$2:$U$1001,0),MATCH(COLUMNS($AB$1006:AO1006),$AB$1006:$AQ$1006,0)), HYPERLINK("#",""), HYPERLINK(CONCATENATE("#Metadata!", ADDRESS(INDEX($W$2:$W$1001,MATCH(ROWS($U$2:U520),$U$2:$U$1001,0),0), INDEX($AB$1004:$AQ$1004,1,MATCH(COLUMNS($AB$1006:AO1006),$AB$1006:$AQ$1006,0)))),"Fix")))</f>
        <v>0</v>
      </c>
      <c r="P520" s="5">
        <f>IF(OR(INDEX($V$2:$V$1001,MATCH(ROWS($U$2:U520),$U$2:$U$1001,0),1)&gt;=100000,INDEX($AB$1005:$AQ$1005,1,MATCH(COLUMNS($AB$1006:AP1006),$AB$1006:$AQ$1006,0))&gt;=100000), " ",IF(INDEX($AB$2:$AQ$1001,MATCH(ROWS($U$2:U520),$U$2:$U$1001,0),MATCH(COLUMNS($AB$1006:AP1006),$AB$1006:$AQ$1006,0)), HYPERLINK("#",""), HYPERLINK(CONCATENATE("#Metadata!", ADDRESS(INDEX($W$2:$W$1001,MATCH(ROWS($U$2:U520),$U$2:$U$1001,0),0), INDEX($AB$1004:$AQ$1004,1,MATCH(COLUMNS($AB$1006:AP1006),$AB$1006:$AQ$1006,0)))),"Fix")))</f>
        <v>0</v>
      </c>
      <c r="Q520" s="5">
        <f>IF(OR(INDEX($V$2:$V$1001,MATCH(ROWS($U$2:U520),$U$2:$U$1001,0),1)&gt;=100000,INDEX($AB$1005:$AQ$1005,1,MATCH(COLUMNS($AB$1006:AQ1006),$AB$1006:$AQ$1006,0))&gt;=100000), " ",IF(INDEX($AB$2:$AQ$1001,MATCH(ROWS($U$2:U520),$U$2:$U$1001,0),MATCH(COLUMNS($AB$1006:AQ1006),$AB$1006:$AQ$1006,0)), HYPERLINK("#",""), HYPERLINK(CONCATENATE("#Metadata!", ADDRESS(INDEX($W$2:$W$1001,MATCH(ROWS($U$2:U520),$U$2:$U$1001,0),0), INDEX($AB$1004:$AQ$1004,1,MATCH(COLUMNS($AB$1006:AQ1006),$AB$1006:$AQ$1006,0)))),"Fix")))</f>
        <v>0</v>
      </c>
      <c r="U520">
        <v>0</v>
      </c>
      <c r="V520">
        <v>0</v>
      </c>
      <c r="W520">
        <v>0</v>
      </c>
      <c r="X520">
        <f>IF(Y520,TRUE,AND(AB520:AQ520))</f>
        <v>0</v>
      </c>
      <c r="Y520">
        <f>COUNTBLANK(Metadata!B520:Q520)=COLUMNS(Metadata!B520:Q520)</f>
        <v>0</v>
      </c>
      <c r="Z520">
        <v>0</v>
      </c>
      <c r="AB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AC520">
        <f>AND(IF(Metadata!C520="",FALSE,TRUE),exact(Metadata!C520,"urban biome"))</f>
        <v>0</v>
      </c>
      <c r="AD520">
        <f>AND(IF(Metadata!D520="",FALSE,TRUE),exact(Metadata!D520,"human-associated habitat"))</f>
        <v>0</v>
      </c>
      <c r="AE520">
        <f>AND(IF(Metadata!E520="",FALSE,TRUE),OR(exact(Metadata!E520,"human-associated"),exact(Metadata!E520,"human-skin"),exact(Metadata!E520,"human-oral"),exact(Metadata!E520,"human-gut"),exact(Metadata!E520,"human-vaginal")))</f>
        <v>0</v>
      </c>
      <c r="AF520">
        <f>AND(IF(Metadata!F520="",FALSE,ISNUMBER(VALUE(Metadata!F520))),Metadata!F520&gt;0)</f>
        <v>0</v>
      </c>
      <c r="AG520">
        <f>AND(IF(Metadata!G520="",FALSE,TRUE),exact(Metadata!G520,"years"))</f>
        <v>0</v>
      </c>
      <c r="AH520">
        <f>OR(AND(IF(Metadata!H520="",FALSE,TRUE),OR(exact(Metadata!H520,"not applicable"),exact(Metadata!H520,"not collected"),exact(Metadata!H520,"not provided"),exact(Metadata!H520,"restricted access"))),AND(IF(Metadata!H520="",FALSE,ISNUMBER(VALUE(Metadata!H520))),Metadata!H520&gt;0))</f>
        <v>0</v>
      </c>
      <c r="AI520">
        <f>AND(IF(Metadata!I520="",FALSE,TRUE),exact(Metadata!I520,"human"))</f>
        <v>0</v>
      </c>
      <c r="AJ520">
        <f>AND(IF(Metadata!J520="",FALSE,ISNUMBER(VALUE(Metadata!J520))),Metadata!J520&gt;0)</f>
        <v>0</v>
      </c>
      <c r="AK520">
        <f>AND(IF(Metadata!K520="",FALSE,TRUE),exact(Metadata!K520,"cm"))</f>
        <v>0</v>
      </c>
      <c r="AL520">
        <f>AND(IF(Metadata!L520="",FALSE,TRUE),exact(Metadata!L520,"Homo sapiens"))</f>
        <v>0</v>
      </c>
      <c r="AM520">
        <f>AND(IF(Metadata!M520="",FALSE,TRUE),exact(Metadata!M520,"9606"))</f>
        <v>0</v>
      </c>
      <c r="AN520">
        <f>AND(IF(Metadata!N520="",FALSE,ISNUMBER(VALUE(Metadata!N520))),Metadata!N520&gt;0)</f>
        <v>0</v>
      </c>
      <c r="AO520">
        <f>AND(IF(Metadata!O520="",FALSE,TRUE),exact(Metadata!O520,"kg"))</f>
        <v>0</v>
      </c>
      <c r="AP520">
        <f>OR(AND(IF(Metadata!P520="",FALSE,TRUE),exact(Metadata!P520,"not provided")),IF(Metadata!P520="",FALSE,TRUE))</f>
        <v>0</v>
      </c>
      <c r="AQ520">
        <f>OR(AND(IF(Metadata!Q520="",FALSE,TRUE),exact(Metadata!Q520,"not provided")),IF(Metadata!Q520="",FALSE,TRUE))</f>
        <v>0</v>
      </c>
    </row>
    <row r="521" spans="1:43">
      <c r="A521" s="4">
        <f>IF(B521=" "," ",HYPERLINK(CONCATENATE("#metadata!",ADDRESS(INDEX($W$2:$W$1001,MATCH(ROWS($U$2:U521),$U$2:$U$1001,0),0),2)),INDEX($Z$2:$Z$1001,MATCH(ROWS($U$2:U521),$U$2:$U$1001,0),0)))</f>
        <v>0</v>
      </c>
      <c r="B521" s="5">
        <f>IF(OR(INDEX($V$2:$V$1001,MATCH(ROWS($U$2:U521),$U$2:$U$1001,0),1)&gt;=100000,INDEX($AB$1005:$AQ$1005,1,MATCH(COLUMNS($AB$1006:AB1006),$AB$1006:$AQ$1006,0))&gt;=100000), " ",IF(INDEX($AB$2:$AQ$1001,MATCH(ROWS($U$2:U521),$U$2:$U$1001,0),MATCH(COLUMNS($AB$1006:AB1006),$AB$1006:$AQ$1006,0)), HYPERLINK("#",""), HYPERLINK(CONCATENATE("#Metadata!", ADDRESS(INDEX($W$2:$W$1001,MATCH(ROWS($U$2:U521),$U$2:$U$1001,0),0), INDEX($AB$1004:$AQ$1004,1,MATCH(COLUMNS($AB$1006:AB1006),$AB$1006:$AQ$1006,0)))),"Fix")))</f>
        <v>0</v>
      </c>
      <c r="C521" s="5">
        <f>IF(OR(INDEX($V$2:$V$1001,MATCH(ROWS($U$2:U521),$U$2:$U$1001,0),1)&gt;=100000,INDEX($AB$1005:$AQ$1005,1,MATCH(COLUMNS($AB$1006:AC1006),$AB$1006:$AQ$1006,0))&gt;=100000), " ",IF(INDEX($AB$2:$AQ$1001,MATCH(ROWS($U$2:U521),$U$2:$U$1001,0),MATCH(COLUMNS($AB$1006:AC1006),$AB$1006:$AQ$1006,0)), HYPERLINK("#",""), HYPERLINK(CONCATENATE("#Metadata!", ADDRESS(INDEX($W$2:$W$1001,MATCH(ROWS($U$2:U521),$U$2:$U$1001,0),0), INDEX($AB$1004:$AQ$1004,1,MATCH(COLUMNS($AB$1006:AC1006),$AB$1006:$AQ$1006,0)))),"Fix")))</f>
        <v>0</v>
      </c>
      <c r="D521" s="5">
        <f>IF(OR(INDEX($V$2:$V$1001,MATCH(ROWS($U$2:U521),$U$2:$U$1001,0),1)&gt;=100000,INDEX($AB$1005:$AQ$1005,1,MATCH(COLUMNS($AB$1006:AD1006),$AB$1006:$AQ$1006,0))&gt;=100000), " ",IF(INDEX($AB$2:$AQ$1001,MATCH(ROWS($U$2:U521),$U$2:$U$1001,0),MATCH(COLUMNS($AB$1006:AD1006),$AB$1006:$AQ$1006,0)), HYPERLINK("#",""), HYPERLINK(CONCATENATE("#Metadata!", ADDRESS(INDEX($W$2:$W$1001,MATCH(ROWS($U$2:U521),$U$2:$U$1001,0),0), INDEX($AB$1004:$AQ$1004,1,MATCH(COLUMNS($AB$1006:AD1006),$AB$1006:$AQ$1006,0)))),"Fix")))</f>
        <v>0</v>
      </c>
      <c r="E521" s="5">
        <f>IF(OR(INDEX($V$2:$V$1001,MATCH(ROWS($U$2:U521),$U$2:$U$1001,0),1)&gt;=100000,INDEX($AB$1005:$AQ$1005,1,MATCH(COLUMNS($AB$1006:AE1006),$AB$1006:$AQ$1006,0))&gt;=100000), " ",IF(INDEX($AB$2:$AQ$1001,MATCH(ROWS($U$2:U521),$U$2:$U$1001,0),MATCH(COLUMNS($AB$1006:AE1006),$AB$1006:$AQ$1006,0)), HYPERLINK("#",""), HYPERLINK(CONCATENATE("#Metadata!", ADDRESS(INDEX($W$2:$W$1001,MATCH(ROWS($U$2:U521),$U$2:$U$1001,0),0), INDEX($AB$1004:$AQ$1004,1,MATCH(COLUMNS($AB$1006:AE1006),$AB$1006:$AQ$1006,0)))),"Fix")))</f>
        <v>0</v>
      </c>
      <c r="F521" s="5">
        <f>IF(OR(INDEX($V$2:$V$1001,MATCH(ROWS($U$2:U521),$U$2:$U$1001,0),1)&gt;=100000,INDEX($AB$1005:$AQ$1005,1,MATCH(COLUMNS($AB$1006:AF1006),$AB$1006:$AQ$1006,0))&gt;=100000), " ",IF(INDEX($AB$2:$AQ$1001,MATCH(ROWS($U$2:U521),$U$2:$U$1001,0),MATCH(COLUMNS($AB$1006:AF1006),$AB$1006:$AQ$1006,0)), HYPERLINK("#",""), HYPERLINK(CONCATENATE("#Metadata!", ADDRESS(INDEX($W$2:$W$1001,MATCH(ROWS($U$2:U521),$U$2:$U$1001,0),0), INDEX($AB$1004:$AQ$1004,1,MATCH(COLUMNS($AB$1006:AF1006),$AB$1006:$AQ$1006,0)))),"Fix")))</f>
        <v>0</v>
      </c>
      <c r="G521" s="5">
        <f>IF(OR(INDEX($V$2:$V$1001,MATCH(ROWS($U$2:U521),$U$2:$U$1001,0),1)&gt;=100000,INDEX($AB$1005:$AQ$1005,1,MATCH(COLUMNS($AB$1006:AG1006),$AB$1006:$AQ$1006,0))&gt;=100000), " ",IF(INDEX($AB$2:$AQ$1001,MATCH(ROWS($U$2:U521),$U$2:$U$1001,0),MATCH(COLUMNS($AB$1006:AG1006),$AB$1006:$AQ$1006,0)), HYPERLINK("#",""), HYPERLINK(CONCATENATE("#Metadata!", ADDRESS(INDEX($W$2:$W$1001,MATCH(ROWS($U$2:U521),$U$2:$U$1001,0),0), INDEX($AB$1004:$AQ$1004,1,MATCH(COLUMNS($AB$1006:AG1006),$AB$1006:$AQ$1006,0)))),"Fix")))</f>
        <v>0</v>
      </c>
      <c r="H521" s="5">
        <f>IF(OR(INDEX($V$2:$V$1001,MATCH(ROWS($U$2:U521),$U$2:$U$1001,0),1)&gt;=100000,INDEX($AB$1005:$AQ$1005,1,MATCH(COLUMNS($AB$1006:AH1006),$AB$1006:$AQ$1006,0))&gt;=100000), " ",IF(INDEX($AB$2:$AQ$1001,MATCH(ROWS($U$2:U521),$U$2:$U$1001,0),MATCH(COLUMNS($AB$1006:AH1006),$AB$1006:$AQ$1006,0)), HYPERLINK("#",""), HYPERLINK(CONCATENATE("#Metadata!", ADDRESS(INDEX($W$2:$W$1001,MATCH(ROWS($U$2:U521),$U$2:$U$1001,0),0), INDEX($AB$1004:$AQ$1004,1,MATCH(COLUMNS($AB$1006:AH1006),$AB$1006:$AQ$1006,0)))),"Fix")))</f>
        <v>0</v>
      </c>
      <c r="I521" s="5">
        <f>IF(OR(INDEX($V$2:$V$1001,MATCH(ROWS($U$2:U521),$U$2:$U$1001,0),1)&gt;=100000,INDEX($AB$1005:$AQ$1005,1,MATCH(COLUMNS($AB$1006:AI1006),$AB$1006:$AQ$1006,0))&gt;=100000), " ",IF(INDEX($AB$2:$AQ$1001,MATCH(ROWS($U$2:U521),$U$2:$U$1001,0),MATCH(COLUMNS($AB$1006:AI1006),$AB$1006:$AQ$1006,0)), HYPERLINK("#",""), HYPERLINK(CONCATENATE("#Metadata!", ADDRESS(INDEX($W$2:$W$1001,MATCH(ROWS($U$2:U521),$U$2:$U$1001,0),0), INDEX($AB$1004:$AQ$1004,1,MATCH(COLUMNS($AB$1006:AI1006),$AB$1006:$AQ$1006,0)))),"Fix")))</f>
        <v>0</v>
      </c>
      <c r="J521" s="5">
        <f>IF(OR(INDEX($V$2:$V$1001,MATCH(ROWS($U$2:U521),$U$2:$U$1001,0),1)&gt;=100000,INDEX($AB$1005:$AQ$1005,1,MATCH(COLUMNS($AB$1006:AJ1006),$AB$1006:$AQ$1006,0))&gt;=100000), " ",IF(INDEX($AB$2:$AQ$1001,MATCH(ROWS($U$2:U521),$U$2:$U$1001,0),MATCH(COLUMNS($AB$1006:AJ1006),$AB$1006:$AQ$1006,0)), HYPERLINK("#",""), HYPERLINK(CONCATENATE("#Metadata!", ADDRESS(INDEX($W$2:$W$1001,MATCH(ROWS($U$2:U521),$U$2:$U$1001,0),0), INDEX($AB$1004:$AQ$1004,1,MATCH(COLUMNS($AB$1006:AJ1006),$AB$1006:$AQ$1006,0)))),"Fix")))</f>
        <v>0</v>
      </c>
      <c r="K521" s="5">
        <f>IF(OR(INDEX($V$2:$V$1001,MATCH(ROWS($U$2:U521),$U$2:$U$1001,0),1)&gt;=100000,INDEX($AB$1005:$AQ$1005,1,MATCH(COLUMNS($AB$1006:AK1006),$AB$1006:$AQ$1006,0))&gt;=100000), " ",IF(INDEX($AB$2:$AQ$1001,MATCH(ROWS($U$2:U521),$U$2:$U$1001,0),MATCH(COLUMNS($AB$1006:AK1006),$AB$1006:$AQ$1006,0)), HYPERLINK("#",""), HYPERLINK(CONCATENATE("#Metadata!", ADDRESS(INDEX($W$2:$W$1001,MATCH(ROWS($U$2:U521),$U$2:$U$1001,0),0), INDEX($AB$1004:$AQ$1004,1,MATCH(COLUMNS($AB$1006:AK1006),$AB$1006:$AQ$1006,0)))),"Fix")))</f>
        <v>0</v>
      </c>
      <c r="L521" s="5">
        <f>IF(OR(INDEX($V$2:$V$1001,MATCH(ROWS($U$2:U521),$U$2:$U$1001,0),1)&gt;=100000,INDEX($AB$1005:$AQ$1005,1,MATCH(COLUMNS($AB$1006:AL1006),$AB$1006:$AQ$1006,0))&gt;=100000), " ",IF(INDEX($AB$2:$AQ$1001,MATCH(ROWS($U$2:U521),$U$2:$U$1001,0),MATCH(COLUMNS($AB$1006:AL1006),$AB$1006:$AQ$1006,0)), HYPERLINK("#",""), HYPERLINK(CONCATENATE("#Metadata!", ADDRESS(INDEX($W$2:$W$1001,MATCH(ROWS($U$2:U521),$U$2:$U$1001,0),0), INDEX($AB$1004:$AQ$1004,1,MATCH(COLUMNS($AB$1006:AL1006),$AB$1006:$AQ$1006,0)))),"Fix")))</f>
        <v>0</v>
      </c>
      <c r="M521" s="5">
        <f>IF(OR(INDEX($V$2:$V$1001,MATCH(ROWS($U$2:U521),$U$2:$U$1001,0),1)&gt;=100000,INDEX($AB$1005:$AQ$1005,1,MATCH(COLUMNS($AB$1006:AM1006),$AB$1006:$AQ$1006,0))&gt;=100000), " ",IF(INDEX($AB$2:$AQ$1001,MATCH(ROWS($U$2:U521),$U$2:$U$1001,0),MATCH(COLUMNS($AB$1006:AM1006),$AB$1006:$AQ$1006,0)), HYPERLINK("#",""), HYPERLINK(CONCATENATE("#Metadata!", ADDRESS(INDEX($W$2:$W$1001,MATCH(ROWS($U$2:U521),$U$2:$U$1001,0),0), INDEX($AB$1004:$AQ$1004,1,MATCH(COLUMNS($AB$1006:AM1006),$AB$1006:$AQ$1006,0)))),"Fix")))</f>
        <v>0</v>
      </c>
      <c r="N521" s="5">
        <f>IF(OR(INDEX($V$2:$V$1001,MATCH(ROWS($U$2:U521),$U$2:$U$1001,0),1)&gt;=100000,INDEX($AB$1005:$AQ$1005,1,MATCH(COLUMNS($AB$1006:AN1006),$AB$1006:$AQ$1006,0))&gt;=100000), " ",IF(INDEX($AB$2:$AQ$1001,MATCH(ROWS($U$2:U521),$U$2:$U$1001,0),MATCH(COLUMNS($AB$1006:AN1006),$AB$1006:$AQ$1006,0)), HYPERLINK("#",""), HYPERLINK(CONCATENATE("#Metadata!", ADDRESS(INDEX($W$2:$W$1001,MATCH(ROWS($U$2:U521),$U$2:$U$1001,0),0), INDEX($AB$1004:$AQ$1004,1,MATCH(COLUMNS($AB$1006:AN1006),$AB$1006:$AQ$1006,0)))),"Fix")))</f>
        <v>0</v>
      </c>
      <c r="O521" s="5">
        <f>IF(OR(INDEX($V$2:$V$1001,MATCH(ROWS($U$2:U521),$U$2:$U$1001,0),1)&gt;=100000,INDEX($AB$1005:$AQ$1005,1,MATCH(COLUMNS($AB$1006:AO1006),$AB$1006:$AQ$1006,0))&gt;=100000), " ",IF(INDEX($AB$2:$AQ$1001,MATCH(ROWS($U$2:U521),$U$2:$U$1001,0),MATCH(COLUMNS($AB$1006:AO1006),$AB$1006:$AQ$1006,0)), HYPERLINK("#",""), HYPERLINK(CONCATENATE("#Metadata!", ADDRESS(INDEX($W$2:$W$1001,MATCH(ROWS($U$2:U521),$U$2:$U$1001,0),0), INDEX($AB$1004:$AQ$1004,1,MATCH(COLUMNS($AB$1006:AO1006),$AB$1006:$AQ$1006,0)))),"Fix")))</f>
        <v>0</v>
      </c>
      <c r="P521" s="5">
        <f>IF(OR(INDEX($V$2:$V$1001,MATCH(ROWS($U$2:U521),$U$2:$U$1001,0),1)&gt;=100000,INDEX($AB$1005:$AQ$1005,1,MATCH(COLUMNS($AB$1006:AP1006),$AB$1006:$AQ$1006,0))&gt;=100000), " ",IF(INDEX($AB$2:$AQ$1001,MATCH(ROWS($U$2:U521),$U$2:$U$1001,0),MATCH(COLUMNS($AB$1006:AP1006),$AB$1006:$AQ$1006,0)), HYPERLINK("#",""), HYPERLINK(CONCATENATE("#Metadata!", ADDRESS(INDEX($W$2:$W$1001,MATCH(ROWS($U$2:U521),$U$2:$U$1001,0),0), INDEX($AB$1004:$AQ$1004,1,MATCH(COLUMNS($AB$1006:AP1006),$AB$1006:$AQ$1006,0)))),"Fix")))</f>
        <v>0</v>
      </c>
      <c r="Q521" s="5">
        <f>IF(OR(INDEX($V$2:$V$1001,MATCH(ROWS($U$2:U521),$U$2:$U$1001,0),1)&gt;=100000,INDEX($AB$1005:$AQ$1005,1,MATCH(COLUMNS($AB$1006:AQ1006),$AB$1006:$AQ$1006,0))&gt;=100000), " ",IF(INDEX($AB$2:$AQ$1001,MATCH(ROWS($U$2:U521),$U$2:$U$1001,0),MATCH(COLUMNS($AB$1006:AQ1006),$AB$1006:$AQ$1006,0)), HYPERLINK("#",""), HYPERLINK(CONCATENATE("#Metadata!", ADDRESS(INDEX($W$2:$W$1001,MATCH(ROWS($U$2:U521),$U$2:$U$1001,0),0), INDEX($AB$1004:$AQ$1004,1,MATCH(COLUMNS($AB$1006:AQ1006),$AB$1006:$AQ$1006,0)))),"Fix")))</f>
        <v>0</v>
      </c>
      <c r="U521">
        <v>0</v>
      </c>
      <c r="V521">
        <v>0</v>
      </c>
      <c r="W521">
        <v>0</v>
      </c>
      <c r="X521">
        <f>IF(Y521,TRUE,AND(AB521:AQ521))</f>
        <v>0</v>
      </c>
      <c r="Y521">
        <f>COUNTBLANK(Metadata!B521:Q521)=COLUMNS(Metadata!B521:Q521)</f>
        <v>0</v>
      </c>
      <c r="Z521">
        <v>0</v>
      </c>
      <c r="AB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AC521">
        <f>AND(IF(Metadata!C521="",FALSE,TRUE),exact(Metadata!C521,"urban biome"))</f>
        <v>0</v>
      </c>
      <c r="AD521">
        <f>AND(IF(Metadata!D521="",FALSE,TRUE),exact(Metadata!D521,"human-associated habitat"))</f>
        <v>0</v>
      </c>
      <c r="AE521">
        <f>AND(IF(Metadata!E521="",FALSE,TRUE),OR(exact(Metadata!E521,"human-associated"),exact(Metadata!E521,"human-skin"),exact(Metadata!E521,"human-oral"),exact(Metadata!E521,"human-gut"),exact(Metadata!E521,"human-vaginal")))</f>
        <v>0</v>
      </c>
      <c r="AF521">
        <f>AND(IF(Metadata!F521="",FALSE,ISNUMBER(VALUE(Metadata!F521))),Metadata!F521&gt;0)</f>
        <v>0</v>
      </c>
      <c r="AG521">
        <f>AND(IF(Metadata!G521="",FALSE,TRUE),exact(Metadata!G521,"years"))</f>
        <v>0</v>
      </c>
      <c r="AH521">
        <f>OR(AND(IF(Metadata!H521="",FALSE,TRUE),OR(exact(Metadata!H521,"not applicable"),exact(Metadata!H521,"not collected"),exact(Metadata!H521,"not provided"),exact(Metadata!H521,"restricted access"))),AND(IF(Metadata!H521="",FALSE,ISNUMBER(VALUE(Metadata!H521))),Metadata!H521&gt;0))</f>
        <v>0</v>
      </c>
      <c r="AI521">
        <f>AND(IF(Metadata!I521="",FALSE,TRUE),exact(Metadata!I521,"human"))</f>
        <v>0</v>
      </c>
      <c r="AJ521">
        <f>AND(IF(Metadata!J521="",FALSE,ISNUMBER(VALUE(Metadata!J521))),Metadata!J521&gt;0)</f>
        <v>0</v>
      </c>
      <c r="AK521">
        <f>AND(IF(Metadata!K521="",FALSE,TRUE),exact(Metadata!K521,"cm"))</f>
        <v>0</v>
      </c>
      <c r="AL521">
        <f>AND(IF(Metadata!L521="",FALSE,TRUE),exact(Metadata!L521,"Homo sapiens"))</f>
        <v>0</v>
      </c>
      <c r="AM521">
        <f>AND(IF(Metadata!M521="",FALSE,TRUE),exact(Metadata!M521,"9606"))</f>
        <v>0</v>
      </c>
      <c r="AN521">
        <f>AND(IF(Metadata!N521="",FALSE,ISNUMBER(VALUE(Metadata!N521))),Metadata!N521&gt;0)</f>
        <v>0</v>
      </c>
      <c r="AO521">
        <f>AND(IF(Metadata!O521="",FALSE,TRUE),exact(Metadata!O521,"kg"))</f>
        <v>0</v>
      </c>
      <c r="AP521">
        <f>OR(AND(IF(Metadata!P521="",FALSE,TRUE),exact(Metadata!P521,"not provided")),IF(Metadata!P521="",FALSE,TRUE))</f>
        <v>0</v>
      </c>
      <c r="AQ521">
        <f>OR(AND(IF(Metadata!Q521="",FALSE,TRUE),exact(Metadata!Q521,"not provided")),IF(Metadata!Q521="",FALSE,TRUE))</f>
        <v>0</v>
      </c>
    </row>
    <row r="522" spans="1:43">
      <c r="A522" s="4">
        <f>IF(B522=" "," ",HYPERLINK(CONCATENATE("#metadata!",ADDRESS(INDEX($W$2:$W$1001,MATCH(ROWS($U$2:U522),$U$2:$U$1001,0),0),2)),INDEX($Z$2:$Z$1001,MATCH(ROWS($U$2:U522),$U$2:$U$1001,0),0)))</f>
        <v>0</v>
      </c>
      <c r="B522" s="5">
        <f>IF(OR(INDEX($V$2:$V$1001,MATCH(ROWS($U$2:U522),$U$2:$U$1001,0),1)&gt;=100000,INDEX($AB$1005:$AQ$1005,1,MATCH(COLUMNS($AB$1006:AB1006),$AB$1006:$AQ$1006,0))&gt;=100000), " ",IF(INDEX($AB$2:$AQ$1001,MATCH(ROWS($U$2:U522),$U$2:$U$1001,0),MATCH(COLUMNS($AB$1006:AB1006),$AB$1006:$AQ$1006,0)), HYPERLINK("#",""), HYPERLINK(CONCATENATE("#Metadata!", ADDRESS(INDEX($W$2:$W$1001,MATCH(ROWS($U$2:U522),$U$2:$U$1001,0),0), INDEX($AB$1004:$AQ$1004,1,MATCH(COLUMNS($AB$1006:AB1006),$AB$1006:$AQ$1006,0)))),"Fix")))</f>
        <v>0</v>
      </c>
      <c r="C522" s="5">
        <f>IF(OR(INDEX($V$2:$V$1001,MATCH(ROWS($U$2:U522),$U$2:$U$1001,0),1)&gt;=100000,INDEX($AB$1005:$AQ$1005,1,MATCH(COLUMNS($AB$1006:AC1006),$AB$1006:$AQ$1006,0))&gt;=100000), " ",IF(INDEX($AB$2:$AQ$1001,MATCH(ROWS($U$2:U522),$U$2:$U$1001,0),MATCH(COLUMNS($AB$1006:AC1006),$AB$1006:$AQ$1006,0)), HYPERLINK("#",""), HYPERLINK(CONCATENATE("#Metadata!", ADDRESS(INDEX($W$2:$W$1001,MATCH(ROWS($U$2:U522),$U$2:$U$1001,0),0), INDEX($AB$1004:$AQ$1004,1,MATCH(COLUMNS($AB$1006:AC1006),$AB$1006:$AQ$1006,0)))),"Fix")))</f>
        <v>0</v>
      </c>
      <c r="D522" s="5">
        <f>IF(OR(INDEX($V$2:$V$1001,MATCH(ROWS($U$2:U522),$U$2:$U$1001,0),1)&gt;=100000,INDEX($AB$1005:$AQ$1005,1,MATCH(COLUMNS($AB$1006:AD1006),$AB$1006:$AQ$1006,0))&gt;=100000), " ",IF(INDEX($AB$2:$AQ$1001,MATCH(ROWS($U$2:U522),$U$2:$U$1001,0),MATCH(COLUMNS($AB$1006:AD1006),$AB$1006:$AQ$1006,0)), HYPERLINK("#",""), HYPERLINK(CONCATENATE("#Metadata!", ADDRESS(INDEX($W$2:$W$1001,MATCH(ROWS($U$2:U522),$U$2:$U$1001,0),0), INDEX($AB$1004:$AQ$1004,1,MATCH(COLUMNS($AB$1006:AD1006),$AB$1006:$AQ$1006,0)))),"Fix")))</f>
        <v>0</v>
      </c>
      <c r="E522" s="5">
        <f>IF(OR(INDEX($V$2:$V$1001,MATCH(ROWS($U$2:U522),$U$2:$U$1001,0),1)&gt;=100000,INDEX($AB$1005:$AQ$1005,1,MATCH(COLUMNS($AB$1006:AE1006),$AB$1006:$AQ$1006,0))&gt;=100000), " ",IF(INDEX($AB$2:$AQ$1001,MATCH(ROWS($U$2:U522),$U$2:$U$1001,0),MATCH(COLUMNS($AB$1006:AE1006),$AB$1006:$AQ$1006,0)), HYPERLINK("#",""), HYPERLINK(CONCATENATE("#Metadata!", ADDRESS(INDEX($W$2:$W$1001,MATCH(ROWS($U$2:U522),$U$2:$U$1001,0),0), INDEX($AB$1004:$AQ$1004,1,MATCH(COLUMNS($AB$1006:AE1006),$AB$1006:$AQ$1006,0)))),"Fix")))</f>
        <v>0</v>
      </c>
      <c r="F522" s="5">
        <f>IF(OR(INDEX($V$2:$V$1001,MATCH(ROWS($U$2:U522),$U$2:$U$1001,0),1)&gt;=100000,INDEX($AB$1005:$AQ$1005,1,MATCH(COLUMNS($AB$1006:AF1006),$AB$1006:$AQ$1006,0))&gt;=100000), " ",IF(INDEX($AB$2:$AQ$1001,MATCH(ROWS($U$2:U522),$U$2:$U$1001,0),MATCH(COLUMNS($AB$1006:AF1006),$AB$1006:$AQ$1006,0)), HYPERLINK("#",""), HYPERLINK(CONCATENATE("#Metadata!", ADDRESS(INDEX($W$2:$W$1001,MATCH(ROWS($U$2:U522),$U$2:$U$1001,0),0), INDEX($AB$1004:$AQ$1004,1,MATCH(COLUMNS($AB$1006:AF1006),$AB$1006:$AQ$1006,0)))),"Fix")))</f>
        <v>0</v>
      </c>
      <c r="G522" s="5">
        <f>IF(OR(INDEX($V$2:$V$1001,MATCH(ROWS($U$2:U522),$U$2:$U$1001,0),1)&gt;=100000,INDEX($AB$1005:$AQ$1005,1,MATCH(COLUMNS($AB$1006:AG1006),$AB$1006:$AQ$1006,0))&gt;=100000), " ",IF(INDEX($AB$2:$AQ$1001,MATCH(ROWS($U$2:U522),$U$2:$U$1001,0),MATCH(COLUMNS($AB$1006:AG1006),$AB$1006:$AQ$1006,0)), HYPERLINK("#",""), HYPERLINK(CONCATENATE("#Metadata!", ADDRESS(INDEX($W$2:$W$1001,MATCH(ROWS($U$2:U522),$U$2:$U$1001,0),0), INDEX($AB$1004:$AQ$1004,1,MATCH(COLUMNS($AB$1006:AG1006),$AB$1006:$AQ$1006,0)))),"Fix")))</f>
        <v>0</v>
      </c>
      <c r="H522" s="5">
        <f>IF(OR(INDEX($V$2:$V$1001,MATCH(ROWS($U$2:U522),$U$2:$U$1001,0),1)&gt;=100000,INDEX($AB$1005:$AQ$1005,1,MATCH(COLUMNS($AB$1006:AH1006),$AB$1006:$AQ$1006,0))&gt;=100000), " ",IF(INDEX($AB$2:$AQ$1001,MATCH(ROWS($U$2:U522),$U$2:$U$1001,0),MATCH(COLUMNS($AB$1006:AH1006),$AB$1006:$AQ$1006,0)), HYPERLINK("#",""), HYPERLINK(CONCATENATE("#Metadata!", ADDRESS(INDEX($W$2:$W$1001,MATCH(ROWS($U$2:U522),$U$2:$U$1001,0),0), INDEX($AB$1004:$AQ$1004,1,MATCH(COLUMNS($AB$1006:AH1006),$AB$1006:$AQ$1006,0)))),"Fix")))</f>
        <v>0</v>
      </c>
      <c r="I522" s="5">
        <f>IF(OR(INDEX($V$2:$V$1001,MATCH(ROWS($U$2:U522),$U$2:$U$1001,0),1)&gt;=100000,INDEX($AB$1005:$AQ$1005,1,MATCH(COLUMNS($AB$1006:AI1006),$AB$1006:$AQ$1006,0))&gt;=100000), " ",IF(INDEX($AB$2:$AQ$1001,MATCH(ROWS($U$2:U522),$U$2:$U$1001,0),MATCH(COLUMNS($AB$1006:AI1006),$AB$1006:$AQ$1006,0)), HYPERLINK("#",""), HYPERLINK(CONCATENATE("#Metadata!", ADDRESS(INDEX($W$2:$W$1001,MATCH(ROWS($U$2:U522),$U$2:$U$1001,0),0), INDEX($AB$1004:$AQ$1004,1,MATCH(COLUMNS($AB$1006:AI1006),$AB$1006:$AQ$1006,0)))),"Fix")))</f>
        <v>0</v>
      </c>
      <c r="J522" s="5">
        <f>IF(OR(INDEX($V$2:$V$1001,MATCH(ROWS($U$2:U522),$U$2:$U$1001,0),1)&gt;=100000,INDEX($AB$1005:$AQ$1005,1,MATCH(COLUMNS($AB$1006:AJ1006),$AB$1006:$AQ$1006,0))&gt;=100000), " ",IF(INDEX($AB$2:$AQ$1001,MATCH(ROWS($U$2:U522),$U$2:$U$1001,0),MATCH(COLUMNS($AB$1006:AJ1006),$AB$1006:$AQ$1006,0)), HYPERLINK("#",""), HYPERLINK(CONCATENATE("#Metadata!", ADDRESS(INDEX($W$2:$W$1001,MATCH(ROWS($U$2:U522),$U$2:$U$1001,0),0), INDEX($AB$1004:$AQ$1004,1,MATCH(COLUMNS($AB$1006:AJ1006),$AB$1006:$AQ$1006,0)))),"Fix")))</f>
        <v>0</v>
      </c>
      <c r="K522" s="5">
        <f>IF(OR(INDEX($V$2:$V$1001,MATCH(ROWS($U$2:U522),$U$2:$U$1001,0),1)&gt;=100000,INDEX($AB$1005:$AQ$1005,1,MATCH(COLUMNS($AB$1006:AK1006),$AB$1006:$AQ$1006,0))&gt;=100000), " ",IF(INDEX($AB$2:$AQ$1001,MATCH(ROWS($U$2:U522),$U$2:$U$1001,0),MATCH(COLUMNS($AB$1006:AK1006),$AB$1006:$AQ$1006,0)), HYPERLINK("#",""), HYPERLINK(CONCATENATE("#Metadata!", ADDRESS(INDEX($W$2:$W$1001,MATCH(ROWS($U$2:U522),$U$2:$U$1001,0),0), INDEX($AB$1004:$AQ$1004,1,MATCH(COLUMNS($AB$1006:AK1006),$AB$1006:$AQ$1006,0)))),"Fix")))</f>
        <v>0</v>
      </c>
      <c r="L522" s="5">
        <f>IF(OR(INDEX($V$2:$V$1001,MATCH(ROWS($U$2:U522),$U$2:$U$1001,0),1)&gt;=100000,INDEX($AB$1005:$AQ$1005,1,MATCH(COLUMNS($AB$1006:AL1006),$AB$1006:$AQ$1006,0))&gt;=100000), " ",IF(INDEX($AB$2:$AQ$1001,MATCH(ROWS($U$2:U522),$U$2:$U$1001,0),MATCH(COLUMNS($AB$1006:AL1006),$AB$1006:$AQ$1006,0)), HYPERLINK("#",""), HYPERLINK(CONCATENATE("#Metadata!", ADDRESS(INDEX($W$2:$W$1001,MATCH(ROWS($U$2:U522),$U$2:$U$1001,0),0), INDEX($AB$1004:$AQ$1004,1,MATCH(COLUMNS($AB$1006:AL1006),$AB$1006:$AQ$1006,0)))),"Fix")))</f>
        <v>0</v>
      </c>
      <c r="M522" s="5">
        <f>IF(OR(INDEX($V$2:$V$1001,MATCH(ROWS($U$2:U522),$U$2:$U$1001,0),1)&gt;=100000,INDEX($AB$1005:$AQ$1005,1,MATCH(COLUMNS($AB$1006:AM1006),$AB$1006:$AQ$1006,0))&gt;=100000), " ",IF(INDEX($AB$2:$AQ$1001,MATCH(ROWS($U$2:U522),$U$2:$U$1001,0),MATCH(COLUMNS($AB$1006:AM1006),$AB$1006:$AQ$1006,0)), HYPERLINK("#",""), HYPERLINK(CONCATENATE("#Metadata!", ADDRESS(INDEX($W$2:$W$1001,MATCH(ROWS($U$2:U522),$U$2:$U$1001,0),0), INDEX($AB$1004:$AQ$1004,1,MATCH(COLUMNS($AB$1006:AM1006),$AB$1006:$AQ$1006,0)))),"Fix")))</f>
        <v>0</v>
      </c>
      <c r="N522" s="5">
        <f>IF(OR(INDEX($V$2:$V$1001,MATCH(ROWS($U$2:U522),$U$2:$U$1001,0),1)&gt;=100000,INDEX($AB$1005:$AQ$1005,1,MATCH(COLUMNS($AB$1006:AN1006),$AB$1006:$AQ$1006,0))&gt;=100000), " ",IF(INDEX($AB$2:$AQ$1001,MATCH(ROWS($U$2:U522),$U$2:$U$1001,0),MATCH(COLUMNS($AB$1006:AN1006),$AB$1006:$AQ$1006,0)), HYPERLINK("#",""), HYPERLINK(CONCATENATE("#Metadata!", ADDRESS(INDEX($W$2:$W$1001,MATCH(ROWS($U$2:U522),$U$2:$U$1001,0),0), INDEX($AB$1004:$AQ$1004,1,MATCH(COLUMNS($AB$1006:AN1006),$AB$1006:$AQ$1006,0)))),"Fix")))</f>
        <v>0</v>
      </c>
      <c r="O522" s="5">
        <f>IF(OR(INDEX($V$2:$V$1001,MATCH(ROWS($U$2:U522),$U$2:$U$1001,0),1)&gt;=100000,INDEX($AB$1005:$AQ$1005,1,MATCH(COLUMNS($AB$1006:AO1006),$AB$1006:$AQ$1006,0))&gt;=100000), " ",IF(INDEX($AB$2:$AQ$1001,MATCH(ROWS($U$2:U522),$U$2:$U$1001,0),MATCH(COLUMNS($AB$1006:AO1006),$AB$1006:$AQ$1006,0)), HYPERLINK("#",""), HYPERLINK(CONCATENATE("#Metadata!", ADDRESS(INDEX($W$2:$W$1001,MATCH(ROWS($U$2:U522),$U$2:$U$1001,0),0), INDEX($AB$1004:$AQ$1004,1,MATCH(COLUMNS($AB$1006:AO1006),$AB$1006:$AQ$1006,0)))),"Fix")))</f>
        <v>0</v>
      </c>
      <c r="P522" s="5">
        <f>IF(OR(INDEX($V$2:$V$1001,MATCH(ROWS($U$2:U522),$U$2:$U$1001,0),1)&gt;=100000,INDEX($AB$1005:$AQ$1005,1,MATCH(COLUMNS($AB$1006:AP1006),$AB$1006:$AQ$1006,0))&gt;=100000), " ",IF(INDEX($AB$2:$AQ$1001,MATCH(ROWS($U$2:U522),$U$2:$U$1001,0),MATCH(COLUMNS($AB$1006:AP1006),$AB$1006:$AQ$1006,0)), HYPERLINK("#",""), HYPERLINK(CONCATENATE("#Metadata!", ADDRESS(INDEX($W$2:$W$1001,MATCH(ROWS($U$2:U522),$U$2:$U$1001,0),0), INDEX($AB$1004:$AQ$1004,1,MATCH(COLUMNS($AB$1006:AP1006),$AB$1006:$AQ$1006,0)))),"Fix")))</f>
        <v>0</v>
      </c>
      <c r="Q522" s="5">
        <f>IF(OR(INDEX($V$2:$V$1001,MATCH(ROWS($U$2:U522),$U$2:$U$1001,0),1)&gt;=100000,INDEX($AB$1005:$AQ$1005,1,MATCH(COLUMNS($AB$1006:AQ1006),$AB$1006:$AQ$1006,0))&gt;=100000), " ",IF(INDEX($AB$2:$AQ$1001,MATCH(ROWS($U$2:U522),$U$2:$U$1001,0),MATCH(COLUMNS($AB$1006:AQ1006),$AB$1006:$AQ$1006,0)), HYPERLINK("#",""), HYPERLINK(CONCATENATE("#Metadata!", ADDRESS(INDEX($W$2:$W$1001,MATCH(ROWS($U$2:U522),$U$2:$U$1001,0),0), INDEX($AB$1004:$AQ$1004,1,MATCH(COLUMNS($AB$1006:AQ1006),$AB$1006:$AQ$1006,0)))),"Fix")))</f>
        <v>0</v>
      </c>
      <c r="U522">
        <v>0</v>
      </c>
      <c r="V522">
        <v>0</v>
      </c>
      <c r="W522">
        <v>0</v>
      </c>
      <c r="X522">
        <f>IF(Y522,TRUE,AND(AB522:AQ522))</f>
        <v>0</v>
      </c>
      <c r="Y522">
        <f>COUNTBLANK(Metadata!B522:Q522)=COLUMNS(Metadata!B522:Q522)</f>
        <v>0</v>
      </c>
      <c r="Z522">
        <v>0</v>
      </c>
      <c r="AB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AC522">
        <f>AND(IF(Metadata!C522="",FALSE,TRUE),exact(Metadata!C522,"urban biome"))</f>
        <v>0</v>
      </c>
      <c r="AD522">
        <f>AND(IF(Metadata!D522="",FALSE,TRUE),exact(Metadata!D522,"human-associated habitat"))</f>
        <v>0</v>
      </c>
      <c r="AE522">
        <f>AND(IF(Metadata!E522="",FALSE,TRUE),OR(exact(Metadata!E522,"human-associated"),exact(Metadata!E522,"human-skin"),exact(Metadata!E522,"human-oral"),exact(Metadata!E522,"human-gut"),exact(Metadata!E522,"human-vaginal")))</f>
        <v>0</v>
      </c>
      <c r="AF522">
        <f>AND(IF(Metadata!F522="",FALSE,ISNUMBER(VALUE(Metadata!F522))),Metadata!F522&gt;0)</f>
        <v>0</v>
      </c>
      <c r="AG522">
        <f>AND(IF(Metadata!G522="",FALSE,TRUE),exact(Metadata!G522,"years"))</f>
        <v>0</v>
      </c>
      <c r="AH522">
        <f>OR(AND(IF(Metadata!H522="",FALSE,TRUE),OR(exact(Metadata!H522,"not applicable"),exact(Metadata!H522,"not collected"),exact(Metadata!H522,"not provided"),exact(Metadata!H522,"restricted access"))),AND(IF(Metadata!H522="",FALSE,ISNUMBER(VALUE(Metadata!H522))),Metadata!H522&gt;0))</f>
        <v>0</v>
      </c>
      <c r="AI522">
        <f>AND(IF(Metadata!I522="",FALSE,TRUE),exact(Metadata!I522,"human"))</f>
        <v>0</v>
      </c>
      <c r="AJ522">
        <f>AND(IF(Metadata!J522="",FALSE,ISNUMBER(VALUE(Metadata!J522))),Metadata!J522&gt;0)</f>
        <v>0</v>
      </c>
      <c r="AK522">
        <f>AND(IF(Metadata!K522="",FALSE,TRUE),exact(Metadata!K522,"cm"))</f>
        <v>0</v>
      </c>
      <c r="AL522">
        <f>AND(IF(Metadata!L522="",FALSE,TRUE),exact(Metadata!L522,"Homo sapiens"))</f>
        <v>0</v>
      </c>
      <c r="AM522">
        <f>AND(IF(Metadata!M522="",FALSE,TRUE),exact(Metadata!M522,"9606"))</f>
        <v>0</v>
      </c>
      <c r="AN522">
        <f>AND(IF(Metadata!N522="",FALSE,ISNUMBER(VALUE(Metadata!N522))),Metadata!N522&gt;0)</f>
        <v>0</v>
      </c>
      <c r="AO522">
        <f>AND(IF(Metadata!O522="",FALSE,TRUE),exact(Metadata!O522,"kg"))</f>
        <v>0</v>
      </c>
      <c r="AP522">
        <f>OR(AND(IF(Metadata!P522="",FALSE,TRUE),exact(Metadata!P522,"not provided")),IF(Metadata!P522="",FALSE,TRUE))</f>
        <v>0</v>
      </c>
      <c r="AQ522">
        <f>OR(AND(IF(Metadata!Q522="",FALSE,TRUE),exact(Metadata!Q522,"not provided")),IF(Metadata!Q522="",FALSE,TRUE))</f>
        <v>0</v>
      </c>
    </row>
    <row r="523" spans="1:43">
      <c r="A523" s="4">
        <f>IF(B523=" "," ",HYPERLINK(CONCATENATE("#metadata!",ADDRESS(INDEX($W$2:$W$1001,MATCH(ROWS($U$2:U523),$U$2:$U$1001,0),0),2)),INDEX($Z$2:$Z$1001,MATCH(ROWS($U$2:U523),$U$2:$U$1001,0),0)))</f>
        <v>0</v>
      </c>
      <c r="B523" s="5">
        <f>IF(OR(INDEX($V$2:$V$1001,MATCH(ROWS($U$2:U523),$U$2:$U$1001,0),1)&gt;=100000,INDEX($AB$1005:$AQ$1005,1,MATCH(COLUMNS($AB$1006:AB1006),$AB$1006:$AQ$1006,0))&gt;=100000), " ",IF(INDEX($AB$2:$AQ$1001,MATCH(ROWS($U$2:U523),$U$2:$U$1001,0),MATCH(COLUMNS($AB$1006:AB1006),$AB$1006:$AQ$1006,0)), HYPERLINK("#",""), HYPERLINK(CONCATENATE("#Metadata!", ADDRESS(INDEX($W$2:$W$1001,MATCH(ROWS($U$2:U523),$U$2:$U$1001,0),0), INDEX($AB$1004:$AQ$1004,1,MATCH(COLUMNS($AB$1006:AB1006),$AB$1006:$AQ$1006,0)))),"Fix")))</f>
        <v>0</v>
      </c>
      <c r="C523" s="5">
        <f>IF(OR(INDEX($V$2:$V$1001,MATCH(ROWS($U$2:U523),$U$2:$U$1001,0),1)&gt;=100000,INDEX($AB$1005:$AQ$1005,1,MATCH(COLUMNS($AB$1006:AC1006),$AB$1006:$AQ$1006,0))&gt;=100000), " ",IF(INDEX($AB$2:$AQ$1001,MATCH(ROWS($U$2:U523),$U$2:$U$1001,0),MATCH(COLUMNS($AB$1006:AC1006),$AB$1006:$AQ$1006,0)), HYPERLINK("#",""), HYPERLINK(CONCATENATE("#Metadata!", ADDRESS(INDEX($W$2:$W$1001,MATCH(ROWS($U$2:U523),$U$2:$U$1001,0),0), INDEX($AB$1004:$AQ$1004,1,MATCH(COLUMNS($AB$1006:AC1006),$AB$1006:$AQ$1006,0)))),"Fix")))</f>
        <v>0</v>
      </c>
      <c r="D523" s="5">
        <f>IF(OR(INDEX($V$2:$V$1001,MATCH(ROWS($U$2:U523),$U$2:$U$1001,0),1)&gt;=100000,INDEX($AB$1005:$AQ$1005,1,MATCH(COLUMNS($AB$1006:AD1006),$AB$1006:$AQ$1006,0))&gt;=100000), " ",IF(INDEX($AB$2:$AQ$1001,MATCH(ROWS($U$2:U523),$U$2:$U$1001,0),MATCH(COLUMNS($AB$1006:AD1006),$AB$1006:$AQ$1006,0)), HYPERLINK("#",""), HYPERLINK(CONCATENATE("#Metadata!", ADDRESS(INDEX($W$2:$W$1001,MATCH(ROWS($U$2:U523),$U$2:$U$1001,0),0), INDEX($AB$1004:$AQ$1004,1,MATCH(COLUMNS($AB$1006:AD1006),$AB$1006:$AQ$1006,0)))),"Fix")))</f>
        <v>0</v>
      </c>
      <c r="E523" s="5">
        <f>IF(OR(INDEX($V$2:$V$1001,MATCH(ROWS($U$2:U523),$U$2:$U$1001,0),1)&gt;=100000,INDEX($AB$1005:$AQ$1005,1,MATCH(COLUMNS($AB$1006:AE1006),$AB$1006:$AQ$1006,0))&gt;=100000), " ",IF(INDEX($AB$2:$AQ$1001,MATCH(ROWS($U$2:U523),$U$2:$U$1001,0),MATCH(COLUMNS($AB$1006:AE1006),$AB$1006:$AQ$1006,0)), HYPERLINK("#",""), HYPERLINK(CONCATENATE("#Metadata!", ADDRESS(INDEX($W$2:$W$1001,MATCH(ROWS($U$2:U523),$U$2:$U$1001,0),0), INDEX($AB$1004:$AQ$1004,1,MATCH(COLUMNS($AB$1006:AE1006),$AB$1006:$AQ$1006,0)))),"Fix")))</f>
        <v>0</v>
      </c>
      <c r="F523" s="5">
        <f>IF(OR(INDEX($V$2:$V$1001,MATCH(ROWS($U$2:U523),$U$2:$U$1001,0),1)&gt;=100000,INDEX($AB$1005:$AQ$1005,1,MATCH(COLUMNS($AB$1006:AF1006),$AB$1006:$AQ$1006,0))&gt;=100000), " ",IF(INDEX($AB$2:$AQ$1001,MATCH(ROWS($U$2:U523),$U$2:$U$1001,0),MATCH(COLUMNS($AB$1006:AF1006),$AB$1006:$AQ$1006,0)), HYPERLINK("#",""), HYPERLINK(CONCATENATE("#Metadata!", ADDRESS(INDEX($W$2:$W$1001,MATCH(ROWS($U$2:U523),$U$2:$U$1001,0),0), INDEX($AB$1004:$AQ$1004,1,MATCH(COLUMNS($AB$1006:AF1006),$AB$1006:$AQ$1006,0)))),"Fix")))</f>
        <v>0</v>
      </c>
      <c r="G523" s="5">
        <f>IF(OR(INDEX($V$2:$V$1001,MATCH(ROWS($U$2:U523),$U$2:$U$1001,0),1)&gt;=100000,INDEX($AB$1005:$AQ$1005,1,MATCH(COLUMNS($AB$1006:AG1006),$AB$1006:$AQ$1006,0))&gt;=100000), " ",IF(INDEX($AB$2:$AQ$1001,MATCH(ROWS($U$2:U523),$U$2:$U$1001,0),MATCH(COLUMNS($AB$1006:AG1006),$AB$1006:$AQ$1006,0)), HYPERLINK("#",""), HYPERLINK(CONCATENATE("#Metadata!", ADDRESS(INDEX($W$2:$W$1001,MATCH(ROWS($U$2:U523),$U$2:$U$1001,0),0), INDEX($AB$1004:$AQ$1004,1,MATCH(COLUMNS($AB$1006:AG1006),$AB$1006:$AQ$1006,0)))),"Fix")))</f>
        <v>0</v>
      </c>
      <c r="H523" s="5">
        <f>IF(OR(INDEX($V$2:$V$1001,MATCH(ROWS($U$2:U523),$U$2:$U$1001,0),1)&gt;=100000,INDEX($AB$1005:$AQ$1005,1,MATCH(COLUMNS($AB$1006:AH1006),$AB$1006:$AQ$1006,0))&gt;=100000), " ",IF(INDEX($AB$2:$AQ$1001,MATCH(ROWS($U$2:U523),$U$2:$U$1001,0),MATCH(COLUMNS($AB$1006:AH1006),$AB$1006:$AQ$1006,0)), HYPERLINK("#",""), HYPERLINK(CONCATENATE("#Metadata!", ADDRESS(INDEX($W$2:$W$1001,MATCH(ROWS($U$2:U523),$U$2:$U$1001,0),0), INDEX($AB$1004:$AQ$1004,1,MATCH(COLUMNS($AB$1006:AH1006),$AB$1006:$AQ$1006,0)))),"Fix")))</f>
        <v>0</v>
      </c>
      <c r="I523" s="5">
        <f>IF(OR(INDEX($V$2:$V$1001,MATCH(ROWS($U$2:U523),$U$2:$U$1001,0),1)&gt;=100000,INDEX($AB$1005:$AQ$1005,1,MATCH(COLUMNS($AB$1006:AI1006),$AB$1006:$AQ$1006,0))&gt;=100000), " ",IF(INDEX($AB$2:$AQ$1001,MATCH(ROWS($U$2:U523),$U$2:$U$1001,0),MATCH(COLUMNS($AB$1006:AI1006),$AB$1006:$AQ$1006,0)), HYPERLINK("#",""), HYPERLINK(CONCATENATE("#Metadata!", ADDRESS(INDEX($W$2:$W$1001,MATCH(ROWS($U$2:U523),$U$2:$U$1001,0),0), INDEX($AB$1004:$AQ$1004,1,MATCH(COLUMNS($AB$1006:AI1006),$AB$1006:$AQ$1006,0)))),"Fix")))</f>
        <v>0</v>
      </c>
      <c r="J523" s="5">
        <f>IF(OR(INDEX($V$2:$V$1001,MATCH(ROWS($U$2:U523),$U$2:$U$1001,0),1)&gt;=100000,INDEX($AB$1005:$AQ$1005,1,MATCH(COLUMNS($AB$1006:AJ1006),$AB$1006:$AQ$1006,0))&gt;=100000), " ",IF(INDEX($AB$2:$AQ$1001,MATCH(ROWS($U$2:U523),$U$2:$U$1001,0),MATCH(COLUMNS($AB$1006:AJ1006),$AB$1006:$AQ$1006,0)), HYPERLINK("#",""), HYPERLINK(CONCATENATE("#Metadata!", ADDRESS(INDEX($W$2:$W$1001,MATCH(ROWS($U$2:U523),$U$2:$U$1001,0),0), INDEX($AB$1004:$AQ$1004,1,MATCH(COLUMNS($AB$1006:AJ1006),$AB$1006:$AQ$1006,0)))),"Fix")))</f>
        <v>0</v>
      </c>
      <c r="K523" s="5">
        <f>IF(OR(INDEX($V$2:$V$1001,MATCH(ROWS($U$2:U523),$U$2:$U$1001,0),1)&gt;=100000,INDEX($AB$1005:$AQ$1005,1,MATCH(COLUMNS($AB$1006:AK1006),$AB$1006:$AQ$1006,0))&gt;=100000), " ",IF(INDEX($AB$2:$AQ$1001,MATCH(ROWS($U$2:U523),$U$2:$U$1001,0),MATCH(COLUMNS($AB$1006:AK1006),$AB$1006:$AQ$1006,0)), HYPERLINK("#",""), HYPERLINK(CONCATENATE("#Metadata!", ADDRESS(INDEX($W$2:$W$1001,MATCH(ROWS($U$2:U523),$U$2:$U$1001,0),0), INDEX($AB$1004:$AQ$1004,1,MATCH(COLUMNS($AB$1006:AK1006),$AB$1006:$AQ$1006,0)))),"Fix")))</f>
        <v>0</v>
      </c>
      <c r="L523" s="5">
        <f>IF(OR(INDEX($V$2:$V$1001,MATCH(ROWS($U$2:U523),$U$2:$U$1001,0),1)&gt;=100000,INDEX($AB$1005:$AQ$1005,1,MATCH(COLUMNS($AB$1006:AL1006),$AB$1006:$AQ$1006,0))&gt;=100000), " ",IF(INDEX($AB$2:$AQ$1001,MATCH(ROWS($U$2:U523),$U$2:$U$1001,0),MATCH(COLUMNS($AB$1006:AL1006),$AB$1006:$AQ$1006,0)), HYPERLINK("#",""), HYPERLINK(CONCATENATE("#Metadata!", ADDRESS(INDEX($W$2:$W$1001,MATCH(ROWS($U$2:U523),$U$2:$U$1001,0),0), INDEX($AB$1004:$AQ$1004,1,MATCH(COLUMNS($AB$1006:AL1006),$AB$1006:$AQ$1006,0)))),"Fix")))</f>
        <v>0</v>
      </c>
      <c r="M523" s="5">
        <f>IF(OR(INDEX($V$2:$V$1001,MATCH(ROWS($U$2:U523),$U$2:$U$1001,0),1)&gt;=100000,INDEX($AB$1005:$AQ$1005,1,MATCH(COLUMNS($AB$1006:AM1006),$AB$1006:$AQ$1006,0))&gt;=100000), " ",IF(INDEX($AB$2:$AQ$1001,MATCH(ROWS($U$2:U523),$U$2:$U$1001,0),MATCH(COLUMNS($AB$1006:AM1006),$AB$1006:$AQ$1006,0)), HYPERLINK("#",""), HYPERLINK(CONCATENATE("#Metadata!", ADDRESS(INDEX($W$2:$W$1001,MATCH(ROWS($U$2:U523),$U$2:$U$1001,0),0), INDEX($AB$1004:$AQ$1004,1,MATCH(COLUMNS($AB$1006:AM1006),$AB$1006:$AQ$1006,0)))),"Fix")))</f>
        <v>0</v>
      </c>
      <c r="N523" s="5">
        <f>IF(OR(INDEX($V$2:$V$1001,MATCH(ROWS($U$2:U523),$U$2:$U$1001,0),1)&gt;=100000,INDEX($AB$1005:$AQ$1005,1,MATCH(COLUMNS($AB$1006:AN1006),$AB$1006:$AQ$1006,0))&gt;=100000), " ",IF(INDEX($AB$2:$AQ$1001,MATCH(ROWS($U$2:U523),$U$2:$U$1001,0),MATCH(COLUMNS($AB$1006:AN1006),$AB$1006:$AQ$1006,0)), HYPERLINK("#",""), HYPERLINK(CONCATENATE("#Metadata!", ADDRESS(INDEX($W$2:$W$1001,MATCH(ROWS($U$2:U523),$U$2:$U$1001,0),0), INDEX($AB$1004:$AQ$1004,1,MATCH(COLUMNS($AB$1006:AN1006),$AB$1006:$AQ$1006,0)))),"Fix")))</f>
        <v>0</v>
      </c>
      <c r="O523" s="5">
        <f>IF(OR(INDEX($V$2:$V$1001,MATCH(ROWS($U$2:U523),$U$2:$U$1001,0),1)&gt;=100000,INDEX($AB$1005:$AQ$1005,1,MATCH(COLUMNS($AB$1006:AO1006),$AB$1006:$AQ$1006,0))&gt;=100000), " ",IF(INDEX($AB$2:$AQ$1001,MATCH(ROWS($U$2:U523),$U$2:$U$1001,0),MATCH(COLUMNS($AB$1006:AO1006),$AB$1006:$AQ$1006,0)), HYPERLINK("#",""), HYPERLINK(CONCATENATE("#Metadata!", ADDRESS(INDEX($W$2:$W$1001,MATCH(ROWS($U$2:U523),$U$2:$U$1001,0),0), INDEX($AB$1004:$AQ$1004,1,MATCH(COLUMNS($AB$1006:AO1006),$AB$1006:$AQ$1006,0)))),"Fix")))</f>
        <v>0</v>
      </c>
      <c r="P523" s="5">
        <f>IF(OR(INDEX($V$2:$V$1001,MATCH(ROWS($U$2:U523),$U$2:$U$1001,0),1)&gt;=100000,INDEX($AB$1005:$AQ$1005,1,MATCH(COLUMNS($AB$1006:AP1006),$AB$1006:$AQ$1006,0))&gt;=100000), " ",IF(INDEX($AB$2:$AQ$1001,MATCH(ROWS($U$2:U523),$U$2:$U$1001,0),MATCH(COLUMNS($AB$1006:AP1006),$AB$1006:$AQ$1006,0)), HYPERLINK("#",""), HYPERLINK(CONCATENATE("#Metadata!", ADDRESS(INDEX($W$2:$W$1001,MATCH(ROWS($U$2:U523),$U$2:$U$1001,0),0), INDEX($AB$1004:$AQ$1004,1,MATCH(COLUMNS($AB$1006:AP1006),$AB$1006:$AQ$1006,0)))),"Fix")))</f>
        <v>0</v>
      </c>
      <c r="Q523" s="5">
        <f>IF(OR(INDEX($V$2:$V$1001,MATCH(ROWS($U$2:U523),$U$2:$U$1001,0),1)&gt;=100000,INDEX($AB$1005:$AQ$1005,1,MATCH(COLUMNS($AB$1006:AQ1006),$AB$1006:$AQ$1006,0))&gt;=100000), " ",IF(INDEX($AB$2:$AQ$1001,MATCH(ROWS($U$2:U523),$U$2:$U$1001,0),MATCH(COLUMNS($AB$1006:AQ1006),$AB$1006:$AQ$1006,0)), HYPERLINK("#",""), HYPERLINK(CONCATENATE("#Metadata!", ADDRESS(INDEX($W$2:$W$1001,MATCH(ROWS($U$2:U523),$U$2:$U$1001,0),0), INDEX($AB$1004:$AQ$1004,1,MATCH(COLUMNS($AB$1006:AQ1006),$AB$1006:$AQ$1006,0)))),"Fix")))</f>
        <v>0</v>
      </c>
      <c r="U523">
        <v>0</v>
      </c>
      <c r="V523">
        <v>0</v>
      </c>
      <c r="W523">
        <v>0</v>
      </c>
      <c r="X523">
        <f>IF(Y523,TRUE,AND(AB523:AQ523))</f>
        <v>0</v>
      </c>
      <c r="Y523">
        <f>COUNTBLANK(Metadata!B523:Q523)=COLUMNS(Metadata!B523:Q523)</f>
        <v>0</v>
      </c>
      <c r="Z523">
        <v>0</v>
      </c>
      <c r="AB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AC523">
        <f>AND(IF(Metadata!C523="",FALSE,TRUE),exact(Metadata!C523,"urban biome"))</f>
        <v>0</v>
      </c>
      <c r="AD523">
        <f>AND(IF(Metadata!D523="",FALSE,TRUE),exact(Metadata!D523,"human-associated habitat"))</f>
        <v>0</v>
      </c>
      <c r="AE523">
        <f>AND(IF(Metadata!E523="",FALSE,TRUE),OR(exact(Metadata!E523,"human-associated"),exact(Metadata!E523,"human-skin"),exact(Metadata!E523,"human-oral"),exact(Metadata!E523,"human-gut"),exact(Metadata!E523,"human-vaginal")))</f>
        <v>0</v>
      </c>
      <c r="AF523">
        <f>AND(IF(Metadata!F523="",FALSE,ISNUMBER(VALUE(Metadata!F523))),Metadata!F523&gt;0)</f>
        <v>0</v>
      </c>
      <c r="AG523">
        <f>AND(IF(Metadata!G523="",FALSE,TRUE),exact(Metadata!G523,"years"))</f>
        <v>0</v>
      </c>
      <c r="AH523">
        <f>OR(AND(IF(Metadata!H523="",FALSE,TRUE),OR(exact(Metadata!H523,"not applicable"),exact(Metadata!H523,"not collected"),exact(Metadata!H523,"not provided"),exact(Metadata!H523,"restricted access"))),AND(IF(Metadata!H523="",FALSE,ISNUMBER(VALUE(Metadata!H523))),Metadata!H523&gt;0))</f>
        <v>0</v>
      </c>
      <c r="AI523">
        <f>AND(IF(Metadata!I523="",FALSE,TRUE),exact(Metadata!I523,"human"))</f>
        <v>0</v>
      </c>
      <c r="AJ523">
        <f>AND(IF(Metadata!J523="",FALSE,ISNUMBER(VALUE(Metadata!J523))),Metadata!J523&gt;0)</f>
        <v>0</v>
      </c>
      <c r="AK523">
        <f>AND(IF(Metadata!K523="",FALSE,TRUE),exact(Metadata!K523,"cm"))</f>
        <v>0</v>
      </c>
      <c r="AL523">
        <f>AND(IF(Metadata!L523="",FALSE,TRUE),exact(Metadata!L523,"Homo sapiens"))</f>
        <v>0</v>
      </c>
      <c r="AM523">
        <f>AND(IF(Metadata!M523="",FALSE,TRUE),exact(Metadata!M523,"9606"))</f>
        <v>0</v>
      </c>
      <c r="AN523">
        <f>AND(IF(Metadata!N523="",FALSE,ISNUMBER(VALUE(Metadata!N523))),Metadata!N523&gt;0)</f>
        <v>0</v>
      </c>
      <c r="AO523">
        <f>AND(IF(Metadata!O523="",FALSE,TRUE),exact(Metadata!O523,"kg"))</f>
        <v>0</v>
      </c>
      <c r="AP523">
        <f>OR(AND(IF(Metadata!P523="",FALSE,TRUE),exact(Metadata!P523,"not provided")),IF(Metadata!P523="",FALSE,TRUE))</f>
        <v>0</v>
      </c>
      <c r="AQ523">
        <f>OR(AND(IF(Metadata!Q523="",FALSE,TRUE),exact(Metadata!Q523,"not provided")),IF(Metadata!Q523="",FALSE,TRUE))</f>
        <v>0</v>
      </c>
    </row>
    <row r="524" spans="1:43">
      <c r="A524" s="4">
        <f>IF(B524=" "," ",HYPERLINK(CONCATENATE("#metadata!",ADDRESS(INDEX($W$2:$W$1001,MATCH(ROWS($U$2:U524),$U$2:$U$1001,0),0),2)),INDEX($Z$2:$Z$1001,MATCH(ROWS($U$2:U524),$U$2:$U$1001,0),0)))</f>
        <v>0</v>
      </c>
      <c r="B524" s="5">
        <f>IF(OR(INDEX($V$2:$V$1001,MATCH(ROWS($U$2:U524),$U$2:$U$1001,0),1)&gt;=100000,INDEX($AB$1005:$AQ$1005,1,MATCH(COLUMNS($AB$1006:AB1006),$AB$1006:$AQ$1006,0))&gt;=100000), " ",IF(INDEX($AB$2:$AQ$1001,MATCH(ROWS($U$2:U524),$U$2:$U$1001,0),MATCH(COLUMNS($AB$1006:AB1006),$AB$1006:$AQ$1006,0)), HYPERLINK("#",""), HYPERLINK(CONCATENATE("#Metadata!", ADDRESS(INDEX($W$2:$W$1001,MATCH(ROWS($U$2:U524),$U$2:$U$1001,0),0), INDEX($AB$1004:$AQ$1004,1,MATCH(COLUMNS($AB$1006:AB1006),$AB$1006:$AQ$1006,0)))),"Fix")))</f>
        <v>0</v>
      </c>
      <c r="C524" s="5">
        <f>IF(OR(INDEX($V$2:$V$1001,MATCH(ROWS($U$2:U524),$U$2:$U$1001,0),1)&gt;=100000,INDEX($AB$1005:$AQ$1005,1,MATCH(COLUMNS($AB$1006:AC1006),$AB$1006:$AQ$1006,0))&gt;=100000), " ",IF(INDEX($AB$2:$AQ$1001,MATCH(ROWS($U$2:U524),$U$2:$U$1001,0),MATCH(COLUMNS($AB$1006:AC1006),$AB$1006:$AQ$1006,0)), HYPERLINK("#",""), HYPERLINK(CONCATENATE("#Metadata!", ADDRESS(INDEX($W$2:$W$1001,MATCH(ROWS($U$2:U524),$U$2:$U$1001,0),0), INDEX($AB$1004:$AQ$1004,1,MATCH(COLUMNS($AB$1006:AC1006),$AB$1006:$AQ$1006,0)))),"Fix")))</f>
        <v>0</v>
      </c>
      <c r="D524" s="5">
        <f>IF(OR(INDEX($V$2:$V$1001,MATCH(ROWS($U$2:U524),$U$2:$U$1001,0),1)&gt;=100000,INDEX($AB$1005:$AQ$1005,1,MATCH(COLUMNS($AB$1006:AD1006),$AB$1006:$AQ$1006,0))&gt;=100000), " ",IF(INDEX($AB$2:$AQ$1001,MATCH(ROWS($U$2:U524),$U$2:$U$1001,0),MATCH(COLUMNS($AB$1006:AD1006),$AB$1006:$AQ$1006,0)), HYPERLINK("#",""), HYPERLINK(CONCATENATE("#Metadata!", ADDRESS(INDEX($W$2:$W$1001,MATCH(ROWS($U$2:U524),$U$2:$U$1001,0),0), INDEX($AB$1004:$AQ$1004,1,MATCH(COLUMNS($AB$1006:AD1006),$AB$1006:$AQ$1006,0)))),"Fix")))</f>
        <v>0</v>
      </c>
      <c r="E524" s="5">
        <f>IF(OR(INDEX($V$2:$V$1001,MATCH(ROWS($U$2:U524),$U$2:$U$1001,0),1)&gt;=100000,INDEX($AB$1005:$AQ$1005,1,MATCH(COLUMNS($AB$1006:AE1006),$AB$1006:$AQ$1006,0))&gt;=100000), " ",IF(INDEX($AB$2:$AQ$1001,MATCH(ROWS($U$2:U524),$U$2:$U$1001,0),MATCH(COLUMNS($AB$1006:AE1006),$AB$1006:$AQ$1006,0)), HYPERLINK("#",""), HYPERLINK(CONCATENATE("#Metadata!", ADDRESS(INDEX($W$2:$W$1001,MATCH(ROWS($U$2:U524),$U$2:$U$1001,0),0), INDEX($AB$1004:$AQ$1004,1,MATCH(COLUMNS($AB$1006:AE1006),$AB$1006:$AQ$1006,0)))),"Fix")))</f>
        <v>0</v>
      </c>
      <c r="F524" s="5">
        <f>IF(OR(INDEX($V$2:$V$1001,MATCH(ROWS($U$2:U524),$U$2:$U$1001,0),1)&gt;=100000,INDEX($AB$1005:$AQ$1005,1,MATCH(COLUMNS($AB$1006:AF1006),$AB$1006:$AQ$1006,0))&gt;=100000), " ",IF(INDEX($AB$2:$AQ$1001,MATCH(ROWS($U$2:U524),$U$2:$U$1001,0),MATCH(COLUMNS($AB$1006:AF1006),$AB$1006:$AQ$1006,0)), HYPERLINK("#",""), HYPERLINK(CONCATENATE("#Metadata!", ADDRESS(INDEX($W$2:$W$1001,MATCH(ROWS($U$2:U524),$U$2:$U$1001,0),0), INDEX($AB$1004:$AQ$1004,1,MATCH(COLUMNS($AB$1006:AF1006),$AB$1006:$AQ$1006,0)))),"Fix")))</f>
        <v>0</v>
      </c>
      <c r="G524" s="5">
        <f>IF(OR(INDEX($V$2:$V$1001,MATCH(ROWS($U$2:U524),$U$2:$U$1001,0),1)&gt;=100000,INDEX($AB$1005:$AQ$1005,1,MATCH(COLUMNS($AB$1006:AG1006),$AB$1006:$AQ$1006,0))&gt;=100000), " ",IF(INDEX($AB$2:$AQ$1001,MATCH(ROWS($U$2:U524),$U$2:$U$1001,0),MATCH(COLUMNS($AB$1006:AG1006),$AB$1006:$AQ$1006,0)), HYPERLINK("#",""), HYPERLINK(CONCATENATE("#Metadata!", ADDRESS(INDEX($W$2:$W$1001,MATCH(ROWS($U$2:U524),$U$2:$U$1001,0),0), INDEX($AB$1004:$AQ$1004,1,MATCH(COLUMNS($AB$1006:AG1006),$AB$1006:$AQ$1006,0)))),"Fix")))</f>
        <v>0</v>
      </c>
      <c r="H524" s="5">
        <f>IF(OR(INDEX($V$2:$V$1001,MATCH(ROWS($U$2:U524),$U$2:$U$1001,0),1)&gt;=100000,INDEX($AB$1005:$AQ$1005,1,MATCH(COLUMNS($AB$1006:AH1006),$AB$1006:$AQ$1006,0))&gt;=100000), " ",IF(INDEX($AB$2:$AQ$1001,MATCH(ROWS($U$2:U524),$U$2:$U$1001,0),MATCH(COLUMNS($AB$1006:AH1006),$AB$1006:$AQ$1006,0)), HYPERLINK("#",""), HYPERLINK(CONCATENATE("#Metadata!", ADDRESS(INDEX($W$2:$W$1001,MATCH(ROWS($U$2:U524),$U$2:$U$1001,0),0), INDEX($AB$1004:$AQ$1004,1,MATCH(COLUMNS($AB$1006:AH1006),$AB$1006:$AQ$1006,0)))),"Fix")))</f>
        <v>0</v>
      </c>
      <c r="I524" s="5">
        <f>IF(OR(INDEX($V$2:$V$1001,MATCH(ROWS($U$2:U524),$U$2:$U$1001,0),1)&gt;=100000,INDEX($AB$1005:$AQ$1005,1,MATCH(COLUMNS($AB$1006:AI1006),$AB$1006:$AQ$1006,0))&gt;=100000), " ",IF(INDEX($AB$2:$AQ$1001,MATCH(ROWS($U$2:U524),$U$2:$U$1001,0),MATCH(COLUMNS($AB$1006:AI1006),$AB$1006:$AQ$1006,0)), HYPERLINK("#",""), HYPERLINK(CONCATENATE("#Metadata!", ADDRESS(INDEX($W$2:$W$1001,MATCH(ROWS($U$2:U524),$U$2:$U$1001,0),0), INDEX($AB$1004:$AQ$1004,1,MATCH(COLUMNS($AB$1006:AI1006),$AB$1006:$AQ$1006,0)))),"Fix")))</f>
        <v>0</v>
      </c>
      <c r="J524" s="5">
        <f>IF(OR(INDEX($V$2:$V$1001,MATCH(ROWS($U$2:U524),$U$2:$U$1001,0),1)&gt;=100000,INDEX($AB$1005:$AQ$1005,1,MATCH(COLUMNS($AB$1006:AJ1006),$AB$1006:$AQ$1006,0))&gt;=100000), " ",IF(INDEX($AB$2:$AQ$1001,MATCH(ROWS($U$2:U524),$U$2:$U$1001,0),MATCH(COLUMNS($AB$1006:AJ1006),$AB$1006:$AQ$1006,0)), HYPERLINK("#",""), HYPERLINK(CONCATENATE("#Metadata!", ADDRESS(INDEX($W$2:$W$1001,MATCH(ROWS($U$2:U524),$U$2:$U$1001,0),0), INDEX($AB$1004:$AQ$1004,1,MATCH(COLUMNS($AB$1006:AJ1006),$AB$1006:$AQ$1006,0)))),"Fix")))</f>
        <v>0</v>
      </c>
      <c r="K524" s="5">
        <f>IF(OR(INDEX($V$2:$V$1001,MATCH(ROWS($U$2:U524),$U$2:$U$1001,0),1)&gt;=100000,INDEX($AB$1005:$AQ$1005,1,MATCH(COLUMNS($AB$1006:AK1006),$AB$1006:$AQ$1006,0))&gt;=100000), " ",IF(INDEX($AB$2:$AQ$1001,MATCH(ROWS($U$2:U524),$U$2:$U$1001,0),MATCH(COLUMNS($AB$1006:AK1006),$AB$1006:$AQ$1006,0)), HYPERLINK("#",""), HYPERLINK(CONCATENATE("#Metadata!", ADDRESS(INDEX($W$2:$W$1001,MATCH(ROWS($U$2:U524),$U$2:$U$1001,0),0), INDEX($AB$1004:$AQ$1004,1,MATCH(COLUMNS($AB$1006:AK1006),$AB$1006:$AQ$1006,0)))),"Fix")))</f>
        <v>0</v>
      </c>
      <c r="L524" s="5">
        <f>IF(OR(INDEX($V$2:$V$1001,MATCH(ROWS($U$2:U524),$U$2:$U$1001,0),1)&gt;=100000,INDEX($AB$1005:$AQ$1005,1,MATCH(COLUMNS($AB$1006:AL1006),$AB$1006:$AQ$1006,0))&gt;=100000), " ",IF(INDEX($AB$2:$AQ$1001,MATCH(ROWS($U$2:U524),$U$2:$U$1001,0),MATCH(COLUMNS($AB$1006:AL1006),$AB$1006:$AQ$1006,0)), HYPERLINK("#",""), HYPERLINK(CONCATENATE("#Metadata!", ADDRESS(INDEX($W$2:$W$1001,MATCH(ROWS($U$2:U524),$U$2:$U$1001,0),0), INDEX($AB$1004:$AQ$1004,1,MATCH(COLUMNS($AB$1006:AL1006),$AB$1006:$AQ$1006,0)))),"Fix")))</f>
        <v>0</v>
      </c>
      <c r="M524" s="5">
        <f>IF(OR(INDEX($V$2:$V$1001,MATCH(ROWS($U$2:U524),$U$2:$U$1001,0),1)&gt;=100000,INDEX($AB$1005:$AQ$1005,1,MATCH(COLUMNS($AB$1006:AM1006),$AB$1006:$AQ$1006,0))&gt;=100000), " ",IF(INDEX($AB$2:$AQ$1001,MATCH(ROWS($U$2:U524),$U$2:$U$1001,0),MATCH(COLUMNS($AB$1006:AM1006),$AB$1006:$AQ$1006,0)), HYPERLINK("#",""), HYPERLINK(CONCATENATE("#Metadata!", ADDRESS(INDEX($W$2:$W$1001,MATCH(ROWS($U$2:U524),$U$2:$U$1001,0),0), INDEX($AB$1004:$AQ$1004,1,MATCH(COLUMNS($AB$1006:AM1006),$AB$1006:$AQ$1006,0)))),"Fix")))</f>
        <v>0</v>
      </c>
      <c r="N524" s="5">
        <f>IF(OR(INDEX($V$2:$V$1001,MATCH(ROWS($U$2:U524),$U$2:$U$1001,0),1)&gt;=100000,INDEX($AB$1005:$AQ$1005,1,MATCH(COLUMNS($AB$1006:AN1006),$AB$1006:$AQ$1006,0))&gt;=100000), " ",IF(INDEX($AB$2:$AQ$1001,MATCH(ROWS($U$2:U524),$U$2:$U$1001,0),MATCH(COLUMNS($AB$1006:AN1006),$AB$1006:$AQ$1006,0)), HYPERLINK("#",""), HYPERLINK(CONCATENATE("#Metadata!", ADDRESS(INDEX($W$2:$W$1001,MATCH(ROWS($U$2:U524),$U$2:$U$1001,0),0), INDEX($AB$1004:$AQ$1004,1,MATCH(COLUMNS($AB$1006:AN1006),$AB$1006:$AQ$1006,0)))),"Fix")))</f>
        <v>0</v>
      </c>
      <c r="O524" s="5">
        <f>IF(OR(INDEX($V$2:$V$1001,MATCH(ROWS($U$2:U524),$U$2:$U$1001,0),1)&gt;=100000,INDEX($AB$1005:$AQ$1005,1,MATCH(COLUMNS($AB$1006:AO1006),$AB$1006:$AQ$1006,0))&gt;=100000), " ",IF(INDEX($AB$2:$AQ$1001,MATCH(ROWS($U$2:U524),$U$2:$U$1001,0),MATCH(COLUMNS($AB$1006:AO1006),$AB$1006:$AQ$1006,0)), HYPERLINK("#",""), HYPERLINK(CONCATENATE("#Metadata!", ADDRESS(INDEX($W$2:$W$1001,MATCH(ROWS($U$2:U524),$U$2:$U$1001,0),0), INDEX($AB$1004:$AQ$1004,1,MATCH(COLUMNS($AB$1006:AO1006),$AB$1006:$AQ$1006,0)))),"Fix")))</f>
        <v>0</v>
      </c>
      <c r="P524" s="5">
        <f>IF(OR(INDEX($V$2:$V$1001,MATCH(ROWS($U$2:U524),$U$2:$U$1001,0),1)&gt;=100000,INDEX($AB$1005:$AQ$1005,1,MATCH(COLUMNS($AB$1006:AP1006),$AB$1006:$AQ$1006,0))&gt;=100000), " ",IF(INDEX($AB$2:$AQ$1001,MATCH(ROWS($U$2:U524),$U$2:$U$1001,0),MATCH(COLUMNS($AB$1006:AP1006),$AB$1006:$AQ$1006,0)), HYPERLINK("#",""), HYPERLINK(CONCATENATE("#Metadata!", ADDRESS(INDEX($W$2:$W$1001,MATCH(ROWS($U$2:U524),$U$2:$U$1001,0),0), INDEX($AB$1004:$AQ$1004,1,MATCH(COLUMNS($AB$1006:AP1006),$AB$1006:$AQ$1006,0)))),"Fix")))</f>
        <v>0</v>
      </c>
      <c r="Q524" s="5">
        <f>IF(OR(INDEX($V$2:$V$1001,MATCH(ROWS($U$2:U524),$U$2:$U$1001,0),1)&gt;=100000,INDEX($AB$1005:$AQ$1005,1,MATCH(COLUMNS($AB$1006:AQ1006),$AB$1006:$AQ$1006,0))&gt;=100000), " ",IF(INDEX($AB$2:$AQ$1001,MATCH(ROWS($U$2:U524),$U$2:$U$1001,0),MATCH(COLUMNS($AB$1006:AQ1006),$AB$1006:$AQ$1006,0)), HYPERLINK("#",""), HYPERLINK(CONCATENATE("#Metadata!", ADDRESS(INDEX($W$2:$W$1001,MATCH(ROWS($U$2:U524),$U$2:$U$1001,0),0), INDEX($AB$1004:$AQ$1004,1,MATCH(COLUMNS($AB$1006:AQ1006),$AB$1006:$AQ$1006,0)))),"Fix")))</f>
        <v>0</v>
      </c>
      <c r="U524">
        <v>0</v>
      </c>
      <c r="V524">
        <v>0</v>
      </c>
      <c r="W524">
        <v>0</v>
      </c>
      <c r="X524">
        <f>IF(Y524,TRUE,AND(AB524:AQ524))</f>
        <v>0</v>
      </c>
      <c r="Y524">
        <f>COUNTBLANK(Metadata!B524:Q524)=COLUMNS(Metadata!B524:Q524)</f>
        <v>0</v>
      </c>
      <c r="Z524">
        <v>0</v>
      </c>
      <c r="AB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AC524">
        <f>AND(IF(Metadata!C524="",FALSE,TRUE),exact(Metadata!C524,"urban biome"))</f>
        <v>0</v>
      </c>
      <c r="AD524">
        <f>AND(IF(Metadata!D524="",FALSE,TRUE),exact(Metadata!D524,"human-associated habitat"))</f>
        <v>0</v>
      </c>
      <c r="AE524">
        <f>AND(IF(Metadata!E524="",FALSE,TRUE),OR(exact(Metadata!E524,"human-associated"),exact(Metadata!E524,"human-skin"),exact(Metadata!E524,"human-oral"),exact(Metadata!E524,"human-gut"),exact(Metadata!E524,"human-vaginal")))</f>
        <v>0</v>
      </c>
      <c r="AF524">
        <f>AND(IF(Metadata!F524="",FALSE,ISNUMBER(VALUE(Metadata!F524))),Metadata!F524&gt;0)</f>
        <v>0</v>
      </c>
      <c r="AG524">
        <f>AND(IF(Metadata!G524="",FALSE,TRUE),exact(Metadata!G524,"years"))</f>
        <v>0</v>
      </c>
      <c r="AH524">
        <f>OR(AND(IF(Metadata!H524="",FALSE,TRUE),OR(exact(Metadata!H524,"not applicable"),exact(Metadata!H524,"not collected"),exact(Metadata!H524,"not provided"),exact(Metadata!H524,"restricted access"))),AND(IF(Metadata!H524="",FALSE,ISNUMBER(VALUE(Metadata!H524))),Metadata!H524&gt;0))</f>
        <v>0</v>
      </c>
      <c r="AI524">
        <f>AND(IF(Metadata!I524="",FALSE,TRUE),exact(Metadata!I524,"human"))</f>
        <v>0</v>
      </c>
      <c r="AJ524">
        <f>AND(IF(Metadata!J524="",FALSE,ISNUMBER(VALUE(Metadata!J524))),Metadata!J524&gt;0)</f>
        <v>0</v>
      </c>
      <c r="AK524">
        <f>AND(IF(Metadata!K524="",FALSE,TRUE),exact(Metadata!K524,"cm"))</f>
        <v>0</v>
      </c>
      <c r="AL524">
        <f>AND(IF(Metadata!L524="",FALSE,TRUE),exact(Metadata!L524,"Homo sapiens"))</f>
        <v>0</v>
      </c>
      <c r="AM524">
        <f>AND(IF(Metadata!M524="",FALSE,TRUE),exact(Metadata!M524,"9606"))</f>
        <v>0</v>
      </c>
      <c r="AN524">
        <f>AND(IF(Metadata!N524="",FALSE,ISNUMBER(VALUE(Metadata!N524))),Metadata!N524&gt;0)</f>
        <v>0</v>
      </c>
      <c r="AO524">
        <f>AND(IF(Metadata!O524="",FALSE,TRUE),exact(Metadata!O524,"kg"))</f>
        <v>0</v>
      </c>
      <c r="AP524">
        <f>OR(AND(IF(Metadata!P524="",FALSE,TRUE),exact(Metadata!P524,"not provided")),IF(Metadata!P524="",FALSE,TRUE))</f>
        <v>0</v>
      </c>
      <c r="AQ524">
        <f>OR(AND(IF(Metadata!Q524="",FALSE,TRUE),exact(Metadata!Q524,"not provided")),IF(Metadata!Q524="",FALSE,TRUE))</f>
        <v>0</v>
      </c>
    </row>
    <row r="525" spans="1:43">
      <c r="A525" s="4">
        <f>IF(B525=" "," ",HYPERLINK(CONCATENATE("#metadata!",ADDRESS(INDEX($W$2:$W$1001,MATCH(ROWS($U$2:U525),$U$2:$U$1001,0),0),2)),INDEX($Z$2:$Z$1001,MATCH(ROWS($U$2:U525),$U$2:$U$1001,0),0)))</f>
        <v>0</v>
      </c>
      <c r="B525" s="5">
        <f>IF(OR(INDEX($V$2:$V$1001,MATCH(ROWS($U$2:U525),$U$2:$U$1001,0),1)&gt;=100000,INDEX($AB$1005:$AQ$1005,1,MATCH(COLUMNS($AB$1006:AB1006),$AB$1006:$AQ$1006,0))&gt;=100000), " ",IF(INDEX($AB$2:$AQ$1001,MATCH(ROWS($U$2:U525),$U$2:$U$1001,0),MATCH(COLUMNS($AB$1006:AB1006),$AB$1006:$AQ$1006,0)), HYPERLINK("#",""), HYPERLINK(CONCATENATE("#Metadata!", ADDRESS(INDEX($W$2:$W$1001,MATCH(ROWS($U$2:U525),$U$2:$U$1001,0),0), INDEX($AB$1004:$AQ$1004,1,MATCH(COLUMNS($AB$1006:AB1006),$AB$1006:$AQ$1006,0)))),"Fix")))</f>
        <v>0</v>
      </c>
      <c r="C525" s="5">
        <f>IF(OR(INDEX($V$2:$V$1001,MATCH(ROWS($U$2:U525),$U$2:$U$1001,0),1)&gt;=100000,INDEX($AB$1005:$AQ$1005,1,MATCH(COLUMNS($AB$1006:AC1006),$AB$1006:$AQ$1006,0))&gt;=100000), " ",IF(INDEX($AB$2:$AQ$1001,MATCH(ROWS($U$2:U525),$U$2:$U$1001,0),MATCH(COLUMNS($AB$1006:AC1006),$AB$1006:$AQ$1006,0)), HYPERLINK("#",""), HYPERLINK(CONCATENATE("#Metadata!", ADDRESS(INDEX($W$2:$W$1001,MATCH(ROWS($U$2:U525),$U$2:$U$1001,0),0), INDEX($AB$1004:$AQ$1004,1,MATCH(COLUMNS($AB$1006:AC1006),$AB$1006:$AQ$1006,0)))),"Fix")))</f>
        <v>0</v>
      </c>
      <c r="D525" s="5">
        <f>IF(OR(INDEX($V$2:$V$1001,MATCH(ROWS($U$2:U525),$U$2:$U$1001,0),1)&gt;=100000,INDEX($AB$1005:$AQ$1005,1,MATCH(COLUMNS($AB$1006:AD1006),$AB$1006:$AQ$1006,0))&gt;=100000), " ",IF(INDEX($AB$2:$AQ$1001,MATCH(ROWS($U$2:U525),$U$2:$U$1001,0),MATCH(COLUMNS($AB$1006:AD1006),$AB$1006:$AQ$1006,0)), HYPERLINK("#",""), HYPERLINK(CONCATENATE("#Metadata!", ADDRESS(INDEX($W$2:$W$1001,MATCH(ROWS($U$2:U525),$U$2:$U$1001,0),0), INDEX($AB$1004:$AQ$1004,1,MATCH(COLUMNS($AB$1006:AD1006),$AB$1006:$AQ$1006,0)))),"Fix")))</f>
        <v>0</v>
      </c>
      <c r="E525" s="5">
        <f>IF(OR(INDEX($V$2:$V$1001,MATCH(ROWS($U$2:U525),$U$2:$U$1001,0),1)&gt;=100000,INDEX($AB$1005:$AQ$1005,1,MATCH(COLUMNS($AB$1006:AE1006),$AB$1006:$AQ$1006,0))&gt;=100000), " ",IF(INDEX($AB$2:$AQ$1001,MATCH(ROWS($U$2:U525),$U$2:$U$1001,0),MATCH(COLUMNS($AB$1006:AE1006),$AB$1006:$AQ$1006,0)), HYPERLINK("#",""), HYPERLINK(CONCATENATE("#Metadata!", ADDRESS(INDEX($W$2:$W$1001,MATCH(ROWS($U$2:U525),$U$2:$U$1001,0),0), INDEX($AB$1004:$AQ$1004,1,MATCH(COLUMNS($AB$1006:AE1006),$AB$1006:$AQ$1006,0)))),"Fix")))</f>
        <v>0</v>
      </c>
      <c r="F525" s="5">
        <f>IF(OR(INDEX($V$2:$V$1001,MATCH(ROWS($U$2:U525),$U$2:$U$1001,0),1)&gt;=100000,INDEX($AB$1005:$AQ$1005,1,MATCH(COLUMNS($AB$1006:AF1006),$AB$1006:$AQ$1006,0))&gt;=100000), " ",IF(INDEX($AB$2:$AQ$1001,MATCH(ROWS($U$2:U525),$U$2:$U$1001,0),MATCH(COLUMNS($AB$1006:AF1006),$AB$1006:$AQ$1006,0)), HYPERLINK("#",""), HYPERLINK(CONCATENATE("#Metadata!", ADDRESS(INDEX($W$2:$W$1001,MATCH(ROWS($U$2:U525),$U$2:$U$1001,0),0), INDEX($AB$1004:$AQ$1004,1,MATCH(COLUMNS($AB$1006:AF1006),$AB$1006:$AQ$1006,0)))),"Fix")))</f>
        <v>0</v>
      </c>
      <c r="G525" s="5">
        <f>IF(OR(INDEX($V$2:$V$1001,MATCH(ROWS($U$2:U525),$U$2:$U$1001,0),1)&gt;=100000,INDEX($AB$1005:$AQ$1005,1,MATCH(COLUMNS($AB$1006:AG1006),$AB$1006:$AQ$1006,0))&gt;=100000), " ",IF(INDEX($AB$2:$AQ$1001,MATCH(ROWS($U$2:U525),$U$2:$U$1001,0),MATCH(COLUMNS($AB$1006:AG1006),$AB$1006:$AQ$1006,0)), HYPERLINK("#",""), HYPERLINK(CONCATENATE("#Metadata!", ADDRESS(INDEX($W$2:$W$1001,MATCH(ROWS($U$2:U525),$U$2:$U$1001,0),0), INDEX($AB$1004:$AQ$1004,1,MATCH(COLUMNS($AB$1006:AG1006),$AB$1006:$AQ$1006,0)))),"Fix")))</f>
        <v>0</v>
      </c>
      <c r="H525" s="5">
        <f>IF(OR(INDEX($V$2:$V$1001,MATCH(ROWS($U$2:U525),$U$2:$U$1001,0),1)&gt;=100000,INDEX($AB$1005:$AQ$1005,1,MATCH(COLUMNS($AB$1006:AH1006),$AB$1006:$AQ$1006,0))&gt;=100000), " ",IF(INDEX($AB$2:$AQ$1001,MATCH(ROWS($U$2:U525),$U$2:$U$1001,0),MATCH(COLUMNS($AB$1006:AH1006),$AB$1006:$AQ$1006,0)), HYPERLINK("#",""), HYPERLINK(CONCATENATE("#Metadata!", ADDRESS(INDEX($W$2:$W$1001,MATCH(ROWS($U$2:U525),$U$2:$U$1001,0),0), INDEX($AB$1004:$AQ$1004,1,MATCH(COLUMNS($AB$1006:AH1006),$AB$1006:$AQ$1006,0)))),"Fix")))</f>
        <v>0</v>
      </c>
      <c r="I525" s="5">
        <f>IF(OR(INDEX($V$2:$V$1001,MATCH(ROWS($U$2:U525),$U$2:$U$1001,0),1)&gt;=100000,INDEX($AB$1005:$AQ$1005,1,MATCH(COLUMNS($AB$1006:AI1006),$AB$1006:$AQ$1006,0))&gt;=100000), " ",IF(INDEX($AB$2:$AQ$1001,MATCH(ROWS($U$2:U525),$U$2:$U$1001,0),MATCH(COLUMNS($AB$1006:AI1006),$AB$1006:$AQ$1006,0)), HYPERLINK("#",""), HYPERLINK(CONCATENATE("#Metadata!", ADDRESS(INDEX($W$2:$W$1001,MATCH(ROWS($U$2:U525),$U$2:$U$1001,0),0), INDEX($AB$1004:$AQ$1004,1,MATCH(COLUMNS($AB$1006:AI1006),$AB$1006:$AQ$1006,0)))),"Fix")))</f>
        <v>0</v>
      </c>
      <c r="J525" s="5">
        <f>IF(OR(INDEX($V$2:$V$1001,MATCH(ROWS($U$2:U525),$U$2:$U$1001,0),1)&gt;=100000,INDEX($AB$1005:$AQ$1005,1,MATCH(COLUMNS($AB$1006:AJ1006),$AB$1006:$AQ$1006,0))&gt;=100000), " ",IF(INDEX($AB$2:$AQ$1001,MATCH(ROWS($U$2:U525),$U$2:$U$1001,0),MATCH(COLUMNS($AB$1006:AJ1006),$AB$1006:$AQ$1006,0)), HYPERLINK("#",""), HYPERLINK(CONCATENATE("#Metadata!", ADDRESS(INDEX($W$2:$W$1001,MATCH(ROWS($U$2:U525),$U$2:$U$1001,0),0), INDEX($AB$1004:$AQ$1004,1,MATCH(COLUMNS($AB$1006:AJ1006),$AB$1006:$AQ$1006,0)))),"Fix")))</f>
        <v>0</v>
      </c>
      <c r="K525" s="5">
        <f>IF(OR(INDEX($V$2:$V$1001,MATCH(ROWS($U$2:U525),$U$2:$U$1001,0),1)&gt;=100000,INDEX($AB$1005:$AQ$1005,1,MATCH(COLUMNS($AB$1006:AK1006),$AB$1006:$AQ$1006,0))&gt;=100000), " ",IF(INDEX($AB$2:$AQ$1001,MATCH(ROWS($U$2:U525),$U$2:$U$1001,0),MATCH(COLUMNS($AB$1006:AK1006),$AB$1006:$AQ$1006,0)), HYPERLINK("#",""), HYPERLINK(CONCATENATE("#Metadata!", ADDRESS(INDEX($W$2:$W$1001,MATCH(ROWS($U$2:U525),$U$2:$U$1001,0),0), INDEX($AB$1004:$AQ$1004,1,MATCH(COLUMNS($AB$1006:AK1006),$AB$1006:$AQ$1006,0)))),"Fix")))</f>
        <v>0</v>
      </c>
      <c r="L525" s="5">
        <f>IF(OR(INDEX($V$2:$V$1001,MATCH(ROWS($U$2:U525),$U$2:$U$1001,0),1)&gt;=100000,INDEX($AB$1005:$AQ$1005,1,MATCH(COLUMNS($AB$1006:AL1006),$AB$1006:$AQ$1006,0))&gt;=100000), " ",IF(INDEX($AB$2:$AQ$1001,MATCH(ROWS($U$2:U525),$U$2:$U$1001,0),MATCH(COLUMNS($AB$1006:AL1006),$AB$1006:$AQ$1006,0)), HYPERLINK("#",""), HYPERLINK(CONCATENATE("#Metadata!", ADDRESS(INDEX($W$2:$W$1001,MATCH(ROWS($U$2:U525),$U$2:$U$1001,0),0), INDEX($AB$1004:$AQ$1004,1,MATCH(COLUMNS($AB$1006:AL1006),$AB$1006:$AQ$1006,0)))),"Fix")))</f>
        <v>0</v>
      </c>
      <c r="M525" s="5">
        <f>IF(OR(INDEX($V$2:$V$1001,MATCH(ROWS($U$2:U525),$U$2:$U$1001,0),1)&gt;=100000,INDEX($AB$1005:$AQ$1005,1,MATCH(COLUMNS($AB$1006:AM1006),$AB$1006:$AQ$1006,0))&gt;=100000), " ",IF(INDEX($AB$2:$AQ$1001,MATCH(ROWS($U$2:U525),$U$2:$U$1001,0),MATCH(COLUMNS($AB$1006:AM1006),$AB$1006:$AQ$1006,0)), HYPERLINK("#",""), HYPERLINK(CONCATENATE("#Metadata!", ADDRESS(INDEX($W$2:$W$1001,MATCH(ROWS($U$2:U525),$U$2:$U$1001,0),0), INDEX($AB$1004:$AQ$1004,1,MATCH(COLUMNS($AB$1006:AM1006),$AB$1006:$AQ$1006,0)))),"Fix")))</f>
        <v>0</v>
      </c>
      <c r="N525" s="5">
        <f>IF(OR(INDEX($V$2:$V$1001,MATCH(ROWS($U$2:U525),$U$2:$U$1001,0),1)&gt;=100000,INDEX($AB$1005:$AQ$1005,1,MATCH(COLUMNS($AB$1006:AN1006),$AB$1006:$AQ$1006,0))&gt;=100000), " ",IF(INDEX($AB$2:$AQ$1001,MATCH(ROWS($U$2:U525),$U$2:$U$1001,0),MATCH(COLUMNS($AB$1006:AN1006),$AB$1006:$AQ$1006,0)), HYPERLINK("#",""), HYPERLINK(CONCATENATE("#Metadata!", ADDRESS(INDEX($W$2:$W$1001,MATCH(ROWS($U$2:U525),$U$2:$U$1001,0),0), INDEX($AB$1004:$AQ$1004,1,MATCH(COLUMNS($AB$1006:AN1006),$AB$1006:$AQ$1006,0)))),"Fix")))</f>
        <v>0</v>
      </c>
      <c r="O525" s="5">
        <f>IF(OR(INDEX($V$2:$V$1001,MATCH(ROWS($U$2:U525),$U$2:$U$1001,0),1)&gt;=100000,INDEX($AB$1005:$AQ$1005,1,MATCH(COLUMNS($AB$1006:AO1006),$AB$1006:$AQ$1006,0))&gt;=100000), " ",IF(INDEX($AB$2:$AQ$1001,MATCH(ROWS($U$2:U525),$U$2:$U$1001,0),MATCH(COLUMNS($AB$1006:AO1006),$AB$1006:$AQ$1006,0)), HYPERLINK("#",""), HYPERLINK(CONCATENATE("#Metadata!", ADDRESS(INDEX($W$2:$W$1001,MATCH(ROWS($U$2:U525),$U$2:$U$1001,0),0), INDEX($AB$1004:$AQ$1004,1,MATCH(COLUMNS($AB$1006:AO1006),$AB$1006:$AQ$1006,0)))),"Fix")))</f>
        <v>0</v>
      </c>
      <c r="P525" s="5">
        <f>IF(OR(INDEX($V$2:$V$1001,MATCH(ROWS($U$2:U525),$U$2:$U$1001,0),1)&gt;=100000,INDEX($AB$1005:$AQ$1005,1,MATCH(COLUMNS($AB$1006:AP1006),$AB$1006:$AQ$1006,0))&gt;=100000), " ",IF(INDEX($AB$2:$AQ$1001,MATCH(ROWS($U$2:U525),$U$2:$U$1001,0),MATCH(COLUMNS($AB$1006:AP1006),$AB$1006:$AQ$1006,0)), HYPERLINK("#",""), HYPERLINK(CONCATENATE("#Metadata!", ADDRESS(INDEX($W$2:$W$1001,MATCH(ROWS($U$2:U525),$U$2:$U$1001,0),0), INDEX($AB$1004:$AQ$1004,1,MATCH(COLUMNS($AB$1006:AP1006),$AB$1006:$AQ$1006,0)))),"Fix")))</f>
        <v>0</v>
      </c>
      <c r="Q525" s="5">
        <f>IF(OR(INDEX($V$2:$V$1001,MATCH(ROWS($U$2:U525),$U$2:$U$1001,0),1)&gt;=100000,INDEX($AB$1005:$AQ$1005,1,MATCH(COLUMNS($AB$1006:AQ1006),$AB$1006:$AQ$1006,0))&gt;=100000), " ",IF(INDEX($AB$2:$AQ$1001,MATCH(ROWS($U$2:U525),$U$2:$U$1001,0),MATCH(COLUMNS($AB$1006:AQ1006),$AB$1006:$AQ$1006,0)), HYPERLINK("#",""), HYPERLINK(CONCATENATE("#Metadata!", ADDRESS(INDEX($W$2:$W$1001,MATCH(ROWS($U$2:U525),$U$2:$U$1001,0),0), INDEX($AB$1004:$AQ$1004,1,MATCH(COLUMNS($AB$1006:AQ1006),$AB$1006:$AQ$1006,0)))),"Fix")))</f>
        <v>0</v>
      </c>
      <c r="U525">
        <v>0</v>
      </c>
      <c r="V525">
        <v>0</v>
      </c>
      <c r="W525">
        <v>0</v>
      </c>
      <c r="X525">
        <f>IF(Y525,TRUE,AND(AB525:AQ525))</f>
        <v>0</v>
      </c>
      <c r="Y525">
        <f>COUNTBLANK(Metadata!B525:Q525)=COLUMNS(Metadata!B525:Q525)</f>
        <v>0</v>
      </c>
      <c r="Z525">
        <v>0</v>
      </c>
      <c r="AB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AC525">
        <f>AND(IF(Metadata!C525="",FALSE,TRUE),exact(Metadata!C525,"urban biome"))</f>
        <v>0</v>
      </c>
      <c r="AD525">
        <f>AND(IF(Metadata!D525="",FALSE,TRUE),exact(Metadata!D525,"human-associated habitat"))</f>
        <v>0</v>
      </c>
      <c r="AE525">
        <f>AND(IF(Metadata!E525="",FALSE,TRUE),OR(exact(Metadata!E525,"human-associated"),exact(Metadata!E525,"human-skin"),exact(Metadata!E525,"human-oral"),exact(Metadata!E525,"human-gut"),exact(Metadata!E525,"human-vaginal")))</f>
        <v>0</v>
      </c>
      <c r="AF525">
        <f>AND(IF(Metadata!F525="",FALSE,ISNUMBER(VALUE(Metadata!F525))),Metadata!F525&gt;0)</f>
        <v>0</v>
      </c>
      <c r="AG525">
        <f>AND(IF(Metadata!G525="",FALSE,TRUE),exact(Metadata!G525,"years"))</f>
        <v>0</v>
      </c>
      <c r="AH525">
        <f>OR(AND(IF(Metadata!H525="",FALSE,TRUE),OR(exact(Metadata!H525,"not applicable"),exact(Metadata!H525,"not collected"),exact(Metadata!H525,"not provided"),exact(Metadata!H525,"restricted access"))),AND(IF(Metadata!H525="",FALSE,ISNUMBER(VALUE(Metadata!H525))),Metadata!H525&gt;0))</f>
        <v>0</v>
      </c>
      <c r="AI525">
        <f>AND(IF(Metadata!I525="",FALSE,TRUE),exact(Metadata!I525,"human"))</f>
        <v>0</v>
      </c>
      <c r="AJ525">
        <f>AND(IF(Metadata!J525="",FALSE,ISNUMBER(VALUE(Metadata!J525))),Metadata!J525&gt;0)</f>
        <v>0</v>
      </c>
      <c r="AK525">
        <f>AND(IF(Metadata!K525="",FALSE,TRUE),exact(Metadata!K525,"cm"))</f>
        <v>0</v>
      </c>
      <c r="AL525">
        <f>AND(IF(Metadata!L525="",FALSE,TRUE),exact(Metadata!L525,"Homo sapiens"))</f>
        <v>0</v>
      </c>
      <c r="AM525">
        <f>AND(IF(Metadata!M525="",FALSE,TRUE),exact(Metadata!M525,"9606"))</f>
        <v>0</v>
      </c>
      <c r="AN525">
        <f>AND(IF(Metadata!N525="",FALSE,ISNUMBER(VALUE(Metadata!N525))),Metadata!N525&gt;0)</f>
        <v>0</v>
      </c>
      <c r="AO525">
        <f>AND(IF(Metadata!O525="",FALSE,TRUE),exact(Metadata!O525,"kg"))</f>
        <v>0</v>
      </c>
      <c r="AP525">
        <f>OR(AND(IF(Metadata!P525="",FALSE,TRUE),exact(Metadata!P525,"not provided")),IF(Metadata!P525="",FALSE,TRUE))</f>
        <v>0</v>
      </c>
      <c r="AQ525">
        <f>OR(AND(IF(Metadata!Q525="",FALSE,TRUE),exact(Metadata!Q525,"not provided")),IF(Metadata!Q525="",FALSE,TRUE))</f>
        <v>0</v>
      </c>
    </row>
    <row r="526" spans="1:43">
      <c r="A526" s="4">
        <f>IF(B526=" "," ",HYPERLINK(CONCATENATE("#metadata!",ADDRESS(INDEX($W$2:$W$1001,MATCH(ROWS($U$2:U526),$U$2:$U$1001,0),0),2)),INDEX($Z$2:$Z$1001,MATCH(ROWS($U$2:U526),$U$2:$U$1001,0),0)))</f>
        <v>0</v>
      </c>
      <c r="B526" s="5">
        <f>IF(OR(INDEX($V$2:$V$1001,MATCH(ROWS($U$2:U526),$U$2:$U$1001,0),1)&gt;=100000,INDEX($AB$1005:$AQ$1005,1,MATCH(COLUMNS($AB$1006:AB1006),$AB$1006:$AQ$1006,0))&gt;=100000), " ",IF(INDEX($AB$2:$AQ$1001,MATCH(ROWS($U$2:U526),$U$2:$U$1001,0),MATCH(COLUMNS($AB$1006:AB1006),$AB$1006:$AQ$1006,0)), HYPERLINK("#",""), HYPERLINK(CONCATENATE("#Metadata!", ADDRESS(INDEX($W$2:$W$1001,MATCH(ROWS($U$2:U526),$U$2:$U$1001,0),0), INDEX($AB$1004:$AQ$1004,1,MATCH(COLUMNS($AB$1006:AB1006),$AB$1006:$AQ$1006,0)))),"Fix")))</f>
        <v>0</v>
      </c>
      <c r="C526" s="5">
        <f>IF(OR(INDEX($V$2:$V$1001,MATCH(ROWS($U$2:U526),$U$2:$U$1001,0),1)&gt;=100000,INDEX($AB$1005:$AQ$1005,1,MATCH(COLUMNS($AB$1006:AC1006),$AB$1006:$AQ$1006,0))&gt;=100000), " ",IF(INDEX($AB$2:$AQ$1001,MATCH(ROWS($U$2:U526),$U$2:$U$1001,0),MATCH(COLUMNS($AB$1006:AC1006),$AB$1006:$AQ$1006,0)), HYPERLINK("#",""), HYPERLINK(CONCATENATE("#Metadata!", ADDRESS(INDEX($W$2:$W$1001,MATCH(ROWS($U$2:U526),$U$2:$U$1001,0),0), INDEX($AB$1004:$AQ$1004,1,MATCH(COLUMNS($AB$1006:AC1006),$AB$1006:$AQ$1006,0)))),"Fix")))</f>
        <v>0</v>
      </c>
      <c r="D526" s="5">
        <f>IF(OR(INDEX($V$2:$V$1001,MATCH(ROWS($U$2:U526),$U$2:$U$1001,0),1)&gt;=100000,INDEX($AB$1005:$AQ$1005,1,MATCH(COLUMNS($AB$1006:AD1006),$AB$1006:$AQ$1006,0))&gt;=100000), " ",IF(INDEX($AB$2:$AQ$1001,MATCH(ROWS($U$2:U526),$U$2:$U$1001,0),MATCH(COLUMNS($AB$1006:AD1006),$AB$1006:$AQ$1006,0)), HYPERLINK("#",""), HYPERLINK(CONCATENATE("#Metadata!", ADDRESS(INDEX($W$2:$W$1001,MATCH(ROWS($U$2:U526),$U$2:$U$1001,0),0), INDEX($AB$1004:$AQ$1004,1,MATCH(COLUMNS($AB$1006:AD1006),$AB$1006:$AQ$1006,0)))),"Fix")))</f>
        <v>0</v>
      </c>
      <c r="E526" s="5">
        <f>IF(OR(INDEX($V$2:$V$1001,MATCH(ROWS($U$2:U526),$U$2:$U$1001,0),1)&gt;=100000,INDEX($AB$1005:$AQ$1005,1,MATCH(COLUMNS($AB$1006:AE1006),$AB$1006:$AQ$1006,0))&gt;=100000), " ",IF(INDEX($AB$2:$AQ$1001,MATCH(ROWS($U$2:U526),$U$2:$U$1001,0),MATCH(COLUMNS($AB$1006:AE1006),$AB$1006:$AQ$1006,0)), HYPERLINK("#",""), HYPERLINK(CONCATENATE("#Metadata!", ADDRESS(INDEX($W$2:$W$1001,MATCH(ROWS($U$2:U526),$U$2:$U$1001,0),0), INDEX($AB$1004:$AQ$1004,1,MATCH(COLUMNS($AB$1006:AE1006),$AB$1006:$AQ$1006,0)))),"Fix")))</f>
        <v>0</v>
      </c>
      <c r="F526" s="5">
        <f>IF(OR(INDEX($V$2:$V$1001,MATCH(ROWS($U$2:U526),$U$2:$U$1001,0),1)&gt;=100000,INDEX($AB$1005:$AQ$1005,1,MATCH(COLUMNS($AB$1006:AF1006),$AB$1006:$AQ$1006,0))&gt;=100000), " ",IF(INDEX($AB$2:$AQ$1001,MATCH(ROWS($U$2:U526),$U$2:$U$1001,0),MATCH(COLUMNS($AB$1006:AF1006),$AB$1006:$AQ$1006,0)), HYPERLINK("#",""), HYPERLINK(CONCATENATE("#Metadata!", ADDRESS(INDEX($W$2:$W$1001,MATCH(ROWS($U$2:U526),$U$2:$U$1001,0),0), INDEX($AB$1004:$AQ$1004,1,MATCH(COLUMNS($AB$1006:AF1006),$AB$1006:$AQ$1006,0)))),"Fix")))</f>
        <v>0</v>
      </c>
      <c r="G526" s="5">
        <f>IF(OR(INDEX($V$2:$V$1001,MATCH(ROWS($U$2:U526),$U$2:$U$1001,0),1)&gt;=100000,INDEX($AB$1005:$AQ$1005,1,MATCH(COLUMNS($AB$1006:AG1006),$AB$1006:$AQ$1006,0))&gt;=100000), " ",IF(INDEX($AB$2:$AQ$1001,MATCH(ROWS($U$2:U526),$U$2:$U$1001,0),MATCH(COLUMNS($AB$1006:AG1006),$AB$1006:$AQ$1006,0)), HYPERLINK("#",""), HYPERLINK(CONCATENATE("#Metadata!", ADDRESS(INDEX($W$2:$W$1001,MATCH(ROWS($U$2:U526),$U$2:$U$1001,0),0), INDEX($AB$1004:$AQ$1004,1,MATCH(COLUMNS($AB$1006:AG1006),$AB$1006:$AQ$1006,0)))),"Fix")))</f>
        <v>0</v>
      </c>
      <c r="H526" s="5">
        <f>IF(OR(INDEX($V$2:$V$1001,MATCH(ROWS($U$2:U526),$U$2:$U$1001,0),1)&gt;=100000,INDEX($AB$1005:$AQ$1005,1,MATCH(COLUMNS($AB$1006:AH1006),$AB$1006:$AQ$1006,0))&gt;=100000), " ",IF(INDEX($AB$2:$AQ$1001,MATCH(ROWS($U$2:U526),$U$2:$U$1001,0),MATCH(COLUMNS($AB$1006:AH1006),$AB$1006:$AQ$1006,0)), HYPERLINK("#",""), HYPERLINK(CONCATENATE("#Metadata!", ADDRESS(INDEX($W$2:$W$1001,MATCH(ROWS($U$2:U526),$U$2:$U$1001,0),0), INDEX($AB$1004:$AQ$1004,1,MATCH(COLUMNS($AB$1006:AH1006),$AB$1006:$AQ$1006,0)))),"Fix")))</f>
        <v>0</v>
      </c>
      <c r="I526" s="5">
        <f>IF(OR(INDEX($V$2:$V$1001,MATCH(ROWS($U$2:U526),$U$2:$U$1001,0),1)&gt;=100000,INDEX($AB$1005:$AQ$1005,1,MATCH(COLUMNS($AB$1006:AI1006),$AB$1006:$AQ$1006,0))&gt;=100000), " ",IF(INDEX($AB$2:$AQ$1001,MATCH(ROWS($U$2:U526),$U$2:$U$1001,0),MATCH(COLUMNS($AB$1006:AI1006),$AB$1006:$AQ$1006,0)), HYPERLINK("#",""), HYPERLINK(CONCATENATE("#Metadata!", ADDRESS(INDEX($W$2:$W$1001,MATCH(ROWS($U$2:U526),$U$2:$U$1001,0),0), INDEX($AB$1004:$AQ$1004,1,MATCH(COLUMNS($AB$1006:AI1006),$AB$1006:$AQ$1006,0)))),"Fix")))</f>
        <v>0</v>
      </c>
      <c r="J526" s="5">
        <f>IF(OR(INDEX($V$2:$V$1001,MATCH(ROWS($U$2:U526),$U$2:$U$1001,0),1)&gt;=100000,INDEX($AB$1005:$AQ$1005,1,MATCH(COLUMNS($AB$1006:AJ1006),$AB$1006:$AQ$1006,0))&gt;=100000), " ",IF(INDEX($AB$2:$AQ$1001,MATCH(ROWS($U$2:U526),$U$2:$U$1001,0),MATCH(COLUMNS($AB$1006:AJ1006),$AB$1006:$AQ$1006,0)), HYPERLINK("#",""), HYPERLINK(CONCATENATE("#Metadata!", ADDRESS(INDEX($W$2:$W$1001,MATCH(ROWS($U$2:U526),$U$2:$U$1001,0),0), INDEX($AB$1004:$AQ$1004,1,MATCH(COLUMNS($AB$1006:AJ1006),$AB$1006:$AQ$1006,0)))),"Fix")))</f>
        <v>0</v>
      </c>
      <c r="K526" s="5">
        <f>IF(OR(INDEX($V$2:$V$1001,MATCH(ROWS($U$2:U526),$U$2:$U$1001,0),1)&gt;=100000,INDEX($AB$1005:$AQ$1005,1,MATCH(COLUMNS($AB$1006:AK1006),$AB$1006:$AQ$1006,0))&gt;=100000), " ",IF(INDEX($AB$2:$AQ$1001,MATCH(ROWS($U$2:U526),$U$2:$U$1001,0),MATCH(COLUMNS($AB$1006:AK1006),$AB$1006:$AQ$1006,0)), HYPERLINK("#",""), HYPERLINK(CONCATENATE("#Metadata!", ADDRESS(INDEX($W$2:$W$1001,MATCH(ROWS($U$2:U526),$U$2:$U$1001,0),0), INDEX($AB$1004:$AQ$1004,1,MATCH(COLUMNS($AB$1006:AK1006),$AB$1006:$AQ$1006,0)))),"Fix")))</f>
        <v>0</v>
      </c>
      <c r="L526" s="5">
        <f>IF(OR(INDEX($V$2:$V$1001,MATCH(ROWS($U$2:U526),$U$2:$U$1001,0),1)&gt;=100000,INDEX($AB$1005:$AQ$1005,1,MATCH(COLUMNS($AB$1006:AL1006),$AB$1006:$AQ$1006,0))&gt;=100000), " ",IF(INDEX($AB$2:$AQ$1001,MATCH(ROWS($U$2:U526),$U$2:$U$1001,0),MATCH(COLUMNS($AB$1006:AL1006),$AB$1006:$AQ$1006,0)), HYPERLINK("#",""), HYPERLINK(CONCATENATE("#Metadata!", ADDRESS(INDEX($W$2:$W$1001,MATCH(ROWS($U$2:U526),$U$2:$U$1001,0),0), INDEX($AB$1004:$AQ$1004,1,MATCH(COLUMNS($AB$1006:AL1006),$AB$1006:$AQ$1006,0)))),"Fix")))</f>
        <v>0</v>
      </c>
      <c r="M526" s="5">
        <f>IF(OR(INDEX($V$2:$V$1001,MATCH(ROWS($U$2:U526),$U$2:$U$1001,0),1)&gt;=100000,INDEX($AB$1005:$AQ$1005,1,MATCH(COLUMNS($AB$1006:AM1006),$AB$1006:$AQ$1006,0))&gt;=100000), " ",IF(INDEX($AB$2:$AQ$1001,MATCH(ROWS($U$2:U526),$U$2:$U$1001,0),MATCH(COLUMNS($AB$1006:AM1006),$AB$1006:$AQ$1006,0)), HYPERLINK("#",""), HYPERLINK(CONCATENATE("#Metadata!", ADDRESS(INDEX($W$2:$W$1001,MATCH(ROWS($U$2:U526),$U$2:$U$1001,0),0), INDEX($AB$1004:$AQ$1004,1,MATCH(COLUMNS($AB$1006:AM1006),$AB$1006:$AQ$1006,0)))),"Fix")))</f>
        <v>0</v>
      </c>
      <c r="N526" s="5">
        <f>IF(OR(INDEX($V$2:$V$1001,MATCH(ROWS($U$2:U526),$U$2:$U$1001,0),1)&gt;=100000,INDEX($AB$1005:$AQ$1005,1,MATCH(COLUMNS($AB$1006:AN1006),$AB$1006:$AQ$1006,0))&gt;=100000), " ",IF(INDEX($AB$2:$AQ$1001,MATCH(ROWS($U$2:U526),$U$2:$U$1001,0),MATCH(COLUMNS($AB$1006:AN1006),$AB$1006:$AQ$1006,0)), HYPERLINK("#",""), HYPERLINK(CONCATENATE("#Metadata!", ADDRESS(INDEX($W$2:$W$1001,MATCH(ROWS($U$2:U526),$U$2:$U$1001,0),0), INDEX($AB$1004:$AQ$1004,1,MATCH(COLUMNS($AB$1006:AN1006),$AB$1006:$AQ$1006,0)))),"Fix")))</f>
        <v>0</v>
      </c>
      <c r="O526" s="5">
        <f>IF(OR(INDEX($V$2:$V$1001,MATCH(ROWS($U$2:U526),$U$2:$U$1001,0),1)&gt;=100000,INDEX($AB$1005:$AQ$1005,1,MATCH(COLUMNS($AB$1006:AO1006),$AB$1006:$AQ$1006,0))&gt;=100000), " ",IF(INDEX($AB$2:$AQ$1001,MATCH(ROWS($U$2:U526),$U$2:$U$1001,0),MATCH(COLUMNS($AB$1006:AO1006),$AB$1006:$AQ$1006,0)), HYPERLINK("#",""), HYPERLINK(CONCATENATE("#Metadata!", ADDRESS(INDEX($W$2:$W$1001,MATCH(ROWS($U$2:U526),$U$2:$U$1001,0),0), INDEX($AB$1004:$AQ$1004,1,MATCH(COLUMNS($AB$1006:AO1006),$AB$1006:$AQ$1006,0)))),"Fix")))</f>
        <v>0</v>
      </c>
      <c r="P526" s="5">
        <f>IF(OR(INDEX($V$2:$V$1001,MATCH(ROWS($U$2:U526),$U$2:$U$1001,0),1)&gt;=100000,INDEX($AB$1005:$AQ$1005,1,MATCH(COLUMNS($AB$1006:AP1006),$AB$1006:$AQ$1006,0))&gt;=100000), " ",IF(INDEX($AB$2:$AQ$1001,MATCH(ROWS($U$2:U526),$U$2:$U$1001,0),MATCH(COLUMNS($AB$1006:AP1006),$AB$1006:$AQ$1006,0)), HYPERLINK("#",""), HYPERLINK(CONCATENATE("#Metadata!", ADDRESS(INDEX($W$2:$W$1001,MATCH(ROWS($U$2:U526),$U$2:$U$1001,0),0), INDEX($AB$1004:$AQ$1004,1,MATCH(COLUMNS($AB$1006:AP1006),$AB$1006:$AQ$1006,0)))),"Fix")))</f>
        <v>0</v>
      </c>
      <c r="Q526" s="5">
        <f>IF(OR(INDEX($V$2:$V$1001,MATCH(ROWS($U$2:U526),$U$2:$U$1001,0),1)&gt;=100000,INDEX($AB$1005:$AQ$1005,1,MATCH(COLUMNS($AB$1006:AQ1006),$AB$1006:$AQ$1006,0))&gt;=100000), " ",IF(INDEX($AB$2:$AQ$1001,MATCH(ROWS($U$2:U526),$U$2:$U$1001,0),MATCH(COLUMNS($AB$1006:AQ1006),$AB$1006:$AQ$1006,0)), HYPERLINK("#",""), HYPERLINK(CONCATENATE("#Metadata!", ADDRESS(INDEX($W$2:$W$1001,MATCH(ROWS($U$2:U526),$U$2:$U$1001,0),0), INDEX($AB$1004:$AQ$1004,1,MATCH(COLUMNS($AB$1006:AQ1006),$AB$1006:$AQ$1006,0)))),"Fix")))</f>
        <v>0</v>
      </c>
      <c r="U526">
        <v>0</v>
      </c>
      <c r="V526">
        <v>0</v>
      </c>
      <c r="W526">
        <v>0</v>
      </c>
      <c r="X526">
        <f>IF(Y526,TRUE,AND(AB526:AQ526))</f>
        <v>0</v>
      </c>
      <c r="Y526">
        <f>COUNTBLANK(Metadata!B526:Q526)=COLUMNS(Metadata!B526:Q526)</f>
        <v>0</v>
      </c>
      <c r="Z526">
        <v>0</v>
      </c>
      <c r="AB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AC526">
        <f>AND(IF(Metadata!C526="",FALSE,TRUE),exact(Metadata!C526,"urban biome"))</f>
        <v>0</v>
      </c>
      <c r="AD526">
        <f>AND(IF(Metadata!D526="",FALSE,TRUE),exact(Metadata!D526,"human-associated habitat"))</f>
        <v>0</v>
      </c>
      <c r="AE526">
        <f>AND(IF(Metadata!E526="",FALSE,TRUE),OR(exact(Metadata!E526,"human-associated"),exact(Metadata!E526,"human-skin"),exact(Metadata!E526,"human-oral"),exact(Metadata!E526,"human-gut"),exact(Metadata!E526,"human-vaginal")))</f>
        <v>0</v>
      </c>
      <c r="AF526">
        <f>AND(IF(Metadata!F526="",FALSE,ISNUMBER(VALUE(Metadata!F526))),Metadata!F526&gt;0)</f>
        <v>0</v>
      </c>
      <c r="AG526">
        <f>AND(IF(Metadata!G526="",FALSE,TRUE),exact(Metadata!G526,"years"))</f>
        <v>0</v>
      </c>
      <c r="AH526">
        <f>OR(AND(IF(Metadata!H526="",FALSE,TRUE),OR(exact(Metadata!H526,"not applicable"),exact(Metadata!H526,"not collected"),exact(Metadata!H526,"not provided"),exact(Metadata!H526,"restricted access"))),AND(IF(Metadata!H526="",FALSE,ISNUMBER(VALUE(Metadata!H526))),Metadata!H526&gt;0))</f>
        <v>0</v>
      </c>
      <c r="AI526">
        <f>AND(IF(Metadata!I526="",FALSE,TRUE),exact(Metadata!I526,"human"))</f>
        <v>0</v>
      </c>
      <c r="AJ526">
        <f>AND(IF(Metadata!J526="",FALSE,ISNUMBER(VALUE(Metadata!J526))),Metadata!J526&gt;0)</f>
        <v>0</v>
      </c>
      <c r="AK526">
        <f>AND(IF(Metadata!K526="",FALSE,TRUE),exact(Metadata!K526,"cm"))</f>
        <v>0</v>
      </c>
      <c r="AL526">
        <f>AND(IF(Metadata!L526="",FALSE,TRUE),exact(Metadata!L526,"Homo sapiens"))</f>
        <v>0</v>
      </c>
      <c r="AM526">
        <f>AND(IF(Metadata!M526="",FALSE,TRUE),exact(Metadata!M526,"9606"))</f>
        <v>0</v>
      </c>
      <c r="AN526">
        <f>AND(IF(Metadata!N526="",FALSE,ISNUMBER(VALUE(Metadata!N526))),Metadata!N526&gt;0)</f>
        <v>0</v>
      </c>
      <c r="AO526">
        <f>AND(IF(Metadata!O526="",FALSE,TRUE),exact(Metadata!O526,"kg"))</f>
        <v>0</v>
      </c>
      <c r="AP526">
        <f>OR(AND(IF(Metadata!P526="",FALSE,TRUE),exact(Metadata!P526,"not provided")),IF(Metadata!P526="",FALSE,TRUE))</f>
        <v>0</v>
      </c>
      <c r="AQ526">
        <f>OR(AND(IF(Metadata!Q526="",FALSE,TRUE),exact(Metadata!Q526,"not provided")),IF(Metadata!Q526="",FALSE,TRUE))</f>
        <v>0</v>
      </c>
    </row>
    <row r="527" spans="1:43">
      <c r="A527" s="4">
        <f>IF(B527=" "," ",HYPERLINK(CONCATENATE("#metadata!",ADDRESS(INDEX($W$2:$W$1001,MATCH(ROWS($U$2:U527),$U$2:$U$1001,0),0),2)),INDEX($Z$2:$Z$1001,MATCH(ROWS($U$2:U527),$U$2:$U$1001,0),0)))</f>
        <v>0</v>
      </c>
      <c r="B527" s="5">
        <f>IF(OR(INDEX($V$2:$V$1001,MATCH(ROWS($U$2:U527),$U$2:$U$1001,0),1)&gt;=100000,INDEX($AB$1005:$AQ$1005,1,MATCH(COLUMNS($AB$1006:AB1006),$AB$1006:$AQ$1006,0))&gt;=100000), " ",IF(INDEX($AB$2:$AQ$1001,MATCH(ROWS($U$2:U527),$U$2:$U$1001,0),MATCH(COLUMNS($AB$1006:AB1006),$AB$1006:$AQ$1006,0)), HYPERLINK("#",""), HYPERLINK(CONCATENATE("#Metadata!", ADDRESS(INDEX($W$2:$W$1001,MATCH(ROWS($U$2:U527),$U$2:$U$1001,0),0), INDEX($AB$1004:$AQ$1004,1,MATCH(COLUMNS($AB$1006:AB1006),$AB$1006:$AQ$1006,0)))),"Fix")))</f>
        <v>0</v>
      </c>
      <c r="C527" s="5">
        <f>IF(OR(INDEX($V$2:$V$1001,MATCH(ROWS($U$2:U527),$U$2:$U$1001,0),1)&gt;=100000,INDEX($AB$1005:$AQ$1005,1,MATCH(COLUMNS($AB$1006:AC1006),$AB$1006:$AQ$1006,0))&gt;=100000), " ",IF(INDEX($AB$2:$AQ$1001,MATCH(ROWS($U$2:U527),$U$2:$U$1001,0),MATCH(COLUMNS($AB$1006:AC1006),$AB$1006:$AQ$1006,0)), HYPERLINK("#",""), HYPERLINK(CONCATENATE("#Metadata!", ADDRESS(INDEX($W$2:$W$1001,MATCH(ROWS($U$2:U527),$U$2:$U$1001,0),0), INDEX($AB$1004:$AQ$1004,1,MATCH(COLUMNS($AB$1006:AC1006),$AB$1006:$AQ$1006,0)))),"Fix")))</f>
        <v>0</v>
      </c>
      <c r="D527" s="5">
        <f>IF(OR(INDEX($V$2:$V$1001,MATCH(ROWS($U$2:U527),$U$2:$U$1001,0),1)&gt;=100000,INDEX($AB$1005:$AQ$1005,1,MATCH(COLUMNS($AB$1006:AD1006),$AB$1006:$AQ$1006,0))&gt;=100000), " ",IF(INDEX($AB$2:$AQ$1001,MATCH(ROWS($U$2:U527),$U$2:$U$1001,0),MATCH(COLUMNS($AB$1006:AD1006),$AB$1006:$AQ$1006,0)), HYPERLINK("#",""), HYPERLINK(CONCATENATE("#Metadata!", ADDRESS(INDEX($W$2:$W$1001,MATCH(ROWS($U$2:U527),$U$2:$U$1001,0),0), INDEX($AB$1004:$AQ$1004,1,MATCH(COLUMNS($AB$1006:AD1006),$AB$1006:$AQ$1006,0)))),"Fix")))</f>
        <v>0</v>
      </c>
      <c r="E527" s="5">
        <f>IF(OR(INDEX($V$2:$V$1001,MATCH(ROWS($U$2:U527),$U$2:$U$1001,0),1)&gt;=100000,INDEX($AB$1005:$AQ$1005,1,MATCH(COLUMNS($AB$1006:AE1006),$AB$1006:$AQ$1006,0))&gt;=100000), " ",IF(INDEX($AB$2:$AQ$1001,MATCH(ROWS($U$2:U527),$U$2:$U$1001,0),MATCH(COLUMNS($AB$1006:AE1006),$AB$1006:$AQ$1006,0)), HYPERLINK("#",""), HYPERLINK(CONCATENATE("#Metadata!", ADDRESS(INDEX($W$2:$W$1001,MATCH(ROWS($U$2:U527),$U$2:$U$1001,0),0), INDEX($AB$1004:$AQ$1004,1,MATCH(COLUMNS($AB$1006:AE1006),$AB$1006:$AQ$1006,0)))),"Fix")))</f>
        <v>0</v>
      </c>
      <c r="F527" s="5">
        <f>IF(OR(INDEX($V$2:$V$1001,MATCH(ROWS($U$2:U527),$U$2:$U$1001,0),1)&gt;=100000,INDEX($AB$1005:$AQ$1005,1,MATCH(COLUMNS($AB$1006:AF1006),$AB$1006:$AQ$1006,0))&gt;=100000), " ",IF(INDEX($AB$2:$AQ$1001,MATCH(ROWS($U$2:U527),$U$2:$U$1001,0),MATCH(COLUMNS($AB$1006:AF1006),$AB$1006:$AQ$1006,0)), HYPERLINK("#",""), HYPERLINK(CONCATENATE("#Metadata!", ADDRESS(INDEX($W$2:$W$1001,MATCH(ROWS($U$2:U527),$U$2:$U$1001,0),0), INDEX($AB$1004:$AQ$1004,1,MATCH(COLUMNS($AB$1006:AF1006),$AB$1006:$AQ$1006,0)))),"Fix")))</f>
        <v>0</v>
      </c>
      <c r="G527" s="5">
        <f>IF(OR(INDEX($V$2:$V$1001,MATCH(ROWS($U$2:U527),$U$2:$U$1001,0),1)&gt;=100000,INDEX($AB$1005:$AQ$1005,1,MATCH(COLUMNS($AB$1006:AG1006),$AB$1006:$AQ$1006,0))&gt;=100000), " ",IF(INDEX($AB$2:$AQ$1001,MATCH(ROWS($U$2:U527),$U$2:$U$1001,0),MATCH(COLUMNS($AB$1006:AG1006),$AB$1006:$AQ$1006,0)), HYPERLINK("#",""), HYPERLINK(CONCATENATE("#Metadata!", ADDRESS(INDEX($W$2:$W$1001,MATCH(ROWS($U$2:U527),$U$2:$U$1001,0),0), INDEX($AB$1004:$AQ$1004,1,MATCH(COLUMNS($AB$1006:AG1006),$AB$1006:$AQ$1006,0)))),"Fix")))</f>
        <v>0</v>
      </c>
      <c r="H527" s="5">
        <f>IF(OR(INDEX($V$2:$V$1001,MATCH(ROWS($U$2:U527),$U$2:$U$1001,0),1)&gt;=100000,INDEX($AB$1005:$AQ$1005,1,MATCH(COLUMNS($AB$1006:AH1006),$AB$1006:$AQ$1006,0))&gt;=100000), " ",IF(INDEX($AB$2:$AQ$1001,MATCH(ROWS($U$2:U527),$U$2:$U$1001,0),MATCH(COLUMNS($AB$1006:AH1006),$AB$1006:$AQ$1006,0)), HYPERLINK("#",""), HYPERLINK(CONCATENATE("#Metadata!", ADDRESS(INDEX($W$2:$W$1001,MATCH(ROWS($U$2:U527),$U$2:$U$1001,0),0), INDEX($AB$1004:$AQ$1004,1,MATCH(COLUMNS($AB$1006:AH1006),$AB$1006:$AQ$1006,0)))),"Fix")))</f>
        <v>0</v>
      </c>
      <c r="I527" s="5">
        <f>IF(OR(INDEX($V$2:$V$1001,MATCH(ROWS($U$2:U527),$U$2:$U$1001,0),1)&gt;=100000,INDEX($AB$1005:$AQ$1005,1,MATCH(COLUMNS($AB$1006:AI1006),$AB$1006:$AQ$1006,0))&gt;=100000), " ",IF(INDEX($AB$2:$AQ$1001,MATCH(ROWS($U$2:U527),$U$2:$U$1001,0),MATCH(COLUMNS($AB$1006:AI1006),$AB$1006:$AQ$1006,0)), HYPERLINK("#",""), HYPERLINK(CONCATENATE("#Metadata!", ADDRESS(INDEX($W$2:$W$1001,MATCH(ROWS($U$2:U527),$U$2:$U$1001,0),0), INDEX($AB$1004:$AQ$1004,1,MATCH(COLUMNS($AB$1006:AI1006),$AB$1006:$AQ$1006,0)))),"Fix")))</f>
        <v>0</v>
      </c>
      <c r="J527" s="5">
        <f>IF(OR(INDEX($V$2:$V$1001,MATCH(ROWS($U$2:U527),$U$2:$U$1001,0),1)&gt;=100000,INDEX($AB$1005:$AQ$1005,1,MATCH(COLUMNS($AB$1006:AJ1006),$AB$1006:$AQ$1006,0))&gt;=100000), " ",IF(INDEX($AB$2:$AQ$1001,MATCH(ROWS($U$2:U527),$U$2:$U$1001,0),MATCH(COLUMNS($AB$1006:AJ1006),$AB$1006:$AQ$1006,0)), HYPERLINK("#",""), HYPERLINK(CONCATENATE("#Metadata!", ADDRESS(INDEX($W$2:$W$1001,MATCH(ROWS($U$2:U527),$U$2:$U$1001,0),0), INDEX($AB$1004:$AQ$1004,1,MATCH(COLUMNS($AB$1006:AJ1006),$AB$1006:$AQ$1006,0)))),"Fix")))</f>
        <v>0</v>
      </c>
      <c r="K527" s="5">
        <f>IF(OR(INDEX($V$2:$V$1001,MATCH(ROWS($U$2:U527),$U$2:$U$1001,0),1)&gt;=100000,INDEX($AB$1005:$AQ$1005,1,MATCH(COLUMNS($AB$1006:AK1006),$AB$1006:$AQ$1006,0))&gt;=100000), " ",IF(INDEX($AB$2:$AQ$1001,MATCH(ROWS($U$2:U527),$U$2:$U$1001,0),MATCH(COLUMNS($AB$1006:AK1006),$AB$1006:$AQ$1006,0)), HYPERLINK("#",""), HYPERLINK(CONCATENATE("#Metadata!", ADDRESS(INDEX($W$2:$W$1001,MATCH(ROWS($U$2:U527),$U$2:$U$1001,0),0), INDEX($AB$1004:$AQ$1004,1,MATCH(COLUMNS($AB$1006:AK1006),$AB$1006:$AQ$1006,0)))),"Fix")))</f>
        <v>0</v>
      </c>
      <c r="L527" s="5">
        <f>IF(OR(INDEX($V$2:$V$1001,MATCH(ROWS($U$2:U527),$U$2:$U$1001,0),1)&gt;=100000,INDEX($AB$1005:$AQ$1005,1,MATCH(COLUMNS($AB$1006:AL1006),$AB$1006:$AQ$1006,0))&gt;=100000), " ",IF(INDEX($AB$2:$AQ$1001,MATCH(ROWS($U$2:U527),$U$2:$U$1001,0),MATCH(COLUMNS($AB$1006:AL1006),$AB$1006:$AQ$1006,0)), HYPERLINK("#",""), HYPERLINK(CONCATENATE("#Metadata!", ADDRESS(INDEX($W$2:$W$1001,MATCH(ROWS($U$2:U527),$U$2:$U$1001,0),0), INDEX($AB$1004:$AQ$1004,1,MATCH(COLUMNS($AB$1006:AL1006),$AB$1006:$AQ$1006,0)))),"Fix")))</f>
        <v>0</v>
      </c>
      <c r="M527" s="5">
        <f>IF(OR(INDEX($V$2:$V$1001,MATCH(ROWS($U$2:U527),$U$2:$U$1001,0),1)&gt;=100000,INDEX($AB$1005:$AQ$1005,1,MATCH(COLUMNS($AB$1006:AM1006),$AB$1006:$AQ$1006,0))&gt;=100000), " ",IF(INDEX($AB$2:$AQ$1001,MATCH(ROWS($U$2:U527),$U$2:$U$1001,0),MATCH(COLUMNS($AB$1006:AM1006),$AB$1006:$AQ$1006,0)), HYPERLINK("#",""), HYPERLINK(CONCATENATE("#Metadata!", ADDRESS(INDEX($W$2:$W$1001,MATCH(ROWS($U$2:U527),$U$2:$U$1001,0),0), INDEX($AB$1004:$AQ$1004,1,MATCH(COLUMNS($AB$1006:AM1006),$AB$1006:$AQ$1006,0)))),"Fix")))</f>
        <v>0</v>
      </c>
      <c r="N527" s="5">
        <f>IF(OR(INDEX($V$2:$V$1001,MATCH(ROWS($U$2:U527),$U$2:$U$1001,0),1)&gt;=100000,INDEX($AB$1005:$AQ$1005,1,MATCH(COLUMNS($AB$1006:AN1006),$AB$1006:$AQ$1006,0))&gt;=100000), " ",IF(INDEX($AB$2:$AQ$1001,MATCH(ROWS($U$2:U527),$U$2:$U$1001,0),MATCH(COLUMNS($AB$1006:AN1006),$AB$1006:$AQ$1006,0)), HYPERLINK("#",""), HYPERLINK(CONCATENATE("#Metadata!", ADDRESS(INDEX($W$2:$W$1001,MATCH(ROWS($U$2:U527),$U$2:$U$1001,0),0), INDEX($AB$1004:$AQ$1004,1,MATCH(COLUMNS($AB$1006:AN1006),$AB$1006:$AQ$1006,0)))),"Fix")))</f>
        <v>0</v>
      </c>
      <c r="O527" s="5">
        <f>IF(OR(INDEX($V$2:$V$1001,MATCH(ROWS($U$2:U527),$U$2:$U$1001,0),1)&gt;=100000,INDEX($AB$1005:$AQ$1005,1,MATCH(COLUMNS($AB$1006:AO1006),$AB$1006:$AQ$1006,0))&gt;=100000), " ",IF(INDEX($AB$2:$AQ$1001,MATCH(ROWS($U$2:U527),$U$2:$U$1001,0),MATCH(COLUMNS($AB$1006:AO1006),$AB$1006:$AQ$1006,0)), HYPERLINK("#",""), HYPERLINK(CONCATENATE("#Metadata!", ADDRESS(INDEX($W$2:$W$1001,MATCH(ROWS($U$2:U527),$U$2:$U$1001,0),0), INDEX($AB$1004:$AQ$1004,1,MATCH(COLUMNS($AB$1006:AO1006),$AB$1006:$AQ$1006,0)))),"Fix")))</f>
        <v>0</v>
      </c>
      <c r="P527" s="5">
        <f>IF(OR(INDEX($V$2:$V$1001,MATCH(ROWS($U$2:U527),$U$2:$U$1001,0),1)&gt;=100000,INDEX($AB$1005:$AQ$1005,1,MATCH(COLUMNS($AB$1006:AP1006),$AB$1006:$AQ$1006,0))&gt;=100000), " ",IF(INDEX($AB$2:$AQ$1001,MATCH(ROWS($U$2:U527),$U$2:$U$1001,0),MATCH(COLUMNS($AB$1006:AP1006),$AB$1006:$AQ$1006,0)), HYPERLINK("#",""), HYPERLINK(CONCATENATE("#Metadata!", ADDRESS(INDEX($W$2:$W$1001,MATCH(ROWS($U$2:U527),$U$2:$U$1001,0),0), INDEX($AB$1004:$AQ$1004,1,MATCH(COLUMNS($AB$1006:AP1006),$AB$1006:$AQ$1006,0)))),"Fix")))</f>
        <v>0</v>
      </c>
      <c r="Q527" s="5">
        <f>IF(OR(INDEX($V$2:$V$1001,MATCH(ROWS($U$2:U527),$U$2:$U$1001,0),1)&gt;=100000,INDEX($AB$1005:$AQ$1005,1,MATCH(COLUMNS($AB$1006:AQ1006),$AB$1006:$AQ$1006,0))&gt;=100000), " ",IF(INDEX($AB$2:$AQ$1001,MATCH(ROWS($U$2:U527),$U$2:$U$1001,0),MATCH(COLUMNS($AB$1006:AQ1006),$AB$1006:$AQ$1006,0)), HYPERLINK("#",""), HYPERLINK(CONCATENATE("#Metadata!", ADDRESS(INDEX($W$2:$W$1001,MATCH(ROWS($U$2:U527),$U$2:$U$1001,0),0), INDEX($AB$1004:$AQ$1004,1,MATCH(COLUMNS($AB$1006:AQ1006),$AB$1006:$AQ$1006,0)))),"Fix")))</f>
        <v>0</v>
      </c>
      <c r="U527">
        <v>0</v>
      </c>
      <c r="V527">
        <v>0</v>
      </c>
      <c r="W527">
        <v>0</v>
      </c>
      <c r="X527">
        <f>IF(Y527,TRUE,AND(AB527:AQ527))</f>
        <v>0</v>
      </c>
      <c r="Y527">
        <f>COUNTBLANK(Metadata!B527:Q527)=COLUMNS(Metadata!B527:Q527)</f>
        <v>0</v>
      </c>
      <c r="Z527">
        <v>0</v>
      </c>
      <c r="AB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AC527">
        <f>AND(IF(Metadata!C527="",FALSE,TRUE),exact(Metadata!C527,"urban biome"))</f>
        <v>0</v>
      </c>
      <c r="AD527">
        <f>AND(IF(Metadata!D527="",FALSE,TRUE),exact(Metadata!D527,"human-associated habitat"))</f>
        <v>0</v>
      </c>
      <c r="AE527">
        <f>AND(IF(Metadata!E527="",FALSE,TRUE),OR(exact(Metadata!E527,"human-associated"),exact(Metadata!E527,"human-skin"),exact(Metadata!E527,"human-oral"),exact(Metadata!E527,"human-gut"),exact(Metadata!E527,"human-vaginal")))</f>
        <v>0</v>
      </c>
      <c r="AF527">
        <f>AND(IF(Metadata!F527="",FALSE,ISNUMBER(VALUE(Metadata!F527))),Metadata!F527&gt;0)</f>
        <v>0</v>
      </c>
      <c r="AG527">
        <f>AND(IF(Metadata!G527="",FALSE,TRUE),exact(Metadata!G527,"years"))</f>
        <v>0</v>
      </c>
      <c r="AH527">
        <f>OR(AND(IF(Metadata!H527="",FALSE,TRUE),OR(exact(Metadata!H527,"not applicable"),exact(Metadata!H527,"not collected"),exact(Metadata!H527,"not provided"),exact(Metadata!H527,"restricted access"))),AND(IF(Metadata!H527="",FALSE,ISNUMBER(VALUE(Metadata!H527))),Metadata!H527&gt;0))</f>
        <v>0</v>
      </c>
      <c r="AI527">
        <f>AND(IF(Metadata!I527="",FALSE,TRUE),exact(Metadata!I527,"human"))</f>
        <v>0</v>
      </c>
      <c r="AJ527">
        <f>AND(IF(Metadata!J527="",FALSE,ISNUMBER(VALUE(Metadata!J527))),Metadata!J527&gt;0)</f>
        <v>0</v>
      </c>
      <c r="AK527">
        <f>AND(IF(Metadata!K527="",FALSE,TRUE),exact(Metadata!K527,"cm"))</f>
        <v>0</v>
      </c>
      <c r="AL527">
        <f>AND(IF(Metadata!L527="",FALSE,TRUE),exact(Metadata!L527,"Homo sapiens"))</f>
        <v>0</v>
      </c>
      <c r="AM527">
        <f>AND(IF(Metadata!M527="",FALSE,TRUE),exact(Metadata!M527,"9606"))</f>
        <v>0</v>
      </c>
      <c r="AN527">
        <f>AND(IF(Metadata!N527="",FALSE,ISNUMBER(VALUE(Metadata!N527))),Metadata!N527&gt;0)</f>
        <v>0</v>
      </c>
      <c r="AO527">
        <f>AND(IF(Metadata!O527="",FALSE,TRUE),exact(Metadata!O527,"kg"))</f>
        <v>0</v>
      </c>
      <c r="AP527">
        <f>OR(AND(IF(Metadata!P527="",FALSE,TRUE),exact(Metadata!P527,"not provided")),IF(Metadata!P527="",FALSE,TRUE))</f>
        <v>0</v>
      </c>
      <c r="AQ527">
        <f>OR(AND(IF(Metadata!Q527="",FALSE,TRUE),exact(Metadata!Q527,"not provided")),IF(Metadata!Q527="",FALSE,TRUE))</f>
        <v>0</v>
      </c>
    </row>
    <row r="528" spans="1:43">
      <c r="A528" s="4">
        <f>IF(B528=" "," ",HYPERLINK(CONCATENATE("#metadata!",ADDRESS(INDEX($W$2:$W$1001,MATCH(ROWS($U$2:U528),$U$2:$U$1001,0),0),2)),INDEX($Z$2:$Z$1001,MATCH(ROWS($U$2:U528),$U$2:$U$1001,0),0)))</f>
        <v>0</v>
      </c>
      <c r="B528" s="5">
        <f>IF(OR(INDEX($V$2:$V$1001,MATCH(ROWS($U$2:U528),$U$2:$U$1001,0),1)&gt;=100000,INDEX($AB$1005:$AQ$1005,1,MATCH(COLUMNS($AB$1006:AB1006),$AB$1006:$AQ$1006,0))&gt;=100000), " ",IF(INDEX($AB$2:$AQ$1001,MATCH(ROWS($U$2:U528),$U$2:$U$1001,0),MATCH(COLUMNS($AB$1006:AB1006),$AB$1006:$AQ$1006,0)), HYPERLINK("#",""), HYPERLINK(CONCATENATE("#Metadata!", ADDRESS(INDEX($W$2:$W$1001,MATCH(ROWS($U$2:U528),$U$2:$U$1001,0),0), INDEX($AB$1004:$AQ$1004,1,MATCH(COLUMNS($AB$1006:AB1006),$AB$1006:$AQ$1006,0)))),"Fix")))</f>
        <v>0</v>
      </c>
      <c r="C528" s="5">
        <f>IF(OR(INDEX($V$2:$V$1001,MATCH(ROWS($U$2:U528),$U$2:$U$1001,0),1)&gt;=100000,INDEX($AB$1005:$AQ$1005,1,MATCH(COLUMNS($AB$1006:AC1006),$AB$1006:$AQ$1006,0))&gt;=100000), " ",IF(INDEX($AB$2:$AQ$1001,MATCH(ROWS($U$2:U528),$U$2:$U$1001,0),MATCH(COLUMNS($AB$1006:AC1006),$AB$1006:$AQ$1006,0)), HYPERLINK("#",""), HYPERLINK(CONCATENATE("#Metadata!", ADDRESS(INDEX($W$2:$W$1001,MATCH(ROWS($U$2:U528),$U$2:$U$1001,0),0), INDEX($AB$1004:$AQ$1004,1,MATCH(COLUMNS($AB$1006:AC1006),$AB$1006:$AQ$1006,0)))),"Fix")))</f>
        <v>0</v>
      </c>
      <c r="D528" s="5">
        <f>IF(OR(INDEX($V$2:$V$1001,MATCH(ROWS($U$2:U528),$U$2:$U$1001,0),1)&gt;=100000,INDEX($AB$1005:$AQ$1005,1,MATCH(COLUMNS($AB$1006:AD1006),$AB$1006:$AQ$1006,0))&gt;=100000), " ",IF(INDEX($AB$2:$AQ$1001,MATCH(ROWS($U$2:U528),$U$2:$U$1001,0),MATCH(COLUMNS($AB$1006:AD1006),$AB$1006:$AQ$1006,0)), HYPERLINK("#",""), HYPERLINK(CONCATENATE("#Metadata!", ADDRESS(INDEX($W$2:$W$1001,MATCH(ROWS($U$2:U528),$U$2:$U$1001,0),0), INDEX($AB$1004:$AQ$1004,1,MATCH(COLUMNS($AB$1006:AD1006),$AB$1006:$AQ$1006,0)))),"Fix")))</f>
        <v>0</v>
      </c>
      <c r="E528" s="5">
        <f>IF(OR(INDEX($V$2:$V$1001,MATCH(ROWS($U$2:U528),$U$2:$U$1001,0),1)&gt;=100000,INDEX($AB$1005:$AQ$1005,1,MATCH(COLUMNS($AB$1006:AE1006),$AB$1006:$AQ$1006,0))&gt;=100000), " ",IF(INDEX($AB$2:$AQ$1001,MATCH(ROWS($U$2:U528),$U$2:$U$1001,0),MATCH(COLUMNS($AB$1006:AE1006),$AB$1006:$AQ$1006,0)), HYPERLINK("#",""), HYPERLINK(CONCATENATE("#Metadata!", ADDRESS(INDEX($W$2:$W$1001,MATCH(ROWS($U$2:U528),$U$2:$U$1001,0),0), INDEX($AB$1004:$AQ$1004,1,MATCH(COLUMNS($AB$1006:AE1006),$AB$1006:$AQ$1006,0)))),"Fix")))</f>
        <v>0</v>
      </c>
      <c r="F528" s="5">
        <f>IF(OR(INDEX($V$2:$V$1001,MATCH(ROWS($U$2:U528),$U$2:$U$1001,0),1)&gt;=100000,INDEX($AB$1005:$AQ$1005,1,MATCH(COLUMNS($AB$1006:AF1006),$AB$1006:$AQ$1006,0))&gt;=100000), " ",IF(INDEX($AB$2:$AQ$1001,MATCH(ROWS($U$2:U528),$U$2:$U$1001,0),MATCH(COLUMNS($AB$1006:AF1006),$AB$1006:$AQ$1006,0)), HYPERLINK("#",""), HYPERLINK(CONCATENATE("#Metadata!", ADDRESS(INDEX($W$2:$W$1001,MATCH(ROWS($U$2:U528),$U$2:$U$1001,0),0), INDEX($AB$1004:$AQ$1004,1,MATCH(COLUMNS($AB$1006:AF1006),$AB$1006:$AQ$1006,0)))),"Fix")))</f>
        <v>0</v>
      </c>
      <c r="G528" s="5">
        <f>IF(OR(INDEX($V$2:$V$1001,MATCH(ROWS($U$2:U528),$U$2:$U$1001,0),1)&gt;=100000,INDEX($AB$1005:$AQ$1005,1,MATCH(COLUMNS($AB$1006:AG1006),$AB$1006:$AQ$1006,0))&gt;=100000), " ",IF(INDEX($AB$2:$AQ$1001,MATCH(ROWS($U$2:U528),$U$2:$U$1001,0),MATCH(COLUMNS($AB$1006:AG1006),$AB$1006:$AQ$1006,0)), HYPERLINK("#",""), HYPERLINK(CONCATENATE("#Metadata!", ADDRESS(INDEX($W$2:$W$1001,MATCH(ROWS($U$2:U528),$U$2:$U$1001,0),0), INDEX($AB$1004:$AQ$1004,1,MATCH(COLUMNS($AB$1006:AG1006),$AB$1006:$AQ$1006,0)))),"Fix")))</f>
        <v>0</v>
      </c>
      <c r="H528" s="5">
        <f>IF(OR(INDEX($V$2:$V$1001,MATCH(ROWS($U$2:U528),$U$2:$U$1001,0),1)&gt;=100000,INDEX($AB$1005:$AQ$1005,1,MATCH(COLUMNS($AB$1006:AH1006),$AB$1006:$AQ$1006,0))&gt;=100000), " ",IF(INDEX($AB$2:$AQ$1001,MATCH(ROWS($U$2:U528),$U$2:$U$1001,0),MATCH(COLUMNS($AB$1006:AH1006),$AB$1006:$AQ$1006,0)), HYPERLINK("#",""), HYPERLINK(CONCATENATE("#Metadata!", ADDRESS(INDEX($W$2:$W$1001,MATCH(ROWS($U$2:U528),$U$2:$U$1001,0),0), INDEX($AB$1004:$AQ$1004,1,MATCH(COLUMNS($AB$1006:AH1006),$AB$1006:$AQ$1006,0)))),"Fix")))</f>
        <v>0</v>
      </c>
      <c r="I528" s="5">
        <f>IF(OR(INDEX($V$2:$V$1001,MATCH(ROWS($U$2:U528),$U$2:$U$1001,0),1)&gt;=100000,INDEX($AB$1005:$AQ$1005,1,MATCH(COLUMNS($AB$1006:AI1006),$AB$1006:$AQ$1006,0))&gt;=100000), " ",IF(INDEX($AB$2:$AQ$1001,MATCH(ROWS($U$2:U528),$U$2:$U$1001,0),MATCH(COLUMNS($AB$1006:AI1006),$AB$1006:$AQ$1006,0)), HYPERLINK("#",""), HYPERLINK(CONCATENATE("#Metadata!", ADDRESS(INDEX($W$2:$W$1001,MATCH(ROWS($U$2:U528),$U$2:$U$1001,0),0), INDEX($AB$1004:$AQ$1004,1,MATCH(COLUMNS($AB$1006:AI1006),$AB$1006:$AQ$1006,0)))),"Fix")))</f>
        <v>0</v>
      </c>
      <c r="J528" s="5">
        <f>IF(OR(INDEX($V$2:$V$1001,MATCH(ROWS($U$2:U528),$U$2:$U$1001,0),1)&gt;=100000,INDEX($AB$1005:$AQ$1005,1,MATCH(COLUMNS($AB$1006:AJ1006),$AB$1006:$AQ$1006,0))&gt;=100000), " ",IF(INDEX($AB$2:$AQ$1001,MATCH(ROWS($U$2:U528),$U$2:$U$1001,0),MATCH(COLUMNS($AB$1006:AJ1006),$AB$1006:$AQ$1006,0)), HYPERLINK("#",""), HYPERLINK(CONCATENATE("#Metadata!", ADDRESS(INDEX($W$2:$W$1001,MATCH(ROWS($U$2:U528),$U$2:$U$1001,0),0), INDEX($AB$1004:$AQ$1004,1,MATCH(COLUMNS($AB$1006:AJ1006),$AB$1006:$AQ$1006,0)))),"Fix")))</f>
        <v>0</v>
      </c>
      <c r="K528" s="5">
        <f>IF(OR(INDEX($V$2:$V$1001,MATCH(ROWS($U$2:U528),$U$2:$U$1001,0),1)&gt;=100000,INDEX($AB$1005:$AQ$1005,1,MATCH(COLUMNS($AB$1006:AK1006),$AB$1006:$AQ$1006,0))&gt;=100000), " ",IF(INDEX($AB$2:$AQ$1001,MATCH(ROWS($U$2:U528),$U$2:$U$1001,0),MATCH(COLUMNS($AB$1006:AK1006),$AB$1006:$AQ$1006,0)), HYPERLINK("#",""), HYPERLINK(CONCATENATE("#Metadata!", ADDRESS(INDEX($W$2:$W$1001,MATCH(ROWS($U$2:U528),$U$2:$U$1001,0),0), INDEX($AB$1004:$AQ$1004,1,MATCH(COLUMNS($AB$1006:AK1006),$AB$1006:$AQ$1006,0)))),"Fix")))</f>
        <v>0</v>
      </c>
      <c r="L528" s="5">
        <f>IF(OR(INDEX($V$2:$V$1001,MATCH(ROWS($U$2:U528),$U$2:$U$1001,0),1)&gt;=100000,INDEX($AB$1005:$AQ$1005,1,MATCH(COLUMNS($AB$1006:AL1006),$AB$1006:$AQ$1006,0))&gt;=100000), " ",IF(INDEX($AB$2:$AQ$1001,MATCH(ROWS($U$2:U528),$U$2:$U$1001,0),MATCH(COLUMNS($AB$1006:AL1006),$AB$1006:$AQ$1006,0)), HYPERLINK("#",""), HYPERLINK(CONCATENATE("#Metadata!", ADDRESS(INDEX($W$2:$W$1001,MATCH(ROWS($U$2:U528),$U$2:$U$1001,0),0), INDEX($AB$1004:$AQ$1004,1,MATCH(COLUMNS($AB$1006:AL1006),$AB$1006:$AQ$1006,0)))),"Fix")))</f>
        <v>0</v>
      </c>
      <c r="M528" s="5">
        <f>IF(OR(INDEX($V$2:$V$1001,MATCH(ROWS($U$2:U528),$U$2:$U$1001,0),1)&gt;=100000,INDEX($AB$1005:$AQ$1005,1,MATCH(COLUMNS($AB$1006:AM1006),$AB$1006:$AQ$1006,0))&gt;=100000), " ",IF(INDEX($AB$2:$AQ$1001,MATCH(ROWS($U$2:U528),$U$2:$U$1001,0),MATCH(COLUMNS($AB$1006:AM1006),$AB$1006:$AQ$1006,0)), HYPERLINK("#",""), HYPERLINK(CONCATENATE("#Metadata!", ADDRESS(INDEX($W$2:$W$1001,MATCH(ROWS($U$2:U528),$U$2:$U$1001,0),0), INDEX($AB$1004:$AQ$1004,1,MATCH(COLUMNS($AB$1006:AM1006),$AB$1006:$AQ$1006,0)))),"Fix")))</f>
        <v>0</v>
      </c>
      <c r="N528" s="5">
        <f>IF(OR(INDEX($V$2:$V$1001,MATCH(ROWS($U$2:U528),$U$2:$U$1001,0),1)&gt;=100000,INDEX($AB$1005:$AQ$1005,1,MATCH(COLUMNS($AB$1006:AN1006),$AB$1006:$AQ$1006,0))&gt;=100000), " ",IF(INDEX($AB$2:$AQ$1001,MATCH(ROWS($U$2:U528),$U$2:$U$1001,0),MATCH(COLUMNS($AB$1006:AN1006),$AB$1006:$AQ$1006,0)), HYPERLINK("#",""), HYPERLINK(CONCATENATE("#Metadata!", ADDRESS(INDEX($W$2:$W$1001,MATCH(ROWS($U$2:U528),$U$2:$U$1001,0),0), INDEX($AB$1004:$AQ$1004,1,MATCH(COLUMNS($AB$1006:AN1006),$AB$1006:$AQ$1006,0)))),"Fix")))</f>
        <v>0</v>
      </c>
      <c r="O528" s="5">
        <f>IF(OR(INDEX($V$2:$V$1001,MATCH(ROWS($U$2:U528),$U$2:$U$1001,0),1)&gt;=100000,INDEX($AB$1005:$AQ$1005,1,MATCH(COLUMNS($AB$1006:AO1006),$AB$1006:$AQ$1006,0))&gt;=100000), " ",IF(INDEX($AB$2:$AQ$1001,MATCH(ROWS($U$2:U528),$U$2:$U$1001,0),MATCH(COLUMNS($AB$1006:AO1006),$AB$1006:$AQ$1006,0)), HYPERLINK("#",""), HYPERLINK(CONCATENATE("#Metadata!", ADDRESS(INDEX($W$2:$W$1001,MATCH(ROWS($U$2:U528),$U$2:$U$1001,0),0), INDEX($AB$1004:$AQ$1004,1,MATCH(COLUMNS($AB$1006:AO1006),$AB$1006:$AQ$1006,0)))),"Fix")))</f>
        <v>0</v>
      </c>
      <c r="P528" s="5">
        <f>IF(OR(INDEX($V$2:$V$1001,MATCH(ROWS($U$2:U528),$U$2:$U$1001,0),1)&gt;=100000,INDEX($AB$1005:$AQ$1005,1,MATCH(COLUMNS($AB$1006:AP1006),$AB$1006:$AQ$1006,0))&gt;=100000), " ",IF(INDEX($AB$2:$AQ$1001,MATCH(ROWS($U$2:U528),$U$2:$U$1001,0),MATCH(COLUMNS($AB$1006:AP1006),$AB$1006:$AQ$1006,0)), HYPERLINK("#",""), HYPERLINK(CONCATENATE("#Metadata!", ADDRESS(INDEX($W$2:$W$1001,MATCH(ROWS($U$2:U528),$U$2:$U$1001,0),0), INDEX($AB$1004:$AQ$1004,1,MATCH(COLUMNS($AB$1006:AP1006),$AB$1006:$AQ$1006,0)))),"Fix")))</f>
        <v>0</v>
      </c>
      <c r="Q528" s="5">
        <f>IF(OR(INDEX($V$2:$V$1001,MATCH(ROWS($U$2:U528),$U$2:$U$1001,0),1)&gt;=100000,INDEX($AB$1005:$AQ$1005,1,MATCH(COLUMNS($AB$1006:AQ1006),$AB$1006:$AQ$1006,0))&gt;=100000), " ",IF(INDEX($AB$2:$AQ$1001,MATCH(ROWS($U$2:U528),$U$2:$U$1001,0),MATCH(COLUMNS($AB$1006:AQ1006),$AB$1006:$AQ$1006,0)), HYPERLINK("#",""), HYPERLINK(CONCATENATE("#Metadata!", ADDRESS(INDEX($W$2:$W$1001,MATCH(ROWS($U$2:U528),$U$2:$U$1001,0),0), INDEX($AB$1004:$AQ$1004,1,MATCH(COLUMNS($AB$1006:AQ1006),$AB$1006:$AQ$1006,0)))),"Fix")))</f>
        <v>0</v>
      </c>
      <c r="U528">
        <v>0</v>
      </c>
      <c r="V528">
        <v>0</v>
      </c>
      <c r="W528">
        <v>0</v>
      </c>
      <c r="X528">
        <f>IF(Y528,TRUE,AND(AB528:AQ528))</f>
        <v>0</v>
      </c>
      <c r="Y528">
        <f>COUNTBLANK(Metadata!B528:Q528)=COLUMNS(Metadata!B528:Q528)</f>
        <v>0</v>
      </c>
      <c r="Z528">
        <v>0</v>
      </c>
      <c r="AB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AC528">
        <f>AND(IF(Metadata!C528="",FALSE,TRUE),exact(Metadata!C528,"urban biome"))</f>
        <v>0</v>
      </c>
      <c r="AD528">
        <f>AND(IF(Metadata!D528="",FALSE,TRUE),exact(Metadata!D528,"human-associated habitat"))</f>
        <v>0</v>
      </c>
      <c r="AE528">
        <f>AND(IF(Metadata!E528="",FALSE,TRUE),OR(exact(Metadata!E528,"human-associated"),exact(Metadata!E528,"human-skin"),exact(Metadata!E528,"human-oral"),exact(Metadata!E528,"human-gut"),exact(Metadata!E528,"human-vaginal")))</f>
        <v>0</v>
      </c>
      <c r="AF528">
        <f>AND(IF(Metadata!F528="",FALSE,ISNUMBER(VALUE(Metadata!F528))),Metadata!F528&gt;0)</f>
        <v>0</v>
      </c>
      <c r="AG528">
        <f>AND(IF(Metadata!G528="",FALSE,TRUE),exact(Metadata!G528,"years"))</f>
        <v>0</v>
      </c>
      <c r="AH528">
        <f>OR(AND(IF(Metadata!H528="",FALSE,TRUE),OR(exact(Metadata!H528,"not applicable"),exact(Metadata!H528,"not collected"),exact(Metadata!H528,"not provided"),exact(Metadata!H528,"restricted access"))),AND(IF(Metadata!H528="",FALSE,ISNUMBER(VALUE(Metadata!H528))),Metadata!H528&gt;0))</f>
        <v>0</v>
      </c>
      <c r="AI528">
        <f>AND(IF(Metadata!I528="",FALSE,TRUE),exact(Metadata!I528,"human"))</f>
        <v>0</v>
      </c>
      <c r="AJ528">
        <f>AND(IF(Metadata!J528="",FALSE,ISNUMBER(VALUE(Metadata!J528))),Metadata!J528&gt;0)</f>
        <v>0</v>
      </c>
      <c r="AK528">
        <f>AND(IF(Metadata!K528="",FALSE,TRUE),exact(Metadata!K528,"cm"))</f>
        <v>0</v>
      </c>
      <c r="AL528">
        <f>AND(IF(Metadata!L528="",FALSE,TRUE),exact(Metadata!L528,"Homo sapiens"))</f>
        <v>0</v>
      </c>
      <c r="AM528">
        <f>AND(IF(Metadata!M528="",FALSE,TRUE),exact(Metadata!M528,"9606"))</f>
        <v>0</v>
      </c>
      <c r="AN528">
        <f>AND(IF(Metadata!N528="",FALSE,ISNUMBER(VALUE(Metadata!N528))),Metadata!N528&gt;0)</f>
        <v>0</v>
      </c>
      <c r="AO528">
        <f>AND(IF(Metadata!O528="",FALSE,TRUE),exact(Metadata!O528,"kg"))</f>
        <v>0</v>
      </c>
      <c r="AP528">
        <f>OR(AND(IF(Metadata!P528="",FALSE,TRUE),exact(Metadata!P528,"not provided")),IF(Metadata!P528="",FALSE,TRUE))</f>
        <v>0</v>
      </c>
      <c r="AQ528">
        <f>OR(AND(IF(Metadata!Q528="",FALSE,TRUE),exact(Metadata!Q528,"not provided")),IF(Metadata!Q528="",FALSE,TRUE))</f>
        <v>0</v>
      </c>
    </row>
    <row r="529" spans="1:43">
      <c r="A529" s="4">
        <f>IF(B529=" "," ",HYPERLINK(CONCATENATE("#metadata!",ADDRESS(INDEX($W$2:$W$1001,MATCH(ROWS($U$2:U529),$U$2:$U$1001,0),0),2)),INDEX($Z$2:$Z$1001,MATCH(ROWS($U$2:U529),$U$2:$U$1001,0),0)))</f>
        <v>0</v>
      </c>
      <c r="B529" s="5">
        <f>IF(OR(INDEX($V$2:$V$1001,MATCH(ROWS($U$2:U529),$U$2:$U$1001,0),1)&gt;=100000,INDEX($AB$1005:$AQ$1005,1,MATCH(COLUMNS($AB$1006:AB1006),$AB$1006:$AQ$1006,0))&gt;=100000), " ",IF(INDEX($AB$2:$AQ$1001,MATCH(ROWS($U$2:U529),$U$2:$U$1001,0),MATCH(COLUMNS($AB$1006:AB1006),$AB$1006:$AQ$1006,0)), HYPERLINK("#",""), HYPERLINK(CONCATENATE("#Metadata!", ADDRESS(INDEX($W$2:$W$1001,MATCH(ROWS($U$2:U529),$U$2:$U$1001,0),0), INDEX($AB$1004:$AQ$1004,1,MATCH(COLUMNS($AB$1006:AB1006),$AB$1006:$AQ$1006,0)))),"Fix")))</f>
        <v>0</v>
      </c>
      <c r="C529" s="5">
        <f>IF(OR(INDEX($V$2:$V$1001,MATCH(ROWS($U$2:U529),$U$2:$U$1001,0),1)&gt;=100000,INDEX($AB$1005:$AQ$1005,1,MATCH(COLUMNS($AB$1006:AC1006),$AB$1006:$AQ$1006,0))&gt;=100000), " ",IF(INDEX($AB$2:$AQ$1001,MATCH(ROWS($U$2:U529),$U$2:$U$1001,0),MATCH(COLUMNS($AB$1006:AC1006),$AB$1006:$AQ$1006,0)), HYPERLINK("#",""), HYPERLINK(CONCATENATE("#Metadata!", ADDRESS(INDEX($W$2:$W$1001,MATCH(ROWS($U$2:U529),$U$2:$U$1001,0),0), INDEX($AB$1004:$AQ$1004,1,MATCH(COLUMNS($AB$1006:AC1006),$AB$1006:$AQ$1006,0)))),"Fix")))</f>
        <v>0</v>
      </c>
      <c r="D529" s="5">
        <f>IF(OR(INDEX($V$2:$V$1001,MATCH(ROWS($U$2:U529),$U$2:$U$1001,0),1)&gt;=100000,INDEX($AB$1005:$AQ$1005,1,MATCH(COLUMNS($AB$1006:AD1006),$AB$1006:$AQ$1006,0))&gt;=100000), " ",IF(INDEX($AB$2:$AQ$1001,MATCH(ROWS($U$2:U529),$U$2:$U$1001,0),MATCH(COLUMNS($AB$1006:AD1006),$AB$1006:$AQ$1006,0)), HYPERLINK("#",""), HYPERLINK(CONCATENATE("#Metadata!", ADDRESS(INDEX($W$2:$W$1001,MATCH(ROWS($U$2:U529),$U$2:$U$1001,0),0), INDEX($AB$1004:$AQ$1004,1,MATCH(COLUMNS($AB$1006:AD1006),$AB$1006:$AQ$1006,0)))),"Fix")))</f>
        <v>0</v>
      </c>
      <c r="E529" s="5">
        <f>IF(OR(INDEX($V$2:$V$1001,MATCH(ROWS($U$2:U529),$U$2:$U$1001,0),1)&gt;=100000,INDEX($AB$1005:$AQ$1005,1,MATCH(COLUMNS($AB$1006:AE1006),$AB$1006:$AQ$1006,0))&gt;=100000), " ",IF(INDEX($AB$2:$AQ$1001,MATCH(ROWS($U$2:U529),$U$2:$U$1001,0),MATCH(COLUMNS($AB$1006:AE1006),$AB$1006:$AQ$1006,0)), HYPERLINK("#",""), HYPERLINK(CONCATENATE("#Metadata!", ADDRESS(INDEX($W$2:$W$1001,MATCH(ROWS($U$2:U529),$U$2:$U$1001,0),0), INDEX($AB$1004:$AQ$1004,1,MATCH(COLUMNS($AB$1006:AE1006),$AB$1006:$AQ$1006,0)))),"Fix")))</f>
        <v>0</v>
      </c>
      <c r="F529" s="5">
        <f>IF(OR(INDEX($V$2:$V$1001,MATCH(ROWS($U$2:U529),$U$2:$U$1001,0),1)&gt;=100000,INDEX($AB$1005:$AQ$1005,1,MATCH(COLUMNS($AB$1006:AF1006),$AB$1006:$AQ$1006,0))&gt;=100000), " ",IF(INDEX($AB$2:$AQ$1001,MATCH(ROWS($U$2:U529),$U$2:$U$1001,0),MATCH(COLUMNS($AB$1006:AF1006),$AB$1006:$AQ$1006,0)), HYPERLINK("#",""), HYPERLINK(CONCATENATE("#Metadata!", ADDRESS(INDEX($W$2:$W$1001,MATCH(ROWS($U$2:U529),$U$2:$U$1001,0),0), INDEX($AB$1004:$AQ$1004,1,MATCH(COLUMNS($AB$1006:AF1006),$AB$1006:$AQ$1006,0)))),"Fix")))</f>
        <v>0</v>
      </c>
      <c r="G529" s="5">
        <f>IF(OR(INDEX($V$2:$V$1001,MATCH(ROWS($U$2:U529),$U$2:$U$1001,0),1)&gt;=100000,INDEX($AB$1005:$AQ$1005,1,MATCH(COLUMNS($AB$1006:AG1006),$AB$1006:$AQ$1006,0))&gt;=100000), " ",IF(INDEX($AB$2:$AQ$1001,MATCH(ROWS($U$2:U529),$U$2:$U$1001,0),MATCH(COLUMNS($AB$1006:AG1006),$AB$1006:$AQ$1006,0)), HYPERLINK("#",""), HYPERLINK(CONCATENATE("#Metadata!", ADDRESS(INDEX($W$2:$W$1001,MATCH(ROWS($U$2:U529),$U$2:$U$1001,0),0), INDEX($AB$1004:$AQ$1004,1,MATCH(COLUMNS($AB$1006:AG1006),$AB$1006:$AQ$1006,0)))),"Fix")))</f>
        <v>0</v>
      </c>
      <c r="H529" s="5">
        <f>IF(OR(INDEX($V$2:$V$1001,MATCH(ROWS($U$2:U529),$U$2:$U$1001,0),1)&gt;=100000,INDEX($AB$1005:$AQ$1005,1,MATCH(COLUMNS($AB$1006:AH1006),$AB$1006:$AQ$1006,0))&gt;=100000), " ",IF(INDEX($AB$2:$AQ$1001,MATCH(ROWS($U$2:U529),$U$2:$U$1001,0),MATCH(COLUMNS($AB$1006:AH1006),$AB$1006:$AQ$1006,0)), HYPERLINK("#",""), HYPERLINK(CONCATENATE("#Metadata!", ADDRESS(INDEX($W$2:$W$1001,MATCH(ROWS($U$2:U529),$U$2:$U$1001,0),0), INDEX($AB$1004:$AQ$1004,1,MATCH(COLUMNS($AB$1006:AH1006),$AB$1006:$AQ$1006,0)))),"Fix")))</f>
        <v>0</v>
      </c>
      <c r="I529" s="5">
        <f>IF(OR(INDEX($V$2:$V$1001,MATCH(ROWS($U$2:U529),$U$2:$U$1001,0),1)&gt;=100000,INDEX($AB$1005:$AQ$1005,1,MATCH(COLUMNS($AB$1006:AI1006),$AB$1006:$AQ$1006,0))&gt;=100000), " ",IF(INDEX($AB$2:$AQ$1001,MATCH(ROWS($U$2:U529),$U$2:$U$1001,0),MATCH(COLUMNS($AB$1006:AI1006),$AB$1006:$AQ$1006,0)), HYPERLINK("#",""), HYPERLINK(CONCATENATE("#Metadata!", ADDRESS(INDEX($W$2:$W$1001,MATCH(ROWS($U$2:U529),$U$2:$U$1001,0),0), INDEX($AB$1004:$AQ$1004,1,MATCH(COLUMNS($AB$1006:AI1006),$AB$1006:$AQ$1006,0)))),"Fix")))</f>
        <v>0</v>
      </c>
      <c r="J529" s="5">
        <f>IF(OR(INDEX($V$2:$V$1001,MATCH(ROWS($U$2:U529),$U$2:$U$1001,0),1)&gt;=100000,INDEX($AB$1005:$AQ$1005,1,MATCH(COLUMNS($AB$1006:AJ1006),$AB$1006:$AQ$1006,0))&gt;=100000), " ",IF(INDEX($AB$2:$AQ$1001,MATCH(ROWS($U$2:U529),$U$2:$U$1001,0),MATCH(COLUMNS($AB$1006:AJ1006),$AB$1006:$AQ$1006,0)), HYPERLINK("#",""), HYPERLINK(CONCATENATE("#Metadata!", ADDRESS(INDEX($W$2:$W$1001,MATCH(ROWS($U$2:U529),$U$2:$U$1001,0),0), INDEX($AB$1004:$AQ$1004,1,MATCH(COLUMNS($AB$1006:AJ1006),$AB$1006:$AQ$1006,0)))),"Fix")))</f>
        <v>0</v>
      </c>
      <c r="K529" s="5">
        <f>IF(OR(INDEX($V$2:$V$1001,MATCH(ROWS($U$2:U529),$U$2:$U$1001,0),1)&gt;=100000,INDEX($AB$1005:$AQ$1005,1,MATCH(COLUMNS($AB$1006:AK1006),$AB$1006:$AQ$1006,0))&gt;=100000), " ",IF(INDEX($AB$2:$AQ$1001,MATCH(ROWS($U$2:U529),$U$2:$U$1001,0),MATCH(COLUMNS($AB$1006:AK1006),$AB$1006:$AQ$1006,0)), HYPERLINK("#",""), HYPERLINK(CONCATENATE("#Metadata!", ADDRESS(INDEX($W$2:$W$1001,MATCH(ROWS($U$2:U529),$U$2:$U$1001,0),0), INDEX($AB$1004:$AQ$1004,1,MATCH(COLUMNS($AB$1006:AK1006),$AB$1006:$AQ$1006,0)))),"Fix")))</f>
        <v>0</v>
      </c>
      <c r="L529" s="5">
        <f>IF(OR(INDEX($V$2:$V$1001,MATCH(ROWS($U$2:U529),$U$2:$U$1001,0),1)&gt;=100000,INDEX($AB$1005:$AQ$1005,1,MATCH(COLUMNS($AB$1006:AL1006),$AB$1006:$AQ$1006,0))&gt;=100000), " ",IF(INDEX($AB$2:$AQ$1001,MATCH(ROWS($U$2:U529),$U$2:$U$1001,0),MATCH(COLUMNS($AB$1006:AL1006),$AB$1006:$AQ$1006,0)), HYPERLINK("#",""), HYPERLINK(CONCATENATE("#Metadata!", ADDRESS(INDEX($W$2:$W$1001,MATCH(ROWS($U$2:U529),$U$2:$U$1001,0),0), INDEX($AB$1004:$AQ$1004,1,MATCH(COLUMNS($AB$1006:AL1006),$AB$1006:$AQ$1006,0)))),"Fix")))</f>
        <v>0</v>
      </c>
      <c r="M529" s="5">
        <f>IF(OR(INDEX($V$2:$V$1001,MATCH(ROWS($U$2:U529),$U$2:$U$1001,0),1)&gt;=100000,INDEX($AB$1005:$AQ$1005,1,MATCH(COLUMNS($AB$1006:AM1006),$AB$1006:$AQ$1006,0))&gt;=100000), " ",IF(INDEX($AB$2:$AQ$1001,MATCH(ROWS($U$2:U529),$U$2:$U$1001,0),MATCH(COLUMNS($AB$1006:AM1006),$AB$1006:$AQ$1006,0)), HYPERLINK("#",""), HYPERLINK(CONCATENATE("#Metadata!", ADDRESS(INDEX($W$2:$W$1001,MATCH(ROWS($U$2:U529),$U$2:$U$1001,0),0), INDEX($AB$1004:$AQ$1004,1,MATCH(COLUMNS($AB$1006:AM1006),$AB$1006:$AQ$1006,0)))),"Fix")))</f>
        <v>0</v>
      </c>
      <c r="N529" s="5">
        <f>IF(OR(INDEX($V$2:$V$1001,MATCH(ROWS($U$2:U529),$U$2:$U$1001,0),1)&gt;=100000,INDEX($AB$1005:$AQ$1005,1,MATCH(COLUMNS($AB$1006:AN1006),$AB$1006:$AQ$1006,0))&gt;=100000), " ",IF(INDEX($AB$2:$AQ$1001,MATCH(ROWS($U$2:U529),$U$2:$U$1001,0),MATCH(COLUMNS($AB$1006:AN1006),$AB$1006:$AQ$1006,0)), HYPERLINK("#",""), HYPERLINK(CONCATENATE("#Metadata!", ADDRESS(INDEX($W$2:$W$1001,MATCH(ROWS($U$2:U529),$U$2:$U$1001,0),0), INDEX($AB$1004:$AQ$1004,1,MATCH(COLUMNS($AB$1006:AN1006),$AB$1006:$AQ$1006,0)))),"Fix")))</f>
        <v>0</v>
      </c>
      <c r="O529" s="5">
        <f>IF(OR(INDEX($V$2:$V$1001,MATCH(ROWS($U$2:U529),$U$2:$U$1001,0),1)&gt;=100000,INDEX($AB$1005:$AQ$1005,1,MATCH(COLUMNS($AB$1006:AO1006),$AB$1006:$AQ$1006,0))&gt;=100000), " ",IF(INDEX($AB$2:$AQ$1001,MATCH(ROWS($U$2:U529),$U$2:$U$1001,0),MATCH(COLUMNS($AB$1006:AO1006),$AB$1006:$AQ$1006,0)), HYPERLINK("#",""), HYPERLINK(CONCATENATE("#Metadata!", ADDRESS(INDEX($W$2:$W$1001,MATCH(ROWS($U$2:U529),$U$2:$U$1001,0),0), INDEX($AB$1004:$AQ$1004,1,MATCH(COLUMNS($AB$1006:AO1006),$AB$1006:$AQ$1006,0)))),"Fix")))</f>
        <v>0</v>
      </c>
      <c r="P529" s="5">
        <f>IF(OR(INDEX($V$2:$V$1001,MATCH(ROWS($U$2:U529),$U$2:$U$1001,0),1)&gt;=100000,INDEX($AB$1005:$AQ$1005,1,MATCH(COLUMNS($AB$1006:AP1006),$AB$1006:$AQ$1006,0))&gt;=100000), " ",IF(INDEX($AB$2:$AQ$1001,MATCH(ROWS($U$2:U529),$U$2:$U$1001,0),MATCH(COLUMNS($AB$1006:AP1006),$AB$1006:$AQ$1006,0)), HYPERLINK("#",""), HYPERLINK(CONCATENATE("#Metadata!", ADDRESS(INDEX($W$2:$W$1001,MATCH(ROWS($U$2:U529),$U$2:$U$1001,0),0), INDEX($AB$1004:$AQ$1004,1,MATCH(COLUMNS($AB$1006:AP1006),$AB$1006:$AQ$1006,0)))),"Fix")))</f>
        <v>0</v>
      </c>
      <c r="Q529" s="5">
        <f>IF(OR(INDEX($V$2:$V$1001,MATCH(ROWS($U$2:U529),$U$2:$U$1001,0),1)&gt;=100000,INDEX($AB$1005:$AQ$1005,1,MATCH(COLUMNS($AB$1006:AQ1006),$AB$1006:$AQ$1006,0))&gt;=100000), " ",IF(INDEX($AB$2:$AQ$1001,MATCH(ROWS($U$2:U529),$U$2:$U$1001,0),MATCH(COLUMNS($AB$1006:AQ1006),$AB$1006:$AQ$1006,0)), HYPERLINK("#",""), HYPERLINK(CONCATENATE("#Metadata!", ADDRESS(INDEX($W$2:$W$1001,MATCH(ROWS($U$2:U529),$U$2:$U$1001,0),0), INDEX($AB$1004:$AQ$1004,1,MATCH(COLUMNS($AB$1006:AQ1006),$AB$1006:$AQ$1006,0)))),"Fix")))</f>
        <v>0</v>
      </c>
      <c r="U529">
        <v>0</v>
      </c>
      <c r="V529">
        <v>0</v>
      </c>
      <c r="W529">
        <v>0</v>
      </c>
      <c r="X529">
        <f>IF(Y529,TRUE,AND(AB529:AQ529))</f>
        <v>0</v>
      </c>
      <c r="Y529">
        <f>COUNTBLANK(Metadata!B529:Q529)=COLUMNS(Metadata!B529:Q529)</f>
        <v>0</v>
      </c>
      <c r="Z529">
        <v>0</v>
      </c>
      <c r="AB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AC529">
        <f>AND(IF(Metadata!C529="",FALSE,TRUE),exact(Metadata!C529,"urban biome"))</f>
        <v>0</v>
      </c>
      <c r="AD529">
        <f>AND(IF(Metadata!D529="",FALSE,TRUE),exact(Metadata!D529,"human-associated habitat"))</f>
        <v>0</v>
      </c>
      <c r="AE529">
        <f>AND(IF(Metadata!E529="",FALSE,TRUE),OR(exact(Metadata!E529,"human-associated"),exact(Metadata!E529,"human-skin"),exact(Metadata!E529,"human-oral"),exact(Metadata!E529,"human-gut"),exact(Metadata!E529,"human-vaginal")))</f>
        <v>0</v>
      </c>
      <c r="AF529">
        <f>AND(IF(Metadata!F529="",FALSE,ISNUMBER(VALUE(Metadata!F529))),Metadata!F529&gt;0)</f>
        <v>0</v>
      </c>
      <c r="AG529">
        <f>AND(IF(Metadata!G529="",FALSE,TRUE),exact(Metadata!G529,"years"))</f>
        <v>0</v>
      </c>
      <c r="AH529">
        <f>OR(AND(IF(Metadata!H529="",FALSE,TRUE),OR(exact(Metadata!H529,"not applicable"),exact(Metadata!H529,"not collected"),exact(Metadata!H529,"not provided"),exact(Metadata!H529,"restricted access"))),AND(IF(Metadata!H529="",FALSE,ISNUMBER(VALUE(Metadata!H529))),Metadata!H529&gt;0))</f>
        <v>0</v>
      </c>
      <c r="AI529">
        <f>AND(IF(Metadata!I529="",FALSE,TRUE),exact(Metadata!I529,"human"))</f>
        <v>0</v>
      </c>
      <c r="AJ529">
        <f>AND(IF(Metadata!J529="",FALSE,ISNUMBER(VALUE(Metadata!J529))),Metadata!J529&gt;0)</f>
        <v>0</v>
      </c>
      <c r="AK529">
        <f>AND(IF(Metadata!K529="",FALSE,TRUE),exact(Metadata!K529,"cm"))</f>
        <v>0</v>
      </c>
      <c r="AL529">
        <f>AND(IF(Metadata!L529="",FALSE,TRUE),exact(Metadata!L529,"Homo sapiens"))</f>
        <v>0</v>
      </c>
      <c r="AM529">
        <f>AND(IF(Metadata!M529="",FALSE,TRUE),exact(Metadata!M529,"9606"))</f>
        <v>0</v>
      </c>
      <c r="AN529">
        <f>AND(IF(Metadata!N529="",FALSE,ISNUMBER(VALUE(Metadata!N529))),Metadata!N529&gt;0)</f>
        <v>0</v>
      </c>
      <c r="AO529">
        <f>AND(IF(Metadata!O529="",FALSE,TRUE),exact(Metadata!O529,"kg"))</f>
        <v>0</v>
      </c>
      <c r="AP529">
        <f>OR(AND(IF(Metadata!P529="",FALSE,TRUE),exact(Metadata!P529,"not provided")),IF(Metadata!P529="",FALSE,TRUE))</f>
        <v>0</v>
      </c>
      <c r="AQ529">
        <f>OR(AND(IF(Metadata!Q529="",FALSE,TRUE),exact(Metadata!Q529,"not provided")),IF(Metadata!Q529="",FALSE,TRUE))</f>
        <v>0</v>
      </c>
    </row>
    <row r="530" spans="1:43">
      <c r="A530" s="4">
        <f>IF(B530=" "," ",HYPERLINK(CONCATENATE("#metadata!",ADDRESS(INDEX($W$2:$W$1001,MATCH(ROWS($U$2:U530),$U$2:$U$1001,0),0),2)),INDEX($Z$2:$Z$1001,MATCH(ROWS($U$2:U530),$U$2:$U$1001,0),0)))</f>
        <v>0</v>
      </c>
      <c r="B530" s="5">
        <f>IF(OR(INDEX($V$2:$V$1001,MATCH(ROWS($U$2:U530),$U$2:$U$1001,0),1)&gt;=100000,INDEX($AB$1005:$AQ$1005,1,MATCH(COLUMNS($AB$1006:AB1006),$AB$1006:$AQ$1006,0))&gt;=100000), " ",IF(INDEX($AB$2:$AQ$1001,MATCH(ROWS($U$2:U530),$U$2:$U$1001,0),MATCH(COLUMNS($AB$1006:AB1006),$AB$1006:$AQ$1006,0)), HYPERLINK("#",""), HYPERLINK(CONCATENATE("#Metadata!", ADDRESS(INDEX($W$2:$W$1001,MATCH(ROWS($U$2:U530),$U$2:$U$1001,0),0), INDEX($AB$1004:$AQ$1004,1,MATCH(COLUMNS($AB$1006:AB1006),$AB$1006:$AQ$1006,0)))),"Fix")))</f>
        <v>0</v>
      </c>
      <c r="C530" s="5">
        <f>IF(OR(INDEX($V$2:$V$1001,MATCH(ROWS($U$2:U530),$U$2:$U$1001,0),1)&gt;=100000,INDEX($AB$1005:$AQ$1005,1,MATCH(COLUMNS($AB$1006:AC1006),$AB$1006:$AQ$1006,0))&gt;=100000), " ",IF(INDEX($AB$2:$AQ$1001,MATCH(ROWS($U$2:U530),$U$2:$U$1001,0),MATCH(COLUMNS($AB$1006:AC1006),$AB$1006:$AQ$1006,0)), HYPERLINK("#",""), HYPERLINK(CONCATENATE("#Metadata!", ADDRESS(INDEX($W$2:$W$1001,MATCH(ROWS($U$2:U530),$U$2:$U$1001,0),0), INDEX($AB$1004:$AQ$1004,1,MATCH(COLUMNS($AB$1006:AC1006),$AB$1006:$AQ$1006,0)))),"Fix")))</f>
        <v>0</v>
      </c>
      <c r="D530" s="5">
        <f>IF(OR(INDEX($V$2:$V$1001,MATCH(ROWS($U$2:U530),$U$2:$U$1001,0),1)&gt;=100000,INDEX($AB$1005:$AQ$1005,1,MATCH(COLUMNS($AB$1006:AD1006),$AB$1006:$AQ$1006,0))&gt;=100000), " ",IF(INDEX($AB$2:$AQ$1001,MATCH(ROWS($U$2:U530),$U$2:$U$1001,0),MATCH(COLUMNS($AB$1006:AD1006),$AB$1006:$AQ$1006,0)), HYPERLINK("#",""), HYPERLINK(CONCATENATE("#Metadata!", ADDRESS(INDEX($W$2:$W$1001,MATCH(ROWS($U$2:U530),$U$2:$U$1001,0),0), INDEX($AB$1004:$AQ$1004,1,MATCH(COLUMNS($AB$1006:AD1006),$AB$1006:$AQ$1006,0)))),"Fix")))</f>
        <v>0</v>
      </c>
      <c r="E530" s="5">
        <f>IF(OR(INDEX($V$2:$V$1001,MATCH(ROWS($U$2:U530),$U$2:$U$1001,0),1)&gt;=100000,INDEX($AB$1005:$AQ$1005,1,MATCH(COLUMNS($AB$1006:AE1006),$AB$1006:$AQ$1006,0))&gt;=100000), " ",IF(INDEX($AB$2:$AQ$1001,MATCH(ROWS($U$2:U530),$U$2:$U$1001,0),MATCH(COLUMNS($AB$1006:AE1006),$AB$1006:$AQ$1006,0)), HYPERLINK("#",""), HYPERLINK(CONCATENATE("#Metadata!", ADDRESS(INDEX($W$2:$W$1001,MATCH(ROWS($U$2:U530),$U$2:$U$1001,0),0), INDEX($AB$1004:$AQ$1004,1,MATCH(COLUMNS($AB$1006:AE1006),$AB$1006:$AQ$1006,0)))),"Fix")))</f>
        <v>0</v>
      </c>
      <c r="F530" s="5">
        <f>IF(OR(INDEX($V$2:$V$1001,MATCH(ROWS($U$2:U530),$U$2:$U$1001,0),1)&gt;=100000,INDEX($AB$1005:$AQ$1005,1,MATCH(COLUMNS($AB$1006:AF1006),$AB$1006:$AQ$1006,0))&gt;=100000), " ",IF(INDEX($AB$2:$AQ$1001,MATCH(ROWS($U$2:U530),$U$2:$U$1001,0),MATCH(COLUMNS($AB$1006:AF1006),$AB$1006:$AQ$1006,0)), HYPERLINK("#",""), HYPERLINK(CONCATENATE("#Metadata!", ADDRESS(INDEX($W$2:$W$1001,MATCH(ROWS($U$2:U530),$U$2:$U$1001,0),0), INDEX($AB$1004:$AQ$1004,1,MATCH(COLUMNS($AB$1006:AF1006),$AB$1006:$AQ$1006,0)))),"Fix")))</f>
        <v>0</v>
      </c>
      <c r="G530" s="5">
        <f>IF(OR(INDEX($V$2:$V$1001,MATCH(ROWS($U$2:U530),$U$2:$U$1001,0),1)&gt;=100000,INDEX($AB$1005:$AQ$1005,1,MATCH(COLUMNS($AB$1006:AG1006),$AB$1006:$AQ$1006,0))&gt;=100000), " ",IF(INDEX($AB$2:$AQ$1001,MATCH(ROWS($U$2:U530),$U$2:$U$1001,0),MATCH(COLUMNS($AB$1006:AG1006),$AB$1006:$AQ$1006,0)), HYPERLINK("#",""), HYPERLINK(CONCATENATE("#Metadata!", ADDRESS(INDEX($W$2:$W$1001,MATCH(ROWS($U$2:U530),$U$2:$U$1001,0),0), INDEX($AB$1004:$AQ$1004,1,MATCH(COLUMNS($AB$1006:AG1006),$AB$1006:$AQ$1006,0)))),"Fix")))</f>
        <v>0</v>
      </c>
      <c r="H530" s="5">
        <f>IF(OR(INDEX($V$2:$V$1001,MATCH(ROWS($U$2:U530),$U$2:$U$1001,0),1)&gt;=100000,INDEX($AB$1005:$AQ$1005,1,MATCH(COLUMNS($AB$1006:AH1006),$AB$1006:$AQ$1006,0))&gt;=100000), " ",IF(INDEX($AB$2:$AQ$1001,MATCH(ROWS($U$2:U530),$U$2:$U$1001,0),MATCH(COLUMNS($AB$1006:AH1006),$AB$1006:$AQ$1006,0)), HYPERLINK("#",""), HYPERLINK(CONCATENATE("#Metadata!", ADDRESS(INDEX($W$2:$W$1001,MATCH(ROWS($U$2:U530),$U$2:$U$1001,0),0), INDEX($AB$1004:$AQ$1004,1,MATCH(COLUMNS($AB$1006:AH1006),$AB$1006:$AQ$1006,0)))),"Fix")))</f>
        <v>0</v>
      </c>
      <c r="I530" s="5">
        <f>IF(OR(INDEX($V$2:$V$1001,MATCH(ROWS($U$2:U530),$U$2:$U$1001,0),1)&gt;=100000,INDEX($AB$1005:$AQ$1005,1,MATCH(COLUMNS($AB$1006:AI1006),$AB$1006:$AQ$1006,0))&gt;=100000), " ",IF(INDEX($AB$2:$AQ$1001,MATCH(ROWS($U$2:U530),$U$2:$U$1001,0),MATCH(COLUMNS($AB$1006:AI1006),$AB$1006:$AQ$1006,0)), HYPERLINK("#",""), HYPERLINK(CONCATENATE("#Metadata!", ADDRESS(INDEX($W$2:$W$1001,MATCH(ROWS($U$2:U530),$U$2:$U$1001,0),0), INDEX($AB$1004:$AQ$1004,1,MATCH(COLUMNS($AB$1006:AI1006),$AB$1006:$AQ$1006,0)))),"Fix")))</f>
        <v>0</v>
      </c>
      <c r="J530" s="5">
        <f>IF(OR(INDEX($V$2:$V$1001,MATCH(ROWS($U$2:U530),$U$2:$U$1001,0),1)&gt;=100000,INDEX($AB$1005:$AQ$1005,1,MATCH(COLUMNS($AB$1006:AJ1006),$AB$1006:$AQ$1006,0))&gt;=100000), " ",IF(INDEX($AB$2:$AQ$1001,MATCH(ROWS($U$2:U530),$U$2:$U$1001,0),MATCH(COLUMNS($AB$1006:AJ1006),$AB$1006:$AQ$1006,0)), HYPERLINK("#",""), HYPERLINK(CONCATENATE("#Metadata!", ADDRESS(INDEX($W$2:$W$1001,MATCH(ROWS($U$2:U530),$U$2:$U$1001,0),0), INDEX($AB$1004:$AQ$1004,1,MATCH(COLUMNS($AB$1006:AJ1006),$AB$1006:$AQ$1006,0)))),"Fix")))</f>
        <v>0</v>
      </c>
      <c r="K530" s="5">
        <f>IF(OR(INDEX($V$2:$V$1001,MATCH(ROWS($U$2:U530),$U$2:$U$1001,0),1)&gt;=100000,INDEX($AB$1005:$AQ$1005,1,MATCH(COLUMNS($AB$1006:AK1006),$AB$1006:$AQ$1006,0))&gt;=100000), " ",IF(INDEX($AB$2:$AQ$1001,MATCH(ROWS($U$2:U530),$U$2:$U$1001,0),MATCH(COLUMNS($AB$1006:AK1006),$AB$1006:$AQ$1006,0)), HYPERLINK("#",""), HYPERLINK(CONCATENATE("#Metadata!", ADDRESS(INDEX($W$2:$W$1001,MATCH(ROWS($U$2:U530),$U$2:$U$1001,0),0), INDEX($AB$1004:$AQ$1004,1,MATCH(COLUMNS($AB$1006:AK1006),$AB$1006:$AQ$1006,0)))),"Fix")))</f>
        <v>0</v>
      </c>
      <c r="L530" s="5">
        <f>IF(OR(INDEX($V$2:$V$1001,MATCH(ROWS($U$2:U530),$U$2:$U$1001,0),1)&gt;=100000,INDEX($AB$1005:$AQ$1005,1,MATCH(COLUMNS($AB$1006:AL1006),$AB$1006:$AQ$1006,0))&gt;=100000), " ",IF(INDEX($AB$2:$AQ$1001,MATCH(ROWS($U$2:U530),$U$2:$U$1001,0),MATCH(COLUMNS($AB$1006:AL1006),$AB$1006:$AQ$1006,0)), HYPERLINK("#",""), HYPERLINK(CONCATENATE("#Metadata!", ADDRESS(INDEX($W$2:$W$1001,MATCH(ROWS($U$2:U530),$U$2:$U$1001,0),0), INDEX($AB$1004:$AQ$1004,1,MATCH(COLUMNS($AB$1006:AL1006),$AB$1006:$AQ$1006,0)))),"Fix")))</f>
        <v>0</v>
      </c>
      <c r="M530" s="5">
        <f>IF(OR(INDEX($V$2:$V$1001,MATCH(ROWS($U$2:U530),$U$2:$U$1001,0),1)&gt;=100000,INDEX($AB$1005:$AQ$1005,1,MATCH(COLUMNS($AB$1006:AM1006),$AB$1006:$AQ$1006,0))&gt;=100000), " ",IF(INDEX($AB$2:$AQ$1001,MATCH(ROWS($U$2:U530),$U$2:$U$1001,0),MATCH(COLUMNS($AB$1006:AM1006),$AB$1006:$AQ$1006,0)), HYPERLINK("#",""), HYPERLINK(CONCATENATE("#Metadata!", ADDRESS(INDEX($W$2:$W$1001,MATCH(ROWS($U$2:U530),$U$2:$U$1001,0),0), INDEX($AB$1004:$AQ$1004,1,MATCH(COLUMNS($AB$1006:AM1006),$AB$1006:$AQ$1006,0)))),"Fix")))</f>
        <v>0</v>
      </c>
      <c r="N530" s="5">
        <f>IF(OR(INDEX($V$2:$V$1001,MATCH(ROWS($U$2:U530),$U$2:$U$1001,0),1)&gt;=100000,INDEX($AB$1005:$AQ$1005,1,MATCH(COLUMNS($AB$1006:AN1006),$AB$1006:$AQ$1006,0))&gt;=100000), " ",IF(INDEX($AB$2:$AQ$1001,MATCH(ROWS($U$2:U530),$U$2:$U$1001,0),MATCH(COLUMNS($AB$1006:AN1006),$AB$1006:$AQ$1006,0)), HYPERLINK("#",""), HYPERLINK(CONCATENATE("#Metadata!", ADDRESS(INDEX($W$2:$W$1001,MATCH(ROWS($U$2:U530),$U$2:$U$1001,0),0), INDEX($AB$1004:$AQ$1004,1,MATCH(COLUMNS($AB$1006:AN1006),$AB$1006:$AQ$1006,0)))),"Fix")))</f>
        <v>0</v>
      </c>
      <c r="O530" s="5">
        <f>IF(OR(INDEX($V$2:$V$1001,MATCH(ROWS($U$2:U530),$U$2:$U$1001,0),1)&gt;=100000,INDEX($AB$1005:$AQ$1005,1,MATCH(COLUMNS($AB$1006:AO1006),$AB$1006:$AQ$1006,0))&gt;=100000), " ",IF(INDEX($AB$2:$AQ$1001,MATCH(ROWS($U$2:U530),$U$2:$U$1001,0),MATCH(COLUMNS($AB$1006:AO1006),$AB$1006:$AQ$1006,0)), HYPERLINK("#",""), HYPERLINK(CONCATENATE("#Metadata!", ADDRESS(INDEX($W$2:$W$1001,MATCH(ROWS($U$2:U530),$U$2:$U$1001,0),0), INDEX($AB$1004:$AQ$1004,1,MATCH(COLUMNS($AB$1006:AO1006),$AB$1006:$AQ$1006,0)))),"Fix")))</f>
        <v>0</v>
      </c>
      <c r="P530" s="5">
        <f>IF(OR(INDEX($V$2:$V$1001,MATCH(ROWS($U$2:U530),$U$2:$U$1001,0),1)&gt;=100000,INDEX($AB$1005:$AQ$1005,1,MATCH(COLUMNS($AB$1006:AP1006),$AB$1006:$AQ$1006,0))&gt;=100000), " ",IF(INDEX($AB$2:$AQ$1001,MATCH(ROWS($U$2:U530),$U$2:$U$1001,0),MATCH(COLUMNS($AB$1006:AP1006),$AB$1006:$AQ$1006,0)), HYPERLINK("#",""), HYPERLINK(CONCATENATE("#Metadata!", ADDRESS(INDEX($W$2:$W$1001,MATCH(ROWS($U$2:U530),$U$2:$U$1001,0),0), INDEX($AB$1004:$AQ$1004,1,MATCH(COLUMNS($AB$1006:AP1006),$AB$1006:$AQ$1006,0)))),"Fix")))</f>
        <v>0</v>
      </c>
      <c r="Q530" s="5">
        <f>IF(OR(INDEX($V$2:$V$1001,MATCH(ROWS($U$2:U530),$U$2:$U$1001,0),1)&gt;=100000,INDEX($AB$1005:$AQ$1005,1,MATCH(COLUMNS($AB$1006:AQ1006),$AB$1006:$AQ$1006,0))&gt;=100000), " ",IF(INDEX($AB$2:$AQ$1001,MATCH(ROWS($U$2:U530),$U$2:$U$1001,0),MATCH(COLUMNS($AB$1006:AQ1006),$AB$1006:$AQ$1006,0)), HYPERLINK("#",""), HYPERLINK(CONCATENATE("#Metadata!", ADDRESS(INDEX($W$2:$W$1001,MATCH(ROWS($U$2:U530),$U$2:$U$1001,0),0), INDEX($AB$1004:$AQ$1004,1,MATCH(COLUMNS($AB$1006:AQ1006),$AB$1006:$AQ$1006,0)))),"Fix")))</f>
        <v>0</v>
      </c>
      <c r="U530">
        <v>0</v>
      </c>
      <c r="V530">
        <v>0</v>
      </c>
      <c r="W530">
        <v>0</v>
      </c>
      <c r="X530">
        <f>IF(Y530,TRUE,AND(AB530:AQ530))</f>
        <v>0</v>
      </c>
      <c r="Y530">
        <f>COUNTBLANK(Metadata!B530:Q530)=COLUMNS(Metadata!B530:Q530)</f>
        <v>0</v>
      </c>
      <c r="Z530">
        <v>0</v>
      </c>
      <c r="AB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AC530">
        <f>AND(IF(Metadata!C530="",FALSE,TRUE),exact(Metadata!C530,"urban biome"))</f>
        <v>0</v>
      </c>
      <c r="AD530">
        <f>AND(IF(Metadata!D530="",FALSE,TRUE),exact(Metadata!D530,"human-associated habitat"))</f>
        <v>0</v>
      </c>
      <c r="AE530">
        <f>AND(IF(Metadata!E530="",FALSE,TRUE),OR(exact(Metadata!E530,"human-associated"),exact(Metadata!E530,"human-skin"),exact(Metadata!E530,"human-oral"),exact(Metadata!E530,"human-gut"),exact(Metadata!E530,"human-vaginal")))</f>
        <v>0</v>
      </c>
      <c r="AF530">
        <f>AND(IF(Metadata!F530="",FALSE,ISNUMBER(VALUE(Metadata!F530))),Metadata!F530&gt;0)</f>
        <v>0</v>
      </c>
      <c r="AG530">
        <f>AND(IF(Metadata!G530="",FALSE,TRUE),exact(Metadata!G530,"years"))</f>
        <v>0</v>
      </c>
      <c r="AH530">
        <f>OR(AND(IF(Metadata!H530="",FALSE,TRUE),OR(exact(Metadata!H530,"not applicable"),exact(Metadata!H530,"not collected"),exact(Metadata!H530,"not provided"),exact(Metadata!H530,"restricted access"))),AND(IF(Metadata!H530="",FALSE,ISNUMBER(VALUE(Metadata!H530))),Metadata!H530&gt;0))</f>
        <v>0</v>
      </c>
      <c r="AI530">
        <f>AND(IF(Metadata!I530="",FALSE,TRUE),exact(Metadata!I530,"human"))</f>
        <v>0</v>
      </c>
      <c r="AJ530">
        <f>AND(IF(Metadata!J530="",FALSE,ISNUMBER(VALUE(Metadata!J530))),Metadata!J530&gt;0)</f>
        <v>0</v>
      </c>
      <c r="AK530">
        <f>AND(IF(Metadata!K530="",FALSE,TRUE),exact(Metadata!K530,"cm"))</f>
        <v>0</v>
      </c>
      <c r="AL530">
        <f>AND(IF(Metadata!L530="",FALSE,TRUE),exact(Metadata!L530,"Homo sapiens"))</f>
        <v>0</v>
      </c>
      <c r="AM530">
        <f>AND(IF(Metadata!M530="",FALSE,TRUE),exact(Metadata!M530,"9606"))</f>
        <v>0</v>
      </c>
      <c r="AN530">
        <f>AND(IF(Metadata!N530="",FALSE,ISNUMBER(VALUE(Metadata!N530))),Metadata!N530&gt;0)</f>
        <v>0</v>
      </c>
      <c r="AO530">
        <f>AND(IF(Metadata!O530="",FALSE,TRUE),exact(Metadata!O530,"kg"))</f>
        <v>0</v>
      </c>
      <c r="AP530">
        <f>OR(AND(IF(Metadata!P530="",FALSE,TRUE),exact(Metadata!P530,"not provided")),IF(Metadata!P530="",FALSE,TRUE))</f>
        <v>0</v>
      </c>
      <c r="AQ530">
        <f>OR(AND(IF(Metadata!Q530="",FALSE,TRUE),exact(Metadata!Q530,"not provided")),IF(Metadata!Q530="",FALSE,TRUE))</f>
        <v>0</v>
      </c>
    </row>
    <row r="531" spans="1:43">
      <c r="A531" s="4">
        <f>IF(B531=" "," ",HYPERLINK(CONCATENATE("#metadata!",ADDRESS(INDEX($W$2:$W$1001,MATCH(ROWS($U$2:U531),$U$2:$U$1001,0),0),2)),INDEX($Z$2:$Z$1001,MATCH(ROWS($U$2:U531),$U$2:$U$1001,0),0)))</f>
        <v>0</v>
      </c>
      <c r="B531" s="5">
        <f>IF(OR(INDEX($V$2:$V$1001,MATCH(ROWS($U$2:U531),$U$2:$U$1001,0),1)&gt;=100000,INDEX($AB$1005:$AQ$1005,1,MATCH(COLUMNS($AB$1006:AB1006),$AB$1006:$AQ$1006,0))&gt;=100000), " ",IF(INDEX($AB$2:$AQ$1001,MATCH(ROWS($U$2:U531),$U$2:$U$1001,0),MATCH(COLUMNS($AB$1006:AB1006),$AB$1006:$AQ$1006,0)), HYPERLINK("#",""), HYPERLINK(CONCATENATE("#Metadata!", ADDRESS(INDEX($W$2:$W$1001,MATCH(ROWS($U$2:U531),$U$2:$U$1001,0),0), INDEX($AB$1004:$AQ$1004,1,MATCH(COLUMNS($AB$1006:AB1006),$AB$1006:$AQ$1006,0)))),"Fix")))</f>
        <v>0</v>
      </c>
      <c r="C531" s="5">
        <f>IF(OR(INDEX($V$2:$V$1001,MATCH(ROWS($U$2:U531),$U$2:$U$1001,0),1)&gt;=100000,INDEX($AB$1005:$AQ$1005,1,MATCH(COLUMNS($AB$1006:AC1006),$AB$1006:$AQ$1006,0))&gt;=100000), " ",IF(INDEX($AB$2:$AQ$1001,MATCH(ROWS($U$2:U531),$U$2:$U$1001,0),MATCH(COLUMNS($AB$1006:AC1006),$AB$1006:$AQ$1006,0)), HYPERLINK("#",""), HYPERLINK(CONCATENATE("#Metadata!", ADDRESS(INDEX($W$2:$W$1001,MATCH(ROWS($U$2:U531),$U$2:$U$1001,0),0), INDEX($AB$1004:$AQ$1004,1,MATCH(COLUMNS($AB$1006:AC1006),$AB$1006:$AQ$1006,0)))),"Fix")))</f>
        <v>0</v>
      </c>
      <c r="D531" s="5">
        <f>IF(OR(INDEX($V$2:$V$1001,MATCH(ROWS($U$2:U531),$U$2:$U$1001,0),1)&gt;=100000,INDEX($AB$1005:$AQ$1005,1,MATCH(COLUMNS($AB$1006:AD1006),$AB$1006:$AQ$1006,0))&gt;=100000), " ",IF(INDEX($AB$2:$AQ$1001,MATCH(ROWS($U$2:U531),$U$2:$U$1001,0),MATCH(COLUMNS($AB$1006:AD1006),$AB$1006:$AQ$1006,0)), HYPERLINK("#",""), HYPERLINK(CONCATENATE("#Metadata!", ADDRESS(INDEX($W$2:$W$1001,MATCH(ROWS($U$2:U531),$U$2:$U$1001,0),0), INDEX($AB$1004:$AQ$1004,1,MATCH(COLUMNS($AB$1006:AD1006),$AB$1006:$AQ$1006,0)))),"Fix")))</f>
        <v>0</v>
      </c>
      <c r="E531" s="5">
        <f>IF(OR(INDEX($V$2:$V$1001,MATCH(ROWS($U$2:U531),$U$2:$U$1001,0),1)&gt;=100000,INDEX($AB$1005:$AQ$1005,1,MATCH(COLUMNS($AB$1006:AE1006),$AB$1006:$AQ$1006,0))&gt;=100000), " ",IF(INDEX($AB$2:$AQ$1001,MATCH(ROWS($U$2:U531),$U$2:$U$1001,0),MATCH(COLUMNS($AB$1006:AE1006),$AB$1006:$AQ$1006,0)), HYPERLINK("#",""), HYPERLINK(CONCATENATE("#Metadata!", ADDRESS(INDEX($W$2:$W$1001,MATCH(ROWS($U$2:U531),$U$2:$U$1001,0),0), INDEX($AB$1004:$AQ$1004,1,MATCH(COLUMNS($AB$1006:AE1006),$AB$1006:$AQ$1006,0)))),"Fix")))</f>
        <v>0</v>
      </c>
      <c r="F531" s="5">
        <f>IF(OR(INDEX($V$2:$V$1001,MATCH(ROWS($U$2:U531),$U$2:$U$1001,0),1)&gt;=100000,INDEX($AB$1005:$AQ$1005,1,MATCH(COLUMNS($AB$1006:AF1006),$AB$1006:$AQ$1006,0))&gt;=100000), " ",IF(INDEX($AB$2:$AQ$1001,MATCH(ROWS($U$2:U531),$U$2:$U$1001,0),MATCH(COLUMNS($AB$1006:AF1006),$AB$1006:$AQ$1006,0)), HYPERLINK("#",""), HYPERLINK(CONCATENATE("#Metadata!", ADDRESS(INDEX($W$2:$W$1001,MATCH(ROWS($U$2:U531),$U$2:$U$1001,0),0), INDEX($AB$1004:$AQ$1004,1,MATCH(COLUMNS($AB$1006:AF1006),$AB$1006:$AQ$1006,0)))),"Fix")))</f>
        <v>0</v>
      </c>
      <c r="G531" s="5">
        <f>IF(OR(INDEX($V$2:$V$1001,MATCH(ROWS($U$2:U531),$U$2:$U$1001,0),1)&gt;=100000,INDEX($AB$1005:$AQ$1005,1,MATCH(COLUMNS($AB$1006:AG1006),$AB$1006:$AQ$1006,0))&gt;=100000), " ",IF(INDEX($AB$2:$AQ$1001,MATCH(ROWS($U$2:U531),$U$2:$U$1001,0),MATCH(COLUMNS($AB$1006:AG1006),$AB$1006:$AQ$1006,0)), HYPERLINK("#",""), HYPERLINK(CONCATENATE("#Metadata!", ADDRESS(INDEX($W$2:$W$1001,MATCH(ROWS($U$2:U531),$U$2:$U$1001,0),0), INDEX($AB$1004:$AQ$1004,1,MATCH(COLUMNS($AB$1006:AG1006),$AB$1006:$AQ$1006,0)))),"Fix")))</f>
        <v>0</v>
      </c>
      <c r="H531" s="5">
        <f>IF(OR(INDEX($V$2:$V$1001,MATCH(ROWS($U$2:U531),$U$2:$U$1001,0),1)&gt;=100000,INDEX($AB$1005:$AQ$1005,1,MATCH(COLUMNS($AB$1006:AH1006),$AB$1006:$AQ$1006,0))&gt;=100000), " ",IF(INDEX($AB$2:$AQ$1001,MATCH(ROWS($U$2:U531),$U$2:$U$1001,0),MATCH(COLUMNS($AB$1006:AH1006),$AB$1006:$AQ$1006,0)), HYPERLINK("#",""), HYPERLINK(CONCATENATE("#Metadata!", ADDRESS(INDEX($W$2:$W$1001,MATCH(ROWS($U$2:U531),$U$2:$U$1001,0),0), INDEX($AB$1004:$AQ$1004,1,MATCH(COLUMNS($AB$1006:AH1006),$AB$1006:$AQ$1006,0)))),"Fix")))</f>
        <v>0</v>
      </c>
      <c r="I531" s="5">
        <f>IF(OR(INDEX($V$2:$V$1001,MATCH(ROWS($U$2:U531),$U$2:$U$1001,0),1)&gt;=100000,INDEX($AB$1005:$AQ$1005,1,MATCH(COLUMNS($AB$1006:AI1006),$AB$1006:$AQ$1006,0))&gt;=100000), " ",IF(INDEX($AB$2:$AQ$1001,MATCH(ROWS($U$2:U531),$U$2:$U$1001,0),MATCH(COLUMNS($AB$1006:AI1006),$AB$1006:$AQ$1006,0)), HYPERLINK("#",""), HYPERLINK(CONCATENATE("#Metadata!", ADDRESS(INDEX($W$2:$W$1001,MATCH(ROWS($U$2:U531),$U$2:$U$1001,0),0), INDEX($AB$1004:$AQ$1004,1,MATCH(COLUMNS($AB$1006:AI1006),$AB$1006:$AQ$1006,0)))),"Fix")))</f>
        <v>0</v>
      </c>
      <c r="J531" s="5">
        <f>IF(OR(INDEX($V$2:$V$1001,MATCH(ROWS($U$2:U531),$U$2:$U$1001,0),1)&gt;=100000,INDEX($AB$1005:$AQ$1005,1,MATCH(COLUMNS($AB$1006:AJ1006),$AB$1006:$AQ$1006,0))&gt;=100000), " ",IF(INDEX($AB$2:$AQ$1001,MATCH(ROWS($U$2:U531),$U$2:$U$1001,0),MATCH(COLUMNS($AB$1006:AJ1006),$AB$1006:$AQ$1006,0)), HYPERLINK("#",""), HYPERLINK(CONCATENATE("#Metadata!", ADDRESS(INDEX($W$2:$W$1001,MATCH(ROWS($U$2:U531),$U$2:$U$1001,0),0), INDEX($AB$1004:$AQ$1004,1,MATCH(COLUMNS($AB$1006:AJ1006),$AB$1006:$AQ$1006,0)))),"Fix")))</f>
        <v>0</v>
      </c>
      <c r="K531" s="5">
        <f>IF(OR(INDEX($V$2:$V$1001,MATCH(ROWS($U$2:U531),$U$2:$U$1001,0),1)&gt;=100000,INDEX($AB$1005:$AQ$1005,1,MATCH(COLUMNS($AB$1006:AK1006),$AB$1006:$AQ$1006,0))&gt;=100000), " ",IF(INDEX($AB$2:$AQ$1001,MATCH(ROWS($U$2:U531),$U$2:$U$1001,0),MATCH(COLUMNS($AB$1006:AK1006),$AB$1006:$AQ$1006,0)), HYPERLINK("#",""), HYPERLINK(CONCATENATE("#Metadata!", ADDRESS(INDEX($W$2:$W$1001,MATCH(ROWS($U$2:U531),$U$2:$U$1001,0),0), INDEX($AB$1004:$AQ$1004,1,MATCH(COLUMNS($AB$1006:AK1006),$AB$1006:$AQ$1006,0)))),"Fix")))</f>
        <v>0</v>
      </c>
      <c r="L531" s="5">
        <f>IF(OR(INDEX($V$2:$V$1001,MATCH(ROWS($U$2:U531),$U$2:$U$1001,0),1)&gt;=100000,INDEX($AB$1005:$AQ$1005,1,MATCH(COLUMNS($AB$1006:AL1006),$AB$1006:$AQ$1006,0))&gt;=100000), " ",IF(INDEX($AB$2:$AQ$1001,MATCH(ROWS($U$2:U531),$U$2:$U$1001,0),MATCH(COLUMNS($AB$1006:AL1006),$AB$1006:$AQ$1006,0)), HYPERLINK("#",""), HYPERLINK(CONCATENATE("#Metadata!", ADDRESS(INDEX($W$2:$W$1001,MATCH(ROWS($U$2:U531),$U$2:$U$1001,0),0), INDEX($AB$1004:$AQ$1004,1,MATCH(COLUMNS($AB$1006:AL1006),$AB$1006:$AQ$1006,0)))),"Fix")))</f>
        <v>0</v>
      </c>
      <c r="M531" s="5">
        <f>IF(OR(INDEX($V$2:$V$1001,MATCH(ROWS($U$2:U531),$U$2:$U$1001,0),1)&gt;=100000,INDEX($AB$1005:$AQ$1005,1,MATCH(COLUMNS($AB$1006:AM1006),$AB$1006:$AQ$1006,0))&gt;=100000), " ",IF(INDEX($AB$2:$AQ$1001,MATCH(ROWS($U$2:U531),$U$2:$U$1001,0),MATCH(COLUMNS($AB$1006:AM1006),$AB$1006:$AQ$1006,0)), HYPERLINK("#",""), HYPERLINK(CONCATENATE("#Metadata!", ADDRESS(INDEX($W$2:$W$1001,MATCH(ROWS($U$2:U531),$U$2:$U$1001,0),0), INDEX($AB$1004:$AQ$1004,1,MATCH(COLUMNS($AB$1006:AM1006),$AB$1006:$AQ$1006,0)))),"Fix")))</f>
        <v>0</v>
      </c>
      <c r="N531" s="5">
        <f>IF(OR(INDEX($V$2:$V$1001,MATCH(ROWS($U$2:U531),$U$2:$U$1001,0),1)&gt;=100000,INDEX($AB$1005:$AQ$1005,1,MATCH(COLUMNS($AB$1006:AN1006),$AB$1006:$AQ$1006,0))&gt;=100000), " ",IF(INDEX($AB$2:$AQ$1001,MATCH(ROWS($U$2:U531),$U$2:$U$1001,0),MATCH(COLUMNS($AB$1006:AN1006),$AB$1006:$AQ$1006,0)), HYPERLINK("#",""), HYPERLINK(CONCATENATE("#Metadata!", ADDRESS(INDEX($W$2:$W$1001,MATCH(ROWS($U$2:U531),$U$2:$U$1001,0),0), INDEX($AB$1004:$AQ$1004,1,MATCH(COLUMNS($AB$1006:AN1006),$AB$1006:$AQ$1006,0)))),"Fix")))</f>
        <v>0</v>
      </c>
      <c r="O531" s="5">
        <f>IF(OR(INDEX($V$2:$V$1001,MATCH(ROWS($U$2:U531),$U$2:$U$1001,0),1)&gt;=100000,INDEX($AB$1005:$AQ$1005,1,MATCH(COLUMNS($AB$1006:AO1006),$AB$1006:$AQ$1006,0))&gt;=100000), " ",IF(INDEX($AB$2:$AQ$1001,MATCH(ROWS($U$2:U531),$U$2:$U$1001,0),MATCH(COLUMNS($AB$1006:AO1006),$AB$1006:$AQ$1006,0)), HYPERLINK("#",""), HYPERLINK(CONCATENATE("#Metadata!", ADDRESS(INDEX($W$2:$W$1001,MATCH(ROWS($U$2:U531),$U$2:$U$1001,0),0), INDEX($AB$1004:$AQ$1004,1,MATCH(COLUMNS($AB$1006:AO1006),$AB$1006:$AQ$1006,0)))),"Fix")))</f>
        <v>0</v>
      </c>
      <c r="P531" s="5">
        <f>IF(OR(INDEX($V$2:$V$1001,MATCH(ROWS($U$2:U531),$U$2:$U$1001,0),1)&gt;=100000,INDEX($AB$1005:$AQ$1005,1,MATCH(COLUMNS($AB$1006:AP1006),$AB$1006:$AQ$1006,0))&gt;=100000), " ",IF(INDEX($AB$2:$AQ$1001,MATCH(ROWS($U$2:U531),$U$2:$U$1001,0),MATCH(COLUMNS($AB$1006:AP1006),$AB$1006:$AQ$1006,0)), HYPERLINK("#",""), HYPERLINK(CONCATENATE("#Metadata!", ADDRESS(INDEX($W$2:$W$1001,MATCH(ROWS($U$2:U531),$U$2:$U$1001,0),0), INDEX($AB$1004:$AQ$1004,1,MATCH(COLUMNS($AB$1006:AP1006),$AB$1006:$AQ$1006,0)))),"Fix")))</f>
        <v>0</v>
      </c>
      <c r="Q531" s="5">
        <f>IF(OR(INDEX($V$2:$V$1001,MATCH(ROWS($U$2:U531),$U$2:$U$1001,0),1)&gt;=100000,INDEX($AB$1005:$AQ$1005,1,MATCH(COLUMNS($AB$1006:AQ1006),$AB$1006:$AQ$1006,0))&gt;=100000), " ",IF(INDEX($AB$2:$AQ$1001,MATCH(ROWS($U$2:U531),$U$2:$U$1001,0),MATCH(COLUMNS($AB$1006:AQ1006),$AB$1006:$AQ$1006,0)), HYPERLINK("#",""), HYPERLINK(CONCATENATE("#Metadata!", ADDRESS(INDEX($W$2:$W$1001,MATCH(ROWS($U$2:U531),$U$2:$U$1001,0),0), INDEX($AB$1004:$AQ$1004,1,MATCH(COLUMNS($AB$1006:AQ1006),$AB$1006:$AQ$1006,0)))),"Fix")))</f>
        <v>0</v>
      </c>
      <c r="U531">
        <v>0</v>
      </c>
      <c r="V531">
        <v>0</v>
      </c>
      <c r="W531">
        <v>0</v>
      </c>
      <c r="X531">
        <f>IF(Y531,TRUE,AND(AB531:AQ531))</f>
        <v>0</v>
      </c>
      <c r="Y531">
        <f>COUNTBLANK(Metadata!B531:Q531)=COLUMNS(Metadata!B531:Q531)</f>
        <v>0</v>
      </c>
      <c r="Z531">
        <v>0</v>
      </c>
      <c r="AB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AC531">
        <f>AND(IF(Metadata!C531="",FALSE,TRUE),exact(Metadata!C531,"urban biome"))</f>
        <v>0</v>
      </c>
      <c r="AD531">
        <f>AND(IF(Metadata!D531="",FALSE,TRUE),exact(Metadata!D531,"human-associated habitat"))</f>
        <v>0</v>
      </c>
      <c r="AE531">
        <f>AND(IF(Metadata!E531="",FALSE,TRUE),OR(exact(Metadata!E531,"human-associated"),exact(Metadata!E531,"human-skin"),exact(Metadata!E531,"human-oral"),exact(Metadata!E531,"human-gut"),exact(Metadata!E531,"human-vaginal")))</f>
        <v>0</v>
      </c>
      <c r="AF531">
        <f>AND(IF(Metadata!F531="",FALSE,ISNUMBER(VALUE(Metadata!F531))),Metadata!F531&gt;0)</f>
        <v>0</v>
      </c>
      <c r="AG531">
        <f>AND(IF(Metadata!G531="",FALSE,TRUE),exact(Metadata!G531,"years"))</f>
        <v>0</v>
      </c>
      <c r="AH531">
        <f>OR(AND(IF(Metadata!H531="",FALSE,TRUE),OR(exact(Metadata!H531,"not applicable"),exact(Metadata!H531,"not collected"),exact(Metadata!H531,"not provided"),exact(Metadata!H531,"restricted access"))),AND(IF(Metadata!H531="",FALSE,ISNUMBER(VALUE(Metadata!H531))),Metadata!H531&gt;0))</f>
        <v>0</v>
      </c>
      <c r="AI531">
        <f>AND(IF(Metadata!I531="",FALSE,TRUE),exact(Metadata!I531,"human"))</f>
        <v>0</v>
      </c>
      <c r="AJ531">
        <f>AND(IF(Metadata!J531="",FALSE,ISNUMBER(VALUE(Metadata!J531))),Metadata!J531&gt;0)</f>
        <v>0</v>
      </c>
      <c r="AK531">
        <f>AND(IF(Metadata!K531="",FALSE,TRUE),exact(Metadata!K531,"cm"))</f>
        <v>0</v>
      </c>
      <c r="AL531">
        <f>AND(IF(Metadata!L531="",FALSE,TRUE),exact(Metadata!L531,"Homo sapiens"))</f>
        <v>0</v>
      </c>
      <c r="AM531">
        <f>AND(IF(Metadata!M531="",FALSE,TRUE),exact(Metadata!M531,"9606"))</f>
        <v>0</v>
      </c>
      <c r="AN531">
        <f>AND(IF(Metadata!N531="",FALSE,ISNUMBER(VALUE(Metadata!N531))),Metadata!N531&gt;0)</f>
        <v>0</v>
      </c>
      <c r="AO531">
        <f>AND(IF(Metadata!O531="",FALSE,TRUE),exact(Metadata!O531,"kg"))</f>
        <v>0</v>
      </c>
      <c r="AP531">
        <f>OR(AND(IF(Metadata!P531="",FALSE,TRUE),exact(Metadata!P531,"not provided")),IF(Metadata!P531="",FALSE,TRUE))</f>
        <v>0</v>
      </c>
      <c r="AQ531">
        <f>OR(AND(IF(Metadata!Q531="",FALSE,TRUE),exact(Metadata!Q531,"not provided")),IF(Metadata!Q531="",FALSE,TRUE))</f>
        <v>0</v>
      </c>
    </row>
    <row r="532" spans="1:43">
      <c r="A532" s="4">
        <f>IF(B532=" "," ",HYPERLINK(CONCATENATE("#metadata!",ADDRESS(INDEX($W$2:$W$1001,MATCH(ROWS($U$2:U532),$U$2:$U$1001,0),0),2)),INDEX($Z$2:$Z$1001,MATCH(ROWS($U$2:U532),$U$2:$U$1001,0),0)))</f>
        <v>0</v>
      </c>
      <c r="B532" s="5">
        <f>IF(OR(INDEX($V$2:$V$1001,MATCH(ROWS($U$2:U532),$U$2:$U$1001,0),1)&gt;=100000,INDEX($AB$1005:$AQ$1005,1,MATCH(COLUMNS($AB$1006:AB1006),$AB$1006:$AQ$1006,0))&gt;=100000), " ",IF(INDEX($AB$2:$AQ$1001,MATCH(ROWS($U$2:U532),$U$2:$U$1001,0),MATCH(COLUMNS($AB$1006:AB1006),$AB$1006:$AQ$1006,0)), HYPERLINK("#",""), HYPERLINK(CONCATENATE("#Metadata!", ADDRESS(INDEX($W$2:$W$1001,MATCH(ROWS($U$2:U532),$U$2:$U$1001,0),0), INDEX($AB$1004:$AQ$1004,1,MATCH(COLUMNS($AB$1006:AB1006),$AB$1006:$AQ$1006,0)))),"Fix")))</f>
        <v>0</v>
      </c>
      <c r="C532" s="5">
        <f>IF(OR(INDEX($V$2:$V$1001,MATCH(ROWS($U$2:U532),$U$2:$U$1001,0),1)&gt;=100000,INDEX($AB$1005:$AQ$1005,1,MATCH(COLUMNS($AB$1006:AC1006),$AB$1006:$AQ$1006,0))&gt;=100000), " ",IF(INDEX($AB$2:$AQ$1001,MATCH(ROWS($U$2:U532),$U$2:$U$1001,0),MATCH(COLUMNS($AB$1006:AC1006),$AB$1006:$AQ$1006,0)), HYPERLINK("#",""), HYPERLINK(CONCATENATE("#Metadata!", ADDRESS(INDEX($W$2:$W$1001,MATCH(ROWS($U$2:U532),$U$2:$U$1001,0),0), INDEX($AB$1004:$AQ$1004,1,MATCH(COLUMNS($AB$1006:AC1006),$AB$1006:$AQ$1006,0)))),"Fix")))</f>
        <v>0</v>
      </c>
      <c r="D532" s="5">
        <f>IF(OR(INDEX($V$2:$V$1001,MATCH(ROWS($U$2:U532),$U$2:$U$1001,0),1)&gt;=100000,INDEX($AB$1005:$AQ$1005,1,MATCH(COLUMNS($AB$1006:AD1006),$AB$1006:$AQ$1006,0))&gt;=100000), " ",IF(INDEX($AB$2:$AQ$1001,MATCH(ROWS($U$2:U532),$U$2:$U$1001,0),MATCH(COLUMNS($AB$1006:AD1006),$AB$1006:$AQ$1006,0)), HYPERLINK("#",""), HYPERLINK(CONCATENATE("#Metadata!", ADDRESS(INDEX($W$2:$W$1001,MATCH(ROWS($U$2:U532),$U$2:$U$1001,0),0), INDEX($AB$1004:$AQ$1004,1,MATCH(COLUMNS($AB$1006:AD1006),$AB$1006:$AQ$1006,0)))),"Fix")))</f>
        <v>0</v>
      </c>
      <c r="E532" s="5">
        <f>IF(OR(INDEX($V$2:$V$1001,MATCH(ROWS($U$2:U532),$U$2:$U$1001,0),1)&gt;=100000,INDEX($AB$1005:$AQ$1005,1,MATCH(COLUMNS($AB$1006:AE1006),$AB$1006:$AQ$1006,0))&gt;=100000), " ",IF(INDEX($AB$2:$AQ$1001,MATCH(ROWS($U$2:U532),$U$2:$U$1001,0),MATCH(COLUMNS($AB$1006:AE1006),$AB$1006:$AQ$1006,0)), HYPERLINK("#",""), HYPERLINK(CONCATENATE("#Metadata!", ADDRESS(INDEX($W$2:$W$1001,MATCH(ROWS($U$2:U532),$U$2:$U$1001,0),0), INDEX($AB$1004:$AQ$1004,1,MATCH(COLUMNS($AB$1006:AE1006),$AB$1006:$AQ$1006,0)))),"Fix")))</f>
        <v>0</v>
      </c>
      <c r="F532" s="5">
        <f>IF(OR(INDEX($V$2:$V$1001,MATCH(ROWS($U$2:U532),$U$2:$U$1001,0),1)&gt;=100000,INDEX($AB$1005:$AQ$1005,1,MATCH(COLUMNS($AB$1006:AF1006),$AB$1006:$AQ$1006,0))&gt;=100000), " ",IF(INDEX($AB$2:$AQ$1001,MATCH(ROWS($U$2:U532),$U$2:$U$1001,0),MATCH(COLUMNS($AB$1006:AF1006),$AB$1006:$AQ$1006,0)), HYPERLINK("#",""), HYPERLINK(CONCATENATE("#Metadata!", ADDRESS(INDEX($W$2:$W$1001,MATCH(ROWS($U$2:U532),$U$2:$U$1001,0),0), INDEX($AB$1004:$AQ$1004,1,MATCH(COLUMNS($AB$1006:AF1006),$AB$1006:$AQ$1006,0)))),"Fix")))</f>
        <v>0</v>
      </c>
      <c r="G532" s="5">
        <f>IF(OR(INDEX($V$2:$V$1001,MATCH(ROWS($U$2:U532),$U$2:$U$1001,0),1)&gt;=100000,INDEX($AB$1005:$AQ$1005,1,MATCH(COLUMNS($AB$1006:AG1006),$AB$1006:$AQ$1006,0))&gt;=100000), " ",IF(INDEX($AB$2:$AQ$1001,MATCH(ROWS($U$2:U532),$U$2:$U$1001,0),MATCH(COLUMNS($AB$1006:AG1006),$AB$1006:$AQ$1006,0)), HYPERLINK("#",""), HYPERLINK(CONCATENATE("#Metadata!", ADDRESS(INDEX($W$2:$W$1001,MATCH(ROWS($U$2:U532),$U$2:$U$1001,0),0), INDEX($AB$1004:$AQ$1004,1,MATCH(COLUMNS($AB$1006:AG1006),$AB$1006:$AQ$1006,0)))),"Fix")))</f>
        <v>0</v>
      </c>
      <c r="H532" s="5">
        <f>IF(OR(INDEX($V$2:$V$1001,MATCH(ROWS($U$2:U532),$U$2:$U$1001,0),1)&gt;=100000,INDEX($AB$1005:$AQ$1005,1,MATCH(COLUMNS($AB$1006:AH1006),$AB$1006:$AQ$1006,0))&gt;=100000), " ",IF(INDEX($AB$2:$AQ$1001,MATCH(ROWS($U$2:U532),$U$2:$U$1001,0),MATCH(COLUMNS($AB$1006:AH1006),$AB$1006:$AQ$1006,0)), HYPERLINK("#",""), HYPERLINK(CONCATENATE("#Metadata!", ADDRESS(INDEX($W$2:$W$1001,MATCH(ROWS($U$2:U532),$U$2:$U$1001,0),0), INDEX($AB$1004:$AQ$1004,1,MATCH(COLUMNS($AB$1006:AH1006),$AB$1006:$AQ$1006,0)))),"Fix")))</f>
        <v>0</v>
      </c>
      <c r="I532" s="5">
        <f>IF(OR(INDEX($V$2:$V$1001,MATCH(ROWS($U$2:U532),$U$2:$U$1001,0),1)&gt;=100000,INDEX($AB$1005:$AQ$1005,1,MATCH(COLUMNS($AB$1006:AI1006),$AB$1006:$AQ$1006,0))&gt;=100000), " ",IF(INDEX($AB$2:$AQ$1001,MATCH(ROWS($U$2:U532),$U$2:$U$1001,0),MATCH(COLUMNS($AB$1006:AI1006),$AB$1006:$AQ$1006,0)), HYPERLINK("#",""), HYPERLINK(CONCATENATE("#Metadata!", ADDRESS(INDEX($W$2:$W$1001,MATCH(ROWS($U$2:U532),$U$2:$U$1001,0),0), INDEX($AB$1004:$AQ$1004,1,MATCH(COLUMNS($AB$1006:AI1006),$AB$1006:$AQ$1006,0)))),"Fix")))</f>
        <v>0</v>
      </c>
      <c r="J532" s="5">
        <f>IF(OR(INDEX($V$2:$V$1001,MATCH(ROWS($U$2:U532),$U$2:$U$1001,0),1)&gt;=100000,INDEX($AB$1005:$AQ$1005,1,MATCH(COLUMNS($AB$1006:AJ1006),$AB$1006:$AQ$1006,0))&gt;=100000), " ",IF(INDEX($AB$2:$AQ$1001,MATCH(ROWS($U$2:U532),$U$2:$U$1001,0),MATCH(COLUMNS($AB$1006:AJ1006),$AB$1006:$AQ$1006,0)), HYPERLINK("#",""), HYPERLINK(CONCATENATE("#Metadata!", ADDRESS(INDEX($W$2:$W$1001,MATCH(ROWS($U$2:U532),$U$2:$U$1001,0),0), INDEX($AB$1004:$AQ$1004,1,MATCH(COLUMNS($AB$1006:AJ1006),$AB$1006:$AQ$1006,0)))),"Fix")))</f>
        <v>0</v>
      </c>
      <c r="K532" s="5">
        <f>IF(OR(INDEX($V$2:$V$1001,MATCH(ROWS($U$2:U532),$U$2:$U$1001,0),1)&gt;=100000,INDEX($AB$1005:$AQ$1005,1,MATCH(COLUMNS($AB$1006:AK1006),$AB$1006:$AQ$1006,0))&gt;=100000), " ",IF(INDEX($AB$2:$AQ$1001,MATCH(ROWS($U$2:U532),$U$2:$U$1001,0),MATCH(COLUMNS($AB$1006:AK1006),$AB$1006:$AQ$1006,0)), HYPERLINK("#",""), HYPERLINK(CONCATENATE("#Metadata!", ADDRESS(INDEX($W$2:$W$1001,MATCH(ROWS($U$2:U532),$U$2:$U$1001,0),0), INDEX($AB$1004:$AQ$1004,1,MATCH(COLUMNS($AB$1006:AK1006),$AB$1006:$AQ$1006,0)))),"Fix")))</f>
        <v>0</v>
      </c>
      <c r="L532" s="5">
        <f>IF(OR(INDEX($V$2:$V$1001,MATCH(ROWS($U$2:U532),$U$2:$U$1001,0),1)&gt;=100000,INDEX($AB$1005:$AQ$1005,1,MATCH(COLUMNS($AB$1006:AL1006),$AB$1006:$AQ$1006,0))&gt;=100000), " ",IF(INDEX($AB$2:$AQ$1001,MATCH(ROWS($U$2:U532),$U$2:$U$1001,0),MATCH(COLUMNS($AB$1006:AL1006),$AB$1006:$AQ$1006,0)), HYPERLINK("#",""), HYPERLINK(CONCATENATE("#Metadata!", ADDRESS(INDEX($W$2:$W$1001,MATCH(ROWS($U$2:U532),$U$2:$U$1001,0),0), INDEX($AB$1004:$AQ$1004,1,MATCH(COLUMNS($AB$1006:AL1006),$AB$1006:$AQ$1006,0)))),"Fix")))</f>
        <v>0</v>
      </c>
      <c r="M532" s="5">
        <f>IF(OR(INDEX($V$2:$V$1001,MATCH(ROWS($U$2:U532),$U$2:$U$1001,0),1)&gt;=100000,INDEX($AB$1005:$AQ$1005,1,MATCH(COLUMNS($AB$1006:AM1006),$AB$1006:$AQ$1006,0))&gt;=100000), " ",IF(INDEX($AB$2:$AQ$1001,MATCH(ROWS($U$2:U532),$U$2:$U$1001,0),MATCH(COLUMNS($AB$1006:AM1006),$AB$1006:$AQ$1006,0)), HYPERLINK("#",""), HYPERLINK(CONCATENATE("#Metadata!", ADDRESS(INDEX($W$2:$W$1001,MATCH(ROWS($U$2:U532),$U$2:$U$1001,0),0), INDEX($AB$1004:$AQ$1004,1,MATCH(COLUMNS($AB$1006:AM1006),$AB$1006:$AQ$1006,0)))),"Fix")))</f>
        <v>0</v>
      </c>
      <c r="N532" s="5">
        <f>IF(OR(INDEX($V$2:$V$1001,MATCH(ROWS($U$2:U532),$U$2:$U$1001,0),1)&gt;=100000,INDEX($AB$1005:$AQ$1005,1,MATCH(COLUMNS($AB$1006:AN1006),$AB$1006:$AQ$1006,0))&gt;=100000), " ",IF(INDEX($AB$2:$AQ$1001,MATCH(ROWS($U$2:U532),$U$2:$U$1001,0),MATCH(COLUMNS($AB$1006:AN1006),$AB$1006:$AQ$1006,0)), HYPERLINK("#",""), HYPERLINK(CONCATENATE("#Metadata!", ADDRESS(INDEX($W$2:$W$1001,MATCH(ROWS($U$2:U532),$U$2:$U$1001,0),0), INDEX($AB$1004:$AQ$1004,1,MATCH(COLUMNS($AB$1006:AN1006),$AB$1006:$AQ$1006,0)))),"Fix")))</f>
        <v>0</v>
      </c>
      <c r="O532" s="5">
        <f>IF(OR(INDEX($V$2:$V$1001,MATCH(ROWS($U$2:U532),$U$2:$U$1001,0),1)&gt;=100000,INDEX($AB$1005:$AQ$1005,1,MATCH(COLUMNS($AB$1006:AO1006),$AB$1006:$AQ$1006,0))&gt;=100000), " ",IF(INDEX($AB$2:$AQ$1001,MATCH(ROWS($U$2:U532),$U$2:$U$1001,0),MATCH(COLUMNS($AB$1006:AO1006),$AB$1006:$AQ$1006,0)), HYPERLINK("#",""), HYPERLINK(CONCATENATE("#Metadata!", ADDRESS(INDEX($W$2:$W$1001,MATCH(ROWS($U$2:U532),$U$2:$U$1001,0),0), INDEX($AB$1004:$AQ$1004,1,MATCH(COLUMNS($AB$1006:AO1006),$AB$1006:$AQ$1006,0)))),"Fix")))</f>
        <v>0</v>
      </c>
      <c r="P532" s="5">
        <f>IF(OR(INDEX($V$2:$V$1001,MATCH(ROWS($U$2:U532),$U$2:$U$1001,0),1)&gt;=100000,INDEX($AB$1005:$AQ$1005,1,MATCH(COLUMNS($AB$1006:AP1006),$AB$1006:$AQ$1006,0))&gt;=100000), " ",IF(INDEX($AB$2:$AQ$1001,MATCH(ROWS($U$2:U532),$U$2:$U$1001,0),MATCH(COLUMNS($AB$1006:AP1006),$AB$1006:$AQ$1006,0)), HYPERLINK("#",""), HYPERLINK(CONCATENATE("#Metadata!", ADDRESS(INDEX($W$2:$W$1001,MATCH(ROWS($U$2:U532),$U$2:$U$1001,0),0), INDEX($AB$1004:$AQ$1004,1,MATCH(COLUMNS($AB$1006:AP1006),$AB$1006:$AQ$1006,0)))),"Fix")))</f>
        <v>0</v>
      </c>
      <c r="Q532" s="5">
        <f>IF(OR(INDEX($V$2:$V$1001,MATCH(ROWS($U$2:U532),$U$2:$U$1001,0),1)&gt;=100000,INDEX($AB$1005:$AQ$1005,1,MATCH(COLUMNS($AB$1006:AQ1006),$AB$1006:$AQ$1006,0))&gt;=100000), " ",IF(INDEX($AB$2:$AQ$1001,MATCH(ROWS($U$2:U532),$U$2:$U$1001,0),MATCH(COLUMNS($AB$1006:AQ1006),$AB$1006:$AQ$1006,0)), HYPERLINK("#",""), HYPERLINK(CONCATENATE("#Metadata!", ADDRESS(INDEX($W$2:$W$1001,MATCH(ROWS($U$2:U532),$U$2:$U$1001,0),0), INDEX($AB$1004:$AQ$1004,1,MATCH(COLUMNS($AB$1006:AQ1006),$AB$1006:$AQ$1006,0)))),"Fix")))</f>
        <v>0</v>
      </c>
      <c r="U532">
        <v>0</v>
      </c>
      <c r="V532">
        <v>0</v>
      </c>
      <c r="W532">
        <v>0</v>
      </c>
      <c r="X532">
        <f>IF(Y532,TRUE,AND(AB532:AQ532))</f>
        <v>0</v>
      </c>
      <c r="Y532">
        <f>COUNTBLANK(Metadata!B532:Q532)=COLUMNS(Metadata!B532:Q532)</f>
        <v>0</v>
      </c>
      <c r="Z532">
        <v>0</v>
      </c>
      <c r="AB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AC532">
        <f>AND(IF(Metadata!C532="",FALSE,TRUE),exact(Metadata!C532,"urban biome"))</f>
        <v>0</v>
      </c>
      <c r="AD532">
        <f>AND(IF(Metadata!D532="",FALSE,TRUE),exact(Metadata!D532,"human-associated habitat"))</f>
        <v>0</v>
      </c>
      <c r="AE532">
        <f>AND(IF(Metadata!E532="",FALSE,TRUE),OR(exact(Metadata!E532,"human-associated"),exact(Metadata!E532,"human-skin"),exact(Metadata!E532,"human-oral"),exact(Metadata!E532,"human-gut"),exact(Metadata!E532,"human-vaginal")))</f>
        <v>0</v>
      </c>
      <c r="AF532">
        <f>AND(IF(Metadata!F532="",FALSE,ISNUMBER(VALUE(Metadata!F532))),Metadata!F532&gt;0)</f>
        <v>0</v>
      </c>
      <c r="AG532">
        <f>AND(IF(Metadata!G532="",FALSE,TRUE),exact(Metadata!G532,"years"))</f>
        <v>0</v>
      </c>
      <c r="AH532">
        <f>OR(AND(IF(Metadata!H532="",FALSE,TRUE),OR(exact(Metadata!H532,"not applicable"),exact(Metadata!H532,"not collected"),exact(Metadata!H532,"not provided"),exact(Metadata!H532,"restricted access"))),AND(IF(Metadata!H532="",FALSE,ISNUMBER(VALUE(Metadata!H532))),Metadata!H532&gt;0))</f>
        <v>0</v>
      </c>
      <c r="AI532">
        <f>AND(IF(Metadata!I532="",FALSE,TRUE),exact(Metadata!I532,"human"))</f>
        <v>0</v>
      </c>
      <c r="AJ532">
        <f>AND(IF(Metadata!J532="",FALSE,ISNUMBER(VALUE(Metadata!J532))),Metadata!J532&gt;0)</f>
        <v>0</v>
      </c>
      <c r="AK532">
        <f>AND(IF(Metadata!K532="",FALSE,TRUE),exact(Metadata!K532,"cm"))</f>
        <v>0</v>
      </c>
      <c r="AL532">
        <f>AND(IF(Metadata!L532="",FALSE,TRUE),exact(Metadata!L532,"Homo sapiens"))</f>
        <v>0</v>
      </c>
      <c r="AM532">
        <f>AND(IF(Metadata!M532="",FALSE,TRUE),exact(Metadata!M532,"9606"))</f>
        <v>0</v>
      </c>
      <c r="AN532">
        <f>AND(IF(Metadata!N532="",FALSE,ISNUMBER(VALUE(Metadata!N532))),Metadata!N532&gt;0)</f>
        <v>0</v>
      </c>
      <c r="AO532">
        <f>AND(IF(Metadata!O532="",FALSE,TRUE),exact(Metadata!O532,"kg"))</f>
        <v>0</v>
      </c>
      <c r="AP532">
        <f>OR(AND(IF(Metadata!P532="",FALSE,TRUE),exact(Metadata!P532,"not provided")),IF(Metadata!P532="",FALSE,TRUE))</f>
        <v>0</v>
      </c>
      <c r="AQ532">
        <f>OR(AND(IF(Metadata!Q532="",FALSE,TRUE),exact(Metadata!Q532,"not provided")),IF(Metadata!Q532="",FALSE,TRUE))</f>
        <v>0</v>
      </c>
    </row>
    <row r="533" spans="1:43">
      <c r="A533" s="4">
        <f>IF(B533=" "," ",HYPERLINK(CONCATENATE("#metadata!",ADDRESS(INDEX($W$2:$W$1001,MATCH(ROWS($U$2:U533),$U$2:$U$1001,0),0),2)),INDEX($Z$2:$Z$1001,MATCH(ROWS($U$2:U533),$U$2:$U$1001,0),0)))</f>
        <v>0</v>
      </c>
      <c r="B533" s="5">
        <f>IF(OR(INDEX($V$2:$V$1001,MATCH(ROWS($U$2:U533),$U$2:$U$1001,0),1)&gt;=100000,INDEX($AB$1005:$AQ$1005,1,MATCH(COLUMNS($AB$1006:AB1006),$AB$1006:$AQ$1006,0))&gt;=100000), " ",IF(INDEX($AB$2:$AQ$1001,MATCH(ROWS($U$2:U533),$U$2:$U$1001,0),MATCH(COLUMNS($AB$1006:AB1006),$AB$1006:$AQ$1006,0)), HYPERLINK("#",""), HYPERLINK(CONCATENATE("#Metadata!", ADDRESS(INDEX($W$2:$W$1001,MATCH(ROWS($U$2:U533),$U$2:$U$1001,0),0), INDEX($AB$1004:$AQ$1004,1,MATCH(COLUMNS($AB$1006:AB1006),$AB$1006:$AQ$1006,0)))),"Fix")))</f>
        <v>0</v>
      </c>
      <c r="C533" s="5">
        <f>IF(OR(INDEX($V$2:$V$1001,MATCH(ROWS($U$2:U533),$U$2:$U$1001,0),1)&gt;=100000,INDEX($AB$1005:$AQ$1005,1,MATCH(COLUMNS($AB$1006:AC1006),$AB$1006:$AQ$1006,0))&gt;=100000), " ",IF(INDEX($AB$2:$AQ$1001,MATCH(ROWS($U$2:U533),$U$2:$U$1001,0),MATCH(COLUMNS($AB$1006:AC1006),$AB$1006:$AQ$1006,0)), HYPERLINK("#",""), HYPERLINK(CONCATENATE("#Metadata!", ADDRESS(INDEX($W$2:$W$1001,MATCH(ROWS($U$2:U533),$U$2:$U$1001,0),0), INDEX($AB$1004:$AQ$1004,1,MATCH(COLUMNS($AB$1006:AC1006),$AB$1006:$AQ$1006,0)))),"Fix")))</f>
        <v>0</v>
      </c>
      <c r="D533" s="5">
        <f>IF(OR(INDEX($V$2:$V$1001,MATCH(ROWS($U$2:U533),$U$2:$U$1001,0),1)&gt;=100000,INDEX($AB$1005:$AQ$1005,1,MATCH(COLUMNS($AB$1006:AD1006),$AB$1006:$AQ$1006,0))&gt;=100000), " ",IF(INDEX($AB$2:$AQ$1001,MATCH(ROWS($U$2:U533),$U$2:$U$1001,0),MATCH(COLUMNS($AB$1006:AD1006),$AB$1006:$AQ$1006,0)), HYPERLINK("#",""), HYPERLINK(CONCATENATE("#Metadata!", ADDRESS(INDEX($W$2:$W$1001,MATCH(ROWS($U$2:U533),$U$2:$U$1001,0),0), INDEX($AB$1004:$AQ$1004,1,MATCH(COLUMNS($AB$1006:AD1006),$AB$1006:$AQ$1006,0)))),"Fix")))</f>
        <v>0</v>
      </c>
      <c r="E533" s="5">
        <f>IF(OR(INDEX($V$2:$V$1001,MATCH(ROWS($U$2:U533),$U$2:$U$1001,0),1)&gt;=100000,INDEX($AB$1005:$AQ$1005,1,MATCH(COLUMNS($AB$1006:AE1006),$AB$1006:$AQ$1006,0))&gt;=100000), " ",IF(INDEX($AB$2:$AQ$1001,MATCH(ROWS($U$2:U533),$U$2:$U$1001,0),MATCH(COLUMNS($AB$1006:AE1006),$AB$1006:$AQ$1006,0)), HYPERLINK("#",""), HYPERLINK(CONCATENATE("#Metadata!", ADDRESS(INDEX($W$2:$W$1001,MATCH(ROWS($U$2:U533),$U$2:$U$1001,0),0), INDEX($AB$1004:$AQ$1004,1,MATCH(COLUMNS($AB$1006:AE1006),$AB$1006:$AQ$1006,0)))),"Fix")))</f>
        <v>0</v>
      </c>
      <c r="F533" s="5">
        <f>IF(OR(INDEX($V$2:$V$1001,MATCH(ROWS($U$2:U533),$U$2:$U$1001,0),1)&gt;=100000,INDEX($AB$1005:$AQ$1005,1,MATCH(COLUMNS($AB$1006:AF1006),$AB$1006:$AQ$1006,0))&gt;=100000), " ",IF(INDEX($AB$2:$AQ$1001,MATCH(ROWS($U$2:U533),$U$2:$U$1001,0),MATCH(COLUMNS($AB$1006:AF1006),$AB$1006:$AQ$1006,0)), HYPERLINK("#",""), HYPERLINK(CONCATENATE("#Metadata!", ADDRESS(INDEX($W$2:$W$1001,MATCH(ROWS($U$2:U533),$U$2:$U$1001,0),0), INDEX($AB$1004:$AQ$1004,1,MATCH(COLUMNS($AB$1006:AF1006),$AB$1006:$AQ$1006,0)))),"Fix")))</f>
        <v>0</v>
      </c>
      <c r="G533" s="5">
        <f>IF(OR(INDEX($V$2:$V$1001,MATCH(ROWS($U$2:U533),$U$2:$U$1001,0),1)&gt;=100000,INDEX($AB$1005:$AQ$1005,1,MATCH(COLUMNS($AB$1006:AG1006),$AB$1006:$AQ$1006,0))&gt;=100000), " ",IF(INDEX($AB$2:$AQ$1001,MATCH(ROWS($U$2:U533),$U$2:$U$1001,0),MATCH(COLUMNS($AB$1006:AG1006),$AB$1006:$AQ$1006,0)), HYPERLINK("#",""), HYPERLINK(CONCATENATE("#Metadata!", ADDRESS(INDEX($W$2:$W$1001,MATCH(ROWS($U$2:U533),$U$2:$U$1001,0),0), INDEX($AB$1004:$AQ$1004,1,MATCH(COLUMNS($AB$1006:AG1006),$AB$1006:$AQ$1006,0)))),"Fix")))</f>
        <v>0</v>
      </c>
      <c r="H533" s="5">
        <f>IF(OR(INDEX($V$2:$V$1001,MATCH(ROWS($U$2:U533),$U$2:$U$1001,0),1)&gt;=100000,INDEX($AB$1005:$AQ$1005,1,MATCH(COLUMNS($AB$1006:AH1006),$AB$1006:$AQ$1006,0))&gt;=100000), " ",IF(INDEX($AB$2:$AQ$1001,MATCH(ROWS($U$2:U533),$U$2:$U$1001,0),MATCH(COLUMNS($AB$1006:AH1006),$AB$1006:$AQ$1006,0)), HYPERLINK("#",""), HYPERLINK(CONCATENATE("#Metadata!", ADDRESS(INDEX($W$2:$W$1001,MATCH(ROWS($U$2:U533),$U$2:$U$1001,0),0), INDEX($AB$1004:$AQ$1004,1,MATCH(COLUMNS($AB$1006:AH1006),$AB$1006:$AQ$1006,0)))),"Fix")))</f>
        <v>0</v>
      </c>
      <c r="I533" s="5">
        <f>IF(OR(INDEX($V$2:$V$1001,MATCH(ROWS($U$2:U533),$U$2:$U$1001,0),1)&gt;=100000,INDEX($AB$1005:$AQ$1005,1,MATCH(COLUMNS($AB$1006:AI1006),$AB$1006:$AQ$1006,0))&gt;=100000), " ",IF(INDEX($AB$2:$AQ$1001,MATCH(ROWS($U$2:U533),$U$2:$U$1001,0),MATCH(COLUMNS($AB$1006:AI1006),$AB$1006:$AQ$1006,0)), HYPERLINK("#",""), HYPERLINK(CONCATENATE("#Metadata!", ADDRESS(INDEX($W$2:$W$1001,MATCH(ROWS($U$2:U533),$U$2:$U$1001,0),0), INDEX($AB$1004:$AQ$1004,1,MATCH(COLUMNS($AB$1006:AI1006),$AB$1006:$AQ$1006,0)))),"Fix")))</f>
        <v>0</v>
      </c>
      <c r="J533" s="5">
        <f>IF(OR(INDEX($V$2:$V$1001,MATCH(ROWS($U$2:U533),$U$2:$U$1001,0),1)&gt;=100000,INDEX($AB$1005:$AQ$1005,1,MATCH(COLUMNS($AB$1006:AJ1006),$AB$1006:$AQ$1006,0))&gt;=100000), " ",IF(INDEX($AB$2:$AQ$1001,MATCH(ROWS($U$2:U533),$U$2:$U$1001,0),MATCH(COLUMNS($AB$1006:AJ1006),$AB$1006:$AQ$1006,0)), HYPERLINK("#",""), HYPERLINK(CONCATENATE("#Metadata!", ADDRESS(INDEX($W$2:$W$1001,MATCH(ROWS($U$2:U533),$U$2:$U$1001,0),0), INDEX($AB$1004:$AQ$1004,1,MATCH(COLUMNS($AB$1006:AJ1006),$AB$1006:$AQ$1006,0)))),"Fix")))</f>
        <v>0</v>
      </c>
      <c r="K533" s="5">
        <f>IF(OR(INDEX($V$2:$V$1001,MATCH(ROWS($U$2:U533),$U$2:$U$1001,0),1)&gt;=100000,INDEX($AB$1005:$AQ$1005,1,MATCH(COLUMNS($AB$1006:AK1006),$AB$1006:$AQ$1006,0))&gt;=100000), " ",IF(INDEX($AB$2:$AQ$1001,MATCH(ROWS($U$2:U533),$U$2:$U$1001,0),MATCH(COLUMNS($AB$1006:AK1006),$AB$1006:$AQ$1006,0)), HYPERLINK("#",""), HYPERLINK(CONCATENATE("#Metadata!", ADDRESS(INDEX($W$2:$W$1001,MATCH(ROWS($U$2:U533),$U$2:$U$1001,0),0), INDEX($AB$1004:$AQ$1004,1,MATCH(COLUMNS($AB$1006:AK1006),$AB$1006:$AQ$1006,0)))),"Fix")))</f>
        <v>0</v>
      </c>
      <c r="L533" s="5">
        <f>IF(OR(INDEX($V$2:$V$1001,MATCH(ROWS($U$2:U533),$U$2:$U$1001,0),1)&gt;=100000,INDEX($AB$1005:$AQ$1005,1,MATCH(COLUMNS($AB$1006:AL1006),$AB$1006:$AQ$1006,0))&gt;=100000), " ",IF(INDEX($AB$2:$AQ$1001,MATCH(ROWS($U$2:U533),$U$2:$U$1001,0),MATCH(COLUMNS($AB$1006:AL1006),$AB$1006:$AQ$1006,0)), HYPERLINK("#",""), HYPERLINK(CONCATENATE("#Metadata!", ADDRESS(INDEX($W$2:$W$1001,MATCH(ROWS($U$2:U533),$U$2:$U$1001,0),0), INDEX($AB$1004:$AQ$1004,1,MATCH(COLUMNS($AB$1006:AL1006),$AB$1006:$AQ$1006,0)))),"Fix")))</f>
        <v>0</v>
      </c>
      <c r="M533" s="5">
        <f>IF(OR(INDEX($V$2:$V$1001,MATCH(ROWS($U$2:U533),$U$2:$U$1001,0),1)&gt;=100000,INDEX($AB$1005:$AQ$1005,1,MATCH(COLUMNS($AB$1006:AM1006),$AB$1006:$AQ$1006,0))&gt;=100000), " ",IF(INDEX($AB$2:$AQ$1001,MATCH(ROWS($U$2:U533),$U$2:$U$1001,0),MATCH(COLUMNS($AB$1006:AM1006),$AB$1006:$AQ$1006,0)), HYPERLINK("#",""), HYPERLINK(CONCATENATE("#Metadata!", ADDRESS(INDEX($W$2:$W$1001,MATCH(ROWS($U$2:U533),$U$2:$U$1001,0),0), INDEX($AB$1004:$AQ$1004,1,MATCH(COLUMNS($AB$1006:AM1006),$AB$1006:$AQ$1006,0)))),"Fix")))</f>
        <v>0</v>
      </c>
      <c r="N533" s="5">
        <f>IF(OR(INDEX($V$2:$V$1001,MATCH(ROWS($U$2:U533),$U$2:$U$1001,0),1)&gt;=100000,INDEX($AB$1005:$AQ$1005,1,MATCH(COLUMNS($AB$1006:AN1006),$AB$1006:$AQ$1006,0))&gt;=100000), " ",IF(INDEX($AB$2:$AQ$1001,MATCH(ROWS($U$2:U533),$U$2:$U$1001,0),MATCH(COLUMNS($AB$1006:AN1006),$AB$1006:$AQ$1006,0)), HYPERLINK("#",""), HYPERLINK(CONCATENATE("#Metadata!", ADDRESS(INDEX($W$2:$W$1001,MATCH(ROWS($U$2:U533),$U$2:$U$1001,0),0), INDEX($AB$1004:$AQ$1004,1,MATCH(COLUMNS($AB$1006:AN1006),$AB$1006:$AQ$1006,0)))),"Fix")))</f>
        <v>0</v>
      </c>
      <c r="O533" s="5">
        <f>IF(OR(INDEX($V$2:$V$1001,MATCH(ROWS($U$2:U533),$U$2:$U$1001,0),1)&gt;=100000,INDEX($AB$1005:$AQ$1005,1,MATCH(COLUMNS($AB$1006:AO1006),$AB$1006:$AQ$1006,0))&gt;=100000), " ",IF(INDEX($AB$2:$AQ$1001,MATCH(ROWS($U$2:U533),$U$2:$U$1001,0),MATCH(COLUMNS($AB$1006:AO1006),$AB$1006:$AQ$1006,0)), HYPERLINK("#",""), HYPERLINK(CONCATENATE("#Metadata!", ADDRESS(INDEX($W$2:$W$1001,MATCH(ROWS($U$2:U533),$U$2:$U$1001,0),0), INDEX($AB$1004:$AQ$1004,1,MATCH(COLUMNS($AB$1006:AO1006),$AB$1006:$AQ$1006,0)))),"Fix")))</f>
        <v>0</v>
      </c>
      <c r="P533" s="5">
        <f>IF(OR(INDEX($V$2:$V$1001,MATCH(ROWS($U$2:U533),$U$2:$U$1001,0),1)&gt;=100000,INDEX($AB$1005:$AQ$1005,1,MATCH(COLUMNS($AB$1006:AP1006),$AB$1006:$AQ$1006,0))&gt;=100000), " ",IF(INDEX($AB$2:$AQ$1001,MATCH(ROWS($U$2:U533),$U$2:$U$1001,0),MATCH(COLUMNS($AB$1006:AP1006),$AB$1006:$AQ$1006,0)), HYPERLINK("#",""), HYPERLINK(CONCATENATE("#Metadata!", ADDRESS(INDEX($W$2:$W$1001,MATCH(ROWS($U$2:U533),$U$2:$U$1001,0),0), INDEX($AB$1004:$AQ$1004,1,MATCH(COLUMNS($AB$1006:AP1006),$AB$1006:$AQ$1006,0)))),"Fix")))</f>
        <v>0</v>
      </c>
      <c r="Q533" s="5">
        <f>IF(OR(INDEX($V$2:$V$1001,MATCH(ROWS($U$2:U533),$U$2:$U$1001,0),1)&gt;=100000,INDEX($AB$1005:$AQ$1005,1,MATCH(COLUMNS($AB$1006:AQ1006),$AB$1006:$AQ$1006,0))&gt;=100000), " ",IF(INDEX($AB$2:$AQ$1001,MATCH(ROWS($U$2:U533),$U$2:$U$1001,0),MATCH(COLUMNS($AB$1006:AQ1006),$AB$1006:$AQ$1006,0)), HYPERLINK("#",""), HYPERLINK(CONCATENATE("#Metadata!", ADDRESS(INDEX($W$2:$W$1001,MATCH(ROWS($U$2:U533),$U$2:$U$1001,0),0), INDEX($AB$1004:$AQ$1004,1,MATCH(COLUMNS($AB$1006:AQ1006),$AB$1006:$AQ$1006,0)))),"Fix")))</f>
        <v>0</v>
      </c>
      <c r="U533">
        <v>0</v>
      </c>
      <c r="V533">
        <v>0</v>
      </c>
      <c r="W533">
        <v>0</v>
      </c>
      <c r="X533">
        <f>IF(Y533,TRUE,AND(AB533:AQ533))</f>
        <v>0</v>
      </c>
      <c r="Y533">
        <f>COUNTBLANK(Metadata!B533:Q533)=COLUMNS(Metadata!B533:Q533)</f>
        <v>0</v>
      </c>
      <c r="Z533">
        <v>0</v>
      </c>
      <c r="AB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AC533">
        <f>AND(IF(Metadata!C533="",FALSE,TRUE),exact(Metadata!C533,"urban biome"))</f>
        <v>0</v>
      </c>
      <c r="AD533">
        <f>AND(IF(Metadata!D533="",FALSE,TRUE),exact(Metadata!D533,"human-associated habitat"))</f>
        <v>0</v>
      </c>
      <c r="AE533">
        <f>AND(IF(Metadata!E533="",FALSE,TRUE),OR(exact(Metadata!E533,"human-associated"),exact(Metadata!E533,"human-skin"),exact(Metadata!E533,"human-oral"),exact(Metadata!E533,"human-gut"),exact(Metadata!E533,"human-vaginal")))</f>
        <v>0</v>
      </c>
      <c r="AF533">
        <f>AND(IF(Metadata!F533="",FALSE,ISNUMBER(VALUE(Metadata!F533))),Metadata!F533&gt;0)</f>
        <v>0</v>
      </c>
      <c r="AG533">
        <f>AND(IF(Metadata!G533="",FALSE,TRUE),exact(Metadata!G533,"years"))</f>
        <v>0</v>
      </c>
      <c r="AH533">
        <f>OR(AND(IF(Metadata!H533="",FALSE,TRUE),OR(exact(Metadata!H533,"not applicable"),exact(Metadata!H533,"not collected"),exact(Metadata!H533,"not provided"),exact(Metadata!H533,"restricted access"))),AND(IF(Metadata!H533="",FALSE,ISNUMBER(VALUE(Metadata!H533))),Metadata!H533&gt;0))</f>
        <v>0</v>
      </c>
      <c r="AI533">
        <f>AND(IF(Metadata!I533="",FALSE,TRUE),exact(Metadata!I533,"human"))</f>
        <v>0</v>
      </c>
      <c r="AJ533">
        <f>AND(IF(Metadata!J533="",FALSE,ISNUMBER(VALUE(Metadata!J533))),Metadata!J533&gt;0)</f>
        <v>0</v>
      </c>
      <c r="AK533">
        <f>AND(IF(Metadata!K533="",FALSE,TRUE),exact(Metadata!K533,"cm"))</f>
        <v>0</v>
      </c>
      <c r="AL533">
        <f>AND(IF(Metadata!L533="",FALSE,TRUE),exact(Metadata!L533,"Homo sapiens"))</f>
        <v>0</v>
      </c>
      <c r="AM533">
        <f>AND(IF(Metadata!M533="",FALSE,TRUE),exact(Metadata!M533,"9606"))</f>
        <v>0</v>
      </c>
      <c r="AN533">
        <f>AND(IF(Metadata!N533="",FALSE,ISNUMBER(VALUE(Metadata!N533))),Metadata!N533&gt;0)</f>
        <v>0</v>
      </c>
      <c r="AO533">
        <f>AND(IF(Metadata!O533="",FALSE,TRUE),exact(Metadata!O533,"kg"))</f>
        <v>0</v>
      </c>
      <c r="AP533">
        <f>OR(AND(IF(Metadata!P533="",FALSE,TRUE),exact(Metadata!P533,"not provided")),IF(Metadata!P533="",FALSE,TRUE))</f>
        <v>0</v>
      </c>
      <c r="AQ533">
        <f>OR(AND(IF(Metadata!Q533="",FALSE,TRUE),exact(Metadata!Q533,"not provided")),IF(Metadata!Q533="",FALSE,TRUE))</f>
        <v>0</v>
      </c>
    </row>
    <row r="534" spans="1:43">
      <c r="A534" s="4">
        <f>IF(B534=" "," ",HYPERLINK(CONCATENATE("#metadata!",ADDRESS(INDEX($W$2:$W$1001,MATCH(ROWS($U$2:U534),$U$2:$U$1001,0),0),2)),INDEX($Z$2:$Z$1001,MATCH(ROWS($U$2:U534),$U$2:$U$1001,0),0)))</f>
        <v>0</v>
      </c>
      <c r="B534" s="5">
        <f>IF(OR(INDEX($V$2:$V$1001,MATCH(ROWS($U$2:U534),$U$2:$U$1001,0),1)&gt;=100000,INDEX($AB$1005:$AQ$1005,1,MATCH(COLUMNS($AB$1006:AB1006),$AB$1006:$AQ$1006,0))&gt;=100000), " ",IF(INDEX($AB$2:$AQ$1001,MATCH(ROWS($U$2:U534),$U$2:$U$1001,0),MATCH(COLUMNS($AB$1006:AB1006),$AB$1006:$AQ$1006,0)), HYPERLINK("#",""), HYPERLINK(CONCATENATE("#Metadata!", ADDRESS(INDEX($W$2:$W$1001,MATCH(ROWS($U$2:U534),$U$2:$U$1001,0),0), INDEX($AB$1004:$AQ$1004,1,MATCH(COLUMNS($AB$1006:AB1006),$AB$1006:$AQ$1006,0)))),"Fix")))</f>
        <v>0</v>
      </c>
      <c r="C534" s="5">
        <f>IF(OR(INDEX($V$2:$V$1001,MATCH(ROWS($U$2:U534),$U$2:$U$1001,0),1)&gt;=100000,INDEX($AB$1005:$AQ$1005,1,MATCH(COLUMNS($AB$1006:AC1006),$AB$1006:$AQ$1006,0))&gt;=100000), " ",IF(INDEX($AB$2:$AQ$1001,MATCH(ROWS($U$2:U534),$U$2:$U$1001,0),MATCH(COLUMNS($AB$1006:AC1006),$AB$1006:$AQ$1006,0)), HYPERLINK("#",""), HYPERLINK(CONCATENATE("#Metadata!", ADDRESS(INDEX($W$2:$W$1001,MATCH(ROWS($U$2:U534),$U$2:$U$1001,0),0), INDEX($AB$1004:$AQ$1004,1,MATCH(COLUMNS($AB$1006:AC1006),$AB$1006:$AQ$1006,0)))),"Fix")))</f>
        <v>0</v>
      </c>
      <c r="D534" s="5">
        <f>IF(OR(INDEX($V$2:$V$1001,MATCH(ROWS($U$2:U534),$U$2:$U$1001,0),1)&gt;=100000,INDEX($AB$1005:$AQ$1005,1,MATCH(COLUMNS($AB$1006:AD1006),$AB$1006:$AQ$1006,0))&gt;=100000), " ",IF(INDEX($AB$2:$AQ$1001,MATCH(ROWS($U$2:U534),$U$2:$U$1001,0),MATCH(COLUMNS($AB$1006:AD1006),$AB$1006:$AQ$1006,0)), HYPERLINK("#",""), HYPERLINK(CONCATENATE("#Metadata!", ADDRESS(INDEX($W$2:$W$1001,MATCH(ROWS($U$2:U534),$U$2:$U$1001,0),0), INDEX($AB$1004:$AQ$1004,1,MATCH(COLUMNS($AB$1006:AD1006),$AB$1006:$AQ$1006,0)))),"Fix")))</f>
        <v>0</v>
      </c>
      <c r="E534" s="5">
        <f>IF(OR(INDEX($V$2:$V$1001,MATCH(ROWS($U$2:U534),$U$2:$U$1001,0),1)&gt;=100000,INDEX($AB$1005:$AQ$1005,1,MATCH(COLUMNS($AB$1006:AE1006),$AB$1006:$AQ$1006,0))&gt;=100000), " ",IF(INDEX($AB$2:$AQ$1001,MATCH(ROWS($U$2:U534),$U$2:$U$1001,0),MATCH(COLUMNS($AB$1006:AE1006),$AB$1006:$AQ$1006,0)), HYPERLINK("#",""), HYPERLINK(CONCATENATE("#Metadata!", ADDRESS(INDEX($W$2:$W$1001,MATCH(ROWS($U$2:U534),$U$2:$U$1001,0),0), INDEX($AB$1004:$AQ$1004,1,MATCH(COLUMNS($AB$1006:AE1006),$AB$1006:$AQ$1006,0)))),"Fix")))</f>
        <v>0</v>
      </c>
      <c r="F534" s="5">
        <f>IF(OR(INDEX($V$2:$V$1001,MATCH(ROWS($U$2:U534),$U$2:$U$1001,0),1)&gt;=100000,INDEX($AB$1005:$AQ$1005,1,MATCH(COLUMNS($AB$1006:AF1006),$AB$1006:$AQ$1006,0))&gt;=100000), " ",IF(INDEX($AB$2:$AQ$1001,MATCH(ROWS($U$2:U534),$U$2:$U$1001,0),MATCH(COLUMNS($AB$1006:AF1006),$AB$1006:$AQ$1006,0)), HYPERLINK("#",""), HYPERLINK(CONCATENATE("#Metadata!", ADDRESS(INDEX($W$2:$W$1001,MATCH(ROWS($U$2:U534),$U$2:$U$1001,0),0), INDEX($AB$1004:$AQ$1004,1,MATCH(COLUMNS($AB$1006:AF1006),$AB$1006:$AQ$1006,0)))),"Fix")))</f>
        <v>0</v>
      </c>
      <c r="G534" s="5">
        <f>IF(OR(INDEX($V$2:$V$1001,MATCH(ROWS($U$2:U534),$U$2:$U$1001,0),1)&gt;=100000,INDEX($AB$1005:$AQ$1005,1,MATCH(COLUMNS($AB$1006:AG1006),$AB$1006:$AQ$1006,0))&gt;=100000), " ",IF(INDEX($AB$2:$AQ$1001,MATCH(ROWS($U$2:U534),$U$2:$U$1001,0),MATCH(COLUMNS($AB$1006:AG1006),$AB$1006:$AQ$1006,0)), HYPERLINK("#",""), HYPERLINK(CONCATENATE("#Metadata!", ADDRESS(INDEX($W$2:$W$1001,MATCH(ROWS($U$2:U534),$U$2:$U$1001,0),0), INDEX($AB$1004:$AQ$1004,1,MATCH(COLUMNS($AB$1006:AG1006),$AB$1006:$AQ$1006,0)))),"Fix")))</f>
        <v>0</v>
      </c>
      <c r="H534" s="5">
        <f>IF(OR(INDEX($V$2:$V$1001,MATCH(ROWS($U$2:U534),$U$2:$U$1001,0),1)&gt;=100000,INDEX($AB$1005:$AQ$1005,1,MATCH(COLUMNS($AB$1006:AH1006),$AB$1006:$AQ$1006,0))&gt;=100000), " ",IF(INDEX($AB$2:$AQ$1001,MATCH(ROWS($U$2:U534),$U$2:$U$1001,0),MATCH(COLUMNS($AB$1006:AH1006),$AB$1006:$AQ$1006,0)), HYPERLINK("#",""), HYPERLINK(CONCATENATE("#Metadata!", ADDRESS(INDEX($W$2:$W$1001,MATCH(ROWS($U$2:U534),$U$2:$U$1001,0),0), INDEX($AB$1004:$AQ$1004,1,MATCH(COLUMNS($AB$1006:AH1006),$AB$1006:$AQ$1006,0)))),"Fix")))</f>
        <v>0</v>
      </c>
      <c r="I534" s="5">
        <f>IF(OR(INDEX($V$2:$V$1001,MATCH(ROWS($U$2:U534),$U$2:$U$1001,0),1)&gt;=100000,INDEX($AB$1005:$AQ$1005,1,MATCH(COLUMNS($AB$1006:AI1006),$AB$1006:$AQ$1006,0))&gt;=100000), " ",IF(INDEX($AB$2:$AQ$1001,MATCH(ROWS($U$2:U534),$U$2:$U$1001,0),MATCH(COLUMNS($AB$1006:AI1006),$AB$1006:$AQ$1006,0)), HYPERLINK("#",""), HYPERLINK(CONCATENATE("#Metadata!", ADDRESS(INDEX($W$2:$W$1001,MATCH(ROWS($U$2:U534),$U$2:$U$1001,0),0), INDEX($AB$1004:$AQ$1004,1,MATCH(COLUMNS($AB$1006:AI1006),$AB$1006:$AQ$1006,0)))),"Fix")))</f>
        <v>0</v>
      </c>
      <c r="J534" s="5">
        <f>IF(OR(INDEX($V$2:$V$1001,MATCH(ROWS($U$2:U534),$U$2:$U$1001,0),1)&gt;=100000,INDEX($AB$1005:$AQ$1005,1,MATCH(COLUMNS($AB$1006:AJ1006),$AB$1006:$AQ$1006,0))&gt;=100000), " ",IF(INDEX($AB$2:$AQ$1001,MATCH(ROWS($U$2:U534),$U$2:$U$1001,0),MATCH(COLUMNS($AB$1006:AJ1006),$AB$1006:$AQ$1006,0)), HYPERLINK("#",""), HYPERLINK(CONCATENATE("#Metadata!", ADDRESS(INDEX($W$2:$W$1001,MATCH(ROWS($U$2:U534),$U$2:$U$1001,0),0), INDEX($AB$1004:$AQ$1004,1,MATCH(COLUMNS($AB$1006:AJ1006),$AB$1006:$AQ$1006,0)))),"Fix")))</f>
        <v>0</v>
      </c>
      <c r="K534" s="5">
        <f>IF(OR(INDEX($V$2:$V$1001,MATCH(ROWS($U$2:U534),$U$2:$U$1001,0),1)&gt;=100000,INDEX($AB$1005:$AQ$1005,1,MATCH(COLUMNS($AB$1006:AK1006),$AB$1006:$AQ$1006,0))&gt;=100000), " ",IF(INDEX($AB$2:$AQ$1001,MATCH(ROWS($U$2:U534),$U$2:$U$1001,0),MATCH(COLUMNS($AB$1006:AK1006),$AB$1006:$AQ$1006,0)), HYPERLINK("#",""), HYPERLINK(CONCATENATE("#Metadata!", ADDRESS(INDEX($W$2:$W$1001,MATCH(ROWS($U$2:U534),$U$2:$U$1001,0),0), INDEX($AB$1004:$AQ$1004,1,MATCH(COLUMNS($AB$1006:AK1006),$AB$1006:$AQ$1006,0)))),"Fix")))</f>
        <v>0</v>
      </c>
      <c r="L534" s="5">
        <f>IF(OR(INDEX($V$2:$V$1001,MATCH(ROWS($U$2:U534),$U$2:$U$1001,0),1)&gt;=100000,INDEX($AB$1005:$AQ$1005,1,MATCH(COLUMNS($AB$1006:AL1006),$AB$1006:$AQ$1006,0))&gt;=100000), " ",IF(INDEX($AB$2:$AQ$1001,MATCH(ROWS($U$2:U534),$U$2:$U$1001,0),MATCH(COLUMNS($AB$1006:AL1006),$AB$1006:$AQ$1006,0)), HYPERLINK("#",""), HYPERLINK(CONCATENATE("#Metadata!", ADDRESS(INDEX($W$2:$W$1001,MATCH(ROWS($U$2:U534),$U$2:$U$1001,0),0), INDEX($AB$1004:$AQ$1004,1,MATCH(COLUMNS($AB$1006:AL1006),$AB$1006:$AQ$1006,0)))),"Fix")))</f>
        <v>0</v>
      </c>
      <c r="M534" s="5">
        <f>IF(OR(INDEX($V$2:$V$1001,MATCH(ROWS($U$2:U534),$U$2:$U$1001,0),1)&gt;=100000,INDEX($AB$1005:$AQ$1005,1,MATCH(COLUMNS($AB$1006:AM1006),$AB$1006:$AQ$1006,0))&gt;=100000), " ",IF(INDEX($AB$2:$AQ$1001,MATCH(ROWS($U$2:U534),$U$2:$U$1001,0),MATCH(COLUMNS($AB$1006:AM1006),$AB$1006:$AQ$1006,0)), HYPERLINK("#",""), HYPERLINK(CONCATENATE("#Metadata!", ADDRESS(INDEX($W$2:$W$1001,MATCH(ROWS($U$2:U534),$U$2:$U$1001,0),0), INDEX($AB$1004:$AQ$1004,1,MATCH(COLUMNS($AB$1006:AM1006),$AB$1006:$AQ$1006,0)))),"Fix")))</f>
        <v>0</v>
      </c>
      <c r="N534" s="5">
        <f>IF(OR(INDEX($V$2:$V$1001,MATCH(ROWS($U$2:U534),$U$2:$U$1001,0),1)&gt;=100000,INDEX($AB$1005:$AQ$1005,1,MATCH(COLUMNS($AB$1006:AN1006),$AB$1006:$AQ$1006,0))&gt;=100000), " ",IF(INDEX($AB$2:$AQ$1001,MATCH(ROWS($U$2:U534),$U$2:$U$1001,0),MATCH(COLUMNS($AB$1006:AN1006),$AB$1006:$AQ$1006,0)), HYPERLINK("#",""), HYPERLINK(CONCATENATE("#Metadata!", ADDRESS(INDEX($W$2:$W$1001,MATCH(ROWS($U$2:U534),$U$2:$U$1001,0),0), INDEX($AB$1004:$AQ$1004,1,MATCH(COLUMNS($AB$1006:AN1006),$AB$1006:$AQ$1006,0)))),"Fix")))</f>
        <v>0</v>
      </c>
      <c r="O534" s="5">
        <f>IF(OR(INDEX($V$2:$V$1001,MATCH(ROWS($U$2:U534),$U$2:$U$1001,0),1)&gt;=100000,INDEX($AB$1005:$AQ$1005,1,MATCH(COLUMNS($AB$1006:AO1006),$AB$1006:$AQ$1006,0))&gt;=100000), " ",IF(INDEX($AB$2:$AQ$1001,MATCH(ROWS($U$2:U534),$U$2:$U$1001,0),MATCH(COLUMNS($AB$1006:AO1006),$AB$1006:$AQ$1006,0)), HYPERLINK("#",""), HYPERLINK(CONCATENATE("#Metadata!", ADDRESS(INDEX($W$2:$W$1001,MATCH(ROWS($U$2:U534),$U$2:$U$1001,0),0), INDEX($AB$1004:$AQ$1004,1,MATCH(COLUMNS($AB$1006:AO1006),$AB$1006:$AQ$1006,0)))),"Fix")))</f>
        <v>0</v>
      </c>
      <c r="P534" s="5">
        <f>IF(OR(INDEX($V$2:$V$1001,MATCH(ROWS($U$2:U534),$U$2:$U$1001,0),1)&gt;=100000,INDEX($AB$1005:$AQ$1005,1,MATCH(COLUMNS($AB$1006:AP1006),$AB$1006:$AQ$1006,0))&gt;=100000), " ",IF(INDEX($AB$2:$AQ$1001,MATCH(ROWS($U$2:U534),$U$2:$U$1001,0),MATCH(COLUMNS($AB$1006:AP1006),$AB$1006:$AQ$1006,0)), HYPERLINK("#",""), HYPERLINK(CONCATENATE("#Metadata!", ADDRESS(INDEX($W$2:$W$1001,MATCH(ROWS($U$2:U534),$U$2:$U$1001,0),0), INDEX($AB$1004:$AQ$1004,1,MATCH(COLUMNS($AB$1006:AP1006),$AB$1006:$AQ$1006,0)))),"Fix")))</f>
        <v>0</v>
      </c>
      <c r="Q534" s="5">
        <f>IF(OR(INDEX($V$2:$V$1001,MATCH(ROWS($U$2:U534),$U$2:$U$1001,0),1)&gt;=100000,INDEX($AB$1005:$AQ$1005,1,MATCH(COLUMNS($AB$1006:AQ1006),$AB$1006:$AQ$1006,0))&gt;=100000), " ",IF(INDEX($AB$2:$AQ$1001,MATCH(ROWS($U$2:U534),$U$2:$U$1001,0),MATCH(COLUMNS($AB$1006:AQ1006),$AB$1006:$AQ$1006,0)), HYPERLINK("#",""), HYPERLINK(CONCATENATE("#Metadata!", ADDRESS(INDEX($W$2:$W$1001,MATCH(ROWS($U$2:U534),$U$2:$U$1001,0),0), INDEX($AB$1004:$AQ$1004,1,MATCH(COLUMNS($AB$1006:AQ1006),$AB$1006:$AQ$1006,0)))),"Fix")))</f>
        <v>0</v>
      </c>
      <c r="U534">
        <v>0</v>
      </c>
      <c r="V534">
        <v>0</v>
      </c>
      <c r="W534">
        <v>0</v>
      </c>
      <c r="X534">
        <f>IF(Y534,TRUE,AND(AB534:AQ534))</f>
        <v>0</v>
      </c>
      <c r="Y534">
        <f>COUNTBLANK(Metadata!B534:Q534)=COLUMNS(Metadata!B534:Q534)</f>
        <v>0</v>
      </c>
      <c r="Z534">
        <v>0</v>
      </c>
      <c r="AB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AC534">
        <f>AND(IF(Metadata!C534="",FALSE,TRUE),exact(Metadata!C534,"urban biome"))</f>
        <v>0</v>
      </c>
      <c r="AD534">
        <f>AND(IF(Metadata!D534="",FALSE,TRUE),exact(Metadata!D534,"human-associated habitat"))</f>
        <v>0</v>
      </c>
      <c r="AE534">
        <f>AND(IF(Metadata!E534="",FALSE,TRUE),OR(exact(Metadata!E534,"human-associated"),exact(Metadata!E534,"human-skin"),exact(Metadata!E534,"human-oral"),exact(Metadata!E534,"human-gut"),exact(Metadata!E534,"human-vaginal")))</f>
        <v>0</v>
      </c>
      <c r="AF534">
        <f>AND(IF(Metadata!F534="",FALSE,ISNUMBER(VALUE(Metadata!F534))),Metadata!F534&gt;0)</f>
        <v>0</v>
      </c>
      <c r="AG534">
        <f>AND(IF(Metadata!G534="",FALSE,TRUE),exact(Metadata!G534,"years"))</f>
        <v>0</v>
      </c>
      <c r="AH534">
        <f>OR(AND(IF(Metadata!H534="",FALSE,TRUE),OR(exact(Metadata!H534,"not applicable"),exact(Metadata!H534,"not collected"),exact(Metadata!H534,"not provided"),exact(Metadata!H534,"restricted access"))),AND(IF(Metadata!H534="",FALSE,ISNUMBER(VALUE(Metadata!H534))),Metadata!H534&gt;0))</f>
        <v>0</v>
      </c>
      <c r="AI534">
        <f>AND(IF(Metadata!I534="",FALSE,TRUE),exact(Metadata!I534,"human"))</f>
        <v>0</v>
      </c>
      <c r="AJ534">
        <f>AND(IF(Metadata!J534="",FALSE,ISNUMBER(VALUE(Metadata!J534))),Metadata!J534&gt;0)</f>
        <v>0</v>
      </c>
      <c r="AK534">
        <f>AND(IF(Metadata!K534="",FALSE,TRUE),exact(Metadata!K534,"cm"))</f>
        <v>0</v>
      </c>
      <c r="AL534">
        <f>AND(IF(Metadata!L534="",FALSE,TRUE),exact(Metadata!L534,"Homo sapiens"))</f>
        <v>0</v>
      </c>
      <c r="AM534">
        <f>AND(IF(Metadata!M534="",FALSE,TRUE),exact(Metadata!M534,"9606"))</f>
        <v>0</v>
      </c>
      <c r="AN534">
        <f>AND(IF(Metadata!N534="",FALSE,ISNUMBER(VALUE(Metadata!N534))),Metadata!N534&gt;0)</f>
        <v>0</v>
      </c>
      <c r="AO534">
        <f>AND(IF(Metadata!O534="",FALSE,TRUE),exact(Metadata!O534,"kg"))</f>
        <v>0</v>
      </c>
      <c r="AP534">
        <f>OR(AND(IF(Metadata!P534="",FALSE,TRUE),exact(Metadata!P534,"not provided")),IF(Metadata!P534="",FALSE,TRUE))</f>
        <v>0</v>
      </c>
      <c r="AQ534">
        <f>OR(AND(IF(Metadata!Q534="",FALSE,TRUE),exact(Metadata!Q534,"not provided")),IF(Metadata!Q534="",FALSE,TRUE))</f>
        <v>0</v>
      </c>
    </row>
    <row r="535" spans="1:43">
      <c r="A535" s="4">
        <f>IF(B535=" "," ",HYPERLINK(CONCATENATE("#metadata!",ADDRESS(INDEX($W$2:$W$1001,MATCH(ROWS($U$2:U535),$U$2:$U$1001,0),0),2)),INDEX($Z$2:$Z$1001,MATCH(ROWS($U$2:U535),$U$2:$U$1001,0),0)))</f>
        <v>0</v>
      </c>
      <c r="B535" s="5">
        <f>IF(OR(INDEX($V$2:$V$1001,MATCH(ROWS($U$2:U535),$U$2:$U$1001,0),1)&gt;=100000,INDEX($AB$1005:$AQ$1005,1,MATCH(COLUMNS($AB$1006:AB1006),$AB$1006:$AQ$1006,0))&gt;=100000), " ",IF(INDEX($AB$2:$AQ$1001,MATCH(ROWS($U$2:U535),$U$2:$U$1001,0),MATCH(COLUMNS($AB$1006:AB1006),$AB$1006:$AQ$1006,0)), HYPERLINK("#",""), HYPERLINK(CONCATENATE("#Metadata!", ADDRESS(INDEX($W$2:$W$1001,MATCH(ROWS($U$2:U535),$U$2:$U$1001,0),0), INDEX($AB$1004:$AQ$1004,1,MATCH(COLUMNS($AB$1006:AB1006),$AB$1006:$AQ$1006,0)))),"Fix")))</f>
        <v>0</v>
      </c>
      <c r="C535" s="5">
        <f>IF(OR(INDEX($V$2:$V$1001,MATCH(ROWS($U$2:U535),$U$2:$U$1001,0),1)&gt;=100000,INDEX($AB$1005:$AQ$1005,1,MATCH(COLUMNS($AB$1006:AC1006),$AB$1006:$AQ$1006,0))&gt;=100000), " ",IF(INDEX($AB$2:$AQ$1001,MATCH(ROWS($U$2:U535),$U$2:$U$1001,0),MATCH(COLUMNS($AB$1006:AC1006),$AB$1006:$AQ$1006,0)), HYPERLINK("#",""), HYPERLINK(CONCATENATE("#Metadata!", ADDRESS(INDEX($W$2:$W$1001,MATCH(ROWS($U$2:U535),$U$2:$U$1001,0),0), INDEX($AB$1004:$AQ$1004,1,MATCH(COLUMNS($AB$1006:AC1006),$AB$1006:$AQ$1006,0)))),"Fix")))</f>
        <v>0</v>
      </c>
      <c r="D535" s="5">
        <f>IF(OR(INDEX($V$2:$V$1001,MATCH(ROWS($U$2:U535),$U$2:$U$1001,0),1)&gt;=100000,INDEX($AB$1005:$AQ$1005,1,MATCH(COLUMNS($AB$1006:AD1006),$AB$1006:$AQ$1006,0))&gt;=100000), " ",IF(INDEX($AB$2:$AQ$1001,MATCH(ROWS($U$2:U535),$U$2:$U$1001,0),MATCH(COLUMNS($AB$1006:AD1006),$AB$1006:$AQ$1006,0)), HYPERLINK("#",""), HYPERLINK(CONCATENATE("#Metadata!", ADDRESS(INDEX($W$2:$W$1001,MATCH(ROWS($U$2:U535),$U$2:$U$1001,0),0), INDEX($AB$1004:$AQ$1004,1,MATCH(COLUMNS($AB$1006:AD1006),$AB$1006:$AQ$1006,0)))),"Fix")))</f>
        <v>0</v>
      </c>
      <c r="E535" s="5">
        <f>IF(OR(INDEX($V$2:$V$1001,MATCH(ROWS($U$2:U535),$U$2:$U$1001,0),1)&gt;=100000,INDEX($AB$1005:$AQ$1005,1,MATCH(COLUMNS($AB$1006:AE1006),$AB$1006:$AQ$1006,0))&gt;=100000), " ",IF(INDEX($AB$2:$AQ$1001,MATCH(ROWS($U$2:U535),$U$2:$U$1001,0),MATCH(COLUMNS($AB$1006:AE1006),$AB$1006:$AQ$1006,0)), HYPERLINK("#",""), HYPERLINK(CONCATENATE("#Metadata!", ADDRESS(INDEX($W$2:$W$1001,MATCH(ROWS($U$2:U535),$U$2:$U$1001,0),0), INDEX($AB$1004:$AQ$1004,1,MATCH(COLUMNS($AB$1006:AE1006),$AB$1006:$AQ$1006,0)))),"Fix")))</f>
        <v>0</v>
      </c>
      <c r="F535" s="5">
        <f>IF(OR(INDEX($V$2:$V$1001,MATCH(ROWS($U$2:U535),$U$2:$U$1001,0),1)&gt;=100000,INDEX($AB$1005:$AQ$1005,1,MATCH(COLUMNS($AB$1006:AF1006),$AB$1006:$AQ$1006,0))&gt;=100000), " ",IF(INDEX($AB$2:$AQ$1001,MATCH(ROWS($U$2:U535),$U$2:$U$1001,0),MATCH(COLUMNS($AB$1006:AF1006),$AB$1006:$AQ$1006,0)), HYPERLINK("#",""), HYPERLINK(CONCATENATE("#Metadata!", ADDRESS(INDEX($W$2:$W$1001,MATCH(ROWS($U$2:U535),$U$2:$U$1001,0),0), INDEX($AB$1004:$AQ$1004,1,MATCH(COLUMNS($AB$1006:AF1006),$AB$1006:$AQ$1006,0)))),"Fix")))</f>
        <v>0</v>
      </c>
      <c r="G535" s="5">
        <f>IF(OR(INDEX($V$2:$V$1001,MATCH(ROWS($U$2:U535),$U$2:$U$1001,0),1)&gt;=100000,INDEX($AB$1005:$AQ$1005,1,MATCH(COLUMNS($AB$1006:AG1006),$AB$1006:$AQ$1006,0))&gt;=100000), " ",IF(INDEX($AB$2:$AQ$1001,MATCH(ROWS($U$2:U535),$U$2:$U$1001,0),MATCH(COLUMNS($AB$1006:AG1006),$AB$1006:$AQ$1006,0)), HYPERLINK("#",""), HYPERLINK(CONCATENATE("#Metadata!", ADDRESS(INDEX($W$2:$W$1001,MATCH(ROWS($U$2:U535),$U$2:$U$1001,0),0), INDEX($AB$1004:$AQ$1004,1,MATCH(COLUMNS($AB$1006:AG1006),$AB$1006:$AQ$1006,0)))),"Fix")))</f>
        <v>0</v>
      </c>
      <c r="H535" s="5">
        <f>IF(OR(INDEX($V$2:$V$1001,MATCH(ROWS($U$2:U535),$U$2:$U$1001,0),1)&gt;=100000,INDEX($AB$1005:$AQ$1005,1,MATCH(COLUMNS($AB$1006:AH1006),$AB$1006:$AQ$1006,0))&gt;=100000), " ",IF(INDEX($AB$2:$AQ$1001,MATCH(ROWS($U$2:U535),$U$2:$U$1001,0),MATCH(COLUMNS($AB$1006:AH1006),$AB$1006:$AQ$1006,0)), HYPERLINK("#",""), HYPERLINK(CONCATENATE("#Metadata!", ADDRESS(INDEX($W$2:$W$1001,MATCH(ROWS($U$2:U535),$U$2:$U$1001,0),0), INDEX($AB$1004:$AQ$1004,1,MATCH(COLUMNS($AB$1006:AH1006),$AB$1006:$AQ$1006,0)))),"Fix")))</f>
        <v>0</v>
      </c>
      <c r="I535" s="5">
        <f>IF(OR(INDEX($V$2:$V$1001,MATCH(ROWS($U$2:U535),$U$2:$U$1001,0),1)&gt;=100000,INDEX($AB$1005:$AQ$1005,1,MATCH(COLUMNS($AB$1006:AI1006),$AB$1006:$AQ$1006,0))&gt;=100000), " ",IF(INDEX($AB$2:$AQ$1001,MATCH(ROWS($U$2:U535),$U$2:$U$1001,0),MATCH(COLUMNS($AB$1006:AI1006),$AB$1006:$AQ$1006,0)), HYPERLINK("#",""), HYPERLINK(CONCATENATE("#Metadata!", ADDRESS(INDEX($W$2:$W$1001,MATCH(ROWS($U$2:U535),$U$2:$U$1001,0),0), INDEX($AB$1004:$AQ$1004,1,MATCH(COLUMNS($AB$1006:AI1006),$AB$1006:$AQ$1006,0)))),"Fix")))</f>
        <v>0</v>
      </c>
      <c r="J535" s="5">
        <f>IF(OR(INDEX($V$2:$V$1001,MATCH(ROWS($U$2:U535),$U$2:$U$1001,0),1)&gt;=100000,INDEX($AB$1005:$AQ$1005,1,MATCH(COLUMNS($AB$1006:AJ1006),$AB$1006:$AQ$1006,0))&gt;=100000), " ",IF(INDEX($AB$2:$AQ$1001,MATCH(ROWS($U$2:U535),$U$2:$U$1001,0),MATCH(COLUMNS($AB$1006:AJ1006),$AB$1006:$AQ$1006,0)), HYPERLINK("#",""), HYPERLINK(CONCATENATE("#Metadata!", ADDRESS(INDEX($W$2:$W$1001,MATCH(ROWS($U$2:U535),$U$2:$U$1001,0),0), INDEX($AB$1004:$AQ$1004,1,MATCH(COLUMNS($AB$1006:AJ1006),$AB$1006:$AQ$1006,0)))),"Fix")))</f>
        <v>0</v>
      </c>
      <c r="K535" s="5">
        <f>IF(OR(INDEX($V$2:$V$1001,MATCH(ROWS($U$2:U535),$U$2:$U$1001,0),1)&gt;=100000,INDEX($AB$1005:$AQ$1005,1,MATCH(COLUMNS($AB$1006:AK1006),$AB$1006:$AQ$1006,0))&gt;=100000), " ",IF(INDEX($AB$2:$AQ$1001,MATCH(ROWS($U$2:U535),$U$2:$U$1001,0),MATCH(COLUMNS($AB$1006:AK1006),$AB$1006:$AQ$1006,0)), HYPERLINK("#",""), HYPERLINK(CONCATENATE("#Metadata!", ADDRESS(INDEX($W$2:$W$1001,MATCH(ROWS($U$2:U535),$U$2:$U$1001,0),0), INDEX($AB$1004:$AQ$1004,1,MATCH(COLUMNS($AB$1006:AK1006),$AB$1006:$AQ$1006,0)))),"Fix")))</f>
        <v>0</v>
      </c>
      <c r="L535" s="5">
        <f>IF(OR(INDEX($V$2:$V$1001,MATCH(ROWS($U$2:U535),$U$2:$U$1001,0),1)&gt;=100000,INDEX($AB$1005:$AQ$1005,1,MATCH(COLUMNS($AB$1006:AL1006),$AB$1006:$AQ$1006,0))&gt;=100000), " ",IF(INDEX($AB$2:$AQ$1001,MATCH(ROWS($U$2:U535),$U$2:$U$1001,0),MATCH(COLUMNS($AB$1006:AL1006),$AB$1006:$AQ$1006,0)), HYPERLINK("#",""), HYPERLINK(CONCATENATE("#Metadata!", ADDRESS(INDEX($W$2:$W$1001,MATCH(ROWS($U$2:U535),$U$2:$U$1001,0),0), INDEX($AB$1004:$AQ$1004,1,MATCH(COLUMNS($AB$1006:AL1006),$AB$1006:$AQ$1006,0)))),"Fix")))</f>
        <v>0</v>
      </c>
      <c r="M535" s="5">
        <f>IF(OR(INDEX($V$2:$V$1001,MATCH(ROWS($U$2:U535),$U$2:$U$1001,0),1)&gt;=100000,INDEX($AB$1005:$AQ$1005,1,MATCH(COLUMNS($AB$1006:AM1006),$AB$1006:$AQ$1006,0))&gt;=100000), " ",IF(INDEX($AB$2:$AQ$1001,MATCH(ROWS($U$2:U535),$U$2:$U$1001,0),MATCH(COLUMNS($AB$1006:AM1006),$AB$1006:$AQ$1006,0)), HYPERLINK("#",""), HYPERLINK(CONCATENATE("#Metadata!", ADDRESS(INDEX($W$2:$W$1001,MATCH(ROWS($U$2:U535),$U$2:$U$1001,0),0), INDEX($AB$1004:$AQ$1004,1,MATCH(COLUMNS($AB$1006:AM1006),$AB$1006:$AQ$1006,0)))),"Fix")))</f>
        <v>0</v>
      </c>
      <c r="N535" s="5">
        <f>IF(OR(INDEX($V$2:$V$1001,MATCH(ROWS($U$2:U535),$U$2:$U$1001,0),1)&gt;=100000,INDEX($AB$1005:$AQ$1005,1,MATCH(COLUMNS($AB$1006:AN1006),$AB$1006:$AQ$1006,0))&gt;=100000), " ",IF(INDEX($AB$2:$AQ$1001,MATCH(ROWS($U$2:U535),$U$2:$U$1001,0),MATCH(COLUMNS($AB$1006:AN1006),$AB$1006:$AQ$1006,0)), HYPERLINK("#",""), HYPERLINK(CONCATENATE("#Metadata!", ADDRESS(INDEX($W$2:$W$1001,MATCH(ROWS($U$2:U535),$U$2:$U$1001,0),0), INDEX($AB$1004:$AQ$1004,1,MATCH(COLUMNS($AB$1006:AN1006),$AB$1006:$AQ$1006,0)))),"Fix")))</f>
        <v>0</v>
      </c>
      <c r="O535" s="5">
        <f>IF(OR(INDEX($V$2:$V$1001,MATCH(ROWS($U$2:U535),$U$2:$U$1001,0),1)&gt;=100000,INDEX($AB$1005:$AQ$1005,1,MATCH(COLUMNS($AB$1006:AO1006),$AB$1006:$AQ$1006,0))&gt;=100000), " ",IF(INDEX($AB$2:$AQ$1001,MATCH(ROWS($U$2:U535),$U$2:$U$1001,0),MATCH(COLUMNS($AB$1006:AO1006),$AB$1006:$AQ$1006,0)), HYPERLINK("#",""), HYPERLINK(CONCATENATE("#Metadata!", ADDRESS(INDEX($W$2:$W$1001,MATCH(ROWS($U$2:U535),$U$2:$U$1001,0),0), INDEX($AB$1004:$AQ$1004,1,MATCH(COLUMNS($AB$1006:AO1006),$AB$1006:$AQ$1006,0)))),"Fix")))</f>
        <v>0</v>
      </c>
      <c r="P535" s="5">
        <f>IF(OR(INDEX($V$2:$V$1001,MATCH(ROWS($U$2:U535),$U$2:$U$1001,0),1)&gt;=100000,INDEX($AB$1005:$AQ$1005,1,MATCH(COLUMNS($AB$1006:AP1006),$AB$1006:$AQ$1006,0))&gt;=100000), " ",IF(INDEX($AB$2:$AQ$1001,MATCH(ROWS($U$2:U535),$U$2:$U$1001,0),MATCH(COLUMNS($AB$1006:AP1006),$AB$1006:$AQ$1006,0)), HYPERLINK("#",""), HYPERLINK(CONCATENATE("#Metadata!", ADDRESS(INDEX($W$2:$W$1001,MATCH(ROWS($U$2:U535),$U$2:$U$1001,0),0), INDEX($AB$1004:$AQ$1004,1,MATCH(COLUMNS($AB$1006:AP1006),$AB$1006:$AQ$1006,0)))),"Fix")))</f>
        <v>0</v>
      </c>
      <c r="Q535" s="5">
        <f>IF(OR(INDEX($V$2:$V$1001,MATCH(ROWS($U$2:U535),$U$2:$U$1001,0),1)&gt;=100000,INDEX($AB$1005:$AQ$1005,1,MATCH(COLUMNS($AB$1006:AQ1006),$AB$1006:$AQ$1006,0))&gt;=100000), " ",IF(INDEX($AB$2:$AQ$1001,MATCH(ROWS($U$2:U535),$U$2:$U$1001,0),MATCH(COLUMNS($AB$1006:AQ1006),$AB$1006:$AQ$1006,0)), HYPERLINK("#",""), HYPERLINK(CONCATENATE("#Metadata!", ADDRESS(INDEX($W$2:$W$1001,MATCH(ROWS($U$2:U535),$U$2:$U$1001,0),0), INDEX($AB$1004:$AQ$1004,1,MATCH(COLUMNS($AB$1006:AQ1006),$AB$1006:$AQ$1006,0)))),"Fix")))</f>
        <v>0</v>
      </c>
      <c r="U535">
        <v>0</v>
      </c>
      <c r="V535">
        <v>0</v>
      </c>
      <c r="W535">
        <v>0</v>
      </c>
      <c r="X535">
        <f>IF(Y535,TRUE,AND(AB535:AQ535))</f>
        <v>0</v>
      </c>
      <c r="Y535">
        <f>COUNTBLANK(Metadata!B535:Q535)=COLUMNS(Metadata!B535:Q535)</f>
        <v>0</v>
      </c>
      <c r="Z535">
        <v>0</v>
      </c>
      <c r="AB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AC535">
        <f>AND(IF(Metadata!C535="",FALSE,TRUE),exact(Metadata!C535,"urban biome"))</f>
        <v>0</v>
      </c>
      <c r="AD535">
        <f>AND(IF(Metadata!D535="",FALSE,TRUE),exact(Metadata!D535,"human-associated habitat"))</f>
        <v>0</v>
      </c>
      <c r="AE535">
        <f>AND(IF(Metadata!E535="",FALSE,TRUE),OR(exact(Metadata!E535,"human-associated"),exact(Metadata!E535,"human-skin"),exact(Metadata!E535,"human-oral"),exact(Metadata!E535,"human-gut"),exact(Metadata!E535,"human-vaginal")))</f>
        <v>0</v>
      </c>
      <c r="AF535">
        <f>AND(IF(Metadata!F535="",FALSE,ISNUMBER(VALUE(Metadata!F535))),Metadata!F535&gt;0)</f>
        <v>0</v>
      </c>
      <c r="AG535">
        <f>AND(IF(Metadata!G535="",FALSE,TRUE),exact(Metadata!G535,"years"))</f>
        <v>0</v>
      </c>
      <c r="AH535">
        <f>OR(AND(IF(Metadata!H535="",FALSE,TRUE),OR(exact(Metadata!H535,"not applicable"),exact(Metadata!H535,"not collected"),exact(Metadata!H535,"not provided"),exact(Metadata!H535,"restricted access"))),AND(IF(Metadata!H535="",FALSE,ISNUMBER(VALUE(Metadata!H535))),Metadata!H535&gt;0))</f>
        <v>0</v>
      </c>
      <c r="AI535">
        <f>AND(IF(Metadata!I535="",FALSE,TRUE),exact(Metadata!I535,"human"))</f>
        <v>0</v>
      </c>
      <c r="AJ535">
        <f>AND(IF(Metadata!J535="",FALSE,ISNUMBER(VALUE(Metadata!J535))),Metadata!J535&gt;0)</f>
        <v>0</v>
      </c>
      <c r="AK535">
        <f>AND(IF(Metadata!K535="",FALSE,TRUE),exact(Metadata!K535,"cm"))</f>
        <v>0</v>
      </c>
      <c r="AL535">
        <f>AND(IF(Metadata!L535="",FALSE,TRUE),exact(Metadata!L535,"Homo sapiens"))</f>
        <v>0</v>
      </c>
      <c r="AM535">
        <f>AND(IF(Metadata!M535="",FALSE,TRUE),exact(Metadata!M535,"9606"))</f>
        <v>0</v>
      </c>
      <c r="AN535">
        <f>AND(IF(Metadata!N535="",FALSE,ISNUMBER(VALUE(Metadata!N535))),Metadata!N535&gt;0)</f>
        <v>0</v>
      </c>
      <c r="AO535">
        <f>AND(IF(Metadata!O535="",FALSE,TRUE),exact(Metadata!O535,"kg"))</f>
        <v>0</v>
      </c>
      <c r="AP535">
        <f>OR(AND(IF(Metadata!P535="",FALSE,TRUE),exact(Metadata!P535,"not provided")),IF(Metadata!P535="",FALSE,TRUE))</f>
        <v>0</v>
      </c>
      <c r="AQ535">
        <f>OR(AND(IF(Metadata!Q535="",FALSE,TRUE),exact(Metadata!Q535,"not provided")),IF(Metadata!Q535="",FALSE,TRUE))</f>
        <v>0</v>
      </c>
    </row>
    <row r="536" spans="1:43">
      <c r="A536" s="4">
        <f>IF(B536=" "," ",HYPERLINK(CONCATENATE("#metadata!",ADDRESS(INDEX($W$2:$W$1001,MATCH(ROWS($U$2:U536),$U$2:$U$1001,0),0),2)),INDEX($Z$2:$Z$1001,MATCH(ROWS($U$2:U536),$U$2:$U$1001,0),0)))</f>
        <v>0</v>
      </c>
      <c r="B536" s="5">
        <f>IF(OR(INDEX($V$2:$V$1001,MATCH(ROWS($U$2:U536),$U$2:$U$1001,0),1)&gt;=100000,INDEX($AB$1005:$AQ$1005,1,MATCH(COLUMNS($AB$1006:AB1006),$AB$1006:$AQ$1006,0))&gt;=100000), " ",IF(INDEX($AB$2:$AQ$1001,MATCH(ROWS($U$2:U536),$U$2:$U$1001,0),MATCH(COLUMNS($AB$1006:AB1006),$AB$1006:$AQ$1006,0)), HYPERLINK("#",""), HYPERLINK(CONCATENATE("#Metadata!", ADDRESS(INDEX($W$2:$W$1001,MATCH(ROWS($U$2:U536),$U$2:$U$1001,0),0), INDEX($AB$1004:$AQ$1004,1,MATCH(COLUMNS($AB$1006:AB1006),$AB$1006:$AQ$1006,0)))),"Fix")))</f>
        <v>0</v>
      </c>
      <c r="C536" s="5">
        <f>IF(OR(INDEX($V$2:$V$1001,MATCH(ROWS($U$2:U536),$U$2:$U$1001,0),1)&gt;=100000,INDEX($AB$1005:$AQ$1005,1,MATCH(COLUMNS($AB$1006:AC1006),$AB$1006:$AQ$1006,0))&gt;=100000), " ",IF(INDEX($AB$2:$AQ$1001,MATCH(ROWS($U$2:U536),$U$2:$U$1001,0),MATCH(COLUMNS($AB$1006:AC1006),$AB$1006:$AQ$1006,0)), HYPERLINK("#",""), HYPERLINK(CONCATENATE("#Metadata!", ADDRESS(INDEX($W$2:$W$1001,MATCH(ROWS($U$2:U536),$U$2:$U$1001,0),0), INDEX($AB$1004:$AQ$1004,1,MATCH(COLUMNS($AB$1006:AC1006),$AB$1006:$AQ$1006,0)))),"Fix")))</f>
        <v>0</v>
      </c>
      <c r="D536" s="5">
        <f>IF(OR(INDEX($V$2:$V$1001,MATCH(ROWS($U$2:U536),$U$2:$U$1001,0),1)&gt;=100000,INDEX($AB$1005:$AQ$1005,1,MATCH(COLUMNS($AB$1006:AD1006),$AB$1006:$AQ$1006,0))&gt;=100000), " ",IF(INDEX($AB$2:$AQ$1001,MATCH(ROWS($U$2:U536),$U$2:$U$1001,0),MATCH(COLUMNS($AB$1006:AD1006),$AB$1006:$AQ$1006,0)), HYPERLINK("#",""), HYPERLINK(CONCATENATE("#Metadata!", ADDRESS(INDEX($W$2:$W$1001,MATCH(ROWS($U$2:U536),$U$2:$U$1001,0),0), INDEX($AB$1004:$AQ$1004,1,MATCH(COLUMNS($AB$1006:AD1006),$AB$1006:$AQ$1006,0)))),"Fix")))</f>
        <v>0</v>
      </c>
      <c r="E536" s="5">
        <f>IF(OR(INDEX($V$2:$V$1001,MATCH(ROWS($U$2:U536),$U$2:$U$1001,0),1)&gt;=100000,INDEX($AB$1005:$AQ$1005,1,MATCH(COLUMNS($AB$1006:AE1006),$AB$1006:$AQ$1006,0))&gt;=100000), " ",IF(INDEX($AB$2:$AQ$1001,MATCH(ROWS($U$2:U536),$U$2:$U$1001,0),MATCH(COLUMNS($AB$1006:AE1006),$AB$1006:$AQ$1006,0)), HYPERLINK("#",""), HYPERLINK(CONCATENATE("#Metadata!", ADDRESS(INDEX($W$2:$W$1001,MATCH(ROWS($U$2:U536),$U$2:$U$1001,0),0), INDEX($AB$1004:$AQ$1004,1,MATCH(COLUMNS($AB$1006:AE1006),$AB$1006:$AQ$1006,0)))),"Fix")))</f>
        <v>0</v>
      </c>
      <c r="F536" s="5">
        <f>IF(OR(INDEX($V$2:$V$1001,MATCH(ROWS($U$2:U536),$U$2:$U$1001,0),1)&gt;=100000,INDEX($AB$1005:$AQ$1005,1,MATCH(COLUMNS($AB$1006:AF1006),$AB$1006:$AQ$1006,0))&gt;=100000), " ",IF(INDEX($AB$2:$AQ$1001,MATCH(ROWS($U$2:U536),$U$2:$U$1001,0),MATCH(COLUMNS($AB$1006:AF1006),$AB$1006:$AQ$1006,0)), HYPERLINK("#",""), HYPERLINK(CONCATENATE("#Metadata!", ADDRESS(INDEX($W$2:$W$1001,MATCH(ROWS($U$2:U536),$U$2:$U$1001,0),0), INDEX($AB$1004:$AQ$1004,1,MATCH(COLUMNS($AB$1006:AF1006),$AB$1006:$AQ$1006,0)))),"Fix")))</f>
        <v>0</v>
      </c>
      <c r="G536" s="5">
        <f>IF(OR(INDEX($V$2:$V$1001,MATCH(ROWS($U$2:U536),$U$2:$U$1001,0),1)&gt;=100000,INDEX($AB$1005:$AQ$1005,1,MATCH(COLUMNS($AB$1006:AG1006),$AB$1006:$AQ$1006,0))&gt;=100000), " ",IF(INDEX($AB$2:$AQ$1001,MATCH(ROWS($U$2:U536),$U$2:$U$1001,0),MATCH(COLUMNS($AB$1006:AG1006),$AB$1006:$AQ$1006,0)), HYPERLINK("#",""), HYPERLINK(CONCATENATE("#Metadata!", ADDRESS(INDEX($W$2:$W$1001,MATCH(ROWS($U$2:U536),$U$2:$U$1001,0),0), INDEX($AB$1004:$AQ$1004,1,MATCH(COLUMNS($AB$1006:AG1006),$AB$1006:$AQ$1006,0)))),"Fix")))</f>
        <v>0</v>
      </c>
      <c r="H536" s="5">
        <f>IF(OR(INDEX($V$2:$V$1001,MATCH(ROWS($U$2:U536),$U$2:$U$1001,0),1)&gt;=100000,INDEX($AB$1005:$AQ$1005,1,MATCH(COLUMNS($AB$1006:AH1006),$AB$1006:$AQ$1006,0))&gt;=100000), " ",IF(INDEX($AB$2:$AQ$1001,MATCH(ROWS($U$2:U536),$U$2:$U$1001,0),MATCH(COLUMNS($AB$1006:AH1006),$AB$1006:$AQ$1006,0)), HYPERLINK("#",""), HYPERLINK(CONCATENATE("#Metadata!", ADDRESS(INDEX($W$2:$W$1001,MATCH(ROWS($U$2:U536),$U$2:$U$1001,0),0), INDEX($AB$1004:$AQ$1004,1,MATCH(COLUMNS($AB$1006:AH1006),$AB$1006:$AQ$1006,0)))),"Fix")))</f>
        <v>0</v>
      </c>
      <c r="I536" s="5">
        <f>IF(OR(INDEX($V$2:$V$1001,MATCH(ROWS($U$2:U536),$U$2:$U$1001,0),1)&gt;=100000,INDEX($AB$1005:$AQ$1005,1,MATCH(COLUMNS($AB$1006:AI1006),$AB$1006:$AQ$1006,0))&gt;=100000), " ",IF(INDEX($AB$2:$AQ$1001,MATCH(ROWS($U$2:U536),$U$2:$U$1001,0),MATCH(COLUMNS($AB$1006:AI1006),$AB$1006:$AQ$1006,0)), HYPERLINK("#",""), HYPERLINK(CONCATENATE("#Metadata!", ADDRESS(INDEX($W$2:$W$1001,MATCH(ROWS($U$2:U536),$U$2:$U$1001,0),0), INDEX($AB$1004:$AQ$1004,1,MATCH(COLUMNS($AB$1006:AI1006),$AB$1006:$AQ$1006,0)))),"Fix")))</f>
        <v>0</v>
      </c>
      <c r="J536" s="5">
        <f>IF(OR(INDEX($V$2:$V$1001,MATCH(ROWS($U$2:U536),$U$2:$U$1001,0),1)&gt;=100000,INDEX($AB$1005:$AQ$1005,1,MATCH(COLUMNS($AB$1006:AJ1006),$AB$1006:$AQ$1006,0))&gt;=100000), " ",IF(INDEX($AB$2:$AQ$1001,MATCH(ROWS($U$2:U536),$U$2:$U$1001,0),MATCH(COLUMNS($AB$1006:AJ1006),$AB$1006:$AQ$1006,0)), HYPERLINK("#",""), HYPERLINK(CONCATENATE("#Metadata!", ADDRESS(INDEX($W$2:$W$1001,MATCH(ROWS($U$2:U536),$U$2:$U$1001,0),0), INDEX($AB$1004:$AQ$1004,1,MATCH(COLUMNS($AB$1006:AJ1006),$AB$1006:$AQ$1006,0)))),"Fix")))</f>
        <v>0</v>
      </c>
      <c r="K536" s="5">
        <f>IF(OR(INDEX($V$2:$V$1001,MATCH(ROWS($U$2:U536),$U$2:$U$1001,0),1)&gt;=100000,INDEX($AB$1005:$AQ$1005,1,MATCH(COLUMNS($AB$1006:AK1006),$AB$1006:$AQ$1006,0))&gt;=100000), " ",IF(INDEX($AB$2:$AQ$1001,MATCH(ROWS($U$2:U536),$U$2:$U$1001,0),MATCH(COLUMNS($AB$1006:AK1006),$AB$1006:$AQ$1006,0)), HYPERLINK("#",""), HYPERLINK(CONCATENATE("#Metadata!", ADDRESS(INDEX($W$2:$W$1001,MATCH(ROWS($U$2:U536),$U$2:$U$1001,0),0), INDEX($AB$1004:$AQ$1004,1,MATCH(COLUMNS($AB$1006:AK1006),$AB$1006:$AQ$1006,0)))),"Fix")))</f>
        <v>0</v>
      </c>
      <c r="L536" s="5">
        <f>IF(OR(INDEX($V$2:$V$1001,MATCH(ROWS($U$2:U536),$U$2:$U$1001,0),1)&gt;=100000,INDEX($AB$1005:$AQ$1005,1,MATCH(COLUMNS($AB$1006:AL1006),$AB$1006:$AQ$1006,0))&gt;=100000), " ",IF(INDEX($AB$2:$AQ$1001,MATCH(ROWS($U$2:U536),$U$2:$U$1001,0),MATCH(COLUMNS($AB$1006:AL1006),$AB$1006:$AQ$1006,0)), HYPERLINK("#",""), HYPERLINK(CONCATENATE("#Metadata!", ADDRESS(INDEX($W$2:$W$1001,MATCH(ROWS($U$2:U536),$U$2:$U$1001,0),0), INDEX($AB$1004:$AQ$1004,1,MATCH(COLUMNS($AB$1006:AL1006),$AB$1006:$AQ$1006,0)))),"Fix")))</f>
        <v>0</v>
      </c>
      <c r="M536" s="5">
        <f>IF(OR(INDEX($V$2:$V$1001,MATCH(ROWS($U$2:U536),$U$2:$U$1001,0),1)&gt;=100000,INDEX($AB$1005:$AQ$1005,1,MATCH(COLUMNS($AB$1006:AM1006),$AB$1006:$AQ$1006,0))&gt;=100000), " ",IF(INDEX($AB$2:$AQ$1001,MATCH(ROWS($U$2:U536),$U$2:$U$1001,0),MATCH(COLUMNS($AB$1006:AM1006),$AB$1006:$AQ$1006,0)), HYPERLINK("#",""), HYPERLINK(CONCATENATE("#Metadata!", ADDRESS(INDEX($W$2:$W$1001,MATCH(ROWS($U$2:U536),$U$2:$U$1001,0),0), INDEX($AB$1004:$AQ$1004,1,MATCH(COLUMNS($AB$1006:AM1006),$AB$1006:$AQ$1006,0)))),"Fix")))</f>
        <v>0</v>
      </c>
      <c r="N536" s="5">
        <f>IF(OR(INDEX($V$2:$V$1001,MATCH(ROWS($U$2:U536),$U$2:$U$1001,0),1)&gt;=100000,INDEX($AB$1005:$AQ$1005,1,MATCH(COLUMNS($AB$1006:AN1006),$AB$1006:$AQ$1006,0))&gt;=100000), " ",IF(INDEX($AB$2:$AQ$1001,MATCH(ROWS($U$2:U536),$U$2:$U$1001,0),MATCH(COLUMNS($AB$1006:AN1006),$AB$1006:$AQ$1006,0)), HYPERLINK("#",""), HYPERLINK(CONCATENATE("#Metadata!", ADDRESS(INDEX($W$2:$W$1001,MATCH(ROWS($U$2:U536),$U$2:$U$1001,0),0), INDEX($AB$1004:$AQ$1004,1,MATCH(COLUMNS($AB$1006:AN1006),$AB$1006:$AQ$1006,0)))),"Fix")))</f>
        <v>0</v>
      </c>
      <c r="O536" s="5">
        <f>IF(OR(INDEX($V$2:$V$1001,MATCH(ROWS($U$2:U536),$U$2:$U$1001,0),1)&gt;=100000,INDEX($AB$1005:$AQ$1005,1,MATCH(COLUMNS($AB$1006:AO1006),$AB$1006:$AQ$1006,0))&gt;=100000), " ",IF(INDEX($AB$2:$AQ$1001,MATCH(ROWS($U$2:U536),$U$2:$U$1001,0),MATCH(COLUMNS($AB$1006:AO1006),$AB$1006:$AQ$1006,0)), HYPERLINK("#",""), HYPERLINK(CONCATENATE("#Metadata!", ADDRESS(INDEX($W$2:$W$1001,MATCH(ROWS($U$2:U536),$U$2:$U$1001,0),0), INDEX($AB$1004:$AQ$1004,1,MATCH(COLUMNS($AB$1006:AO1006),$AB$1006:$AQ$1006,0)))),"Fix")))</f>
        <v>0</v>
      </c>
      <c r="P536" s="5">
        <f>IF(OR(INDEX($V$2:$V$1001,MATCH(ROWS($U$2:U536),$U$2:$U$1001,0),1)&gt;=100000,INDEX($AB$1005:$AQ$1005,1,MATCH(COLUMNS($AB$1006:AP1006),$AB$1006:$AQ$1006,0))&gt;=100000), " ",IF(INDEX($AB$2:$AQ$1001,MATCH(ROWS($U$2:U536),$U$2:$U$1001,0),MATCH(COLUMNS($AB$1006:AP1006),$AB$1006:$AQ$1006,0)), HYPERLINK("#",""), HYPERLINK(CONCATENATE("#Metadata!", ADDRESS(INDEX($W$2:$W$1001,MATCH(ROWS($U$2:U536),$U$2:$U$1001,0),0), INDEX($AB$1004:$AQ$1004,1,MATCH(COLUMNS($AB$1006:AP1006),$AB$1006:$AQ$1006,0)))),"Fix")))</f>
        <v>0</v>
      </c>
      <c r="Q536" s="5">
        <f>IF(OR(INDEX($V$2:$V$1001,MATCH(ROWS($U$2:U536),$U$2:$U$1001,0),1)&gt;=100000,INDEX($AB$1005:$AQ$1005,1,MATCH(COLUMNS($AB$1006:AQ1006),$AB$1006:$AQ$1006,0))&gt;=100000), " ",IF(INDEX($AB$2:$AQ$1001,MATCH(ROWS($U$2:U536),$U$2:$U$1001,0),MATCH(COLUMNS($AB$1006:AQ1006),$AB$1006:$AQ$1006,0)), HYPERLINK("#",""), HYPERLINK(CONCATENATE("#Metadata!", ADDRESS(INDEX($W$2:$W$1001,MATCH(ROWS($U$2:U536),$U$2:$U$1001,0),0), INDEX($AB$1004:$AQ$1004,1,MATCH(COLUMNS($AB$1006:AQ1006),$AB$1006:$AQ$1006,0)))),"Fix")))</f>
        <v>0</v>
      </c>
      <c r="U536">
        <v>0</v>
      </c>
      <c r="V536">
        <v>0</v>
      </c>
      <c r="W536">
        <v>0</v>
      </c>
      <c r="X536">
        <f>IF(Y536,TRUE,AND(AB536:AQ536))</f>
        <v>0</v>
      </c>
      <c r="Y536">
        <f>COUNTBLANK(Metadata!B536:Q536)=COLUMNS(Metadata!B536:Q536)</f>
        <v>0</v>
      </c>
      <c r="Z536">
        <v>0</v>
      </c>
      <c r="AB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AC536">
        <f>AND(IF(Metadata!C536="",FALSE,TRUE),exact(Metadata!C536,"urban biome"))</f>
        <v>0</v>
      </c>
      <c r="AD536">
        <f>AND(IF(Metadata!D536="",FALSE,TRUE),exact(Metadata!D536,"human-associated habitat"))</f>
        <v>0</v>
      </c>
      <c r="AE536">
        <f>AND(IF(Metadata!E536="",FALSE,TRUE),OR(exact(Metadata!E536,"human-associated"),exact(Metadata!E536,"human-skin"),exact(Metadata!E536,"human-oral"),exact(Metadata!E536,"human-gut"),exact(Metadata!E536,"human-vaginal")))</f>
        <v>0</v>
      </c>
      <c r="AF536">
        <f>AND(IF(Metadata!F536="",FALSE,ISNUMBER(VALUE(Metadata!F536))),Metadata!F536&gt;0)</f>
        <v>0</v>
      </c>
      <c r="AG536">
        <f>AND(IF(Metadata!G536="",FALSE,TRUE),exact(Metadata!G536,"years"))</f>
        <v>0</v>
      </c>
      <c r="AH536">
        <f>OR(AND(IF(Metadata!H536="",FALSE,TRUE),OR(exact(Metadata!H536,"not applicable"),exact(Metadata!H536,"not collected"),exact(Metadata!H536,"not provided"),exact(Metadata!H536,"restricted access"))),AND(IF(Metadata!H536="",FALSE,ISNUMBER(VALUE(Metadata!H536))),Metadata!H536&gt;0))</f>
        <v>0</v>
      </c>
      <c r="AI536">
        <f>AND(IF(Metadata!I536="",FALSE,TRUE),exact(Metadata!I536,"human"))</f>
        <v>0</v>
      </c>
      <c r="AJ536">
        <f>AND(IF(Metadata!J536="",FALSE,ISNUMBER(VALUE(Metadata!J536))),Metadata!J536&gt;0)</f>
        <v>0</v>
      </c>
      <c r="AK536">
        <f>AND(IF(Metadata!K536="",FALSE,TRUE),exact(Metadata!K536,"cm"))</f>
        <v>0</v>
      </c>
      <c r="AL536">
        <f>AND(IF(Metadata!L536="",FALSE,TRUE),exact(Metadata!L536,"Homo sapiens"))</f>
        <v>0</v>
      </c>
      <c r="AM536">
        <f>AND(IF(Metadata!M536="",FALSE,TRUE),exact(Metadata!M536,"9606"))</f>
        <v>0</v>
      </c>
      <c r="AN536">
        <f>AND(IF(Metadata!N536="",FALSE,ISNUMBER(VALUE(Metadata!N536))),Metadata!N536&gt;0)</f>
        <v>0</v>
      </c>
      <c r="AO536">
        <f>AND(IF(Metadata!O536="",FALSE,TRUE),exact(Metadata!O536,"kg"))</f>
        <v>0</v>
      </c>
      <c r="AP536">
        <f>OR(AND(IF(Metadata!P536="",FALSE,TRUE),exact(Metadata!P536,"not provided")),IF(Metadata!P536="",FALSE,TRUE))</f>
        <v>0</v>
      </c>
      <c r="AQ536">
        <f>OR(AND(IF(Metadata!Q536="",FALSE,TRUE),exact(Metadata!Q536,"not provided")),IF(Metadata!Q536="",FALSE,TRUE))</f>
        <v>0</v>
      </c>
    </row>
    <row r="537" spans="1:43">
      <c r="A537" s="4">
        <f>IF(B537=" "," ",HYPERLINK(CONCATENATE("#metadata!",ADDRESS(INDEX($W$2:$W$1001,MATCH(ROWS($U$2:U537),$U$2:$U$1001,0),0),2)),INDEX($Z$2:$Z$1001,MATCH(ROWS($U$2:U537),$U$2:$U$1001,0),0)))</f>
        <v>0</v>
      </c>
      <c r="B537" s="5">
        <f>IF(OR(INDEX($V$2:$V$1001,MATCH(ROWS($U$2:U537),$U$2:$U$1001,0),1)&gt;=100000,INDEX($AB$1005:$AQ$1005,1,MATCH(COLUMNS($AB$1006:AB1006),$AB$1006:$AQ$1006,0))&gt;=100000), " ",IF(INDEX($AB$2:$AQ$1001,MATCH(ROWS($U$2:U537),$U$2:$U$1001,0),MATCH(COLUMNS($AB$1006:AB1006),$AB$1006:$AQ$1006,0)), HYPERLINK("#",""), HYPERLINK(CONCATENATE("#Metadata!", ADDRESS(INDEX($W$2:$W$1001,MATCH(ROWS($U$2:U537),$U$2:$U$1001,0),0), INDEX($AB$1004:$AQ$1004,1,MATCH(COLUMNS($AB$1006:AB1006),$AB$1006:$AQ$1006,0)))),"Fix")))</f>
        <v>0</v>
      </c>
      <c r="C537" s="5">
        <f>IF(OR(INDEX($V$2:$V$1001,MATCH(ROWS($U$2:U537),$U$2:$U$1001,0),1)&gt;=100000,INDEX($AB$1005:$AQ$1005,1,MATCH(COLUMNS($AB$1006:AC1006),$AB$1006:$AQ$1006,0))&gt;=100000), " ",IF(INDEX($AB$2:$AQ$1001,MATCH(ROWS($U$2:U537),$U$2:$U$1001,0),MATCH(COLUMNS($AB$1006:AC1006),$AB$1006:$AQ$1006,0)), HYPERLINK("#",""), HYPERLINK(CONCATENATE("#Metadata!", ADDRESS(INDEX($W$2:$W$1001,MATCH(ROWS($U$2:U537),$U$2:$U$1001,0),0), INDEX($AB$1004:$AQ$1004,1,MATCH(COLUMNS($AB$1006:AC1006),$AB$1006:$AQ$1006,0)))),"Fix")))</f>
        <v>0</v>
      </c>
      <c r="D537" s="5">
        <f>IF(OR(INDEX($V$2:$V$1001,MATCH(ROWS($U$2:U537),$U$2:$U$1001,0),1)&gt;=100000,INDEX($AB$1005:$AQ$1005,1,MATCH(COLUMNS($AB$1006:AD1006),$AB$1006:$AQ$1006,0))&gt;=100000), " ",IF(INDEX($AB$2:$AQ$1001,MATCH(ROWS($U$2:U537),$U$2:$U$1001,0),MATCH(COLUMNS($AB$1006:AD1006),$AB$1006:$AQ$1006,0)), HYPERLINK("#",""), HYPERLINK(CONCATENATE("#Metadata!", ADDRESS(INDEX($W$2:$W$1001,MATCH(ROWS($U$2:U537),$U$2:$U$1001,0),0), INDEX($AB$1004:$AQ$1004,1,MATCH(COLUMNS($AB$1006:AD1006),$AB$1006:$AQ$1006,0)))),"Fix")))</f>
        <v>0</v>
      </c>
      <c r="E537" s="5">
        <f>IF(OR(INDEX($V$2:$V$1001,MATCH(ROWS($U$2:U537),$U$2:$U$1001,0),1)&gt;=100000,INDEX($AB$1005:$AQ$1005,1,MATCH(COLUMNS($AB$1006:AE1006),$AB$1006:$AQ$1006,0))&gt;=100000), " ",IF(INDEX($AB$2:$AQ$1001,MATCH(ROWS($U$2:U537),$U$2:$U$1001,0),MATCH(COLUMNS($AB$1006:AE1006),$AB$1006:$AQ$1006,0)), HYPERLINK("#",""), HYPERLINK(CONCATENATE("#Metadata!", ADDRESS(INDEX($W$2:$W$1001,MATCH(ROWS($U$2:U537),$U$2:$U$1001,0),0), INDEX($AB$1004:$AQ$1004,1,MATCH(COLUMNS($AB$1006:AE1006),$AB$1006:$AQ$1006,0)))),"Fix")))</f>
        <v>0</v>
      </c>
      <c r="F537" s="5">
        <f>IF(OR(INDEX($V$2:$V$1001,MATCH(ROWS($U$2:U537),$U$2:$U$1001,0),1)&gt;=100000,INDEX($AB$1005:$AQ$1005,1,MATCH(COLUMNS($AB$1006:AF1006),$AB$1006:$AQ$1006,0))&gt;=100000), " ",IF(INDEX($AB$2:$AQ$1001,MATCH(ROWS($U$2:U537),$U$2:$U$1001,0),MATCH(COLUMNS($AB$1006:AF1006),$AB$1006:$AQ$1006,0)), HYPERLINK("#",""), HYPERLINK(CONCATENATE("#Metadata!", ADDRESS(INDEX($W$2:$W$1001,MATCH(ROWS($U$2:U537),$U$2:$U$1001,0),0), INDEX($AB$1004:$AQ$1004,1,MATCH(COLUMNS($AB$1006:AF1006),$AB$1006:$AQ$1006,0)))),"Fix")))</f>
        <v>0</v>
      </c>
      <c r="G537" s="5">
        <f>IF(OR(INDEX($V$2:$V$1001,MATCH(ROWS($U$2:U537),$U$2:$U$1001,0),1)&gt;=100000,INDEX($AB$1005:$AQ$1005,1,MATCH(COLUMNS($AB$1006:AG1006),$AB$1006:$AQ$1006,0))&gt;=100000), " ",IF(INDEX($AB$2:$AQ$1001,MATCH(ROWS($U$2:U537),$U$2:$U$1001,0),MATCH(COLUMNS($AB$1006:AG1006),$AB$1006:$AQ$1006,0)), HYPERLINK("#",""), HYPERLINK(CONCATENATE("#Metadata!", ADDRESS(INDEX($W$2:$W$1001,MATCH(ROWS($U$2:U537),$U$2:$U$1001,0),0), INDEX($AB$1004:$AQ$1004,1,MATCH(COLUMNS($AB$1006:AG1006),$AB$1006:$AQ$1006,0)))),"Fix")))</f>
        <v>0</v>
      </c>
      <c r="H537" s="5">
        <f>IF(OR(INDEX($V$2:$V$1001,MATCH(ROWS($U$2:U537),$U$2:$U$1001,0),1)&gt;=100000,INDEX($AB$1005:$AQ$1005,1,MATCH(COLUMNS($AB$1006:AH1006),$AB$1006:$AQ$1006,0))&gt;=100000), " ",IF(INDEX($AB$2:$AQ$1001,MATCH(ROWS($U$2:U537),$U$2:$U$1001,0),MATCH(COLUMNS($AB$1006:AH1006),$AB$1006:$AQ$1006,0)), HYPERLINK("#",""), HYPERLINK(CONCATENATE("#Metadata!", ADDRESS(INDEX($W$2:$W$1001,MATCH(ROWS($U$2:U537),$U$2:$U$1001,0),0), INDEX($AB$1004:$AQ$1004,1,MATCH(COLUMNS($AB$1006:AH1006),$AB$1006:$AQ$1006,0)))),"Fix")))</f>
        <v>0</v>
      </c>
      <c r="I537" s="5">
        <f>IF(OR(INDEX($V$2:$V$1001,MATCH(ROWS($U$2:U537),$U$2:$U$1001,0),1)&gt;=100000,INDEX($AB$1005:$AQ$1005,1,MATCH(COLUMNS($AB$1006:AI1006),$AB$1006:$AQ$1006,0))&gt;=100000), " ",IF(INDEX($AB$2:$AQ$1001,MATCH(ROWS($U$2:U537),$U$2:$U$1001,0),MATCH(COLUMNS($AB$1006:AI1006),$AB$1006:$AQ$1006,0)), HYPERLINK("#",""), HYPERLINK(CONCATENATE("#Metadata!", ADDRESS(INDEX($W$2:$W$1001,MATCH(ROWS($U$2:U537),$U$2:$U$1001,0),0), INDEX($AB$1004:$AQ$1004,1,MATCH(COLUMNS($AB$1006:AI1006),$AB$1006:$AQ$1006,0)))),"Fix")))</f>
        <v>0</v>
      </c>
      <c r="J537" s="5">
        <f>IF(OR(INDEX($V$2:$V$1001,MATCH(ROWS($U$2:U537),$U$2:$U$1001,0),1)&gt;=100000,INDEX($AB$1005:$AQ$1005,1,MATCH(COLUMNS($AB$1006:AJ1006),$AB$1006:$AQ$1006,0))&gt;=100000), " ",IF(INDEX($AB$2:$AQ$1001,MATCH(ROWS($U$2:U537),$U$2:$U$1001,0),MATCH(COLUMNS($AB$1006:AJ1006),$AB$1006:$AQ$1006,0)), HYPERLINK("#",""), HYPERLINK(CONCATENATE("#Metadata!", ADDRESS(INDEX($W$2:$W$1001,MATCH(ROWS($U$2:U537),$U$2:$U$1001,0),0), INDEX($AB$1004:$AQ$1004,1,MATCH(COLUMNS($AB$1006:AJ1006),$AB$1006:$AQ$1006,0)))),"Fix")))</f>
        <v>0</v>
      </c>
      <c r="K537" s="5">
        <f>IF(OR(INDEX($V$2:$V$1001,MATCH(ROWS($U$2:U537),$U$2:$U$1001,0),1)&gt;=100000,INDEX($AB$1005:$AQ$1005,1,MATCH(COLUMNS($AB$1006:AK1006),$AB$1006:$AQ$1006,0))&gt;=100000), " ",IF(INDEX($AB$2:$AQ$1001,MATCH(ROWS($U$2:U537),$U$2:$U$1001,0),MATCH(COLUMNS($AB$1006:AK1006),$AB$1006:$AQ$1006,0)), HYPERLINK("#",""), HYPERLINK(CONCATENATE("#Metadata!", ADDRESS(INDEX($W$2:$W$1001,MATCH(ROWS($U$2:U537),$U$2:$U$1001,0),0), INDEX($AB$1004:$AQ$1004,1,MATCH(COLUMNS($AB$1006:AK1006),$AB$1006:$AQ$1006,0)))),"Fix")))</f>
        <v>0</v>
      </c>
      <c r="L537" s="5">
        <f>IF(OR(INDEX($V$2:$V$1001,MATCH(ROWS($U$2:U537),$U$2:$U$1001,0),1)&gt;=100000,INDEX($AB$1005:$AQ$1005,1,MATCH(COLUMNS($AB$1006:AL1006),$AB$1006:$AQ$1006,0))&gt;=100000), " ",IF(INDEX($AB$2:$AQ$1001,MATCH(ROWS($U$2:U537),$U$2:$U$1001,0),MATCH(COLUMNS($AB$1006:AL1006),$AB$1006:$AQ$1006,0)), HYPERLINK("#",""), HYPERLINK(CONCATENATE("#Metadata!", ADDRESS(INDEX($W$2:$W$1001,MATCH(ROWS($U$2:U537),$U$2:$U$1001,0),0), INDEX($AB$1004:$AQ$1004,1,MATCH(COLUMNS($AB$1006:AL1006),$AB$1006:$AQ$1006,0)))),"Fix")))</f>
        <v>0</v>
      </c>
      <c r="M537" s="5">
        <f>IF(OR(INDEX($V$2:$V$1001,MATCH(ROWS($U$2:U537),$U$2:$U$1001,0),1)&gt;=100000,INDEX($AB$1005:$AQ$1005,1,MATCH(COLUMNS($AB$1006:AM1006),$AB$1006:$AQ$1006,0))&gt;=100000), " ",IF(INDEX($AB$2:$AQ$1001,MATCH(ROWS($U$2:U537),$U$2:$U$1001,0),MATCH(COLUMNS($AB$1006:AM1006),$AB$1006:$AQ$1006,0)), HYPERLINK("#",""), HYPERLINK(CONCATENATE("#Metadata!", ADDRESS(INDEX($W$2:$W$1001,MATCH(ROWS($U$2:U537),$U$2:$U$1001,0),0), INDEX($AB$1004:$AQ$1004,1,MATCH(COLUMNS($AB$1006:AM1006),$AB$1006:$AQ$1006,0)))),"Fix")))</f>
        <v>0</v>
      </c>
      <c r="N537" s="5">
        <f>IF(OR(INDEX($V$2:$V$1001,MATCH(ROWS($U$2:U537),$U$2:$U$1001,0),1)&gt;=100000,INDEX($AB$1005:$AQ$1005,1,MATCH(COLUMNS($AB$1006:AN1006),$AB$1006:$AQ$1006,0))&gt;=100000), " ",IF(INDEX($AB$2:$AQ$1001,MATCH(ROWS($U$2:U537),$U$2:$U$1001,0),MATCH(COLUMNS($AB$1006:AN1006),$AB$1006:$AQ$1006,0)), HYPERLINK("#",""), HYPERLINK(CONCATENATE("#Metadata!", ADDRESS(INDEX($W$2:$W$1001,MATCH(ROWS($U$2:U537),$U$2:$U$1001,0),0), INDEX($AB$1004:$AQ$1004,1,MATCH(COLUMNS($AB$1006:AN1006),$AB$1006:$AQ$1006,0)))),"Fix")))</f>
        <v>0</v>
      </c>
      <c r="O537" s="5">
        <f>IF(OR(INDEX($V$2:$V$1001,MATCH(ROWS($U$2:U537),$U$2:$U$1001,0),1)&gt;=100000,INDEX($AB$1005:$AQ$1005,1,MATCH(COLUMNS($AB$1006:AO1006),$AB$1006:$AQ$1006,0))&gt;=100000), " ",IF(INDEX($AB$2:$AQ$1001,MATCH(ROWS($U$2:U537),$U$2:$U$1001,0),MATCH(COLUMNS($AB$1006:AO1006),$AB$1006:$AQ$1006,0)), HYPERLINK("#",""), HYPERLINK(CONCATENATE("#Metadata!", ADDRESS(INDEX($W$2:$W$1001,MATCH(ROWS($U$2:U537),$U$2:$U$1001,0),0), INDEX($AB$1004:$AQ$1004,1,MATCH(COLUMNS($AB$1006:AO1006),$AB$1006:$AQ$1006,0)))),"Fix")))</f>
        <v>0</v>
      </c>
      <c r="P537" s="5">
        <f>IF(OR(INDEX($V$2:$V$1001,MATCH(ROWS($U$2:U537),$U$2:$U$1001,0),1)&gt;=100000,INDEX($AB$1005:$AQ$1005,1,MATCH(COLUMNS($AB$1006:AP1006),$AB$1006:$AQ$1006,0))&gt;=100000), " ",IF(INDEX($AB$2:$AQ$1001,MATCH(ROWS($U$2:U537),$U$2:$U$1001,0),MATCH(COLUMNS($AB$1006:AP1006),$AB$1006:$AQ$1006,0)), HYPERLINK("#",""), HYPERLINK(CONCATENATE("#Metadata!", ADDRESS(INDEX($W$2:$W$1001,MATCH(ROWS($U$2:U537),$U$2:$U$1001,0),0), INDEX($AB$1004:$AQ$1004,1,MATCH(COLUMNS($AB$1006:AP1006),$AB$1006:$AQ$1006,0)))),"Fix")))</f>
        <v>0</v>
      </c>
      <c r="Q537" s="5">
        <f>IF(OR(INDEX($V$2:$V$1001,MATCH(ROWS($U$2:U537),$U$2:$U$1001,0),1)&gt;=100000,INDEX($AB$1005:$AQ$1005,1,MATCH(COLUMNS($AB$1006:AQ1006),$AB$1006:$AQ$1006,0))&gt;=100000), " ",IF(INDEX($AB$2:$AQ$1001,MATCH(ROWS($U$2:U537),$U$2:$U$1001,0),MATCH(COLUMNS($AB$1006:AQ1006),$AB$1006:$AQ$1006,0)), HYPERLINK("#",""), HYPERLINK(CONCATENATE("#Metadata!", ADDRESS(INDEX($W$2:$W$1001,MATCH(ROWS($U$2:U537),$U$2:$U$1001,0),0), INDEX($AB$1004:$AQ$1004,1,MATCH(COLUMNS($AB$1006:AQ1006),$AB$1006:$AQ$1006,0)))),"Fix")))</f>
        <v>0</v>
      </c>
      <c r="U537">
        <v>0</v>
      </c>
      <c r="V537">
        <v>0</v>
      </c>
      <c r="W537">
        <v>0</v>
      </c>
      <c r="X537">
        <f>IF(Y537,TRUE,AND(AB537:AQ537))</f>
        <v>0</v>
      </c>
      <c r="Y537">
        <f>COUNTBLANK(Metadata!B537:Q537)=COLUMNS(Metadata!B537:Q537)</f>
        <v>0</v>
      </c>
      <c r="Z537">
        <v>0</v>
      </c>
      <c r="AB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AC537">
        <f>AND(IF(Metadata!C537="",FALSE,TRUE),exact(Metadata!C537,"urban biome"))</f>
        <v>0</v>
      </c>
      <c r="AD537">
        <f>AND(IF(Metadata!D537="",FALSE,TRUE),exact(Metadata!D537,"human-associated habitat"))</f>
        <v>0</v>
      </c>
      <c r="AE537">
        <f>AND(IF(Metadata!E537="",FALSE,TRUE),OR(exact(Metadata!E537,"human-associated"),exact(Metadata!E537,"human-skin"),exact(Metadata!E537,"human-oral"),exact(Metadata!E537,"human-gut"),exact(Metadata!E537,"human-vaginal")))</f>
        <v>0</v>
      </c>
      <c r="AF537">
        <f>AND(IF(Metadata!F537="",FALSE,ISNUMBER(VALUE(Metadata!F537))),Metadata!F537&gt;0)</f>
        <v>0</v>
      </c>
      <c r="AG537">
        <f>AND(IF(Metadata!G537="",FALSE,TRUE),exact(Metadata!G537,"years"))</f>
        <v>0</v>
      </c>
      <c r="AH537">
        <f>OR(AND(IF(Metadata!H537="",FALSE,TRUE),OR(exact(Metadata!H537,"not applicable"),exact(Metadata!H537,"not collected"),exact(Metadata!H537,"not provided"),exact(Metadata!H537,"restricted access"))),AND(IF(Metadata!H537="",FALSE,ISNUMBER(VALUE(Metadata!H537))),Metadata!H537&gt;0))</f>
        <v>0</v>
      </c>
      <c r="AI537">
        <f>AND(IF(Metadata!I537="",FALSE,TRUE),exact(Metadata!I537,"human"))</f>
        <v>0</v>
      </c>
      <c r="AJ537">
        <f>AND(IF(Metadata!J537="",FALSE,ISNUMBER(VALUE(Metadata!J537))),Metadata!J537&gt;0)</f>
        <v>0</v>
      </c>
      <c r="AK537">
        <f>AND(IF(Metadata!K537="",FALSE,TRUE),exact(Metadata!K537,"cm"))</f>
        <v>0</v>
      </c>
      <c r="AL537">
        <f>AND(IF(Metadata!L537="",FALSE,TRUE),exact(Metadata!L537,"Homo sapiens"))</f>
        <v>0</v>
      </c>
      <c r="AM537">
        <f>AND(IF(Metadata!M537="",FALSE,TRUE),exact(Metadata!M537,"9606"))</f>
        <v>0</v>
      </c>
      <c r="AN537">
        <f>AND(IF(Metadata!N537="",FALSE,ISNUMBER(VALUE(Metadata!N537))),Metadata!N537&gt;0)</f>
        <v>0</v>
      </c>
      <c r="AO537">
        <f>AND(IF(Metadata!O537="",FALSE,TRUE),exact(Metadata!O537,"kg"))</f>
        <v>0</v>
      </c>
      <c r="AP537">
        <f>OR(AND(IF(Metadata!P537="",FALSE,TRUE),exact(Metadata!P537,"not provided")),IF(Metadata!P537="",FALSE,TRUE))</f>
        <v>0</v>
      </c>
      <c r="AQ537">
        <f>OR(AND(IF(Metadata!Q537="",FALSE,TRUE),exact(Metadata!Q537,"not provided")),IF(Metadata!Q537="",FALSE,TRUE))</f>
        <v>0</v>
      </c>
    </row>
    <row r="538" spans="1:43">
      <c r="A538" s="4">
        <f>IF(B538=" "," ",HYPERLINK(CONCATENATE("#metadata!",ADDRESS(INDEX($W$2:$W$1001,MATCH(ROWS($U$2:U538),$U$2:$U$1001,0),0),2)),INDEX($Z$2:$Z$1001,MATCH(ROWS($U$2:U538),$U$2:$U$1001,0),0)))</f>
        <v>0</v>
      </c>
      <c r="B538" s="5">
        <f>IF(OR(INDEX($V$2:$V$1001,MATCH(ROWS($U$2:U538),$U$2:$U$1001,0),1)&gt;=100000,INDEX($AB$1005:$AQ$1005,1,MATCH(COLUMNS($AB$1006:AB1006),$AB$1006:$AQ$1006,0))&gt;=100000), " ",IF(INDEX($AB$2:$AQ$1001,MATCH(ROWS($U$2:U538),$U$2:$U$1001,0),MATCH(COLUMNS($AB$1006:AB1006),$AB$1006:$AQ$1006,0)), HYPERLINK("#",""), HYPERLINK(CONCATENATE("#Metadata!", ADDRESS(INDEX($W$2:$W$1001,MATCH(ROWS($U$2:U538),$U$2:$U$1001,0),0), INDEX($AB$1004:$AQ$1004,1,MATCH(COLUMNS($AB$1006:AB1006),$AB$1006:$AQ$1006,0)))),"Fix")))</f>
        <v>0</v>
      </c>
      <c r="C538" s="5">
        <f>IF(OR(INDEX($V$2:$V$1001,MATCH(ROWS($U$2:U538),$U$2:$U$1001,0),1)&gt;=100000,INDEX($AB$1005:$AQ$1005,1,MATCH(COLUMNS($AB$1006:AC1006),$AB$1006:$AQ$1006,0))&gt;=100000), " ",IF(INDEX($AB$2:$AQ$1001,MATCH(ROWS($U$2:U538),$U$2:$U$1001,0),MATCH(COLUMNS($AB$1006:AC1006),$AB$1006:$AQ$1006,0)), HYPERLINK("#",""), HYPERLINK(CONCATENATE("#Metadata!", ADDRESS(INDEX($W$2:$W$1001,MATCH(ROWS($U$2:U538),$U$2:$U$1001,0),0), INDEX($AB$1004:$AQ$1004,1,MATCH(COLUMNS($AB$1006:AC1006),$AB$1006:$AQ$1006,0)))),"Fix")))</f>
        <v>0</v>
      </c>
      <c r="D538" s="5">
        <f>IF(OR(INDEX($V$2:$V$1001,MATCH(ROWS($U$2:U538),$U$2:$U$1001,0),1)&gt;=100000,INDEX($AB$1005:$AQ$1005,1,MATCH(COLUMNS($AB$1006:AD1006),$AB$1006:$AQ$1006,0))&gt;=100000), " ",IF(INDEX($AB$2:$AQ$1001,MATCH(ROWS($U$2:U538),$U$2:$U$1001,0),MATCH(COLUMNS($AB$1006:AD1006),$AB$1006:$AQ$1006,0)), HYPERLINK("#",""), HYPERLINK(CONCATENATE("#Metadata!", ADDRESS(INDEX($W$2:$W$1001,MATCH(ROWS($U$2:U538),$U$2:$U$1001,0),0), INDEX($AB$1004:$AQ$1004,1,MATCH(COLUMNS($AB$1006:AD1006),$AB$1006:$AQ$1006,0)))),"Fix")))</f>
        <v>0</v>
      </c>
      <c r="E538" s="5">
        <f>IF(OR(INDEX($V$2:$V$1001,MATCH(ROWS($U$2:U538),$U$2:$U$1001,0),1)&gt;=100000,INDEX($AB$1005:$AQ$1005,1,MATCH(COLUMNS($AB$1006:AE1006),$AB$1006:$AQ$1006,0))&gt;=100000), " ",IF(INDEX($AB$2:$AQ$1001,MATCH(ROWS($U$2:U538),$U$2:$U$1001,0),MATCH(COLUMNS($AB$1006:AE1006),$AB$1006:$AQ$1006,0)), HYPERLINK("#",""), HYPERLINK(CONCATENATE("#Metadata!", ADDRESS(INDEX($W$2:$W$1001,MATCH(ROWS($U$2:U538),$U$2:$U$1001,0),0), INDEX($AB$1004:$AQ$1004,1,MATCH(COLUMNS($AB$1006:AE1006),$AB$1006:$AQ$1006,0)))),"Fix")))</f>
        <v>0</v>
      </c>
      <c r="F538" s="5">
        <f>IF(OR(INDEX($V$2:$V$1001,MATCH(ROWS($U$2:U538),$U$2:$U$1001,0),1)&gt;=100000,INDEX($AB$1005:$AQ$1005,1,MATCH(COLUMNS($AB$1006:AF1006),$AB$1006:$AQ$1006,0))&gt;=100000), " ",IF(INDEX($AB$2:$AQ$1001,MATCH(ROWS($U$2:U538),$U$2:$U$1001,0),MATCH(COLUMNS($AB$1006:AF1006),$AB$1006:$AQ$1006,0)), HYPERLINK("#",""), HYPERLINK(CONCATENATE("#Metadata!", ADDRESS(INDEX($W$2:$W$1001,MATCH(ROWS($U$2:U538),$U$2:$U$1001,0),0), INDEX($AB$1004:$AQ$1004,1,MATCH(COLUMNS($AB$1006:AF1006),$AB$1006:$AQ$1006,0)))),"Fix")))</f>
        <v>0</v>
      </c>
      <c r="G538" s="5">
        <f>IF(OR(INDEX($V$2:$V$1001,MATCH(ROWS($U$2:U538),$U$2:$U$1001,0),1)&gt;=100000,INDEX($AB$1005:$AQ$1005,1,MATCH(COLUMNS($AB$1006:AG1006),$AB$1006:$AQ$1006,0))&gt;=100000), " ",IF(INDEX($AB$2:$AQ$1001,MATCH(ROWS($U$2:U538),$U$2:$U$1001,0),MATCH(COLUMNS($AB$1006:AG1006),$AB$1006:$AQ$1006,0)), HYPERLINK("#",""), HYPERLINK(CONCATENATE("#Metadata!", ADDRESS(INDEX($W$2:$W$1001,MATCH(ROWS($U$2:U538),$U$2:$U$1001,0),0), INDEX($AB$1004:$AQ$1004,1,MATCH(COLUMNS($AB$1006:AG1006),$AB$1006:$AQ$1006,0)))),"Fix")))</f>
        <v>0</v>
      </c>
      <c r="H538" s="5">
        <f>IF(OR(INDEX($V$2:$V$1001,MATCH(ROWS($U$2:U538),$U$2:$U$1001,0),1)&gt;=100000,INDEX($AB$1005:$AQ$1005,1,MATCH(COLUMNS($AB$1006:AH1006),$AB$1006:$AQ$1006,0))&gt;=100000), " ",IF(INDEX($AB$2:$AQ$1001,MATCH(ROWS($U$2:U538),$U$2:$U$1001,0),MATCH(COLUMNS($AB$1006:AH1006),$AB$1006:$AQ$1006,0)), HYPERLINK("#",""), HYPERLINK(CONCATENATE("#Metadata!", ADDRESS(INDEX($W$2:$W$1001,MATCH(ROWS($U$2:U538),$U$2:$U$1001,0),0), INDEX($AB$1004:$AQ$1004,1,MATCH(COLUMNS($AB$1006:AH1006),$AB$1006:$AQ$1006,0)))),"Fix")))</f>
        <v>0</v>
      </c>
      <c r="I538" s="5">
        <f>IF(OR(INDEX($V$2:$V$1001,MATCH(ROWS($U$2:U538),$U$2:$U$1001,0),1)&gt;=100000,INDEX($AB$1005:$AQ$1005,1,MATCH(COLUMNS($AB$1006:AI1006),$AB$1006:$AQ$1006,0))&gt;=100000), " ",IF(INDEX($AB$2:$AQ$1001,MATCH(ROWS($U$2:U538),$U$2:$U$1001,0),MATCH(COLUMNS($AB$1006:AI1006),$AB$1006:$AQ$1006,0)), HYPERLINK("#",""), HYPERLINK(CONCATENATE("#Metadata!", ADDRESS(INDEX($W$2:$W$1001,MATCH(ROWS($U$2:U538),$U$2:$U$1001,0),0), INDEX($AB$1004:$AQ$1004,1,MATCH(COLUMNS($AB$1006:AI1006),$AB$1006:$AQ$1006,0)))),"Fix")))</f>
        <v>0</v>
      </c>
      <c r="J538" s="5">
        <f>IF(OR(INDEX($V$2:$V$1001,MATCH(ROWS($U$2:U538),$U$2:$U$1001,0),1)&gt;=100000,INDEX($AB$1005:$AQ$1005,1,MATCH(COLUMNS($AB$1006:AJ1006),$AB$1006:$AQ$1006,0))&gt;=100000), " ",IF(INDEX($AB$2:$AQ$1001,MATCH(ROWS($U$2:U538),$U$2:$U$1001,0),MATCH(COLUMNS($AB$1006:AJ1006),$AB$1006:$AQ$1006,0)), HYPERLINK("#",""), HYPERLINK(CONCATENATE("#Metadata!", ADDRESS(INDEX($W$2:$W$1001,MATCH(ROWS($U$2:U538),$U$2:$U$1001,0),0), INDEX($AB$1004:$AQ$1004,1,MATCH(COLUMNS($AB$1006:AJ1006),$AB$1006:$AQ$1006,0)))),"Fix")))</f>
        <v>0</v>
      </c>
      <c r="K538" s="5">
        <f>IF(OR(INDEX($V$2:$V$1001,MATCH(ROWS($U$2:U538),$U$2:$U$1001,0),1)&gt;=100000,INDEX($AB$1005:$AQ$1005,1,MATCH(COLUMNS($AB$1006:AK1006),$AB$1006:$AQ$1006,0))&gt;=100000), " ",IF(INDEX($AB$2:$AQ$1001,MATCH(ROWS($U$2:U538),$U$2:$U$1001,0),MATCH(COLUMNS($AB$1006:AK1006),$AB$1006:$AQ$1006,0)), HYPERLINK("#",""), HYPERLINK(CONCATENATE("#Metadata!", ADDRESS(INDEX($W$2:$W$1001,MATCH(ROWS($U$2:U538),$U$2:$U$1001,0),0), INDEX($AB$1004:$AQ$1004,1,MATCH(COLUMNS($AB$1006:AK1006),$AB$1006:$AQ$1006,0)))),"Fix")))</f>
        <v>0</v>
      </c>
      <c r="L538" s="5">
        <f>IF(OR(INDEX($V$2:$V$1001,MATCH(ROWS($U$2:U538),$U$2:$U$1001,0),1)&gt;=100000,INDEX($AB$1005:$AQ$1005,1,MATCH(COLUMNS($AB$1006:AL1006),$AB$1006:$AQ$1006,0))&gt;=100000), " ",IF(INDEX($AB$2:$AQ$1001,MATCH(ROWS($U$2:U538),$U$2:$U$1001,0),MATCH(COLUMNS($AB$1006:AL1006),$AB$1006:$AQ$1006,0)), HYPERLINK("#",""), HYPERLINK(CONCATENATE("#Metadata!", ADDRESS(INDEX($W$2:$W$1001,MATCH(ROWS($U$2:U538),$U$2:$U$1001,0),0), INDEX($AB$1004:$AQ$1004,1,MATCH(COLUMNS($AB$1006:AL1006),$AB$1006:$AQ$1006,0)))),"Fix")))</f>
        <v>0</v>
      </c>
      <c r="M538" s="5">
        <f>IF(OR(INDEX($V$2:$V$1001,MATCH(ROWS($U$2:U538),$U$2:$U$1001,0),1)&gt;=100000,INDEX($AB$1005:$AQ$1005,1,MATCH(COLUMNS($AB$1006:AM1006),$AB$1006:$AQ$1006,0))&gt;=100000), " ",IF(INDEX($AB$2:$AQ$1001,MATCH(ROWS($U$2:U538),$U$2:$U$1001,0),MATCH(COLUMNS($AB$1006:AM1006),$AB$1006:$AQ$1006,0)), HYPERLINK("#",""), HYPERLINK(CONCATENATE("#Metadata!", ADDRESS(INDEX($W$2:$W$1001,MATCH(ROWS($U$2:U538),$U$2:$U$1001,0),0), INDEX($AB$1004:$AQ$1004,1,MATCH(COLUMNS($AB$1006:AM1006),$AB$1006:$AQ$1006,0)))),"Fix")))</f>
        <v>0</v>
      </c>
      <c r="N538" s="5">
        <f>IF(OR(INDEX($V$2:$V$1001,MATCH(ROWS($U$2:U538),$U$2:$U$1001,0),1)&gt;=100000,INDEX($AB$1005:$AQ$1005,1,MATCH(COLUMNS($AB$1006:AN1006),$AB$1006:$AQ$1006,0))&gt;=100000), " ",IF(INDEX($AB$2:$AQ$1001,MATCH(ROWS($U$2:U538),$U$2:$U$1001,0),MATCH(COLUMNS($AB$1006:AN1006),$AB$1006:$AQ$1006,0)), HYPERLINK("#",""), HYPERLINK(CONCATENATE("#Metadata!", ADDRESS(INDEX($W$2:$W$1001,MATCH(ROWS($U$2:U538),$U$2:$U$1001,0),0), INDEX($AB$1004:$AQ$1004,1,MATCH(COLUMNS($AB$1006:AN1006),$AB$1006:$AQ$1006,0)))),"Fix")))</f>
        <v>0</v>
      </c>
      <c r="O538" s="5">
        <f>IF(OR(INDEX($V$2:$V$1001,MATCH(ROWS($U$2:U538),$U$2:$U$1001,0),1)&gt;=100000,INDEX($AB$1005:$AQ$1005,1,MATCH(COLUMNS($AB$1006:AO1006),$AB$1006:$AQ$1006,0))&gt;=100000), " ",IF(INDEX($AB$2:$AQ$1001,MATCH(ROWS($U$2:U538),$U$2:$U$1001,0),MATCH(COLUMNS($AB$1006:AO1006),$AB$1006:$AQ$1006,0)), HYPERLINK("#",""), HYPERLINK(CONCATENATE("#Metadata!", ADDRESS(INDEX($W$2:$W$1001,MATCH(ROWS($U$2:U538),$U$2:$U$1001,0),0), INDEX($AB$1004:$AQ$1004,1,MATCH(COLUMNS($AB$1006:AO1006),$AB$1006:$AQ$1006,0)))),"Fix")))</f>
        <v>0</v>
      </c>
      <c r="P538" s="5">
        <f>IF(OR(INDEX($V$2:$V$1001,MATCH(ROWS($U$2:U538),$U$2:$U$1001,0),1)&gt;=100000,INDEX($AB$1005:$AQ$1005,1,MATCH(COLUMNS($AB$1006:AP1006),$AB$1006:$AQ$1006,0))&gt;=100000), " ",IF(INDEX($AB$2:$AQ$1001,MATCH(ROWS($U$2:U538),$U$2:$U$1001,0),MATCH(COLUMNS($AB$1006:AP1006),$AB$1006:$AQ$1006,0)), HYPERLINK("#",""), HYPERLINK(CONCATENATE("#Metadata!", ADDRESS(INDEX($W$2:$W$1001,MATCH(ROWS($U$2:U538),$U$2:$U$1001,0),0), INDEX($AB$1004:$AQ$1004,1,MATCH(COLUMNS($AB$1006:AP1006),$AB$1006:$AQ$1006,0)))),"Fix")))</f>
        <v>0</v>
      </c>
      <c r="Q538" s="5">
        <f>IF(OR(INDEX($V$2:$V$1001,MATCH(ROWS($U$2:U538),$U$2:$U$1001,0),1)&gt;=100000,INDEX($AB$1005:$AQ$1005,1,MATCH(COLUMNS($AB$1006:AQ1006),$AB$1006:$AQ$1006,0))&gt;=100000), " ",IF(INDEX($AB$2:$AQ$1001,MATCH(ROWS($U$2:U538),$U$2:$U$1001,0),MATCH(COLUMNS($AB$1006:AQ1006),$AB$1006:$AQ$1006,0)), HYPERLINK("#",""), HYPERLINK(CONCATENATE("#Metadata!", ADDRESS(INDEX($W$2:$W$1001,MATCH(ROWS($U$2:U538),$U$2:$U$1001,0),0), INDEX($AB$1004:$AQ$1004,1,MATCH(COLUMNS($AB$1006:AQ1006),$AB$1006:$AQ$1006,0)))),"Fix")))</f>
        <v>0</v>
      </c>
      <c r="U538">
        <v>0</v>
      </c>
      <c r="V538">
        <v>0</v>
      </c>
      <c r="W538">
        <v>0</v>
      </c>
      <c r="X538">
        <f>IF(Y538,TRUE,AND(AB538:AQ538))</f>
        <v>0</v>
      </c>
      <c r="Y538">
        <f>COUNTBLANK(Metadata!B538:Q538)=COLUMNS(Metadata!B538:Q538)</f>
        <v>0</v>
      </c>
      <c r="Z538">
        <v>0</v>
      </c>
      <c r="AB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AC538">
        <f>AND(IF(Metadata!C538="",FALSE,TRUE),exact(Metadata!C538,"urban biome"))</f>
        <v>0</v>
      </c>
      <c r="AD538">
        <f>AND(IF(Metadata!D538="",FALSE,TRUE),exact(Metadata!D538,"human-associated habitat"))</f>
        <v>0</v>
      </c>
      <c r="AE538">
        <f>AND(IF(Metadata!E538="",FALSE,TRUE),OR(exact(Metadata!E538,"human-associated"),exact(Metadata!E538,"human-skin"),exact(Metadata!E538,"human-oral"),exact(Metadata!E538,"human-gut"),exact(Metadata!E538,"human-vaginal")))</f>
        <v>0</v>
      </c>
      <c r="AF538">
        <f>AND(IF(Metadata!F538="",FALSE,ISNUMBER(VALUE(Metadata!F538))),Metadata!F538&gt;0)</f>
        <v>0</v>
      </c>
      <c r="AG538">
        <f>AND(IF(Metadata!G538="",FALSE,TRUE),exact(Metadata!G538,"years"))</f>
        <v>0</v>
      </c>
      <c r="AH538">
        <f>OR(AND(IF(Metadata!H538="",FALSE,TRUE),OR(exact(Metadata!H538,"not applicable"),exact(Metadata!H538,"not collected"),exact(Metadata!H538,"not provided"),exact(Metadata!H538,"restricted access"))),AND(IF(Metadata!H538="",FALSE,ISNUMBER(VALUE(Metadata!H538))),Metadata!H538&gt;0))</f>
        <v>0</v>
      </c>
      <c r="AI538">
        <f>AND(IF(Metadata!I538="",FALSE,TRUE),exact(Metadata!I538,"human"))</f>
        <v>0</v>
      </c>
      <c r="AJ538">
        <f>AND(IF(Metadata!J538="",FALSE,ISNUMBER(VALUE(Metadata!J538))),Metadata!J538&gt;0)</f>
        <v>0</v>
      </c>
      <c r="AK538">
        <f>AND(IF(Metadata!K538="",FALSE,TRUE),exact(Metadata!K538,"cm"))</f>
        <v>0</v>
      </c>
      <c r="AL538">
        <f>AND(IF(Metadata!L538="",FALSE,TRUE),exact(Metadata!L538,"Homo sapiens"))</f>
        <v>0</v>
      </c>
      <c r="AM538">
        <f>AND(IF(Metadata!M538="",FALSE,TRUE),exact(Metadata!M538,"9606"))</f>
        <v>0</v>
      </c>
      <c r="AN538">
        <f>AND(IF(Metadata!N538="",FALSE,ISNUMBER(VALUE(Metadata!N538))),Metadata!N538&gt;0)</f>
        <v>0</v>
      </c>
      <c r="AO538">
        <f>AND(IF(Metadata!O538="",FALSE,TRUE),exact(Metadata!O538,"kg"))</f>
        <v>0</v>
      </c>
      <c r="AP538">
        <f>OR(AND(IF(Metadata!P538="",FALSE,TRUE),exact(Metadata!P538,"not provided")),IF(Metadata!P538="",FALSE,TRUE))</f>
        <v>0</v>
      </c>
      <c r="AQ538">
        <f>OR(AND(IF(Metadata!Q538="",FALSE,TRUE),exact(Metadata!Q538,"not provided")),IF(Metadata!Q538="",FALSE,TRUE))</f>
        <v>0</v>
      </c>
    </row>
    <row r="539" spans="1:43">
      <c r="A539" s="4">
        <f>IF(B539=" "," ",HYPERLINK(CONCATENATE("#metadata!",ADDRESS(INDEX($W$2:$W$1001,MATCH(ROWS($U$2:U539),$U$2:$U$1001,0),0),2)),INDEX($Z$2:$Z$1001,MATCH(ROWS($U$2:U539),$U$2:$U$1001,0),0)))</f>
        <v>0</v>
      </c>
      <c r="B539" s="5">
        <f>IF(OR(INDEX($V$2:$V$1001,MATCH(ROWS($U$2:U539),$U$2:$U$1001,0),1)&gt;=100000,INDEX($AB$1005:$AQ$1005,1,MATCH(COLUMNS($AB$1006:AB1006),$AB$1006:$AQ$1006,0))&gt;=100000), " ",IF(INDEX($AB$2:$AQ$1001,MATCH(ROWS($U$2:U539),$U$2:$U$1001,0),MATCH(COLUMNS($AB$1006:AB1006),$AB$1006:$AQ$1006,0)), HYPERLINK("#",""), HYPERLINK(CONCATENATE("#Metadata!", ADDRESS(INDEX($W$2:$W$1001,MATCH(ROWS($U$2:U539),$U$2:$U$1001,0),0), INDEX($AB$1004:$AQ$1004,1,MATCH(COLUMNS($AB$1006:AB1006),$AB$1006:$AQ$1006,0)))),"Fix")))</f>
        <v>0</v>
      </c>
      <c r="C539" s="5">
        <f>IF(OR(INDEX($V$2:$V$1001,MATCH(ROWS($U$2:U539),$U$2:$U$1001,0),1)&gt;=100000,INDEX($AB$1005:$AQ$1005,1,MATCH(COLUMNS($AB$1006:AC1006),$AB$1006:$AQ$1006,0))&gt;=100000), " ",IF(INDEX($AB$2:$AQ$1001,MATCH(ROWS($U$2:U539),$U$2:$U$1001,0),MATCH(COLUMNS($AB$1006:AC1006),$AB$1006:$AQ$1006,0)), HYPERLINK("#",""), HYPERLINK(CONCATENATE("#Metadata!", ADDRESS(INDEX($W$2:$W$1001,MATCH(ROWS($U$2:U539),$U$2:$U$1001,0),0), INDEX($AB$1004:$AQ$1004,1,MATCH(COLUMNS($AB$1006:AC1006),$AB$1006:$AQ$1006,0)))),"Fix")))</f>
        <v>0</v>
      </c>
      <c r="D539" s="5">
        <f>IF(OR(INDEX($V$2:$V$1001,MATCH(ROWS($U$2:U539),$U$2:$U$1001,0),1)&gt;=100000,INDEX($AB$1005:$AQ$1005,1,MATCH(COLUMNS($AB$1006:AD1006),$AB$1006:$AQ$1006,0))&gt;=100000), " ",IF(INDEX($AB$2:$AQ$1001,MATCH(ROWS($U$2:U539),$U$2:$U$1001,0),MATCH(COLUMNS($AB$1006:AD1006),$AB$1006:$AQ$1006,0)), HYPERLINK("#",""), HYPERLINK(CONCATENATE("#Metadata!", ADDRESS(INDEX($W$2:$W$1001,MATCH(ROWS($U$2:U539),$U$2:$U$1001,0),0), INDEX($AB$1004:$AQ$1004,1,MATCH(COLUMNS($AB$1006:AD1006),$AB$1006:$AQ$1006,0)))),"Fix")))</f>
        <v>0</v>
      </c>
      <c r="E539" s="5">
        <f>IF(OR(INDEX($V$2:$V$1001,MATCH(ROWS($U$2:U539),$U$2:$U$1001,0),1)&gt;=100000,INDEX($AB$1005:$AQ$1005,1,MATCH(COLUMNS($AB$1006:AE1006),$AB$1006:$AQ$1006,0))&gt;=100000), " ",IF(INDEX($AB$2:$AQ$1001,MATCH(ROWS($U$2:U539),$U$2:$U$1001,0),MATCH(COLUMNS($AB$1006:AE1006),$AB$1006:$AQ$1006,0)), HYPERLINK("#",""), HYPERLINK(CONCATENATE("#Metadata!", ADDRESS(INDEX($W$2:$W$1001,MATCH(ROWS($U$2:U539),$U$2:$U$1001,0),0), INDEX($AB$1004:$AQ$1004,1,MATCH(COLUMNS($AB$1006:AE1006),$AB$1006:$AQ$1006,0)))),"Fix")))</f>
        <v>0</v>
      </c>
      <c r="F539" s="5">
        <f>IF(OR(INDEX($V$2:$V$1001,MATCH(ROWS($U$2:U539),$U$2:$U$1001,0),1)&gt;=100000,INDEX($AB$1005:$AQ$1005,1,MATCH(COLUMNS($AB$1006:AF1006),$AB$1006:$AQ$1006,0))&gt;=100000), " ",IF(INDEX($AB$2:$AQ$1001,MATCH(ROWS($U$2:U539),$U$2:$U$1001,0),MATCH(COLUMNS($AB$1006:AF1006),$AB$1006:$AQ$1006,0)), HYPERLINK("#",""), HYPERLINK(CONCATENATE("#Metadata!", ADDRESS(INDEX($W$2:$W$1001,MATCH(ROWS($U$2:U539),$U$2:$U$1001,0),0), INDEX($AB$1004:$AQ$1004,1,MATCH(COLUMNS($AB$1006:AF1006),$AB$1006:$AQ$1006,0)))),"Fix")))</f>
        <v>0</v>
      </c>
      <c r="G539" s="5">
        <f>IF(OR(INDEX($V$2:$V$1001,MATCH(ROWS($U$2:U539),$U$2:$U$1001,0),1)&gt;=100000,INDEX($AB$1005:$AQ$1005,1,MATCH(COLUMNS($AB$1006:AG1006),$AB$1006:$AQ$1006,0))&gt;=100000), " ",IF(INDEX($AB$2:$AQ$1001,MATCH(ROWS($U$2:U539),$U$2:$U$1001,0),MATCH(COLUMNS($AB$1006:AG1006),$AB$1006:$AQ$1006,0)), HYPERLINK("#",""), HYPERLINK(CONCATENATE("#Metadata!", ADDRESS(INDEX($W$2:$W$1001,MATCH(ROWS($U$2:U539),$U$2:$U$1001,0),0), INDEX($AB$1004:$AQ$1004,1,MATCH(COLUMNS($AB$1006:AG1006),$AB$1006:$AQ$1006,0)))),"Fix")))</f>
        <v>0</v>
      </c>
      <c r="H539" s="5">
        <f>IF(OR(INDEX($V$2:$V$1001,MATCH(ROWS($U$2:U539),$U$2:$U$1001,0),1)&gt;=100000,INDEX($AB$1005:$AQ$1005,1,MATCH(COLUMNS($AB$1006:AH1006),$AB$1006:$AQ$1006,0))&gt;=100000), " ",IF(INDEX($AB$2:$AQ$1001,MATCH(ROWS($U$2:U539),$U$2:$U$1001,0),MATCH(COLUMNS($AB$1006:AH1006),$AB$1006:$AQ$1006,0)), HYPERLINK("#",""), HYPERLINK(CONCATENATE("#Metadata!", ADDRESS(INDEX($W$2:$W$1001,MATCH(ROWS($U$2:U539),$U$2:$U$1001,0),0), INDEX($AB$1004:$AQ$1004,1,MATCH(COLUMNS($AB$1006:AH1006),$AB$1006:$AQ$1006,0)))),"Fix")))</f>
        <v>0</v>
      </c>
      <c r="I539" s="5">
        <f>IF(OR(INDEX($V$2:$V$1001,MATCH(ROWS($U$2:U539),$U$2:$U$1001,0),1)&gt;=100000,INDEX($AB$1005:$AQ$1005,1,MATCH(COLUMNS($AB$1006:AI1006),$AB$1006:$AQ$1006,0))&gt;=100000), " ",IF(INDEX($AB$2:$AQ$1001,MATCH(ROWS($U$2:U539),$U$2:$U$1001,0),MATCH(COLUMNS($AB$1006:AI1006),$AB$1006:$AQ$1006,0)), HYPERLINK("#",""), HYPERLINK(CONCATENATE("#Metadata!", ADDRESS(INDEX($W$2:$W$1001,MATCH(ROWS($U$2:U539),$U$2:$U$1001,0),0), INDEX($AB$1004:$AQ$1004,1,MATCH(COLUMNS($AB$1006:AI1006),$AB$1006:$AQ$1006,0)))),"Fix")))</f>
        <v>0</v>
      </c>
      <c r="J539" s="5">
        <f>IF(OR(INDEX($V$2:$V$1001,MATCH(ROWS($U$2:U539),$U$2:$U$1001,0),1)&gt;=100000,INDEX($AB$1005:$AQ$1005,1,MATCH(COLUMNS($AB$1006:AJ1006),$AB$1006:$AQ$1006,0))&gt;=100000), " ",IF(INDEX($AB$2:$AQ$1001,MATCH(ROWS($U$2:U539),$U$2:$U$1001,0),MATCH(COLUMNS($AB$1006:AJ1006),$AB$1006:$AQ$1006,0)), HYPERLINK("#",""), HYPERLINK(CONCATENATE("#Metadata!", ADDRESS(INDEX($W$2:$W$1001,MATCH(ROWS($U$2:U539),$U$2:$U$1001,0),0), INDEX($AB$1004:$AQ$1004,1,MATCH(COLUMNS($AB$1006:AJ1006),$AB$1006:$AQ$1006,0)))),"Fix")))</f>
        <v>0</v>
      </c>
      <c r="K539" s="5">
        <f>IF(OR(INDEX($V$2:$V$1001,MATCH(ROWS($U$2:U539),$U$2:$U$1001,0),1)&gt;=100000,INDEX($AB$1005:$AQ$1005,1,MATCH(COLUMNS($AB$1006:AK1006),$AB$1006:$AQ$1006,0))&gt;=100000), " ",IF(INDEX($AB$2:$AQ$1001,MATCH(ROWS($U$2:U539),$U$2:$U$1001,0),MATCH(COLUMNS($AB$1006:AK1006),$AB$1006:$AQ$1006,0)), HYPERLINK("#",""), HYPERLINK(CONCATENATE("#Metadata!", ADDRESS(INDEX($W$2:$W$1001,MATCH(ROWS($U$2:U539),$U$2:$U$1001,0),0), INDEX($AB$1004:$AQ$1004,1,MATCH(COLUMNS($AB$1006:AK1006),$AB$1006:$AQ$1006,0)))),"Fix")))</f>
        <v>0</v>
      </c>
      <c r="L539" s="5">
        <f>IF(OR(INDEX($V$2:$V$1001,MATCH(ROWS($U$2:U539),$U$2:$U$1001,0),1)&gt;=100000,INDEX($AB$1005:$AQ$1005,1,MATCH(COLUMNS($AB$1006:AL1006),$AB$1006:$AQ$1006,0))&gt;=100000), " ",IF(INDEX($AB$2:$AQ$1001,MATCH(ROWS($U$2:U539),$U$2:$U$1001,0),MATCH(COLUMNS($AB$1006:AL1006),$AB$1006:$AQ$1006,0)), HYPERLINK("#",""), HYPERLINK(CONCATENATE("#Metadata!", ADDRESS(INDEX($W$2:$W$1001,MATCH(ROWS($U$2:U539),$U$2:$U$1001,0),0), INDEX($AB$1004:$AQ$1004,1,MATCH(COLUMNS($AB$1006:AL1006),$AB$1006:$AQ$1006,0)))),"Fix")))</f>
        <v>0</v>
      </c>
      <c r="M539" s="5">
        <f>IF(OR(INDEX($V$2:$V$1001,MATCH(ROWS($U$2:U539),$U$2:$U$1001,0),1)&gt;=100000,INDEX($AB$1005:$AQ$1005,1,MATCH(COLUMNS($AB$1006:AM1006),$AB$1006:$AQ$1006,0))&gt;=100000), " ",IF(INDEX($AB$2:$AQ$1001,MATCH(ROWS($U$2:U539),$U$2:$U$1001,0),MATCH(COLUMNS($AB$1006:AM1006),$AB$1006:$AQ$1006,0)), HYPERLINK("#",""), HYPERLINK(CONCATENATE("#Metadata!", ADDRESS(INDEX($W$2:$W$1001,MATCH(ROWS($U$2:U539),$U$2:$U$1001,0),0), INDEX($AB$1004:$AQ$1004,1,MATCH(COLUMNS($AB$1006:AM1006),$AB$1006:$AQ$1006,0)))),"Fix")))</f>
        <v>0</v>
      </c>
      <c r="N539" s="5">
        <f>IF(OR(INDEX($V$2:$V$1001,MATCH(ROWS($U$2:U539),$U$2:$U$1001,0),1)&gt;=100000,INDEX($AB$1005:$AQ$1005,1,MATCH(COLUMNS($AB$1006:AN1006),$AB$1006:$AQ$1006,0))&gt;=100000), " ",IF(INDEX($AB$2:$AQ$1001,MATCH(ROWS($U$2:U539),$U$2:$U$1001,0),MATCH(COLUMNS($AB$1006:AN1006),$AB$1006:$AQ$1006,0)), HYPERLINK("#",""), HYPERLINK(CONCATENATE("#Metadata!", ADDRESS(INDEX($W$2:$W$1001,MATCH(ROWS($U$2:U539),$U$2:$U$1001,0),0), INDEX($AB$1004:$AQ$1004,1,MATCH(COLUMNS($AB$1006:AN1006),$AB$1006:$AQ$1006,0)))),"Fix")))</f>
        <v>0</v>
      </c>
      <c r="O539" s="5">
        <f>IF(OR(INDEX($V$2:$V$1001,MATCH(ROWS($U$2:U539),$U$2:$U$1001,0),1)&gt;=100000,INDEX($AB$1005:$AQ$1005,1,MATCH(COLUMNS($AB$1006:AO1006),$AB$1006:$AQ$1006,0))&gt;=100000), " ",IF(INDEX($AB$2:$AQ$1001,MATCH(ROWS($U$2:U539),$U$2:$U$1001,0),MATCH(COLUMNS($AB$1006:AO1006),$AB$1006:$AQ$1006,0)), HYPERLINK("#",""), HYPERLINK(CONCATENATE("#Metadata!", ADDRESS(INDEX($W$2:$W$1001,MATCH(ROWS($U$2:U539),$U$2:$U$1001,0),0), INDEX($AB$1004:$AQ$1004,1,MATCH(COLUMNS($AB$1006:AO1006),$AB$1006:$AQ$1006,0)))),"Fix")))</f>
        <v>0</v>
      </c>
      <c r="P539" s="5">
        <f>IF(OR(INDEX($V$2:$V$1001,MATCH(ROWS($U$2:U539),$U$2:$U$1001,0),1)&gt;=100000,INDEX($AB$1005:$AQ$1005,1,MATCH(COLUMNS($AB$1006:AP1006),$AB$1006:$AQ$1006,0))&gt;=100000), " ",IF(INDEX($AB$2:$AQ$1001,MATCH(ROWS($U$2:U539),$U$2:$U$1001,0),MATCH(COLUMNS($AB$1006:AP1006),$AB$1006:$AQ$1006,0)), HYPERLINK("#",""), HYPERLINK(CONCATENATE("#Metadata!", ADDRESS(INDEX($W$2:$W$1001,MATCH(ROWS($U$2:U539),$U$2:$U$1001,0),0), INDEX($AB$1004:$AQ$1004,1,MATCH(COLUMNS($AB$1006:AP1006),$AB$1006:$AQ$1006,0)))),"Fix")))</f>
        <v>0</v>
      </c>
      <c r="Q539" s="5">
        <f>IF(OR(INDEX($V$2:$V$1001,MATCH(ROWS($U$2:U539),$U$2:$U$1001,0),1)&gt;=100000,INDEX($AB$1005:$AQ$1005,1,MATCH(COLUMNS($AB$1006:AQ1006),$AB$1006:$AQ$1006,0))&gt;=100000), " ",IF(INDEX($AB$2:$AQ$1001,MATCH(ROWS($U$2:U539),$U$2:$U$1001,0),MATCH(COLUMNS($AB$1006:AQ1006),$AB$1006:$AQ$1006,0)), HYPERLINK("#",""), HYPERLINK(CONCATENATE("#Metadata!", ADDRESS(INDEX($W$2:$W$1001,MATCH(ROWS($U$2:U539),$U$2:$U$1001,0),0), INDEX($AB$1004:$AQ$1004,1,MATCH(COLUMNS($AB$1006:AQ1006),$AB$1006:$AQ$1006,0)))),"Fix")))</f>
        <v>0</v>
      </c>
      <c r="U539">
        <v>0</v>
      </c>
      <c r="V539">
        <v>0</v>
      </c>
      <c r="W539">
        <v>0</v>
      </c>
      <c r="X539">
        <f>IF(Y539,TRUE,AND(AB539:AQ539))</f>
        <v>0</v>
      </c>
      <c r="Y539">
        <f>COUNTBLANK(Metadata!B539:Q539)=COLUMNS(Metadata!B539:Q539)</f>
        <v>0</v>
      </c>
      <c r="Z539">
        <v>0</v>
      </c>
      <c r="AB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AC539">
        <f>AND(IF(Metadata!C539="",FALSE,TRUE),exact(Metadata!C539,"urban biome"))</f>
        <v>0</v>
      </c>
      <c r="AD539">
        <f>AND(IF(Metadata!D539="",FALSE,TRUE),exact(Metadata!D539,"human-associated habitat"))</f>
        <v>0</v>
      </c>
      <c r="AE539">
        <f>AND(IF(Metadata!E539="",FALSE,TRUE),OR(exact(Metadata!E539,"human-associated"),exact(Metadata!E539,"human-skin"),exact(Metadata!E539,"human-oral"),exact(Metadata!E539,"human-gut"),exact(Metadata!E539,"human-vaginal")))</f>
        <v>0</v>
      </c>
      <c r="AF539">
        <f>AND(IF(Metadata!F539="",FALSE,ISNUMBER(VALUE(Metadata!F539))),Metadata!F539&gt;0)</f>
        <v>0</v>
      </c>
      <c r="AG539">
        <f>AND(IF(Metadata!G539="",FALSE,TRUE),exact(Metadata!G539,"years"))</f>
        <v>0</v>
      </c>
      <c r="AH539">
        <f>OR(AND(IF(Metadata!H539="",FALSE,TRUE),OR(exact(Metadata!H539,"not applicable"),exact(Metadata!H539,"not collected"),exact(Metadata!H539,"not provided"),exact(Metadata!H539,"restricted access"))),AND(IF(Metadata!H539="",FALSE,ISNUMBER(VALUE(Metadata!H539))),Metadata!H539&gt;0))</f>
        <v>0</v>
      </c>
      <c r="AI539">
        <f>AND(IF(Metadata!I539="",FALSE,TRUE),exact(Metadata!I539,"human"))</f>
        <v>0</v>
      </c>
      <c r="AJ539">
        <f>AND(IF(Metadata!J539="",FALSE,ISNUMBER(VALUE(Metadata!J539))),Metadata!J539&gt;0)</f>
        <v>0</v>
      </c>
      <c r="AK539">
        <f>AND(IF(Metadata!K539="",FALSE,TRUE),exact(Metadata!K539,"cm"))</f>
        <v>0</v>
      </c>
      <c r="AL539">
        <f>AND(IF(Metadata!L539="",FALSE,TRUE),exact(Metadata!L539,"Homo sapiens"))</f>
        <v>0</v>
      </c>
      <c r="AM539">
        <f>AND(IF(Metadata!M539="",FALSE,TRUE),exact(Metadata!M539,"9606"))</f>
        <v>0</v>
      </c>
      <c r="AN539">
        <f>AND(IF(Metadata!N539="",FALSE,ISNUMBER(VALUE(Metadata!N539))),Metadata!N539&gt;0)</f>
        <v>0</v>
      </c>
      <c r="AO539">
        <f>AND(IF(Metadata!O539="",FALSE,TRUE),exact(Metadata!O539,"kg"))</f>
        <v>0</v>
      </c>
      <c r="AP539">
        <f>OR(AND(IF(Metadata!P539="",FALSE,TRUE),exact(Metadata!P539,"not provided")),IF(Metadata!P539="",FALSE,TRUE))</f>
        <v>0</v>
      </c>
      <c r="AQ539">
        <f>OR(AND(IF(Metadata!Q539="",FALSE,TRUE),exact(Metadata!Q539,"not provided")),IF(Metadata!Q539="",FALSE,TRUE))</f>
        <v>0</v>
      </c>
    </row>
    <row r="540" spans="1:43">
      <c r="A540" s="4">
        <f>IF(B540=" "," ",HYPERLINK(CONCATENATE("#metadata!",ADDRESS(INDEX($W$2:$W$1001,MATCH(ROWS($U$2:U540),$U$2:$U$1001,0),0),2)),INDEX($Z$2:$Z$1001,MATCH(ROWS($U$2:U540),$U$2:$U$1001,0),0)))</f>
        <v>0</v>
      </c>
      <c r="B540" s="5">
        <f>IF(OR(INDEX($V$2:$V$1001,MATCH(ROWS($U$2:U540),$U$2:$U$1001,0),1)&gt;=100000,INDEX($AB$1005:$AQ$1005,1,MATCH(COLUMNS($AB$1006:AB1006),$AB$1006:$AQ$1006,0))&gt;=100000), " ",IF(INDEX($AB$2:$AQ$1001,MATCH(ROWS($U$2:U540),$U$2:$U$1001,0),MATCH(COLUMNS($AB$1006:AB1006),$AB$1006:$AQ$1006,0)), HYPERLINK("#",""), HYPERLINK(CONCATENATE("#Metadata!", ADDRESS(INDEX($W$2:$W$1001,MATCH(ROWS($U$2:U540),$U$2:$U$1001,0),0), INDEX($AB$1004:$AQ$1004,1,MATCH(COLUMNS($AB$1006:AB1006),$AB$1006:$AQ$1006,0)))),"Fix")))</f>
        <v>0</v>
      </c>
      <c r="C540" s="5">
        <f>IF(OR(INDEX($V$2:$V$1001,MATCH(ROWS($U$2:U540),$U$2:$U$1001,0),1)&gt;=100000,INDEX($AB$1005:$AQ$1005,1,MATCH(COLUMNS($AB$1006:AC1006),$AB$1006:$AQ$1006,0))&gt;=100000), " ",IF(INDEX($AB$2:$AQ$1001,MATCH(ROWS($U$2:U540),$U$2:$U$1001,0),MATCH(COLUMNS($AB$1006:AC1006),$AB$1006:$AQ$1006,0)), HYPERLINK("#",""), HYPERLINK(CONCATENATE("#Metadata!", ADDRESS(INDEX($W$2:$W$1001,MATCH(ROWS($U$2:U540),$U$2:$U$1001,0),0), INDEX($AB$1004:$AQ$1004,1,MATCH(COLUMNS($AB$1006:AC1006),$AB$1006:$AQ$1006,0)))),"Fix")))</f>
        <v>0</v>
      </c>
      <c r="D540" s="5">
        <f>IF(OR(INDEX($V$2:$V$1001,MATCH(ROWS($U$2:U540),$U$2:$U$1001,0),1)&gt;=100000,INDEX($AB$1005:$AQ$1005,1,MATCH(COLUMNS($AB$1006:AD1006),$AB$1006:$AQ$1006,0))&gt;=100000), " ",IF(INDEX($AB$2:$AQ$1001,MATCH(ROWS($U$2:U540),$U$2:$U$1001,0),MATCH(COLUMNS($AB$1006:AD1006),$AB$1006:$AQ$1006,0)), HYPERLINK("#",""), HYPERLINK(CONCATENATE("#Metadata!", ADDRESS(INDEX($W$2:$W$1001,MATCH(ROWS($U$2:U540),$U$2:$U$1001,0),0), INDEX($AB$1004:$AQ$1004,1,MATCH(COLUMNS($AB$1006:AD1006),$AB$1006:$AQ$1006,0)))),"Fix")))</f>
        <v>0</v>
      </c>
      <c r="E540" s="5">
        <f>IF(OR(INDEX($V$2:$V$1001,MATCH(ROWS($U$2:U540),$U$2:$U$1001,0),1)&gt;=100000,INDEX($AB$1005:$AQ$1005,1,MATCH(COLUMNS($AB$1006:AE1006),$AB$1006:$AQ$1006,0))&gt;=100000), " ",IF(INDEX($AB$2:$AQ$1001,MATCH(ROWS($U$2:U540),$U$2:$U$1001,0),MATCH(COLUMNS($AB$1006:AE1006),$AB$1006:$AQ$1006,0)), HYPERLINK("#",""), HYPERLINK(CONCATENATE("#Metadata!", ADDRESS(INDEX($W$2:$W$1001,MATCH(ROWS($U$2:U540),$U$2:$U$1001,0),0), INDEX($AB$1004:$AQ$1004,1,MATCH(COLUMNS($AB$1006:AE1006),$AB$1006:$AQ$1006,0)))),"Fix")))</f>
        <v>0</v>
      </c>
      <c r="F540" s="5">
        <f>IF(OR(INDEX($V$2:$V$1001,MATCH(ROWS($U$2:U540),$U$2:$U$1001,0),1)&gt;=100000,INDEX($AB$1005:$AQ$1005,1,MATCH(COLUMNS($AB$1006:AF1006),$AB$1006:$AQ$1006,0))&gt;=100000), " ",IF(INDEX($AB$2:$AQ$1001,MATCH(ROWS($U$2:U540),$U$2:$U$1001,0),MATCH(COLUMNS($AB$1006:AF1006),$AB$1006:$AQ$1006,0)), HYPERLINK("#",""), HYPERLINK(CONCATENATE("#Metadata!", ADDRESS(INDEX($W$2:$W$1001,MATCH(ROWS($U$2:U540),$U$2:$U$1001,0),0), INDEX($AB$1004:$AQ$1004,1,MATCH(COLUMNS($AB$1006:AF1006),$AB$1006:$AQ$1006,0)))),"Fix")))</f>
        <v>0</v>
      </c>
      <c r="G540" s="5">
        <f>IF(OR(INDEX($V$2:$V$1001,MATCH(ROWS($U$2:U540),$U$2:$U$1001,0),1)&gt;=100000,INDEX($AB$1005:$AQ$1005,1,MATCH(COLUMNS($AB$1006:AG1006),$AB$1006:$AQ$1006,0))&gt;=100000), " ",IF(INDEX($AB$2:$AQ$1001,MATCH(ROWS($U$2:U540),$U$2:$U$1001,0),MATCH(COLUMNS($AB$1006:AG1006),$AB$1006:$AQ$1006,0)), HYPERLINK("#",""), HYPERLINK(CONCATENATE("#Metadata!", ADDRESS(INDEX($W$2:$W$1001,MATCH(ROWS($U$2:U540),$U$2:$U$1001,0),0), INDEX($AB$1004:$AQ$1004,1,MATCH(COLUMNS($AB$1006:AG1006),$AB$1006:$AQ$1006,0)))),"Fix")))</f>
        <v>0</v>
      </c>
      <c r="H540" s="5">
        <f>IF(OR(INDEX($V$2:$V$1001,MATCH(ROWS($U$2:U540),$U$2:$U$1001,0),1)&gt;=100000,INDEX($AB$1005:$AQ$1005,1,MATCH(COLUMNS($AB$1006:AH1006),$AB$1006:$AQ$1006,0))&gt;=100000), " ",IF(INDEX($AB$2:$AQ$1001,MATCH(ROWS($U$2:U540),$U$2:$U$1001,0),MATCH(COLUMNS($AB$1006:AH1006),$AB$1006:$AQ$1006,0)), HYPERLINK("#",""), HYPERLINK(CONCATENATE("#Metadata!", ADDRESS(INDEX($W$2:$W$1001,MATCH(ROWS($U$2:U540),$U$2:$U$1001,0),0), INDEX($AB$1004:$AQ$1004,1,MATCH(COLUMNS($AB$1006:AH1006),$AB$1006:$AQ$1006,0)))),"Fix")))</f>
        <v>0</v>
      </c>
      <c r="I540" s="5">
        <f>IF(OR(INDEX($V$2:$V$1001,MATCH(ROWS($U$2:U540),$U$2:$U$1001,0),1)&gt;=100000,INDEX($AB$1005:$AQ$1005,1,MATCH(COLUMNS($AB$1006:AI1006),$AB$1006:$AQ$1006,0))&gt;=100000), " ",IF(INDEX($AB$2:$AQ$1001,MATCH(ROWS($U$2:U540),$U$2:$U$1001,0),MATCH(COLUMNS($AB$1006:AI1006),$AB$1006:$AQ$1006,0)), HYPERLINK("#",""), HYPERLINK(CONCATENATE("#Metadata!", ADDRESS(INDEX($W$2:$W$1001,MATCH(ROWS($U$2:U540),$U$2:$U$1001,0),0), INDEX($AB$1004:$AQ$1004,1,MATCH(COLUMNS($AB$1006:AI1006),$AB$1006:$AQ$1006,0)))),"Fix")))</f>
        <v>0</v>
      </c>
      <c r="J540" s="5">
        <f>IF(OR(INDEX($V$2:$V$1001,MATCH(ROWS($U$2:U540),$U$2:$U$1001,0),1)&gt;=100000,INDEX($AB$1005:$AQ$1005,1,MATCH(COLUMNS($AB$1006:AJ1006),$AB$1006:$AQ$1006,0))&gt;=100000), " ",IF(INDEX($AB$2:$AQ$1001,MATCH(ROWS($U$2:U540),$U$2:$U$1001,0),MATCH(COLUMNS($AB$1006:AJ1006),$AB$1006:$AQ$1006,0)), HYPERLINK("#",""), HYPERLINK(CONCATENATE("#Metadata!", ADDRESS(INDEX($W$2:$W$1001,MATCH(ROWS($U$2:U540),$U$2:$U$1001,0),0), INDEX($AB$1004:$AQ$1004,1,MATCH(COLUMNS($AB$1006:AJ1006),$AB$1006:$AQ$1006,0)))),"Fix")))</f>
        <v>0</v>
      </c>
      <c r="K540" s="5">
        <f>IF(OR(INDEX($V$2:$V$1001,MATCH(ROWS($U$2:U540),$U$2:$U$1001,0),1)&gt;=100000,INDEX($AB$1005:$AQ$1005,1,MATCH(COLUMNS($AB$1006:AK1006),$AB$1006:$AQ$1006,0))&gt;=100000), " ",IF(INDEX($AB$2:$AQ$1001,MATCH(ROWS($U$2:U540),$U$2:$U$1001,0),MATCH(COLUMNS($AB$1006:AK1006),$AB$1006:$AQ$1006,0)), HYPERLINK("#",""), HYPERLINK(CONCATENATE("#Metadata!", ADDRESS(INDEX($W$2:$W$1001,MATCH(ROWS($U$2:U540),$U$2:$U$1001,0),0), INDEX($AB$1004:$AQ$1004,1,MATCH(COLUMNS($AB$1006:AK1006),$AB$1006:$AQ$1006,0)))),"Fix")))</f>
        <v>0</v>
      </c>
      <c r="L540" s="5">
        <f>IF(OR(INDEX($V$2:$V$1001,MATCH(ROWS($U$2:U540),$U$2:$U$1001,0),1)&gt;=100000,INDEX($AB$1005:$AQ$1005,1,MATCH(COLUMNS($AB$1006:AL1006),$AB$1006:$AQ$1006,0))&gt;=100000), " ",IF(INDEX($AB$2:$AQ$1001,MATCH(ROWS($U$2:U540),$U$2:$U$1001,0),MATCH(COLUMNS($AB$1006:AL1006),$AB$1006:$AQ$1006,0)), HYPERLINK("#",""), HYPERLINK(CONCATENATE("#Metadata!", ADDRESS(INDEX($W$2:$W$1001,MATCH(ROWS($U$2:U540),$U$2:$U$1001,0),0), INDEX($AB$1004:$AQ$1004,1,MATCH(COLUMNS($AB$1006:AL1006),$AB$1006:$AQ$1006,0)))),"Fix")))</f>
        <v>0</v>
      </c>
      <c r="M540" s="5">
        <f>IF(OR(INDEX($V$2:$V$1001,MATCH(ROWS($U$2:U540),$U$2:$U$1001,0),1)&gt;=100000,INDEX($AB$1005:$AQ$1005,1,MATCH(COLUMNS($AB$1006:AM1006),$AB$1006:$AQ$1006,0))&gt;=100000), " ",IF(INDEX($AB$2:$AQ$1001,MATCH(ROWS($U$2:U540),$U$2:$U$1001,0),MATCH(COLUMNS($AB$1006:AM1006),$AB$1006:$AQ$1006,0)), HYPERLINK("#",""), HYPERLINK(CONCATENATE("#Metadata!", ADDRESS(INDEX($W$2:$W$1001,MATCH(ROWS($U$2:U540),$U$2:$U$1001,0),0), INDEX($AB$1004:$AQ$1004,1,MATCH(COLUMNS($AB$1006:AM1006),$AB$1006:$AQ$1006,0)))),"Fix")))</f>
        <v>0</v>
      </c>
      <c r="N540" s="5">
        <f>IF(OR(INDEX($V$2:$V$1001,MATCH(ROWS($U$2:U540),$U$2:$U$1001,0),1)&gt;=100000,INDEX($AB$1005:$AQ$1005,1,MATCH(COLUMNS($AB$1006:AN1006),$AB$1006:$AQ$1006,0))&gt;=100000), " ",IF(INDEX($AB$2:$AQ$1001,MATCH(ROWS($U$2:U540),$U$2:$U$1001,0),MATCH(COLUMNS($AB$1006:AN1006),$AB$1006:$AQ$1006,0)), HYPERLINK("#",""), HYPERLINK(CONCATENATE("#Metadata!", ADDRESS(INDEX($W$2:$W$1001,MATCH(ROWS($U$2:U540),$U$2:$U$1001,0),0), INDEX($AB$1004:$AQ$1004,1,MATCH(COLUMNS($AB$1006:AN1006),$AB$1006:$AQ$1006,0)))),"Fix")))</f>
        <v>0</v>
      </c>
      <c r="O540" s="5">
        <f>IF(OR(INDEX($V$2:$V$1001,MATCH(ROWS($U$2:U540),$U$2:$U$1001,0),1)&gt;=100000,INDEX($AB$1005:$AQ$1005,1,MATCH(COLUMNS($AB$1006:AO1006),$AB$1006:$AQ$1006,0))&gt;=100000), " ",IF(INDEX($AB$2:$AQ$1001,MATCH(ROWS($U$2:U540),$U$2:$U$1001,0),MATCH(COLUMNS($AB$1006:AO1006),$AB$1006:$AQ$1006,0)), HYPERLINK("#",""), HYPERLINK(CONCATENATE("#Metadata!", ADDRESS(INDEX($W$2:$W$1001,MATCH(ROWS($U$2:U540),$U$2:$U$1001,0),0), INDEX($AB$1004:$AQ$1004,1,MATCH(COLUMNS($AB$1006:AO1006),$AB$1006:$AQ$1006,0)))),"Fix")))</f>
        <v>0</v>
      </c>
      <c r="P540" s="5">
        <f>IF(OR(INDEX($V$2:$V$1001,MATCH(ROWS($U$2:U540),$U$2:$U$1001,0),1)&gt;=100000,INDEX($AB$1005:$AQ$1005,1,MATCH(COLUMNS($AB$1006:AP1006),$AB$1006:$AQ$1006,0))&gt;=100000), " ",IF(INDEX($AB$2:$AQ$1001,MATCH(ROWS($U$2:U540),$U$2:$U$1001,0),MATCH(COLUMNS($AB$1006:AP1006),$AB$1006:$AQ$1006,0)), HYPERLINK("#",""), HYPERLINK(CONCATENATE("#Metadata!", ADDRESS(INDEX($W$2:$W$1001,MATCH(ROWS($U$2:U540),$U$2:$U$1001,0),0), INDEX($AB$1004:$AQ$1004,1,MATCH(COLUMNS($AB$1006:AP1006),$AB$1006:$AQ$1006,0)))),"Fix")))</f>
        <v>0</v>
      </c>
      <c r="Q540" s="5">
        <f>IF(OR(INDEX($V$2:$V$1001,MATCH(ROWS($U$2:U540),$U$2:$U$1001,0),1)&gt;=100000,INDEX($AB$1005:$AQ$1005,1,MATCH(COLUMNS($AB$1006:AQ1006),$AB$1006:$AQ$1006,0))&gt;=100000), " ",IF(INDEX($AB$2:$AQ$1001,MATCH(ROWS($U$2:U540),$U$2:$U$1001,0),MATCH(COLUMNS($AB$1006:AQ1006),$AB$1006:$AQ$1006,0)), HYPERLINK("#",""), HYPERLINK(CONCATENATE("#Metadata!", ADDRESS(INDEX($W$2:$W$1001,MATCH(ROWS($U$2:U540),$U$2:$U$1001,0),0), INDEX($AB$1004:$AQ$1004,1,MATCH(COLUMNS($AB$1006:AQ1006),$AB$1006:$AQ$1006,0)))),"Fix")))</f>
        <v>0</v>
      </c>
      <c r="U540">
        <v>0</v>
      </c>
      <c r="V540">
        <v>0</v>
      </c>
      <c r="W540">
        <v>0</v>
      </c>
      <c r="X540">
        <f>IF(Y540,TRUE,AND(AB540:AQ540))</f>
        <v>0</v>
      </c>
      <c r="Y540">
        <f>COUNTBLANK(Metadata!B540:Q540)=COLUMNS(Metadata!B540:Q540)</f>
        <v>0</v>
      </c>
      <c r="Z540">
        <v>0</v>
      </c>
      <c r="AB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AC540">
        <f>AND(IF(Metadata!C540="",FALSE,TRUE),exact(Metadata!C540,"urban biome"))</f>
        <v>0</v>
      </c>
      <c r="AD540">
        <f>AND(IF(Metadata!D540="",FALSE,TRUE),exact(Metadata!D540,"human-associated habitat"))</f>
        <v>0</v>
      </c>
      <c r="AE540">
        <f>AND(IF(Metadata!E540="",FALSE,TRUE),OR(exact(Metadata!E540,"human-associated"),exact(Metadata!E540,"human-skin"),exact(Metadata!E540,"human-oral"),exact(Metadata!E540,"human-gut"),exact(Metadata!E540,"human-vaginal")))</f>
        <v>0</v>
      </c>
      <c r="AF540">
        <f>AND(IF(Metadata!F540="",FALSE,ISNUMBER(VALUE(Metadata!F540))),Metadata!F540&gt;0)</f>
        <v>0</v>
      </c>
      <c r="AG540">
        <f>AND(IF(Metadata!G540="",FALSE,TRUE),exact(Metadata!G540,"years"))</f>
        <v>0</v>
      </c>
      <c r="AH540">
        <f>OR(AND(IF(Metadata!H540="",FALSE,TRUE),OR(exact(Metadata!H540,"not applicable"),exact(Metadata!H540,"not collected"),exact(Metadata!H540,"not provided"),exact(Metadata!H540,"restricted access"))),AND(IF(Metadata!H540="",FALSE,ISNUMBER(VALUE(Metadata!H540))),Metadata!H540&gt;0))</f>
        <v>0</v>
      </c>
      <c r="AI540">
        <f>AND(IF(Metadata!I540="",FALSE,TRUE),exact(Metadata!I540,"human"))</f>
        <v>0</v>
      </c>
      <c r="AJ540">
        <f>AND(IF(Metadata!J540="",FALSE,ISNUMBER(VALUE(Metadata!J540))),Metadata!J540&gt;0)</f>
        <v>0</v>
      </c>
      <c r="AK540">
        <f>AND(IF(Metadata!K540="",FALSE,TRUE),exact(Metadata!K540,"cm"))</f>
        <v>0</v>
      </c>
      <c r="AL540">
        <f>AND(IF(Metadata!L540="",FALSE,TRUE),exact(Metadata!L540,"Homo sapiens"))</f>
        <v>0</v>
      </c>
      <c r="AM540">
        <f>AND(IF(Metadata!M540="",FALSE,TRUE),exact(Metadata!M540,"9606"))</f>
        <v>0</v>
      </c>
      <c r="AN540">
        <f>AND(IF(Metadata!N540="",FALSE,ISNUMBER(VALUE(Metadata!N540))),Metadata!N540&gt;0)</f>
        <v>0</v>
      </c>
      <c r="AO540">
        <f>AND(IF(Metadata!O540="",FALSE,TRUE),exact(Metadata!O540,"kg"))</f>
        <v>0</v>
      </c>
      <c r="AP540">
        <f>OR(AND(IF(Metadata!P540="",FALSE,TRUE),exact(Metadata!P540,"not provided")),IF(Metadata!P540="",FALSE,TRUE))</f>
        <v>0</v>
      </c>
      <c r="AQ540">
        <f>OR(AND(IF(Metadata!Q540="",FALSE,TRUE),exact(Metadata!Q540,"not provided")),IF(Metadata!Q540="",FALSE,TRUE))</f>
        <v>0</v>
      </c>
    </row>
    <row r="541" spans="1:43">
      <c r="A541" s="4">
        <f>IF(B541=" "," ",HYPERLINK(CONCATENATE("#metadata!",ADDRESS(INDEX($W$2:$W$1001,MATCH(ROWS($U$2:U541),$U$2:$U$1001,0),0),2)),INDEX($Z$2:$Z$1001,MATCH(ROWS($U$2:U541),$U$2:$U$1001,0),0)))</f>
        <v>0</v>
      </c>
      <c r="B541" s="5">
        <f>IF(OR(INDEX($V$2:$V$1001,MATCH(ROWS($U$2:U541),$U$2:$U$1001,0),1)&gt;=100000,INDEX($AB$1005:$AQ$1005,1,MATCH(COLUMNS($AB$1006:AB1006),$AB$1006:$AQ$1006,0))&gt;=100000), " ",IF(INDEX($AB$2:$AQ$1001,MATCH(ROWS($U$2:U541),$U$2:$U$1001,0),MATCH(COLUMNS($AB$1006:AB1006),$AB$1006:$AQ$1006,0)), HYPERLINK("#",""), HYPERLINK(CONCATENATE("#Metadata!", ADDRESS(INDEX($W$2:$W$1001,MATCH(ROWS($U$2:U541),$U$2:$U$1001,0),0), INDEX($AB$1004:$AQ$1004,1,MATCH(COLUMNS($AB$1006:AB1006),$AB$1006:$AQ$1006,0)))),"Fix")))</f>
        <v>0</v>
      </c>
      <c r="C541" s="5">
        <f>IF(OR(INDEX($V$2:$V$1001,MATCH(ROWS($U$2:U541),$U$2:$U$1001,0),1)&gt;=100000,INDEX($AB$1005:$AQ$1005,1,MATCH(COLUMNS($AB$1006:AC1006),$AB$1006:$AQ$1006,0))&gt;=100000), " ",IF(INDEX($AB$2:$AQ$1001,MATCH(ROWS($U$2:U541),$U$2:$U$1001,0),MATCH(COLUMNS($AB$1006:AC1006),$AB$1006:$AQ$1006,0)), HYPERLINK("#",""), HYPERLINK(CONCATENATE("#Metadata!", ADDRESS(INDEX($W$2:$W$1001,MATCH(ROWS($U$2:U541),$U$2:$U$1001,0),0), INDEX($AB$1004:$AQ$1004,1,MATCH(COLUMNS($AB$1006:AC1006),$AB$1006:$AQ$1006,0)))),"Fix")))</f>
        <v>0</v>
      </c>
      <c r="D541" s="5">
        <f>IF(OR(INDEX($V$2:$V$1001,MATCH(ROWS($U$2:U541),$U$2:$U$1001,0),1)&gt;=100000,INDEX($AB$1005:$AQ$1005,1,MATCH(COLUMNS($AB$1006:AD1006),$AB$1006:$AQ$1006,0))&gt;=100000), " ",IF(INDEX($AB$2:$AQ$1001,MATCH(ROWS($U$2:U541),$U$2:$U$1001,0),MATCH(COLUMNS($AB$1006:AD1006),$AB$1006:$AQ$1006,0)), HYPERLINK("#",""), HYPERLINK(CONCATENATE("#Metadata!", ADDRESS(INDEX($W$2:$W$1001,MATCH(ROWS($U$2:U541),$U$2:$U$1001,0),0), INDEX($AB$1004:$AQ$1004,1,MATCH(COLUMNS($AB$1006:AD1006),$AB$1006:$AQ$1006,0)))),"Fix")))</f>
        <v>0</v>
      </c>
      <c r="E541" s="5">
        <f>IF(OR(INDEX($V$2:$V$1001,MATCH(ROWS($U$2:U541),$U$2:$U$1001,0),1)&gt;=100000,INDEX($AB$1005:$AQ$1005,1,MATCH(COLUMNS($AB$1006:AE1006),$AB$1006:$AQ$1006,0))&gt;=100000), " ",IF(INDEX($AB$2:$AQ$1001,MATCH(ROWS($U$2:U541),$U$2:$U$1001,0),MATCH(COLUMNS($AB$1006:AE1006),$AB$1006:$AQ$1006,0)), HYPERLINK("#",""), HYPERLINK(CONCATENATE("#Metadata!", ADDRESS(INDEX($W$2:$W$1001,MATCH(ROWS($U$2:U541),$U$2:$U$1001,0),0), INDEX($AB$1004:$AQ$1004,1,MATCH(COLUMNS($AB$1006:AE1006),$AB$1006:$AQ$1006,0)))),"Fix")))</f>
        <v>0</v>
      </c>
      <c r="F541" s="5">
        <f>IF(OR(INDEX($V$2:$V$1001,MATCH(ROWS($U$2:U541),$U$2:$U$1001,0),1)&gt;=100000,INDEX($AB$1005:$AQ$1005,1,MATCH(COLUMNS($AB$1006:AF1006),$AB$1006:$AQ$1006,0))&gt;=100000), " ",IF(INDEX($AB$2:$AQ$1001,MATCH(ROWS($U$2:U541),$U$2:$U$1001,0),MATCH(COLUMNS($AB$1006:AF1006),$AB$1006:$AQ$1006,0)), HYPERLINK("#",""), HYPERLINK(CONCATENATE("#Metadata!", ADDRESS(INDEX($W$2:$W$1001,MATCH(ROWS($U$2:U541),$U$2:$U$1001,0),0), INDEX($AB$1004:$AQ$1004,1,MATCH(COLUMNS($AB$1006:AF1006),$AB$1006:$AQ$1006,0)))),"Fix")))</f>
        <v>0</v>
      </c>
      <c r="G541" s="5">
        <f>IF(OR(INDEX($V$2:$V$1001,MATCH(ROWS($U$2:U541),$U$2:$U$1001,0),1)&gt;=100000,INDEX($AB$1005:$AQ$1005,1,MATCH(COLUMNS($AB$1006:AG1006),$AB$1006:$AQ$1006,0))&gt;=100000), " ",IF(INDEX($AB$2:$AQ$1001,MATCH(ROWS($U$2:U541),$U$2:$U$1001,0),MATCH(COLUMNS($AB$1006:AG1006),$AB$1006:$AQ$1006,0)), HYPERLINK("#",""), HYPERLINK(CONCATENATE("#Metadata!", ADDRESS(INDEX($W$2:$W$1001,MATCH(ROWS($U$2:U541),$U$2:$U$1001,0),0), INDEX($AB$1004:$AQ$1004,1,MATCH(COLUMNS($AB$1006:AG1006),$AB$1006:$AQ$1006,0)))),"Fix")))</f>
        <v>0</v>
      </c>
      <c r="H541" s="5">
        <f>IF(OR(INDEX($V$2:$V$1001,MATCH(ROWS($U$2:U541),$U$2:$U$1001,0),1)&gt;=100000,INDEX($AB$1005:$AQ$1005,1,MATCH(COLUMNS($AB$1006:AH1006),$AB$1006:$AQ$1006,0))&gt;=100000), " ",IF(INDEX($AB$2:$AQ$1001,MATCH(ROWS($U$2:U541),$U$2:$U$1001,0),MATCH(COLUMNS($AB$1006:AH1006),$AB$1006:$AQ$1006,0)), HYPERLINK("#",""), HYPERLINK(CONCATENATE("#Metadata!", ADDRESS(INDEX($W$2:$W$1001,MATCH(ROWS($U$2:U541),$U$2:$U$1001,0),0), INDEX($AB$1004:$AQ$1004,1,MATCH(COLUMNS($AB$1006:AH1006),$AB$1006:$AQ$1006,0)))),"Fix")))</f>
        <v>0</v>
      </c>
      <c r="I541" s="5">
        <f>IF(OR(INDEX($V$2:$V$1001,MATCH(ROWS($U$2:U541),$U$2:$U$1001,0),1)&gt;=100000,INDEX($AB$1005:$AQ$1005,1,MATCH(COLUMNS($AB$1006:AI1006),$AB$1006:$AQ$1006,0))&gt;=100000), " ",IF(INDEX($AB$2:$AQ$1001,MATCH(ROWS($U$2:U541),$U$2:$U$1001,0),MATCH(COLUMNS($AB$1006:AI1006),$AB$1006:$AQ$1006,0)), HYPERLINK("#",""), HYPERLINK(CONCATENATE("#Metadata!", ADDRESS(INDEX($W$2:$W$1001,MATCH(ROWS($U$2:U541),$U$2:$U$1001,0),0), INDEX($AB$1004:$AQ$1004,1,MATCH(COLUMNS($AB$1006:AI1006),$AB$1006:$AQ$1006,0)))),"Fix")))</f>
        <v>0</v>
      </c>
      <c r="J541" s="5">
        <f>IF(OR(INDEX($V$2:$V$1001,MATCH(ROWS($U$2:U541),$U$2:$U$1001,0),1)&gt;=100000,INDEX($AB$1005:$AQ$1005,1,MATCH(COLUMNS($AB$1006:AJ1006),$AB$1006:$AQ$1006,0))&gt;=100000), " ",IF(INDEX($AB$2:$AQ$1001,MATCH(ROWS($U$2:U541),$U$2:$U$1001,0),MATCH(COLUMNS($AB$1006:AJ1006),$AB$1006:$AQ$1006,0)), HYPERLINK("#",""), HYPERLINK(CONCATENATE("#Metadata!", ADDRESS(INDEX($W$2:$W$1001,MATCH(ROWS($U$2:U541),$U$2:$U$1001,0),0), INDEX($AB$1004:$AQ$1004,1,MATCH(COLUMNS($AB$1006:AJ1006),$AB$1006:$AQ$1006,0)))),"Fix")))</f>
        <v>0</v>
      </c>
      <c r="K541" s="5">
        <f>IF(OR(INDEX($V$2:$V$1001,MATCH(ROWS($U$2:U541),$U$2:$U$1001,0),1)&gt;=100000,INDEX($AB$1005:$AQ$1005,1,MATCH(COLUMNS($AB$1006:AK1006),$AB$1006:$AQ$1006,0))&gt;=100000), " ",IF(INDEX($AB$2:$AQ$1001,MATCH(ROWS($U$2:U541),$U$2:$U$1001,0),MATCH(COLUMNS($AB$1006:AK1006),$AB$1006:$AQ$1006,0)), HYPERLINK("#",""), HYPERLINK(CONCATENATE("#Metadata!", ADDRESS(INDEX($W$2:$W$1001,MATCH(ROWS($U$2:U541),$U$2:$U$1001,0),0), INDEX($AB$1004:$AQ$1004,1,MATCH(COLUMNS($AB$1006:AK1006),$AB$1006:$AQ$1006,0)))),"Fix")))</f>
        <v>0</v>
      </c>
      <c r="L541" s="5">
        <f>IF(OR(INDEX($V$2:$V$1001,MATCH(ROWS($U$2:U541),$U$2:$U$1001,0),1)&gt;=100000,INDEX($AB$1005:$AQ$1005,1,MATCH(COLUMNS($AB$1006:AL1006),$AB$1006:$AQ$1006,0))&gt;=100000), " ",IF(INDEX($AB$2:$AQ$1001,MATCH(ROWS($U$2:U541),$U$2:$U$1001,0),MATCH(COLUMNS($AB$1006:AL1006),$AB$1006:$AQ$1006,0)), HYPERLINK("#",""), HYPERLINK(CONCATENATE("#Metadata!", ADDRESS(INDEX($W$2:$W$1001,MATCH(ROWS($U$2:U541),$U$2:$U$1001,0),0), INDEX($AB$1004:$AQ$1004,1,MATCH(COLUMNS($AB$1006:AL1006),$AB$1006:$AQ$1006,0)))),"Fix")))</f>
        <v>0</v>
      </c>
      <c r="M541" s="5">
        <f>IF(OR(INDEX($V$2:$V$1001,MATCH(ROWS($U$2:U541),$U$2:$U$1001,0),1)&gt;=100000,INDEX($AB$1005:$AQ$1005,1,MATCH(COLUMNS($AB$1006:AM1006),$AB$1006:$AQ$1006,0))&gt;=100000), " ",IF(INDEX($AB$2:$AQ$1001,MATCH(ROWS($U$2:U541),$U$2:$U$1001,0),MATCH(COLUMNS($AB$1006:AM1006),$AB$1006:$AQ$1006,0)), HYPERLINK("#",""), HYPERLINK(CONCATENATE("#Metadata!", ADDRESS(INDEX($W$2:$W$1001,MATCH(ROWS($U$2:U541),$U$2:$U$1001,0),0), INDEX($AB$1004:$AQ$1004,1,MATCH(COLUMNS($AB$1006:AM1006),$AB$1006:$AQ$1006,0)))),"Fix")))</f>
        <v>0</v>
      </c>
      <c r="N541" s="5">
        <f>IF(OR(INDEX($V$2:$V$1001,MATCH(ROWS($U$2:U541),$U$2:$U$1001,0),1)&gt;=100000,INDEX($AB$1005:$AQ$1005,1,MATCH(COLUMNS($AB$1006:AN1006),$AB$1006:$AQ$1006,0))&gt;=100000), " ",IF(INDEX($AB$2:$AQ$1001,MATCH(ROWS($U$2:U541),$U$2:$U$1001,0),MATCH(COLUMNS($AB$1006:AN1006),$AB$1006:$AQ$1006,0)), HYPERLINK("#",""), HYPERLINK(CONCATENATE("#Metadata!", ADDRESS(INDEX($W$2:$W$1001,MATCH(ROWS($U$2:U541),$U$2:$U$1001,0),0), INDEX($AB$1004:$AQ$1004,1,MATCH(COLUMNS($AB$1006:AN1006),$AB$1006:$AQ$1006,0)))),"Fix")))</f>
        <v>0</v>
      </c>
      <c r="O541" s="5">
        <f>IF(OR(INDEX($V$2:$V$1001,MATCH(ROWS($U$2:U541),$U$2:$U$1001,0),1)&gt;=100000,INDEX($AB$1005:$AQ$1005,1,MATCH(COLUMNS($AB$1006:AO1006),$AB$1006:$AQ$1006,0))&gt;=100000), " ",IF(INDEX($AB$2:$AQ$1001,MATCH(ROWS($U$2:U541),$U$2:$U$1001,0),MATCH(COLUMNS($AB$1006:AO1006),$AB$1006:$AQ$1006,0)), HYPERLINK("#",""), HYPERLINK(CONCATENATE("#Metadata!", ADDRESS(INDEX($W$2:$W$1001,MATCH(ROWS($U$2:U541),$U$2:$U$1001,0),0), INDEX($AB$1004:$AQ$1004,1,MATCH(COLUMNS($AB$1006:AO1006),$AB$1006:$AQ$1006,0)))),"Fix")))</f>
        <v>0</v>
      </c>
      <c r="P541" s="5">
        <f>IF(OR(INDEX($V$2:$V$1001,MATCH(ROWS($U$2:U541),$U$2:$U$1001,0),1)&gt;=100000,INDEX($AB$1005:$AQ$1005,1,MATCH(COLUMNS($AB$1006:AP1006),$AB$1006:$AQ$1006,0))&gt;=100000), " ",IF(INDEX($AB$2:$AQ$1001,MATCH(ROWS($U$2:U541),$U$2:$U$1001,0),MATCH(COLUMNS($AB$1006:AP1006),$AB$1006:$AQ$1006,0)), HYPERLINK("#",""), HYPERLINK(CONCATENATE("#Metadata!", ADDRESS(INDEX($W$2:$W$1001,MATCH(ROWS($U$2:U541),$U$2:$U$1001,0),0), INDEX($AB$1004:$AQ$1004,1,MATCH(COLUMNS($AB$1006:AP1006),$AB$1006:$AQ$1006,0)))),"Fix")))</f>
        <v>0</v>
      </c>
      <c r="Q541" s="5">
        <f>IF(OR(INDEX($V$2:$V$1001,MATCH(ROWS($U$2:U541),$U$2:$U$1001,0),1)&gt;=100000,INDEX($AB$1005:$AQ$1005,1,MATCH(COLUMNS($AB$1006:AQ1006),$AB$1006:$AQ$1006,0))&gt;=100000), " ",IF(INDEX($AB$2:$AQ$1001,MATCH(ROWS($U$2:U541),$U$2:$U$1001,0),MATCH(COLUMNS($AB$1006:AQ1006),$AB$1006:$AQ$1006,0)), HYPERLINK("#",""), HYPERLINK(CONCATENATE("#Metadata!", ADDRESS(INDEX($W$2:$W$1001,MATCH(ROWS($U$2:U541),$U$2:$U$1001,0),0), INDEX($AB$1004:$AQ$1004,1,MATCH(COLUMNS($AB$1006:AQ1006),$AB$1006:$AQ$1006,0)))),"Fix")))</f>
        <v>0</v>
      </c>
      <c r="U541">
        <v>0</v>
      </c>
      <c r="V541">
        <v>0</v>
      </c>
      <c r="W541">
        <v>0</v>
      </c>
      <c r="X541">
        <f>IF(Y541,TRUE,AND(AB541:AQ541))</f>
        <v>0</v>
      </c>
      <c r="Y541">
        <f>COUNTBLANK(Metadata!B541:Q541)=COLUMNS(Metadata!B541:Q541)</f>
        <v>0</v>
      </c>
      <c r="Z541">
        <v>0</v>
      </c>
      <c r="AB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AC541">
        <f>AND(IF(Metadata!C541="",FALSE,TRUE),exact(Metadata!C541,"urban biome"))</f>
        <v>0</v>
      </c>
      <c r="AD541">
        <f>AND(IF(Metadata!D541="",FALSE,TRUE),exact(Metadata!D541,"human-associated habitat"))</f>
        <v>0</v>
      </c>
      <c r="AE541">
        <f>AND(IF(Metadata!E541="",FALSE,TRUE),OR(exact(Metadata!E541,"human-associated"),exact(Metadata!E541,"human-skin"),exact(Metadata!E541,"human-oral"),exact(Metadata!E541,"human-gut"),exact(Metadata!E541,"human-vaginal")))</f>
        <v>0</v>
      </c>
      <c r="AF541">
        <f>AND(IF(Metadata!F541="",FALSE,ISNUMBER(VALUE(Metadata!F541))),Metadata!F541&gt;0)</f>
        <v>0</v>
      </c>
      <c r="AG541">
        <f>AND(IF(Metadata!G541="",FALSE,TRUE),exact(Metadata!G541,"years"))</f>
        <v>0</v>
      </c>
      <c r="AH541">
        <f>OR(AND(IF(Metadata!H541="",FALSE,TRUE),OR(exact(Metadata!H541,"not applicable"),exact(Metadata!H541,"not collected"),exact(Metadata!H541,"not provided"),exact(Metadata!H541,"restricted access"))),AND(IF(Metadata!H541="",FALSE,ISNUMBER(VALUE(Metadata!H541))),Metadata!H541&gt;0))</f>
        <v>0</v>
      </c>
      <c r="AI541">
        <f>AND(IF(Metadata!I541="",FALSE,TRUE),exact(Metadata!I541,"human"))</f>
        <v>0</v>
      </c>
      <c r="AJ541">
        <f>AND(IF(Metadata!J541="",FALSE,ISNUMBER(VALUE(Metadata!J541))),Metadata!J541&gt;0)</f>
        <v>0</v>
      </c>
      <c r="AK541">
        <f>AND(IF(Metadata!K541="",FALSE,TRUE),exact(Metadata!K541,"cm"))</f>
        <v>0</v>
      </c>
      <c r="AL541">
        <f>AND(IF(Metadata!L541="",FALSE,TRUE),exact(Metadata!L541,"Homo sapiens"))</f>
        <v>0</v>
      </c>
      <c r="AM541">
        <f>AND(IF(Metadata!M541="",FALSE,TRUE),exact(Metadata!M541,"9606"))</f>
        <v>0</v>
      </c>
      <c r="AN541">
        <f>AND(IF(Metadata!N541="",FALSE,ISNUMBER(VALUE(Metadata!N541))),Metadata!N541&gt;0)</f>
        <v>0</v>
      </c>
      <c r="AO541">
        <f>AND(IF(Metadata!O541="",FALSE,TRUE),exact(Metadata!O541,"kg"))</f>
        <v>0</v>
      </c>
      <c r="AP541">
        <f>OR(AND(IF(Metadata!P541="",FALSE,TRUE),exact(Metadata!P541,"not provided")),IF(Metadata!P541="",FALSE,TRUE))</f>
        <v>0</v>
      </c>
      <c r="AQ541">
        <f>OR(AND(IF(Metadata!Q541="",FALSE,TRUE),exact(Metadata!Q541,"not provided")),IF(Metadata!Q541="",FALSE,TRUE))</f>
        <v>0</v>
      </c>
    </row>
    <row r="542" spans="1:43">
      <c r="A542" s="4">
        <f>IF(B542=" "," ",HYPERLINK(CONCATENATE("#metadata!",ADDRESS(INDEX($W$2:$W$1001,MATCH(ROWS($U$2:U542),$U$2:$U$1001,0),0),2)),INDEX($Z$2:$Z$1001,MATCH(ROWS($U$2:U542),$U$2:$U$1001,0),0)))</f>
        <v>0</v>
      </c>
      <c r="B542" s="5">
        <f>IF(OR(INDEX($V$2:$V$1001,MATCH(ROWS($U$2:U542),$U$2:$U$1001,0),1)&gt;=100000,INDEX($AB$1005:$AQ$1005,1,MATCH(COLUMNS($AB$1006:AB1006),$AB$1006:$AQ$1006,0))&gt;=100000), " ",IF(INDEX($AB$2:$AQ$1001,MATCH(ROWS($U$2:U542),$U$2:$U$1001,0),MATCH(COLUMNS($AB$1006:AB1006),$AB$1006:$AQ$1006,0)), HYPERLINK("#",""), HYPERLINK(CONCATENATE("#Metadata!", ADDRESS(INDEX($W$2:$W$1001,MATCH(ROWS($U$2:U542),$U$2:$U$1001,0),0), INDEX($AB$1004:$AQ$1004,1,MATCH(COLUMNS($AB$1006:AB1006),$AB$1006:$AQ$1006,0)))),"Fix")))</f>
        <v>0</v>
      </c>
      <c r="C542" s="5">
        <f>IF(OR(INDEX($V$2:$V$1001,MATCH(ROWS($U$2:U542),$U$2:$U$1001,0),1)&gt;=100000,INDEX($AB$1005:$AQ$1005,1,MATCH(COLUMNS($AB$1006:AC1006),$AB$1006:$AQ$1006,0))&gt;=100000), " ",IF(INDEX($AB$2:$AQ$1001,MATCH(ROWS($U$2:U542),$U$2:$U$1001,0),MATCH(COLUMNS($AB$1006:AC1006),$AB$1006:$AQ$1006,0)), HYPERLINK("#",""), HYPERLINK(CONCATENATE("#Metadata!", ADDRESS(INDEX($W$2:$W$1001,MATCH(ROWS($U$2:U542),$U$2:$U$1001,0),0), INDEX($AB$1004:$AQ$1004,1,MATCH(COLUMNS($AB$1006:AC1006),$AB$1006:$AQ$1006,0)))),"Fix")))</f>
        <v>0</v>
      </c>
      <c r="D542" s="5">
        <f>IF(OR(INDEX($V$2:$V$1001,MATCH(ROWS($U$2:U542),$U$2:$U$1001,0),1)&gt;=100000,INDEX($AB$1005:$AQ$1005,1,MATCH(COLUMNS($AB$1006:AD1006),$AB$1006:$AQ$1006,0))&gt;=100000), " ",IF(INDEX($AB$2:$AQ$1001,MATCH(ROWS($U$2:U542),$U$2:$U$1001,0),MATCH(COLUMNS($AB$1006:AD1006),$AB$1006:$AQ$1006,0)), HYPERLINK("#",""), HYPERLINK(CONCATENATE("#Metadata!", ADDRESS(INDEX($W$2:$W$1001,MATCH(ROWS($U$2:U542),$U$2:$U$1001,0),0), INDEX($AB$1004:$AQ$1004,1,MATCH(COLUMNS($AB$1006:AD1006),$AB$1006:$AQ$1006,0)))),"Fix")))</f>
        <v>0</v>
      </c>
      <c r="E542" s="5">
        <f>IF(OR(INDEX($V$2:$V$1001,MATCH(ROWS($U$2:U542),$U$2:$U$1001,0),1)&gt;=100000,INDEX($AB$1005:$AQ$1005,1,MATCH(COLUMNS($AB$1006:AE1006),$AB$1006:$AQ$1006,0))&gt;=100000), " ",IF(INDEX($AB$2:$AQ$1001,MATCH(ROWS($U$2:U542),$U$2:$U$1001,0),MATCH(COLUMNS($AB$1006:AE1006),$AB$1006:$AQ$1006,0)), HYPERLINK("#",""), HYPERLINK(CONCATENATE("#Metadata!", ADDRESS(INDEX($W$2:$W$1001,MATCH(ROWS($U$2:U542),$U$2:$U$1001,0),0), INDEX($AB$1004:$AQ$1004,1,MATCH(COLUMNS($AB$1006:AE1006),$AB$1006:$AQ$1006,0)))),"Fix")))</f>
        <v>0</v>
      </c>
      <c r="F542" s="5">
        <f>IF(OR(INDEX($V$2:$V$1001,MATCH(ROWS($U$2:U542),$U$2:$U$1001,0),1)&gt;=100000,INDEX($AB$1005:$AQ$1005,1,MATCH(COLUMNS($AB$1006:AF1006),$AB$1006:$AQ$1006,0))&gt;=100000), " ",IF(INDEX($AB$2:$AQ$1001,MATCH(ROWS($U$2:U542),$U$2:$U$1001,0),MATCH(COLUMNS($AB$1006:AF1006),$AB$1006:$AQ$1006,0)), HYPERLINK("#",""), HYPERLINK(CONCATENATE("#Metadata!", ADDRESS(INDEX($W$2:$W$1001,MATCH(ROWS($U$2:U542),$U$2:$U$1001,0),0), INDEX($AB$1004:$AQ$1004,1,MATCH(COLUMNS($AB$1006:AF1006),$AB$1006:$AQ$1006,0)))),"Fix")))</f>
        <v>0</v>
      </c>
      <c r="G542" s="5">
        <f>IF(OR(INDEX($V$2:$V$1001,MATCH(ROWS($U$2:U542),$U$2:$U$1001,0),1)&gt;=100000,INDEX($AB$1005:$AQ$1005,1,MATCH(COLUMNS($AB$1006:AG1006),$AB$1006:$AQ$1006,0))&gt;=100000), " ",IF(INDEX($AB$2:$AQ$1001,MATCH(ROWS($U$2:U542),$U$2:$U$1001,0),MATCH(COLUMNS($AB$1006:AG1006),$AB$1006:$AQ$1006,0)), HYPERLINK("#",""), HYPERLINK(CONCATENATE("#Metadata!", ADDRESS(INDEX($W$2:$W$1001,MATCH(ROWS($U$2:U542),$U$2:$U$1001,0),0), INDEX($AB$1004:$AQ$1004,1,MATCH(COLUMNS($AB$1006:AG1006),$AB$1006:$AQ$1006,0)))),"Fix")))</f>
        <v>0</v>
      </c>
      <c r="H542" s="5">
        <f>IF(OR(INDEX($V$2:$V$1001,MATCH(ROWS($U$2:U542),$U$2:$U$1001,0),1)&gt;=100000,INDEX($AB$1005:$AQ$1005,1,MATCH(COLUMNS($AB$1006:AH1006),$AB$1006:$AQ$1006,0))&gt;=100000), " ",IF(INDEX($AB$2:$AQ$1001,MATCH(ROWS($U$2:U542),$U$2:$U$1001,0),MATCH(COLUMNS($AB$1006:AH1006),$AB$1006:$AQ$1006,0)), HYPERLINK("#",""), HYPERLINK(CONCATENATE("#Metadata!", ADDRESS(INDEX($W$2:$W$1001,MATCH(ROWS($U$2:U542),$U$2:$U$1001,0),0), INDEX($AB$1004:$AQ$1004,1,MATCH(COLUMNS($AB$1006:AH1006),$AB$1006:$AQ$1006,0)))),"Fix")))</f>
        <v>0</v>
      </c>
      <c r="I542" s="5">
        <f>IF(OR(INDEX($V$2:$V$1001,MATCH(ROWS($U$2:U542),$U$2:$U$1001,0),1)&gt;=100000,INDEX($AB$1005:$AQ$1005,1,MATCH(COLUMNS($AB$1006:AI1006),$AB$1006:$AQ$1006,0))&gt;=100000), " ",IF(INDEX($AB$2:$AQ$1001,MATCH(ROWS($U$2:U542),$U$2:$U$1001,0),MATCH(COLUMNS($AB$1006:AI1006),$AB$1006:$AQ$1006,0)), HYPERLINK("#",""), HYPERLINK(CONCATENATE("#Metadata!", ADDRESS(INDEX($W$2:$W$1001,MATCH(ROWS($U$2:U542),$U$2:$U$1001,0),0), INDEX($AB$1004:$AQ$1004,1,MATCH(COLUMNS($AB$1006:AI1006),$AB$1006:$AQ$1006,0)))),"Fix")))</f>
        <v>0</v>
      </c>
      <c r="J542" s="5">
        <f>IF(OR(INDEX($V$2:$V$1001,MATCH(ROWS($U$2:U542),$U$2:$U$1001,0),1)&gt;=100000,INDEX($AB$1005:$AQ$1005,1,MATCH(COLUMNS($AB$1006:AJ1006),$AB$1006:$AQ$1006,0))&gt;=100000), " ",IF(INDEX($AB$2:$AQ$1001,MATCH(ROWS($U$2:U542),$U$2:$U$1001,0),MATCH(COLUMNS($AB$1006:AJ1006),$AB$1006:$AQ$1006,0)), HYPERLINK("#",""), HYPERLINK(CONCATENATE("#Metadata!", ADDRESS(INDEX($W$2:$W$1001,MATCH(ROWS($U$2:U542),$U$2:$U$1001,0),0), INDEX($AB$1004:$AQ$1004,1,MATCH(COLUMNS($AB$1006:AJ1006),$AB$1006:$AQ$1006,0)))),"Fix")))</f>
        <v>0</v>
      </c>
      <c r="K542" s="5">
        <f>IF(OR(INDEX($V$2:$V$1001,MATCH(ROWS($U$2:U542),$U$2:$U$1001,0),1)&gt;=100000,INDEX($AB$1005:$AQ$1005,1,MATCH(COLUMNS($AB$1006:AK1006),$AB$1006:$AQ$1006,0))&gt;=100000), " ",IF(INDEX($AB$2:$AQ$1001,MATCH(ROWS($U$2:U542),$U$2:$U$1001,0),MATCH(COLUMNS($AB$1006:AK1006),$AB$1006:$AQ$1006,0)), HYPERLINK("#",""), HYPERLINK(CONCATENATE("#Metadata!", ADDRESS(INDEX($W$2:$W$1001,MATCH(ROWS($U$2:U542),$U$2:$U$1001,0),0), INDEX($AB$1004:$AQ$1004,1,MATCH(COLUMNS($AB$1006:AK1006),$AB$1006:$AQ$1006,0)))),"Fix")))</f>
        <v>0</v>
      </c>
      <c r="L542" s="5">
        <f>IF(OR(INDEX($V$2:$V$1001,MATCH(ROWS($U$2:U542),$U$2:$U$1001,0),1)&gt;=100000,INDEX($AB$1005:$AQ$1005,1,MATCH(COLUMNS($AB$1006:AL1006),$AB$1006:$AQ$1006,0))&gt;=100000), " ",IF(INDEX($AB$2:$AQ$1001,MATCH(ROWS($U$2:U542),$U$2:$U$1001,0),MATCH(COLUMNS($AB$1006:AL1006),$AB$1006:$AQ$1006,0)), HYPERLINK("#",""), HYPERLINK(CONCATENATE("#Metadata!", ADDRESS(INDEX($W$2:$W$1001,MATCH(ROWS($U$2:U542),$U$2:$U$1001,0),0), INDEX($AB$1004:$AQ$1004,1,MATCH(COLUMNS($AB$1006:AL1006),$AB$1006:$AQ$1006,0)))),"Fix")))</f>
        <v>0</v>
      </c>
      <c r="M542" s="5">
        <f>IF(OR(INDEX($V$2:$V$1001,MATCH(ROWS($U$2:U542),$U$2:$U$1001,0),1)&gt;=100000,INDEX($AB$1005:$AQ$1005,1,MATCH(COLUMNS($AB$1006:AM1006),$AB$1006:$AQ$1006,0))&gt;=100000), " ",IF(INDEX($AB$2:$AQ$1001,MATCH(ROWS($U$2:U542),$U$2:$U$1001,0),MATCH(COLUMNS($AB$1006:AM1006),$AB$1006:$AQ$1006,0)), HYPERLINK("#",""), HYPERLINK(CONCATENATE("#Metadata!", ADDRESS(INDEX($W$2:$W$1001,MATCH(ROWS($U$2:U542),$U$2:$U$1001,0),0), INDEX($AB$1004:$AQ$1004,1,MATCH(COLUMNS($AB$1006:AM1006),$AB$1006:$AQ$1006,0)))),"Fix")))</f>
        <v>0</v>
      </c>
      <c r="N542" s="5">
        <f>IF(OR(INDEX($V$2:$V$1001,MATCH(ROWS($U$2:U542),$U$2:$U$1001,0),1)&gt;=100000,INDEX($AB$1005:$AQ$1005,1,MATCH(COLUMNS($AB$1006:AN1006),$AB$1006:$AQ$1006,0))&gt;=100000), " ",IF(INDEX($AB$2:$AQ$1001,MATCH(ROWS($U$2:U542),$U$2:$U$1001,0),MATCH(COLUMNS($AB$1006:AN1006),$AB$1006:$AQ$1006,0)), HYPERLINK("#",""), HYPERLINK(CONCATENATE("#Metadata!", ADDRESS(INDEX($W$2:$W$1001,MATCH(ROWS($U$2:U542),$U$2:$U$1001,0),0), INDEX($AB$1004:$AQ$1004,1,MATCH(COLUMNS($AB$1006:AN1006),$AB$1006:$AQ$1006,0)))),"Fix")))</f>
        <v>0</v>
      </c>
      <c r="O542" s="5">
        <f>IF(OR(INDEX($V$2:$V$1001,MATCH(ROWS($U$2:U542),$U$2:$U$1001,0),1)&gt;=100000,INDEX($AB$1005:$AQ$1005,1,MATCH(COLUMNS($AB$1006:AO1006),$AB$1006:$AQ$1006,0))&gt;=100000), " ",IF(INDEX($AB$2:$AQ$1001,MATCH(ROWS($U$2:U542),$U$2:$U$1001,0),MATCH(COLUMNS($AB$1006:AO1006),$AB$1006:$AQ$1006,0)), HYPERLINK("#",""), HYPERLINK(CONCATENATE("#Metadata!", ADDRESS(INDEX($W$2:$W$1001,MATCH(ROWS($U$2:U542),$U$2:$U$1001,0),0), INDEX($AB$1004:$AQ$1004,1,MATCH(COLUMNS($AB$1006:AO1006),$AB$1006:$AQ$1006,0)))),"Fix")))</f>
        <v>0</v>
      </c>
      <c r="P542" s="5">
        <f>IF(OR(INDEX($V$2:$V$1001,MATCH(ROWS($U$2:U542),$U$2:$U$1001,0),1)&gt;=100000,INDEX($AB$1005:$AQ$1005,1,MATCH(COLUMNS($AB$1006:AP1006),$AB$1006:$AQ$1006,0))&gt;=100000), " ",IF(INDEX($AB$2:$AQ$1001,MATCH(ROWS($U$2:U542),$U$2:$U$1001,0),MATCH(COLUMNS($AB$1006:AP1006),$AB$1006:$AQ$1006,0)), HYPERLINK("#",""), HYPERLINK(CONCATENATE("#Metadata!", ADDRESS(INDEX($W$2:$W$1001,MATCH(ROWS($U$2:U542),$U$2:$U$1001,0),0), INDEX($AB$1004:$AQ$1004,1,MATCH(COLUMNS($AB$1006:AP1006),$AB$1006:$AQ$1006,0)))),"Fix")))</f>
        <v>0</v>
      </c>
      <c r="Q542" s="5">
        <f>IF(OR(INDEX($V$2:$V$1001,MATCH(ROWS($U$2:U542),$U$2:$U$1001,0),1)&gt;=100000,INDEX($AB$1005:$AQ$1005,1,MATCH(COLUMNS($AB$1006:AQ1006),$AB$1006:$AQ$1006,0))&gt;=100000), " ",IF(INDEX($AB$2:$AQ$1001,MATCH(ROWS($U$2:U542),$U$2:$U$1001,0),MATCH(COLUMNS($AB$1006:AQ1006),$AB$1006:$AQ$1006,0)), HYPERLINK("#",""), HYPERLINK(CONCATENATE("#Metadata!", ADDRESS(INDEX($W$2:$W$1001,MATCH(ROWS($U$2:U542),$U$2:$U$1001,0),0), INDEX($AB$1004:$AQ$1004,1,MATCH(COLUMNS($AB$1006:AQ1006),$AB$1006:$AQ$1006,0)))),"Fix")))</f>
        <v>0</v>
      </c>
      <c r="U542">
        <v>0</v>
      </c>
      <c r="V542">
        <v>0</v>
      </c>
      <c r="W542">
        <v>0</v>
      </c>
      <c r="X542">
        <f>IF(Y542,TRUE,AND(AB542:AQ542))</f>
        <v>0</v>
      </c>
      <c r="Y542">
        <f>COUNTBLANK(Metadata!B542:Q542)=COLUMNS(Metadata!B542:Q542)</f>
        <v>0</v>
      </c>
      <c r="Z542">
        <v>0</v>
      </c>
      <c r="AB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AC542">
        <f>AND(IF(Metadata!C542="",FALSE,TRUE),exact(Metadata!C542,"urban biome"))</f>
        <v>0</v>
      </c>
      <c r="AD542">
        <f>AND(IF(Metadata!D542="",FALSE,TRUE),exact(Metadata!D542,"human-associated habitat"))</f>
        <v>0</v>
      </c>
      <c r="AE542">
        <f>AND(IF(Metadata!E542="",FALSE,TRUE),OR(exact(Metadata!E542,"human-associated"),exact(Metadata!E542,"human-skin"),exact(Metadata!E542,"human-oral"),exact(Metadata!E542,"human-gut"),exact(Metadata!E542,"human-vaginal")))</f>
        <v>0</v>
      </c>
      <c r="AF542">
        <f>AND(IF(Metadata!F542="",FALSE,ISNUMBER(VALUE(Metadata!F542))),Metadata!F542&gt;0)</f>
        <v>0</v>
      </c>
      <c r="AG542">
        <f>AND(IF(Metadata!G542="",FALSE,TRUE),exact(Metadata!G542,"years"))</f>
        <v>0</v>
      </c>
      <c r="AH542">
        <f>OR(AND(IF(Metadata!H542="",FALSE,TRUE),OR(exact(Metadata!H542,"not applicable"),exact(Metadata!H542,"not collected"),exact(Metadata!H542,"not provided"),exact(Metadata!H542,"restricted access"))),AND(IF(Metadata!H542="",FALSE,ISNUMBER(VALUE(Metadata!H542))),Metadata!H542&gt;0))</f>
        <v>0</v>
      </c>
      <c r="AI542">
        <f>AND(IF(Metadata!I542="",FALSE,TRUE),exact(Metadata!I542,"human"))</f>
        <v>0</v>
      </c>
      <c r="AJ542">
        <f>AND(IF(Metadata!J542="",FALSE,ISNUMBER(VALUE(Metadata!J542))),Metadata!J542&gt;0)</f>
        <v>0</v>
      </c>
      <c r="AK542">
        <f>AND(IF(Metadata!K542="",FALSE,TRUE),exact(Metadata!K542,"cm"))</f>
        <v>0</v>
      </c>
      <c r="AL542">
        <f>AND(IF(Metadata!L542="",FALSE,TRUE),exact(Metadata!L542,"Homo sapiens"))</f>
        <v>0</v>
      </c>
      <c r="AM542">
        <f>AND(IF(Metadata!M542="",FALSE,TRUE),exact(Metadata!M542,"9606"))</f>
        <v>0</v>
      </c>
      <c r="AN542">
        <f>AND(IF(Metadata!N542="",FALSE,ISNUMBER(VALUE(Metadata!N542))),Metadata!N542&gt;0)</f>
        <v>0</v>
      </c>
      <c r="AO542">
        <f>AND(IF(Metadata!O542="",FALSE,TRUE),exact(Metadata!O542,"kg"))</f>
        <v>0</v>
      </c>
      <c r="AP542">
        <f>OR(AND(IF(Metadata!P542="",FALSE,TRUE),exact(Metadata!P542,"not provided")),IF(Metadata!P542="",FALSE,TRUE))</f>
        <v>0</v>
      </c>
      <c r="AQ542">
        <f>OR(AND(IF(Metadata!Q542="",FALSE,TRUE),exact(Metadata!Q542,"not provided")),IF(Metadata!Q542="",FALSE,TRUE))</f>
        <v>0</v>
      </c>
    </row>
    <row r="543" spans="1:43">
      <c r="A543" s="4">
        <f>IF(B543=" "," ",HYPERLINK(CONCATENATE("#metadata!",ADDRESS(INDEX($W$2:$W$1001,MATCH(ROWS($U$2:U543),$U$2:$U$1001,0),0),2)),INDEX($Z$2:$Z$1001,MATCH(ROWS($U$2:U543),$U$2:$U$1001,0),0)))</f>
        <v>0</v>
      </c>
      <c r="B543" s="5">
        <f>IF(OR(INDEX($V$2:$V$1001,MATCH(ROWS($U$2:U543),$U$2:$U$1001,0),1)&gt;=100000,INDEX($AB$1005:$AQ$1005,1,MATCH(COLUMNS($AB$1006:AB1006),$AB$1006:$AQ$1006,0))&gt;=100000), " ",IF(INDEX($AB$2:$AQ$1001,MATCH(ROWS($U$2:U543),$U$2:$U$1001,0),MATCH(COLUMNS($AB$1006:AB1006),$AB$1006:$AQ$1006,0)), HYPERLINK("#",""), HYPERLINK(CONCATENATE("#Metadata!", ADDRESS(INDEX($W$2:$W$1001,MATCH(ROWS($U$2:U543),$U$2:$U$1001,0),0), INDEX($AB$1004:$AQ$1004,1,MATCH(COLUMNS($AB$1006:AB1006),$AB$1006:$AQ$1006,0)))),"Fix")))</f>
        <v>0</v>
      </c>
      <c r="C543" s="5">
        <f>IF(OR(INDEX($V$2:$V$1001,MATCH(ROWS($U$2:U543),$U$2:$U$1001,0),1)&gt;=100000,INDEX($AB$1005:$AQ$1005,1,MATCH(COLUMNS($AB$1006:AC1006),$AB$1006:$AQ$1006,0))&gt;=100000), " ",IF(INDEX($AB$2:$AQ$1001,MATCH(ROWS($U$2:U543),$U$2:$U$1001,0),MATCH(COLUMNS($AB$1006:AC1006),$AB$1006:$AQ$1006,0)), HYPERLINK("#",""), HYPERLINK(CONCATENATE("#Metadata!", ADDRESS(INDEX($W$2:$W$1001,MATCH(ROWS($U$2:U543),$U$2:$U$1001,0),0), INDEX($AB$1004:$AQ$1004,1,MATCH(COLUMNS($AB$1006:AC1006),$AB$1006:$AQ$1006,0)))),"Fix")))</f>
        <v>0</v>
      </c>
      <c r="D543" s="5">
        <f>IF(OR(INDEX($V$2:$V$1001,MATCH(ROWS($U$2:U543),$U$2:$U$1001,0),1)&gt;=100000,INDEX($AB$1005:$AQ$1005,1,MATCH(COLUMNS($AB$1006:AD1006),$AB$1006:$AQ$1006,0))&gt;=100000), " ",IF(INDEX($AB$2:$AQ$1001,MATCH(ROWS($U$2:U543),$U$2:$U$1001,0),MATCH(COLUMNS($AB$1006:AD1006),$AB$1006:$AQ$1006,0)), HYPERLINK("#",""), HYPERLINK(CONCATENATE("#Metadata!", ADDRESS(INDEX($W$2:$W$1001,MATCH(ROWS($U$2:U543),$U$2:$U$1001,0),0), INDEX($AB$1004:$AQ$1004,1,MATCH(COLUMNS($AB$1006:AD1006),$AB$1006:$AQ$1006,0)))),"Fix")))</f>
        <v>0</v>
      </c>
      <c r="E543" s="5">
        <f>IF(OR(INDEX($V$2:$V$1001,MATCH(ROWS($U$2:U543),$U$2:$U$1001,0),1)&gt;=100000,INDEX($AB$1005:$AQ$1005,1,MATCH(COLUMNS($AB$1006:AE1006),$AB$1006:$AQ$1006,0))&gt;=100000), " ",IF(INDEX($AB$2:$AQ$1001,MATCH(ROWS($U$2:U543),$U$2:$U$1001,0),MATCH(COLUMNS($AB$1006:AE1006),$AB$1006:$AQ$1006,0)), HYPERLINK("#",""), HYPERLINK(CONCATENATE("#Metadata!", ADDRESS(INDEX($W$2:$W$1001,MATCH(ROWS($U$2:U543),$U$2:$U$1001,0),0), INDEX($AB$1004:$AQ$1004,1,MATCH(COLUMNS($AB$1006:AE1006),$AB$1006:$AQ$1006,0)))),"Fix")))</f>
        <v>0</v>
      </c>
      <c r="F543" s="5">
        <f>IF(OR(INDEX($V$2:$V$1001,MATCH(ROWS($U$2:U543),$U$2:$U$1001,0),1)&gt;=100000,INDEX($AB$1005:$AQ$1005,1,MATCH(COLUMNS($AB$1006:AF1006),$AB$1006:$AQ$1006,0))&gt;=100000), " ",IF(INDEX($AB$2:$AQ$1001,MATCH(ROWS($U$2:U543),$U$2:$U$1001,0),MATCH(COLUMNS($AB$1006:AF1006),$AB$1006:$AQ$1006,0)), HYPERLINK("#",""), HYPERLINK(CONCATENATE("#Metadata!", ADDRESS(INDEX($W$2:$W$1001,MATCH(ROWS($U$2:U543),$U$2:$U$1001,0),0), INDEX($AB$1004:$AQ$1004,1,MATCH(COLUMNS($AB$1006:AF1006),$AB$1006:$AQ$1006,0)))),"Fix")))</f>
        <v>0</v>
      </c>
      <c r="G543" s="5">
        <f>IF(OR(INDEX($V$2:$V$1001,MATCH(ROWS($U$2:U543),$U$2:$U$1001,0),1)&gt;=100000,INDEX($AB$1005:$AQ$1005,1,MATCH(COLUMNS($AB$1006:AG1006),$AB$1006:$AQ$1006,0))&gt;=100000), " ",IF(INDEX($AB$2:$AQ$1001,MATCH(ROWS($U$2:U543),$U$2:$U$1001,0),MATCH(COLUMNS($AB$1006:AG1006),$AB$1006:$AQ$1006,0)), HYPERLINK("#",""), HYPERLINK(CONCATENATE("#Metadata!", ADDRESS(INDEX($W$2:$W$1001,MATCH(ROWS($U$2:U543),$U$2:$U$1001,0),0), INDEX($AB$1004:$AQ$1004,1,MATCH(COLUMNS($AB$1006:AG1006),$AB$1006:$AQ$1006,0)))),"Fix")))</f>
        <v>0</v>
      </c>
      <c r="H543" s="5">
        <f>IF(OR(INDEX($V$2:$V$1001,MATCH(ROWS($U$2:U543),$U$2:$U$1001,0),1)&gt;=100000,INDEX($AB$1005:$AQ$1005,1,MATCH(COLUMNS($AB$1006:AH1006),$AB$1006:$AQ$1006,0))&gt;=100000), " ",IF(INDEX($AB$2:$AQ$1001,MATCH(ROWS($U$2:U543),$U$2:$U$1001,0),MATCH(COLUMNS($AB$1006:AH1006),$AB$1006:$AQ$1006,0)), HYPERLINK("#",""), HYPERLINK(CONCATENATE("#Metadata!", ADDRESS(INDEX($W$2:$W$1001,MATCH(ROWS($U$2:U543),$U$2:$U$1001,0),0), INDEX($AB$1004:$AQ$1004,1,MATCH(COLUMNS($AB$1006:AH1006),$AB$1006:$AQ$1006,0)))),"Fix")))</f>
        <v>0</v>
      </c>
      <c r="I543" s="5">
        <f>IF(OR(INDEX($V$2:$V$1001,MATCH(ROWS($U$2:U543),$U$2:$U$1001,0),1)&gt;=100000,INDEX($AB$1005:$AQ$1005,1,MATCH(COLUMNS($AB$1006:AI1006),$AB$1006:$AQ$1006,0))&gt;=100000), " ",IF(INDEX($AB$2:$AQ$1001,MATCH(ROWS($U$2:U543),$U$2:$U$1001,0),MATCH(COLUMNS($AB$1006:AI1006),$AB$1006:$AQ$1006,0)), HYPERLINK("#",""), HYPERLINK(CONCATENATE("#Metadata!", ADDRESS(INDEX($W$2:$W$1001,MATCH(ROWS($U$2:U543),$U$2:$U$1001,0),0), INDEX($AB$1004:$AQ$1004,1,MATCH(COLUMNS($AB$1006:AI1006),$AB$1006:$AQ$1006,0)))),"Fix")))</f>
        <v>0</v>
      </c>
      <c r="J543" s="5">
        <f>IF(OR(INDEX($V$2:$V$1001,MATCH(ROWS($U$2:U543),$U$2:$U$1001,0),1)&gt;=100000,INDEX($AB$1005:$AQ$1005,1,MATCH(COLUMNS($AB$1006:AJ1006),$AB$1006:$AQ$1006,0))&gt;=100000), " ",IF(INDEX($AB$2:$AQ$1001,MATCH(ROWS($U$2:U543),$U$2:$U$1001,0),MATCH(COLUMNS($AB$1006:AJ1006),$AB$1006:$AQ$1006,0)), HYPERLINK("#",""), HYPERLINK(CONCATENATE("#Metadata!", ADDRESS(INDEX($W$2:$W$1001,MATCH(ROWS($U$2:U543),$U$2:$U$1001,0),0), INDEX($AB$1004:$AQ$1004,1,MATCH(COLUMNS($AB$1006:AJ1006),$AB$1006:$AQ$1006,0)))),"Fix")))</f>
        <v>0</v>
      </c>
      <c r="K543" s="5">
        <f>IF(OR(INDEX($V$2:$V$1001,MATCH(ROWS($U$2:U543),$U$2:$U$1001,0),1)&gt;=100000,INDEX($AB$1005:$AQ$1005,1,MATCH(COLUMNS($AB$1006:AK1006),$AB$1006:$AQ$1006,0))&gt;=100000), " ",IF(INDEX($AB$2:$AQ$1001,MATCH(ROWS($U$2:U543),$U$2:$U$1001,0),MATCH(COLUMNS($AB$1006:AK1006),$AB$1006:$AQ$1006,0)), HYPERLINK("#",""), HYPERLINK(CONCATENATE("#Metadata!", ADDRESS(INDEX($W$2:$W$1001,MATCH(ROWS($U$2:U543),$U$2:$U$1001,0),0), INDEX($AB$1004:$AQ$1004,1,MATCH(COLUMNS($AB$1006:AK1006),$AB$1006:$AQ$1006,0)))),"Fix")))</f>
        <v>0</v>
      </c>
      <c r="L543" s="5">
        <f>IF(OR(INDEX($V$2:$V$1001,MATCH(ROWS($U$2:U543),$U$2:$U$1001,0),1)&gt;=100000,INDEX($AB$1005:$AQ$1005,1,MATCH(COLUMNS($AB$1006:AL1006),$AB$1006:$AQ$1006,0))&gt;=100000), " ",IF(INDEX($AB$2:$AQ$1001,MATCH(ROWS($U$2:U543),$U$2:$U$1001,0),MATCH(COLUMNS($AB$1006:AL1006),$AB$1006:$AQ$1006,0)), HYPERLINK("#",""), HYPERLINK(CONCATENATE("#Metadata!", ADDRESS(INDEX($W$2:$W$1001,MATCH(ROWS($U$2:U543),$U$2:$U$1001,0),0), INDEX($AB$1004:$AQ$1004,1,MATCH(COLUMNS($AB$1006:AL1006),$AB$1006:$AQ$1006,0)))),"Fix")))</f>
        <v>0</v>
      </c>
      <c r="M543" s="5">
        <f>IF(OR(INDEX($V$2:$V$1001,MATCH(ROWS($U$2:U543),$U$2:$U$1001,0),1)&gt;=100000,INDEX($AB$1005:$AQ$1005,1,MATCH(COLUMNS($AB$1006:AM1006),$AB$1006:$AQ$1006,0))&gt;=100000), " ",IF(INDEX($AB$2:$AQ$1001,MATCH(ROWS($U$2:U543),$U$2:$U$1001,0),MATCH(COLUMNS($AB$1006:AM1006),$AB$1006:$AQ$1006,0)), HYPERLINK("#",""), HYPERLINK(CONCATENATE("#Metadata!", ADDRESS(INDEX($W$2:$W$1001,MATCH(ROWS($U$2:U543),$U$2:$U$1001,0),0), INDEX($AB$1004:$AQ$1004,1,MATCH(COLUMNS($AB$1006:AM1006),$AB$1006:$AQ$1006,0)))),"Fix")))</f>
        <v>0</v>
      </c>
      <c r="N543" s="5">
        <f>IF(OR(INDEX($V$2:$V$1001,MATCH(ROWS($U$2:U543),$U$2:$U$1001,0),1)&gt;=100000,INDEX($AB$1005:$AQ$1005,1,MATCH(COLUMNS($AB$1006:AN1006),$AB$1006:$AQ$1006,0))&gt;=100000), " ",IF(INDEX($AB$2:$AQ$1001,MATCH(ROWS($U$2:U543),$U$2:$U$1001,0),MATCH(COLUMNS($AB$1006:AN1006),$AB$1006:$AQ$1006,0)), HYPERLINK("#",""), HYPERLINK(CONCATENATE("#Metadata!", ADDRESS(INDEX($W$2:$W$1001,MATCH(ROWS($U$2:U543),$U$2:$U$1001,0),0), INDEX($AB$1004:$AQ$1004,1,MATCH(COLUMNS($AB$1006:AN1006),$AB$1006:$AQ$1006,0)))),"Fix")))</f>
        <v>0</v>
      </c>
      <c r="O543" s="5">
        <f>IF(OR(INDEX($V$2:$V$1001,MATCH(ROWS($U$2:U543),$U$2:$U$1001,0),1)&gt;=100000,INDEX($AB$1005:$AQ$1005,1,MATCH(COLUMNS($AB$1006:AO1006),$AB$1006:$AQ$1006,0))&gt;=100000), " ",IF(INDEX($AB$2:$AQ$1001,MATCH(ROWS($U$2:U543),$U$2:$U$1001,0),MATCH(COLUMNS($AB$1006:AO1006),$AB$1006:$AQ$1006,0)), HYPERLINK("#",""), HYPERLINK(CONCATENATE("#Metadata!", ADDRESS(INDEX($W$2:$W$1001,MATCH(ROWS($U$2:U543),$U$2:$U$1001,0),0), INDEX($AB$1004:$AQ$1004,1,MATCH(COLUMNS($AB$1006:AO1006),$AB$1006:$AQ$1006,0)))),"Fix")))</f>
        <v>0</v>
      </c>
      <c r="P543" s="5">
        <f>IF(OR(INDEX($V$2:$V$1001,MATCH(ROWS($U$2:U543),$U$2:$U$1001,0),1)&gt;=100000,INDEX($AB$1005:$AQ$1005,1,MATCH(COLUMNS($AB$1006:AP1006),$AB$1006:$AQ$1006,0))&gt;=100000), " ",IF(INDEX($AB$2:$AQ$1001,MATCH(ROWS($U$2:U543),$U$2:$U$1001,0),MATCH(COLUMNS($AB$1006:AP1006),$AB$1006:$AQ$1006,0)), HYPERLINK("#",""), HYPERLINK(CONCATENATE("#Metadata!", ADDRESS(INDEX($W$2:$W$1001,MATCH(ROWS($U$2:U543),$U$2:$U$1001,0),0), INDEX($AB$1004:$AQ$1004,1,MATCH(COLUMNS($AB$1006:AP1006),$AB$1006:$AQ$1006,0)))),"Fix")))</f>
        <v>0</v>
      </c>
      <c r="Q543" s="5">
        <f>IF(OR(INDEX($V$2:$V$1001,MATCH(ROWS($U$2:U543),$U$2:$U$1001,0),1)&gt;=100000,INDEX($AB$1005:$AQ$1005,1,MATCH(COLUMNS($AB$1006:AQ1006),$AB$1006:$AQ$1006,0))&gt;=100000), " ",IF(INDEX($AB$2:$AQ$1001,MATCH(ROWS($U$2:U543),$U$2:$U$1001,0),MATCH(COLUMNS($AB$1006:AQ1006),$AB$1006:$AQ$1006,0)), HYPERLINK("#",""), HYPERLINK(CONCATENATE("#Metadata!", ADDRESS(INDEX($W$2:$W$1001,MATCH(ROWS($U$2:U543),$U$2:$U$1001,0),0), INDEX($AB$1004:$AQ$1004,1,MATCH(COLUMNS($AB$1006:AQ1006),$AB$1006:$AQ$1006,0)))),"Fix")))</f>
        <v>0</v>
      </c>
      <c r="U543">
        <v>0</v>
      </c>
      <c r="V543">
        <v>0</v>
      </c>
      <c r="W543">
        <v>0</v>
      </c>
      <c r="X543">
        <f>IF(Y543,TRUE,AND(AB543:AQ543))</f>
        <v>0</v>
      </c>
      <c r="Y543">
        <f>COUNTBLANK(Metadata!B543:Q543)=COLUMNS(Metadata!B543:Q543)</f>
        <v>0</v>
      </c>
      <c r="Z543">
        <v>0</v>
      </c>
      <c r="AB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AC543">
        <f>AND(IF(Metadata!C543="",FALSE,TRUE),exact(Metadata!C543,"urban biome"))</f>
        <v>0</v>
      </c>
      <c r="AD543">
        <f>AND(IF(Metadata!D543="",FALSE,TRUE),exact(Metadata!D543,"human-associated habitat"))</f>
        <v>0</v>
      </c>
      <c r="AE543">
        <f>AND(IF(Metadata!E543="",FALSE,TRUE),OR(exact(Metadata!E543,"human-associated"),exact(Metadata!E543,"human-skin"),exact(Metadata!E543,"human-oral"),exact(Metadata!E543,"human-gut"),exact(Metadata!E543,"human-vaginal")))</f>
        <v>0</v>
      </c>
      <c r="AF543">
        <f>AND(IF(Metadata!F543="",FALSE,ISNUMBER(VALUE(Metadata!F543))),Metadata!F543&gt;0)</f>
        <v>0</v>
      </c>
      <c r="AG543">
        <f>AND(IF(Metadata!G543="",FALSE,TRUE),exact(Metadata!G543,"years"))</f>
        <v>0</v>
      </c>
      <c r="AH543">
        <f>OR(AND(IF(Metadata!H543="",FALSE,TRUE),OR(exact(Metadata!H543,"not applicable"),exact(Metadata!H543,"not collected"),exact(Metadata!H543,"not provided"),exact(Metadata!H543,"restricted access"))),AND(IF(Metadata!H543="",FALSE,ISNUMBER(VALUE(Metadata!H543))),Metadata!H543&gt;0))</f>
        <v>0</v>
      </c>
      <c r="AI543">
        <f>AND(IF(Metadata!I543="",FALSE,TRUE),exact(Metadata!I543,"human"))</f>
        <v>0</v>
      </c>
      <c r="AJ543">
        <f>AND(IF(Metadata!J543="",FALSE,ISNUMBER(VALUE(Metadata!J543))),Metadata!J543&gt;0)</f>
        <v>0</v>
      </c>
      <c r="AK543">
        <f>AND(IF(Metadata!K543="",FALSE,TRUE),exact(Metadata!K543,"cm"))</f>
        <v>0</v>
      </c>
      <c r="AL543">
        <f>AND(IF(Metadata!L543="",FALSE,TRUE),exact(Metadata!L543,"Homo sapiens"))</f>
        <v>0</v>
      </c>
      <c r="AM543">
        <f>AND(IF(Metadata!M543="",FALSE,TRUE),exact(Metadata!M543,"9606"))</f>
        <v>0</v>
      </c>
      <c r="AN543">
        <f>AND(IF(Metadata!N543="",FALSE,ISNUMBER(VALUE(Metadata!N543))),Metadata!N543&gt;0)</f>
        <v>0</v>
      </c>
      <c r="AO543">
        <f>AND(IF(Metadata!O543="",FALSE,TRUE),exact(Metadata!O543,"kg"))</f>
        <v>0</v>
      </c>
      <c r="AP543">
        <f>OR(AND(IF(Metadata!P543="",FALSE,TRUE),exact(Metadata!P543,"not provided")),IF(Metadata!P543="",FALSE,TRUE))</f>
        <v>0</v>
      </c>
      <c r="AQ543">
        <f>OR(AND(IF(Metadata!Q543="",FALSE,TRUE),exact(Metadata!Q543,"not provided")),IF(Metadata!Q543="",FALSE,TRUE))</f>
        <v>0</v>
      </c>
    </row>
    <row r="544" spans="1:43">
      <c r="A544" s="4">
        <f>IF(B544=" "," ",HYPERLINK(CONCATENATE("#metadata!",ADDRESS(INDEX($W$2:$W$1001,MATCH(ROWS($U$2:U544),$U$2:$U$1001,0),0),2)),INDEX($Z$2:$Z$1001,MATCH(ROWS($U$2:U544),$U$2:$U$1001,0),0)))</f>
        <v>0</v>
      </c>
      <c r="B544" s="5">
        <f>IF(OR(INDEX($V$2:$V$1001,MATCH(ROWS($U$2:U544),$U$2:$U$1001,0),1)&gt;=100000,INDEX($AB$1005:$AQ$1005,1,MATCH(COLUMNS($AB$1006:AB1006),$AB$1006:$AQ$1006,0))&gt;=100000), " ",IF(INDEX($AB$2:$AQ$1001,MATCH(ROWS($U$2:U544),$U$2:$U$1001,0),MATCH(COLUMNS($AB$1006:AB1006),$AB$1006:$AQ$1006,0)), HYPERLINK("#",""), HYPERLINK(CONCATENATE("#Metadata!", ADDRESS(INDEX($W$2:$W$1001,MATCH(ROWS($U$2:U544),$U$2:$U$1001,0),0), INDEX($AB$1004:$AQ$1004,1,MATCH(COLUMNS($AB$1006:AB1006),$AB$1006:$AQ$1006,0)))),"Fix")))</f>
        <v>0</v>
      </c>
      <c r="C544" s="5">
        <f>IF(OR(INDEX($V$2:$V$1001,MATCH(ROWS($U$2:U544),$U$2:$U$1001,0),1)&gt;=100000,INDEX($AB$1005:$AQ$1005,1,MATCH(COLUMNS($AB$1006:AC1006),$AB$1006:$AQ$1006,0))&gt;=100000), " ",IF(INDEX($AB$2:$AQ$1001,MATCH(ROWS($U$2:U544),$U$2:$U$1001,0),MATCH(COLUMNS($AB$1006:AC1006),$AB$1006:$AQ$1006,0)), HYPERLINK("#",""), HYPERLINK(CONCATENATE("#Metadata!", ADDRESS(INDEX($W$2:$W$1001,MATCH(ROWS($U$2:U544),$U$2:$U$1001,0),0), INDEX($AB$1004:$AQ$1004,1,MATCH(COLUMNS($AB$1006:AC1006),$AB$1006:$AQ$1006,0)))),"Fix")))</f>
        <v>0</v>
      </c>
      <c r="D544" s="5">
        <f>IF(OR(INDEX($V$2:$V$1001,MATCH(ROWS($U$2:U544),$U$2:$U$1001,0),1)&gt;=100000,INDEX($AB$1005:$AQ$1005,1,MATCH(COLUMNS($AB$1006:AD1006),$AB$1006:$AQ$1006,0))&gt;=100000), " ",IF(INDEX($AB$2:$AQ$1001,MATCH(ROWS($U$2:U544),$U$2:$U$1001,0),MATCH(COLUMNS($AB$1006:AD1006),$AB$1006:$AQ$1006,0)), HYPERLINK("#",""), HYPERLINK(CONCATENATE("#Metadata!", ADDRESS(INDEX($W$2:$W$1001,MATCH(ROWS($U$2:U544),$U$2:$U$1001,0),0), INDEX($AB$1004:$AQ$1004,1,MATCH(COLUMNS($AB$1006:AD1006),$AB$1006:$AQ$1006,0)))),"Fix")))</f>
        <v>0</v>
      </c>
      <c r="E544" s="5">
        <f>IF(OR(INDEX($V$2:$V$1001,MATCH(ROWS($U$2:U544),$U$2:$U$1001,0),1)&gt;=100000,INDEX($AB$1005:$AQ$1005,1,MATCH(COLUMNS($AB$1006:AE1006),$AB$1006:$AQ$1006,0))&gt;=100000), " ",IF(INDEX($AB$2:$AQ$1001,MATCH(ROWS($U$2:U544),$U$2:$U$1001,0),MATCH(COLUMNS($AB$1006:AE1006),$AB$1006:$AQ$1006,0)), HYPERLINK("#",""), HYPERLINK(CONCATENATE("#Metadata!", ADDRESS(INDEX($W$2:$W$1001,MATCH(ROWS($U$2:U544),$U$2:$U$1001,0),0), INDEX($AB$1004:$AQ$1004,1,MATCH(COLUMNS($AB$1006:AE1006),$AB$1006:$AQ$1006,0)))),"Fix")))</f>
        <v>0</v>
      </c>
      <c r="F544" s="5">
        <f>IF(OR(INDEX($V$2:$V$1001,MATCH(ROWS($U$2:U544),$U$2:$U$1001,0),1)&gt;=100000,INDEX($AB$1005:$AQ$1005,1,MATCH(COLUMNS($AB$1006:AF1006),$AB$1006:$AQ$1006,0))&gt;=100000), " ",IF(INDEX($AB$2:$AQ$1001,MATCH(ROWS($U$2:U544),$U$2:$U$1001,0),MATCH(COLUMNS($AB$1006:AF1006),$AB$1006:$AQ$1006,0)), HYPERLINK("#",""), HYPERLINK(CONCATENATE("#Metadata!", ADDRESS(INDEX($W$2:$W$1001,MATCH(ROWS($U$2:U544),$U$2:$U$1001,0),0), INDEX($AB$1004:$AQ$1004,1,MATCH(COLUMNS($AB$1006:AF1006),$AB$1006:$AQ$1006,0)))),"Fix")))</f>
        <v>0</v>
      </c>
      <c r="G544" s="5">
        <f>IF(OR(INDEX($V$2:$V$1001,MATCH(ROWS($U$2:U544),$U$2:$U$1001,0),1)&gt;=100000,INDEX($AB$1005:$AQ$1005,1,MATCH(COLUMNS($AB$1006:AG1006),$AB$1006:$AQ$1006,0))&gt;=100000), " ",IF(INDEX($AB$2:$AQ$1001,MATCH(ROWS($U$2:U544),$U$2:$U$1001,0),MATCH(COLUMNS($AB$1006:AG1006),$AB$1006:$AQ$1006,0)), HYPERLINK("#",""), HYPERLINK(CONCATENATE("#Metadata!", ADDRESS(INDEX($W$2:$W$1001,MATCH(ROWS($U$2:U544),$U$2:$U$1001,0),0), INDEX($AB$1004:$AQ$1004,1,MATCH(COLUMNS($AB$1006:AG1006),$AB$1006:$AQ$1006,0)))),"Fix")))</f>
        <v>0</v>
      </c>
      <c r="H544" s="5">
        <f>IF(OR(INDEX($V$2:$V$1001,MATCH(ROWS($U$2:U544),$U$2:$U$1001,0),1)&gt;=100000,INDEX($AB$1005:$AQ$1005,1,MATCH(COLUMNS($AB$1006:AH1006),$AB$1006:$AQ$1006,0))&gt;=100000), " ",IF(INDEX($AB$2:$AQ$1001,MATCH(ROWS($U$2:U544),$U$2:$U$1001,0),MATCH(COLUMNS($AB$1006:AH1006),$AB$1006:$AQ$1006,0)), HYPERLINK("#",""), HYPERLINK(CONCATENATE("#Metadata!", ADDRESS(INDEX($W$2:$W$1001,MATCH(ROWS($U$2:U544),$U$2:$U$1001,0),0), INDEX($AB$1004:$AQ$1004,1,MATCH(COLUMNS($AB$1006:AH1006),$AB$1006:$AQ$1006,0)))),"Fix")))</f>
        <v>0</v>
      </c>
      <c r="I544" s="5">
        <f>IF(OR(INDEX($V$2:$V$1001,MATCH(ROWS($U$2:U544),$U$2:$U$1001,0),1)&gt;=100000,INDEX($AB$1005:$AQ$1005,1,MATCH(COLUMNS($AB$1006:AI1006),$AB$1006:$AQ$1006,0))&gt;=100000), " ",IF(INDEX($AB$2:$AQ$1001,MATCH(ROWS($U$2:U544),$U$2:$U$1001,0),MATCH(COLUMNS($AB$1006:AI1006),$AB$1006:$AQ$1006,0)), HYPERLINK("#",""), HYPERLINK(CONCATENATE("#Metadata!", ADDRESS(INDEX($W$2:$W$1001,MATCH(ROWS($U$2:U544),$U$2:$U$1001,0),0), INDEX($AB$1004:$AQ$1004,1,MATCH(COLUMNS($AB$1006:AI1006),$AB$1006:$AQ$1006,0)))),"Fix")))</f>
        <v>0</v>
      </c>
      <c r="J544" s="5">
        <f>IF(OR(INDEX($V$2:$V$1001,MATCH(ROWS($U$2:U544),$U$2:$U$1001,0),1)&gt;=100000,INDEX($AB$1005:$AQ$1005,1,MATCH(COLUMNS($AB$1006:AJ1006),$AB$1006:$AQ$1006,0))&gt;=100000), " ",IF(INDEX($AB$2:$AQ$1001,MATCH(ROWS($U$2:U544),$U$2:$U$1001,0),MATCH(COLUMNS($AB$1006:AJ1006),$AB$1006:$AQ$1006,0)), HYPERLINK("#",""), HYPERLINK(CONCATENATE("#Metadata!", ADDRESS(INDEX($W$2:$W$1001,MATCH(ROWS($U$2:U544),$U$2:$U$1001,0),0), INDEX($AB$1004:$AQ$1004,1,MATCH(COLUMNS($AB$1006:AJ1006),$AB$1006:$AQ$1006,0)))),"Fix")))</f>
        <v>0</v>
      </c>
      <c r="K544" s="5">
        <f>IF(OR(INDEX($V$2:$V$1001,MATCH(ROWS($U$2:U544),$U$2:$U$1001,0),1)&gt;=100000,INDEX($AB$1005:$AQ$1005,1,MATCH(COLUMNS($AB$1006:AK1006),$AB$1006:$AQ$1006,0))&gt;=100000), " ",IF(INDEX($AB$2:$AQ$1001,MATCH(ROWS($U$2:U544),$U$2:$U$1001,0),MATCH(COLUMNS($AB$1006:AK1006),$AB$1006:$AQ$1006,0)), HYPERLINK("#",""), HYPERLINK(CONCATENATE("#Metadata!", ADDRESS(INDEX($W$2:$W$1001,MATCH(ROWS($U$2:U544),$U$2:$U$1001,0),0), INDEX($AB$1004:$AQ$1004,1,MATCH(COLUMNS($AB$1006:AK1006),$AB$1006:$AQ$1006,0)))),"Fix")))</f>
        <v>0</v>
      </c>
      <c r="L544" s="5">
        <f>IF(OR(INDEX($V$2:$V$1001,MATCH(ROWS($U$2:U544),$U$2:$U$1001,0),1)&gt;=100000,INDEX($AB$1005:$AQ$1005,1,MATCH(COLUMNS($AB$1006:AL1006),$AB$1006:$AQ$1006,0))&gt;=100000), " ",IF(INDEX($AB$2:$AQ$1001,MATCH(ROWS($U$2:U544),$U$2:$U$1001,0),MATCH(COLUMNS($AB$1006:AL1006),$AB$1006:$AQ$1006,0)), HYPERLINK("#",""), HYPERLINK(CONCATENATE("#Metadata!", ADDRESS(INDEX($W$2:$W$1001,MATCH(ROWS($U$2:U544),$U$2:$U$1001,0),0), INDEX($AB$1004:$AQ$1004,1,MATCH(COLUMNS($AB$1006:AL1006),$AB$1006:$AQ$1006,0)))),"Fix")))</f>
        <v>0</v>
      </c>
      <c r="M544" s="5">
        <f>IF(OR(INDEX($V$2:$V$1001,MATCH(ROWS($U$2:U544),$U$2:$U$1001,0),1)&gt;=100000,INDEX($AB$1005:$AQ$1005,1,MATCH(COLUMNS($AB$1006:AM1006),$AB$1006:$AQ$1006,0))&gt;=100000), " ",IF(INDEX($AB$2:$AQ$1001,MATCH(ROWS($U$2:U544),$U$2:$U$1001,0),MATCH(COLUMNS($AB$1006:AM1006),$AB$1006:$AQ$1006,0)), HYPERLINK("#",""), HYPERLINK(CONCATENATE("#Metadata!", ADDRESS(INDEX($W$2:$W$1001,MATCH(ROWS($U$2:U544),$U$2:$U$1001,0),0), INDEX($AB$1004:$AQ$1004,1,MATCH(COLUMNS($AB$1006:AM1006),$AB$1006:$AQ$1006,0)))),"Fix")))</f>
        <v>0</v>
      </c>
      <c r="N544" s="5">
        <f>IF(OR(INDEX($V$2:$V$1001,MATCH(ROWS($U$2:U544),$U$2:$U$1001,0),1)&gt;=100000,INDEX($AB$1005:$AQ$1005,1,MATCH(COLUMNS($AB$1006:AN1006),$AB$1006:$AQ$1006,0))&gt;=100000), " ",IF(INDEX($AB$2:$AQ$1001,MATCH(ROWS($U$2:U544),$U$2:$U$1001,0),MATCH(COLUMNS($AB$1006:AN1006),$AB$1006:$AQ$1006,0)), HYPERLINK("#",""), HYPERLINK(CONCATENATE("#Metadata!", ADDRESS(INDEX($W$2:$W$1001,MATCH(ROWS($U$2:U544),$U$2:$U$1001,0),0), INDEX($AB$1004:$AQ$1004,1,MATCH(COLUMNS($AB$1006:AN1006),$AB$1006:$AQ$1006,0)))),"Fix")))</f>
        <v>0</v>
      </c>
      <c r="O544" s="5">
        <f>IF(OR(INDEX($V$2:$V$1001,MATCH(ROWS($U$2:U544),$U$2:$U$1001,0),1)&gt;=100000,INDEX($AB$1005:$AQ$1005,1,MATCH(COLUMNS($AB$1006:AO1006),$AB$1006:$AQ$1006,0))&gt;=100000), " ",IF(INDEX($AB$2:$AQ$1001,MATCH(ROWS($U$2:U544),$U$2:$U$1001,0),MATCH(COLUMNS($AB$1006:AO1006),$AB$1006:$AQ$1006,0)), HYPERLINK("#",""), HYPERLINK(CONCATENATE("#Metadata!", ADDRESS(INDEX($W$2:$W$1001,MATCH(ROWS($U$2:U544),$U$2:$U$1001,0),0), INDEX($AB$1004:$AQ$1004,1,MATCH(COLUMNS($AB$1006:AO1006),$AB$1006:$AQ$1006,0)))),"Fix")))</f>
        <v>0</v>
      </c>
      <c r="P544" s="5">
        <f>IF(OR(INDEX($V$2:$V$1001,MATCH(ROWS($U$2:U544),$U$2:$U$1001,0),1)&gt;=100000,INDEX($AB$1005:$AQ$1005,1,MATCH(COLUMNS($AB$1006:AP1006),$AB$1006:$AQ$1006,0))&gt;=100000), " ",IF(INDEX($AB$2:$AQ$1001,MATCH(ROWS($U$2:U544),$U$2:$U$1001,0),MATCH(COLUMNS($AB$1006:AP1006),$AB$1006:$AQ$1006,0)), HYPERLINK("#",""), HYPERLINK(CONCATENATE("#Metadata!", ADDRESS(INDEX($W$2:$W$1001,MATCH(ROWS($U$2:U544),$U$2:$U$1001,0),0), INDEX($AB$1004:$AQ$1004,1,MATCH(COLUMNS($AB$1006:AP1006),$AB$1006:$AQ$1006,0)))),"Fix")))</f>
        <v>0</v>
      </c>
      <c r="Q544" s="5">
        <f>IF(OR(INDEX($V$2:$V$1001,MATCH(ROWS($U$2:U544),$U$2:$U$1001,0),1)&gt;=100000,INDEX($AB$1005:$AQ$1005,1,MATCH(COLUMNS($AB$1006:AQ1006),$AB$1006:$AQ$1006,0))&gt;=100000), " ",IF(INDEX($AB$2:$AQ$1001,MATCH(ROWS($U$2:U544),$U$2:$U$1001,0),MATCH(COLUMNS($AB$1006:AQ1006),$AB$1006:$AQ$1006,0)), HYPERLINK("#",""), HYPERLINK(CONCATENATE("#Metadata!", ADDRESS(INDEX($W$2:$W$1001,MATCH(ROWS($U$2:U544),$U$2:$U$1001,0),0), INDEX($AB$1004:$AQ$1004,1,MATCH(COLUMNS($AB$1006:AQ1006),$AB$1006:$AQ$1006,0)))),"Fix")))</f>
        <v>0</v>
      </c>
      <c r="U544">
        <v>0</v>
      </c>
      <c r="V544">
        <v>0</v>
      </c>
      <c r="W544">
        <v>0</v>
      </c>
      <c r="X544">
        <f>IF(Y544,TRUE,AND(AB544:AQ544))</f>
        <v>0</v>
      </c>
      <c r="Y544">
        <f>COUNTBLANK(Metadata!B544:Q544)=COLUMNS(Metadata!B544:Q544)</f>
        <v>0</v>
      </c>
      <c r="Z544">
        <v>0</v>
      </c>
      <c r="AB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AC544">
        <f>AND(IF(Metadata!C544="",FALSE,TRUE),exact(Metadata!C544,"urban biome"))</f>
        <v>0</v>
      </c>
      <c r="AD544">
        <f>AND(IF(Metadata!D544="",FALSE,TRUE),exact(Metadata!D544,"human-associated habitat"))</f>
        <v>0</v>
      </c>
      <c r="AE544">
        <f>AND(IF(Metadata!E544="",FALSE,TRUE),OR(exact(Metadata!E544,"human-associated"),exact(Metadata!E544,"human-skin"),exact(Metadata!E544,"human-oral"),exact(Metadata!E544,"human-gut"),exact(Metadata!E544,"human-vaginal")))</f>
        <v>0</v>
      </c>
      <c r="AF544">
        <f>AND(IF(Metadata!F544="",FALSE,ISNUMBER(VALUE(Metadata!F544))),Metadata!F544&gt;0)</f>
        <v>0</v>
      </c>
      <c r="AG544">
        <f>AND(IF(Metadata!G544="",FALSE,TRUE),exact(Metadata!G544,"years"))</f>
        <v>0</v>
      </c>
      <c r="AH544">
        <f>OR(AND(IF(Metadata!H544="",FALSE,TRUE),OR(exact(Metadata!H544,"not applicable"),exact(Metadata!H544,"not collected"),exact(Metadata!H544,"not provided"),exact(Metadata!H544,"restricted access"))),AND(IF(Metadata!H544="",FALSE,ISNUMBER(VALUE(Metadata!H544))),Metadata!H544&gt;0))</f>
        <v>0</v>
      </c>
      <c r="AI544">
        <f>AND(IF(Metadata!I544="",FALSE,TRUE),exact(Metadata!I544,"human"))</f>
        <v>0</v>
      </c>
      <c r="AJ544">
        <f>AND(IF(Metadata!J544="",FALSE,ISNUMBER(VALUE(Metadata!J544))),Metadata!J544&gt;0)</f>
        <v>0</v>
      </c>
      <c r="AK544">
        <f>AND(IF(Metadata!K544="",FALSE,TRUE),exact(Metadata!K544,"cm"))</f>
        <v>0</v>
      </c>
      <c r="AL544">
        <f>AND(IF(Metadata!L544="",FALSE,TRUE),exact(Metadata!L544,"Homo sapiens"))</f>
        <v>0</v>
      </c>
      <c r="AM544">
        <f>AND(IF(Metadata!M544="",FALSE,TRUE),exact(Metadata!M544,"9606"))</f>
        <v>0</v>
      </c>
      <c r="AN544">
        <f>AND(IF(Metadata!N544="",FALSE,ISNUMBER(VALUE(Metadata!N544))),Metadata!N544&gt;0)</f>
        <v>0</v>
      </c>
      <c r="AO544">
        <f>AND(IF(Metadata!O544="",FALSE,TRUE),exact(Metadata!O544,"kg"))</f>
        <v>0</v>
      </c>
      <c r="AP544">
        <f>OR(AND(IF(Metadata!P544="",FALSE,TRUE),exact(Metadata!P544,"not provided")),IF(Metadata!P544="",FALSE,TRUE))</f>
        <v>0</v>
      </c>
      <c r="AQ544">
        <f>OR(AND(IF(Metadata!Q544="",FALSE,TRUE),exact(Metadata!Q544,"not provided")),IF(Metadata!Q544="",FALSE,TRUE))</f>
        <v>0</v>
      </c>
    </row>
    <row r="545" spans="1:43">
      <c r="A545" s="4">
        <f>IF(B545=" "," ",HYPERLINK(CONCATENATE("#metadata!",ADDRESS(INDEX($W$2:$W$1001,MATCH(ROWS($U$2:U545),$U$2:$U$1001,0),0),2)),INDEX($Z$2:$Z$1001,MATCH(ROWS($U$2:U545),$U$2:$U$1001,0),0)))</f>
        <v>0</v>
      </c>
      <c r="B545" s="5">
        <f>IF(OR(INDEX($V$2:$V$1001,MATCH(ROWS($U$2:U545),$U$2:$U$1001,0),1)&gt;=100000,INDEX($AB$1005:$AQ$1005,1,MATCH(COLUMNS($AB$1006:AB1006),$AB$1006:$AQ$1006,0))&gt;=100000), " ",IF(INDEX($AB$2:$AQ$1001,MATCH(ROWS($U$2:U545),$U$2:$U$1001,0),MATCH(COLUMNS($AB$1006:AB1006),$AB$1006:$AQ$1006,0)), HYPERLINK("#",""), HYPERLINK(CONCATENATE("#Metadata!", ADDRESS(INDEX($W$2:$W$1001,MATCH(ROWS($U$2:U545),$U$2:$U$1001,0),0), INDEX($AB$1004:$AQ$1004,1,MATCH(COLUMNS($AB$1006:AB1006),$AB$1006:$AQ$1006,0)))),"Fix")))</f>
        <v>0</v>
      </c>
      <c r="C545" s="5">
        <f>IF(OR(INDEX($V$2:$V$1001,MATCH(ROWS($U$2:U545),$U$2:$U$1001,0),1)&gt;=100000,INDEX($AB$1005:$AQ$1005,1,MATCH(COLUMNS($AB$1006:AC1006),$AB$1006:$AQ$1006,0))&gt;=100000), " ",IF(INDEX($AB$2:$AQ$1001,MATCH(ROWS($U$2:U545),$U$2:$U$1001,0),MATCH(COLUMNS($AB$1006:AC1006),$AB$1006:$AQ$1006,0)), HYPERLINK("#",""), HYPERLINK(CONCATENATE("#Metadata!", ADDRESS(INDEX($W$2:$W$1001,MATCH(ROWS($U$2:U545),$U$2:$U$1001,0),0), INDEX($AB$1004:$AQ$1004,1,MATCH(COLUMNS($AB$1006:AC1006),$AB$1006:$AQ$1006,0)))),"Fix")))</f>
        <v>0</v>
      </c>
      <c r="D545" s="5">
        <f>IF(OR(INDEX($V$2:$V$1001,MATCH(ROWS($U$2:U545),$U$2:$U$1001,0),1)&gt;=100000,INDEX($AB$1005:$AQ$1005,1,MATCH(COLUMNS($AB$1006:AD1006),$AB$1006:$AQ$1006,0))&gt;=100000), " ",IF(INDEX($AB$2:$AQ$1001,MATCH(ROWS($U$2:U545),$U$2:$U$1001,0),MATCH(COLUMNS($AB$1006:AD1006),$AB$1006:$AQ$1006,0)), HYPERLINK("#",""), HYPERLINK(CONCATENATE("#Metadata!", ADDRESS(INDEX($W$2:$W$1001,MATCH(ROWS($U$2:U545),$U$2:$U$1001,0),0), INDEX($AB$1004:$AQ$1004,1,MATCH(COLUMNS($AB$1006:AD1006),$AB$1006:$AQ$1006,0)))),"Fix")))</f>
        <v>0</v>
      </c>
      <c r="E545" s="5">
        <f>IF(OR(INDEX($V$2:$V$1001,MATCH(ROWS($U$2:U545),$U$2:$U$1001,0),1)&gt;=100000,INDEX($AB$1005:$AQ$1005,1,MATCH(COLUMNS($AB$1006:AE1006),$AB$1006:$AQ$1006,0))&gt;=100000), " ",IF(INDEX($AB$2:$AQ$1001,MATCH(ROWS($U$2:U545),$U$2:$U$1001,0),MATCH(COLUMNS($AB$1006:AE1006),$AB$1006:$AQ$1006,0)), HYPERLINK("#",""), HYPERLINK(CONCATENATE("#Metadata!", ADDRESS(INDEX($W$2:$W$1001,MATCH(ROWS($U$2:U545),$U$2:$U$1001,0),0), INDEX($AB$1004:$AQ$1004,1,MATCH(COLUMNS($AB$1006:AE1006),$AB$1006:$AQ$1006,0)))),"Fix")))</f>
        <v>0</v>
      </c>
      <c r="F545" s="5">
        <f>IF(OR(INDEX($V$2:$V$1001,MATCH(ROWS($U$2:U545),$U$2:$U$1001,0),1)&gt;=100000,INDEX($AB$1005:$AQ$1005,1,MATCH(COLUMNS($AB$1006:AF1006),$AB$1006:$AQ$1006,0))&gt;=100000), " ",IF(INDEX($AB$2:$AQ$1001,MATCH(ROWS($U$2:U545),$U$2:$U$1001,0),MATCH(COLUMNS($AB$1006:AF1006),$AB$1006:$AQ$1006,0)), HYPERLINK("#",""), HYPERLINK(CONCATENATE("#Metadata!", ADDRESS(INDEX($W$2:$W$1001,MATCH(ROWS($U$2:U545),$U$2:$U$1001,0),0), INDEX($AB$1004:$AQ$1004,1,MATCH(COLUMNS($AB$1006:AF1006),$AB$1006:$AQ$1006,0)))),"Fix")))</f>
        <v>0</v>
      </c>
      <c r="G545" s="5">
        <f>IF(OR(INDEX($V$2:$V$1001,MATCH(ROWS($U$2:U545),$U$2:$U$1001,0),1)&gt;=100000,INDEX($AB$1005:$AQ$1005,1,MATCH(COLUMNS($AB$1006:AG1006),$AB$1006:$AQ$1006,0))&gt;=100000), " ",IF(INDEX($AB$2:$AQ$1001,MATCH(ROWS($U$2:U545),$U$2:$U$1001,0),MATCH(COLUMNS($AB$1006:AG1006),$AB$1006:$AQ$1006,0)), HYPERLINK("#",""), HYPERLINK(CONCATENATE("#Metadata!", ADDRESS(INDEX($W$2:$W$1001,MATCH(ROWS($U$2:U545),$U$2:$U$1001,0),0), INDEX($AB$1004:$AQ$1004,1,MATCH(COLUMNS($AB$1006:AG1006),$AB$1006:$AQ$1006,0)))),"Fix")))</f>
        <v>0</v>
      </c>
      <c r="H545" s="5">
        <f>IF(OR(INDEX($V$2:$V$1001,MATCH(ROWS($U$2:U545),$U$2:$U$1001,0),1)&gt;=100000,INDEX($AB$1005:$AQ$1005,1,MATCH(COLUMNS($AB$1006:AH1006),$AB$1006:$AQ$1006,0))&gt;=100000), " ",IF(INDEX($AB$2:$AQ$1001,MATCH(ROWS($U$2:U545),$U$2:$U$1001,0),MATCH(COLUMNS($AB$1006:AH1006),$AB$1006:$AQ$1006,0)), HYPERLINK("#",""), HYPERLINK(CONCATENATE("#Metadata!", ADDRESS(INDEX($W$2:$W$1001,MATCH(ROWS($U$2:U545),$U$2:$U$1001,0),0), INDEX($AB$1004:$AQ$1004,1,MATCH(COLUMNS($AB$1006:AH1006),$AB$1006:$AQ$1006,0)))),"Fix")))</f>
        <v>0</v>
      </c>
      <c r="I545" s="5">
        <f>IF(OR(INDEX($V$2:$V$1001,MATCH(ROWS($U$2:U545),$U$2:$U$1001,0),1)&gt;=100000,INDEX($AB$1005:$AQ$1005,1,MATCH(COLUMNS($AB$1006:AI1006),$AB$1006:$AQ$1006,0))&gt;=100000), " ",IF(INDEX($AB$2:$AQ$1001,MATCH(ROWS($U$2:U545),$U$2:$U$1001,0),MATCH(COLUMNS($AB$1006:AI1006),$AB$1006:$AQ$1006,0)), HYPERLINK("#",""), HYPERLINK(CONCATENATE("#Metadata!", ADDRESS(INDEX($W$2:$W$1001,MATCH(ROWS($U$2:U545),$U$2:$U$1001,0),0), INDEX($AB$1004:$AQ$1004,1,MATCH(COLUMNS($AB$1006:AI1006),$AB$1006:$AQ$1006,0)))),"Fix")))</f>
        <v>0</v>
      </c>
      <c r="J545" s="5">
        <f>IF(OR(INDEX($V$2:$V$1001,MATCH(ROWS($U$2:U545),$U$2:$U$1001,0),1)&gt;=100000,INDEX($AB$1005:$AQ$1005,1,MATCH(COLUMNS($AB$1006:AJ1006),$AB$1006:$AQ$1006,0))&gt;=100000), " ",IF(INDEX($AB$2:$AQ$1001,MATCH(ROWS($U$2:U545),$U$2:$U$1001,0),MATCH(COLUMNS($AB$1006:AJ1006),$AB$1006:$AQ$1006,0)), HYPERLINK("#",""), HYPERLINK(CONCATENATE("#Metadata!", ADDRESS(INDEX($W$2:$W$1001,MATCH(ROWS($U$2:U545),$U$2:$U$1001,0),0), INDEX($AB$1004:$AQ$1004,1,MATCH(COLUMNS($AB$1006:AJ1006),$AB$1006:$AQ$1006,0)))),"Fix")))</f>
        <v>0</v>
      </c>
      <c r="K545" s="5">
        <f>IF(OR(INDEX($V$2:$V$1001,MATCH(ROWS($U$2:U545),$U$2:$U$1001,0),1)&gt;=100000,INDEX($AB$1005:$AQ$1005,1,MATCH(COLUMNS($AB$1006:AK1006),$AB$1006:$AQ$1006,0))&gt;=100000), " ",IF(INDEX($AB$2:$AQ$1001,MATCH(ROWS($U$2:U545),$U$2:$U$1001,0),MATCH(COLUMNS($AB$1006:AK1006),$AB$1006:$AQ$1006,0)), HYPERLINK("#",""), HYPERLINK(CONCATENATE("#Metadata!", ADDRESS(INDEX($W$2:$W$1001,MATCH(ROWS($U$2:U545),$U$2:$U$1001,0),0), INDEX($AB$1004:$AQ$1004,1,MATCH(COLUMNS($AB$1006:AK1006),$AB$1006:$AQ$1006,0)))),"Fix")))</f>
        <v>0</v>
      </c>
      <c r="L545" s="5">
        <f>IF(OR(INDEX($V$2:$V$1001,MATCH(ROWS($U$2:U545),$U$2:$U$1001,0),1)&gt;=100000,INDEX($AB$1005:$AQ$1005,1,MATCH(COLUMNS($AB$1006:AL1006),$AB$1006:$AQ$1006,0))&gt;=100000), " ",IF(INDEX($AB$2:$AQ$1001,MATCH(ROWS($U$2:U545),$U$2:$U$1001,0),MATCH(COLUMNS($AB$1006:AL1006),$AB$1006:$AQ$1006,0)), HYPERLINK("#",""), HYPERLINK(CONCATENATE("#Metadata!", ADDRESS(INDEX($W$2:$W$1001,MATCH(ROWS($U$2:U545),$U$2:$U$1001,0),0), INDEX($AB$1004:$AQ$1004,1,MATCH(COLUMNS($AB$1006:AL1006),$AB$1006:$AQ$1006,0)))),"Fix")))</f>
        <v>0</v>
      </c>
      <c r="M545" s="5">
        <f>IF(OR(INDEX($V$2:$V$1001,MATCH(ROWS($U$2:U545),$U$2:$U$1001,0),1)&gt;=100000,INDEX($AB$1005:$AQ$1005,1,MATCH(COLUMNS($AB$1006:AM1006),$AB$1006:$AQ$1006,0))&gt;=100000), " ",IF(INDEX($AB$2:$AQ$1001,MATCH(ROWS($U$2:U545),$U$2:$U$1001,0),MATCH(COLUMNS($AB$1006:AM1006),$AB$1006:$AQ$1006,0)), HYPERLINK("#",""), HYPERLINK(CONCATENATE("#Metadata!", ADDRESS(INDEX($W$2:$W$1001,MATCH(ROWS($U$2:U545),$U$2:$U$1001,0),0), INDEX($AB$1004:$AQ$1004,1,MATCH(COLUMNS($AB$1006:AM1006),$AB$1006:$AQ$1006,0)))),"Fix")))</f>
        <v>0</v>
      </c>
      <c r="N545" s="5">
        <f>IF(OR(INDEX($V$2:$V$1001,MATCH(ROWS($U$2:U545),$U$2:$U$1001,0),1)&gt;=100000,INDEX($AB$1005:$AQ$1005,1,MATCH(COLUMNS($AB$1006:AN1006),$AB$1006:$AQ$1006,0))&gt;=100000), " ",IF(INDEX($AB$2:$AQ$1001,MATCH(ROWS($U$2:U545),$U$2:$U$1001,0),MATCH(COLUMNS($AB$1006:AN1006),$AB$1006:$AQ$1006,0)), HYPERLINK("#",""), HYPERLINK(CONCATENATE("#Metadata!", ADDRESS(INDEX($W$2:$W$1001,MATCH(ROWS($U$2:U545),$U$2:$U$1001,0),0), INDEX($AB$1004:$AQ$1004,1,MATCH(COLUMNS($AB$1006:AN1006),$AB$1006:$AQ$1006,0)))),"Fix")))</f>
        <v>0</v>
      </c>
      <c r="O545" s="5">
        <f>IF(OR(INDEX($V$2:$V$1001,MATCH(ROWS($U$2:U545),$U$2:$U$1001,0),1)&gt;=100000,INDEX($AB$1005:$AQ$1005,1,MATCH(COLUMNS($AB$1006:AO1006),$AB$1006:$AQ$1006,0))&gt;=100000), " ",IF(INDEX($AB$2:$AQ$1001,MATCH(ROWS($U$2:U545),$U$2:$U$1001,0),MATCH(COLUMNS($AB$1006:AO1006),$AB$1006:$AQ$1006,0)), HYPERLINK("#",""), HYPERLINK(CONCATENATE("#Metadata!", ADDRESS(INDEX($W$2:$W$1001,MATCH(ROWS($U$2:U545),$U$2:$U$1001,0),0), INDEX($AB$1004:$AQ$1004,1,MATCH(COLUMNS($AB$1006:AO1006),$AB$1006:$AQ$1006,0)))),"Fix")))</f>
        <v>0</v>
      </c>
      <c r="P545" s="5">
        <f>IF(OR(INDEX($V$2:$V$1001,MATCH(ROWS($U$2:U545),$U$2:$U$1001,0),1)&gt;=100000,INDEX($AB$1005:$AQ$1005,1,MATCH(COLUMNS($AB$1006:AP1006),$AB$1006:$AQ$1006,0))&gt;=100000), " ",IF(INDEX($AB$2:$AQ$1001,MATCH(ROWS($U$2:U545),$U$2:$U$1001,0),MATCH(COLUMNS($AB$1006:AP1006),$AB$1006:$AQ$1006,0)), HYPERLINK("#",""), HYPERLINK(CONCATENATE("#Metadata!", ADDRESS(INDEX($W$2:$W$1001,MATCH(ROWS($U$2:U545),$U$2:$U$1001,0),0), INDEX($AB$1004:$AQ$1004,1,MATCH(COLUMNS($AB$1006:AP1006),$AB$1006:$AQ$1006,0)))),"Fix")))</f>
        <v>0</v>
      </c>
      <c r="Q545" s="5">
        <f>IF(OR(INDEX($V$2:$V$1001,MATCH(ROWS($U$2:U545),$U$2:$U$1001,0),1)&gt;=100000,INDEX($AB$1005:$AQ$1005,1,MATCH(COLUMNS($AB$1006:AQ1006),$AB$1006:$AQ$1006,0))&gt;=100000), " ",IF(INDEX($AB$2:$AQ$1001,MATCH(ROWS($U$2:U545),$U$2:$U$1001,0),MATCH(COLUMNS($AB$1006:AQ1006),$AB$1006:$AQ$1006,0)), HYPERLINK("#",""), HYPERLINK(CONCATENATE("#Metadata!", ADDRESS(INDEX($W$2:$W$1001,MATCH(ROWS($U$2:U545),$U$2:$U$1001,0),0), INDEX($AB$1004:$AQ$1004,1,MATCH(COLUMNS($AB$1006:AQ1006),$AB$1006:$AQ$1006,0)))),"Fix")))</f>
        <v>0</v>
      </c>
      <c r="U545">
        <v>0</v>
      </c>
      <c r="V545">
        <v>0</v>
      </c>
      <c r="W545">
        <v>0</v>
      </c>
      <c r="X545">
        <f>IF(Y545,TRUE,AND(AB545:AQ545))</f>
        <v>0</v>
      </c>
      <c r="Y545">
        <f>COUNTBLANK(Metadata!B545:Q545)=COLUMNS(Metadata!B545:Q545)</f>
        <v>0</v>
      </c>
      <c r="Z545">
        <v>0</v>
      </c>
      <c r="AB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AC545">
        <f>AND(IF(Metadata!C545="",FALSE,TRUE),exact(Metadata!C545,"urban biome"))</f>
        <v>0</v>
      </c>
      <c r="AD545">
        <f>AND(IF(Metadata!D545="",FALSE,TRUE),exact(Metadata!D545,"human-associated habitat"))</f>
        <v>0</v>
      </c>
      <c r="AE545">
        <f>AND(IF(Metadata!E545="",FALSE,TRUE),OR(exact(Metadata!E545,"human-associated"),exact(Metadata!E545,"human-skin"),exact(Metadata!E545,"human-oral"),exact(Metadata!E545,"human-gut"),exact(Metadata!E545,"human-vaginal")))</f>
        <v>0</v>
      </c>
      <c r="AF545">
        <f>AND(IF(Metadata!F545="",FALSE,ISNUMBER(VALUE(Metadata!F545))),Metadata!F545&gt;0)</f>
        <v>0</v>
      </c>
      <c r="AG545">
        <f>AND(IF(Metadata!G545="",FALSE,TRUE),exact(Metadata!G545,"years"))</f>
        <v>0</v>
      </c>
      <c r="AH545">
        <f>OR(AND(IF(Metadata!H545="",FALSE,TRUE),OR(exact(Metadata!H545,"not applicable"),exact(Metadata!H545,"not collected"),exact(Metadata!H545,"not provided"),exact(Metadata!H545,"restricted access"))),AND(IF(Metadata!H545="",FALSE,ISNUMBER(VALUE(Metadata!H545))),Metadata!H545&gt;0))</f>
        <v>0</v>
      </c>
      <c r="AI545">
        <f>AND(IF(Metadata!I545="",FALSE,TRUE),exact(Metadata!I545,"human"))</f>
        <v>0</v>
      </c>
      <c r="AJ545">
        <f>AND(IF(Metadata!J545="",FALSE,ISNUMBER(VALUE(Metadata!J545))),Metadata!J545&gt;0)</f>
        <v>0</v>
      </c>
      <c r="AK545">
        <f>AND(IF(Metadata!K545="",FALSE,TRUE),exact(Metadata!K545,"cm"))</f>
        <v>0</v>
      </c>
      <c r="AL545">
        <f>AND(IF(Metadata!L545="",FALSE,TRUE),exact(Metadata!L545,"Homo sapiens"))</f>
        <v>0</v>
      </c>
      <c r="AM545">
        <f>AND(IF(Metadata!M545="",FALSE,TRUE),exact(Metadata!M545,"9606"))</f>
        <v>0</v>
      </c>
      <c r="AN545">
        <f>AND(IF(Metadata!N545="",FALSE,ISNUMBER(VALUE(Metadata!N545))),Metadata!N545&gt;0)</f>
        <v>0</v>
      </c>
      <c r="AO545">
        <f>AND(IF(Metadata!O545="",FALSE,TRUE),exact(Metadata!O545,"kg"))</f>
        <v>0</v>
      </c>
      <c r="AP545">
        <f>OR(AND(IF(Metadata!P545="",FALSE,TRUE),exact(Metadata!P545,"not provided")),IF(Metadata!P545="",FALSE,TRUE))</f>
        <v>0</v>
      </c>
      <c r="AQ545">
        <f>OR(AND(IF(Metadata!Q545="",FALSE,TRUE),exact(Metadata!Q545,"not provided")),IF(Metadata!Q545="",FALSE,TRUE))</f>
        <v>0</v>
      </c>
    </row>
    <row r="546" spans="1:43">
      <c r="A546" s="4">
        <f>IF(B546=" "," ",HYPERLINK(CONCATENATE("#metadata!",ADDRESS(INDEX($W$2:$W$1001,MATCH(ROWS($U$2:U546),$U$2:$U$1001,0),0),2)),INDEX($Z$2:$Z$1001,MATCH(ROWS($U$2:U546),$U$2:$U$1001,0),0)))</f>
        <v>0</v>
      </c>
      <c r="B546" s="5">
        <f>IF(OR(INDEX($V$2:$V$1001,MATCH(ROWS($U$2:U546),$U$2:$U$1001,0),1)&gt;=100000,INDEX($AB$1005:$AQ$1005,1,MATCH(COLUMNS($AB$1006:AB1006),$AB$1006:$AQ$1006,0))&gt;=100000), " ",IF(INDEX($AB$2:$AQ$1001,MATCH(ROWS($U$2:U546),$U$2:$U$1001,0),MATCH(COLUMNS($AB$1006:AB1006),$AB$1006:$AQ$1006,0)), HYPERLINK("#",""), HYPERLINK(CONCATENATE("#Metadata!", ADDRESS(INDEX($W$2:$W$1001,MATCH(ROWS($U$2:U546),$U$2:$U$1001,0),0), INDEX($AB$1004:$AQ$1004,1,MATCH(COLUMNS($AB$1006:AB1006),$AB$1006:$AQ$1006,0)))),"Fix")))</f>
        <v>0</v>
      </c>
      <c r="C546" s="5">
        <f>IF(OR(INDEX($V$2:$V$1001,MATCH(ROWS($U$2:U546),$U$2:$U$1001,0),1)&gt;=100000,INDEX($AB$1005:$AQ$1005,1,MATCH(COLUMNS($AB$1006:AC1006),$AB$1006:$AQ$1006,0))&gt;=100000), " ",IF(INDEX($AB$2:$AQ$1001,MATCH(ROWS($U$2:U546),$U$2:$U$1001,0),MATCH(COLUMNS($AB$1006:AC1006),$AB$1006:$AQ$1006,0)), HYPERLINK("#",""), HYPERLINK(CONCATENATE("#Metadata!", ADDRESS(INDEX($W$2:$W$1001,MATCH(ROWS($U$2:U546),$U$2:$U$1001,0),0), INDEX($AB$1004:$AQ$1004,1,MATCH(COLUMNS($AB$1006:AC1006),$AB$1006:$AQ$1006,0)))),"Fix")))</f>
        <v>0</v>
      </c>
      <c r="D546" s="5">
        <f>IF(OR(INDEX($V$2:$V$1001,MATCH(ROWS($U$2:U546),$U$2:$U$1001,0),1)&gt;=100000,INDEX($AB$1005:$AQ$1005,1,MATCH(COLUMNS($AB$1006:AD1006),$AB$1006:$AQ$1006,0))&gt;=100000), " ",IF(INDEX($AB$2:$AQ$1001,MATCH(ROWS($U$2:U546),$U$2:$U$1001,0),MATCH(COLUMNS($AB$1006:AD1006),$AB$1006:$AQ$1006,0)), HYPERLINK("#",""), HYPERLINK(CONCATENATE("#Metadata!", ADDRESS(INDEX($W$2:$W$1001,MATCH(ROWS($U$2:U546),$U$2:$U$1001,0),0), INDEX($AB$1004:$AQ$1004,1,MATCH(COLUMNS($AB$1006:AD1006),$AB$1006:$AQ$1006,0)))),"Fix")))</f>
        <v>0</v>
      </c>
      <c r="E546" s="5">
        <f>IF(OR(INDEX($V$2:$V$1001,MATCH(ROWS($U$2:U546),$U$2:$U$1001,0),1)&gt;=100000,INDEX($AB$1005:$AQ$1005,1,MATCH(COLUMNS($AB$1006:AE1006),$AB$1006:$AQ$1006,0))&gt;=100000), " ",IF(INDEX($AB$2:$AQ$1001,MATCH(ROWS($U$2:U546),$U$2:$U$1001,0),MATCH(COLUMNS($AB$1006:AE1006),$AB$1006:$AQ$1006,0)), HYPERLINK("#",""), HYPERLINK(CONCATENATE("#Metadata!", ADDRESS(INDEX($W$2:$W$1001,MATCH(ROWS($U$2:U546),$U$2:$U$1001,0),0), INDEX($AB$1004:$AQ$1004,1,MATCH(COLUMNS($AB$1006:AE1006),$AB$1006:$AQ$1006,0)))),"Fix")))</f>
        <v>0</v>
      </c>
      <c r="F546" s="5">
        <f>IF(OR(INDEX($V$2:$V$1001,MATCH(ROWS($U$2:U546),$U$2:$U$1001,0),1)&gt;=100000,INDEX($AB$1005:$AQ$1005,1,MATCH(COLUMNS($AB$1006:AF1006),$AB$1006:$AQ$1006,0))&gt;=100000), " ",IF(INDEX($AB$2:$AQ$1001,MATCH(ROWS($U$2:U546),$U$2:$U$1001,0),MATCH(COLUMNS($AB$1006:AF1006),$AB$1006:$AQ$1006,0)), HYPERLINK("#",""), HYPERLINK(CONCATENATE("#Metadata!", ADDRESS(INDEX($W$2:$W$1001,MATCH(ROWS($U$2:U546),$U$2:$U$1001,0),0), INDEX($AB$1004:$AQ$1004,1,MATCH(COLUMNS($AB$1006:AF1006),$AB$1006:$AQ$1006,0)))),"Fix")))</f>
        <v>0</v>
      </c>
      <c r="G546" s="5">
        <f>IF(OR(INDEX($V$2:$V$1001,MATCH(ROWS($U$2:U546),$U$2:$U$1001,0),1)&gt;=100000,INDEX($AB$1005:$AQ$1005,1,MATCH(COLUMNS($AB$1006:AG1006),$AB$1006:$AQ$1006,0))&gt;=100000), " ",IF(INDEX($AB$2:$AQ$1001,MATCH(ROWS($U$2:U546),$U$2:$U$1001,0),MATCH(COLUMNS($AB$1006:AG1006),$AB$1006:$AQ$1006,0)), HYPERLINK("#",""), HYPERLINK(CONCATENATE("#Metadata!", ADDRESS(INDEX($W$2:$W$1001,MATCH(ROWS($U$2:U546),$U$2:$U$1001,0),0), INDEX($AB$1004:$AQ$1004,1,MATCH(COLUMNS($AB$1006:AG1006),$AB$1006:$AQ$1006,0)))),"Fix")))</f>
        <v>0</v>
      </c>
      <c r="H546" s="5">
        <f>IF(OR(INDEX($V$2:$V$1001,MATCH(ROWS($U$2:U546),$U$2:$U$1001,0),1)&gt;=100000,INDEX($AB$1005:$AQ$1005,1,MATCH(COLUMNS($AB$1006:AH1006),$AB$1006:$AQ$1006,0))&gt;=100000), " ",IF(INDEX($AB$2:$AQ$1001,MATCH(ROWS($U$2:U546),$U$2:$U$1001,0),MATCH(COLUMNS($AB$1006:AH1006),$AB$1006:$AQ$1006,0)), HYPERLINK("#",""), HYPERLINK(CONCATENATE("#Metadata!", ADDRESS(INDEX($W$2:$W$1001,MATCH(ROWS($U$2:U546),$U$2:$U$1001,0),0), INDEX($AB$1004:$AQ$1004,1,MATCH(COLUMNS($AB$1006:AH1006),$AB$1006:$AQ$1006,0)))),"Fix")))</f>
        <v>0</v>
      </c>
      <c r="I546" s="5">
        <f>IF(OR(INDEX($V$2:$V$1001,MATCH(ROWS($U$2:U546),$U$2:$U$1001,0),1)&gt;=100000,INDEX($AB$1005:$AQ$1005,1,MATCH(COLUMNS($AB$1006:AI1006),$AB$1006:$AQ$1006,0))&gt;=100000), " ",IF(INDEX($AB$2:$AQ$1001,MATCH(ROWS($U$2:U546),$U$2:$U$1001,0),MATCH(COLUMNS($AB$1006:AI1006),$AB$1006:$AQ$1006,0)), HYPERLINK("#",""), HYPERLINK(CONCATENATE("#Metadata!", ADDRESS(INDEX($W$2:$W$1001,MATCH(ROWS($U$2:U546),$U$2:$U$1001,0),0), INDEX($AB$1004:$AQ$1004,1,MATCH(COLUMNS($AB$1006:AI1006),$AB$1006:$AQ$1006,0)))),"Fix")))</f>
        <v>0</v>
      </c>
      <c r="J546" s="5">
        <f>IF(OR(INDEX($V$2:$V$1001,MATCH(ROWS($U$2:U546),$U$2:$U$1001,0),1)&gt;=100000,INDEX($AB$1005:$AQ$1005,1,MATCH(COLUMNS($AB$1006:AJ1006),$AB$1006:$AQ$1006,0))&gt;=100000), " ",IF(INDEX($AB$2:$AQ$1001,MATCH(ROWS($U$2:U546),$U$2:$U$1001,0),MATCH(COLUMNS($AB$1006:AJ1006),$AB$1006:$AQ$1006,0)), HYPERLINK("#",""), HYPERLINK(CONCATENATE("#Metadata!", ADDRESS(INDEX($W$2:$W$1001,MATCH(ROWS($U$2:U546),$U$2:$U$1001,0),0), INDEX($AB$1004:$AQ$1004,1,MATCH(COLUMNS($AB$1006:AJ1006),$AB$1006:$AQ$1006,0)))),"Fix")))</f>
        <v>0</v>
      </c>
      <c r="K546" s="5">
        <f>IF(OR(INDEX($V$2:$V$1001,MATCH(ROWS($U$2:U546),$U$2:$U$1001,0),1)&gt;=100000,INDEX($AB$1005:$AQ$1005,1,MATCH(COLUMNS($AB$1006:AK1006),$AB$1006:$AQ$1006,0))&gt;=100000), " ",IF(INDEX($AB$2:$AQ$1001,MATCH(ROWS($U$2:U546),$U$2:$U$1001,0),MATCH(COLUMNS($AB$1006:AK1006),$AB$1006:$AQ$1006,0)), HYPERLINK("#",""), HYPERLINK(CONCATENATE("#Metadata!", ADDRESS(INDEX($W$2:$W$1001,MATCH(ROWS($U$2:U546),$U$2:$U$1001,0),0), INDEX($AB$1004:$AQ$1004,1,MATCH(COLUMNS($AB$1006:AK1006),$AB$1006:$AQ$1006,0)))),"Fix")))</f>
        <v>0</v>
      </c>
      <c r="L546" s="5">
        <f>IF(OR(INDEX($V$2:$V$1001,MATCH(ROWS($U$2:U546),$U$2:$U$1001,0),1)&gt;=100000,INDEX($AB$1005:$AQ$1005,1,MATCH(COLUMNS($AB$1006:AL1006),$AB$1006:$AQ$1006,0))&gt;=100000), " ",IF(INDEX($AB$2:$AQ$1001,MATCH(ROWS($U$2:U546),$U$2:$U$1001,0),MATCH(COLUMNS($AB$1006:AL1006),$AB$1006:$AQ$1006,0)), HYPERLINK("#",""), HYPERLINK(CONCATENATE("#Metadata!", ADDRESS(INDEX($W$2:$W$1001,MATCH(ROWS($U$2:U546),$U$2:$U$1001,0),0), INDEX($AB$1004:$AQ$1004,1,MATCH(COLUMNS($AB$1006:AL1006),$AB$1006:$AQ$1006,0)))),"Fix")))</f>
        <v>0</v>
      </c>
      <c r="M546" s="5">
        <f>IF(OR(INDEX($V$2:$V$1001,MATCH(ROWS($U$2:U546),$U$2:$U$1001,0),1)&gt;=100000,INDEX($AB$1005:$AQ$1005,1,MATCH(COLUMNS($AB$1006:AM1006),$AB$1006:$AQ$1006,0))&gt;=100000), " ",IF(INDEX($AB$2:$AQ$1001,MATCH(ROWS($U$2:U546),$U$2:$U$1001,0),MATCH(COLUMNS($AB$1006:AM1006),$AB$1006:$AQ$1006,0)), HYPERLINK("#",""), HYPERLINK(CONCATENATE("#Metadata!", ADDRESS(INDEX($W$2:$W$1001,MATCH(ROWS($U$2:U546),$U$2:$U$1001,0),0), INDEX($AB$1004:$AQ$1004,1,MATCH(COLUMNS($AB$1006:AM1006),$AB$1006:$AQ$1006,0)))),"Fix")))</f>
        <v>0</v>
      </c>
      <c r="N546" s="5">
        <f>IF(OR(INDEX($V$2:$V$1001,MATCH(ROWS($U$2:U546),$U$2:$U$1001,0),1)&gt;=100000,INDEX($AB$1005:$AQ$1005,1,MATCH(COLUMNS($AB$1006:AN1006),$AB$1006:$AQ$1006,0))&gt;=100000), " ",IF(INDEX($AB$2:$AQ$1001,MATCH(ROWS($U$2:U546),$U$2:$U$1001,0),MATCH(COLUMNS($AB$1006:AN1006),$AB$1006:$AQ$1006,0)), HYPERLINK("#",""), HYPERLINK(CONCATENATE("#Metadata!", ADDRESS(INDEX($W$2:$W$1001,MATCH(ROWS($U$2:U546),$U$2:$U$1001,0),0), INDEX($AB$1004:$AQ$1004,1,MATCH(COLUMNS($AB$1006:AN1006),$AB$1006:$AQ$1006,0)))),"Fix")))</f>
        <v>0</v>
      </c>
      <c r="O546" s="5">
        <f>IF(OR(INDEX($V$2:$V$1001,MATCH(ROWS($U$2:U546),$U$2:$U$1001,0),1)&gt;=100000,INDEX($AB$1005:$AQ$1005,1,MATCH(COLUMNS($AB$1006:AO1006),$AB$1006:$AQ$1006,0))&gt;=100000), " ",IF(INDEX($AB$2:$AQ$1001,MATCH(ROWS($U$2:U546),$U$2:$U$1001,0),MATCH(COLUMNS($AB$1006:AO1006),$AB$1006:$AQ$1006,0)), HYPERLINK("#",""), HYPERLINK(CONCATENATE("#Metadata!", ADDRESS(INDEX($W$2:$W$1001,MATCH(ROWS($U$2:U546),$U$2:$U$1001,0),0), INDEX($AB$1004:$AQ$1004,1,MATCH(COLUMNS($AB$1006:AO1006),$AB$1006:$AQ$1006,0)))),"Fix")))</f>
        <v>0</v>
      </c>
      <c r="P546" s="5">
        <f>IF(OR(INDEX($V$2:$V$1001,MATCH(ROWS($U$2:U546),$U$2:$U$1001,0),1)&gt;=100000,INDEX($AB$1005:$AQ$1005,1,MATCH(COLUMNS($AB$1006:AP1006),$AB$1006:$AQ$1006,0))&gt;=100000), " ",IF(INDEX($AB$2:$AQ$1001,MATCH(ROWS($U$2:U546),$U$2:$U$1001,0),MATCH(COLUMNS($AB$1006:AP1006),$AB$1006:$AQ$1006,0)), HYPERLINK("#",""), HYPERLINK(CONCATENATE("#Metadata!", ADDRESS(INDEX($W$2:$W$1001,MATCH(ROWS($U$2:U546),$U$2:$U$1001,0),0), INDEX($AB$1004:$AQ$1004,1,MATCH(COLUMNS($AB$1006:AP1006),$AB$1006:$AQ$1006,0)))),"Fix")))</f>
        <v>0</v>
      </c>
      <c r="Q546" s="5">
        <f>IF(OR(INDEX($V$2:$V$1001,MATCH(ROWS($U$2:U546),$U$2:$U$1001,0),1)&gt;=100000,INDEX($AB$1005:$AQ$1005,1,MATCH(COLUMNS($AB$1006:AQ1006),$AB$1006:$AQ$1006,0))&gt;=100000), " ",IF(INDEX($AB$2:$AQ$1001,MATCH(ROWS($U$2:U546),$U$2:$U$1001,0),MATCH(COLUMNS($AB$1006:AQ1006),$AB$1006:$AQ$1006,0)), HYPERLINK("#",""), HYPERLINK(CONCATENATE("#Metadata!", ADDRESS(INDEX($W$2:$W$1001,MATCH(ROWS($U$2:U546),$U$2:$U$1001,0),0), INDEX($AB$1004:$AQ$1004,1,MATCH(COLUMNS($AB$1006:AQ1006),$AB$1006:$AQ$1006,0)))),"Fix")))</f>
        <v>0</v>
      </c>
      <c r="U546">
        <v>0</v>
      </c>
      <c r="V546">
        <v>0</v>
      </c>
      <c r="W546">
        <v>0</v>
      </c>
      <c r="X546">
        <f>IF(Y546,TRUE,AND(AB546:AQ546))</f>
        <v>0</v>
      </c>
      <c r="Y546">
        <f>COUNTBLANK(Metadata!B546:Q546)=COLUMNS(Metadata!B546:Q546)</f>
        <v>0</v>
      </c>
      <c r="Z546">
        <v>0</v>
      </c>
      <c r="AB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AC546">
        <f>AND(IF(Metadata!C546="",FALSE,TRUE),exact(Metadata!C546,"urban biome"))</f>
        <v>0</v>
      </c>
      <c r="AD546">
        <f>AND(IF(Metadata!D546="",FALSE,TRUE),exact(Metadata!D546,"human-associated habitat"))</f>
        <v>0</v>
      </c>
      <c r="AE546">
        <f>AND(IF(Metadata!E546="",FALSE,TRUE),OR(exact(Metadata!E546,"human-associated"),exact(Metadata!E546,"human-skin"),exact(Metadata!E546,"human-oral"),exact(Metadata!E546,"human-gut"),exact(Metadata!E546,"human-vaginal")))</f>
        <v>0</v>
      </c>
      <c r="AF546">
        <f>AND(IF(Metadata!F546="",FALSE,ISNUMBER(VALUE(Metadata!F546))),Metadata!F546&gt;0)</f>
        <v>0</v>
      </c>
      <c r="AG546">
        <f>AND(IF(Metadata!G546="",FALSE,TRUE),exact(Metadata!G546,"years"))</f>
        <v>0</v>
      </c>
      <c r="AH546">
        <f>OR(AND(IF(Metadata!H546="",FALSE,TRUE),OR(exact(Metadata!H546,"not applicable"),exact(Metadata!H546,"not collected"),exact(Metadata!H546,"not provided"),exact(Metadata!H546,"restricted access"))),AND(IF(Metadata!H546="",FALSE,ISNUMBER(VALUE(Metadata!H546))),Metadata!H546&gt;0))</f>
        <v>0</v>
      </c>
      <c r="AI546">
        <f>AND(IF(Metadata!I546="",FALSE,TRUE),exact(Metadata!I546,"human"))</f>
        <v>0</v>
      </c>
      <c r="AJ546">
        <f>AND(IF(Metadata!J546="",FALSE,ISNUMBER(VALUE(Metadata!J546))),Metadata!J546&gt;0)</f>
        <v>0</v>
      </c>
      <c r="AK546">
        <f>AND(IF(Metadata!K546="",FALSE,TRUE),exact(Metadata!K546,"cm"))</f>
        <v>0</v>
      </c>
      <c r="AL546">
        <f>AND(IF(Metadata!L546="",FALSE,TRUE),exact(Metadata!L546,"Homo sapiens"))</f>
        <v>0</v>
      </c>
      <c r="AM546">
        <f>AND(IF(Metadata!M546="",FALSE,TRUE),exact(Metadata!M546,"9606"))</f>
        <v>0</v>
      </c>
      <c r="AN546">
        <f>AND(IF(Metadata!N546="",FALSE,ISNUMBER(VALUE(Metadata!N546))),Metadata!N546&gt;0)</f>
        <v>0</v>
      </c>
      <c r="AO546">
        <f>AND(IF(Metadata!O546="",FALSE,TRUE),exact(Metadata!O546,"kg"))</f>
        <v>0</v>
      </c>
      <c r="AP546">
        <f>OR(AND(IF(Metadata!P546="",FALSE,TRUE),exact(Metadata!P546,"not provided")),IF(Metadata!P546="",FALSE,TRUE))</f>
        <v>0</v>
      </c>
      <c r="AQ546">
        <f>OR(AND(IF(Metadata!Q546="",FALSE,TRUE),exact(Metadata!Q546,"not provided")),IF(Metadata!Q546="",FALSE,TRUE))</f>
        <v>0</v>
      </c>
    </row>
    <row r="547" spans="1:43">
      <c r="A547" s="4">
        <f>IF(B547=" "," ",HYPERLINK(CONCATENATE("#metadata!",ADDRESS(INDEX($W$2:$W$1001,MATCH(ROWS($U$2:U547),$U$2:$U$1001,0),0),2)),INDEX($Z$2:$Z$1001,MATCH(ROWS($U$2:U547),$U$2:$U$1001,0),0)))</f>
        <v>0</v>
      </c>
      <c r="B547" s="5">
        <f>IF(OR(INDEX($V$2:$V$1001,MATCH(ROWS($U$2:U547),$U$2:$U$1001,0),1)&gt;=100000,INDEX($AB$1005:$AQ$1005,1,MATCH(COLUMNS($AB$1006:AB1006),$AB$1006:$AQ$1006,0))&gt;=100000), " ",IF(INDEX($AB$2:$AQ$1001,MATCH(ROWS($U$2:U547),$U$2:$U$1001,0),MATCH(COLUMNS($AB$1006:AB1006),$AB$1006:$AQ$1006,0)), HYPERLINK("#",""), HYPERLINK(CONCATENATE("#Metadata!", ADDRESS(INDEX($W$2:$W$1001,MATCH(ROWS($U$2:U547),$U$2:$U$1001,0),0), INDEX($AB$1004:$AQ$1004,1,MATCH(COLUMNS($AB$1006:AB1006),$AB$1006:$AQ$1006,0)))),"Fix")))</f>
        <v>0</v>
      </c>
      <c r="C547" s="5">
        <f>IF(OR(INDEX($V$2:$V$1001,MATCH(ROWS($U$2:U547),$U$2:$U$1001,0),1)&gt;=100000,INDEX($AB$1005:$AQ$1005,1,MATCH(COLUMNS($AB$1006:AC1006),$AB$1006:$AQ$1006,0))&gt;=100000), " ",IF(INDEX($AB$2:$AQ$1001,MATCH(ROWS($U$2:U547),$U$2:$U$1001,0),MATCH(COLUMNS($AB$1006:AC1006),$AB$1006:$AQ$1006,0)), HYPERLINK("#",""), HYPERLINK(CONCATENATE("#Metadata!", ADDRESS(INDEX($W$2:$W$1001,MATCH(ROWS($U$2:U547),$U$2:$U$1001,0),0), INDEX($AB$1004:$AQ$1004,1,MATCH(COLUMNS($AB$1006:AC1006),$AB$1006:$AQ$1006,0)))),"Fix")))</f>
        <v>0</v>
      </c>
      <c r="D547" s="5">
        <f>IF(OR(INDEX($V$2:$V$1001,MATCH(ROWS($U$2:U547),$U$2:$U$1001,0),1)&gt;=100000,INDEX($AB$1005:$AQ$1005,1,MATCH(COLUMNS($AB$1006:AD1006),$AB$1006:$AQ$1006,0))&gt;=100000), " ",IF(INDEX($AB$2:$AQ$1001,MATCH(ROWS($U$2:U547),$U$2:$U$1001,0),MATCH(COLUMNS($AB$1006:AD1006),$AB$1006:$AQ$1006,0)), HYPERLINK("#",""), HYPERLINK(CONCATENATE("#Metadata!", ADDRESS(INDEX($W$2:$W$1001,MATCH(ROWS($U$2:U547),$U$2:$U$1001,0),0), INDEX($AB$1004:$AQ$1004,1,MATCH(COLUMNS($AB$1006:AD1006),$AB$1006:$AQ$1006,0)))),"Fix")))</f>
        <v>0</v>
      </c>
      <c r="E547" s="5">
        <f>IF(OR(INDEX($V$2:$V$1001,MATCH(ROWS($U$2:U547),$U$2:$U$1001,0),1)&gt;=100000,INDEX($AB$1005:$AQ$1005,1,MATCH(COLUMNS($AB$1006:AE1006),$AB$1006:$AQ$1006,0))&gt;=100000), " ",IF(INDEX($AB$2:$AQ$1001,MATCH(ROWS($U$2:U547),$U$2:$U$1001,0),MATCH(COLUMNS($AB$1006:AE1006),$AB$1006:$AQ$1006,0)), HYPERLINK("#",""), HYPERLINK(CONCATENATE("#Metadata!", ADDRESS(INDEX($W$2:$W$1001,MATCH(ROWS($U$2:U547),$U$2:$U$1001,0),0), INDEX($AB$1004:$AQ$1004,1,MATCH(COLUMNS($AB$1006:AE1006),$AB$1006:$AQ$1006,0)))),"Fix")))</f>
        <v>0</v>
      </c>
      <c r="F547" s="5">
        <f>IF(OR(INDEX($V$2:$V$1001,MATCH(ROWS($U$2:U547),$U$2:$U$1001,0),1)&gt;=100000,INDEX($AB$1005:$AQ$1005,1,MATCH(COLUMNS($AB$1006:AF1006),$AB$1006:$AQ$1006,0))&gt;=100000), " ",IF(INDEX($AB$2:$AQ$1001,MATCH(ROWS($U$2:U547),$U$2:$U$1001,0),MATCH(COLUMNS($AB$1006:AF1006),$AB$1006:$AQ$1006,0)), HYPERLINK("#",""), HYPERLINK(CONCATENATE("#Metadata!", ADDRESS(INDEX($W$2:$W$1001,MATCH(ROWS($U$2:U547),$U$2:$U$1001,0),0), INDEX($AB$1004:$AQ$1004,1,MATCH(COLUMNS($AB$1006:AF1006),$AB$1006:$AQ$1006,0)))),"Fix")))</f>
        <v>0</v>
      </c>
      <c r="G547" s="5">
        <f>IF(OR(INDEX($V$2:$V$1001,MATCH(ROWS($U$2:U547),$U$2:$U$1001,0),1)&gt;=100000,INDEX($AB$1005:$AQ$1005,1,MATCH(COLUMNS($AB$1006:AG1006),$AB$1006:$AQ$1006,0))&gt;=100000), " ",IF(INDEX($AB$2:$AQ$1001,MATCH(ROWS($U$2:U547),$U$2:$U$1001,0),MATCH(COLUMNS($AB$1006:AG1006),$AB$1006:$AQ$1006,0)), HYPERLINK("#",""), HYPERLINK(CONCATENATE("#Metadata!", ADDRESS(INDEX($W$2:$W$1001,MATCH(ROWS($U$2:U547),$U$2:$U$1001,0),0), INDEX($AB$1004:$AQ$1004,1,MATCH(COLUMNS($AB$1006:AG1006),$AB$1006:$AQ$1006,0)))),"Fix")))</f>
        <v>0</v>
      </c>
      <c r="H547" s="5">
        <f>IF(OR(INDEX($V$2:$V$1001,MATCH(ROWS($U$2:U547),$U$2:$U$1001,0),1)&gt;=100000,INDEX($AB$1005:$AQ$1005,1,MATCH(COLUMNS($AB$1006:AH1006),$AB$1006:$AQ$1006,0))&gt;=100000), " ",IF(INDEX($AB$2:$AQ$1001,MATCH(ROWS($U$2:U547),$U$2:$U$1001,0),MATCH(COLUMNS($AB$1006:AH1006),$AB$1006:$AQ$1006,0)), HYPERLINK("#",""), HYPERLINK(CONCATENATE("#Metadata!", ADDRESS(INDEX($W$2:$W$1001,MATCH(ROWS($U$2:U547),$U$2:$U$1001,0),0), INDEX($AB$1004:$AQ$1004,1,MATCH(COLUMNS($AB$1006:AH1006),$AB$1006:$AQ$1006,0)))),"Fix")))</f>
        <v>0</v>
      </c>
      <c r="I547" s="5">
        <f>IF(OR(INDEX($V$2:$V$1001,MATCH(ROWS($U$2:U547),$U$2:$U$1001,0),1)&gt;=100000,INDEX($AB$1005:$AQ$1005,1,MATCH(COLUMNS($AB$1006:AI1006),$AB$1006:$AQ$1006,0))&gt;=100000), " ",IF(INDEX($AB$2:$AQ$1001,MATCH(ROWS($U$2:U547),$U$2:$U$1001,0),MATCH(COLUMNS($AB$1006:AI1006),$AB$1006:$AQ$1006,0)), HYPERLINK("#",""), HYPERLINK(CONCATENATE("#Metadata!", ADDRESS(INDEX($W$2:$W$1001,MATCH(ROWS($U$2:U547),$U$2:$U$1001,0),0), INDEX($AB$1004:$AQ$1004,1,MATCH(COLUMNS($AB$1006:AI1006),$AB$1006:$AQ$1006,0)))),"Fix")))</f>
        <v>0</v>
      </c>
      <c r="J547" s="5">
        <f>IF(OR(INDEX($V$2:$V$1001,MATCH(ROWS($U$2:U547),$U$2:$U$1001,0),1)&gt;=100000,INDEX($AB$1005:$AQ$1005,1,MATCH(COLUMNS($AB$1006:AJ1006),$AB$1006:$AQ$1006,0))&gt;=100000), " ",IF(INDEX($AB$2:$AQ$1001,MATCH(ROWS($U$2:U547),$U$2:$U$1001,0),MATCH(COLUMNS($AB$1006:AJ1006),$AB$1006:$AQ$1006,0)), HYPERLINK("#",""), HYPERLINK(CONCATENATE("#Metadata!", ADDRESS(INDEX($W$2:$W$1001,MATCH(ROWS($U$2:U547),$U$2:$U$1001,0),0), INDEX($AB$1004:$AQ$1004,1,MATCH(COLUMNS($AB$1006:AJ1006),$AB$1006:$AQ$1006,0)))),"Fix")))</f>
        <v>0</v>
      </c>
      <c r="K547" s="5">
        <f>IF(OR(INDEX($V$2:$V$1001,MATCH(ROWS($U$2:U547),$U$2:$U$1001,0),1)&gt;=100000,INDEX($AB$1005:$AQ$1005,1,MATCH(COLUMNS($AB$1006:AK1006),$AB$1006:$AQ$1006,0))&gt;=100000), " ",IF(INDEX($AB$2:$AQ$1001,MATCH(ROWS($U$2:U547),$U$2:$U$1001,0),MATCH(COLUMNS($AB$1006:AK1006),$AB$1006:$AQ$1006,0)), HYPERLINK("#",""), HYPERLINK(CONCATENATE("#Metadata!", ADDRESS(INDEX($W$2:$W$1001,MATCH(ROWS($U$2:U547),$U$2:$U$1001,0),0), INDEX($AB$1004:$AQ$1004,1,MATCH(COLUMNS($AB$1006:AK1006),$AB$1006:$AQ$1006,0)))),"Fix")))</f>
        <v>0</v>
      </c>
      <c r="L547" s="5">
        <f>IF(OR(INDEX($V$2:$V$1001,MATCH(ROWS($U$2:U547),$U$2:$U$1001,0),1)&gt;=100000,INDEX($AB$1005:$AQ$1005,1,MATCH(COLUMNS($AB$1006:AL1006),$AB$1006:$AQ$1006,0))&gt;=100000), " ",IF(INDEX($AB$2:$AQ$1001,MATCH(ROWS($U$2:U547),$U$2:$U$1001,0),MATCH(COLUMNS($AB$1006:AL1006),$AB$1006:$AQ$1006,0)), HYPERLINK("#",""), HYPERLINK(CONCATENATE("#Metadata!", ADDRESS(INDEX($W$2:$W$1001,MATCH(ROWS($U$2:U547),$U$2:$U$1001,0),0), INDEX($AB$1004:$AQ$1004,1,MATCH(COLUMNS($AB$1006:AL1006),$AB$1006:$AQ$1006,0)))),"Fix")))</f>
        <v>0</v>
      </c>
      <c r="M547" s="5">
        <f>IF(OR(INDEX($V$2:$V$1001,MATCH(ROWS($U$2:U547),$U$2:$U$1001,0),1)&gt;=100000,INDEX($AB$1005:$AQ$1005,1,MATCH(COLUMNS($AB$1006:AM1006),$AB$1006:$AQ$1006,0))&gt;=100000), " ",IF(INDEX($AB$2:$AQ$1001,MATCH(ROWS($U$2:U547),$U$2:$U$1001,0),MATCH(COLUMNS($AB$1006:AM1006),$AB$1006:$AQ$1006,0)), HYPERLINK("#",""), HYPERLINK(CONCATENATE("#Metadata!", ADDRESS(INDEX($W$2:$W$1001,MATCH(ROWS($U$2:U547),$U$2:$U$1001,0),0), INDEX($AB$1004:$AQ$1004,1,MATCH(COLUMNS($AB$1006:AM1006),$AB$1006:$AQ$1006,0)))),"Fix")))</f>
        <v>0</v>
      </c>
      <c r="N547" s="5">
        <f>IF(OR(INDEX($V$2:$V$1001,MATCH(ROWS($U$2:U547),$U$2:$U$1001,0),1)&gt;=100000,INDEX($AB$1005:$AQ$1005,1,MATCH(COLUMNS($AB$1006:AN1006),$AB$1006:$AQ$1006,0))&gt;=100000), " ",IF(INDEX($AB$2:$AQ$1001,MATCH(ROWS($U$2:U547),$U$2:$U$1001,0),MATCH(COLUMNS($AB$1006:AN1006),$AB$1006:$AQ$1006,0)), HYPERLINK("#",""), HYPERLINK(CONCATENATE("#Metadata!", ADDRESS(INDEX($W$2:$W$1001,MATCH(ROWS($U$2:U547),$U$2:$U$1001,0),0), INDEX($AB$1004:$AQ$1004,1,MATCH(COLUMNS($AB$1006:AN1006),$AB$1006:$AQ$1006,0)))),"Fix")))</f>
        <v>0</v>
      </c>
      <c r="O547" s="5">
        <f>IF(OR(INDEX($V$2:$V$1001,MATCH(ROWS($U$2:U547),$U$2:$U$1001,0),1)&gt;=100000,INDEX($AB$1005:$AQ$1005,1,MATCH(COLUMNS($AB$1006:AO1006),$AB$1006:$AQ$1006,0))&gt;=100000), " ",IF(INDEX($AB$2:$AQ$1001,MATCH(ROWS($U$2:U547),$U$2:$U$1001,0),MATCH(COLUMNS($AB$1006:AO1006),$AB$1006:$AQ$1006,0)), HYPERLINK("#",""), HYPERLINK(CONCATENATE("#Metadata!", ADDRESS(INDEX($W$2:$W$1001,MATCH(ROWS($U$2:U547),$U$2:$U$1001,0),0), INDEX($AB$1004:$AQ$1004,1,MATCH(COLUMNS($AB$1006:AO1006),$AB$1006:$AQ$1006,0)))),"Fix")))</f>
        <v>0</v>
      </c>
      <c r="P547" s="5">
        <f>IF(OR(INDEX($V$2:$V$1001,MATCH(ROWS($U$2:U547),$U$2:$U$1001,0),1)&gt;=100000,INDEX($AB$1005:$AQ$1005,1,MATCH(COLUMNS($AB$1006:AP1006),$AB$1006:$AQ$1006,0))&gt;=100000), " ",IF(INDEX($AB$2:$AQ$1001,MATCH(ROWS($U$2:U547),$U$2:$U$1001,0),MATCH(COLUMNS($AB$1006:AP1006),$AB$1006:$AQ$1006,0)), HYPERLINK("#",""), HYPERLINK(CONCATENATE("#Metadata!", ADDRESS(INDEX($W$2:$W$1001,MATCH(ROWS($U$2:U547),$U$2:$U$1001,0),0), INDEX($AB$1004:$AQ$1004,1,MATCH(COLUMNS($AB$1006:AP1006),$AB$1006:$AQ$1006,0)))),"Fix")))</f>
        <v>0</v>
      </c>
      <c r="Q547" s="5">
        <f>IF(OR(INDEX($V$2:$V$1001,MATCH(ROWS($U$2:U547),$U$2:$U$1001,0),1)&gt;=100000,INDEX($AB$1005:$AQ$1005,1,MATCH(COLUMNS($AB$1006:AQ1006),$AB$1006:$AQ$1006,0))&gt;=100000), " ",IF(INDEX($AB$2:$AQ$1001,MATCH(ROWS($U$2:U547),$U$2:$U$1001,0),MATCH(COLUMNS($AB$1006:AQ1006),$AB$1006:$AQ$1006,0)), HYPERLINK("#",""), HYPERLINK(CONCATENATE("#Metadata!", ADDRESS(INDEX($W$2:$W$1001,MATCH(ROWS($U$2:U547),$U$2:$U$1001,0),0), INDEX($AB$1004:$AQ$1004,1,MATCH(COLUMNS($AB$1006:AQ1006),$AB$1006:$AQ$1006,0)))),"Fix")))</f>
        <v>0</v>
      </c>
      <c r="U547">
        <v>0</v>
      </c>
      <c r="V547">
        <v>0</v>
      </c>
      <c r="W547">
        <v>0</v>
      </c>
      <c r="X547">
        <f>IF(Y547,TRUE,AND(AB547:AQ547))</f>
        <v>0</v>
      </c>
      <c r="Y547">
        <f>COUNTBLANK(Metadata!B547:Q547)=COLUMNS(Metadata!B547:Q547)</f>
        <v>0</v>
      </c>
      <c r="Z547">
        <v>0</v>
      </c>
      <c r="AB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AC547">
        <f>AND(IF(Metadata!C547="",FALSE,TRUE),exact(Metadata!C547,"urban biome"))</f>
        <v>0</v>
      </c>
      <c r="AD547">
        <f>AND(IF(Metadata!D547="",FALSE,TRUE),exact(Metadata!D547,"human-associated habitat"))</f>
        <v>0</v>
      </c>
      <c r="AE547">
        <f>AND(IF(Metadata!E547="",FALSE,TRUE),OR(exact(Metadata!E547,"human-associated"),exact(Metadata!E547,"human-skin"),exact(Metadata!E547,"human-oral"),exact(Metadata!E547,"human-gut"),exact(Metadata!E547,"human-vaginal")))</f>
        <v>0</v>
      </c>
      <c r="AF547">
        <f>AND(IF(Metadata!F547="",FALSE,ISNUMBER(VALUE(Metadata!F547))),Metadata!F547&gt;0)</f>
        <v>0</v>
      </c>
      <c r="AG547">
        <f>AND(IF(Metadata!G547="",FALSE,TRUE),exact(Metadata!G547,"years"))</f>
        <v>0</v>
      </c>
      <c r="AH547">
        <f>OR(AND(IF(Metadata!H547="",FALSE,TRUE),OR(exact(Metadata!H547,"not applicable"),exact(Metadata!H547,"not collected"),exact(Metadata!H547,"not provided"),exact(Metadata!H547,"restricted access"))),AND(IF(Metadata!H547="",FALSE,ISNUMBER(VALUE(Metadata!H547))),Metadata!H547&gt;0))</f>
        <v>0</v>
      </c>
      <c r="AI547">
        <f>AND(IF(Metadata!I547="",FALSE,TRUE),exact(Metadata!I547,"human"))</f>
        <v>0</v>
      </c>
      <c r="AJ547">
        <f>AND(IF(Metadata!J547="",FALSE,ISNUMBER(VALUE(Metadata!J547))),Metadata!J547&gt;0)</f>
        <v>0</v>
      </c>
      <c r="AK547">
        <f>AND(IF(Metadata!K547="",FALSE,TRUE),exact(Metadata!K547,"cm"))</f>
        <v>0</v>
      </c>
      <c r="AL547">
        <f>AND(IF(Metadata!L547="",FALSE,TRUE),exact(Metadata!L547,"Homo sapiens"))</f>
        <v>0</v>
      </c>
      <c r="AM547">
        <f>AND(IF(Metadata!M547="",FALSE,TRUE),exact(Metadata!M547,"9606"))</f>
        <v>0</v>
      </c>
      <c r="AN547">
        <f>AND(IF(Metadata!N547="",FALSE,ISNUMBER(VALUE(Metadata!N547))),Metadata!N547&gt;0)</f>
        <v>0</v>
      </c>
      <c r="AO547">
        <f>AND(IF(Metadata!O547="",FALSE,TRUE),exact(Metadata!O547,"kg"))</f>
        <v>0</v>
      </c>
      <c r="AP547">
        <f>OR(AND(IF(Metadata!P547="",FALSE,TRUE),exact(Metadata!P547,"not provided")),IF(Metadata!P547="",FALSE,TRUE))</f>
        <v>0</v>
      </c>
      <c r="AQ547">
        <f>OR(AND(IF(Metadata!Q547="",FALSE,TRUE),exact(Metadata!Q547,"not provided")),IF(Metadata!Q547="",FALSE,TRUE))</f>
        <v>0</v>
      </c>
    </row>
    <row r="548" spans="1:43">
      <c r="A548" s="4">
        <f>IF(B548=" "," ",HYPERLINK(CONCATENATE("#metadata!",ADDRESS(INDEX($W$2:$W$1001,MATCH(ROWS($U$2:U548),$U$2:$U$1001,0),0),2)),INDEX($Z$2:$Z$1001,MATCH(ROWS($U$2:U548),$U$2:$U$1001,0),0)))</f>
        <v>0</v>
      </c>
      <c r="B548" s="5">
        <f>IF(OR(INDEX($V$2:$V$1001,MATCH(ROWS($U$2:U548),$U$2:$U$1001,0),1)&gt;=100000,INDEX($AB$1005:$AQ$1005,1,MATCH(COLUMNS($AB$1006:AB1006),$AB$1006:$AQ$1006,0))&gt;=100000), " ",IF(INDEX($AB$2:$AQ$1001,MATCH(ROWS($U$2:U548),$U$2:$U$1001,0),MATCH(COLUMNS($AB$1006:AB1006),$AB$1006:$AQ$1006,0)), HYPERLINK("#",""), HYPERLINK(CONCATENATE("#Metadata!", ADDRESS(INDEX($W$2:$W$1001,MATCH(ROWS($U$2:U548),$U$2:$U$1001,0),0), INDEX($AB$1004:$AQ$1004,1,MATCH(COLUMNS($AB$1006:AB1006),$AB$1006:$AQ$1006,0)))),"Fix")))</f>
        <v>0</v>
      </c>
      <c r="C548" s="5">
        <f>IF(OR(INDEX($V$2:$V$1001,MATCH(ROWS($U$2:U548),$U$2:$U$1001,0),1)&gt;=100000,INDEX($AB$1005:$AQ$1005,1,MATCH(COLUMNS($AB$1006:AC1006),$AB$1006:$AQ$1006,0))&gt;=100000), " ",IF(INDEX($AB$2:$AQ$1001,MATCH(ROWS($U$2:U548),$U$2:$U$1001,0),MATCH(COLUMNS($AB$1006:AC1006),$AB$1006:$AQ$1006,0)), HYPERLINK("#",""), HYPERLINK(CONCATENATE("#Metadata!", ADDRESS(INDEX($W$2:$W$1001,MATCH(ROWS($U$2:U548),$U$2:$U$1001,0),0), INDEX($AB$1004:$AQ$1004,1,MATCH(COLUMNS($AB$1006:AC1006),$AB$1006:$AQ$1006,0)))),"Fix")))</f>
        <v>0</v>
      </c>
      <c r="D548" s="5">
        <f>IF(OR(INDEX($V$2:$V$1001,MATCH(ROWS($U$2:U548),$U$2:$U$1001,0),1)&gt;=100000,INDEX($AB$1005:$AQ$1005,1,MATCH(COLUMNS($AB$1006:AD1006),$AB$1006:$AQ$1006,0))&gt;=100000), " ",IF(INDEX($AB$2:$AQ$1001,MATCH(ROWS($U$2:U548),$U$2:$U$1001,0),MATCH(COLUMNS($AB$1006:AD1006),$AB$1006:$AQ$1006,0)), HYPERLINK("#",""), HYPERLINK(CONCATENATE("#Metadata!", ADDRESS(INDEX($W$2:$W$1001,MATCH(ROWS($U$2:U548),$U$2:$U$1001,0),0), INDEX($AB$1004:$AQ$1004,1,MATCH(COLUMNS($AB$1006:AD1006),$AB$1006:$AQ$1006,0)))),"Fix")))</f>
        <v>0</v>
      </c>
      <c r="E548" s="5">
        <f>IF(OR(INDEX($V$2:$V$1001,MATCH(ROWS($U$2:U548),$U$2:$U$1001,0),1)&gt;=100000,INDEX($AB$1005:$AQ$1005,1,MATCH(COLUMNS($AB$1006:AE1006),$AB$1006:$AQ$1006,0))&gt;=100000), " ",IF(INDEX($AB$2:$AQ$1001,MATCH(ROWS($U$2:U548),$U$2:$U$1001,0),MATCH(COLUMNS($AB$1006:AE1006),$AB$1006:$AQ$1006,0)), HYPERLINK("#",""), HYPERLINK(CONCATENATE("#Metadata!", ADDRESS(INDEX($W$2:$W$1001,MATCH(ROWS($U$2:U548),$U$2:$U$1001,0),0), INDEX($AB$1004:$AQ$1004,1,MATCH(COLUMNS($AB$1006:AE1006),$AB$1006:$AQ$1006,0)))),"Fix")))</f>
        <v>0</v>
      </c>
      <c r="F548" s="5">
        <f>IF(OR(INDEX($V$2:$V$1001,MATCH(ROWS($U$2:U548),$U$2:$U$1001,0),1)&gt;=100000,INDEX($AB$1005:$AQ$1005,1,MATCH(COLUMNS($AB$1006:AF1006),$AB$1006:$AQ$1006,0))&gt;=100000), " ",IF(INDEX($AB$2:$AQ$1001,MATCH(ROWS($U$2:U548),$U$2:$U$1001,0),MATCH(COLUMNS($AB$1006:AF1006),$AB$1006:$AQ$1006,0)), HYPERLINK("#",""), HYPERLINK(CONCATENATE("#Metadata!", ADDRESS(INDEX($W$2:$W$1001,MATCH(ROWS($U$2:U548),$U$2:$U$1001,0),0), INDEX($AB$1004:$AQ$1004,1,MATCH(COLUMNS($AB$1006:AF1006),$AB$1006:$AQ$1006,0)))),"Fix")))</f>
        <v>0</v>
      </c>
      <c r="G548" s="5">
        <f>IF(OR(INDEX($V$2:$V$1001,MATCH(ROWS($U$2:U548),$U$2:$U$1001,0),1)&gt;=100000,INDEX($AB$1005:$AQ$1005,1,MATCH(COLUMNS($AB$1006:AG1006),$AB$1006:$AQ$1006,0))&gt;=100000), " ",IF(INDEX($AB$2:$AQ$1001,MATCH(ROWS($U$2:U548),$U$2:$U$1001,0),MATCH(COLUMNS($AB$1006:AG1006),$AB$1006:$AQ$1006,0)), HYPERLINK("#",""), HYPERLINK(CONCATENATE("#Metadata!", ADDRESS(INDEX($W$2:$W$1001,MATCH(ROWS($U$2:U548),$U$2:$U$1001,0),0), INDEX($AB$1004:$AQ$1004,1,MATCH(COLUMNS($AB$1006:AG1006),$AB$1006:$AQ$1006,0)))),"Fix")))</f>
        <v>0</v>
      </c>
      <c r="H548" s="5">
        <f>IF(OR(INDEX($V$2:$V$1001,MATCH(ROWS($U$2:U548),$U$2:$U$1001,0),1)&gt;=100000,INDEX($AB$1005:$AQ$1005,1,MATCH(COLUMNS($AB$1006:AH1006),$AB$1006:$AQ$1006,0))&gt;=100000), " ",IF(INDEX($AB$2:$AQ$1001,MATCH(ROWS($U$2:U548),$U$2:$U$1001,0),MATCH(COLUMNS($AB$1006:AH1006),$AB$1006:$AQ$1006,0)), HYPERLINK("#",""), HYPERLINK(CONCATENATE("#Metadata!", ADDRESS(INDEX($W$2:$W$1001,MATCH(ROWS($U$2:U548),$U$2:$U$1001,0),0), INDEX($AB$1004:$AQ$1004,1,MATCH(COLUMNS($AB$1006:AH1006),$AB$1006:$AQ$1006,0)))),"Fix")))</f>
        <v>0</v>
      </c>
      <c r="I548" s="5">
        <f>IF(OR(INDEX($V$2:$V$1001,MATCH(ROWS($U$2:U548),$U$2:$U$1001,0),1)&gt;=100000,INDEX($AB$1005:$AQ$1005,1,MATCH(COLUMNS($AB$1006:AI1006),$AB$1006:$AQ$1006,0))&gt;=100000), " ",IF(INDEX($AB$2:$AQ$1001,MATCH(ROWS($U$2:U548),$U$2:$U$1001,0),MATCH(COLUMNS($AB$1006:AI1006),$AB$1006:$AQ$1006,0)), HYPERLINK("#",""), HYPERLINK(CONCATENATE("#Metadata!", ADDRESS(INDEX($W$2:$W$1001,MATCH(ROWS($U$2:U548),$U$2:$U$1001,0),0), INDEX($AB$1004:$AQ$1004,1,MATCH(COLUMNS($AB$1006:AI1006),$AB$1006:$AQ$1006,0)))),"Fix")))</f>
        <v>0</v>
      </c>
      <c r="J548" s="5">
        <f>IF(OR(INDEX($V$2:$V$1001,MATCH(ROWS($U$2:U548),$U$2:$U$1001,0),1)&gt;=100000,INDEX($AB$1005:$AQ$1005,1,MATCH(COLUMNS($AB$1006:AJ1006),$AB$1006:$AQ$1006,0))&gt;=100000), " ",IF(INDEX($AB$2:$AQ$1001,MATCH(ROWS($U$2:U548),$U$2:$U$1001,0),MATCH(COLUMNS($AB$1006:AJ1006),$AB$1006:$AQ$1006,0)), HYPERLINK("#",""), HYPERLINK(CONCATENATE("#Metadata!", ADDRESS(INDEX($W$2:$W$1001,MATCH(ROWS($U$2:U548),$U$2:$U$1001,0),0), INDEX($AB$1004:$AQ$1004,1,MATCH(COLUMNS($AB$1006:AJ1006),$AB$1006:$AQ$1006,0)))),"Fix")))</f>
        <v>0</v>
      </c>
      <c r="K548" s="5">
        <f>IF(OR(INDEX($V$2:$V$1001,MATCH(ROWS($U$2:U548),$U$2:$U$1001,0),1)&gt;=100000,INDEX($AB$1005:$AQ$1005,1,MATCH(COLUMNS($AB$1006:AK1006),$AB$1006:$AQ$1006,0))&gt;=100000), " ",IF(INDEX($AB$2:$AQ$1001,MATCH(ROWS($U$2:U548),$U$2:$U$1001,0),MATCH(COLUMNS($AB$1006:AK1006),$AB$1006:$AQ$1006,0)), HYPERLINK("#",""), HYPERLINK(CONCATENATE("#Metadata!", ADDRESS(INDEX($W$2:$W$1001,MATCH(ROWS($U$2:U548),$U$2:$U$1001,0),0), INDEX($AB$1004:$AQ$1004,1,MATCH(COLUMNS($AB$1006:AK1006),$AB$1006:$AQ$1006,0)))),"Fix")))</f>
        <v>0</v>
      </c>
      <c r="L548" s="5">
        <f>IF(OR(INDEX($V$2:$V$1001,MATCH(ROWS($U$2:U548),$U$2:$U$1001,0),1)&gt;=100000,INDEX($AB$1005:$AQ$1005,1,MATCH(COLUMNS($AB$1006:AL1006),$AB$1006:$AQ$1006,0))&gt;=100000), " ",IF(INDEX($AB$2:$AQ$1001,MATCH(ROWS($U$2:U548),$U$2:$U$1001,0),MATCH(COLUMNS($AB$1006:AL1006),$AB$1006:$AQ$1006,0)), HYPERLINK("#",""), HYPERLINK(CONCATENATE("#Metadata!", ADDRESS(INDEX($W$2:$W$1001,MATCH(ROWS($U$2:U548),$U$2:$U$1001,0),0), INDEX($AB$1004:$AQ$1004,1,MATCH(COLUMNS($AB$1006:AL1006),$AB$1006:$AQ$1006,0)))),"Fix")))</f>
        <v>0</v>
      </c>
      <c r="M548" s="5">
        <f>IF(OR(INDEX($V$2:$V$1001,MATCH(ROWS($U$2:U548),$U$2:$U$1001,0),1)&gt;=100000,INDEX($AB$1005:$AQ$1005,1,MATCH(COLUMNS($AB$1006:AM1006),$AB$1006:$AQ$1006,0))&gt;=100000), " ",IF(INDEX($AB$2:$AQ$1001,MATCH(ROWS($U$2:U548),$U$2:$U$1001,0),MATCH(COLUMNS($AB$1006:AM1006),$AB$1006:$AQ$1006,0)), HYPERLINK("#",""), HYPERLINK(CONCATENATE("#Metadata!", ADDRESS(INDEX($W$2:$W$1001,MATCH(ROWS($U$2:U548),$U$2:$U$1001,0),0), INDEX($AB$1004:$AQ$1004,1,MATCH(COLUMNS($AB$1006:AM1006),$AB$1006:$AQ$1006,0)))),"Fix")))</f>
        <v>0</v>
      </c>
      <c r="N548" s="5">
        <f>IF(OR(INDEX($V$2:$V$1001,MATCH(ROWS($U$2:U548),$U$2:$U$1001,0),1)&gt;=100000,INDEX($AB$1005:$AQ$1005,1,MATCH(COLUMNS($AB$1006:AN1006),$AB$1006:$AQ$1006,0))&gt;=100000), " ",IF(INDEX($AB$2:$AQ$1001,MATCH(ROWS($U$2:U548),$U$2:$U$1001,0),MATCH(COLUMNS($AB$1006:AN1006),$AB$1006:$AQ$1006,0)), HYPERLINK("#",""), HYPERLINK(CONCATENATE("#Metadata!", ADDRESS(INDEX($W$2:$W$1001,MATCH(ROWS($U$2:U548),$U$2:$U$1001,0),0), INDEX($AB$1004:$AQ$1004,1,MATCH(COLUMNS($AB$1006:AN1006),$AB$1006:$AQ$1006,0)))),"Fix")))</f>
        <v>0</v>
      </c>
      <c r="O548" s="5">
        <f>IF(OR(INDEX($V$2:$V$1001,MATCH(ROWS($U$2:U548),$U$2:$U$1001,0),1)&gt;=100000,INDEX($AB$1005:$AQ$1005,1,MATCH(COLUMNS($AB$1006:AO1006),$AB$1006:$AQ$1006,0))&gt;=100000), " ",IF(INDEX($AB$2:$AQ$1001,MATCH(ROWS($U$2:U548),$U$2:$U$1001,0),MATCH(COLUMNS($AB$1006:AO1006),$AB$1006:$AQ$1006,0)), HYPERLINK("#",""), HYPERLINK(CONCATENATE("#Metadata!", ADDRESS(INDEX($W$2:$W$1001,MATCH(ROWS($U$2:U548),$U$2:$U$1001,0),0), INDEX($AB$1004:$AQ$1004,1,MATCH(COLUMNS($AB$1006:AO1006),$AB$1006:$AQ$1006,0)))),"Fix")))</f>
        <v>0</v>
      </c>
      <c r="P548" s="5">
        <f>IF(OR(INDEX($V$2:$V$1001,MATCH(ROWS($U$2:U548),$U$2:$U$1001,0),1)&gt;=100000,INDEX($AB$1005:$AQ$1005,1,MATCH(COLUMNS($AB$1006:AP1006),$AB$1006:$AQ$1006,0))&gt;=100000), " ",IF(INDEX($AB$2:$AQ$1001,MATCH(ROWS($U$2:U548),$U$2:$U$1001,0),MATCH(COLUMNS($AB$1006:AP1006),$AB$1006:$AQ$1006,0)), HYPERLINK("#",""), HYPERLINK(CONCATENATE("#Metadata!", ADDRESS(INDEX($W$2:$W$1001,MATCH(ROWS($U$2:U548),$U$2:$U$1001,0),0), INDEX($AB$1004:$AQ$1004,1,MATCH(COLUMNS($AB$1006:AP1006),$AB$1006:$AQ$1006,0)))),"Fix")))</f>
        <v>0</v>
      </c>
      <c r="Q548" s="5">
        <f>IF(OR(INDEX($V$2:$V$1001,MATCH(ROWS($U$2:U548),$U$2:$U$1001,0),1)&gt;=100000,INDEX($AB$1005:$AQ$1005,1,MATCH(COLUMNS($AB$1006:AQ1006),$AB$1006:$AQ$1006,0))&gt;=100000), " ",IF(INDEX($AB$2:$AQ$1001,MATCH(ROWS($U$2:U548),$U$2:$U$1001,0),MATCH(COLUMNS($AB$1006:AQ1006),$AB$1006:$AQ$1006,0)), HYPERLINK("#",""), HYPERLINK(CONCATENATE("#Metadata!", ADDRESS(INDEX($W$2:$W$1001,MATCH(ROWS($U$2:U548),$U$2:$U$1001,0),0), INDEX($AB$1004:$AQ$1004,1,MATCH(COLUMNS($AB$1006:AQ1006),$AB$1006:$AQ$1006,0)))),"Fix")))</f>
        <v>0</v>
      </c>
      <c r="U548">
        <v>0</v>
      </c>
      <c r="V548">
        <v>0</v>
      </c>
      <c r="W548">
        <v>0</v>
      </c>
      <c r="X548">
        <f>IF(Y548,TRUE,AND(AB548:AQ548))</f>
        <v>0</v>
      </c>
      <c r="Y548">
        <f>COUNTBLANK(Metadata!B548:Q548)=COLUMNS(Metadata!B548:Q548)</f>
        <v>0</v>
      </c>
      <c r="Z548">
        <v>0</v>
      </c>
      <c r="AB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AC548">
        <f>AND(IF(Metadata!C548="",FALSE,TRUE),exact(Metadata!C548,"urban biome"))</f>
        <v>0</v>
      </c>
      <c r="AD548">
        <f>AND(IF(Metadata!D548="",FALSE,TRUE),exact(Metadata!D548,"human-associated habitat"))</f>
        <v>0</v>
      </c>
      <c r="AE548">
        <f>AND(IF(Metadata!E548="",FALSE,TRUE),OR(exact(Metadata!E548,"human-associated"),exact(Metadata!E548,"human-skin"),exact(Metadata!E548,"human-oral"),exact(Metadata!E548,"human-gut"),exact(Metadata!E548,"human-vaginal")))</f>
        <v>0</v>
      </c>
      <c r="AF548">
        <f>AND(IF(Metadata!F548="",FALSE,ISNUMBER(VALUE(Metadata!F548))),Metadata!F548&gt;0)</f>
        <v>0</v>
      </c>
      <c r="AG548">
        <f>AND(IF(Metadata!G548="",FALSE,TRUE),exact(Metadata!G548,"years"))</f>
        <v>0</v>
      </c>
      <c r="AH548">
        <f>OR(AND(IF(Metadata!H548="",FALSE,TRUE),OR(exact(Metadata!H548,"not applicable"),exact(Metadata!H548,"not collected"),exact(Metadata!H548,"not provided"),exact(Metadata!H548,"restricted access"))),AND(IF(Metadata!H548="",FALSE,ISNUMBER(VALUE(Metadata!H548))),Metadata!H548&gt;0))</f>
        <v>0</v>
      </c>
      <c r="AI548">
        <f>AND(IF(Metadata!I548="",FALSE,TRUE),exact(Metadata!I548,"human"))</f>
        <v>0</v>
      </c>
      <c r="AJ548">
        <f>AND(IF(Metadata!J548="",FALSE,ISNUMBER(VALUE(Metadata!J548))),Metadata!J548&gt;0)</f>
        <v>0</v>
      </c>
      <c r="AK548">
        <f>AND(IF(Metadata!K548="",FALSE,TRUE),exact(Metadata!K548,"cm"))</f>
        <v>0</v>
      </c>
      <c r="AL548">
        <f>AND(IF(Metadata!L548="",FALSE,TRUE),exact(Metadata!L548,"Homo sapiens"))</f>
        <v>0</v>
      </c>
      <c r="AM548">
        <f>AND(IF(Metadata!M548="",FALSE,TRUE),exact(Metadata!M548,"9606"))</f>
        <v>0</v>
      </c>
      <c r="AN548">
        <f>AND(IF(Metadata!N548="",FALSE,ISNUMBER(VALUE(Metadata!N548))),Metadata!N548&gt;0)</f>
        <v>0</v>
      </c>
      <c r="AO548">
        <f>AND(IF(Metadata!O548="",FALSE,TRUE),exact(Metadata!O548,"kg"))</f>
        <v>0</v>
      </c>
      <c r="AP548">
        <f>OR(AND(IF(Metadata!P548="",FALSE,TRUE),exact(Metadata!P548,"not provided")),IF(Metadata!P548="",FALSE,TRUE))</f>
        <v>0</v>
      </c>
      <c r="AQ548">
        <f>OR(AND(IF(Metadata!Q548="",FALSE,TRUE),exact(Metadata!Q548,"not provided")),IF(Metadata!Q548="",FALSE,TRUE))</f>
        <v>0</v>
      </c>
    </row>
    <row r="549" spans="1:43">
      <c r="A549" s="4">
        <f>IF(B549=" "," ",HYPERLINK(CONCATENATE("#metadata!",ADDRESS(INDEX($W$2:$W$1001,MATCH(ROWS($U$2:U549),$U$2:$U$1001,0),0),2)),INDEX($Z$2:$Z$1001,MATCH(ROWS($U$2:U549),$U$2:$U$1001,0),0)))</f>
        <v>0</v>
      </c>
      <c r="B549" s="5">
        <f>IF(OR(INDEX($V$2:$V$1001,MATCH(ROWS($U$2:U549),$U$2:$U$1001,0),1)&gt;=100000,INDEX($AB$1005:$AQ$1005,1,MATCH(COLUMNS($AB$1006:AB1006),$AB$1006:$AQ$1006,0))&gt;=100000), " ",IF(INDEX($AB$2:$AQ$1001,MATCH(ROWS($U$2:U549),$U$2:$U$1001,0),MATCH(COLUMNS($AB$1006:AB1006),$AB$1006:$AQ$1006,0)), HYPERLINK("#",""), HYPERLINK(CONCATENATE("#Metadata!", ADDRESS(INDEX($W$2:$W$1001,MATCH(ROWS($U$2:U549),$U$2:$U$1001,0),0), INDEX($AB$1004:$AQ$1004,1,MATCH(COLUMNS($AB$1006:AB1006),$AB$1006:$AQ$1006,0)))),"Fix")))</f>
        <v>0</v>
      </c>
      <c r="C549" s="5">
        <f>IF(OR(INDEX($V$2:$V$1001,MATCH(ROWS($U$2:U549),$U$2:$U$1001,0),1)&gt;=100000,INDEX($AB$1005:$AQ$1005,1,MATCH(COLUMNS($AB$1006:AC1006),$AB$1006:$AQ$1006,0))&gt;=100000), " ",IF(INDEX($AB$2:$AQ$1001,MATCH(ROWS($U$2:U549),$U$2:$U$1001,0),MATCH(COLUMNS($AB$1006:AC1006),$AB$1006:$AQ$1006,0)), HYPERLINK("#",""), HYPERLINK(CONCATENATE("#Metadata!", ADDRESS(INDEX($W$2:$W$1001,MATCH(ROWS($U$2:U549),$U$2:$U$1001,0),0), INDEX($AB$1004:$AQ$1004,1,MATCH(COLUMNS($AB$1006:AC1006),$AB$1006:$AQ$1006,0)))),"Fix")))</f>
        <v>0</v>
      </c>
      <c r="D549" s="5">
        <f>IF(OR(INDEX($V$2:$V$1001,MATCH(ROWS($U$2:U549),$U$2:$U$1001,0),1)&gt;=100000,INDEX($AB$1005:$AQ$1005,1,MATCH(COLUMNS($AB$1006:AD1006),$AB$1006:$AQ$1006,0))&gt;=100000), " ",IF(INDEX($AB$2:$AQ$1001,MATCH(ROWS($U$2:U549),$U$2:$U$1001,0),MATCH(COLUMNS($AB$1006:AD1006),$AB$1006:$AQ$1006,0)), HYPERLINK("#",""), HYPERLINK(CONCATENATE("#Metadata!", ADDRESS(INDEX($W$2:$W$1001,MATCH(ROWS($U$2:U549),$U$2:$U$1001,0),0), INDEX($AB$1004:$AQ$1004,1,MATCH(COLUMNS($AB$1006:AD1006),$AB$1006:$AQ$1006,0)))),"Fix")))</f>
        <v>0</v>
      </c>
      <c r="E549" s="5">
        <f>IF(OR(INDEX($V$2:$V$1001,MATCH(ROWS($U$2:U549),$U$2:$U$1001,0),1)&gt;=100000,INDEX($AB$1005:$AQ$1005,1,MATCH(COLUMNS($AB$1006:AE1006),$AB$1006:$AQ$1006,0))&gt;=100000), " ",IF(INDEX($AB$2:$AQ$1001,MATCH(ROWS($U$2:U549),$U$2:$U$1001,0),MATCH(COLUMNS($AB$1006:AE1006),$AB$1006:$AQ$1006,0)), HYPERLINK("#",""), HYPERLINK(CONCATENATE("#Metadata!", ADDRESS(INDEX($W$2:$W$1001,MATCH(ROWS($U$2:U549),$U$2:$U$1001,0),0), INDEX($AB$1004:$AQ$1004,1,MATCH(COLUMNS($AB$1006:AE1006),$AB$1006:$AQ$1006,0)))),"Fix")))</f>
        <v>0</v>
      </c>
      <c r="F549" s="5">
        <f>IF(OR(INDEX($V$2:$V$1001,MATCH(ROWS($U$2:U549),$U$2:$U$1001,0),1)&gt;=100000,INDEX($AB$1005:$AQ$1005,1,MATCH(COLUMNS($AB$1006:AF1006),$AB$1006:$AQ$1006,0))&gt;=100000), " ",IF(INDEX($AB$2:$AQ$1001,MATCH(ROWS($U$2:U549),$U$2:$U$1001,0),MATCH(COLUMNS($AB$1006:AF1006),$AB$1006:$AQ$1006,0)), HYPERLINK("#",""), HYPERLINK(CONCATENATE("#Metadata!", ADDRESS(INDEX($W$2:$W$1001,MATCH(ROWS($U$2:U549),$U$2:$U$1001,0),0), INDEX($AB$1004:$AQ$1004,1,MATCH(COLUMNS($AB$1006:AF1006),$AB$1006:$AQ$1006,0)))),"Fix")))</f>
        <v>0</v>
      </c>
      <c r="G549" s="5">
        <f>IF(OR(INDEX($V$2:$V$1001,MATCH(ROWS($U$2:U549),$U$2:$U$1001,0),1)&gt;=100000,INDEX($AB$1005:$AQ$1005,1,MATCH(COLUMNS($AB$1006:AG1006),$AB$1006:$AQ$1006,0))&gt;=100000), " ",IF(INDEX($AB$2:$AQ$1001,MATCH(ROWS($U$2:U549),$U$2:$U$1001,0),MATCH(COLUMNS($AB$1006:AG1006),$AB$1006:$AQ$1006,0)), HYPERLINK("#",""), HYPERLINK(CONCATENATE("#Metadata!", ADDRESS(INDEX($W$2:$W$1001,MATCH(ROWS($U$2:U549),$U$2:$U$1001,0),0), INDEX($AB$1004:$AQ$1004,1,MATCH(COLUMNS($AB$1006:AG1006),$AB$1006:$AQ$1006,0)))),"Fix")))</f>
        <v>0</v>
      </c>
      <c r="H549" s="5">
        <f>IF(OR(INDEX($V$2:$V$1001,MATCH(ROWS($U$2:U549),$U$2:$U$1001,0),1)&gt;=100000,INDEX($AB$1005:$AQ$1005,1,MATCH(COLUMNS($AB$1006:AH1006),$AB$1006:$AQ$1006,0))&gt;=100000), " ",IF(INDEX($AB$2:$AQ$1001,MATCH(ROWS($U$2:U549),$U$2:$U$1001,0),MATCH(COLUMNS($AB$1006:AH1006),$AB$1006:$AQ$1006,0)), HYPERLINK("#",""), HYPERLINK(CONCATENATE("#Metadata!", ADDRESS(INDEX($W$2:$W$1001,MATCH(ROWS($U$2:U549),$U$2:$U$1001,0),0), INDEX($AB$1004:$AQ$1004,1,MATCH(COLUMNS($AB$1006:AH1006),$AB$1006:$AQ$1006,0)))),"Fix")))</f>
        <v>0</v>
      </c>
      <c r="I549" s="5">
        <f>IF(OR(INDEX($V$2:$V$1001,MATCH(ROWS($U$2:U549),$U$2:$U$1001,0),1)&gt;=100000,INDEX($AB$1005:$AQ$1005,1,MATCH(COLUMNS($AB$1006:AI1006),$AB$1006:$AQ$1006,0))&gt;=100000), " ",IF(INDEX($AB$2:$AQ$1001,MATCH(ROWS($U$2:U549),$U$2:$U$1001,0),MATCH(COLUMNS($AB$1006:AI1006),$AB$1006:$AQ$1006,0)), HYPERLINK("#",""), HYPERLINK(CONCATENATE("#Metadata!", ADDRESS(INDEX($W$2:$W$1001,MATCH(ROWS($U$2:U549),$U$2:$U$1001,0),0), INDEX($AB$1004:$AQ$1004,1,MATCH(COLUMNS($AB$1006:AI1006),$AB$1006:$AQ$1006,0)))),"Fix")))</f>
        <v>0</v>
      </c>
      <c r="J549" s="5">
        <f>IF(OR(INDEX($V$2:$V$1001,MATCH(ROWS($U$2:U549),$U$2:$U$1001,0),1)&gt;=100000,INDEX($AB$1005:$AQ$1005,1,MATCH(COLUMNS($AB$1006:AJ1006),$AB$1006:$AQ$1006,0))&gt;=100000), " ",IF(INDEX($AB$2:$AQ$1001,MATCH(ROWS($U$2:U549),$U$2:$U$1001,0),MATCH(COLUMNS($AB$1006:AJ1006),$AB$1006:$AQ$1006,0)), HYPERLINK("#",""), HYPERLINK(CONCATENATE("#Metadata!", ADDRESS(INDEX($W$2:$W$1001,MATCH(ROWS($U$2:U549),$U$2:$U$1001,0),0), INDEX($AB$1004:$AQ$1004,1,MATCH(COLUMNS($AB$1006:AJ1006),$AB$1006:$AQ$1006,0)))),"Fix")))</f>
        <v>0</v>
      </c>
      <c r="K549" s="5">
        <f>IF(OR(INDEX($V$2:$V$1001,MATCH(ROWS($U$2:U549),$U$2:$U$1001,0),1)&gt;=100000,INDEX($AB$1005:$AQ$1005,1,MATCH(COLUMNS($AB$1006:AK1006),$AB$1006:$AQ$1006,0))&gt;=100000), " ",IF(INDEX($AB$2:$AQ$1001,MATCH(ROWS($U$2:U549),$U$2:$U$1001,0),MATCH(COLUMNS($AB$1006:AK1006),$AB$1006:$AQ$1006,0)), HYPERLINK("#",""), HYPERLINK(CONCATENATE("#Metadata!", ADDRESS(INDEX($W$2:$W$1001,MATCH(ROWS($U$2:U549),$U$2:$U$1001,0),0), INDEX($AB$1004:$AQ$1004,1,MATCH(COLUMNS($AB$1006:AK1006),$AB$1006:$AQ$1006,0)))),"Fix")))</f>
        <v>0</v>
      </c>
      <c r="L549" s="5">
        <f>IF(OR(INDEX($V$2:$V$1001,MATCH(ROWS($U$2:U549),$U$2:$U$1001,0),1)&gt;=100000,INDEX($AB$1005:$AQ$1005,1,MATCH(COLUMNS($AB$1006:AL1006),$AB$1006:$AQ$1006,0))&gt;=100000), " ",IF(INDEX($AB$2:$AQ$1001,MATCH(ROWS($U$2:U549),$U$2:$U$1001,0),MATCH(COLUMNS($AB$1006:AL1006),$AB$1006:$AQ$1006,0)), HYPERLINK("#",""), HYPERLINK(CONCATENATE("#Metadata!", ADDRESS(INDEX($W$2:$W$1001,MATCH(ROWS($U$2:U549),$U$2:$U$1001,0),0), INDEX($AB$1004:$AQ$1004,1,MATCH(COLUMNS($AB$1006:AL1006),$AB$1006:$AQ$1006,0)))),"Fix")))</f>
        <v>0</v>
      </c>
      <c r="M549" s="5">
        <f>IF(OR(INDEX($V$2:$V$1001,MATCH(ROWS($U$2:U549),$U$2:$U$1001,0),1)&gt;=100000,INDEX($AB$1005:$AQ$1005,1,MATCH(COLUMNS($AB$1006:AM1006),$AB$1006:$AQ$1006,0))&gt;=100000), " ",IF(INDEX($AB$2:$AQ$1001,MATCH(ROWS($U$2:U549),$U$2:$U$1001,0),MATCH(COLUMNS($AB$1006:AM1006),$AB$1006:$AQ$1006,0)), HYPERLINK("#",""), HYPERLINK(CONCATENATE("#Metadata!", ADDRESS(INDEX($W$2:$W$1001,MATCH(ROWS($U$2:U549),$U$2:$U$1001,0),0), INDEX($AB$1004:$AQ$1004,1,MATCH(COLUMNS($AB$1006:AM1006),$AB$1006:$AQ$1006,0)))),"Fix")))</f>
        <v>0</v>
      </c>
      <c r="N549" s="5">
        <f>IF(OR(INDEX($V$2:$V$1001,MATCH(ROWS($U$2:U549),$U$2:$U$1001,0),1)&gt;=100000,INDEX($AB$1005:$AQ$1005,1,MATCH(COLUMNS($AB$1006:AN1006),$AB$1006:$AQ$1006,0))&gt;=100000), " ",IF(INDEX($AB$2:$AQ$1001,MATCH(ROWS($U$2:U549),$U$2:$U$1001,0),MATCH(COLUMNS($AB$1006:AN1006),$AB$1006:$AQ$1006,0)), HYPERLINK("#",""), HYPERLINK(CONCATENATE("#Metadata!", ADDRESS(INDEX($W$2:$W$1001,MATCH(ROWS($U$2:U549),$U$2:$U$1001,0),0), INDEX($AB$1004:$AQ$1004,1,MATCH(COLUMNS($AB$1006:AN1006),$AB$1006:$AQ$1006,0)))),"Fix")))</f>
        <v>0</v>
      </c>
      <c r="O549" s="5">
        <f>IF(OR(INDEX($V$2:$V$1001,MATCH(ROWS($U$2:U549),$U$2:$U$1001,0),1)&gt;=100000,INDEX($AB$1005:$AQ$1005,1,MATCH(COLUMNS($AB$1006:AO1006),$AB$1006:$AQ$1006,0))&gt;=100000), " ",IF(INDEX($AB$2:$AQ$1001,MATCH(ROWS($U$2:U549),$U$2:$U$1001,0),MATCH(COLUMNS($AB$1006:AO1006),$AB$1006:$AQ$1006,0)), HYPERLINK("#",""), HYPERLINK(CONCATENATE("#Metadata!", ADDRESS(INDEX($W$2:$W$1001,MATCH(ROWS($U$2:U549),$U$2:$U$1001,0),0), INDEX($AB$1004:$AQ$1004,1,MATCH(COLUMNS($AB$1006:AO1006),$AB$1006:$AQ$1006,0)))),"Fix")))</f>
        <v>0</v>
      </c>
      <c r="P549" s="5">
        <f>IF(OR(INDEX($V$2:$V$1001,MATCH(ROWS($U$2:U549),$U$2:$U$1001,0),1)&gt;=100000,INDEX($AB$1005:$AQ$1005,1,MATCH(COLUMNS($AB$1006:AP1006),$AB$1006:$AQ$1006,0))&gt;=100000), " ",IF(INDEX($AB$2:$AQ$1001,MATCH(ROWS($U$2:U549),$U$2:$U$1001,0),MATCH(COLUMNS($AB$1006:AP1006),$AB$1006:$AQ$1006,0)), HYPERLINK("#",""), HYPERLINK(CONCATENATE("#Metadata!", ADDRESS(INDEX($W$2:$W$1001,MATCH(ROWS($U$2:U549),$U$2:$U$1001,0),0), INDEX($AB$1004:$AQ$1004,1,MATCH(COLUMNS($AB$1006:AP1006),$AB$1006:$AQ$1006,0)))),"Fix")))</f>
        <v>0</v>
      </c>
      <c r="Q549" s="5">
        <f>IF(OR(INDEX($V$2:$V$1001,MATCH(ROWS($U$2:U549),$U$2:$U$1001,0),1)&gt;=100000,INDEX($AB$1005:$AQ$1005,1,MATCH(COLUMNS($AB$1006:AQ1006),$AB$1006:$AQ$1006,0))&gt;=100000), " ",IF(INDEX($AB$2:$AQ$1001,MATCH(ROWS($U$2:U549),$U$2:$U$1001,0),MATCH(COLUMNS($AB$1006:AQ1006),$AB$1006:$AQ$1006,0)), HYPERLINK("#",""), HYPERLINK(CONCATENATE("#Metadata!", ADDRESS(INDEX($W$2:$W$1001,MATCH(ROWS($U$2:U549),$U$2:$U$1001,0),0), INDEX($AB$1004:$AQ$1004,1,MATCH(COLUMNS($AB$1006:AQ1006),$AB$1006:$AQ$1006,0)))),"Fix")))</f>
        <v>0</v>
      </c>
      <c r="U549">
        <v>0</v>
      </c>
      <c r="V549">
        <v>0</v>
      </c>
      <c r="W549">
        <v>0</v>
      </c>
      <c r="X549">
        <f>IF(Y549,TRUE,AND(AB549:AQ549))</f>
        <v>0</v>
      </c>
      <c r="Y549">
        <f>COUNTBLANK(Metadata!B549:Q549)=COLUMNS(Metadata!B549:Q549)</f>
        <v>0</v>
      </c>
      <c r="Z549">
        <v>0</v>
      </c>
      <c r="AB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AC549">
        <f>AND(IF(Metadata!C549="",FALSE,TRUE),exact(Metadata!C549,"urban biome"))</f>
        <v>0</v>
      </c>
      <c r="AD549">
        <f>AND(IF(Metadata!D549="",FALSE,TRUE),exact(Metadata!D549,"human-associated habitat"))</f>
        <v>0</v>
      </c>
      <c r="AE549">
        <f>AND(IF(Metadata!E549="",FALSE,TRUE),OR(exact(Metadata!E549,"human-associated"),exact(Metadata!E549,"human-skin"),exact(Metadata!E549,"human-oral"),exact(Metadata!E549,"human-gut"),exact(Metadata!E549,"human-vaginal")))</f>
        <v>0</v>
      </c>
      <c r="AF549">
        <f>AND(IF(Metadata!F549="",FALSE,ISNUMBER(VALUE(Metadata!F549))),Metadata!F549&gt;0)</f>
        <v>0</v>
      </c>
      <c r="AG549">
        <f>AND(IF(Metadata!G549="",FALSE,TRUE),exact(Metadata!G549,"years"))</f>
        <v>0</v>
      </c>
      <c r="AH549">
        <f>OR(AND(IF(Metadata!H549="",FALSE,TRUE),OR(exact(Metadata!H549,"not applicable"),exact(Metadata!H549,"not collected"),exact(Metadata!H549,"not provided"),exact(Metadata!H549,"restricted access"))),AND(IF(Metadata!H549="",FALSE,ISNUMBER(VALUE(Metadata!H549))),Metadata!H549&gt;0))</f>
        <v>0</v>
      </c>
      <c r="AI549">
        <f>AND(IF(Metadata!I549="",FALSE,TRUE),exact(Metadata!I549,"human"))</f>
        <v>0</v>
      </c>
      <c r="AJ549">
        <f>AND(IF(Metadata!J549="",FALSE,ISNUMBER(VALUE(Metadata!J549))),Metadata!J549&gt;0)</f>
        <v>0</v>
      </c>
      <c r="AK549">
        <f>AND(IF(Metadata!K549="",FALSE,TRUE),exact(Metadata!K549,"cm"))</f>
        <v>0</v>
      </c>
      <c r="AL549">
        <f>AND(IF(Metadata!L549="",FALSE,TRUE),exact(Metadata!L549,"Homo sapiens"))</f>
        <v>0</v>
      </c>
      <c r="AM549">
        <f>AND(IF(Metadata!M549="",FALSE,TRUE),exact(Metadata!M549,"9606"))</f>
        <v>0</v>
      </c>
      <c r="AN549">
        <f>AND(IF(Metadata!N549="",FALSE,ISNUMBER(VALUE(Metadata!N549))),Metadata!N549&gt;0)</f>
        <v>0</v>
      </c>
      <c r="AO549">
        <f>AND(IF(Metadata!O549="",FALSE,TRUE),exact(Metadata!O549,"kg"))</f>
        <v>0</v>
      </c>
      <c r="AP549">
        <f>OR(AND(IF(Metadata!P549="",FALSE,TRUE),exact(Metadata!P549,"not provided")),IF(Metadata!P549="",FALSE,TRUE))</f>
        <v>0</v>
      </c>
      <c r="AQ549">
        <f>OR(AND(IF(Metadata!Q549="",FALSE,TRUE),exact(Metadata!Q549,"not provided")),IF(Metadata!Q549="",FALSE,TRUE))</f>
        <v>0</v>
      </c>
    </row>
    <row r="550" spans="1:43">
      <c r="A550" s="4">
        <f>IF(B550=" "," ",HYPERLINK(CONCATENATE("#metadata!",ADDRESS(INDEX($W$2:$W$1001,MATCH(ROWS($U$2:U550),$U$2:$U$1001,0),0),2)),INDEX($Z$2:$Z$1001,MATCH(ROWS($U$2:U550),$U$2:$U$1001,0),0)))</f>
        <v>0</v>
      </c>
      <c r="B550" s="5">
        <f>IF(OR(INDEX($V$2:$V$1001,MATCH(ROWS($U$2:U550),$U$2:$U$1001,0),1)&gt;=100000,INDEX($AB$1005:$AQ$1005,1,MATCH(COLUMNS($AB$1006:AB1006),$AB$1006:$AQ$1006,0))&gt;=100000), " ",IF(INDEX($AB$2:$AQ$1001,MATCH(ROWS($U$2:U550),$U$2:$U$1001,0),MATCH(COLUMNS($AB$1006:AB1006),$AB$1006:$AQ$1006,0)), HYPERLINK("#",""), HYPERLINK(CONCATENATE("#Metadata!", ADDRESS(INDEX($W$2:$W$1001,MATCH(ROWS($U$2:U550),$U$2:$U$1001,0),0), INDEX($AB$1004:$AQ$1004,1,MATCH(COLUMNS($AB$1006:AB1006),$AB$1006:$AQ$1006,0)))),"Fix")))</f>
        <v>0</v>
      </c>
      <c r="C550" s="5">
        <f>IF(OR(INDEX($V$2:$V$1001,MATCH(ROWS($U$2:U550),$U$2:$U$1001,0),1)&gt;=100000,INDEX($AB$1005:$AQ$1005,1,MATCH(COLUMNS($AB$1006:AC1006),$AB$1006:$AQ$1006,0))&gt;=100000), " ",IF(INDEX($AB$2:$AQ$1001,MATCH(ROWS($U$2:U550),$U$2:$U$1001,0),MATCH(COLUMNS($AB$1006:AC1006),$AB$1006:$AQ$1006,0)), HYPERLINK("#",""), HYPERLINK(CONCATENATE("#Metadata!", ADDRESS(INDEX($W$2:$W$1001,MATCH(ROWS($U$2:U550),$U$2:$U$1001,0),0), INDEX($AB$1004:$AQ$1004,1,MATCH(COLUMNS($AB$1006:AC1006),$AB$1006:$AQ$1006,0)))),"Fix")))</f>
        <v>0</v>
      </c>
      <c r="D550" s="5">
        <f>IF(OR(INDEX($V$2:$V$1001,MATCH(ROWS($U$2:U550),$U$2:$U$1001,0),1)&gt;=100000,INDEX($AB$1005:$AQ$1005,1,MATCH(COLUMNS($AB$1006:AD1006),$AB$1006:$AQ$1006,0))&gt;=100000), " ",IF(INDEX($AB$2:$AQ$1001,MATCH(ROWS($U$2:U550),$U$2:$U$1001,0),MATCH(COLUMNS($AB$1006:AD1006),$AB$1006:$AQ$1006,0)), HYPERLINK("#",""), HYPERLINK(CONCATENATE("#Metadata!", ADDRESS(INDEX($W$2:$W$1001,MATCH(ROWS($U$2:U550),$U$2:$U$1001,0),0), INDEX($AB$1004:$AQ$1004,1,MATCH(COLUMNS($AB$1006:AD1006),$AB$1006:$AQ$1006,0)))),"Fix")))</f>
        <v>0</v>
      </c>
      <c r="E550" s="5">
        <f>IF(OR(INDEX($V$2:$V$1001,MATCH(ROWS($U$2:U550),$U$2:$U$1001,0),1)&gt;=100000,INDEX($AB$1005:$AQ$1005,1,MATCH(COLUMNS($AB$1006:AE1006),$AB$1006:$AQ$1006,0))&gt;=100000), " ",IF(INDEX($AB$2:$AQ$1001,MATCH(ROWS($U$2:U550),$U$2:$U$1001,0),MATCH(COLUMNS($AB$1006:AE1006),$AB$1006:$AQ$1006,0)), HYPERLINK("#",""), HYPERLINK(CONCATENATE("#Metadata!", ADDRESS(INDEX($W$2:$W$1001,MATCH(ROWS($U$2:U550),$U$2:$U$1001,0),0), INDEX($AB$1004:$AQ$1004,1,MATCH(COLUMNS($AB$1006:AE1006),$AB$1006:$AQ$1006,0)))),"Fix")))</f>
        <v>0</v>
      </c>
      <c r="F550" s="5">
        <f>IF(OR(INDEX($V$2:$V$1001,MATCH(ROWS($U$2:U550),$U$2:$U$1001,0),1)&gt;=100000,INDEX($AB$1005:$AQ$1005,1,MATCH(COLUMNS($AB$1006:AF1006),$AB$1006:$AQ$1006,0))&gt;=100000), " ",IF(INDEX($AB$2:$AQ$1001,MATCH(ROWS($U$2:U550),$U$2:$U$1001,0),MATCH(COLUMNS($AB$1006:AF1006),$AB$1006:$AQ$1006,0)), HYPERLINK("#",""), HYPERLINK(CONCATENATE("#Metadata!", ADDRESS(INDEX($W$2:$W$1001,MATCH(ROWS($U$2:U550),$U$2:$U$1001,0),0), INDEX($AB$1004:$AQ$1004,1,MATCH(COLUMNS($AB$1006:AF1006),$AB$1006:$AQ$1006,0)))),"Fix")))</f>
        <v>0</v>
      </c>
      <c r="G550" s="5">
        <f>IF(OR(INDEX($V$2:$V$1001,MATCH(ROWS($U$2:U550),$U$2:$U$1001,0),1)&gt;=100000,INDEX($AB$1005:$AQ$1005,1,MATCH(COLUMNS($AB$1006:AG1006),$AB$1006:$AQ$1006,0))&gt;=100000), " ",IF(INDEX($AB$2:$AQ$1001,MATCH(ROWS($U$2:U550),$U$2:$U$1001,0),MATCH(COLUMNS($AB$1006:AG1006),$AB$1006:$AQ$1006,0)), HYPERLINK("#",""), HYPERLINK(CONCATENATE("#Metadata!", ADDRESS(INDEX($W$2:$W$1001,MATCH(ROWS($U$2:U550),$U$2:$U$1001,0),0), INDEX($AB$1004:$AQ$1004,1,MATCH(COLUMNS($AB$1006:AG1006),$AB$1006:$AQ$1006,0)))),"Fix")))</f>
        <v>0</v>
      </c>
      <c r="H550" s="5">
        <f>IF(OR(INDEX($V$2:$V$1001,MATCH(ROWS($U$2:U550),$U$2:$U$1001,0),1)&gt;=100000,INDEX($AB$1005:$AQ$1005,1,MATCH(COLUMNS($AB$1006:AH1006),$AB$1006:$AQ$1006,0))&gt;=100000), " ",IF(INDEX($AB$2:$AQ$1001,MATCH(ROWS($U$2:U550),$U$2:$U$1001,0),MATCH(COLUMNS($AB$1006:AH1006),$AB$1006:$AQ$1006,0)), HYPERLINK("#",""), HYPERLINK(CONCATENATE("#Metadata!", ADDRESS(INDEX($W$2:$W$1001,MATCH(ROWS($U$2:U550),$U$2:$U$1001,0),0), INDEX($AB$1004:$AQ$1004,1,MATCH(COLUMNS($AB$1006:AH1006),$AB$1006:$AQ$1006,0)))),"Fix")))</f>
        <v>0</v>
      </c>
      <c r="I550" s="5">
        <f>IF(OR(INDEX($V$2:$V$1001,MATCH(ROWS($U$2:U550),$U$2:$U$1001,0),1)&gt;=100000,INDEX($AB$1005:$AQ$1005,1,MATCH(COLUMNS($AB$1006:AI1006),$AB$1006:$AQ$1006,0))&gt;=100000), " ",IF(INDEX($AB$2:$AQ$1001,MATCH(ROWS($U$2:U550),$U$2:$U$1001,0),MATCH(COLUMNS($AB$1006:AI1006),$AB$1006:$AQ$1006,0)), HYPERLINK("#",""), HYPERLINK(CONCATENATE("#Metadata!", ADDRESS(INDEX($W$2:$W$1001,MATCH(ROWS($U$2:U550),$U$2:$U$1001,0),0), INDEX($AB$1004:$AQ$1004,1,MATCH(COLUMNS($AB$1006:AI1006),$AB$1006:$AQ$1006,0)))),"Fix")))</f>
        <v>0</v>
      </c>
      <c r="J550" s="5">
        <f>IF(OR(INDEX($V$2:$V$1001,MATCH(ROWS($U$2:U550),$U$2:$U$1001,0),1)&gt;=100000,INDEX($AB$1005:$AQ$1005,1,MATCH(COLUMNS($AB$1006:AJ1006),$AB$1006:$AQ$1006,0))&gt;=100000), " ",IF(INDEX($AB$2:$AQ$1001,MATCH(ROWS($U$2:U550),$U$2:$U$1001,0),MATCH(COLUMNS($AB$1006:AJ1006),$AB$1006:$AQ$1006,0)), HYPERLINK("#",""), HYPERLINK(CONCATENATE("#Metadata!", ADDRESS(INDEX($W$2:$W$1001,MATCH(ROWS($U$2:U550),$U$2:$U$1001,0),0), INDEX($AB$1004:$AQ$1004,1,MATCH(COLUMNS($AB$1006:AJ1006),$AB$1006:$AQ$1006,0)))),"Fix")))</f>
        <v>0</v>
      </c>
      <c r="K550" s="5">
        <f>IF(OR(INDEX($V$2:$V$1001,MATCH(ROWS($U$2:U550),$U$2:$U$1001,0),1)&gt;=100000,INDEX($AB$1005:$AQ$1005,1,MATCH(COLUMNS($AB$1006:AK1006),$AB$1006:$AQ$1006,0))&gt;=100000), " ",IF(INDEX($AB$2:$AQ$1001,MATCH(ROWS($U$2:U550),$U$2:$U$1001,0),MATCH(COLUMNS($AB$1006:AK1006),$AB$1006:$AQ$1006,0)), HYPERLINK("#",""), HYPERLINK(CONCATENATE("#Metadata!", ADDRESS(INDEX($W$2:$W$1001,MATCH(ROWS($U$2:U550),$U$2:$U$1001,0),0), INDEX($AB$1004:$AQ$1004,1,MATCH(COLUMNS($AB$1006:AK1006),$AB$1006:$AQ$1006,0)))),"Fix")))</f>
        <v>0</v>
      </c>
      <c r="L550" s="5">
        <f>IF(OR(INDEX($V$2:$V$1001,MATCH(ROWS($U$2:U550),$U$2:$U$1001,0),1)&gt;=100000,INDEX($AB$1005:$AQ$1005,1,MATCH(COLUMNS($AB$1006:AL1006),$AB$1006:$AQ$1006,0))&gt;=100000), " ",IF(INDEX($AB$2:$AQ$1001,MATCH(ROWS($U$2:U550),$U$2:$U$1001,0),MATCH(COLUMNS($AB$1006:AL1006),$AB$1006:$AQ$1006,0)), HYPERLINK("#",""), HYPERLINK(CONCATENATE("#Metadata!", ADDRESS(INDEX($W$2:$W$1001,MATCH(ROWS($U$2:U550),$U$2:$U$1001,0),0), INDEX($AB$1004:$AQ$1004,1,MATCH(COLUMNS($AB$1006:AL1006),$AB$1006:$AQ$1006,0)))),"Fix")))</f>
        <v>0</v>
      </c>
      <c r="M550" s="5">
        <f>IF(OR(INDEX($V$2:$V$1001,MATCH(ROWS($U$2:U550),$U$2:$U$1001,0),1)&gt;=100000,INDEX($AB$1005:$AQ$1005,1,MATCH(COLUMNS($AB$1006:AM1006),$AB$1006:$AQ$1006,0))&gt;=100000), " ",IF(INDEX($AB$2:$AQ$1001,MATCH(ROWS($U$2:U550),$U$2:$U$1001,0),MATCH(COLUMNS($AB$1006:AM1006),$AB$1006:$AQ$1006,0)), HYPERLINK("#",""), HYPERLINK(CONCATENATE("#Metadata!", ADDRESS(INDEX($W$2:$W$1001,MATCH(ROWS($U$2:U550),$U$2:$U$1001,0),0), INDEX($AB$1004:$AQ$1004,1,MATCH(COLUMNS($AB$1006:AM1006),$AB$1006:$AQ$1006,0)))),"Fix")))</f>
        <v>0</v>
      </c>
      <c r="N550" s="5">
        <f>IF(OR(INDEX($V$2:$V$1001,MATCH(ROWS($U$2:U550),$U$2:$U$1001,0),1)&gt;=100000,INDEX($AB$1005:$AQ$1005,1,MATCH(COLUMNS($AB$1006:AN1006),$AB$1006:$AQ$1006,0))&gt;=100000), " ",IF(INDEX($AB$2:$AQ$1001,MATCH(ROWS($U$2:U550),$U$2:$U$1001,0),MATCH(COLUMNS($AB$1006:AN1006),$AB$1006:$AQ$1006,0)), HYPERLINK("#",""), HYPERLINK(CONCATENATE("#Metadata!", ADDRESS(INDEX($W$2:$W$1001,MATCH(ROWS($U$2:U550),$U$2:$U$1001,0),0), INDEX($AB$1004:$AQ$1004,1,MATCH(COLUMNS($AB$1006:AN1006),$AB$1006:$AQ$1006,0)))),"Fix")))</f>
        <v>0</v>
      </c>
      <c r="O550" s="5">
        <f>IF(OR(INDEX($V$2:$V$1001,MATCH(ROWS($U$2:U550),$U$2:$U$1001,0),1)&gt;=100000,INDEX($AB$1005:$AQ$1005,1,MATCH(COLUMNS($AB$1006:AO1006),$AB$1006:$AQ$1006,0))&gt;=100000), " ",IF(INDEX($AB$2:$AQ$1001,MATCH(ROWS($U$2:U550),$U$2:$U$1001,0),MATCH(COLUMNS($AB$1006:AO1006),$AB$1006:$AQ$1006,0)), HYPERLINK("#",""), HYPERLINK(CONCATENATE("#Metadata!", ADDRESS(INDEX($W$2:$W$1001,MATCH(ROWS($U$2:U550),$U$2:$U$1001,0),0), INDEX($AB$1004:$AQ$1004,1,MATCH(COLUMNS($AB$1006:AO1006),$AB$1006:$AQ$1006,0)))),"Fix")))</f>
        <v>0</v>
      </c>
      <c r="P550" s="5">
        <f>IF(OR(INDEX($V$2:$V$1001,MATCH(ROWS($U$2:U550),$U$2:$U$1001,0),1)&gt;=100000,INDEX($AB$1005:$AQ$1005,1,MATCH(COLUMNS($AB$1006:AP1006),$AB$1006:$AQ$1006,0))&gt;=100000), " ",IF(INDEX($AB$2:$AQ$1001,MATCH(ROWS($U$2:U550),$U$2:$U$1001,0),MATCH(COLUMNS($AB$1006:AP1006),$AB$1006:$AQ$1006,0)), HYPERLINK("#",""), HYPERLINK(CONCATENATE("#Metadata!", ADDRESS(INDEX($W$2:$W$1001,MATCH(ROWS($U$2:U550),$U$2:$U$1001,0),0), INDEX($AB$1004:$AQ$1004,1,MATCH(COLUMNS($AB$1006:AP1006),$AB$1006:$AQ$1006,0)))),"Fix")))</f>
        <v>0</v>
      </c>
      <c r="Q550" s="5">
        <f>IF(OR(INDEX($V$2:$V$1001,MATCH(ROWS($U$2:U550),$U$2:$U$1001,0),1)&gt;=100000,INDEX($AB$1005:$AQ$1005,1,MATCH(COLUMNS($AB$1006:AQ1006),$AB$1006:$AQ$1006,0))&gt;=100000), " ",IF(INDEX($AB$2:$AQ$1001,MATCH(ROWS($U$2:U550),$U$2:$U$1001,0),MATCH(COLUMNS($AB$1006:AQ1006),$AB$1006:$AQ$1006,0)), HYPERLINK("#",""), HYPERLINK(CONCATENATE("#Metadata!", ADDRESS(INDEX($W$2:$W$1001,MATCH(ROWS($U$2:U550),$U$2:$U$1001,0),0), INDEX($AB$1004:$AQ$1004,1,MATCH(COLUMNS($AB$1006:AQ1006),$AB$1006:$AQ$1006,0)))),"Fix")))</f>
        <v>0</v>
      </c>
      <c r="U550">
        <v>0</v>
      </c>
      <c r="V550">
        <v>0</v>
      </c>
      <c r="W550">
        <v>0</v>
      </c>
      <c r="X550">
        <f>IF(Y550,TRUE,AND(AB550:AQ550))</f>
        <v>0</v>
      </c>
      <c r="Y550">
        <f>COUNTBLANK(Metadata!B550:Q550)=COLUMNS(Metadata!B550:Q550)</f>
        <v>0</v>
      </c>
      <c r="Z550">
        <v>0</v>
      </c>
      <c r="AB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AC550">
        <f>AND(IF(Metadata!C550="",FALSE,TRUE),exact(Metadata!C550,"urban biome"))</f>
        <v>0</v>
      </c>
      <c r="AD550">
        <f>AND(IF(Metadata!D550="",FALSE,TRUE),exact(Metadata!D550,"human-associated habitat"))</f>
        <v>0</v>
      </c>
      <c r="AE550">
        <f>AND(IF(Metadata!E550="",FALSE,TRUE),OR(exact(Metadata!E550,"human-associated"),exact(Metadata!E550,"human-skin"),exact(Metadata!E550,"human-oral"),exact(Metadata!E550,"human-gut"),exact(Metadata!E550,"human-vaginal")))</f>
        <v>0</v>
      </c>
      <c r="AF550">
        <f>AND(IF(Metadata!F550="",FALSE,ISNUMBER(VALUE(Metadata!F550))),Metadata!F550&gt;0)</f>
        <v>0</v>
      </c>
      <c r="AG550">
        <f>AND(IF(Metadata!G550="",FALSE,TRUE),exact(Metadata!G550,"years"))</f>
        <v>0</v>
      </c>
      <c r="AH550">
        <f>OR(AND(IF(Metadata!H550="",FALSE,TRUE),OR(exact(Metadata!H550,"not applicable"),exact(Metadata!H550,"not collected"),exact(Metadata!H550,"not provided"),exact(Metadata!H550,"restricted access"))),AND(IF(Metadata!H550="",FALSE,ISNUMBER(VALUE(Metadata!H550))),Metadata!H550&gt;0))</f>
        <v>0</v>
      </c>
      <c r="AI550">
        <f>AND(IF(Metadata!I550="",FALSE,TRUE),exact(Metadata!I550,"human"))</f>
        <v>0</v>
      </c>
      <c r="AJ550">
        <f>AND(IF(Metadata!J550="",FALSE,ISNUMBER(VALUE(Metadata!J550))),Metadata!J550&gt;0)</f>
        <v>0</v>
      </c>
      <c r="AK550">
        <f>AND(IF(Metadata!K550="",FALSE,TRUE),exact(Metadata!K550,"cm"))</f>
        <v>0</v>
      </c>
      <c r="AL550">
        <f>AND(IF(Metadata!L550="",FALSE,TRUE),exact(Metadata!L550,"Homo sapiens"))</f>
        <v>0</v>
      </c>
      <c r="AM550">
        <f>AND(IF(Metadata!M550="",FALSE,TRUE),exact(Metadata!M550,"9606"))</f>
        <v>0</v>
      </c>
      <c r="AN550">
        <f>AND(IF(Metadata!N550="",FALSE,ISNUMBER(VALUE(Metadata!N550))),Metadata!N550&gt;0)</f>
        <v>0</v>
      </c>
      <c r="AO550">
        <f>AND(IF(Metadata!O550="",FALSE,TRUE),exact(Metadata!O550,"kg"))</f>
        <v>0</v>
      </c>
      <c r="AP550">
        <f>OR(AND(IF(Metadata!P550="",FALSE,TRUE),exact(Metadata!P550,"not provided")),IF(Metadata!P550="",FALSE,TRUE))</f>
        <v>0</v>
      </c>
      <c r="AQ550">
        <f>OR(AND(IF(Metadata!Q550="",FALSE,TRUE),exact(Metadata!Q550,"not provided")),IF(Metadata!Q550="",FALSE,TRUE))</f>
        <v>0</v>
      </c>
    </row>
    <row r="551" spans="1:43">
      <c r="A551" s="4">
        <f>IF(B551=" "," ",HYPERLINK(CONCATENATE("#metadata!",ADDRESS(INDEX($W$2:$W$1001,MATCH(ROWS($U$2:U551),$U$2:$U$1001,0),0),2)),INDEX($Z$2:$Z$1001,MATCH(ROWS($U$2:U551),$U$2:$U$1001,0),0)))</f>
        <v>0</v>
      </c>
      <c r="B551" s="5">
        <f>IF(OR(INDEX($V$2:$V$1001,MATCH(ROWS($U$2:U551),$U$2:$U$1001,0),1)&gt;=100000,INDEX($AB$1005:$AQ$1005,1,MATCH(COLUMNS($AB$1006:AB1006),$AB$1006:$AQ$1006,0))&gt;=100000), " ",IF(INDEX($AB$2:$AQ$1001,MATCH(ROWS($U$2:U551),$U$2:$U$1001,0),MATCH(COLUMNS($AB$1006:AB1006),$AB$1006:$AQ$1006,0)), HYPERLINK("#",""), HYPERLINK(CONCATENATE("#Metadata!", ADDRESS(INDEX($W$2:$W$1001,MATCH(ROWS($U$2:U551),$U$2:$U$1001,0),0), INDEX($AB$1004:$AQ$1004,1,MATCH(COLUMNS($AB$1006:AB1006),$AB$1006:$AQ$1006,0)))),"Fix")))</f>
        <v>0</v>
      </c>
      <c r="C551" s="5">
        <f>IF(OR(INDEX($V$2:$V$1001,MATCH(ROWS($U$2:U551),$U$2:$U$1001,0),1)&gt;=100000,INDEX($AB$1005:$AQ$1005,1,MATCH(COLUMNS($AB$1006:AC1006),$AB$1006:$AQ$1006,0))&gt;=100000), " ",IF(INDEX($AB$2:$AQ$1001,MATCH(ROWS($U$2:U551),$U$2:$U$1001,0),MATCH(COLUMNS($AB$1006:AC1006),$AB$1006:$AQ$1006,0)), HYPERLINK("#",""), HYPERLINK(CONCATENATE("#Metadata!", ADDRESS(INDEX($W$2:$W$1001,MATCH(ROWS($U$2:U551),$U$2:$U$1001,0),0), INDEX($AB$1004:$AQ$1004,1,MATCH(COLUMNS($AB$1006:AC1006),$AB$1006:$AQ$1006,0)))),"Fix")))</f>
        <v>0</v>
      </c>
      <c r="D551" s="5">
        <f>IF(OR(INDEX($V$2:$V$1001,MATCH(ROWS($U$2:U551),$U$2:$U$1001,0),1)&gt;=100000,INDEX($AB$1005:$AQ$1005,1,MATCH(COLUMNS($AB$1006:AD1006),$AB$1006:$AQ$1006,0))&gt;=100000), " ",IF(INDEX($AB$2:$AQ$1001,MATCH(ROWS($U$2:U551),$U$2:$U$1001,0),MATCH(COLUMNS($AB$1006:AD1006),$AB$1006:$AQ$1006,0)), HYPERLINK("#",""), HYPERLINK(CONCATENATE("#Metadata!", ADDRESS(INDEX($W$2:$W$1001,MATCH(ROWS($U$2:U551),$U$2:$U$1001,0),0), INDEX($AB$1004:$AQ$1004,1,MATCH(COLUMNS($AB$1006:AD1006),$AB$1006:$AQ$1006,0)))),"Fix")))</f>
        <v>0</v>
      </c>
      <c r="E551" s="5">
        <f>IF(OR(INDEX($V$2:$V$1001,MATCH(ROWS($U$2:U551),$U$2:$U$1001,0),1)&gt;=100000,INDEX($AB$1005:$AQ$1005,1,MATCH(COLUMNS($AB$1006:AE1006),$AB$1006:$AQ$1006,0))&gt;=100000), " ",IF(INDEX($AB$2:$AQ$1001,MATCH(ROWS($U$2:U551),$U$2:$U$1001,0),MATCH(COLUMNS($AB$1006:AE1006),$AB$1006:$AQ$1006,0)), HYPERLINK("#",""), HYPERLINK(CONCATENATE("#Metadata!", ADDRESS(INDEX($W$2:$W$1001,MATCH(ROWS($U$2:U551),$U$2:$U$1001,0),0), INDEX($AB$1004:$AQ$1004,1,MATCH(COLUMNS($AB$1006:AE1006),$AB$1006:$AQ$1006,0)))),"Fix")))</f>
        <v>0</v>
      </c>
      <c r="F551" s="5">
        <f>IF(OR(INDEX($V$2:$V$1001,MATCH(ROWS($U$2:U551),$U$2:$U$1001,0),1)&gt;=100000,INDEX($AB$1005:$AQ$1005,1,MATCH(COLUMNS($AB$1006:AF1006),$AB$1006:$AQ$1006,0))&gt;=100000), " ",IF(INDEX($AB$2:$AQ$1001,MATCH(ROWS($U$2:U551),$U$2:$U$1001,0),MATCH(COLUMNS($AB$1006:AF1006),$AB$1006:$AQ$1006,0)), HYPERLINK("#",""), HYPERLINK(CONCATENATE("#Metadata!", ADDRESS(INDEX($W$2:$W$1001,MATCH(ROWS($U$2:U551),$U$2:$U$1001,0),0), INDEX($AB$1004:$AQ$1004,1,MATCH(COLUMNS($AB$1006:AF1006),$AB$1006:$AQ$1006,0)))),"Fix")))</f>
        <v>0</v>
      </c>
      <c r="G551" s="5">
        <f>IF(OR(INDEX($V$2:$V$1001,MATCH(ROWS($U$2:U551),$U$2:$U$1001,0),1)&gt;=100000,INDEX($AB$1005:$AQ$1005,1,MATCH(COLUMNS($AB$1006:AG1006),$AB$1006:$AQ$1006,0))&gt;=100000), " ",IF(INDEX($AB$2:$AQ$1001,MATCH(ROWS($U$2:U551),$U$2:$U$1001,0),MATCH(COLUMNS($AB$1006:AG1006),$AB$1006:$AQ$1006,0)), HYPERLINK("#",""), HYPERLINK(CONCATENATE("#Metadata!", ADDRESS(INDEX($W$2:$W$1001,MATCH(ROWS($U$2:U551),$U$2:$U$1001,0),0), INDEX($AB$1004:$AQ$1004,1,MATCH(COLUMNS($AB$1006:AG1006),$AB$1006:$AQ$1006,0)))),"Fix")))</f>
        <v>0</v>
      </c>
      <c r="H551" s="5">
        <f>IF(OR(INDEX($V$2:$V$1001,MATCH(ROWS($U$2:U551),$U$2:$U$1001,0),1)&gt;=100000,INDEX($AB$1005:$AQ$1005,1,MATCH(COLUMNS($AB$1006:AH1006),$AB$1006:$AQ$1006,0))&gt;=100000), " ",IF(INDEX($AB$2:$AQ$1001,MATCH(ROWS($U$2:U551),$U$2:$U$1001,0),MATCH(COLUMNS($AB$1006:AH1006),$AB$1006:$AQ$1006,0)), HYPERLINK("#",""), HYPERLINK(CONCATENATE("#Metadata!", ADDRESS(INDEX($W$2:$W$1001,MATCH(ROWS($U$2:U551),$U$2:$U$1001,0),0), INDEX($AB$1004:$AQ$1004,1,MATCH(COLUMNS($AB$1006:AH1006),$AB$1006:$AQ$1006,0)))),"Fix")))</f>
        <v>0</v>
      </c>
      <c r="I551" s="5">
        <f>IF(OR(INDEX($V$2:$V$1001,MATCH(ROWS($U$2:U551),$U$2:$U$1001,0),1)&gt;=100000,INDEX($AB$1005:$AQ$1005,1,MATCH(COLUMNS($AB$1006:AI1006),$AB$1006:$AQ$1006,0))&gt;=100000), " ",IF(INDEX($AB$2:$AQ$1001,MATCH(ROWS($U$2:U551),$U$2:$U$1001,0),MATCH(COLUMNS($AB$1006:AI1006),$AB$1006:$AQ$1006,0)), HYPERLINK("#",""), HYPERLINK(CONCATENATE("#Metadata!", ADDRESS(INDEX($W$2:$W$1001,MATCH(ROWS($U$2:U551),$U$2:$U$1001,0),0), INDEX($AB$1004:$AQ$1004,1,MATCH(COLUMNS($AB$1006:AI1006),$AB$1006:$AQ$1006,0)))),"Fix")))</f>
        <v>0</v>
      </c>
      <c r="J551" s="5">
        <f>IF(OR(INDEX($V$2:$V$1001,MATCH(ROWS($U$2:U551),$U$2:$U$1001,0),1)&gt;=100000,INDEX($AB$1005:$AQ$1005,1,MATCH(COLUMNS($AB$1006:AJ1006),$AB$1006:$AQ$1006,0))&gt;=100000), " ",IF(INDEX($AB$2:$AQ$1001,MATCH(ROWS($U$2:U551),$U$2:$U$1001,0),MATCH(COLUMNS($AB$1006:AJ1006),$AB$1006:$AQ$1006,0)), HYPERLINK("#",""), HYPERLINK(CONCATENATE("#Metadata!", ADDRESS(INDEX($W$2:$W$1001,MATCH(ROWS($U$2:U551),$U$2:$U$1001,0),0), INDEX($AB$1004:$AQ$1004,1,MATCH(COLUMNS($AB$1006:AJ1006),$AB$1006:$AQ$1006,0)))),"Fix")))</f>
        <v>0</v>
      </c>
      <c r="K551" s="5">
        <f>IF(OR(INDEX($V$2:$V$1001,MATCH(ROWS($U$2:U551),$U$2:$U$1001,0),1)&gt;=100000,INDEX($AB$1005:$AQ$1005,1,MATCH(COLUMNS($AB$1006:AK1006),$AB$1006:$AQ$1006,0))&gt;=100000), " ",IF(INDEX($AB$2:$AQ$1001,MATCH(ROWS($U$2:U551),$U$2:$U$1001,0),MATCH(COLUMNS($AB$1006:AK1006),$AB$1006:$AQ$1006,0)), HYPERLINK("#",""), HYPERLINK(CONCATENATE("#Metadata!", ADDRESS(INDEX($W$2:$W$1001,MATCH(ROWS($U$2:U551),$U$2:$U$1001,0),0), INDEX($AB$1004:$AQ$1004,1,MATCH(COLUMNS($AB$1006:AK1006),$AB$1006:$AQ$1006,0)))),"Fix")))</f>
        <v>0</v>
      </c>
      <c r="L551" s="5">
        <f>IF(OR(INDEX($V$2:$V$1001,MATCH(ROWS($U$2:U551),$U$2:$U$1001,0),1)&gt;=100000,INDEX($AB$1005:$AQ$1005,1,MATCH(COLUMNS($AB$1006:AL1006),$AB$1006:$AQ$1006,0))&gt;=100000), " ",IF(INDEX($AB$2:$AQ$1001,MATCH(ROWS($U$2:U551),$U$2:$U$1001,0),MATCH(COLUMNS($AB$1006:AL1006),$AB$1006:$AQ$1006,0)), HYPERLINK("#",""), HYPERLINK(CONCATENATE("#Metadata!", ADDRESS(INDEX($W$2:$W$1001,MATCH(ROWS($U$2:U551),$U$2:$U$1001,0),0), INDEX($AB$1004:$AQ$1004,1,MATCH(COLUMNS($AB$1006:AL1006),$AB$1006:$AQ$1006,0)))),"Fix")))</f>
        <v>0</v>
      </c>
      <c r="M551" s="5">
        <f>IF(OR(INDEX($V$2:$V$1001,MATCH(ROWS($U$2:U551),$U$2:$U$1001,0),1)&gt;=100000,INDEX($AB$1005:$AQ$1005,1,MATCH(COLUMNS($AB$1006:AM1006),$AB$1006:$AQ$1006,0))&gt;=100000), " ",IF(INDEX($AB$2:$AQ$1001,MATCH(ROWS($U$2:U551),$U$2:$U$1001,0),MATCH(COLUMNS($AB$1006:AM1006),$AB$1006:$AQ$1006,0)), HYPERLINK("#",""), HYPERLINK(CONCATENATE("#Metadata!", ADDRESS(INDEX($W$2:$W$1001,MATCH(ROWS($U$2:U551),$U$2:$U$1001,0),0), INDEX($AB$1004:$AQ$1004,1,MATCH(COLUMNS($AB$1006:AM1006),$AB$1006:$AQ$1006,0)))),"Fix")))</f>
        <v>0</v>
      </c>
      <c r="N551" s="5">
        <f>IF(OR(INDEX($V$2:$V$1001,MATCH(ROWS($U$2:U551),$U$2:$U$1001,0),1)&gt;=100000,INDEX($AB$1005:$AQ$1005,1,MATCH(COLUMNS($AB$1006:AN1006),$AB$1006:$AQ$1006,0))&gt;=100000), " ",IF(INDEX($AB$2:$AQ$1001,MATCH(ROWS($U$2:U551),$U$2:$U$1001,0),MATCH(COLUMNS($AB$1006:AN1006),$AB$1006:$AQ$1006,0)), HYPERLINK("#",""), HYPERLINK(CONCATENATE("#Metadata!", ADDRESS(INDEX($W$2:$W$1001,MATCH(ROWS($U$2:U551),$U$2:$U$1001,0),0), INDEX($AB$1004:$AQ$1004,1,MATCH(COLUMNS($AB$1006:AN1006),$AB$1006:$AQ$1006,0)))),"Fix")))</f>
        <v>0</v>
      </c>
      <c r="O551" s="5">
        <f>IF(OR(INDEX($V$2:$V$1001,MATCH(ROWS($U$2:U551),$U$2:$U$1001,0),1)&gt;=100000,INDEX($AB$1005:$AQ$1005,1,MATCH(COLUMNS($AB$1006:AO1006),$AB$1006:$AQ$1006,0))&gt;=100000), " ",IF(INDEX($AB$2:$AQ$1001,MATCH(ROWS($U$2:U551),$U$2:$U$1001,0),MATCH(COLUMNS($AB$1006:AO1006),$AB$1006:$AQ$1006,0)), HYPERLINK("#",""), HYPERLINK(CONCATENATE("#Metadata!", ADDRESS(INDEX($W$2:$W$1001,MATCH(ROWS($U$2:U551),$U$2:$U$1001,0),0), INDEX($AB$1004:$AQ$1004,1,MATCH(COLUMNS($AB$1006:AO1006),$AB$1006:$AQ$1006,0)))),"Fix")))</f>
        <v>0</v>
      </c>
      <c r="P551" s="5">
        <f>IF(OR(INDEX($V$2:$V$1001,MATCH(ROWS($U$2:U551),$U$2:$U$1001,0),1)&gt;=100000,INDEX($AB$1005:$AQ$1005,1,MATCH(COLUMNS($AB$1006:AP1006),$AB$1006:$AQ$1006,0))&gt;=100000), " ",IF(INDEX($AB$2:$AQ$1001,MATCH(ROWS($U$2:U551),$U$2:$U$1001,0),MATCH(COLUMNS($AB$1006:AP1006),$AB$1006:$AQ$1006,0)), HYPERLINK("#",""), HYPERLINK(CONCATENATE("#Metadata!", ADDRESS(INDEX($W$2:$W$1001,MATCH(ROWS($U$2:U551),$U$2:$U$1001,0),0), INDEX($AB$1004:$AQ$1004,1,MATCH(COLUMNS($AB$1006:AP1006),$AB$1006:$AQ$1006,0)))),"Fix")))</f>
        <v>0</v>
      </c>
      <c r="Q551" s="5">
        <f>IF(OR(INDEX($V$2:$V$1001,MATCH(ROWS($U$2:U551),$U$2:$U$1001,0),1)&gt;=100000,INDEX($AB$1005:$AQ$1005,1,MATCH(COLUMNS($AB$1006:AQ1006),$AB$1006:$AQ$1006,0))&gt;=100000), " ",IF(INDEX($AB$2:$AQ$1001,MATCH(ROWS($U$2:U551),$U$2:$U$1001,0),MATCH(COLUMNS($AB$1006:AQ1006),$AB$1006:$AQ$1006,0)), HYPERLINK("#",""), HYPERLINK(CONCATENATE("#Metadata!", ADDRESS(INDEX($W$2:$W$1001,MATCH(ROWS($U$2:U551),$U$2:$U$1001,0),0), INDEX($AB$1004:$AQ$1004,1,MATCH(COLUMNS($AB$1006:AQ1006),$AB$1006:$AQ$1006,0)))),"Fix")))</f>
        <v>0</v>
      </c>
      <c r="U551">
        <v>0</v>
      </c>
      <c r="V551">
        <v>0</v>
      </c>
      <c r="W551">
        <v>0</v>
      </c>
      <c r="X551">
        <f>IF(Y551,TRUE,AND(AB551:AQ551))</f>
        <v>0</v>
      </c>
      <c r="Y551">
        <f>COUNTBLANK(Metadata!B551:Q551)=COLUMNS(Metadata!B551:Q551)</f>
        <v>0</v>
      </c>
      <c r="Z551">
        <v>0</v>
      </c>
      <c r="AB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AC551">
        <f>AND(IF(Metadata!C551="",FALSE,TRUE),exact(Metadata!C551,"urban biome"))</f>
        <v>0</v>
      </c>
      <c r="AD551">
        <f>AND(IF(Metadata!D551="",FALSE,TRUE),exact(Metadata!D551,"human-associated habitat"))</f>
        <v>0</v>
      </c>
      <c r="AE551">
        <f>AND(IF(Metadata!E551="",FALSE,TRUE),OR(exact(Metadata!E551,"human-associated"),exact(Metadata!E551,"human-skin"),exact(Metadata!E551,"human-oral"),exact(Metadata!E551,"human-gut"),exact(Metadata!E551,"human-vaginal")))</f>
        <v>0</v>
      </c>
      <c r="AF551">
        <f>AND(IF(Metadata!F551="",FALSE,ISNUMBER(VALUE(Metadata!F551))),Metadata!F551&gt;0)</f>
        <v>0</v>
      </c>
      <c r="AG551">
        <f>AND(IF(Metadata!G551="",FALSE,TRUE),exact(Metadata!G551,"years"))</f>
        <v>0</v>
      </c>
      <c r="AH551">
        <f>OR(AND(IF(Metadata!H551="",FALSE,TRUE),OR(exact(Metadata!H551,"not applicable"),exact(Metadata!H551,"not collected"),exact(Metadata!H551,"not provided"),exact(Metadata!H551,"restricted access"))),AND(IF(Metadata!H551="",FALSE,ISNUMBER(VALUE(Metadata!H551))),Metadata!H551&gt;0))</f>
        <v>0</v>
      </c>
      <c r="AI551">
        <f>AND(IF(Metadata!I551="",FALSE,TRUE),exact(Metadata!I551,"human"))</f>
        <v>0</v>
      </c>
      <c r="AJ551">
        <f>AND(IF(Metadata!J551="",FALSE,ISNUMBER(VALUE(Metadata!J551))),Metadata!J551&gt;0)</f>
        <v>0</v>
      </c>
      <c r="AK551">
        <f>AND(IF(Metadata!K551="",FALSE,TRUE),exact(Metadata!K551,"cm"))</f>
        <v>0</v>
      </c>
      <c r="AL551">
        <f>AND(IF(Metadata!L551="",FALSE,TRUE),exact(Metadata!L551,"Homo sapiens"))</f>
        <v>0</v>
      </c>
      <c r="AM551">
        <f>AND(IF(Metadata!M551="",FALSE,TRUE),exact(Metadata!M551,"9606"))</f>
        <v>0</v>
      </c>
      <c r="AN551">
        <f>AND(IF(Metadata!N551="",FALSE,ISNUMBER(VALUE(Metadata!N551))),Metadata!N551&gt;0)</f>
        <v>0</v>
      </c>
      <c r="AO551">
        <f>AND(IF(Metadata!O551="",FALSE,TRUE),exact(Metadata!O551,"kg"))</f>
        <v>0</v>
      </c>
      <c r="AP551">
        <f>OR(AND(IF(Metadata!P551="",FALSE,TRUE),exact(Metadata!P551,"not provided")),IF(Metadata!P551="",FALSE,TRUE))</f>
        <v>0</v>
      </c>
      <c r="AQ551">
        <f>OR(AND(IF(Metadata!Q551="",FALSE,TRUE),exact(Metadata!Q551,"not provided")),IF(Metadata!Q551="",FALSE,TRUE))</f>
        <v>0</v>
      </c>
    </row>
    <row r="552" spans="1:43">
      <c r="A552" s="4">
        <f>IF(B552=" "," ",HYPERLINK(CONCATENATE("#metadata!",ADDRESS(INDEX($W$2:$W$1001,MATCH(ROWS($U$2:U552),$U$2:$U$1001,0),0),2)),INDEX($Z$2:$Z$1001,MATCH(ROWS($U$2:U552),$U$2:$U$1001,0),0)))</f>
        <v>0</v>
      </c>
      <c r="B552" s="5">
        <f>IF(OR(INDEX($V$2:$V$1001,MATCH(ROWS($U$2:U552),$U$2:$U$1001,0),1)&gt;=100000,INDEX($AB$1005:$AQ$1005,1,MATCH(COLUMNS($AB$1006:AB1006),$AB$1006:$AQ$1006,0))&gt;=100000), " ",IF(INDEX($AB$2:$AQ$1001,MATCH(ROWS($U$2:U552),$U$2:$U$1001,0),MATCH(COLUMNS($AB$1006:AB1006),$AB$1006:$AQ$1006,0)), HYPERLINK("#",""), HYPERLINK(CONCATENATE("#Metadata!", ADDRESS(INDEX($W$2:$W$1001,MATCH(ROWS($U$2:U552),$U$2:$U$1001,0),0), INDEX($AB$1004:$AQ$1004,1,MATCH(COLUMNS($AB$1006:AB1006),$AB$1006:$AQ$1006,0)))),"Fix")))</f>
        <v>0</v>
      </c>
      <c r="C552" s="5">
        <f>IF(OR(INDEX($V$2:$V$1001,MATCH(ROWS($U$2:U552),$U$2:$U$1001,0),1)&gt;=100000,INDEX($AB$1005:$AQ$1005,1,MATCH(COLUMNS($AB$1006:AC1006),$AB$1006:$AQ$1006,0))&gt;=100000), " ",IF(INDEX($AB$2:$AQ$1001,MATCH(ROWS($U$2:U552),$U$2:$U$1001,0),MATCH(COLUMNS($AB$1006:AC1006),$AB$1006:$AQ$1006,0)), HYPERLINK("#",""), HYPERLINK(CONCATENATE("#Metadata!", ADDRESS(INDEX($W$2:$W$1001,MATCH(ROWS($U$2:U552),$U$2:$U$1001,0),0), INDEX($AB$1004:$AQ$1004,1,MATCH(COLUMNS($AB$1006:AC1006),$AB$1006:$AQ$1006,0)))),"Fix")))</f>
        <v>0</v>
      </c>
      <c r="D552" s="5">
        <f>IF(OR(INDEX($V$2:$V$1001,MATCH(ROWS($U$2:U552),$U$2:$U$1001,0),1)&gt;=100000,INDEX($AB$1005:$AQ$1005,1,MATCH(COLUMNS($AB$1006:AD1006),$AB$1006:$AQ$1006,0))&gt;=100000), " ",IF(INDEX($AB$2:$AQ$1001,MATCH(ROWS($U$2:U552),$U$2:$U$1001,0),MATCH(COLUMNS($AB$1006:AD1006),$AB$1006:$AQ$1006,0)), HYPERLINK("#",""), HYPERLINK(CONCATENATE("#Metadata!", ADDRESS(INDEX($W$2:$W$1001,MATCH(ROWS($U$2:U552),$U$2:$U$1001,0),0), INDEX($AB$1004:$AQ$1004,1,MATCH(COLUMNS($AB$1006:AD1006),$AB$1006:$AQ$1006,0)))),"Fix")))</f>
        <v>0</v>
      </c>
      <c r="E552" s="5">
        <f>IF(OR(INDEX($V$2:$V$1001,MATCH(ROWS($U$2:U552),$U$2:$U$1001,0),1)&gt;=100000,INDEX($AB$1005:$AQ$1005,1,MATCH(COLUMNS($AB$1006:AE1006),$AB$1006:$AQ$1006,0))&gt;=100000), " ",IF(INDEX($AB$2:$AQ$1001,MATCH(ROWS($U$2:U552),$U$2:$U$1001,0),MATCH(COLUMNS($AB$1006:AE1006),$AB$1006:$AQ$1006,0)), HYPERLINK("#",""), HYPERLINK(CONCATENATE("#Metadata!", ADDRESS(INDEX($W$2:$W$1001,MATCH(ROWS($U$2:U552),$U$2:$U$1001,0),0), INDEX($AB$1004:$AQ$1004,1,MATCH(COLUMNS($AB$1006:AE1006),$AB$1006:$AQ$1006,0)))),"Fix")))</f>
        <v>0</v>
      </c>
      <c r="F552" s="5">
        <f>IF(OR(INDEX($V$2:$V$1001,MATCH(ROWS($U$2:U552),$U$2:$U$1001,0),1)&gt;=100000,INDEX($AB$1005:$AQ$1005,1,MATCH(COLUMNS($AB$1006:AF1006),$AB$1006:$AQ$1006,0))&gt;=100000), " ",IF(INDEX($AB$2:$AQ$1001,MATCH(ROWS($U$2:U552),$U$2:$U$1001,0),MATCH(COLUMNS($AB$1006:AF1006),$AB$1006:$AQ$1006,0)), HYPERLINK("#",""), HYPERLINK(CONCATENATE("#Metadata!", ADDRESS(INDEX($W$2:$W$1001,MATCH(ROWS($U$2:U552),$U$2:$U$1001,0),0), INDEX($AB$1004:$AQ$1004,1,MATCH(COLUMNS($AB$1006:AF1006),$AB$1006:$AQ$1006,0)))),"Fix")))</f>
        <v>0</v>
      </c>
      <c r="G552" s="5">
        <f>IF(OR(INDEX($V$2:$V$1001,MATCH(ROWS($U$2:U552),$U$2:$U$1001,0),1)&gt;=100000,INDEX($AB$1005:$AQ$1005,1,MATCH(COLUMNS($AB$1006:AG1006),$AB$1006:$AQ$1006,0))&gt;=100000), " ",IF(INDEX($AB$2:$AQ$1001,MATCH(ROWS($U$2:U552),$U$2:$U$1001,0),MATCH(COLUMNS($AB$1006:AG1006),$AB$1006:$AQ$1006,0)), HYPERLINK("#",""), HYPERLINK(CONCATENATE("#Metadata!", ADDRESS(INDEX($W$2:$W$1001,MATCH(ROWS($U$2:U552),$U$2:$U$1001,0),0), INDEX($AB$1004:$AQ$1004,1,MATCH(COLUMNS($AB$1006:AG1006),$AB$1006:$AQ$1006,0)))),"Fix")))</f>
        <v>0</v>
      </c>
      <c r="H552" s="5">
        <f>IF(OR(INDEX($V$2:$V$1001,MATCH(ROWS($U$2:U552),$U$2:$U$1001,0),1)&gt;=100000,INDEX($AB$1005:$AQ$1005,1,MATCH(COLUMNS($AB$1006:AH1006),$AB$1006:$AQ$1006,0))&gt;=100000), " ",IF(INDEX($AB$2:$AQ$1001,MATCH(ROWS($U$2:U552),$U$2:$U$1001,0),MATCH(COLUMNS($AB$1006:AH1006),$AB$1006:$AQ$1006,0)), HYPERLINK("#",""), HYPERLINK(CONCATENATE("#Metadata!", ADDRESS(INDEX($W$2:$W$1001,MATCH(ROWS($U$2:U552),$U$2:$U$1001,0),0), INDEX($AB$1004:$AQ$1004,1,MATCH(COLUMNS($AB$1006:AH1006),$AB$1006:$AQ$1006,0)))),"Fix")))</f>
        <v>0</v>
      </c>
      <c r="I552" s="5">
        <f>IF(OR(INDEX($V$2:$V$1001,MATCH(ROWS($U$2:U552),$U$2:$U$1001,0),1)&gt;=100000,INDEX($AB$1005:$AQ$1005,1,MATCH(COLUMNS($AB$1006:AI1006),$AB$1006:$AQ$1006,0))&gt;=100000), " ",IF(INDEX($AB$2:$AQ$1001,MATCH(ROWS($U$2:U552),$U$2:$U$1001,0),MATCH(COLUMNS($AB$1006:AI1006),$AB$1006:$AQ$1006,0)), HYPERLINK("#",""), HYPERLINK(CONCATENATE("#Metadata!", ADDRESS(INDEX($W$2:$W$1001,MATCH(ROWS($U$2:U552),$U$2:$U$1001,0),0), INDEX($AB$1004:$AQ$1004,1,MATCH(COLUMNS($AB$1006:AI1006),$AB$1006:$AQ$1006,0)))),"Fix")))</f>
        <v>0</v>
      </c>
      <c r="J552" s="5">
        <f>IF(OR(INDEX($V$2:$V$1001,MATCH(ROWS($U$2:U552),$U$2:$U$1001,0),1)&gt;=100000,INDEX($AB$1005:$AQ$1005,1,MATCH(COLUMNS($AB$1006:AJ1006),$AB$1006:$AQ$1006,0))&gt;=100000), " ",IF(INDEX($AB$2:$AQ$1001,MATCH(ROWS($U$2:U552),$U$2:$U$1001,0),MATCH(COLUMNS($AB$1006:AJ1006),$AB$1006:$AQ$1006,0)), HYPERLINK("#",""), HYPERLINK(CONCATENATE("#Metadata!", ADDRESS(INDEX($W$2:$W$1001,MATCH(ROWS($U$2:U552),$U$2:$U$1001,0),0), INDEX($AB$1004:$AQ$1004,1,MATCH(COLUMNS($AB$1006:AJ1006),$AB$1006:$AQ$1006,0)))),"Fix")))</f>
        <v>0</v>
      </c>
      <c r="K552" s="5">
        <f>IF(OR(INDEX($V$2:$V$1001,MATCH(ROWS($U$2:U552),$U$2:$U$1001,0),1)&gt;=100000,INDEX($AB$1005:$AQ$1005,1,MATCH(COLUMNS($AB$1006:AK1006),$AB$1006:$AQ$1006,0))&gt;=100000), " ",IF(INDEX($AB$2:$AQ$1001,MATCH(ROWS($U$2:U552),$U$2:$U$1001,0),MATCH(COLUMNS($AB$1006:AK1006),$AB$1006:$AQ$1006,0)), HYPERLINK("#",""), HYPERLINK(CONCATENATE("#Metadata!", ADDRESS(INDEX($W$2:$W$1001,MATCH(ROWS($U$2:U552),$U$2:$U$1001,0),0), INDEX($AB$1004:$AQ$1004,1,MATCH(COLUMNS($AB$1006:AK1006),$AB$1006:$AQ$1006,0)))),"Fix")))</f>
        <v>0</v>
      </c>
      <c r="L552" s="5">
        <f>IF(OR(INDEX($V$2:$V$1001,MATCH(ROWS($U$2:U552),$U$2:$U$1001,0),1)&gt;=100000,INDEX($AB$1005:$AQ$1005,1,MATCH(COLUMNS($AB$1006:AL1006),$AB$1006:$AQ$1006,0))&gt;=100000), " ",IF(INDEX($AB$2:$AQ$1001,MATCH(ROWS($U$2:U552),$U$2:$U$1001,0),MATCH(COLUMNS($AB$1006:AL1006),$AB$1006:$AQ$1006,0)), HYPERLINK("#",""), HYPERLINK(CONCATENATE("#Metadata!", ADDRESS(INDEX($W$2:$W$1001,MATCH(ROWS($U$2:U552),$U$2:$U$1001,0),0), INDEX($AB$1004:$AQ$1004,1,MATCH(COLUMNS($AB$1006:AL1006),$AB$1006:$AQ$1006,0)))),"Fix")))</f>
        <v>0</v>
      </c>
      <c r="M552" s="5">
        <f>IF(OR(INDEX($V$2:$V$1001,MATCH(ROWS($U$2:U552),$U$2:$U$1001,0),1)&gt;=100000,INDEX($AB$1005:$AQ$1005,1,MATCH(COLUMNS($AB$1006:AM1006),$AB$1006:$AQ$1006,0))&gt;=100000), " ",IF(INDEX($AB$2:$AQ$1001,MATCH(ROWS($U$2:U552),$U$2:$U$1001,0),MATCH(COLUMNS($AB$1006:AM1006),$AB$1006:$AQ$1006,0)), HYPERLINK("#",""), HYPERLINK(CONCATENATE("#Metadata!", ADDRESS(INDEX($W$2:$W$1001,MATCH(ROWS($U$2:U552),$U$2:$U$1001,0),0), INDEX($AB$1004:$AQ$1004,1,MATCH(COLUMNS($AB$1006:AM1006),$AB$1006:$AQ$1006,0)))),"Fix")))</f>
        <v>0</v>
      </c>
      <c r="N552" s="5">
        <f>IF(OR(INDEX($V$2:$V$1001,MATCH(ROWS($U$2:U552),$U$2:$U$1001,0),1)&gt;=100000,INDEX($AB$1005:$AQ$1005,1,MATCH(COLUMNS($AB$1006:AN1006),$AB$1006:$AQ$1006,0))&gt;=100000), " ",IF(INDEX($AB$2:$AQ$1001,MATCH(ROWS($U$2:U552),$U$2:$U$1001,0),MATCH(COLUMNS($AB$1006:AN1006),$AB$1006:$AQ$1006,0)), HYPERLINK("#",""), HYPERLINK(CONCATENATE("#Metadata!", ADDRESS(INDEX($W$2:$W$1001,MATCH(ROWS($U$2:U552),$U$2:$U$1001,0),0), INDEX($AB$1004:$AQ$1004,1,MATCH(COLUMNS($AB$1006:AN1006),$AB$1006:$AQ$1006,0)))),"Fix")))</f>
        <v>0</v>
      </c>
      <c r="O552" s="5">
        <f>IF(OR(INDEX($V$2:$V$1001,MATCH(ROWS($U$2:U552),$U$2:$U$1001,0),1)&gt;=100000,INDEX($AB$1005:$AQ$1005,1,MATCH(COLUMNS($AB$1006:AO1006),$AB$1006:$AQ$1006,0))&gt;=100000), " ",IF(INDEX($AB$2:$AQ$1001,MATCH(ROWS($U$2:U552),$U$2:$U$1001,0),MATCH(COLUMNS($AB$1006:AO1006),$AB$1006:$AQ$1006,0)), HYPERLINK("#",""), HYPERLINK(CONCATENATE("#Metadata!", ADDRESS(INDEX($W$2:$W$1001,MATCH(ROWS($U$2:U552),$U$2:$U$1001,0),0), INDEX($AB$1004:$AQ$1004,1,MATCH(COLUMNS($AB$1006:AO1006),$AB$1006:$AQ$1006,0)))),"Fix")))</f>
        <v>0</v>
      </c>
      <c r="P552" s="5">
        <f>IF(OR(INDEX($V$2:$V$1001,MATCH(ROWS($U$2:U552),$U$2:$U$1001,0),1)&gt;=100000,INDEX($AB$1005:$AQ$1005,1,MATCH(COLUMNS($AB$1006:AP1006),$AB$1006:$AQ$1006,0))&gt;=100000), " ",IF(INDEX($AB$2:$AQ$1001,MATCH(ROWS($U$2:U552),$U$2:$U$1001,0),MATCH(COLUMNS($AB$1006:AP1006),$AB$1006:$AQ$1006,0)), HYPERLINK("#",""), HYPERLINK(CONCATENATE("#Metadata!", ADDRESS(INDEX($W$2:$W$1001,MATCH(ROWS($U$2:U552),$U$2:$U$1001,0),0), INDEX($AB$1004:$AQ$1004,1,MATCH(COLUMNS($AB$1006:AP1006),$AB$1006:$AQ$1006,0)))),"Fix")))</f>
        <v>0</v>
      </c>
      <c r="Q552" s="5">
        <f>IF(OR(INDEX($V$2:$V$1001,MATCH(ROWS($U$2:U552),$U$2:$U$1001,0),1)&gt;=100000,INDEX($AB$1005:$AQ$1005,1,MATCH(COLUMNS($AB$1006:AQ1006),$AB$1006:$AQ$1006,0))&gt;=100000), " ",IF(INDEX($AB$2:$AQ$1001,MATCH(ROWS($U$2:U552),$U$2:$U$1001,0),MATCH(COLUMNS($AB$1006:AQ1006),$AB$1006:$AQ$1006,0)), HYPERLINK("#",""), HYPERLINK(CONCATENATE("#Metadata!", ADDRESS(INDEX($W$2:$W$1001,MATCH(ROWS($U$2:U552),$U$2:$U$1001,0),0), INDEX($AB$1004:$AQ$1004,1,MATCH(COLUMNS($AB$1006:AQ1006),$AB$1006:$AQ$1006,0)))),"Fix")))</f>
        <v>0</v>
      </c>
      <c r="U552">
        <v>0</v>
      </c>
      <c r="V552">
        <v>0</v>
      </c>
      <c r="W552">
        <v>0</v>
      </c>
      <c r="X552">
        <f>IF(Y552,TRUE,AND(AB552:AQ552))</f>
        <v>0</v>
      </c>
      <c r="Y552">
        <f>COUNTBLANK(Metadata!B552:Q552)=COLUMNS(Metadata!B552:Q552)</f>
        <v>0</v>
      </c>
      <c r="Z552">
        <v>0</v>
      </c>
      <c r="AB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AC552">
        <f>AND(IF(Metadata!C552="",FALSE,TRUE),exact(Metadata!C552,"urban biome"))</f>
        <v>0</v>
      </c>
      <c r="AD552">
        <f>AND(IF(Metadata!D552="",FALSE,TRUE),exact(Metadata!D552,"human-associated habitat"))</f>
        <v>0</v>
      </c>
      <c r="AE552">
        <f>AND(IF(Metadata!E552="",FALSE,TRUE),OR(exact(Metadata!E552,"human-associated"),exact(Metadata!E552,"human-skin"),exact(Metadata!E552,"human-oral"),exact(Metadata!E552,"human-gut"),exact(Metadata!E552,"human-vaginal")))</f>
        <v>0</v>
      </c>
      <c r="AF552">
        <f>AND(IF(Metadata!F552="",FALSE,ISNUMBER(VALUE(Metadata!F552))),Metadata!F552&gt;0)</f>
        <v>0</v>
      </c>
      <c r="AG552">
        <f>AND(IF(Metadata!G552="",FALSE,TRUE),exact(Metadata!G552,"years"))</f>
        <v>0</v>
      </c>
      <c r="AH552">
        <f>OR(AND(IF(Metadata!H552="",FALSE,TRUE),OR(exact(Metadata!H552,"not applicable"),exact(Metadata!H552,"not collected"),exact(Metadata!H552,"not provided"),exact(Metadata!H552,"restricted access"))),AND(IF(Metadata!H552="",FALSE,ISNUMBER(VALUE(Metadata!H552))),Metadata!H552&gt;0))</f>
        <v>0</v>
      </c>
      <c r="AI552">
        <f>AND(IF(Metadata!I552="",FALSE,TRUE),exact(Metadata!I552,"human"))</f>
        <v>0</v>
      </c>
      <c r="AJ552">
        <f>AND(IF(Metadata!J552="",FALSE,ISNUMBER(VALUE(Metadata!J552))),Metadata!J552&gt;0)</f>
        <v>0</v>
      </c>
      <c r="AK552">
        <f>AND(IF(Metadata!K552="",FALSE,TRUE),exact(Metadata!K552,"cm"))</f>
        <v>0</v>
      </c>
      <c r="AL552">
        <f>AND(IF(Metadata!L552="",FALSE,TRUE),exact(Metadata!L552,"Homo sapiens"))</f>
        <v>0</v>
      </c>
      <c r="AM552">
        <f>AND(IF(Metadata!M552="",FALSE,TRUE),exact(Metadata!M552,"9606"))</f>
        <v>0</v>
      </c>
      <c r="AN552">
        <f>AND(IF(Metadata!N552="",FALSE,ISNUMBER(VALUE(Metadata!N552))),Metadata!N552&gt;0)</f>
        <v>0</v>
      </c>
      <c r="AO552">
        <f>AND(IF(Metadata!O552="",FALSE,TRUE),exact(Metadata!O552,"kg"))</f>
        <v>0</v>
      </c>
      <c r="AP552">
        <f>OR(AND(IF(Metadata!P552="",FALSE,TRUE),exact(Metadata!P552,"not provided")),IF(Metadata!P552="",FALSE,TRUE))</f>
        <v>0</v>
      </c>
      <c r="AQ552">
        <f>OR(AND(IF(Metadata!Q552="",FALSE,TRUE),exact(Metadata!Q552,"not provided")),IF(Metadata!Q552="",FALSE,TRUE))</f>
        <v>0</v>
      </c>
    </row>
    <row r="553" spans="1:43">
      <c r="A553" s="4">
        <f>IF(B553=" "," ",HYPERLINK(CONCATENATE("#metadata!",ADDRESS(INDEX($W$2:$W$1001,MATCH(ROWS($U$2:U553),$U$2:$U$1001,0),0),2)),INDEX($Z$2:$Z$1001,MATCH(ROWS($U$2:U553),$U$2:$U$1001,0),0)))</f>
        <v>0</v>
      </c>
      <c r="B553" s="5">
        <f>IF(OR(INDEX($V$2:$V$1001,MATCH(ROWS($U$2:U553),$U$2:$U$1001,0),1)&gt;=100000,INDEX($AB$1005:$AQ$1005,1,MATCH(COLUMNS($AB$1006:AB1006),$AB$1006:$AQ$1006,0))&gt;=100000), " ",IF(INDEX($AB$2:$AQ$1001,MATCH(ROWS($U$2:U553),$U$2:$U$1001,0),MATCH(COLUMNS($AB$1006:AB1006),$AB$1006:$AQ$1006,0)), HYPERLINK("#",""), HYPERLINK(CONCATENATE("#Metadata!", ADDRESS(INDEX($W$2:$W$1001,MATCH(ROWS($U$2:U553),$U$2:$U$1001,0),0), INDEX($AB$1004:$AQ$1004,1,MATCH(COLUMNS($AB$1006:AB1006),$AB$1006:$AQ$1006,0)))),"Fix")))</f>
        <v>0</v>
      </c>
      <c r="C553" s="5">
        <f>IF(OR(INDEX($V$2:$V$1001,MATCH(ROWS($U$2:U553),$U$2:$U$1001,0),1)&gt;=100000,INDEX($AB$1005:$AQ$1005,1,MATCH(COLUMNS($AB$1006:AC1006),$AB$1006:$AQ$1006,0))&gt;=100000), " ",IF(INDEX($AB$2:$AQ$1001,MATCH(ROWS($U$2:U553),$U$2:$U$1001,0),MATCH(COLUMNS($AB$1006:AC1006),$AB$1006:$AQ$1006,0)), HYPERLINK("#",""), HYPERLINK(CONCATENATE("#Metadata!", ADDRESS(INDEX($W$2:$W$1001,MATCH(ROWS($U$2:U553),$U$2:$U$1001,0),0), INDEX($AB$1004:$AQ$1004,1,MATCH(COLUMNS($AB$1006:AC1006),$AB$1006:$AQ$1006,0)))),"Fix")))</f>
        <v>0</v>
      </c>
      <c r="D553" s="5">
        <f>IF(OR(INDEX($V$2:$V$1001,MATCH(ROWS($U$2:U553),$U$2:$U$1001,0),1)&gt;=100000,INDEX($AB$1005:$AQ$1005,1,MATCH(COLUMNS($AB$1006:AD1006),$AB$1006:$AQ$1006,0))&gt;=100000), " ",IF(INDEX($AB$2:$AQ$1001,MATCH(ROWS($U$2:U553),$U$2:$U$1001,0),MATCH(COLUMNS($AB$1006:AD1006),$AB$1006:$AQ$1006,0)), HYPERLINK("#",""), HYPERLINK(CONCATENATE("#Metadata!", ADDRESS(INDEX($W$2:$W$1001,MATCH(ROWS($U$2:U553),$U$2:$U$1001,0),0), INDEX($AB$1004:$AQ$1004,1,MATCH(COLUMNS($AB$1006:AD1006),$AB$1006:$AQ$1006,0)))),"Fix")))</f>
        <v>0</v>
      </c>
      <c r="E553" s="5">
        <f>IF(OR(INDEX($V$2:$V$1001,MATCH(ROWS($U$2:U553),$U$2:$U$1001,0),1)&gt;=100000,INDEX($AB$1005:$AQ$1005,1,MATCH(COLUMNS($AB$1006:AE1006),$AB$1006:$AQ$1006,0))&gt;=100000), " ",IF(INDEX($AB$2:$AQ$1001,MATCH(ROWS($U$2:U553),$U$2:$U$1001,0),MATCH(COLUMNS($AB$1006:AE1006),$AB$1006:$AQ$1006,0)), HYPERLINK("#",""), HYPERLINK(CONCATENATE("#Metadata!", ADDRESS(INDEX($W$2:$W$1001,MATCH(ROWS($U$2:U553),$U$2:$U$1001,0),0), INDEX($AB$1004:$AQ$1004,1,MATCH(COLUMNS($AB$1006:AE1006),$AB$1006:$AQ$1006,0)))),"Fix")))</f>
        <v>0</v>
      </c>
      <c r="F553" s="5">
        <f>IF(OR(INDEX($V$2:$V$1001,MATCH(ROWS($U$2:U553),$U$2:$U$1001,0),1)&gt;=100000,INDEX($AB$1005:$AQ$1005,1,MATCH(COLUMNS($AB$1006:AF1006),$AB$1006:$AQ$1006,0))&gt;=100000), " ",IF(INDEX($AB$2:$AQ$1001,MATCH(ROWS($U$2:U553),$U$2:$U$1001,0),MATCH(COLUMNS($AB$1006:AF1006),$AB$1006:$AQ$1006,0)), HYPERLINK("#",""), HYPERLINK(CONCATENATE("#Metadata!", ADDRESS(INDEX($W$2:$W$1001,MATCH(ROWS($U$2:U553),$U$2:$U$1001,0),0), INDEX($AB$1004:$AQ$1004,1,MATCH(COLUMNS($AB$1006:AF1006),$AB$1006:$AQ$1006,0)))),"Fix")))</f>
        <v>0</v>
      </c>
      <c r="G553" s="5">
        <f>IF(OR(INDEX($V$2:$V$1001,MATCH(ROWS($U$2:U553),$U$2:$U$1001,0),1)&gt;=100000,INDEX($AB$1005:$AQ$1005,1,MATCH(COLUMNS($AB$1006:AG1006),$AB$1006:$AQ$1006,0))&gt;=100000), " ",IF(INDEX($AB$2:$AQ$1001,MATCH(ROWS($U$2:U553),$U$2:$U$1001,0),MATCH(COLUMNS($AB$1006:AG1006),$AB$1006:$AQ$1006,0)), HYPERLINK("#",""), HYPERLINK(CONCATENATE("#Metadata!", ADDRESS(INDEX($W$2:$W$1001,MATCH(ROWS($U$2:U553),$U$2:$U$1001,0),0), INDEX($AB$1004:$AQ$1004,1,MATCH(COLUMNS($AB$1006:AG1006),$AB$1006:$AQ$1006,0)))),"Fix")))</f>
        <v>0</v>
      </c>
      <c r="H553" s="5">
        <f>IF(OR(INDEX($V$2:$V$1001,MATCH(ROWS($U$2:U553),$U$2:$U$1001,0),1)&gt;=100000,INDEX($AB$1005:$AQ$1005,1,MATCH(COLUMNS($AB$1006:AH1006),$AB$1006:$AQ$1006,0))&gt;=100000), " ",IF(INDEX($AB$2:$AQ$1001,MATCH(ROWS($U$2:U553),$U$2:$U$1001,0),MATCH(COLUMNS($AB$1006:AH1006),$AB$1006:$AQ$1006,0)), HYPERLINK("#",""), HYPERLINK(CONCATENATE("#Metadata!", ADDRESS(INDEX($W$2:$W$1001,MATCH(ROWS($U$2:U553),$U$2:$U$1001,0),0), INDEX($AB$1004:$AQ$1004,1,MATCH(COLUMNS($AB$1006:AH1006),$AB$1006:$AQ$1006,0)))),"Fix")))</f>
        <v>0</v>
      </c>
      <c r="I553" s="5">
        <f>IF(OR(INDEX($V$2:$V$1001,MATCH(ROWS($U$2:U553),$U$2:$U$1001,0),1)&gt;=100000,INDEX($AB$1005:$AQ$1005,1,MATCH(COLUMNS($AB$1006:AI1006),$AB$1006:$AQ$1006,0))&gt;=100000), " ",IF(INDEX($AB$2:$AQ$1001,MATCH(ROWS($U$2:U553),$U$2:$U$1001,0),MATCH(COLUMNS($AB$1006:AI1006),$AB$1006:$AQ$1006,0)), HYPERLINK("#",""), HYPERLINK(CONCATENATE("#Metadata!", ADDRESS(INDEX($W$2:$W$1001,MATCH(ROWS($U$2:U553),$U$2:$U$1001,0),0), INDEX($AB$1004:$AQ$1004,1,MATCH(COLUMNS($AB$1006:AI1006),$AB$1006:$AQ$1006,0)))),"Fix")))</f>
        <v>0</v>
      </c>
      <c r="J553" s="5">
        <f>IF(OR(INDEX($V$2:$V$1001,MATCH(ROWS($U$2:U553),$U$2:$U$1001,0),1)&gt;=100000,INDEX($AB$1005:$AQ$1005,1,MATCH(COLUMNS($AB$1006:AJ1006),$AB$1006:$AQ$1006,0))&gt;=100000), " ",IF(INDEX($AB$2:$AQ$1001,MATCH(ROWS($U$2:U553),$U$2:$U$1001,0),MATCH(COLUMNS($AB$1006:AJ1006),$AB$1006:$AQ$1006,0)), HYPERLINK("#",""), HYPERLINK(CONCATENATE("#Metadata!", ADDRESS(INDEX($W$2:$W$1001,MATCH(ROWS($U$2:U553),$U$2:$U$1001,0),0), INDEX($AB$1004:$AQ$1004,1,MATCH(COLUMNS($AB$1006:AJ1006),$AB$1006:$AQ$1006,0)))),"Fix")))</f>
        <v>0</v>
      </c>
      <c r="K553" s="5">
        <f>IF(OR(INDEX($V$2:$V$1001,MATCH(ROWS($U$2:U553),$U$2:$U$1001,0),1)&gt;=100000,INDEX($AB$1005:$AQ$1005,1,MATCH(COLUMNS($AB$1006:AK1006),$AB$1006:$AQ$1006,0))&gt;=100000), " ",IF(INDEX($AB$2:$AQ$1001,MATCH(ROWS($U$2:U553),$U$2:$U$1001,0),MATCH(COLUMNS($AB$1006:AK1006),$AB$1006:$AQ$1006,0)), HYPERLINK("#",""), HYPERLINK(CONCATENATE("#Metadata!", ADDRESS(INDEX($W$2:$W$1001,MATCH(ROWS($U$2:U553),$U$2:$U$1001,0),0), INDEX($AB$1004:$AQ$1004,1,MATCH(COLUMNS($AB$1006:AK1006),$AB$1006:$AQ$1006,0)))),"Fix")))</f>
        <v>0</v>
      </c>
      <c r="L553" s="5">
        <f>IF(OR(INDEX($V$2:$V$1001,MATCH(ROWS($U$2:U553),$U$2:$U$1001,0),1)&gt;=100000,INDEX($AB$1005:$AQ$1005,1,MATCH(COLUMNS($AB$1006:AL1006),$AB$1006:$AQ$1006,0))&gt;=100000), " ",IF(INDEX($AB$2:$AQ$1001,MATCH(ROWS($U$2:U553),$U$2:$U$1001,0),MATCH(COLUMNS($AB$1006:AL1006),$AB$1006:$AQ$1006,0)), HYPERLINK("#",""), HYPERLINK(CONCATENATE("#Metadata!", ADDRESS(INDEX($W$2:$W$1001,MATCH(ROWS($U$2:U553),$U$2:$U$1001,0),0), INDEX($AB$1004:$AQ$1004,1,MATCH(COLUMNS($AB$1006:AL1006),$AB$1006:$AQ$1006,0)))),"Fix")))</f>
        <v>0</v>
      </c>
      <c r="M553" s="5">
        <f>IF(OR(INDEX($V$2:$V$1001,MATCH(ROWS($U$2:U553),$U$2:$U$1001,0),1)&gt;=100000,INDEX($AB$1005:$AQ$1005,1,MATCH(COLUMNS($AB$1006:AM1006),$AB$1006:$AQ$1006,0))&gt;=100000), " ",IF(INDEX($AB$2:$AQ$1001,MATCH(ROWS($U$2:U553),$U$2:$U$1001,0),MATCH(COLUMNS($AB$1006:AM1006),$AB$1006:$AQ$1006,0)), HYPERLINK("#",""), HYPERLINK(CONCATENATE("#Metadata!", ADDRESS(INDEX($W$2:$W$1001,MATCH(ROWS($U$2:U553),$U$2:$U$1001,0),0), INDEX($AB$1004:$AQ$1004,1,MATCH(COLUMNS($AB$1006:AM1006),$AB$1006:$AQ$1006,0)))),"Fix")))</f>
        <v>0</v>
      </c>
      <c r="N553" s="5">
        <f>IF(OR(INDEX($V$2:$V$1001,MATCH(ROWS($U$2:U553),$U$2:$U$1001,0),1)&gt;=100000,INDEX($AB$1005:$AQ$1005,1,MATCH(COLUMNS($AB$1006:AN1006),$AB$1006:$AQ$1006,0))&gt;=100000), " ",IF(INDEX($AB$2:$AQ$1001,MATCH(ROWS($U$2:U553),$U$2:$U$1001,0),MATCH(COLUMNS($AB$1006:AN1006),$AB$1006:$AQ$1006,0)), HYPERLINK("#",""), HYPERLINK(CONCATENATE("#Metadata!", ADDRESS(INDEX($W$2:$W$1001,MATCH(ROWS($U$2:U553),$U$2:$U$1001,0),0), INDEX($AB$1004:$AQ$1004,1,MATCH(COLUMNS($AB$1006:AN1006),$AB$1006:$AQ$1006,0)))),"Fix")))</f>
        <v>0</v>
      </c>
      <c r="O553" s="5">
        <f>IF(OR(INDEX($V$2:$V$1001,MATCH(ROWS($U$2:U553),$U$2:$U$1001,0),1)&gt;=100000,INDEX($AB$1005:$AQ$1005,1,MATCH(COLUMNS($AB$1006:AO1006),$AB$1006:$AQ$1006,0))&gt;=100000), " ",IF(INDEX($AB$2:$AQ$1001,MATCH(ROWS($U$2:U553),$U$2:$U$1001,0),MATCH(COLUMNS($AB$1006:AO1006),$AB$1006:$AQ$1006,0)), HYPERLINK("#",""), HYPERLINK(CONCATENATE("#Metadata!", ADDRESS(INDEX($W$2:$W$1001,MATCH(ROWS($U$2:U553),$U$2:$U$1001,0),0), INDEX($AB$1004:$AQ$1004,1,MATCH(COLUMNS($AB$1006:AO1006),$AB$1006:$AQ$1006,0)))),"Fix")))</f>
        <v>0</v>
      </c>
      <c r="P553" s="5">
        <f>IF(OR(INDEX($V$2:$V$1001,MATCH(ROWS($U$2:U553),$U$2:$U$1001,0),1)&gt;=100000,INDEX($AB$1005:$AQ$1005,1,MATCH(COLUMNS($AB$1006:AP1006),$AB$1006:$AQ$1006,0))&gt;=100000), " ",IF(INDEX($AB$2:$AQ$1001,MATCH(ROWS($U$2:U553),$U$2:$U$1001,0),MATCH(COLUMNS($AB$1006:AP1006),$AB$1006:$AQ$1006,0)), HYPERLINK("#",""), HYPERLINK(CONCATENATE("#Metadata!", ADDRESS(INDEX($W$2:$W$1001,MATCH(ROWS($U$2:U553),$U$2:$U$1001,0),0), INDEX($AB$1004:$AQ$1004,1,MATCH(COLUMNS($AB$1006:AP1006),$AB$1006:$AQ$1006,0)))),"Fix")))</f>
        <v>0</v>
      </c>
      <c r="Q553" s="5">
        <f>IF(OR(INDEX($V$2:$V$1001,MATCH(ROWS($U$2:U553),$U$2:$U$1001,0),1)&gt;=100000,INDEX($AB$1005:$AQ$1005,1,MATCH(COLUMNS($AB$1006:AQ1006),$AB$1006:$AQ$1006,0))&gt;=100000), " ",IF(INDEX($AB$2:$AQ$1001,MATCH(ROWS($U$2:U553),$U$2:$U$1001,0),MATCH(COLUMNS($AB$1006:AQ1006),$AB$1006:$AQ$1006,0)), HYPERLINK("#",""), HYPERLINK(CONCATENATE("#Metadata!", ADDRESS(INDEX($W$2:$W$1001,MATCH(ROWS($U$2:U553),$U$2:$U$1001,0),0), INDEX($AB$1004:$AQ$1004,1,MATCH(COLUMNS($AB$1006:AQ1006),$AB$1006:$AQ$1006,0)))),"Fix")))</f>
        <v>0</v>
      </c>
      <c r="U553">
        <v>0</v>
      </c>
      <c r="V553">
        <v>0</v>
      </c>
      <c r="W553">
        <v>0</v>
      </c>
      <c r="X553">
        <f>IF(Y553,TRUE,AND(AB553:AQ553))</f>
        <v>0</v>
      </c>
      <c r="Y553">
        <f>COUNTBLANK(Metadata!B553:Q553)=COLUMNS(Metadata!B553:Q553)</f>
        <v>0</v>
      </c>
      <c r="Z553">
        <v>0</v>
      </c>
      <c r="AB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AC553">
        <f>AND(IF(Metadata!C553="",FALSE,TRUE),exact(Metadata!C553,"urban biome"))</f>
        <v>0</v>
      </c>
      <c r="AD553">
        <f>AND(IF(Metadata!D553="",FALSE,TRUE),exact(Metadata!D553,"human-associated habitat"))</f>
        <v>0</v>
      </c>
      <c r="AE553">
        <f>AND(IF(Metadata!E553="",FALSE,TRUE),OR(exact(Metadata!E553,"human-associated"),exact(Metadata!E553,"human-skin"),exact(Metadata!E553,"human-oral"),exact(Metadata!E553,"human-gut"),exact(Metadata!E553,"human-vaginal")))</f>
        <v>0</v>
      </c>
      <c r="AF553">
        <f>AND(IF(Metadata!F553="",FALSE,ISNUMBER(VALUE(Metadata!F553))),Metadata!F553&gt;0)</f>
        <v>0</v>
      </c>
      <c r="AG553">
        <f>AND(IF(Metadata!G553="",FALSE,TRUE),exact(Metadata!G553,"years"))</f>
        <v>0</v>
      </c>
      <c r="AH553">
        <f>OR(AND(IF(Metadata!H553="",FALSE,TRUE),OR(exact(Metadata!H553,"not applicable"),exact(Metadata!H553,"not collected"),exact(Metadata!H553,"not provided"),exact(Metadata!H553,"restricted access"))),AND(IF(Metadata!H553="",FALSE,ISNUMBER(VALUE(Metadata!H553))),Metadata!H553&gt;0))</f>
        <v>0</v>
      </c>
      <c r="AI553">
        <f>AND(IF(Metadata!I553="",FALSE,TRUE),exact(Metadata!I553,"human"))</f>
        <v>0</v>
      </c>
      <c r="AJ553">
        <f>AND(IF(Metadata!J553="",FALSE,ISNUMBER(VALUE(Metadata!J553))),Metadata!J553&gt;0)</f>
        <v>0</v>
      </c>
      <c r="AK553">
        <f>AND(IF(Metadata!K553="",FALSE,TRUE),exact(Metadata!K553,"cm"))</f>
        <v>0</v>
      </c>
      <c r="AL553">
        <f>AND(IF(Metadata!L553="",FALSE,TRUE),exact(Metadata!L553,"Homo sapiens"))</f>
        <v>0</v>
      </c>
      <c r="AM553">
        <f>AND(IF(Metadata!M553="",FALSE,TRUE),exact(Metadata!M553,"9606"))</f>
        <v>0</v>
      </c>
      <c r="AN553">
        <f>AND(IF(Metadata!N553="",FALSE,ISNUMBER(VALUE(Metadata!N553))),Metadata!N553&gt;0)</f>
        <v>0</v>
      </c>
      <c r="AO553">
        <f>AND(IF(Metadata!O553="",FALSE,TRUE),exact(Metadata!O553,"kg"))</f>
        <v>0</v>
      </c>
      <c r="AP553">
        <f>OR(AND(IF(Metadata!P553="",FALSE,TRUE),exact(Metadata!P553,"not provided")),IF(Metadata!P553="",FALSE,TRUE))</f>
        <v>0</v>
      </c>
      <c r="AQ553">
        <f>OR(AND(IF(Metadata!Q553="",FALSE,TRUE),exact(Metadata!Q553,"not provided")),IF(Metadata!Q553="",FALSE,TRUE))</f>
        <v>0</v>
      </c>
    </row>
    <row r="554" spans="1:43">
      <c r="A554" s="4">
        <f>IF(B554=" "," ",HYPERLINK(CONCATENATE("#metadata!",ADDRESS(INDEX($W$2:$W$1001,MATCH(ROWS($U$2:U554),$U$2:$U$1001,0),0),2)),INDEX($Z$2:$Z$1001,MATCH(ROWS($U$2:U554),$U$2:$U$1001,0),0)))</f>
        <v>0</v>
      </c>
      <c r="B554" s="5">
        <f>IF(OR(INDEX($V$2:$V$1001,MATCH(ROWS($U$2:U554),$U$2:$U$1001,0),1)&gt;=100000,INDEX($AB$1005:$AQ$1005,1,MATCH(COLUMNS($AB$1006:AB1006),$AB$1006:$AQ$1006,0))&gt;=100000), " ",IF(INDEX($AB$2:$AQ$1001,MATCH(ROWS($U$2:U554),$U$2:$U$1001,0),MATCH(COLUMNS($AB$1006:AB1006),$AB$1006:$AQ$1006,0)), HYPERLINK("#",""), HYPERLINK(CONCATENATE("#Metadata!", ADDRESS(INDEX($W$2:$W$1001,MATCH(ROWS($U$2:U554),$U$2:$U$1001,0),0), INDEX($AB$1004:$AQ$1004,1,MATCH(COLUMNS($AB$1006:AB1006),$AB$1006:$AQ$1006,0)))),"Fix")))</f>
        <v>0</v>
      </c>
      <c r="C554" s="5">
        <f>IF(OR(INDEX($V$2:$V$1001,MATCH(ROWS($U$2:U554),$U$2:$U$1001,0),1)&gt;=100000,INDEX($AB$1005:$AQ$1005,1,MATCH(COLUMNS($AB$1006:AC1006),$AB$1006:$AQ$1006,0))&gt;=100000), " ",IF(INDEX($AB$2:$AQ$1001,MATCH(ROWS($U$2:U554),$U$2:$U$1001,0),MATCH(COLUMNS($AB$1006:AC1006),$AB$1006:$AQ$1006,0)), HYPERLINK("#",""), HYPERLINK(CONCATENATE("#Metadata!", ADDRESS(INDEX($W$2:$W$1001,MATCH(ROWS($U$2:U554),$U$2:$U$1001,0),0), INDEX($AB$1004:$AQ$1004,1,MATCH(COLUMNS($AB$1006:AC1006),$AB$1006:$AQ$1006,0)))),"Fix")))</f>
        <v>0</v>
      </c>
      <c r="D554" s="5">
        <f>IF(OR(INDEX($V$2:$V$1001,MATCH(ROWS($U$2:U554),$U$2:$U$1001,0),1)&gt;=100000,INDEX($AB$1005:$AQ$1005,1,MATCH(COLUMNS($AB$1006:AD1006),$AB$1006:$AQ$1006,0))&gt;=100000), " ",IF(INDEX($AB$2:$AQ$1001,MATCH(ROWS($U$2:U554),$U$2:$U$1001,0),MATCH(COLUMNS($AB$1006:AD1006),$AB$1006:$AQ$1006,0)), HYPERLINK("#",""), HYPERLINK(CONCATENATE("#Metadata!", ADDRESS(INDEX($W$2:$W$1001,MATCH(ROWS($U$2:U554),$U$2:$U$1001,0),0), INDEX($AB$1004:$AQ$1004,1,MATCH(COLUMNS($AB$1006:AD1006),$AB$1006:$AQ$1006,0)))),"Fix")))</f>
        <v>0</v>
      </c>
      <c r="E554" s="5">
        <f>IF(OR(INDEX($V$2:$V$1001,MATCH(ROWS($U$2:U554),$U$2:$U$1001,0),1)&gt;=100000,INDEX($AB$1005:$AQ$1005,1,MATCH(COLUMNS($AB$1006:AE1006),$AB$1006:$AQ$1006,0))&gt;=100000), " ",IF(INDEX($AB$2:$AQ$1001,MATCH(ROWS($U$2:U554),$U$2:$U$1001,0),MATCH(COLUMNS($AB$1006:AE1006),$AB$1006:$AQ$1006,0)), HYPERLINK("#",""), HYPERLINK(CONCATENATE("#Metadata!", ADDRESS(INDEX($W$2:$W$1001,MATCH(ROWS($U$2:U554),$U$2:$U$1001,0),0), INDEX($AB$1004:$AQ$1004,1,MATCH(COLUMNS($AB$1006:AE1006),$AB$1006:$AQ$1006,0)))),"Fix")))</f>
        <v>0</v>
      </c>
      <c r="F554" s="5">
        <f>IF(OR(INDEX($V$2:$V$1001,MATCH(ROWS($U$2:U554),$U$2:$U$1001,0),1)&gt;=100000,INDEX($AB$1005:$AQ$1005,1,MATCH(COLUMNS($AB$1006:AF1006),$AB$1006:$AQ$1006,0))&gt;=100000), " ",IF(INDEX($AB$2:$AQ$1001,MATCH(ROWS($U$2:U554),$U$2:$U$1001,0),MATCH(COLUMNS($AB$1006:AF1006),$AB$1006:$AQ$1006,0)), HYPERLINK("#",""), HYPERLINK(CONCATENATE("#Metadata!", ADDRESS(INDEX($W$2:$W$1001,MATCH(ROWS($U$2:U554),$U$2:$U$1001,0),0), INDEX($AB$1004:$AQ$1004,1,MATCH(COLUMNS($AB$1006:AF1006),$AB$1006:$AQ$1006,0)))),"Fix")))</f>
        <v>0</v>
      </c>
      <c r="G554" s="5">
        <f>IF(OR(INDEX($V$2:$V$1001,MATCH(ROWS($U$2:U554),$U$2:$U$1001,0),1)&gt;=100000,INDEX($AB$1005:$AQ$1005,1,MATCH(COLUMNS($AB$1006:AG1006),$AB$1006:$AQ$1006,0))&gt;=100000), " ",IF(INDEX($AB$2:$AQ$1001,MATCH(ROWS($U$2:U554),$U$2:$U$1001,0),MATCH(COLUMNS($AB$1006:AG1006),$AB$1006:$AQ$1006,0)), HYPERLINK("#",""), HYPERLINK(CONCATENATE("#Metadata!", ADDRESS(INDEX($W$2:$W$1001,MATCH(ROWS($U$2:U554),$U$2:$U$1001,0),0), INDEX($AB$1004:$AQ$1004,1,MATCH(COLUMNS($AB$1006:AG1006),$AB$1006:$AQ$1006,0)))),"Fix")))</f>
        <v>0</v>
      </c>
      <c r="H554" s="5">
        <f>IF(OR(INDEX($V$2:$V$1001,MATCH(ROWS($U$2:U554),$U$2:$U$1001,0),1)&gt;=100000,INDEX($AB$1005:$AQ$1005,1,MATCH(COLUMNS($AB$1006:AH1006),$AB$1006:$AQ$1006,0))&gt;=100000), " ",IF(INDEX($AB$2:$AQ$1001,MATCH(ROWS($U$2:U554),$U$2:$U$1001,0),MATCH(COLUMNS($AB$1006:AH1006),$AB$1006:$AQ$1006,0)), HYPERLINK("#",""), HYPERLINK(CONCATENATE("#Metadata!", ADDRESS(INDEX($W$2:$W$1001,MATCH(ROWS($U$2:U554),$U$2:$U$1001,0),0), INDEX($AB$1004:$AQ$1004,1,MATCH(COLUMNS($AB$1006:AH1006),$AB$1006:$AQ$1006,0)))),"Fix")))</f>
        <v>0</v>
      </c>
      <c r="I554" s="5">
        <f>IF(OR(INDEX($V$2:$V$1001,MATCH(ROWS($U$2:U554),$U$2:$U$1001,0),1)&gt;=100000,INDEX($AB$1005:$AQ$1005,1,MATCH(COLUMNS($AB$1006:AI1006),$AB$1006:$AQ$1006,0))&gt;=100000), " ",IF(INDEX($AB$2:$AQ$1001,MATCH(ROWS($U$2:U554),$U$2:$U$1001,0),MATCH(COLUMNS($AB$1006:AI1006),$AB$1006:$AQ$1006,0)), HYPERLINK("#",""), HYPERLINK(CONCATENATE("#Metadata!", ADDRESS(INDEX($W$2:$W$1001,MATCH(ROWS($U$2:U554),$U$2:$U$1001,0),0), INDEX($AB$1004:$AQ$1004,1,MATCH(COLUMNS($AB$1006:AI1006),$AB$1006:$AQ$1006,0)))),"Fix")))</f>
        <v>0</v>
      </c>
      <c r="J554" s="5">
        <f>IF(OR(INDEX($V$2:$V$1001,MATCH(ROWS($U$2:U554),$U$2:$U$1001,0),1)&gt;=100000,INDEX($AB$1005:$AQ$1005,1,MATCH(COLUMNS($AB$1006:AJ1006),$AB$1006:$AQ$1006,0))&gt;=100000), " ",IF(INDEX($AB$2:$AQ$1001,MATCH(ROWS($U$2:U554),$U$2:$U$1001,0),MATCH(COLUMNS($AB$1006:AJ1006),$AB$1006:$AQ$1006,0)), HYPERLINK("#",""), HYPERLINK(CONCATENATE("#Metadata!", ADDRESS(INDEX($W$2:$W$1001,MATCH(ROWS($U$2:U554),$U$2:$U$1001,0),0), INDEX($AB$1004:$AQ$1004,1,MATCH(COLUMNS($AB$1006:AJ1006),$AB$1006:$AQ$1006,0)))),"Fix")))</f>
        <v>0</v>
      </c>
      <c r="K554" s="5">
        <f>IF(OR(INDEX($V$2:$V$1001,MATCH(ROWS($U$2:U554),$U$2:$U$1001,0),1)&gt;=100000,INDEX($AB$1005:$AQ$1005,1,MATCH(COLUMNS($AB$1006:AK1006),$AB$1006:$AQ$1006,0))&gt;=100000), " ",IF(INDEX($AB$2:$AQ$1001,MATCH(ROWS($U$2:U554),$U$2:$U$1001,0),MATCH(COLUMNS($AB$1006:AK1006),$AB$1006:$AQ$1006,0)), HYPERLINK("#",""), HYPERLINK(CONCATENATE("#Metadata!", ADDRESS(INDEX($W$2:$W$1001,MATCH(ROWS($U$2:U554),$U$2:$U$1001,0),0), INDEX($AB$1004:$AQ$1004,1,MATCH(COLUMNS($AB$1006:AK1006),$AB$1006:$AQ$1006,0)))),"Fix")))</f>
        <v>0</v>
      </c>
      <c r="L554" s="5">
        <f>IF(OR(INDEX($V$2:$V$1001,MATCH(ROWS($U$2:U554),$U$2:$U$1001,0),1)&gt;=100000,INDEX($AB$1005:$AQ$1005,1,MATCH(COLUMNS($AB$1006:AL1006),$AB$1006:$AQ$1006,0))&gt;=100000), " ",IF(INDEX($AB$2:$AQ$1001,MATCH(ROWS($U$2:U554),$U$2:$U$1001,0),MATCH(COLUMNS($AB$1006:AL1006),$AB$1006:$AQ$1006,0)), HYPERLINK("#",""), HYPERLINK(CONCATENATE("#Metadata!", ADDRESS(INDEX($W$2:$W$1001,MATCH(ROWS($U$2:U554),$U$2:$U$1001,0),0), INDEX($AB$1004:$AQ$1004,1,MATCH(COLUMNS($AB$1006:AL1006),$AB$1006:$AQ$1006,0)))),"Fix")))</f>
        <v>0</v>
      </c>
      <c r="M554" s="5">
        <f>IF(OR(INDEX($V$2:$V$1001,MATCH(ROWS($U$2:U554),$U$2:$U$1001,0),1)&gt;=100000,INDEX($AB$1005:$AQ$1005,1,MATCH(COLUMNS($AB$1006:AM1006),$AB$1006:$AQ$1006,0))&gt;=100000), " ",IF(INDEX($AB$2:$AQ$1001,MATCH(ROWS($U$2:U554),$U$2:$U$1001,0),MATCH(COLUMNS($AB$1006:AM1006),$AB$1006:$AQ$1006,0)), HYPERLINK("#",""), HYPERLINK(CONCATENATE("#Metadata!", ADDRESS(INDEX($W$2:$W$1001,MATCH(ROWS($U$2:U554),$U$2:$U$1001,0),0), INDEX($AB$1004:$AQ$1004,1,MATCH(COLUMNS($AB$1006:AM1006),$AB$1006:$AQ$1006,0)))),"Fix")))</f>
        <v>0</v>
      </c>
      <c r="N554" s="5">
        <f>IF(OR(INDEX($V$2:$V$1001,MATCH(ROWS($U$2:U554),$U$2:$U$1001,0),1)&gt;=100000,INDEX($AB$1005:$AQ$1005,1,MATCH(COLUMNS($AB$1006:AN1006),$AB$1006:$AQ$1006,0))&gt;=100000), " ",IF(INDEX($AB$2:$AQ$1001,MATCH(ROWS($U$2:U554),$U$2:$U$1001,0),MATCH(COLUMNS($AB$1006:AN1006),$AB$1006:$AQ$1006,0)), HYPERLINK("#",""), HYPERLINK(CONCATENATE("#Metadata!", ADDRESS(INDEX($W$2:$W$1001,MATCH(ROWS($U$2:U554),$U$2:$U$1001,0),0), INDEX($AB$1004:$AQ$1004,1,MATCH(COLUMNS($AB$1006:AN1006),$AB$1006:$AQ$1006,0)))),"Fix")))</f>
        <v>0</v>
      </c>
      <c r="O554" s="5">
        <f>IF(OR(INDEX($V$2:$V$1001,MATCH(ROWS($U$2:U554),$U$2:$U$1001,0),1)&gt;=100000,INDEX($AB$1005:$AQ$1005,1,MATCH(COLUMNS($AB$1006:AO1006),$AB$1006:$AQ$1006,0))&gt;=100000), " ",IF(INDEX($AB$2:$AQ$1001,MATCH(ROWS($U$2:U554),$U$2:$U$1001,0),MATCH(COLUMNS($AB$1006:AO1006),$AB$1006:$AQ$1006,0)), HYPERLINK("#",""), HYPERLINK(CONCATENATE("#Metadata!", ADDRESS(INDEX($W$2:$W$1001,MATCH(ROWS($U$2:U554),$U$2:$U$1001,0),0), INDEX($AB$1004:$AQ$1004,1,MATCH(COLUMNS($AB$1006:AO1006),$AB$1006:$AQ$1006,0)))),"Fix")))</f>
        <v>0</v>
      </c>
      <c r="P554" s="5">
        <f>IF(OR(INDEX($V$2:$V$1001,MATCH(ROWS($U$2:U554),$U$2:$U$1001,0),1)&gt;=100000,INDEX($AB$1005:$AQ$1005,1,MATCH(COLUMNS($AB$1006:AP1006),$AB$1006:$AQ$1006,0))&gt;=100000), " ",IF(INDEX($AB$2:$AQ$1001,MATCH(ROWS($U$2:U554),$U$2:$U$1001,0),MATCH(COLUMNS($AB$1006:AP1006),$AB$1006:$AQ$1006,0)), HYPERLINK("#",""), HYPERLINK(CONCATENATE("#Metadata!", ADDRESS(INDEX($W$2:$W$1001,MATCH(ROWS($U$2:U554),$U$2:$U$1001,0),0), INDEX($AB$1004:$AQ$1004,1,MATCH(COLUMNS($AB$1006:AP1006),$AB$1006:$AQ$1006,0)))),"Fix")))</f>
        <v>0</v>
      </c>
      <c r="Q554" s="5">
        <f>IF(OR(INDEX($V$2:$V$1001,MATCH(ROWS($U$2:U554),$U$2:$U$1001,0),1)&gt;=100000,INDEX($AB$1005:$AQ$1005,1,MATCH(COLUMNS($AB$1006:AQ1006),$AB$1006:$AQ$1006,0))&gt;=100000), " ",IF(INDEX($AB$2:$AQ$1001,MATCH(ROWS($U$2:U554),$U$2:$U$1001,0),MATCH(COLUMNS($AB$1006:AQ1006),$AB$1006:$AQ$1006,0)), HYPERLINK("#",""), HYPERLINK(CONCATENATE("#Metadata!", ADDRESS(INDEX($W$2:$W$1001,MATCH(ROWS($U$2:U554),$U$2:$U$1001,0),0), INDEX($AB$1004:$AQ$1004,1,MATCH(COLUMNS($AB$1006:AQ1006),$AB$1006:$AQ$1006,0)))),"Fix")))</f>
        <v>0</v>
      </c>
      <c r="U554">
        <v>0</v>
      </c>
      <c r="V554">
        <v>0</v>
      </c>
      <c r="W554">
        <v>0</v>
      </c>
      <c r="X554">
        <f>IF(Y554,TRUE,AND(AB554:AQ554))</f>
        <v>0</v>
      </c>
      <c r="Y554">
        <f>COUNTBLANK(Metadata!B554:Q554)=COLUMNS(Metadata!B554:Q554)</f>
        <v>0</v>
      </c>
      <c r="Z554">
        <v>0</v>
      </c>
      <c r="AB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AC554">
        <f>AND(IF(Metadata!C554="",FALSE,TRUE),exact(Metadata!C554,"urban biome"))</f>
        <v>0</v>
      </c>
      <c r="AD554">
        <f>AND(IF(Metadata!D554="",FALSE,TRUE),exact(Metadata!D554,"human-associated habitat"))</f>
        <v>0</v>
      </c>
      <c r="AE554">
        <f>AND(IF(Metadata!E554="",FALSE,TRUE),OR(exact(Metadata!E554,"human-associated"),exact(Metadata!E554,"human-skin"),exact(Metadata!E554,"human-oral"),exact(Metadata!E554,"human-gut"),exact(Metadata!E554,"human-vaginal")))</f>
        <v>0</v>
      </c>
      <c r="AF554">
        <f>AND(IF(Metadata!F554="",FALSE,ISNUMBER(VALUE(Metadata!F554))),Metadata!F554&gt;0)</f>
        <v>0</v>
      </c>
      <c r="AG554">
        <f>AND(IF(Metadata!G554="",FALSE,TRUE),exact(Metadata!G554,"years"))</f>
        <v>0</v>
      </c>
      <c r="AH554">
        <f>OR(AND(IF(Metadata!H554="",FALSE,TRUE),OR(exact(Metadata!H554,"not applicable"),exact(Metadata!H554,"not collected"),exact(Metadata!H554,"not provided"),exact(Metadata!H554,"restricted access"))),AND(IF(Metadata!H554="",FALSE,ISNUMBER(VALUE(Metadata!H554))),Metadata!H554&gt;0))</f>
        <v>0</v>
      </c>
      <c r="AI554">
        <f>AND(IF(Metadata!I554="",FALSE,TRUE),exact(Metadata!I554,"human"))</f>
        <v>0</v>
      </c>
      <c r="AJ554">
        <f>AND(IF(Metadata!J554="",FALSE,ISNUMBER(VALUE(Metadata!J554))),Metadata!J554&gt;0)</f>
        <v>0</v>
      </c>
      <c r="AK554">
        <f>AND(IF(Metadata!K554="",FALSE,TRUE),exact(Metadata!K554,"cm"))</f>
        <v>0</v>
      </c>
      <c r="AL554">
        <f>AND(IF(Metadata!L554="",FALSE,TRUE),exact(Metadata!L554,"Homo sapiens"))</f>
        <v>0</v>
      </c>
      <c r="AM554">
        <f>AND(IF(Metadata!M554="",FALSE,TRUE),exact(Metadata!M554,"9606"))</f>
        <v>0</v>
      </c>
      <c r="AN554">
        <f>AND(IF(Metadata!N554="",FALSE,ISNUMBER(VALUE(Metadata!N554))),Metadata!N554&gt;0)</f>
        <v>0</v>
      </c>
      <c r="AO554">
        <f>AND(IF(Metadata!O554="",FALSE,TRUE),exact(Metadata!O554,"kg"))</f>
        <v>0</v>
      </c>
      <c r="AP554">
        <f>OR(AND(IF(Metadata!P554="",FALSE,TRUE),exact(Metadata!P554,"not provided")),IF(Metadata!P554="",FALSE,TRUE))</f>
        <v>0</v>
      </c>
      <c r="AQ554">
        <f>OR(AND(IF(Metadata!Q554="",FALSE,TRUE),exact(Metadata!Q554,"not provided")),IF(Metadata!Q554="",FALSE,TRUE))</f>
        <v>0</v>
      </c>
    </row>
    <row r="555" spans="1:43">
      <c r="A555" s="4">
        <f>IF(B555=" "," ",HYPERLINK(CONCATENATE("#metadata!",ADDRESS(INDEX($W$2:$W$1001,MATCH(ROWS($U$2:U555),$U$2:$U$1001,0),0),2)),INDEX($Z$2:$Z$1001,MATCH(ROWS($U$2:U555),$U$2:$U$1001,0),0)))</f>
        <v>0</v>
      </c>
      <c r="B555" s="5">
        <f>IF(OR(INDEX($V$2:$V$1001,MATCH(ROWS($U$2:U555),$U$2:$U$1001,0),1)&gt;=100000,INDEX($AB$1005:$AQ$1005,1,MATCH(COLUMNS($AB$1006:AB1006),$AB$1006:$AQ$1006,0))&gt;=100000), " ",IF(INDEX($AB$2:$AQ$1001,MATCH(ROWS($U$2:U555),$U$2:$U$1001,0),MATCH(COLUMNS($AB$1006:AB1006),$AB$1006:$AQ$1006,0)), HYPERLINK("#",""), HYPERLINK(CONCATENATE("#Metadata!", ADDRESS(INDEX($W$2:$W$1001,MATCH(ROWS($U$2:U555),$U$2:$U$1001,0),0), INDEX($AB$1004:$AQ$1004,1,MATCH(COLUMNS($AB$1006:AB1006),$AB$1006:$AQ$1006,0)))),"Fix")))</f>
        <v>0</v>
      </c>
      <c r="C555" s="5">
        <f>IF(OR(INDEX($V$2:$V$1001,MATCH(ROWS($U$2:U555),$U$2:$U$1001,0),1)&gt;=100000,INDEX($AB$1005:$AQ$1005,1,MATCH(COLUMNS($AB$1006:AC1006),$AB$1006:$AQ$1006,0))&gt;=100000), " ",IF(INDEX($AB$2:$AQ$1001,MATCH(ROWS($U$2:U555),$U$2:$U$1001,0),MATCH(COLUMNS($AB$1006:AC1006),$AB$1006:$AQ$1006,0)), HYPERLINK("#",""), HYPERLINK(CONCATENATE("#Metadata!", ADDRESS(INDEX($W$2:$W$1001,MATCH(ROWS($U$2:U555),$U$2:$U$1001,0),0), INDEX($AB$1004:$AQ$1004,1,MATCH(COLUMNS($AB$1006:AC1006),$AB$1006:$AQ$1006,0)))),"Fix")))</f>
        <v>0</v>
      </c>
      <c r="D555" s="5">
        <f>IF(OR(INDEX($V$2:$V$1001,MATCH(ROWS($U$2:U555),$U$2:$U$1001,0),1)&gt;=100000,INDEX($AB$1005:$AQ$1005,1,MATCH(COLUMNS($AB$1006:AD1006),$AB$1006:$AQ$1006,0))&gt;=100000), " ",IF(INDEX($AB$2:$AQ$1001,MATCH(ROWS($U$2:U555),$U$2:$U$1001,0),MATCH(COLUMNS($AB$1006:AD1006),$AB$1006:$AQ$1006,0)), HYPERLINK("#",""), HYPERLINK(CONCATENATE("#Metadata!", ADDRESS(INDEX($W$2:$W$1001,MATCH(ROWS($U$2:U555),$U$2:$U$1001,0),0), INDEX($AB$1004:$AQ$1004,1,MATCH(COLUMNS($AB$1006:AD1006),$AB$1006:$AQ$1006,0)))),"Fix")))</f>
        <v>0</v>
      </c>
      <c r="E555" s="5">
        <f>IF(OR(INDEX($V$2:$V$1001,MATCH(ROWS($U$2:U555),$U$2:$U$1001,0),1)&gt;=100000,INDEX($AB$1005:$AQ$1005,1,MATCH(COLUMNS($AB$1006:AE1006),$AB$1006:$AQ$1006,0))&gt;=100000), " ",IF(INDEX($AB$2:$AQ$1001,MATCH(ROWS($U$2:U555),$U$2:$U$1001,0),MATCH(COLUMNS($AB$1006:AE1006),$AB$1006:$AQ$1006,0)), HYPERLINK("#",""), HYPERLINK(CONCATENATE("#Metadata!", ADDRESS(INDEX($W$2:$W$1001,MATCH(ROWS($U$2:U555),$U$2:$U$1001,0),0), INDEX($AB$1004:$AQ$1004,1,MATCH(COLUMNS($AB$1006:AE1006),$AB$1006:$AQ$1006,0)))),"Fix")))</f>
        <v>0</v>
      </c>
      <c r="F555" s="5">
        <f>IF(OR(INDEX($V$2:$V$1001,MATCH(ROWS($U$2:U555),$U$2:$U$1001,0),1)&gt;=100000,INDEX($AB$1005:$AQ$1005,1,MATCH(COLUMNS($AB$1006:AF1006),$AB$1006:$AQ$1006,0))&gt;=100000), " ",IF(INDEX($AB$2:$AQ$1001,MATCH(ROWS($U$2:U555),$U$2:$U$1001,0),MATCH(COLUMNS($AB$1006:AF1006),$AB$1006:$AQ$1006,0)), HYPERLINK("#",""), HYPERLINK(CONCATENATE("#Metadata!", ADDRESS(INDEX($W$2:$W$1001,MATCH(ROWS($U$2:U555),$U$2:$U$1001,0),0), INDEX($AB$1004:$AQ$1004,1,MATCH(COLUMNS($AB$1006:AF1006),$AB$1006:$AQ$1006,0)))),"Fix")))</f>
        <v>0</v>
      </c>
      <c r="G555" s="5">
        <f>IF(OR(INDEX($V$2:$V$1001,MATCH(ROWS($U$2:U555),$U$2:$U$1001,0),1)&gt;=100000,INDEX($AB$1005:$AQ$1005,1,MATCH(COLUMNS($AB$1006:AG1006),$AB$1006:$AQ$1006,0))&gt;=100000), " ",IF(INDEX($AB$2:$AQ$1001,MATCH(ROWS($U$2:U555),$U$2:$U$1001,0),MATCH(COLUMNS($AB$1006:AG1006),$AB$1006:$AQ$1006,0)), HYPERLINK("#",""), HYPERLINK(CONCATENATE("#Metadata!", ADDRESS(INDEX($W$2:$W$1001,MATCH(ROWS($U$2:U555),$U$2:$U$1001,0),0), INDEX($AB$1004:$AQ$1004,1,MATCH(COLUMNS($AB$1006:AG1006),$AB$1006:$AQ$1006,0)))),"Fix")))</f>
        <v>0</v>
      </c>
      <c r="H555" s="5">
        <f>IF(OR(INDEX($V$2:$V$1001,MATCH(ROWS($U$2:U555),$U$2:$U$1001,0),1)&gt;=100000,INDEX($AB$1005:$AQ$1005,1,MATCH(COLUMNS($AB$1006:AH1006),$AB$1006:$AQ$1006,0))&gt;=100000), " ",IF(INDEX($AB$2:$AQ$1001,MATCH(ROWS($U$2:U555),$U$2:$U$1001,0),MATCH(COLUMNS($AB$1006:AH1006),$AB$1006:$AQ$1006,0)), HYPERLINK("#",""), HYPERLINK(CONCATENATE("#Metadata!", ADDRESS(INDEX($W$2:$W$1001,MATCH(ROWS($U$2:U555),$U$2:$U$1001,0),0), INDEX($AB$1004:$AQ$1004,1,MATCH(COLUMNS($AB$1006:AH1006),$AB$1006:$AQ$1006,0)))),"Fix")))</f>
        <v>0</v>
      </c>
      <c r="I555" s="5">
        <f>IF(OR(INDEX($V$2:$V$1001,MATCH(ROWS($U$2:U555),$U$2:$U$1001,0),1)&gt;=100000,INDEX($AB$1005:$AQ$1005,1,MATCH(COLUMNS($AB$1006:AI1006),$AB$1006:$AQ$1006,0))&gt;=100000), " ",IF(INDEX($AB$2:$AQ$1001,MATCH(ROWS($U$2:U555),$U$2:$U$1001,0),MATCH(COLUMNS($AB$1006:AI1006),$AB$1006:$AQ$1006,0)), HYPERLINK("#",""), HYPERLINK(CONCATENATE("#Metadata!", ADDRESS(INDEX($W$2:$W$1001,MATCH(ROWS($U$2:U555),$U$2:$U$1001,0),0), INDEX($AB$1004:$AQ$1004,1,MATCH(COLUMNS($AB$1006:AI1006),$AB$1006:$AQ$1006,0)))),"Fix")))</f>
        <v>0</v>
      </c>
      <c r="J555" s="5">
        <f>IF(OR(INDEX($V$2:$V$1001,MATCH(ROWS($U$2:U555),$U$2:$U$1001,0),1)&gt;=100000,INDEX($AB$1005:$AQ$1005,1,MATCH(COLUMNS($AB$1006:AJ1006),$AB$1006:$AQ$1006,0))&gt;=100000), " ",IF(INDEX($AB$2:$AQ$1001,MATCH(ROWS($U$2:U555),$U$2:$U$1001,0),MATCH(COLUMNS($AB$1006:AJ1006),$AB$1006:$AQ$1006,0)), HYPERLINK("#",""), HYPERLINK(CONCATENATE("#Metadata!", ADDRESS(INDEX($W$2:$W$1001,MATCH(ROWS($U$2:U555),$U$2:$U$1001,0),0), INDEX($AB$1004:$AQ$1004,1,MATCH(COLUMNS($AB$1006:AJ1006),$AB$1006:$AQ$1006,0)))),"Fix")))</f>
        <v>0</v>
      </c>
      <c r="K555" s="5">
        <f>IF(OR(INDEX($V$2:$V$1001,MATCH(ROWS($U$2:U555),$U$2:$U$1001,0),1)&gt;=100000,INDEX($AB$1005:$AQ$1005,1,MATCH(COLUMNS($AB$1006:AK1006),$AB$1006:$AQ$1006,0))&gt;=100000), " ",IF(INDEX($AB$2:$AQ$1001,MATCH(ROWS($U$2:U555),$U$2:$U$1001,0),MATCH(COLUMNS($AB$1006:AK1006),$AB$1006:$AQ$1006,0)), HYPERLINK("#",""), HYPERLINK(CONCATENATE("#Metadata!", ADDRESS(INDEX($W$2:$W$1001,MATCH(ROWS($U$2:U555),$U$2:$U$1001,0),0), INDEX($AB$1004:$AQ$1004,1,MATCH(COLUMNS($AB$1006:AK1006),$AB$1006:$AQ$1006,0)))),"Fix")))</f>
        <v>0</v>
      </c>
      <c r="L555" s="5">
        <f>IF(OR(INDEX($V$2:$V$1001,MATCH(ROWS($U$2:U555),$U$2:$U$1001,0),1)&gt;=100000,INDEX($AB$1005:$AQ$1005,1,MATCH(COLUMNS($AB$1006:AL1006),$AB$1006:$AQ$1006,0))&gt;=100000), " ",IF(INDEX($AB$2:$AQ$1001,MATCH(ROWS($U$2:U555),$U$2:$U$1001,0),MATCH(COLUMNS($AB$1006:AL1006),$AB$1006:$AQ$1006,0)), HYPERLINK("#",""), HYPERLINK(CONCATENATE("#Metadata!", ADDRESS(INDEX($W$2:$W$1001,MATCH(ROWS($U$2:U555),$U$2:$U$1001,0),0), INDEX($AB$1004:$AQ$1004,1,MATCH(COLUMNS($AB$1006:AL1006),$AB$1006:$AQ$1006,0)))),"Fix")))</f>
        <v>0</v>
      </c>
      <c r="M555" s="5">
        <f>IF(OR(INDEX($V$2:$V$1001,MATCH(ROWS($U$2:U555),$U$2:$U$1001,0),1)&gt;=100000,INDEX($AB$1005:$AQ$1005,1,MATCH(COLUMNS($AB$1006:AM1006),$AB$1006:$AQ$1006,0))&gt;=100000), " ",IF(INDEX($AB$2:$AQ$1001,MATCH(ROWS($U$2:U555),$U$2:$U$1001,0),MATCH(COLUMNS($AB$1006:AM1006),$AB$1006:$AQ$1006,0)), HYPERLINK("#",""), HYPERLINK(CONCATENATE("#Metadata!", ADDRESS(INDEX($W$2:$W$1001,MATCH(ROWS($U$2:U555),$U$2:$U$1001,0),0), INDEX($AB$1004:$AQ$1004,1,MATCH(COLUMNS($AB$1006:AM1006),$AB$1006:$AQ$1006,0)))),"Fix")))</f>
        <v>0</v>
      </c>
      <c r="N555" s="5">
        <f>IF(OR(INDEX($V$2:$V$1001,MATCH(ROWS($U$2:U555),$U$2:$U$1001,0),1)&gt;=100000,INDEX($AB$1005:$AQ$1005,1,MATCH(COLUMNS($AB$1006:AN1006),$AB$1006:$AQ$1006,0))&gt;=100000), " ",IF(INDEX($AB$2:$AQ$1001,MATCH(ROWS($U$2:U555),$U$2:$U$1001,0),MATCH(COLUMNS($AB$1006:AN1006),$AB$1006:$AQ$1006,0)), HYPERLINK("#",""), HYPERLINK(CONCATENATE("#Metadata!", ADDRESS(INDEX($W$2:$W$1001,MATCH(ROWS($U$2:U555),$U$2:$U$1001,0),0), INDEX($AB$1004:$AQ$1004,1,MATCH(COLUMNS($AB$1006:AN1006),$AB$1006:$AQ$1006,0)))),"Fix")))</f>
        <v>0</v>
      </c>
      <c r="O555" s="5">
        <f>IF(OR(INDEX($V$2:$V$1001,MATCH(ROWS($U$2:U555),$U$2:$U$1001,0),1)&gt;=100000,INDEX($AB$1005:$AQ$1005,1,MATCH(COLUMNS($AB$1006:AO1006),$AB$1006:$AQ$1006,0))&gt;=100000), " ",IF(INDEX($AB$2:$AQ$1001,MATCH(ROWS($U$2:U555),$U$2:$U$1001,0),MATCH(COLUMNS($AB$1006:AO1006),$AB$1006:$AQ$1006,0)), HYPERLINK("#",""), HYPERLINK(CONCATENATE("#Metadata!", ADDRESS(INDEX($W$2:$W$1001,MATCH(ROWS($U$2:U555),$U$2:$U$1001,0),0), INDEX($AB$1004:$AQ$1004,1,MATCH(COLUMNS($AB$1006:AO1006),$AB$1006:$AQ$1006,0)))),"Fix")))</f>
        <v>0</v>
      </c>
      <c r="P555" s="5">
        <f>IF(OR(INDEX($V$2:$V$1001,MATCH(ROWS($U$2:U555),$U$2:$U$1001,0),1)&gt;=100000,INDEX($AB$1005:$AQ$1005,1,MATCH(COLUMNS($AB$1006:AP1006),$AB$1006:$AQ$1006,0))&gt;=100000), " ",IF(INDEX($AB$2:$AQ$1001,MATCH(ROWS($U$2:U555),$U$2:$U$1001,0),MATCH(COLUMNS($AB$1006:AP1006),$AB$1006:$AQ$1006,0)), HYPERLINK("#",""), HYPERLINK(CONCATENATE("#Metadata!", ADDRESS(INDEX($W$2:$W$1001,MATCH(ROWS($U$2:U555),$U$2:$U$1001,0),0), INDEX($AB$1004:$AQ$1004,1,MATCH(COLUMNS($AB$1006:AP1006),$AB$1006:$AQ$1006,0)))),"Fix")))</f>
        <v>0</v>
      </c>
      <c r="Q555" s="5">
        <f>IF(OR(INDEX($V$2:$V$1001,MATCH(ROWS($U$2:U555),$U$2:$U$1001,0),1)&gt;=100000,INDEX($AB$1005:$AQ$1005,1,MATCH(COLUMNS($AB$1006:AQ1006),$AB$1006:$AQ$1006,0))&gt;=100000), " ",IF(INDEX($AB$2:$AQ$1001,MATCH(ROWS($U$2:U555),$U$2:$U$1001,0),MATCH(COLUMNS($AB$1006:AQ1006),$AB$1006:$AQ$1006,0)), HYPERLINK("#",""), HYPERLINK(CONCATENATE("#Metadata!", ADDRESS(INDEX($W$2:$W$1001,MATCH(ROWS($U$2:U555),$U$2:$U$1001,0),0), INDEX($AB$1004:$AQ$1004,1,MATCH(COLUMNS($AB$1006:AQ1006),$AB$1006:$AQ$1006,0)))),"Fix")))</f>
        <v>0</v>
      </c>
      <c r="U555">
        <v>0</v>
      </c>
      <c r="V555">
        <v>0</v>
      </c>
      <c r="W555">
        <v>0</v>
      </c>
      <c r="X555">
        <f>IF(Y555,TRUE,AND(AB555:AQ555))</f>
        <v>0</v>
      </c>
      <c r="Y555">
        <f>COUNTBLANK(Metadata!B555:Q555)=COLUMNS(Metadata!B555:Q555)</f>
        <v>0</v>
      </c>
      <c r="Z555">
        <v>0</v>
      </c>
      <c r="AB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AC555">
        <f>AND(IF(Metadata!C555="",FALSE,TRUE),exact(Metadata!C555,"urban biome"))</f>
        <v>0</v>
      </c>
      <c r="AD555">
        <f>AND(IF(Metadata!D555="",FALSE,TRUE),exact(Metadata!D555,"human-associated habitat"))</f>
        <v>0</v>
      </c>
      <c r="AE555">
        <f>AND(IF(Metadata!E555="",FALSE,TRUE),OR(exact(Metadata!E555,"human-associated"),exact(Metadata!E555,"human-skin"),exact(Metadata!E555,"human-oral"),exact(Metadata!E555,"human-gut"),exact(Metadata!E555,"human-vaginal")))</f>
        <v>0</v>
      </c>
      <c r="AF555">
        <f>AND(IF(Metadata!F555="",FALSE,ISNUMBER(VALUE(Metadata!F555))),Metadata!F555&gt;0)</f>
        <v>0</v>
      </c>
      <c r="AG555">
        <f>AND(IF(Metadata!G555="",FALSE,TRUE),exact(Metadata!G555,"years"))</f>
        <v>0</v>
      </c>
      <c r="AH555">
        <f>OR(AND(IF(Metadata!H555="",FALSE,TRUE),OR(exact(Metadata!H555,"not applicable"),exact(Metadata!H555,"not collected"),exact(Metadata!H555,"not provided"),exact(Metadata!H555,"restricted access"))),AND(IF(Metadata!H555="",FALSE,ISNUMBER(VALUE(Metadata!H555))),Metadata!H555&gt;0))</f>
        <v>0</v>
      </c>
      <c r="AI555">
        <f>AND(IF(Metadata!I555="",FALSE,TRUE),exact(Metadata!I555,"human"))</f>
        <v>0</v>
      </c>
      <c r="AJ555">
        <f>AND(IF(Metadata!J555="",FALSE,ISNUMBER(VALUE(Metadata!J555))),Metadata!J555&gt;0)</f>
        <v>0</v>
      </c>
      <c r="AK555">
        <f>AND(IF(Metadata!K555="",FALSE,TRUE),exact(Metadata!K555,"cm"))</f>
        <v>0</v>
      </c>
      <c r="AL555">
        <f>AND(IF(Metadata!L555="",FALSE,TRUE),exact(Metadata!L555,"Homo sapiens"))</f>
        <v>0</v>
      </c>
      <c r="AM555">
        <f>AND(IF(Metadata!M555="",FALSE,TRUE),exact(Metadata!M555,"9606"))</f>
        <v>0</v>
      </c>
      <c r="AN555">
        <f>AND(IF(Metadata!N555="",FALSE,ISNUMBER(VALUE(Metadata!N555))),Metadata!N555&gt;0)</f>
        <v>0</v>
      </c>
      <c r="AO555">
        <f>AND(IF(Metadata!O555="",FALSE,TRUE),exact(Metadata!O555,"kg"))</f>
        <v>0</v>
      </c>
      <c r="AP555">
        <f>OR(AND(IF(Metadata!P555="",FALSE,TRUE),exact(Metadata!P555,"not provided")),IF(Metadata!P555="",FALSE,TRUE))</f>
        <v>0</v>
      </c>
      <c r="AQ555">
        <f>OR(AND(IF(Metadata!Q555="",FALSE,TRUE),exact(Metadata!Q555,"not provided")),IF(Metadata!Q555="",FALSE,TRUE))</f>
        <v>0</v>
      </c>
    </row>
    <row r="556" spans="1:43">
      <c r="A556" s="4">
        <f>IF(B556=" "," ",HYPERLINK(CONCATENATE("#metadata!",ADDRESS(INDEX($W$2:$W$1001,MATCH(ROWS($U$2:U556),$U$2:$U$1001,0),0),2)),INDEX($Z$2:$Z$1001,MATCH(ROWS($U$2:U556),$U$2:$U$1001,0),0)))</f>
        <v>0</v>
      </c>
      <c r="B556" s="5">
        <f>IF(OR(INDEX($V$2:$V$1001,MATCH(ROWS($U$2:U556),$U$2:$U$1001,0),1)&gt;=100000,INDEX($AB$1005:$AQ$1005,1,MATCH(COLUMNS($AB$1006:AB1006),$AB$1006:$AQ$1006,0))&gt;=100000), " ",IF(INDEX($AB$2:$AQ$1001,MATCH(ROWS($U$2:U556),$U$2:$U$1001,0),MATCH(COLUMNS($AB$1006:AB1006),$AB$1006:$AQ$1006,0)), HYPERLINK("#",""), HYPERLINK(CONCATENATE("#Metadata!", ADDRESS(INDEX($W$2:$W$1001,MATCH(ROWS($U$2:U556),$U$2:$U$1001,0),0), INDEX($AB$1004:$AQ$1004,1,MATCH(COLUMNS($AB$1006:AB1006),$AB$1006:$AQ$1006,0)))),"Fix")))</f>
        <v>0</v>
      </c>
      <c r="C556" s="5">
        <f>IF(OR(INDEX($V$2:$V$1001,MATCH(ROWS($U$2:U556),$U$2:$U$1001,0),1)&gt;=100000,INDEX($AB$1005:$AQ$1005,1,MATCH(COLUMNS($AB$1006:AC1006),$AB$1006:$AQ$1006,0))&gt;=100000), " ",IF(INDEX($AB$2:$AQ$1001,MATCH(ROWS($U$2:U556),$U$2:$U$1001,0),MATCH(COLUMNS($AB$1006:AC1006),$AB$1006:$AQ$1006,0)), HYPERLINK("#",""), HYPERLINK(CONCATENATE("#Metadata!", ADDRESS(INDEX($W$2:$W$1001,MATCH(ROWS($U$2:U556),$U$2:$U$1001,0),0), INDEX($AB$1004:$AQ$1004,1,MATCH(COLUMNS($AB$1006:AC1006),$AB$1006:$AQ$1006,0)))),"Fix")))</f>
        <v>0</v>
      </c>
      <c r="D556" s="5">
        <f>IF(OR(INDEX($V$2:$V$1001,MATCH(ROWS($U$2:U556),$U$2:$U$1001,0),1)&gt;=100000,INDEX($AB$1005:$AQ$1005,1,MATCH(COLUMNS($AB$1006:AD1006),$AB$1006:$AQ$1006,0))&gt;=100000), " ",IF(INDEX($AB$2:$AQ$1001,MATCH(ROWS($U$2:U556),$U$2:$U$1001,0),MATCH(COLUMNS($AB$1006:AD1006),$AB$1006:$AQ$1006,0)), HYPERLINK("#",""), HYPERLINK(CONCATENATE("#Metadata!", ADDRESS(INDEX($W$2:$W$1001,MATCH(ROWS($U$2:U556),$U$2:$U$1001,0),0), INDEX($AB$1004:$AQ$1004,1,MATCH(COLUMNS($AB$1006:AD1006),$AB$1006:$AQ$1006,0)))),"Fix")))</f>
        <v>0</v>
      </c>
      <c r="E556" s="5">
        <f>IF(OR(INDEX($V$2:$V$1001,MATCH(ROWS($U$2:U556),$U$2:$U$1001,0),1)&gt;=100000,INDEX($AB$1005:$AQ$1005,1,MATCH(COLUMNS($AB$1006:AE1006),$AB$1006:$AQ$1006,0))&gt;=100000), " ",IF(INDEX($AB$2:$AQ$1001,MATCH(ROWS($U$2:U556),$U$2:$U$1001,0),MATCH(COLUMNS($AB$1006:AE1006),$AB$1006:$AQ$1006,0)), HYPERLINK("#",""), HYPERLINK(CONCATENATE("#Metadata!", ADDRESS(INDEX($W$2:$W$1001,MATCH(ROWS($U$2:U556),$U$2:$U$1001,0),0), INDEX($AB$1004:$AQ$1004,1,MATCH(COLUMNS($AB$1006:AE1006),$AB$1006:$AQ$1006,0)))),"Fix")))</f>
        <v>0</v>
      </c>
      <c r="F556" s="5">
        <f>IF(OR(INDEX($V$2:$V$1001,MATCH(ROWS($U$2:U556),$U$2:$U$1001,0),1)&gt;=100000,INDEX($AB$1005:$AQ$1005,1,MATCH(COLUMNS($AB$1006:AF1006),$AB$1006:$AQ$1006,0))&gt;=100000), " ",IF(INDEX($AB$2:$AQ$1001,MATCH(ROWS($U$2:U556),$U$2:$U$1001,0),MATCH(COLUMNS($AB$1006:AF1006),$AB$1006:$AQ$1006,0)), HYPERLINK("#",""), HYPERLINK(CONCATENATE("#Metadata!", ADDRESS(INDEX($W$2:$W$1001,MATCH(ROWS($U$2:U556),$U$2:$U$1001,0),0), INDEX($AB$1004:$AQ$1004,1,MATCH(COLUMNS($AB$1006:AF1006),$AB$1006:$AQ$1006,0)))),"Fix")))</f>
        <v>0</v>
      </c>
      <c r="G556" s="5">
        <f>IF(OR(INDEX($V$2:$V$1001,MATCH(ROWS($U$2:U556),$U$2:$U$1001,0),1)&gt;=100000,INDEX($AB$1005:$AQ$1005,1,MATCH(COLUMNS($AB$1006:AG1006),$AB$1006:$AQ$1006,0))&gt;=100000), " ",IF(INDEX($AB$2:$AQ$1001,MATCH(ROWS($U$2:U556),$U$2:$U$1001,0),MATCH(COLUMNS($AB$1006:AG1006),$AB$1006:$AQ$1006,0)), HYPERLINK("#",""), HYPERLINK(CONCATENATE("#Metadata!", ADDRESS(INDEX($W$2:$W$1001,MATCH(ROWS($U$2:U556),$U$2:$U$1001,0),0), INDEX($AB$1004:$AQ$1004,1,MATCH(COLUMNS($AB$1006:AG1006),$AB$1006:$AQ$1006,0)))),"Fix")))</f>
        <v>0</v>
      </c>
      <c r="H556" s="5">
        <f>IF(OR(INDEX($V$2:$V$1001,MATCH(ROWS($U$2:U556),$U$2:$U$1001,0),1)&gt;=100000,INDEX($AB$1005:$AQ$1005,1,MATCH(COLUMNS($AB$1006:AH1006),$AB$1006:$AQ$1006,0))&gt;=100000), " ",IF(INDEX($AB$2:$AQ$1001,MATCH(ROWS($U$2:U556),$U$2:$U$1001,0),MATCH(COLUMNS($AB$1006:AH1006),$AB$1006:$AQ$1006,0)), HYPERLINK("#",""), HYPERLINK(CONCATENATE("#Metadata!", ADDRESS(INDEX($W$2:$W$1001,MATCH(ROWS($U$2:U556),$U$2:$U$1001,0),0), INDEX($AB$1004:$AQ$1004,1,MATCH(COLUMNS($AB$1006:AH1006),$AB$1006:$AQ$1006,0)))),"Fix")))</f>
        <v>0</v>
      </c>
      <c r="I556" s="5">
        <f>IF(OR(INDEX($V$2:$V$1001,MATCH(ROWS($U$2:U556),$U$2:$U$1001,0),1)&gt;=100000,INDEX($AB$1005:$AQ$1005,1,MATCH(COLUMNS($AB$1006:AI1006),$AB$1006:$AQ$1006,0))&gt;=100000), " ",IF(INDEX($AB$2:$AQ$1001,MATCH(ROWS($U$2:U556),$U$2:$U$1001,0),MATCH(COLUMNS($AB$1006:AI1006),$AB$1006:$AQ$1006,0)), HYPERLINK("#",""), HYPERLINK(CONCATENATE("#Metadata!", ADDRESS(INDEX($W$2:$W$1001,MATCH(ROWS($U$2:U556),$U$2:$U$1001,0),0), INDEX($AB$1004:$AQ$1004,1,MATCH(COLUMNS($AB$1006:AI1006),$AB$1006:$AQ$1006,0)))),"Fix")))</f>
        <v>0</v>
      </c>
      <c r="J556" s="5">
        <f>IF(OR(INDEX($V$2:$V$1001,MATCH(ROWS($U$2:U556),$U$2:$U$1001,0),1)&gt;=100000,INDEX($AB$1005:$AQ$1005,1,MATCH(COLUMNS($AB$1006:AJ1006),$AB$1006:$AQ$1006,0))&gt;=100000), " ",IF(INDEX($AB$2:$AQ$1001,MATCH(ROWS($U$2:U556),$U$2:$U$1001,0),MATCH(COLUMNS($AB$1006:AJ1006),$AB$1006:$AQ$1006,0)), HYPERLINK("#",""), HYPERLINK(CONCATENATE("#Metadata!", ADDRESS(INDEX($W$2:$W$1001,MATCH(ROWS($U$2:U556),$U$2:$U$1001,0),0), INDEX($AB$1004:$AQ$1004,1,MATCH(COLUMNS($AB$1006:AJ1006),$AB$1006:$AQ$1006,0)))),"Fix")))</f>
        <v>0</v>
      </c>
      <c r="K556" s="5">
        <f>IF(OR(INDEX($V$2:$V$1001,MATCH(ROWS($U$2:U556),$U$2:$U$1001,0),1)&gt;=100000,INDEX($AB$1005:$AQ$1005,1,MATCH(COLUMNS($AB$1006:AK1006),$AB$1006:$AQ$1006,0))&gt;=100000), " ",IF(INDEX($AB$2:$AQ$1001,MATCH(ROWS($U$2:U556),$U$2:$U$1001,0),MATCH(COLUMNS($AB$1006:AK1006),$AB$1006:$AQ$1006,0)), HYPERLINK("#",""), HYPERLINK(CONCATENATE("#Metadata!", ADDRESS(INDEX($W$2:$W$1001,MATCH(ROWS($U$2:U556),$U$2:$U$1001,0),0), INDEX($AB$1004:$AQ$1004,1,MATCH(COLUMNS($AB$1006:AK1006),$AB$1006:$AQ$1006,0)))),"Fix")))</f>
        <v>0</v>
      </c>
      <c r="L556" s="5">
        <f>IF(OR(INDEX($V$2:$V$1001,MATCH(ROWS($U$2:U556),$U$2:$U$1001,0),1)&gt;=100000,INDEX($AB$1005:$AQ$1005,1,MATCH(COLUMNS($AB$1006:AL1006),$AB$1006:$AQ$1006,0))&gt;=100000), " ",IF(INDEX($AB$2:$AQ$1001,MATCH(ROWS($U$2:U556),$U$2:$U$1001,0),MATCH(COLUMNS($AB$1006:AL1006),$AB$1006:$AQ$1006,0)), HYPERLINK("#",""), HYPERLINK(CONCATENATE("#Metadata!", ADDRESS(INDEX($W$2:$W$1001,MATCH(ROWS($U$2:U556),$U$2:$U$1001,0),0), INDEX($AB$1004:$AQ$1004,1,MATCH(COLUMNS($AB$1006:AL1006),$AB$1006:$AQ$1006,0)))),"Fix")))</f>
        <v>0</v>
      </c>
      <c r="M556" s="5">
        <f>IF(OR(INDEX($V$2:$V$1001,MATCH(ROWS($U$2:U556),$U$2:$U$1001,0),1)&gt;=100000,INDEX($AB$1005:$AQ$1005,1,MATCH(COLUMNS($AB$1006:AM1006),$AB$1006:$AQ$1006,0))&gt;=100000), " ",IF(INDEX($AB$2:$AQ$1001,MATCH(ROWS($U$2:U556),$U$2:$U$1001,0),MATCH(COLUMNS($AB$1006:AM1006),$AB$1006:$AQ$1006,0)), HYPERLINK("#",""), HYPERLINK(CONCATENATE("#Metadata!", ADDRESS(INDEX($W$2:$W$1001,MATCH(ROWS($U$2:U556),$U$2:$U$1001,0),0), INDEX($AB$1004:$AQ$1004,1,MATCH(COLUMNS($AB$1006:AM1006),$AB$1006:$AQ$1006,0)))),"Fix")))</f>
        <v>0</v>
      </c>
      <c r="N556" s="5">
        <f>IF(OR(INDEX($V$2:$V$1001,MATCH(ROWS($U$2:U556),$U$2:$U$1001,0),1)&gt;=100000,INDEX($AB$1005:$AQ$1005,1,MATCH(COLUMNS($AB$1006:AN1006),$AB$1006:$AQ$1006,0))&gt;=100000), " ",IF(INDEX($AB$2:$AQ$1001,MATCH(ROWS($U$2:U556),$U$2:$U$1001,0),MATCH(COLUMNS($AB$1006:AN1006),$AB$1006:$AQ$1006,0)), HYPERLINK("#",""), HYPERLINK(CONCATENATE("#Metadata!", ADDRESS(INDEX($W$2:$W$1001,MATCH(ROWS($U$2:U556),$U$2:$U$1001,0),0), INDEX($AB$1004:$AQ$1004,1,MATCH(COLUMNS($AB$1006:AN1006),$AB$1006:$AQ$1006,0)))),"Fix")))</f>
        <v>0</v>
      </c>
      <c r="O556" s="5">
        <f>IF(OR(INDEX($V$2:$V$1001,MATCH(ROWS($U$2:U556),$U$2:$U$1001,0),1)&gt;=100000,INDEX($AB$1005:$AQ$1005,1,MATCH(COLUMNS($AB$1006:AO1006),$AB$1006:$AQ$1006,0))&gt;=100000), " ",IF(INDEX($AB$2:$AQ$1001,MATCH(ROWS($U$2:U556),$U$2:$U$1001,0),MATCH(COLUMNS($AB$1006:AO1006),$AB$1006:$AQ$1006,0)), HYPERLINK("#",""), HYPERLINK(CONCATENATE("#Metadata!", ADDRESS(INDEX($W$2:$W$1001,MATCH(ROWS($U$2:U556),$U$2:$U$1001,0),0), INDEX($AB$1004:$AQ$1004,1,MATCH(COLUMNS($AB$1006:AO1006),$AB$1006:$AQ$1006,0)))),"Fix")))</f>
        <v>0</v>
      </c>
      <c r="P556" s="5">
        <f>IF(OR(INDEX($V$2:$V$1001,MATCH(ROWS($U$2:U556),$U$2:$U$1001,0),1)&gt;=100000,INDEX($AB$1005:$AQ$1005,1,MATCH(COLUMNS($AB$1006:AP1006),$AB$1006:$AQ$1006,0))&gt;=100000), " ",IF(INDEX($AB$2:$AQ$1001,MATCH(ROWS($U$2:U556),$U$2:$U$1001,0),MATCH(COLUMNS($AB$1006:AP1006),$AB$1006:$AQ$1006,0)), HYPERLINK("#",""), HYPERLINK(CONCATENATE("#Metadata!", ADDRESS(INDEX($W$2:$W$1001,MATCH(ROWS($U$2:U556),$U$2:$U$1001,0),0), INDEX($AB$1004:$AQ$1004,1,MATCH(COLUMNS($AB$1006:AP1006),$AB$1006:$AQ$1006,0)))),"Fix")))</f>
        <v>0</v>
      </c>
      <c r="Q556" s="5">
        <f>IF(OR(INDEX($V$2:$V$1001,MATCH(ROWS($U$2:U556),$U$2:$U$1001,0),1)&gt;=100000,INDEX($AB$1005:$AQ$1005,1,MATCH(COLUMNS($AB$1006:AQ1006),$AB$1006:$AQ$1006,0))&gt;=100000), " ",IF(INDEX($AB$2:$AQ$1001,MATCH(ROWS($U$2:U556),$U$2:$U$1001,0),MATCH(COLUMNS($AB$1006:AQ1006),$AB$1006:$AQ$1006,0)), HYPERLINK("#",""), HYPERLINK(CONCATENATE("#Metadata!", ADDRESS(INDEX($W$2:$W$1001,MATCH(ROWS($U$2:U556),$U$2:$U$1001,0),0), INDEX($AB$1004:$AQ$1004,1,MATCH(COLUMNS($AB$1006:AQ1006),$AB$1006:$AQ$1006,0)))),"Fix")))</f>
        <v>0</v>
      </c>
      <c r="U556">
        <v>0</v>
      </c>
      <c r="V556">
        <v>0</v>
      </c>
      <c r="W556">
        <v>0</v>
      </c>
      <c r="X556">
        <f>IF(Y556,TRUE,AND(AB556:AQ556))</f>
        <v>0</v>
      </c>
      <c r="Y556">
        <f>COUNTBLANK(Metadata!B556:Q556)=COLUMNS(Metadata!B556:Q556)</f>
        <v>0</v>
      </c>
      <c r="Z556">
        <v>0</v>
      </c>
      <c r="AB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AC556">
        <f>AND(IF(Metadata!C556="",FALSE,TRUE),exact(Metadata!C556,"urban biome"))</f>
        <v>0</v>
      </c>
      <c r="AD556">
        <f>AND(IF(Metadata!D556="",FALSE,TRUE),exact(Metadata!D556,"human-associated habitat"))</f>
        <v>0</v>
      </c>
      <c r="AE556">
        <f>AND(IF(Metadata!E556="",FALSE,TRUE),OR(exact(Metadata!E556,"human-associated"),exact(Metadata!E556,"human-skin"),exact(Metadata!E556,"human-oral"),exact(Metadata!E556,"human-gut"),exact(Metadata!E556,"human-vaginal")))</f>
        <v>0</v>
      </c>
      <c r="AF556">
        <f>AND(IF(Metadata!F556="",FALSE,ISNUMBER(VALUE(Metadata!F556))),Metadata!F556&gt;0)</f>
        <v>0</v>
      </c>
      <c r="AG556">
        <f>AND(IF(Metadata!G556="",FALSE,TRUE),exact(Metadata!G556,"years"))</f>
        <v>0</v>
      </c>
      <c r="AH556">
        <f>OR(AND(IF(Metadata!H556="",FALSE,TRUE),OR(exact(Metadata!H556,"not applicable"),exact(Metadata!H556,"not collected"),exact(Metadata!H556,"not provided"),exact(Metadata!H556,"restricted access"))),AND(IF(Metadata!H556="",FALSE,ISNUMBER(VALUE(Metadata!H556))),Metadata!H556&gt;0))</f>
        <v>0</v>
      </c>
      <c r="AI556">
        <f>AND(IF(Metadata!I556="",FALSE,TRUE),exact(Metadata!I556,"human"))</f>
        <v>0</v>
      </c>
      <c r="AJ556">
        <f>AND(IF(Metadata!J556="",FALSE,ISNUMBER(VALUE(Metadata!J556))),Metadata!J556&gt;0)</f>
        <v>0</v>
      </c>
      <c r="AK556">
        <f>AND(IF(Metadata!K556="",FALSE,TRUE),exact(Metadata!K556,"cm"))</f>
        <v>0</v>
      </c>
      <c r="AL556">
        <f>AND(IF(Metadata!L556="",FALSE,TRUE),exact(Metadata!L556,"Homo sapiens"))</f>
        <v>0</v>
      </c>
      <c r="AM556">
        <f>AND(IF(Metadata!M556="",FALSE,TRUE),exact(Metadata!M556,"9606"))</f>
        <v>0</v>
      </c>
      <c r="AN556">
        <f>AND(IF(Metadata!N556="",FALSE,ISNUMBER(VALUE(Metadata!N556))),Metadata!N556&gt;0)</f>
        <v>0</v>
      </c>
      <c r="AO556">
        <f>AND(IF(Metadata!O556="",FALSE,TRUE),exact(Metadata!O556,"kg"))</f>
        <v>0</v>
      </c>
      <c r="AP556">
        <f>OR(AND(IF(Metadata!P556="",FALSE,TRUE),exact(Metadata!P556,"not provided")),IF(Metadata!P556="",FALSE,TRUE))</f>
        <v>0</v>
      </c>
      <c r="AQ556">
        <f>OR(AND(IF(Metadata!Q556="",FALSE,TRUE),exact(Metadata!Q556,"not provided")),IF(Metadata!Q556="",FALSE,TRUE))</f>
        <v>0</v>
      </c>
    </row>
    <row r="557" spans="1:43">
      <c r="A557" s="4">
        <f>IF(B557=" "," ",HYPERLINK(CONCATENATE("#metadata!",ADDRESS(INDEX($W$2:$W$1001,MATCH(ROWS($U$2:U557),$U$2:$U$1001,0),0),2)),INDEX($Z$2:$Z$1001,MATCH(ROWS($U$2:U557),$U$2:$U$1001,0),0)))</f>
        <v>0</v>
      </c>
      <c r="B557" s="5">
        <f>IF(OR(INDEX($V$2:$V$1001,MATCH(ROWS($U$2:U557),$U$2:$U$1001,0),1)&gt;=100000,INDEX($AB$1005:$AQ$1005,1,MATCH(COLUMNS($AB$1006:AB1006),$AB$1006:$AQ$1006,0))&gt;=100000), " ",IF(INDEX($AB$2:$AQ$1001,MATCH(ROWS($U$2:U557),$U$2:$U$1001,0),MATCH(COLUMNS($AB$1006:AB1006),$AB$1006:$AQ$1006,0)), HYPERLINK("#",""), HYPERLINK(CONCATENATE("#Metadata!", ADDRESS(INDEX($W$2:$W$1001,MATCH(ROWS($U$2:U557),$U$2:$U$1001,0),0), INDEX($AB$1004:$AQ$1004,1,MATCH(COLUMNS($AB$1006:AB1006),$AB$1006:$AQ$1006,0)))),"Fix")))</f>
        <v>0</v>
      </c>
      <c r="C557" s="5">
        <f>IF(OR(INDEX($V$2:$V$1001,MATCH(ROWS($U$2:U557),$U$2:$U$1001,0),1)&gt;=100000,INDEX($AB$1005:$AQ$1005,1,MATCH(COLUMNS($AB$1006:AC1006),$AB$1006:$AQ$1006,0))&gt;=100000), " ",IF(INDEX($AB$2:$AQ$1001,MATCH(ROWS($U$2:U557),$U$2:$U$1001,0),MATCH(COLUMNS($AB$1006:AC1006),$AB$1006:$AQ$1006,0)), HYPERLINK("#",""), HYPERLINK(CONCATENATE("#Metadata!", ADDRESS(INDEX($W$2:$W$1001,MATCH(ROWS($U$2:U557),$U$2:$U$1001,0),0), INDEX($AB$1004:$AQ$1004,1,MATCH(COLUMNS($AB$1006:AC1006),$AB$1006:$AQ$1006,0)))),"Fix")))</f>
        <v>0</v>
      </c>
      <c r="D557" s="5">
        <f>IF(OR(INDEX($V$2:$V$1001,MATCH(ROWS($U$2:U557),$U$2:$U$1001,0),1)&gt;=100000,INDEX($AB$1005:$AQ$1005,1,MATCH(COLUMNS($AB$1006:AD1006),$AB$1006:$AQ$1006,0))&gt;=100000), " ",IF(INDEX($AB$2:$AQ$1001,MATCH(ROWS($U$2:U557),$U$2:$U$1001,0),MATCH(COLUMNS($AB$1006:AD1006),$AB$1006:$AQ$1006,0)), HYPERLINK("#",""), HYPERLINK(CONCATENATE("#Metadata!", ADDRESS(INDEX($W$2:$W$1001,MATCH(ROWS($U$2:U557),$U$2:$U$1001,0),0), INDEX($AB$1004:$AQ$1004,1,MATCH(COLUMNS($AB$1006:AD1006),$AB$1006:$AQ$1006,0)))),"Fix")))</f>
        <v>0</v>
      </c>
      <c r="E557" s="5">
        <f>IF(OR(INDEX($V$2:$V$1001,MATCH(ROWS($U$2:U557),$U$2:$U$1001,0),1)&gt;=100000,INDEX($AB$1005:$AQ$1005,1,MATCH(COLUMNS($AB$1006:AE1006),$AB$1006:$AQ$1006,0))&gt;=100000), " ",IF(INDEX($AB$2:$AQ$1001,MATCH(ROWS($U$2:U557),$U$2:$U$1001,0),MATCH(COLUMNS($AB$1006:AE1006),$AB$1006:$AQ$1006,0)), HYPERLINK("#",""), HYPERLINK(CONCATENATE("#Metadata!", ADDRESS(INDEX($W$2:$W$1001,MATCH(ROWS($U$2:U557),$U$2:$U$1001,0),0), INDEX($AB$1004:$AQ$1004,1,MATCH(COLUMNS($AB$1006:AE1006),$AB$1006:$AQ$1006,0)))),"Fix")))</f>
        <v>0</v>
      </c>
      <c r="F557" s="5">
        <f>IF(OR(INDEX($V$2:$V$1001,MATCH(ROWS($U$2:U557),$U$2:$U$1001,0),1)&gt;=100000,INDEX($AB$1005:$AQ$1005,1,MATCH(COLUMNS($AB$1006:AF1006),$AB$1006:$AQ$1006,0))&gt;=100000), " ",IF(INDEX($AB$2:$AQ$1001,MATCH(ROWS($U$2:U557),$U$2:$U$1001,0),MATCH(COLUMNS($AB$1006:AF1006),$AB$1006:$AQ$1006,0)), HYPERLINK("#",""), HYPERLINK(CONCATENATE("#Metadata!", ADDRESS(INDEX($W$2:$W$1001,MATCH(ROWS($U$2:U557),$U$2:$U$1001,0),0), INDEX($AB$1004:$AQ$1004,1,MATCH(COLUMNS($AB$1006:AF1006),$AB$1006:$AQ$1006,0)))),"Fix")))</f>
        <v>0</v>
      </c>
      <c r="G557" s="5">
        <f>IF(OR(INDEX($V$2:$V$1001,MATCH(ROWS($U$2:U557),$U$2:$U$1001,0),1)&gt;=100000,INDEX($AB$1005:$AQ$1005,1,MATCH(COLUMNS($AB$1006:AG1006),$AB$1006:$AQ$1006,0))&gt;=100000), " ",IF(INDEX($AB$2:$AQ$1001,MATCH(ROWS($U$2:U557),$U$2:$U$1001,0),MATCH(COLUMNS($AB$1006:AG1006),$AB$1006:$AQ$1006,0)), HYPERLINK("#",""), HYPERLINK(CONCATENATE("#Metadata!", ADDRESS(INDEX($W$2:$W$1001,MATCH(ROWS($U$2:U557),$U$2:$U$1001,0),0), INDEX($AB$1004:$AQ$1004,1,MATCH(COLUMNS($AB$1006:AG1006),$AB$1006:$AQ$1006,0)))),"Fix")))</f>
        <v>0</v>
      </c>
      <c r="H557" s="5">
        <f>IF(OR(INDEX($V$2:$V$1001,MATCH(ROWS($U$2:U557),$U$2:$U$1001,0),1)&gt;=100000,INDEX($AB$1005:$AQ$1005,1,MATCH(COLUMNS($AB$1006:AH1006),$AB$1006:$AQ$1006,0))&gt;=100000), " ",IF(INDEX($AB$2:$AQ$1001,MATCH(ROWS($U$2:U557),$U$2:$U$1001,0),MATCH(COLUMNS($AB$1006:AH1006),$AB$1006:$AQ$1006,0)), HYPERLINK("#",""), HYPERLINK(CONCATENATE("#Metadata!", ADDRESS(INDEX($W$2:$W$1001,MATCH(ROWS($U$2:U557),$U$2:$U$1001,0),0), INDEX($AB$1004:$AQ$1004,1,MATCH(COLUMNS($AB$1006:AH1006),$AB$1006:$AQ$1006,0)))),"Fix")))</f>
        <v>0</v>
      </c>
      <c r="I557" s="5">
        <f>IF(OR(INDEX($V$2:$V$1001,MATCH(ROWS($U$2:U557),$U$2:$U$1001,0),1)&gt;=100000,INDEX($AB$1005:$AQ$1005,1,MATCH(COLUMNS($AB$1006:AI1006),$AB$1006:$AQ$1006,0))&gt;=100000), " ",IF(INDEX($AB$2:$AQ$1001,MATCH(ROWS($U$2:U557),$U$2:$U$1001,0),MATCH(COLUMNS($AB$1006:AI1006),$AB$1006:$AQ$1006,0)), HYPERLINK("#",""), HYPERLINK(CONCATENATE("#Metadata!", ADDRESS(INDEX($W$2:$W$1001,MATCH(ROWS($U$2:U557),$U$2:$U$1001,0),0), INDEX($AB$1004:$AQ$1004,1,MATCH(COLUMNS($AB$1006:AI1006),$AB$1006:$AQ$1006,0)))),"Fix")))</f>
        <v>0</v>
      </c>
      <c r="J557" s="5">
        <f>IF(OR(INDEX($V$2:$V$1001,MATCH(ROWS($U$2:U557),$U$2:$U$1001,0),1)&gt;=100000,INDEX($AB$1005:$AQ$1005,1,MATCH(COLUMNS($AB$1006:AJ1006),$AB$1006:$AQ$1006,0))&gt;=100000), " ",IF(INDEX($AB$2:$AQ$1001,MATCH(ROWS($U$2:U557),$U$2:$U$1001,0),MATCH(COLUMNS($AB$1006:AJ1006),$AB$1006:$AQ$1006,0)), HYPERLINK("#",""), HYPERLINK(CONCATENATE("#Metadata!", ADDRESS(INDEX($W$2:$W$1001,MATCH(ROWS($U$2:U557),$U$2:$U$1001,0),0), INDEX($AB$1004:$AQ$1004,1,MATCH(COLUMNS($AB$1006:AJ1006),$AB$1006:$AQ$1006,0)))),"Fix")))</f>
        <v>0</v>
      </c>
      <c r="K557" s="5">
        <f>IF(OR(INDEX($V$2:$V$1001,MATCH(ROWS($U$2:U557),$U$2:$U$1001,0),1)&gt;=100000,INDEX($AB$1005:$AQ$1005,1,MATCH(COLUMNS($AB$1006:AK1006),$AB$1006:$AQ$1006,0))&gt;=100000), " ",IF(INDEX($AB$2:$AQ$1001,MATCH(ROWS($U$2:U557),$U$2:$U$1001,0),MATCH(COLUMNS($AB$1006:AK1006),$AB$1006:$AQ$1006,0)), HYPERLINK("#",""), HYPERLINK(CONCATENATE("#Metadata!", ADDRESS(INDEX($W$2:$W$1001,MATCH(ROWS($U$2:U557),$U$2:$U$1001,0),0), INDEX($AB$1004:$AQ$1004,1,MATCH(COLUMNS($AB$1006:AK1006),$AB$1006:$AQ$1006,0)))),"Fix")))</f>
        <v>0</v>
      </c>
      <c r="L557" s="5">
        <f>IF(OR(INDEX($V$2:$V$1001,MATCH(ROWS($U$2:U557),$U$2:$U$1001,0),1)&gt;=100000,INDEX($AB$1005:$AQ$1005,1,MATCH(COLUMNS($AB$1006:AL1006),$AB$1006:$AQ$1006,0))&gt;=100000), " ",IF(INDEX($AB$2:$AQ$1001,MATCH(ROWS($U$2:U557),$U$2:$U$1001,0),MATCH(COLUMNS($AB$1006:AL1006),$AB$1006:$AQ$1006,0)), HYPERLINK("#",""), HYPERLINK(CONCATENATE("#Metadata!", ADDRESS(INDEX($W$2:$W$1001,MATCH(ROWS($U$2:U557),$U$2:$U$1001,0),0), INDEX($AB$1004:$AQ$1004,1,MATCH(COLUMNS($AB$1006:AL1006),$AB$1006:$AQ$1006,0)))),"Fix")))</f>
        <v>0</v>
      </c>
      <c r="M557" s="5">
        <f>IF(OR(INDEX($V$2:$V$1001,MATCH(ROWS($U$2:U557),$U$2:$U$1001,0),1)&gt;=100000,INDEX($AB$1005:$AQ$1005,1,MATCH(COLUMNS($AB$1006:AM1006),$AB$1006:$AQ$1006,0))&gt;=100000), " ",IF(INDEX($AB$2:$AQ$1001,MATCH(ROWS($U$2:U557),$U$2:$U$1001,0),MATCH(COLUMNS($AB$1006:AM1006),$AB$1006:$AQ$1006,0)), HYPERLINK("#",""), HYPERLINK(CONCATENATE("#Metadata!", ADDRESS(INDEX($W$2:$W$1001,MATCH(ROWS($U$2:U557),$U$2:$U$1001,0),0), INDEX($AB$1004:$AQ$1004,1,MATCH(COLUMNS($AB$1006:AM1006),$AB$1006:$AQ$1006,0)))),"Fix")))</f>
        <v>0</v>
      </c>
      <c r="N557" s="5">
        <f>IF(OR(INDEX($V$2:$V$1001,MATCH(ROWS($U$2:U557),$U$2:$U$1001,0),1)&gt;=100000,INDEX($AB$1005:$AQ$1005,1,MATCH(COLUMNS($AB$1006:AN1006),$AB$1006:$AQ$1006,0))&gt;=100000), " ",IF(INDEX($AB$2:$AQ$1001,MATCH(ROWS($U$2:U557),$U$2:$U$1001,0),MATCH(COLUMNS($AB$1006:AN1006),$AB$1006:$AQ$1006,0)), HYPERLINK("#",""), HYPERLINK(CONCATENATE("#Metadata!", ADDRESS(INDEX($W$2:$W$1001,MATCH(ROWS($U$2:U557),$U$2:$U$1001,0),0), INDEX($AB$1004:$AQ$1004,1,MATCH(COLUMNS($AB$1006:AN1006),$AB$1006:$AQ$1006,0)))),"Fix")))</f>
        <v>0</v>
      </c>
      <c r="O557" s="5">
        <f>IF(OR(INDEX($V$2:$V$1001,MATCH(ROWS($U$2:U557),$U$2:$U$1001,0),1)&gt;=100000,INDEX($AB$1005:$AQ$1005,1,MATCH(COLUMNS($AB$1006:AO1006),$AB$1006:$AQ$1006,0))&gt;=100000), " ",IF(INDEX($AB$2:$AQ$1001,MATCH(ROWS($U$2:U557),$U$2:$U$1001,0),MATCH(COLUMNS($AB$1006:AO1006),$AB$1006:$AQ$1006,0)), HYPERLINK("#",""), HYPERLINK(CONCATENATE("#Metadata!", ADDRESS(INDEX($W$2:$W$1001,MATCH(ROWS($U$2:U557),$U$2:$U$1001,0),0), INDEX($AB$1004:$AQ$1004,1,MATCH(COLUMNS($AB$1006:AO1006),$AB$1006:$AQ$1006,0)))),"Fix")))</f>
        <v>0</v>
      </c>
      <c r="P557" s="5">
        <f>IF(OR(INDEX($V$2:$V$1001,MATCH(ROWS($U$2:U557),$U$2:$U$1001,0),1)&gt;=100000,INDEX($AB$1005:$AQ$1005,1,MATCH(COLUMNS($AB$1006:AP1006),$AB$1006:$AQ$1006,0))&gt;=100000), " ",IF(INDEX($AB$2:$AQ$1001,MATCH(ROWS($U$2:U557),$U$2:$U$1001,0),MATCH(COLUMNS($AB$1006:AP1006),$AB$1006:$AQ$1006,0)), HYPERLINK("#",""), HYPERLINK(CONCATENATE("#Metadata!", ADDRESS(INDEX($W$2:$W$1001,MATCH(ROWS($U$2:U557),$U$2:$U$1001,0),0), INDEX($AB$1004:$AQ$1004,1,MATCH(COLUMNS($AB$1006:AP1006),$AB$1006:$AQ$1006,0)))),"Fix")))</f>
        <v>0</v>
      </c>
      <c r="Q557" s="5">
        <f>IF(OR(INDEX($V$2:$V$1001,MATCH(ROWS($U$2:U557),$U$2:$U$1001,0),1)&gt;=100000,INDEX($AB$1005:$AQ$1005,1,MATCH(COLUMNS($AB$1006:AQ1006),$AB$1006:$AQ$1006,0))&gt;=100000), " ",IF(INDEX($AB$2:$AQ$1001,MATCH(ROWS($U$2:U557),$U$2:$U$1001,0),MATCH(COLUMNS($AB$1006:AQ1006),$AB$1006:$AQ$1006,0)), HYPERLINK("#",""), HYPERLINK(CONCATENATE("#Metadata!", ADDRESS(INDEX($W$2:$W$1001,MATCH(ROWS($U$2:U557),$U$2:$U$1001,0),0), INDEX($AB$1004:$AQ$1004,1,MATCH(COLUMNS($AB$1006:AQ1006),$AB$1006:$AQ$1006,0)))),"Fix")))</f>
        <v>0</v>
      </c>
      <c r="U557">
        <v>0</v>
      </c>
      <c r="V557">
        <v>0</v>
      </c>
      <c r="W557">
        <v>0</v>
      </c>
      <c r="X557">
        <f>IF(Y557,TRUE,AND(AB557:AQ557))</f>
        <v>0</v>
      </c>
      <c r="Y557">
        <f>COUNTBLANK(Metadata!B557:Q557)=COLUMNS(Metadata!B557:Q557)</f>
        <v>0</v>
      </c>
      <c r="Z557">
        <v>0</v>
      </c>
      <c r="AB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AC557">
        <f>AND(IF(Metadata!C557="",FALSE,TRUE),exact(Metadata!C557,"urban biome"))</f>
        <v>0</v>
      </c>
      <c r="AD557">
        <f>AND(IF(Metadata!D557="",FALSE,TRUE),exact(Metadata!D557,"human-associated habitat"))</f>
        <v>0</v>
      </c>
      <c r="AE557">
        <f>AND(IF(Metadata!E557="",FALSE,TRUE),OR(exact(Metadata!E557,"human-associated"),exact(Metadata!E557,"human-skin"),exact(Metadata!E557,"human-oral"),exact(Metadata!E557,"human-gut"),exact(Metadata!E557,"human-vaginal")))</f>
        <v>0</v>
      </c>
      <c r="AF557">
        <f>AND(IF(Metadata!F557="",FALSE,ISNUMBER(VALUE(Metadata!F557))),Metadata!F557&gt;0)</f>
        <v>0</v>
      </c>
      <c r="AG557">
        <f>AND(IF(Metadata!G557="",FALSE,TRUE),exact(Metadata!G557,"years"))</f>
        <v>0</v>
      </c>
      <c r="AH557">
        <f>OR(AND(IF(Metadata!H557="",FALSE,TRUE),OR(exact(Metadata!H557,"not applicable"),exact(Metadata!H557,"not collected"),exact(Metadata!H557,"not provided"),exact(Metadata!H557,"restricted access"))),AND(IF(Metadata!H557="",FALSE,ISNUMBER(VALUE(Metadata!H557))),Metadata!H557&gt;0))</f>
        <v>0</v>
      </c>
      <c r="AI557">
        <f>AND(IF(Metadata!I557="",FALSE,TRUE),exact(Metadata!I557,"human"))</f>
        <v>0</v>
      </c>
      <c r="AJ557">
        <f>AND(IF(Metadata!J557="",FALSE,ISNUMBER(VALUE(Metadata!J557))),Metadata!J557&gt;0)</f>
        <v>0</v>
      </c>
      <c r="AK557">
        <f>AND(IF(Metadata!K557="",FALSE,TRUE),exact(Metadata!K557,"cm"))</f>
        <v>0</v>
      </c>
      <c r="AL557">
        <f>AND(IF(Metadata!L557="",FALSE,TRUE),exact(Metadata!L557,"Homo sapiens"))</f>
        <v>0</v>
      </c>
      <c r="AM557">
        <f>AND(IF(Metadata!M557="",FALSE,TRUE),exact(Metadata!M557,"9606"))</f>
        <v>0</v>
      </c>
      <c r="AN557">
        <f>AND(IF(Metadata!N557="",FALSE,ISNUMBER(VALUE(Metadata!N557))),Metadata!N557&gt;0)</f>
        <v>0</v>
      </c>
      <c r="AO557">
        <f>AND(IF(Metadata!O557="",FALSE,TRUE),exact(Metadata!O557,"kg"))</f>
        <v>0</v>
      </c>
      <c r="AP557">
        <f>OR(AND(IF(Metadata!P557="",FALSE,TRUE),exact(Metadata!P557,"not provided")),IF(Metadata!P557="",FALSE,TRUE))</f>
        <v>0</v>
      </c>
      <c r="AQ557">
        <f>OR(AND(IF(Metadata!Q557="",FALSE,TRUE),exact(Metadata!Q557,"not provided")),IF(Metadata!Q557="",FALSE,TRUE))</f>
        <v>0</v>
      </c>
    </row>
    <row r="558" spans="1:43">
      <c r="A558" s="4">
        <f>IF(B558=" "," ",HYPERLINK(CONCATENATE("#metadata!",ADDRESS(INDEX($W$2:$W$1001,MATCH(ROWS($U$2:U558),$U$2:$U$1001,0),0),2)),INDEX($Z$2:$Z$1001,MATCH(ROWS($U$2:U558),$U$2:$U$1001,0),0)))</f>
        <v>0</v>
      </c>
      <c r="B558" s="5">
        <f>IF(OR(INDEX($V$2:$V$1001,MATCH(ROWS($U$2:U558),$U$2:$U$1001,0),1)&gt;=100000,INDEX($AB$1005:$AQ$1005,1,MATCH(COLUMNS($AB$1006:AB1006),$AB$1006:$AQ$1006,0))&gt;=100000), " ",IF(INDEX($AB$2:$AQ$1001,MATCH(ROWS($U$2:U558),$U$2:$U$1001,0),MATCH(COLUMNS($AB$1006:AB1006),$AB$1006:$AQ$1006,0)), HYPERLINK("#",""), HYPERLINK(CONCATENATE("#Metadata!", ADDRESS(INDEX($W$2:$W$1001,MATCH(ROWS($U$2:U558),$U$2:$U$1001,0),0), INDEX($AB$1004:$AQ$1004,1,MATCH(COLUMNS($AB$1006:AB1006),$AB$1006:$AQ$1006,0)))),"Fix")))</f>
        <v>0</v>
      </c>
      <c r="C558" s="5">
        <f>IF(OR(INDEX($V$2:$V$1001,MATCH(ROWS($U$2:U558),$U$2:$U$1001,0),1)&gt;=100000,INDEX($AB$1005:$AQ$1005,1,MATCH(COLUMNS($AB$1006:AC1006),$AB$1006:$AQ$1006,0))&gt;=100000), " ",IF(INDEX($AB$2:$AQ$1001,MATCH(ROWS($U$2:U558),$U$2:$U$1001,0),MATCH(COLUMNS($AB$1006:AC1006),$AB$1006:$AQ$1006,0)), HYPERLINK("#",""), HYPERLINK(CONCATENATE("#Metadata!", ADDRESS(INDEX($W$2:$W$1001,MATCH(ROWS($U$2:U558),$U$2:$U$1001,0),0), INDEX($AB$1004:$AQ$1004,1,MATCH(COLUMNS($AB$1006:AC1006),$AB$1006:$AQ$1006,0)))),"Fix")))</f>
        <v>0</v>
      </c>
      <c r="D558" s="5">
        <f>IF(OR(INDEX($V$2:$V$1001,MATCH(ROWS($U$2:U558),$U$2:$U$1001,0),1)&gt;=100000,INDEX($AB$1005:$AQ$1005,1,MATCH(COLUMNS($AB$1006:AD1006),$AB$1006:$AQ$1006,0))&gt;=100000), " ",IF(INDEX($AB$2:$AQ$1001,MATCH(ROWS($U$2:U558),$U$2:$U$1001,0),MATCH(COLUMNS($AB$1006:AD1006),$AB$1006:$AQ$1006,0)), HYPERLINK("#",""), HYPERLINK(CONCATENATE("#Metadata!", ADDRESS(INDEX($W$2:$W$1001,MATCH(ROWS($U$2:U558),$U$2:$U$1001,0),0), INDEX($AB$1004:$AQ$1004,1,MATCH(COLUMNS($AB$1006:AD1006),$AB$1006:$AQ$1006,0)))),"Fix")))</f>
        <v>0</v>
      </c>
      <c r="E558" s="5">
        <f>IF(OR(INDEX($V$2:$V$1001,MATCH(ROWS($U$2:U558),$U$2:$U$1001,0),1)&gt;=100000,INDEX($AB$1005:$AQ$1005,1,MATCH(COLUMNS($AB$1006:AE1006),$AB$1006:$AQ$1006,0))&gt;=100000), " ",IF(INDEX($AB$2:$AQ$1001,MATCH(ROWS($U$2:U558),$U$2:$U$1001,0),MATCH(COLUMNS($AB$1006:AE1006),$AB$1006:$AQ$1006,0)), HYPERLINK("#",""), HYPERLINK(CONCATENATE("#Metadata!", ADDRESS(INDEX($W$2:$W$1001,MATCH(ROWS($U$2:U558),$U$2:$U$1001,0),0), INDEX($AB$1004:$AQ$1004,1,MATCH(COLUMNS($AB$1006:AE1006),$AB$1006:$AQ$1006,0)))),"Fix")))</f>
        <v>0</v>
      </c>
      <c r="F558" s="5">
        <f>IF(OR(INDEX($V$2:$V$1001,MATCH(ROWS($U$2:U558),$U$2:$U$1001,0),1)&gt;=100000,INDEX($AB$1005:$AQ$1005,1,MATCH(COLUMNS($AB$1006:AF1006),$AB$1006:$AQ$1006,0))&gt;=100000), " ",IF(INDEX($AB$2:$AQ$1001,MATCH(ROWS($U$2:U558),$U$2:$U$1001,0),MATCH(COLUMNS($AB$1006:AF1006),$AB$1006:$AQ$1006,0)), HYPERLINK("#",""), HYPERLINK(CONCATENATE("#Metadata!", ADDRESS(INDEX($W$2:$W$1001,MATCH(ROWS($U$2:U558),$U$2:$U$1001,0),0), INDEX($AB$1004:$AQ$1004,1,MATCH(COLUMNS($AB$1006:AF1006),$AB$1006:$AQ$1006,0)))),"Fix")))</f>
        <v>0</v>
      </c>
      <c r="G558" s="5">
        <f>IF(OR(INDEX($V$2:$V$1001,MATCH(ROWS($U$2:U558),$U$2:$U$1001,0),1)&gt;=100000,INDEX($AB$1005:$AQ$1005,1,MATCH(COLUMNS($AB$1006:AG1006),$AB$1006:$AQ$1006,0))&gt;=100000), " ",IF(INDEX($AB$2:$AQ$1001,MATCH(ROWS($U$2:U558),$U$2:$U$1001,0),MATCH(COLUMNS($AB$1006:AG1006),$AB$1006:$AQ$1006,0)), HYPERLINK("#",""), HYPERLINK(CONCATENATE("#Metadata!", ADDRESS(INDEX($W$2:$W$1001,MATCH(ROWS($U$2:U558),$U$2:$U$1001,0),0), INDEX($AB$1004:$AQ$1004,1,MATCH(COLUMNS($AB$1006:AG1006),$AB$1006:$AQ$1006,0)))),"Fix")))</f>
        <v>0</v>
      </c>
      <c r="H558" s="5">
        <f>IF(OR(INDEX($V$2:$V$1001,MATCH(ROWS($U$2:U558),$U$2:$U$1001,0),1)&gt;=100000,INDEX($AB$1005:$AQ$1005,1,MATCH(COLUMNS($AB$1006:AH1006),$AB$1006:$AQ$1006,0))&gt;=100000), " ",IF(INDEX($AB$2:$AQ$1001,MATCH(ROWS($U$2:U558),$U$2:$U$1001,0),MATCH(COLUMNS($AB$1006:AH1006),$AB$1006:$AQ$1006,0)), HYPERLINK("#",""), HYPERLINK(CONCATENATE("#Metadata!", ADDRESS(INDEX($W$2:$W$1001,MATCH(ROWS($U$2:U558),$U$2:$U$1001,0),0), INDEX($AB$1004:$AQ$1004,1,MATCH(COLUMNS($AB$1006:AH1006),$AB$1006:$AQ$1006,0)))),"Fix")))</f>
        <v>0</v>
      </c>
      <c r="I558" s="5">
        <f>IF(OR(INDEX($V$2:$V$1001,MATCH(ROWS($U$2:U558),$U$2:$U$1001,0),1)&gt;=100000,INDEX($AB$1005:$AQ$1005,1,MATCH(COLUMNS($AB$1006:AI1006),$AB$1006:$AQ$1006,0))&gt;=100000), " ",IF(INDEX($AB$2:$AQ$1001,MATCH(ROWS($U$2:U558),$U$2:$U$1001,0),MATCH(COLUMNS($AB$1006:AI1006),$AB$1006:$AQ$1006,0)), HYPERLINK("#",""), HYPERLINK(CONCATENATE("#Metadata!", ADDRESS(INDEX($W$2:$W$1001,MATCH(ROWS($U$2:U558),$U$2:$U$1001,0),0), INDEX($AB$1004:$AQ$1004,1,MATCH(COLUMNS($AB$1006:AI1006),$AB$1006:$AQ$1006,0)))),"Fix")))</f>
        <v>0</v>
      </c>
      <c r="J558" s="5">
        <f>IF(OR(INDEX($V$2:$V$1001,MATCH(ROWS($U$2:U558),$U$2:$U$1001,0),1)&gt;=100000,INDEX($AB$1005:$AQ$1005,1,MATCH(COLUMNS($AB$1006:AJ1006),$AB$1006:$AQ$1006,0))&gt;=100000), " ",IF(INDEX($AB$2:$AQ$1001,MATCH(ROWS($U$2:U558),$U$2:$U$1001,0),MATCH(COLUMNS($AB$1006:AJ1006),$AB$1006:$AQ$1006,0)), HYPERLINK("#",""), HYPERLINK(CONCATENATE("#Metadata!", ADDRESS(INDEX($W$2:$W$1001,MATCH(ROWS($U$2:U558),$U$2:$U$1001,0),0), INDEX($AB$1004:$AQ$1004,1,MATCH(COLUMNS($AB$1006:AJ1006),$AB$1006:$AQ$1006,0)))),"Fix")))</f>
        <v>0</v>
      </c>
      <c r="K558" s="5">
        <f>IF(OR(INDEX($V$2:$V$1001,MATCH(ROWS($U$2:U558),$U$2:$U$1001,0),1)&gt;=100000,INDEX($AB$1005:$AQ$1005,1,MATCH(COLUMNS($AB$1006:AK1006),$AB$1006:$AQ$1006,0))&gt;=100000), " ",IF(INDEX($AB$2:$AQ$1001,MATCH(ROWS($U$2:U558),$U$2:$U$1001,0),MATCH(COLUMNS($AB$1006:AK1006),$AB$1006:$AQ$1006,0)), HYPERLINK("#",""), HYPERLINK(CONCATENATE("#Metadata!", ADDRESS(INDEX($W$2:$W$1001,MATCH(ROWS($U$2:U558),$U$2:$U$1001,0),0), INDEX($AB$1004:$AQ$1004,1,MATCH(COLUMNS($AB$1006:AK1006),$AB$1006:$AQ$1006,0)))),"Fix")))</f>
        <v>0</v>
      </c>
      <c r="L558" s="5">
        <f>IF(OR(INDEX($V$2:$V$1001,MATCH(ROWS($U$2:U558),$U$2:$U$1001,0),1)&gt;=100000,INDEX($AB$1005:$AQ$1005,1,MATCH(COLUMNS($AB$1006:AL1006),$AB$1006:$AQ$1006,0))&gt;=100000), " ",IF(INDEX($AB$2:$AQ$1001,MATCH(ROWS($U$2:U558),$U$2:$U$1001,0),MATCH(COLUMNS($AB$1006:AL1006),$AB$1006:$AQ$1006,0)), HYPERLINK("#",""), HYPERLINK(CONCATENATE("#Metadata!", ADDRESS(INDEX($W$2:$W$1001,MATCH(ROWS($U$2:U558),$U$2:$U$1001,0),0), INDEX($AB$1004:$AQ$1004,1,MATCH(COLUMNS($AB$1006:AL1006),$AB$1006:$AQ$1006,0)))),"Fix")))</f>
        <v>0</v>
      </c>
      <c r="M558" s="5">
        <f>IF(OR(INDEX($V$2:$V$1001,MATCH(ROWS($U$2:U558),$U$2:$U$1001,0),1)&gt;=100000,INDEX($AB$1005:$AQ$1005,1,MATCH(COLUMNS($AB$1006:AM1006),$AB$1006:$AQ$1006,0))&gt;=100000), " ",IF(INDEX($AB$2:$AQ$1001,MATCH(ROWS($U$2:U558),$U$2:$U$1001,0),MATCH(COLUMNS($AB$1006:AM1006),$AB$1006:$AQ$1006,0)), HYPERLINK("#",""), HYPERLINK(CONCATENATE("#Metadata!", ADDRESS(INDEX($W$2:$W$1001,MATCH(ROWS($U$2:U558),$U$2:$U$1001,0),0), INDEX($AB$1004:$AQ$1004,1,MATCH(COLUMNS($AB$1006:AM1006),$AB$1006:$AQ$1006,0)))),"Fix")))</f>
        <v>0</v>
      </c>
      <c r="N558" s="5">
        <f>IF(OR(INDEX($V$2:$V$1001,MATCH(ROWS($U$2:U558),$U$2:$U$1001,0),1)&gt;=100000,INDEX($AB$1005:$AQ$1005,1,MATCH(COLUMNS($AB$1006:AN1006),$AB$1006:$AQ$1006,0))&gt;=100000), " ",IF(INDEX($AB$2:$AQ$1001,MATCH(ROWS($U$2:U558),$U$2:$U$1001,0),MATCH(COLUMNS($AB$1006:AN1006),$AB$1006:$AQ$1006,0)), HYPERLINK("#",""), HYPERLINK(CONCATENATE("#Metadata!", ADDRESS(INDEX($W$2:$W$1001,MATCH(ROWS($U$2:U558),$U$2:$U$1001,0),0), INDEX($AB$1004:$AQ$1004,1,MATCH(COLUMNS($AB$1006:AN1006),$AB$1006:$AQ$1006,0)))),"Fix")))</f>
        <v>0</v>
      </c>
      <c r="O558" s="5">
        <f>IF(OR(INDEX($V$2:$V$1001,MATCH(ROWS($U$2:U558),$U$2:$U$1001,0),1)&gt;=100000,INDEX($AB$1005:$AQ$1005,1,MATCH(COLUMNS($AB$1006:AO1006),$AB$1006:$AQ$1006,0))&gt;=100000), " ",IF(INDEX($AB$2:$AQ$1001,MATCH(ROWS($U$2:U558),$U$2:$U$1001,0),MATCH(COLUMNS($AB$1006:AO1006),$AB$1006:$AQ$1006,0)), HYPERLINK("#",""), HYPERLINK(CONCATENATE("#Metadata!", ADDRESS(INDEX($W$2:$W$1001,MATCH(ROWS($U$2:U558),$U$2:$U$1001,0),0), INDEX($AB$1004:$AQ$1004,1,MATCH(COLUMNS($AB$1006:AO1006),$AB$1006:$AQ$1006,0)))),"Fix")))</f>
        <v>0</v>
      </c>
      <c r="P558" s="5">
        <f>IF(OR(INDEX($V$2:$V$1001,MATCH(ROWS($U$2:U558),$U$2:$U$1001,0),1)&gt;=100000,INDEX($AB$1005:$AQ$1005,1,MATCH(COLUMNS($AB$1006:AP1006),$AB$1006:$AQ$1006,0))&gt;=100000), " ",IF(INDEX($AB$2:$AQ$1001,MATCH(ROWS($U$2:U558),$U$2:$U$1001,0),MATCH(COLUMNS($AB$1006:AP1006),$AB$1006:$AQ$1006,0)), HYPERLINK("#",""), HYPERLINK(CONCATENATE("#Metadata!", ADDRESS(INDEX($W$2:$W$1001,MATCH(ROWS($U$2:U558),$U$2:$U$1001,0),0), INDEX($AB$1004:$AQ$1004,1,MATCH(COLUMNS($AB$1006:AP1006),$AB$1006:$AQ$1006,0)))),"Fix")))</f>
        <v>0</v>
      </c>
      <c r="Q558" s="5">
        <f>IF(OR(INDEX($V$2:$V$1001,MATCH(ROWS($U$2:U558),$U$2:$U$1001,0),1)&gt;=100000,INDEX($AB$1005:$AQ$1005,1,MATCH(COLUMNS($AB$1006:AQ1006),$AB$1006:$AQ$1006,0))&gt;=100000), " ",IF(INDEX($AB$2:$AQ$1001,MATCH(ROWS($U$2:U558),$U$2:$U$1001,0),MATCH(COLUMNS($AB$1006:AQ1006),$AB$1006:$AQ$1006,0)), HYPERLINK("#",""), HYPERLINK(CONCATENATE("#Metadata!", ADDRESS(INDEX($W$2:$W$1001,MATCH(ROWS($U$2:U558),$U$2:$U$1001,0),0), INDEX($AB$1004:$AQ$1004,1,MATCH(COLUMNS($AB$1006:AQ1006),$AB$1006:$AQ$1006,0)))),"Fix")))</f>
        <v>0</v>
      </c>
      <c r="U558">
        <v>0</v>
      </c>
      <c r="V558">
        <v>0</v>
      </c>
      <c r="W558">
        <v>0</v>
      </c>
      <c r="X558">
        <f>IF(Y558,TRUE,AND(AB558:AQ558))</f>
        <v>0</v>
      </c>
      <c r="Y558">
        <f>COUNTBLANK(Metadata!B558:Q558)=COLUMNS(Metadata!B558:Q558)</f>
        <v>0</v>
      </c>
      <c r="Z558">
        <v>0</v>
      </c>
      <c r="AB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AC558">
        <f>AND(IF(Metadata!C558="",FALSE,TRUE),exact(Metadata!C558,"urban biome"))</f>
        <v>0</v>
      </c>
      <c r="AD558">
        <f>AND(IF(Metadata!D558="",FALSE,TRUE),exact(Metadata!D558,"human-associated habitat"))</f>
        <v>0</v>
      </c>
      <c r="AE558">
        <f>AND(IF(Metadata!E558="",FALSE,TRUE),OR(exact(Metadata!E558,"human-associated"),exact(Metadata!E558,"human-skin"),exact(Metadata!E558,"human-oral"),exact(Metadata!E558,"human-gut"),exact(Metadata!E558,"human-vaginal")))</f>
        <v>0</v>
      </c>
      <c r="AF558">
        <f>AND(IF(Metadata!F558="",FALSE,ISNUMBER(VALUE(Metadata!F558))),Metadata!F558&gt;0)</f>
        <v>0</v>
      </c>
      <c r="AG558">
        <f>AND(IF(Metadata!G558="",FALSE,TRUE),exact(Metadata!G558,"years"))</f>
        <v>0</v>
      </c>
      <c r="AH558">
        <f>OR(AND(IF(Metadata!H558="",FALSE,TRUE),OR(exact(Metadata!H558,"not applicable"),exact(Metadata!H558,"not collected"),exact(Metadata!H558,"not provided"),exact(Metadata!H558,"restricted access"))),AND(IF(Metadata!H558="",FALSE,ISNUMBER(VALUE(Metadata!H558))),Metadata!H558&gt;0))</f>
        <v>0</v>
      </c>
      <c r="AI558">
        <f>AND(IF(Metadata!I558="",FALSE,TRUE),exact(Metadata!I558,"human"))</f>
        <v>0</v>
      </c>
      <c r="AJ558">
        <f>AND(IF(Metadata!J558="",FALSE,ISNUMBER(VALUE(Metadata!J558))),Metadata!J558&gt;0)</f>
        <v>0</v>
      </c>
      <c r="AK558">
        <f>AND(IF(Metadata!K558="",FALSE,TRUE),exact(Metadata!K558,"cm"))</f>
        <v>0</v>
      </c>
      <c r="AL558">
        <f>AND(IF(Metadata!L558="",FALSE,TRUE),exact(Metadata!L558,"Homo sapiens"))</f>
        <v>0</v>
      </c>
      <c r="AM558">
        <f>AND(IF(Metadata!M558="",FALSE,TRUE),exact(Metadata!M558,"9606"))</f>
        <v>0</v>
      </c>
      <c r="AN558">
        <f>AND(IF(Metadata!N558="",FALSE,ISNUMBER(VALUE(Metadata!N558))),Metadata!N558&gt;0)</f>
        <v>0</v>
      </c>
      <c r="AO558">
        <f>AND(IF(Metadata!O558="",FALSE,TRUE),exact(Metadata!O558,"kg"))</f>
        <v>0</v>
      </c>
      <c r="AP558">
        <f>OR(AND(IF(Metadata!P558="",FALSE,TRUE),exact(Metadata!P558,"not provided")),IF(Metadata!P558="",FALSE,TRUE))</f>
        <v>0</v>
      </c>
      <c r="AQ558">
        <f>OR(AND(IF(Metadata!Q558="",FALSE,TRUE),exact(Metadata!Q558,"not provided")),IF(Metadata!Q558="",FALSE,TRUE))</f>
        <v>0</v>
      </c>
    </row>
    <row r="559" spans="1:43">
      <c r="A559" s="4">
        <f>IF(B559=" "," ",HYPERLINK(CONCATENATE("#metadata!",ADDRESS(INDEX($W$2:$W$1001,MATCH(ROWS($U$2:U559),$U$2:$U$1001,0),0),2)),INDEX($Z$2:$Z$1001,MATCH(ROWS($U$2:U559),$U$2:$U$1001,0),0)))</f>
        <v>0</v>
      </c>
      <c r="B559" s="5">
        <f>IF(OR(INDEX($V$2:$V$1001,MATCH(ROWS($U$2:U559),$U$2:$U$1001,0),1)&gt;=100000,INDEX($AB$1005:$AQ$1005,1,MATCH(COLUMNS($AB$1006:AB1006),$AB$1006:$AQ$1006,0))&gt;=100000), " ",IF(INDEX($AB$2:$AQ$1001,MATCH(ROWS($U$2:U559),$U$2:$U$1001,0),MATCH(COLUMNS($AB$1006:AB1006),$AB$1006:$AQ$1006,0)), HYPERLINK("#",""), HYPERLINK(CONCATENATE("#Metadata!", ADDRESS(INDEX($W$2:$W$1001,MATCH(ROWS($U$2:U559),$U$2:$U$1001,0),0), INDEX($AB$1004:$AQ$1004,1,MATCH(COLUMNS($AB$1006:AB1006),$AB$1006:$AQ$1006,0)))),"Fix")))</f>
        <v>0</v>
      </c>
      <c r="C559" s="5">
        <f>IF(OR(INDEX($V$2:$V$1001,MATCH(ROWS($U$2:U559),$U$2:$U$1001,0),1)&gt;=100000,INDEX($AB$1005:$AQ$1005,1,MATCH(COLUMNS($AB$1006:AC1006),$AB$1006:$AQ$1006,0))&gt;=100000), " ",IF(INDEX($AB$2:$AQ$1001,MATCH(ROWS($U$2:U559),$U$2:$U$1001,0),MATCH(COLUMNS($AB$1006:AC1006),$AB$1006:$AQ$1006,0)), HYPERLINK("#",""), HYPERLINK(CONCATENATE("#Metadata!", ADDRESS(INDEX($W$2:$W$1001,MATCH(ROWS($U$2:U559),$U$2:$U$1001,0),0), INDEX($AB$1004:$AQ$1004,1,MATCH(COLUMNS($AB$1006:AC1006),$AB$1006:$AQ$1006,0)))),"Fix")))</f>
        <v>0</v>
      </c>
      <c r="D559" s="5">
        <f>IF(OR(INDEX($V$2:$V$1001,MATCH(ROWS($U$2:U559),$U$2:$U$1001,0),1)&gt;=100000,INDEX($AB$1005:$AQ$1005,1,MATCH(COLUMNS($AB$1006:AD1006),$AB$1006:$AQ$1006,0))&gt;=100000), " ",IF(INDEX($AB$2:$AQ$1001,MATCH(ROWS($U$2:U559),$U$2:$U$1001,0),MATCH(COLUMNS($AB$1006:AD1006),$AB$1006:$AQ$1006,0)), HYPERLINK("#",""), HYPERLINK(CONCATENATE("#Metadata!", ADDRESS(INDEX($W$2:$W$1001,MATCH(ROWS($U$2:U559),$U$2:$U$1001,0),0), INDEX($AB$1004:$AQ$1004,1,MATCH(COLUMNS($AB$1006:AD1006),$AB$1006:$AQ$1006,0)))),"Fix")))</f>
        <v>0</v>
      </c>
      <c r="E559" s="5">
        <f>IF(OR(INDEX($V$2:$V$1001,MATCH(ROWS($U$2:U559),$U$2:$U$1001,0),1)&gt;=100000,INDEX($AB$1005:$AQ$1005,1,MATCH(COLUMNS($AB$1006:AE1006),$AB$1006:$AQ$1006,0))&gt;=100000), " ",IF(INDEX($AB$2:$AQ$1001,MATCH(ROWS($U$2:U559),$U$2:$U$1001,0),MATCH(COLUMNS($AB$1006:AE1006),$AB$1006:$AQ$1006,0)), HYPERLINK("#",""), HYPERLINK(CONCATENATE("#Metadata!", ADDRESS(INDEX($W$2:$W$1001,MATCH(ROWS($U$2:U559),$U$2:$U$1001,0),0), INDEX($AB$1004:$AQ$1004,1,MATCH(COLUMNS($AB$1006:AE1006),$AB$1006:$AQ$1006,0)))),"Fix")))</f>
        <v>0</v>
      </c>
      <c r="F559" s="5">
        <f>IF(OR(INDEX($V$2:$V$1001,MATCH(ROWS($U$2:U559),$U$2:$U$1001,0),1)&gt;=100000,INDEX($AB$1005:$AQ$1005,1,MATCH(COLUMNS($AB$1006:AF1006),$AB$1006:$AQ$1006,0))&gt;=100000), " ",IF(INDEX($AB$2:$AQ$1001,MATCH(ROWS($U$2:U559),$U$2:$U$1001,0),MATCH(COLUMNS($AB$1006:AF1006),$AB$1006:$AQ$1006,0)), HYPERLINK("#",""), HYPERLINK(CONCATENATE("#Metadata!", ADDRESS(INDEX($W$2:$W$1001,MATCH(ROWS($U$2:U559),$U$2:$U$1001,0),0), INDEX($AB$1004:$AQ$1004,1,MATCH(COLUMNS($AB$1006:AF1006),$AB$1006:$AQ$1006,0)))),"Fix")))</f>
        <v>0</v>
      </c>
      <c r="G559" s="5">
        <f>IF(OR(INDEX($V$2:$V$1001,MATCH(ROWS($U$2:U559),$U$2:$U$1001,0),1)&gt;=100000,INDEX($AB$1005:$AQ$1005,1,MATCH(COLUMNS($AB$1006:AG1006),$AB$1006:$AQ$1006,0))&gt;=100000), " ",IF(INDEX($AB$2:$AQ$1001,MATCH(ROWS($U$2:U559),$U$2:$U$1001,0),MATCH(COLUMNS($AB$1006:AG1006),$AB$1006:$AQ$1006,0)), HYPERLINK("#",""), HYPERLINK(CONCATENATE("#Metadata!", ADDRESS(INDEX($W$2:$W$1001,MATCH(ROWS($U$2:U559),$U$2:$U$1001,0),0), INDEX($AB$1004:$AQ$1004,1,MATCH(COLUMNS($AB$1006:AG1006),$AB$1006:$AQ$1006,0)))),"Fix")))</f>
        <v>0</v>
      </c>
      <c r="H559" s="5">
        <f>IF(OR(INDEX($V$2:$V$1001,MATCH(ROWS($U$2:U559),$U$2:$U$1001,0),1)&gt;=100000,INDEX($AB$1005:$AQ$1005,1,MATCH(COLUMNS($AB$1006:AH1006),$AB$1006:$AQ$1006,0))&gt;=100000), " ",IF(INDEX($AB$2:$AQ$1001,MATCH(ROWS($U$2:U559),$U$2:$U$1001,0),MATCH(COLUMNS($AB$1006:AH1006),$AB$1006:$AQ$1006,0)), HYPERLINK("#",""), HYPERLINK(CONCATENATE("#Metadata!", ADDRESS(INDEX($W$2:$W$1001,MATCH(ROWS($U$2:U559),$U$2:$U$1001,0),0), INDEX($AB$1004:$AQ$1004,1,MATCH(COLUMNS($AB$1006:AH1006),$AB$1006:$AQ$1006,0)))),"Fix")))</f>
        <v>0</v>
      </c>
      <c r="I559" s="5">
        <f>IF(OR(INDEX($V$2:$V$1001,MATCH(ROWS($U$2:U559),$U$2:$U$1001,0),1)&gt;=100000,INDEX($AB$1005:$AQ$1005,1,MATCH(COLUMNS($AB$1006:AI1006),$AB$1006:$AQ$1006,0))&gt;=100000), " ",IF(INDEX($AB$2:$AQ$1001,MATCH(ROWS($U$2:U559),$U$2:$U$1001,0),MATCH(COLUMNS($AB$1006:AI1006),$AB$1006:$AQ$1006,0)), HYPERLINK("#",""), HYPERLINK(CONCATENATE("#Metadata!", ADDRESS(INDEX($W$2:$W$1001,MATCH(ROWS($U$2:U559),$U$2:$U$1001,0),0), INDEX($AB$1004:$AQ$1004,1,MATCH(COLUMNS($AB$1006:AI1006),$AB$1006:$AQ$1006,0)))),"Fix")))</f>
        <v>0</v>
      </c>
      <c r="J559" s="5">
        <f>IF(OR(INDEX($V$2:$V$1001,MATCH(ROWS($U$2:U559),$U$2:$U$1001,0),1)&gt;=100000,INDEX($AB$1005:$AQ$1005,1,MATCH(COLUMNS($AB$1006:AJ1006),$AB$1006:$AQ$1006,0))&gt;=100000), " ",IF(INDEX($AB$2:$AQ$1001,MATCH(ROWS($U$2:U559),$U$2:$U$1001,0),MATCH(COLUMNS($AB$1006:AJ1006),$AB$1006:$AQ$1006,0)), HYPERLINK("#",""), HYPERLINK(CONCATENATE("#Metadata!", ADDRESS(INDEX($W$2:$W$1001,MATCH(ROWS($U$2:U559),$U$2:$U$1001,0),0), INDEX($AB$1004:$AQ$1004,1,MATCH(COLUMNS($AB$1006:AJ1006),$AB$1006:$AQ$1006,0)))),"Fix")))</f>
        <v>0</v>
      </c>
      <c r="K559" s="5">
        <f>IF(OR(INDEX($V$2:$V$1001,MATCH(ROWS($U$2:U559),$U$2:$U$1001,0),1)&gt;=100000,INDEX($AB$1005:$AQ$1005,1,MATCH(COLUMNS($AB$1006:AK1006),$AB$1006:$AQ$1006,0))&gt;=100000), " ",IF(INDEX($AB$2:$AQ$1001,MATCH(ROWS($U$2:U559),$U$2:$U$1001,0),MATCH(COLUMNS($AB$1006:AK1006),$AB$1006:$AQ$1006,0)), HYPERLINK("#",""), HYPERLINK(CONCATENATE("#Metadata!", ADDRESS(INDEX($W$2:$W$1001,MATCH(ROWS($U$2:U559),$U$2:$U$1001,0),0), INDEX($AB$1004:$AQ$1004,1,MATCH(COLUMNS($AB$1006:AK1006),$AB$1006:$AQ$1006,0)))),"Fix")))</f>
        <v>0</v>
      </c>
      <c r="L559" s="5">
        <f>IF(OR(INDEX($V$2:$V$1001,MATCH(ROWS($U$2:U559),$U$2:$U$1001,0),1)&gt;=100000,INDEX($AB$1005:$AQ$1005,1,MATCH(COLUMNS($AB$1006:AL1006),$AB$1006:$AQ$1006,0))&gt;=100000), " ",IF(INDEX($AB$2:$AQ$1001,MATCH(ROWS($U$2:U559),$U$2:$U$1001,0),MATCH(COLUMNS($AB$1006:AL1006),$AB$1006:$AQ$1006,0)), HYPERLINK("#",""), HYPERLINK(CONCATENATE("#Metadata!", ADDRESS(INDEX($W$2:$W$1001,MATCH(ROWS($U$2:U559),$U$2:$U$1001,0),0), INDEX($AB$1004:$AQ$1004,1,MATCH(COLUMNS($AB$1006:AL1006),$AB$1006:$AQ$1006,0)))),"Fix")))</f>
        <v>0</v>
      </c>
      <c r="M559" s="5">
        <f>IF(OR(INDEX($V$2:$V$1001,MATCH(ROWS($U$2:U559),$U$2:$U$1001,0),1)&gt;=100000,INDEX($AB$1005:$AQ$1005,1,MATCH(COLUMNS($AB$1006:AM1006),$AB$1006:$AQ$1006,0))&gt;=100000), " ",IF(INDEX($AB$2:$AQ$1001,MATCH(ROWS($U$2:U559),$U$2:$U$1001,0),MATCH(COLUMNS($AB$1006:AM1006),$AB$1006:$AQ$1006,0)), HYPERLINK("#",""), HYPERLINK(CONCATENATE("#Metadata!", ADDRESS(INDEX($W$2:$W$1001,MATCH(ROWS($U$2:U559),$U$2:$U$1001,0),0), INDEX($AB$1004:$AQ$1004,1,MATCH(COLUMNS($AB$1006:AM1006),$AB$1006:$AQ$1006,0)))),"Fix")))</f>
        <v>0</v>
      </c>
      <c r="N559" s="5">
        <f>IF(OR(INDEX($V$2:$V$1001,MATCH(ROWS($U$2:U559),$U$2:$U$1001,0),1)&gt;=100000,INDEX($AB$1005:$AQ$1005,1,MATCH(COLUMNS($AB$1006:AN1006),$AB$1006:$AQ$1006,0))&gt;=100000), " ",IF(INDEX($AB$2:$AQ$1001,MATCH(ROWS($U$2:U559),$U$2:$U$1001,0),MATCH(COLUMNS($AB$1006:AN1006),$AB$1006:$AQ$1006,0)), HYPERLINK("#",""), HYPERLINK(CONCATENATE("#Metadata!", ADDRESS(INDEX($W$2:$W$1001,MATCH(ROWS($U$2:U559),$U$2:$U$1001,0),0), INDEX($AB$1004:$AQ$1004,1,MATCH(COLUMNS($AB$1006:AN1006),$AB$1006:$AQ$1006,0)))),"Fix")))</f>
        <v>0</v>
      </c>
      <c r="O559" s="5">
        <f>IF(OR(INDEX($V$2:$V$1001,MATCH(ROWS($U$2:U559),$U$2:$U$1001,0),1)&gt;=100000,INDEX($AB$1005:$AQ$1005,1,MATCH(COLUMNS($AB$1006:AO1006),$AB$1006:$AQ$1006,0))&gt;=100000), " ",IF(INDEX($AB$2:$AQ$1001,MATCH(ROWS($U$2:U559),$U$2:$U$1001,0),MATCH(COLUMNS($AB$1006:AO1006),$AB$1006:$AQ$1006,0)), HYPERLINK("#",""), HYPERLINK(CONCATENATE("#Metadata!", ADDRESS(INDEX($W$2:$W$1001,MATCH(ROWS($U$2:U559),$U$2:$U$1001,0),0), INDEX($AB$1004:$AQ$1004,1,MATCH(COLUMNS($AB$1006:AO1006),$AB$1006:$AQ$1006,0)))),"Fix")))</f>
        <v>0</v>
      </c>
      <c r="P559" s="5">
        <f>IF(OR(INDEX($V$2:$V$1001,MATCH(ROWS($U$2:U559),$U$2:$U$1001,0),1)&gt;=100000,INDEX($AB$1005:$AQ$1005,1,MATCH(COLUMNS($AB$1006:AP1006),$AB$1006:$AQ$1006,0))&gt;=100000), " ",IF(INDEX($AB$2:$AQ$1001,MATCH(ROWS($U$2:U559),$U$2:$U$1001,0),MATCH(COLUMNS($AB$1006:AP1006),$AB$1006:$AQ$1006,0)), HYPERLINK("#",""), HYPERLINK(CONCATENATE("#Metadata!", ADDRESS(INDEX($W$2:$W$1001,MATCH(ROWS($U$2:U559),$U$2:$U$1001,0),0), INDEX($AB$1004:$AQ$1004,1,MATCH(COLUMNS($AB$1006:AP1006),$AB$1006:$AQ$1006,0)))),"Fix")))</f>
        <v>0</v>
      </c>
      <c r="Q559" s="5">
        <f>IF(OR(INDEX($V$2:$V$1001,MATCH(ROWS($U$2:U559),$U$2:$U$1001,0),1)&gt;=100000,INDEX($AB$1005:$AQ$1005,1,MATCH(COLUMNS($AB$1006:AQ1006),$AB$1006:$AQ$1006,0))&gt;=100000), " ",IF(INDEX($AB$2:$AQ$1001,MATCH(ROWS($U$2:U559),$U$2:$U$1001,0),MATCH(COLUMNS($AB$1006:AQ1006),$AB$1006:$AQ$1006,0)), HYPERLINK("#",""), HYPERLINK(CONCATENATE("#Metadata!", ADDRESS(INDEX($W$2:$W$1001,MATCH(ROWS($U$2:U559),$U$2:$U$1001,0),0), INDEX($AB$1004:$AQ$1004,1,MATCH(COLUMNS($AB$1006:AQ1006),$AB$1006:$AQ$1006,0)))),"Fix")))</f>
        <v>0</v>
      </c>
      <c r="U559">
        <v>0</v>
      </c>
      <c r="V559">
        <v>0</v>
      </c>
      <c r="W559">
        <v>0</v>
      </c>
      <c r="X559">
        <f>IF(Y559,TRUE,AND(AB559:AQ559))</f>
        <v>0</v>
      </c>
      <c r="Y559">
        <f>COUNTBLANK(Metadata!B559:Q559)=COLUMNS(Metadata!B559:Q559)</f>
        <v>0</v>
      </c>
      <c r="Z559">
        <v>0</v>
      </c>
      <c r="AB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AC559">
        <f>AND(IF(Metadata!C559="",FALSE,TRUE),exact(Metadata!C559,"urban biome"))</f>
        <v>0</v>
      </c>
      <c r="AD559">
        <f>AND(IF(Metadata!D559="",FALSE,TRUE),exact(Metadata!D559,"human-associated habitat"))</f>
        <v>0</v>
      </c>
      <c r="AE559">
        <f>AND(IF(Metadata!E559="",FALSE,TRUE),OR(exact(Metadata!E559,"human-associated"),exact(Metadata!E559,"human-skin"),exact(Metadata!E559,"human-oral"),exact(Metadata!E559,"human-gut"),exact(Metadata!E559,"human-vaginal")))</f>
        <v>0</v>
      </c>
      <c r="AF559">
        <f>AND(IF(Metadata!F559="",FALSE,ISNUMBER(VALUE(Metadata!F559))),Metadata!F559&gt;0)</f>
        <v>0</v>
      </c>
      <c r="AG559">
        <f>AND(IF(Metadata!G559="",FALSE,TRUE),exact(Metadata!G559,"years"))</f>
        <v>0</v>
      </c>
      <c r="AH559">
        <f>OR(AND(IF(Metadata!H559="",FALSE,TRUE),OR(exact(Metadata!H559,"not applicable"),exact(Metadata!H559,"not collected"),exact(Metadata!H559,"not provided"),exact(Metadata!H559,"restricted access"))),AND(IF(Metadata!H559="",FALSE,ISNUMBER(VALUE(Metadata!H559))),Metadata!H559&gt;0))</f>
        <v>0</v>
      </c>
      <c r="AI559">
        <f>AND(IF(Metadata!I559="",FALSE,TRUE),exact(Metadata!I559,"human"))</f>
        <v>0</v>
      </c>
      <c r="AJ559">
        <f>AND(IF(Metadata!J559="",FALSE,ISNUMBER(VALUE(Metadata!J559))),Metadata!J559&gt;0)</f>
        <v>0</v>
      </c>
      <c r="AK559">
        <f>AND(IF(Metadata!K559="",FALSE,TRUE),exact(Metadata!K559,"cm"))</f>
        <v>0</v>
      </c>
      <c r="AL559">
        <f>AND(IF(Metadata!L559="",FALSE,TRUE),exact(Metadata!L559,"Homo sapiens"))</f>
        <v>0</v>
      </c>
      <c r="AM559">
        <f>AND(IF(Metadata!M559="",FALSE,TRUE),exact(Metadata!M559,"9606"))</f>
        <v>0</v>
      </c>
      <c r="AN559">
        <f>AND(IF(Metadata!N559="",FALSE,ISNUMBER(VALUE(Metadata!N559))),Metadata!N559&gt;0)</f>
        <v>0</v>
      </c>
      <c r="AO559">
        <f>AND(IF(Metadata!O559="",FALSE,TRUE),exact(Metadata!O559,"kg"))</f>
        <v>0</v>
      </c>
      <c r="AP559">
        <f>OR(AND(IF(Metadata!P559="",FALSE,TRUE),exact(Metadata!P559,"not provided")),IF(Metadata!P559="",FALSE,TRUE))</f>
        <v>0</v>
      </c>
      <c r="AQ559">
        <f>OR(AND(IF(Metadata!Q559="",FALSE,TRUE),exact(Metadata!Q559,"not provided")),IF(Metadata!Q559="",FALSE,TRUE))</f>
        <v>0</v>
      </c>
    </row>
    <row r="560" spans="1:43">
      <c r="A560" s="4">
        <f>IF(B560=" "," ",HYPERLINK(CONCATENATE("#metadata!",ADDRESS(INDEX($W$2:$W$1001,MATCH(ROWS($U$2:U560),$U$2:$U$1001,0),0),2)),INDEX($Z$2:$Z$1001,MATCH(ROWS($U$2:U560),$U$2:$U$1001,0),0)))</f>
        <v>0</v>
      </c>
      <c r="B560" s="5">
        <f>IF(OR(INDEX($V$2:$V$1001,MATCH(ROWS($U$2:U560),$U$2:$U$1001,0),1)&gt;=100000,INDEX($AB$1005:$AQ$1005,1,MATCH(COLUMNS($AB$1006:AB1006),$AB$1006:$AQ$1006,0))&gt;=100000), " ",IF(INDEX($AB$2:$AQ$1001,MATCH(ROWS($U$2:U560),$U$2:$U$1001,0),MATCH(COLUMNS($AB$1006:AB1006),$AB$1006:$AQ$1006,0)), HYPERLINK("#",""), HYPERLINK(CONCATENATE("#Metadata!", ADDRESS(INDEX($W$2:$W$1001,MATCH(ROWS($U$2:U560),$U$2:$U$1001,0),0), INDEX($AB$1004:$AQ$1004,1,MATCH(COLUMNS($AB$1006:AB1006),$AB$1006:$AQ$1006,0)))),"Fix")))</f>
        <v>0</v>
      </c>
      <c r="C560" s="5">
        <f>IF(OR(INDEX($V$2:$V$1001,MATCH(ROWS($U$2:U560),$U$2:$U$1001,0),1)&gt;=100000,INDEX($AB$1005:$AQ$1005,1,MATCH(COLUMNS($AB$1006:AC1006),$AB$1006:$AQ$1006,0))&gt;=100000), " ",IF(INDEX($AB$2:$AQ$1001,MATCH(ROWS($U$2:U560),$U$2:$U$1001,0),MATCH(COLUMNS($AB$1006:AC1006),$AB$1006:$AQ$1006,0)), HYPERLINK("#",""), HYPERLINK(CONCATENATE("#Metadata!", ADDRESS(INDEX($W$2:$W$1001,MATCH(ROWS($U$2:U560),$U$2:$U$1001,0),0), INDEX($AB$1004:$AQ$1004,1,MATCH(COLUMNS($AB$1006:AC1006),$AB$1006:$AQ$1006,0)))),"Fix")))</f>
        <v>0</v>
      </c>
      <c r="D560" s="5">
        <f>IF(OR(INDEX($V$2:$V$1001,MATCH(ROWS($U$2:U560),$U$2:$U$1001,0),1)&gt;=100000,INDEX($AB$1005:$AQ$1005,1,MATCH(COLUMNS($AB$1006:AD1006),$AB$1006:$AQ$1006,0))&gt;=100000), " ",IF(INDEX($AB$2:$AQ$1001,MATCH(ROWS($U$2:U560),$U$2:$U$1001,0),MATCH(COLUMNS($AB$1006:AD1006),$AB$1006:$AQ$1006,0)), HYPERLINK("#",""), HYPERLINK(CONCATENATE("#Metadata!", ADDRESS(INDEX($W$2:$W$1001,MATCH(ROWS($U$2:U560),$U$2:$U$1001,0),0), INDEX($AB$1004:$AQ$1004,1,MATCH(COLUMNS($AB$1006:AD1006),$AB$1006:$AQ$1006,0)))),"Fix")))</f>
        <v>0</v>
      </c>
      <c r="E560" s="5">
        <f>IF(OR(INDEX($V$2:$V$1001,MATCH(ROWS($U$2:U560),$U$2:$U$1001,0),1)&gt;=100000,INDEX($AB$1005:$AQ$1005,1,MATCH(COLUMNS($AB$1006:AE1006),$AB$1006:$AQ$1006,0))&gt;=100000), " ",IF(INDEX($AB$2:$AQ$1001,MATCH(ROWS($U$2:U560),$U$2:$U$1001,0),MATCH(COLUMNS($AB$1006:AE1006),$AB$1006:$AQ$1006,0)), HYPERLINK("#",""), HYPERLINK(CONCATENATE("#Metadata!", ADDRESS(INDEX($W$2:$W$1001,MATCH(ROWS($U$2:U560),$U$2:$U$1001,0),0), INDEX($AB$1004:$AQ$1004,1,MATCH(COLUMNS($AB$1006:AE1006),$AB$1006:$AQ$1006,0)))),"Fix")))</f>
        <v>0</v>
      </c>
      <c r="F560" s="5">
        <f>IF(OR(INDEX($V$2:$V$1001,MATCH(ROWS($U$2:U560),$U$2:$U$1001,0),1)&gt;=100000,INDEX($AB$1005:$AQ$1005,1,MATCH(COLUMNS($AB$1006:AF1006),$AB$1006:$AQ$1006,0))&gt;=100000), " ",IF(INDEX($AB$2:$AQ$1001,MATCH(ROWS($U$2:U560),$U$2:$U$1001,0),MATCH(COLUMNS($AB$1006:AF1006),$AB$1006:$AQ$1006,0)), HYPERLINK("#",""), HYPERLINK(CONCATENATE("#Metadata!", ADDRESS(INDEX($W$2:$W$1001,MATCH(ROWS($U$2:U560),$U$2:$U$1001,0),0), INDEX($AB$1004:$AQ$1004,1,MATCH(COLUMNS($AB$1006:AF1006),$AB$1006:$AQ$1006,0)))),"Fix")))</f>
        <v>0</v>
      </c>
      <c r="G560" s="5">
        <f>IF(OR(INDEX($V$2:$V$1001,MATCH(ROWS($U$2:U560),$U$2:$U$1001,0),1)&gt;=100000,INDEX($AB$1005:$AQ$1005,1,MATCH(COLUMNS($AB$1006:AG1006),$AB$1006:$AQ$1006,0))&gt;=100000), " ",IF(INDEX($AB$2:$AQ$1001,MATCH(ROWS($U$2:U560),$U$2:$U$1001,0),MATCH(COLUMNS($AB$1006:AG1006),$AB$1006:$AQ$1006,0)), HYPERLINK("#",""), HYPERLINK(CONCATENATE("#Metadata!", ADDRESS(INDEX($W$2:$W$1001,MATCH(ROWS($U$2:U560),$U$2:$U$1001,0),0), INDEX($AB$1004:$AQ$1004,1,MATCH(COLUMNS($AB$1006:AG1006),$AB$1006:$AQ$1006,0)))),"Fix")))</f>
        <v>0</v>
      </c>
      <c r="H560" s="5">
        <f>IF(OR(INDEX($V$2:$V$1001,MATCH(ROWS($U$2:U560),$U$2:$U$1001,0),1)&gt;=100000,INDEX($AB$1005:$AQ$1005,1,MATCH(COLUMNS($AB$1006:AH1006),$AB$1006:$AQ$1006,0))&gt;=100000), " ",IF(INDEX($AB$2:$AQ$1001,MATCH(ROWS($U$2:U560),$U$2:$U$1001,0),MATCH(COLUMNS($AB$1006:AH1006),$AB$1006:$AQ$1006,0)), HYPERLINK("#",""), HYPERLINK(CONCATENATE("#Metadata!", ADDRESS(INDEX($W$2:$W$1001,MATCH(ROWS($U$2:U560),$U$2:$U$1001,0),0), INDEX($AB$1004:$AQ$1004,1,MATCH(COLUMNS($AB$1006:AH1006),$AB$1006:$AQ$1006,0)))),"Fix")))</f>
        <v>0</v>
      </c>
      <c r="I560" s="5">
        <f>IF(OR(INDEX($V$2:$V$1001,MATCH(ROWS($U$2:U560),$U$2:$U$1001,0),1)&gt;=100000,INDEX($AB$1005:$AQ$1005,1,MATCH(COLUMNS($AB$1006:AI1006),$AB$1006:$AQ$1006,0))&gt;=100000), " ",IF(INDEX($AB$2:$AQ$1001,MATCH(ROWS($U$2:U560),$U$2:$U$1001,0),MATCH(COLUMNS($AB$1006:AI1006),$AB$1006:$AQ$1006,0)), HYPERLINK("#",""), HYPERLINK(CONCATENATE("#Metadata!", ADDRESS(INDEX($W$2:$W$1001,MATCH(ROWS($U$2:U560),$U$2:$U$1001,0),0), INDEX($AB$1004:$AQ$1004,1,MATCH(COLUMNS($AB$1006:AI1006),$AB$1006:$AQ$1006,0)))),"Fix")))</f>
        <v>0</v>
      </c>
      <c r="J560" s="5">
        <f>IF(OR(INDEX($V$2:$V$1001,MATCH(ROWS($U$2:U560),$U$2:$U$1001,0),1)&gt;=100000,INDEX($AB$1005:$AQ$1005,1,MATCH(COLUMNS($AB$1006:AJ1006),$AB$1006:$AQ$1006,0))&gt;=100000), " ",IF(INDEX($AB$2:$AQ$1001,MATCH(ROWS($U$2:U560),$U$2:$U$1001,0),MATCH(COLUMNS($AB$1006:AJ1006),$AB$1006:$AQ$1006,0)), HYPERLINK("#",""), HYPERLINK(CONCATENATE("#Metadata!", ADDRESS(INDEX($W$2:$W$1001,MATCH(ROWS($U$2:U560),$U$2:$U$1001,0),0), INDEX($AB$1004:$AQ$1004,1,MATCH(COLUMNS($AB$1006:AJ1006),$AB$1006:$AQ$1006,0)))),"Fix")))</f>
        <v>0</v>
      </c>
      <c r="K560" s="5">
        <f>IF(OR(INDEX($V$2:$V$1001,MATCH(ROWS($U$2:U560),$U$2:$U$1001,0),1)&gt;=100000,INDEX($AB$1005:$AQ$1005,1,MATCH(COLUMNS($AB$1006:AK1006),$AB$1006:$AQ$1006,0))&gt;=100000), " ",IF(INDEX($AB$2:$AQ$1001,MATCH(ROWS($U$2:U560),$U$2:$U$1001,0),MATCH(COLUMNS($AB$1006:AK1006),$AB$1006:$AQ$1006,0)), HYPERLINK("#",""), HYPERLINK(CONCATENATE("#Metadata!", ADDRESS(INDEX($W$2:$W$1001,MATCH(ROWS($U$2:U560),$U$2:$U$1001,0),0), INDEX($AB$1004:$AQ$1004,1,MATCH(COLUMNS($AB$1006:AK1006),$AB$1006:$AQ$1006,0)))),"Fix")))</f>
        <v>0</v>
      </c>
      <c r="L560" s="5">
        <f>IF(OR(INDEX($V$2:$V$1001,MATCH(ROWS($U$2:U560),$U$2:$U$1001,0),1)&gt;=100000,INDEX($AB$1005:$AQ$1005,1,MATCH(COLUMNS($AB$1006:AL1006),$AB$1006:$AQ$1006,0))&gt;=100000), " ",IF(INDEX($AB$2:$AQ$1001,MATCH(ROWS($U$2:U560),$U$2:$U$1001,0),MATCH(COLUMNS($AB$1006:AL1006),$AB$1006:$AQ$1006,0)), HYPERLINK("#",""), HYPERLINK(CONCATENATE("#Metadata!", ADDRESS(INDEX($W$2:$W$1001,MATCH(ROWS($U$2:U560),$U$2:$U$1001,0),0), INDEX($AB$1004:$AQ$1004,1,MATCH(COLUMNS($AB$1006:AL1006),$AB$1006:$AQ$1006,0)))),"Fix")))</f>
        <v>0</v>
      </c>
      <c r="M560" s="5">
        <f>IF(OR(INDEX($V$2:$V$1001,MATCH(ROWS($U$2:U560),$U$2:$U$1001,0),1)&gt;=100000,INDEX($AB$1005:$AQ$1005,1,MATCH(COLUMNS($AB$1006:AM1006),$AB$1006:$AQ$1006,0))&gt;=100000), " ",IF(INDEX($AB$2:$AQ$1001,MATCH(ROWS($U$2:U560),$U$2:$U$1001,0),MATCH(COLUMNS($AB$1006:AM1006),$AB$1006:$AQ$1006,0)), HYPERLINK("#",""), HYPERLINK(CONCATENATE("#Metadata!", ADDRESS(INDEX($W$2:$W$1001,MATCH(ROWS($U$2:U560),$U$2:$U$1001,0),0), INDEX($AB$1004:$AQ$1004,1,MATCH(COLUMNS($AB$1006:AM1006),$AB$1006:$AQ$1006,0)))),"Fix")))</f>
        <v>0</v>
      </c>
      <c r="N560" s="5">
        <f>IF(OR(INDEX($V$2:$V$1001,MATCH(ROWS($U$2:U560),$U$2:$U$1001,0),1)&gt;=100000,INDEX($AB$1005:$AQ$1005,1,MATCH(COLUMNS($AB$1006:AN1006),$AB$1006:$AQ$1006,0))&gt;=100000), " ",IF(INDEX($AB$2:$AQ$1001,MATCH(ROWS($U$2:U560),$U$2:$U$1001,0),MATCH(COLUMNS($AB$1006:AN1006),$AB$1006:$AQ$1006,0)), HYPERLINK("#",""), HYPERLINK(CONCATENATE("#Metadata!", ADDRESS(INDEX($W$2:$W$1001,MATCH(ROWS($U$2:U560),$U$2:$U$1001,0),0), INDEX($AB$1004:$AQ$1004,1,MATCH(COLUMNS($AB$1006:AN1006),$AB$1006:$AQ$1006,0)))),"Fix")))</f>
        <v>0</v>
      </c>
      <c r="O560" s="5">
        <f>IF(OR(INDEX($V$2:$V$1001,MATCH(ROWS($U$2:U560),$U$2:$U$1001,0),1)&gt;=100000,INDEX($AB$1005:$AQ$1005,1,MATCH(COLUMNS($AB$1006:AO1006),$AB$1006:$AQ$1006,0))&gt;=100000), " ",IF(INDEX($AB$2:$AQ$1001,MATCH(ROWS($U$2:U560),$U$2:$U$1001,0),MATCH(COLUMNS($AB$1006:AO1006),$AB$1006:$AQ$1006,0)), HYPERLINK("#",""), HYPERLINK(CONCATENATE("#Metadata!", ADDRESS(INDEX($W$2:$W$1001,MATCH(ROWS($U$2:U560),$U$2:$U$1001,0),0), INDEX($AB$1004:$AQ$1004,1,MATCH(COLUMNS($AB$1006:AO1006),$AB$1006:$AQ$1006,0)))),"Fix")))</f>
        <v>0</v>
      </c>
      <c r="P560" s="5">
        <f>IF(OR(INDEX($V$2:$V$1001,MATCH(ROWS($U$2:U560),$U$2:$U$1001,0),1)&gt;=100000,INDEX($AB$1005:$AQ$1005,1,MATCH(COLUMNS($AB$1006:AP1006),$AB$1006:$AQ$1006,0))&gt;=100000), " ",IF(INDEX($AB$2:$AQ$1001,MATCH(ROWS($U$2:U560),$U$2:$U$1001,0),MATCH(COLUMNS($AB$1006:AP1006),$AB$1006:$AQ$1006,0)), HYPERLINK("#",""), HYPERLINK(CONCATENATE("#Metadata!", ADDRESS(INDEX($W$2:$W$1001,MATCH(ROWS($U$2:U560),$U$2:$U$1001,0),0), INDEX($AB$1004:$AQ$1004,1,MATCH(COLUMNS($AB$1006:AP1006),$AB$1006:$AQ$1006,0)))),"Fix")))</f>
        <v>0</v>
      </c>
      <c r="Q560" s="5">
        <f>IF(OR(INDEX($V$2:$V$1001,MATCH(ROWS($U$2:U560),$U$2:$U$1001,0),1)&gt;=100000,INDEX($AB$1005:$AQ$1005,1,MATCH(COLUMNS($AB$1006:AQ1006),$AB$1006:$AQ$1006,0))&gt;=100000), " ",IF(INDEX($AB$2:$AQ$1001,MATCH(ROWS($U$2:U560),$U$2:$U$1001,0),MATCH(COLUMNS($AB$1006:AQ1006),$AB$1006:$AQ$1006,0)), HYPERLINK("#",""), HYPERLINK(CONCATENATE("#Metadata!", ADDRESS(INDEX($W$2:$W$1001,MATCH(ROWS($U$2:U560),$U$2:$U$1001,0),0), INDEX($AB$1004:$AQ$1004,1,MATCH(COLUMNS($AB$1006:AQ1006),$AB$1006:$AQ$1006,0)))),"Fix")))</f>
        <v>0</v>
      </c>
      <c r="U560">
        <v>0</v>
      </c>
      <c r="V560">
        <v>0</v>
      </c>
      <c r="W560">
        <v>0</v>
      </c>
      <c r="X560">
        <f>IF(Y560,TRUE,AND(AB560:AQ560))</f>
        <v>0</v>
      </c>
      <c r="Y560">
        <f>COUNTBLANK(Metadata!B560:Q560)=COLUMNS(Metadata!B560:Q560)</f>
        <v>0</v>
      </c>
      <c r="Z560">
        <v>0</v>
      </c>
      <c r="AB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AC560">
        <f>AND(IF(Metadata!C560="",FALSE,TRUE),exact(Metadata!C560,"urban biome"))</f>
        <v>0</v>
      </c>
      <c r="AD560">
        <f>AND(IF(Metadata!D560="",FALSE,TRUE),exact(Metadata!D560,"human-associated habitat"))</f>
        <v>0</v>
      </c>
      <c r="AE560">
        <f>AND(IF(Metadata!E560="",FALSE,TRUE),OR(exact(Metadata!E560,"human-associated"),exact(Metadata!E560,"human-skin"),exact(Metadata!E560,"human-oral"),exact(Metadata!E560,"human-gut"),exact(Metadata!E560,"human-vaginal")))</f>
        <v>0</v>
      </c>
      <c r="AF560">
        <f>AND(IF(Metadata!F560="",FALSE,ISNUMBER(VALUE(Metadata!F560))),Metadata!F560&gt;0)</f>
        <v>0</v>
      </c>
      <c r="AG560">
        <f>AND(IF(Metadata!G560="",FALSE,TRUE),exact(Metadata!G560,"years"))</f>
        <v>0</v>
      </c>
      <c r="AH560">
        <f>OR(AND(IF(Metadata!H560="",FALSE,TRUE),OR(exact(Metadata!H560,"not applicable"),exact(Metadata!H560,"not collected"),exact(Metadata!H560,"not provided"),exact(Metadata!H560,"restricted access"))),AND(IF(Metadata!H560="",FALSE,ISNUMBER(VALUE(Metadata!H560))),Metadata!H560&gt;0))</f>
        <v>0</v>
      </c>
      <c r="AI560">
        <f>AND(IF(Metadata!I560="",FALSE,TRUE),exact(Metadata!I560,"human"))</f>
        <v>0</v>
      </c>
      <c r="AJ560">
        <f>AND(IF(Metadata!J560="",FALSE,ISNUMBER(VALUE(Metadata!J560))),Metadata!J560&gt;0)</f>
        <v>0</v>
      </c>
      <c r="AK560">
        <f>AND(IF(Metadata!K560="",FALSE,TRUE),exact(Metadata!K560,"cm"))</f>
        <v>0</v>
      </c>
      <c r="AL560">
        <f>AND(IF(Metadata!L560="",FALSE,TRUE),exact(Metadata!L560,"Homo sapiens"))</f>
        <v>0</v>
      </c>
      <c r="AM560">
        <f>AND(IF(Metadata!M560="",FALSE,TRUE),exact(Metadata!M560,"9606"))</f>
        <v>0</v>
      </c>
      <c r="AN560">
        <f>AND(IF(Metadata!N560="",FALSE,ISNUMBER(VALUE(Metadata!N560))),Metadata!N560&gt;0)</f>
        <v>0</v>
      </c>
      <c r="AO560">
        <f>AND(IF(Metadata!O560="",FALSE,TRUE),exact(Metadata!O560,"kg"))</f>
        <v>0</v>
      </c>
      <c r="AP560">
        <f>OR(AND(IF(Metadata!P560="",FALSE,TRUE),exact(Metadata!P560,"not provided")),IF(Metadata!P560="",FALSE,TRUE))</f>
        <v>0</v>
      </c>
      <c r="AQ560">
        <f>OR(AND(IF(Metadata!Q560="",FALSE,TRUE),exact(Metadata!Q560,"not provided")),IF(Metadata!Q560="",FALSE,TRUE))</f>
        <v>0</v>
      </c>
    </row>
    <row r="561" spans="1:43">
      <c r="A561" s="4">
        <f>IF(B561=" "," ",HYPERLINK(CONCATENATE("#metadata!",ADDRESS(INDEX($W$2:$W$1001,MATCH(ROWS($U$2:U561),$U$2:$U$1001,0),0),2)),INDEX($Z$2:$Z$1001,MATCH(ROWS($U$2:U561),$U$2:$U$1001,0),0)))</f>
        <v>0</v>
      </c>
      <c r="B561" s="5">
        <f>IF(OR(INDEX($V$2:$V$1001,MATCH(ROWS($U$2:U561),$U$2:$U$1001,0),1)&gt;=100000,INDEX($AB$1005:$AQ$1005,1,MATCH(COLUMNS($AB$1006:AB1006),$AB$1006:$AQ$1006,0))&gt;=100000), " ",IF(INDEX($AB$2:$AQ$1001,MATCH(ROWS($U$2:U561),$U$2:$U$1001,0),MATCH(COLUMNS($AB$1006:AB1006),$AB$1006:$AQ$1006,0)), HYPERLINK("#",""), HYPERLINK(CONCATENATE("#Metadata!", ADDRESS(INDEX($W$2:$W$1001,MATCH(ROWS($U$2:U561),$U$2:$U$1001,0),0), INDEX($AB$1004:$AQ$1004,1,MATCH(COLUMNS($AB$1006:AB1006),$AB$1006:$AQ$1006,0)))),"Fix")))</f>
        <v>0</v>
      </c>
      <c r="C561" s="5">
        <f>IF(OR(INDEX($V$2:$V$1001,MATCH(ROWS($U$2:U561),$U$2:$U$1001,0),1)&gt;=100000,INDEX($AB$1005:$AQ$1005,1,MATCH(COLUMNS($AB$1006:AC1006),$AB$1006:$AQ$1006,0))&gt;=100000), " ",IF(INDEX($AB$2:$AQ$1001,MATCH(ROWS($U$2:U561),$U$2:$U$1001,0),MATCH(COLUMNS($AB$1006:AC1006),$AB$1006:$AQ$1006,0)), HYPERLINK("#",""), HYPERLINK(CONCATENATE("#Metadata!", ADDRESS(INDEX($W$2:$W$1001,MATCH(ROWS($U$2:U561),$U$2:$U$1001,0),0), INDEX($AB$1004:$AQ$1004,1,MATCH(COLUMNS($AB$1006:AC1006),$AB$1006:$AQ$1006,0)))),"Fix")))</f>
        <v>0</v>
      </c>
      <c r="D561" s="5">
        <f>IF(OR(INDEX($V$2:$V$1001,MATCH(ROWS($U$2:U561),$U$2:$U$1001,0),1)&gt;=100000,INDEX($AB$1005:$AQ$1005,1,MATCH(COLUMNS($AB$1006:AD1006),$AB$1006:$AQ$1006,0))&gt;=100000), " ",IF(INDEX($AB$2:$AQ$1001,MATCH(ROWS($U$2:U561),$U$2:$U$1001,0),MATCH(COLUMNS($AB$1006:AD1006),$AB$1006:$AQ$1006,0)), HYPERLINK("#",""), HYPERLINK(CONCATENATE("#Metadata!", ADDRESS(INDEX($W$2:$W$1001,MATCH(ROWS($U$2:U561),$U$2:$U$1001,0),0), INDEX($AB$1004:$AQ$1004,1,MATCH(COLUMNS($AB$1006:AD1006),$AB$1006:$AQ$1006,0)))),"Fix")))</f>
        <v>0</v>
      </c>
      <c r="E561" s="5">
        <f>IF(OR(INDEX($V$2:$V$1001,MATCH(ROWS($U$2:U561),$U$2:$U$1001,0),1)&gt;=100000,INDEX($AB$1005:$AQ$1005,1,MATCH(COLUMNS($AB$1006:AE1006),$AB$1006:$AQ$1006,0))&gt;=100000), " ",IF(INDEX($AB$2:$AQ$1001,MATCH(ROWS($U$2:U561),$U$2:$U$1001,0),MATCH(COLUMNS($AB$1006:AE1006),$AB$1006:$AQ$1006,0)), HYPERLINK("#",""), HYPERLINK(CONCATENATE("#Metadata!", ADDRESS(INDEX($W$2:$W$1001,MATCH(ROWS($U$2:U561),$U$2:$U$1001,0),0), INDEX($AB$1004:$AQ$1004,1,MATCH(COLUMNS($AB$1006:AE1006),$AB$1006:$AQ$1006,0)))),"Fix")))</f>
        <v>0</v>
      </c>
      <c r="F561" s="5">
        <f>IF(OR(INDEX($V$2:$V$1001,MATCH(ROWS($U$2:U561),$U$2:$U$1001,0),1)&gt;=100000,INDEX($AB$1005:$AQ$1005,1,MATCH(COLUMNS($AB$1006:AF1006),$AB$1006:$AQ$1006,0))&gt;=100000), " ",IF(INDEX($AB$2:$AQ$1001,MATCH(ROWS($U$2:U561),$U$2:$U$1001,0),MATCH(COLUMNS($AB$1006:AF1006),$AB$1006:$AQ$1006,0)), HYPERLINK("#",""), HYPERLINK(CONCATENATE("#Metadata!", ADDRESS(INDEX($W$2:$W$1001,MATCH(ROWS($U$2:U561),$U$2:$U$1001,0),0), INDEX($AB$1004:$AQ$1004,1,MATCH(COLUMNS($AB$1006:AF1006),$AB$1006:$AQ$1006,0)))),"Fix")))</f>
        <v>0</v>
      </c>
      <c r="G561" s="5">
        <f>IF(OR(INDEX($V$2:$V$1001,MATCH(ROWS($U$2:U561),$U$2:$U$1001,0),1)&gt;=100000,INDEX($AB$1005:$AQ$1005,1,MATCH(COLUMNS($AB$1006:AG1006),$AB$1006:$AQ$1006,0))&gt;=100000), " ",IF(INDEX($AB$2:$AQ$1001,MATCH(ROWS($U$2:U561),$U$2:$U$1001,0),MATCH(COLUMNS($AB$1006:AG1006),$AB$1006:$AQ$1006,0)), HYPERLINK("#",""), HYPERLINK(CONCATENATE("#Metadata!", ADDRESS(INDEX($W$2:$W$1001,MATCH(ROWS($U$2:U561),$U$2:$U$1001,0),0), INDEX($AB$1004:$AQ$1004,1,MATCH(COLUMNS($AB$1006:AG1006),$AB$1006:$AQ$1006,0)))),"Fix")))</f>
        <v>0</v>
      </c>
      <c r="H561" s="5">
        <f>IF(OR(INDEX($V$2:$V$1001,MATCH(ROWS($U$2:U561),$U$2:$U$1001,0),1)&gt;=100000,INDEX($AB$1005:$AQ$1005,1,MATCH(COLUMNS($AB$1006:AH1006),$AB$1006:$AQ$1006,0))&gt;=100000), " ",IF(INDEX($AB$2:$AQ$1001,MATCH(ROWS($U$2:U561),$U$2:$U$1001,0),MATCH(COLUMNS($AB$1006:AH1006),$AB$1006:$AQ$1006,0)), HYPERLINK("#",""), HYPERLINK(CONCATENATE("#Metadata!", ADDRESS(INDEX($W$2:$W$1001,MATCH(ROWS($U$2:U561),$U$2:$U$1001,0),0), INDEX($AB$1004:$AQ$1004,1,MATCH(COLUMNS($AB$1006:AH1006),$AB$1006:$AQ$1006,0)))),"Fix")))</f>
        <v>0</v>
      </c>
      <c r="I561" s="5">
        <f>IF(OR(INDEX($V$2:$V$1001,MATCH(ROWS($U$2:U561),$U$2:$U$1001,0),1)&gt;=100000,INDEX($AB$1005:$AQ$1005,1,MATCH(COLUMNS($AB$1006:AI1006),$AB$1006:$AQ$1006,0))&gt;=100000), " ",IF(INDEX($AB$2:$AQ$1001,MATCH(ROWS($U$2:U561),$U$2:$U$1001,0),MATCH(COLUMNS($AB$1006:AI1006),$AB$1006:$AQ$1006,0)), HYPERLINK("#",""), HYPERLINK(CONCATENATE("#Metadata!", ADDRESS(INDEX($W$2:$W$1001,MATCH(ROWS($U$2:U561),$U$2:$U$1001,0),0), INDEX($AB$1004:$AQ$1004,1,MATCH(COLUMNS($AB$1006:AI1006),$AB$1006:$AQ$1006,0)))),"Fix")))</f>
        <v>0</v>
      </c>
      <c r="J561" s="5">
        <f>IF(OR(INDEX($V$2:$V$1001,MATCH(ROWS($U$2:U561),$U$2:$U$1001,0),1)&gt;=100000,INDEX($AB$1005:$AQ$1005,1,MATCH(COLUMNS($AB$1006:AJ1006),$AB$1006:$AQ$1006,0))&gt;=100000), " ",IF(INDEX($AB$2:$AQ$1001,MATCH(ROWS($U$2:U561),$U$2:$U$1001,0),MATCH(COLUMNS($AB$1006:AJ1006),$AB$1006:$AQ$1006,0)), HYPERLINK("#",""), HYPERLINK(CONCATENATE("#Metadata!", ADDRESS(INDEX($W$2:$W$1001,MATCH(ROWS($U$2:U561),$U$2:$U$1001,0),0), INDEX($AB$1004:$AQ$1004,1,MATCH(COLUMNS($AB$1006:AJ1006),$AB$1006:$AQ$1006,0)))),"Fix")))</f>
        <v>0</v>
      </c>
      <c r="K561" s="5">
        <f>IF(OR(INDEX($V$2:$V$1001,MATCH(ROWS($U$2:U561),$U$2:$U$1001,0),1)&gt;=100000,INDEX($AB$1005:$AQ$1005,1,MATCH(COLUMNS($AB$1006:AK1006),$AB$1006:$AQ$1006,0))&gt;=100000), " ",IF(INDEX($AB$2:$AQ$1001,MATCH(ROWS($U$2:U561),$U$2:$U$1001,0),MATCH(COLUMNS($AB$1006:AK1006),$AB$1006:$AQ$1006,0)), HYPERLINK("#",""), HYPERLINK(CONCATENATE("#Metadata!", ADDRESS(INDEX($W$2:$W$1001,MATCH(ROWS($U$2:U561),$U$2:$U$1001,0),0), INDEX($AB$1004:$AQ$1004,1,MATCH(COLUMNS($AB$1006:AK1006),$AB$1006:$AQ$1006,0)))),"Fix")))</f>
        <v>0</v>
      </c>
      <c r="L561" s="5">
        <f>IF(OR(INDEX($V$2:$V$1001,MATCH(ROWS($U$2:U561),$U$2:$U$1001,0),1)&gt;=100000,INDEX($AB$1005:$AQ$1005,1,MATCH(COLUMNS($AB$1006:AL1006),$AB$1006:$AQ$1006,0))&gt;=100000), " ",IF(INDEX($AB$2:$AQ$1001,MATCH(ROWS($U$2:U561),$U$2:$U$1001,0),MATCH(COLUMNS($AB$1006:AL1006),$AB$1006:$AQ$1006,0)), HYPERLINK("#",""), HYPERLINK(CONCATENATE("#Metadata!", ADDRESS(INDEX($W$2:$W$1001,MATCH(ROWS($U$2:U561),$U$2:$U$1001,0),0), INDEX($AB$1004:$AQ$1004,1,MATCH(COLUMNS($AB$1006:AL1006),$AB$1006:$AQ$1006,0)))),"Fix")))</f>
        <v>0</v>
      </c>
      <c r="M561" s="5">
        <f>IF(OR(INDEX($V$2:$V$1001,MATCH(ROWS($U$2:U561),$U$2:$U$1001,0),1)&gt;=100000,INDEX($AB$1005:$AQ$1005,1,MATCH(COLUMNS($AB$1006:AM1006),$AB$1006:$AQ$1006,0))&gt;=100000), " ",IF(INDEX($AB$2:$AQ$1001,MATCH(ROWS($U$2:U561),$U$2:$U$1001,0),MATCH(COLUMNS($AB$1006:AM1006),$AB$1006:$AQ$1006,0)), HYPERLINK("#",""), HYPERLINK(CONCATENATE("#Metadata!", ADDRESS(INDEX($W$2:$W$1001,MATCH(ROWS($U$2:U561),$U$2:$U$1001,0),0), INDEX($AB$1004:$AQ$1004,1,MATCH(COLUMNS($AB$1006:AM1006),$AB$1006:$AQ$1006,0)))),"Fix")))</f>
        <v>0</v>
      </c>
      <c r="N561" s="5">
        <f>IF(OR(INDEX($V$2:$V$1001,MATCH(ROWS($U$2:U561),$U$2:$U$1001,0),1)&gt;=100000,INDEX($AB$1005:$AQ$1005,1,MATCH(COLUMNS($AB$1006:AN1006),$AB$1006:$AQ$1006,0))&gt;=100000), " ",IF(INDEX($AB$2:$AQ$1001,MATCH(ROWS($U$2:U561),$U$2:$U$1001,0),MATCH(COLUMNS($AB$1006:AN1006),$AB$1006:$AQ$1006,0)), HYPERLINK("#",""), HYPERLINK(CONCATENATE("#Metadata!", ADDRESS(INDEX($W$2:$W$1001,MATCH(ROWS($U$2:U561),$U$2:$U$1001,0),0), INDEX($AB$1004:$AQ$1004,1,MATCH(COLUMNS($AB$1006:AN1006),$AB$1006:$AQ$1006,0)))),"Fix")))</f>
        <v>0</v>
      </c>
      <c r="O561" s="5">
        <f>IF(OR(INDEX($V$2:$V$1001,MATCH(ROWS($U$2:U561),$U$2:$U$1001,0),1)&gt;=100000,INDEX($AB$1005:$AQ$1005,1,MATCH(COLUMNS($AB$1006:AO1006),$AB$1006:$AQ$1006,0))&gt;=100000), " ",IF(INDEX($AB$2:$AQ$1001,MATCH(ROWS($U$2:U561),$U$2:$U$1001,0),MATCH(COLUMNS($AB$1006:AO1006),$AB$1006:$AQ$1006,0)), HYPERLINK("#",""), HYPERLINK(CONCATENATE("#Metadata!", ADDRESS(INDEX($W$2:$W$1001,MATCH(ROWS($U$2:U561),$U$2:$U$1001,0),0), INDEX($AB$1004:$AQ$1004,1,MATCH(COLUMNS($AB$1006:AO1006),$AB$1006:$AQ$1006,0)))),"Fix")))</f>
        <v>0</v>
      </c>
      <c r="P561" s="5">
        <f>IF(OR(INDEX($V$2:$V$1001,MATCH(ROWS($U$2:U561),$U$2:$U$1001,0),1)&gt;=100000,INDEX($AB$1005:$AQ$1005,1,MATCH(COLUMNS($AB$1006:AP1006),$AB$1006:$AQ$1006,0))&gt;=100000), " ",IF(INDEX($AB$2:$AQ$1001,MATCH(ROWS($U$2:U561),$U$2:$U$1001,0),MATCH(COLUMNS($AB$1006:AP1006),$AB$1006:$AQ$1006,0)), HYPERLINK("#",""), HYPERLINK(CONCATENATE("#Metadata!", ADDRESS(INDEX($W$2:$W$1001,MATCH(ROWS($U$2:U561),$U$2:$U$1001,0),0), INDEX($AB$1004:$AQ$1004,1,MATCH(COLUMNS($AB$1006:AP1006),$AB$1006:$AQ$1006,0)))),"Fix")))</f>
        <v>0</v>
      </c>
      <c r="Q561" s="5">
        <f>IF(OR(INDEX($V$2:$V$1001,MATCH(ROWS($U$2:U561),$U$2:$U$1001,0),1)&gt;=100000,INDEX($AB$1005:$AQ$1005,1,MATCH(COLUMNS($AB$1006:AQ1006),$AB$1006:$AQ$1006,0))&gt;=100000), " ",IF(INDEX($AB$2:$AQ$1001,MATCH(ROWS($U$2:U561),$U$2:$U$1001,0),MATCH(COLUMNS($AB$1006:AQ1006),$AB$1006:$AQ$1006,0)), HYPERLINK("#",""), HYPERLINK(CONCATENATE("#Metadata!", ADDRESS(INDEX($W$2:$W$1001,MATCH(ROWS($U$2:U561),$U$2:$U$1001,0),0), INDEX($AB$1004:$AQ$1004,1,MATCH(COLUMNS($AB$1006:AQ1006),$AB$1006:$AQ$1006,0)))),"Fix")))</f>
        <v>0</v>
      </c>
      <c r="U561">
        <v>0</v>
      </c>
      <c r="V561">
        <v>0</v>
      </c>
      <c r="W561">
        <v>0</v>
      </c>
      <c r="X561">
        <f>IF(Y561,TRUE,AND(AB561:AQ561))</f>
        <v>0</v>
      </c>
      <c r="Y561">
        <f>COUNTBLANK(Metadata!B561:Q561)=COLUMNS(Metadata!B561:Q561)</f>
        <v>0</v>
      </c>
      <c r="Z561">
        <v>0</v>
      </c>
      <c r="AB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AC561">
        <f>AND(IF(Metadata!C561="",FALSE,TRUE),exact(Metadata!C561,"urban biome"))</f>
        <v>0</v>
      </c>
      <c r="AD561">
        <f>AND(IF(Metadata!D561="",FALSE,TRUE),exact(Metadata!D561,"human-associated habitat"))</f>
        <v>0</v>
      </c>
      <c r="AE561">
        <f>AND(IF(Metadata!E561="",FALSE,TRUE),OR(exact(Metadata!E561,"human-associated"),exact(Metadata!E561,"human-skin"),exact(Metadata!E561,"human-oral"),exact(Metadata!E561,"human-gut"),exact(Metadata!E561,"human-vaginal")))</f>
        <v>0</v>
      </c>
      <c r="AF561">
        <f>AND(IF(Metadata!F561="",FALSE,ISNUMBER(VALUE(Metadata!F561))),Metadata!F561&gt;0)</f>
        <v>0</v>
      </c>
      <c r="AG561">
        <f>AND(IF(Metadata!G561="",FALSE,TRUE),exact(Metadata!G561,"years"))</f>
        <v>0</v>
      </c>
      <c r="AH561">
        <f>OR(AND(IF(Metadata!H561="",FALSE,TRUE),OR(exact(Metadata!H561,"not applicable"),exact(Metadata!H561,"not collected"),exact(Metadata!H561,"not provided"),exact(Metadata!H561,"restricted access"))),AND(IF(Metadata!H561="",FALSE,ISNUMBER(VALUE(Metadata!H561))),Metadata!H561&gt;0))</f>
        <v>0</v>
      </c>
      <c r="AI561">
        <f>AND(IF(Metadata!I561="",FALSE,TRUE),exact(Metadata!I561,"human"))</f>
        <v>0</v>
      </c>
      <c r="AJ561">
        <f>AND(IF(Metadata!J561="",FALSE,ISNUMBER(VALUE(Metadata!J561))),Metadata!J561&gt;0)</f>
        <v>0</v>
      </c>
      <c r="AK561">
        <f>AND(IF(Metadata!K561="",FALSE,TRUE),exact(Metadata!K561,"cm"))</f>
        <v>0</v>
      </c>
      <c r="AL561">
        <f>AND(IF(Metadata!L561="",FALSE,TRUE),exact(Metadata!L561,"Homo sapiens"))</f>
        <v>0</v>
      </c>
      <c r="AM561">
        <f>AND(IF(Metadata!M561="",FALSE,TRUE),exact(Metadata!M561,"9606"))</f>
        <v>0</v>
      </c>
      <c r="AN561">
        <f>AND(IF(Metadata!N561="",FALSE,ISNUMBER(VALUE(Metadata!N561))),Metadata!N561&gt;0)</f>
        <v>0</v>
      </c>
      <c r="AO561">
        <f>AND(IF(Metadata!O561="",FALSE,TRUE),exact(Metadata!O561,"kg"))</f>
        <v>0</v>
      </c>
      <c r="AP561">
        <f>OR(AND(IF(Metadata!P561="",FALSE,TRUE),exact(Metadata!P561,"not provided")),IF(Metadata!P561="",FALSE,TRUE))</f>
        <v>0</v>
      </c>
      <c r="AQ561">
        <f>OR(AND(IF(Metadata!Q561="",FALSE,TRUE),exact(Metadata!Q561,"not provided")),IF(Metadata!Q561="",FALSE,TRUE))</f>
        <v>0</v>
      </c>
    </row>
    <row r="562" spans="1:43">
      <c r="A562" s="4">
        <f>IF(B562=" "," ",HYPERLINK(CONCATENATE("#metadata!",ADDRESS(INDEX($W$2:$W$1001,MATCH(ROWS($U$2:U562),$U$2:$U$1001,0),0),2)),INDEX($Z$2:$Z$1001,MATCH(ROWS($U$2:U562),$U$2:$U$1001,0),0)))</f>
        <v>0</v>
      </c>
      <c r="B562" s="5">
        <f>IF(OR(INDEX($V$2:$V$1001,MATCH(ROWS($U$2:U562),$U$2:$U$1001,0),1)&gt;=100000,INDEX($AB$1005:$AQ$1005,1,MATCH(COLUMNS($AB$1006:AB1006),$AB$1006:$AQ$1006,0))&gt;=100000), " ",IF(INDEX($AB$2:$AQ$1001,MATCH(ROWS($U$2:U562),$U$2:$U$1001,0),MATCH(COLUMNS($AB$1006:AB1006),$AB$1006:$AQ$1006,0)), HYPERLINK("#",""), HYPERLINK(CONCATENATE("#Metadata!", ADDRESS(INDEX($W$2:$W$1001,MATCH(ROWS($U$2:U562),$U$2:$U$1001,0),0), INDEX($AB$1004:$AQ$1004,1,MATCH(COLUMNS($AB$1006:AB1006),$AB$1006:$AQ$1006,0)))),"Fix")))</f>
        <v>0</v>
      </c>
      <c r="C562" s="5">
        <f>IF(OR(INDEX($V$2:$V$1001,MATCH(ROWS($U$2:U562),$U$2:$U$1001,0),1)&gt;=100000,INDEX($AB$1005:$AQ$1005,1,MATCH(COLUMNS($AB$1006:AC1006),$AB$1006:$AQ$1006,0))&gt;=100000), " ",IF(INDEX($AB$2:$AQ$1001,MATCH(ROWS($U$2:U562),$U$2:$U$1001,0),MATCH(COLUMNS($AB$1006:AC1006),$AB$1006:$AQ$1006,0)), HYPERLINK("#",""), HYPERLINK(CONCATENATE("#Metadata!", ADDRESS(INDEX($W$2:$W$1001,MATCH(ROWS($U$2:U562),$U$2:$U$1001,0),0), INDEX($AB$1004:$AQ$1004,1,MATCH(COLUMNS($AB$1006:AC1006),$AB$1006:$AQ$1006,0)))),"Fix")))</f>
        <v>0</v>
      </c>
      <c r="D562" s="5">
        <f>IF(OR(INDEX($V$2:$V$1001,MATCH(ROWS($U$2:U562),$U$2:$U$1001,0),1)&gt;=100000,INDEX($AB$1005:$AQ$1005,1,MATCH(COLUMNS($AB$1006:AD1006),$AB$1006:$AQ$1006,0))&gt;=100000), " ",IF(INDEX($AB$2:$AQ$1001,MATCH(ROWS($U$2:U562),$U$2:$U$1001,0),MATCH(COLUMNS($AB$1006:AD1006),$AB$1006:$AQ$1006,0)), HYPERLINK("#",""), HYPERLINK(CONCATENATE("#Metadata!", ADDRESS(INDEX($W$2:$W$1001,MATCH(ROWS($U$2:U562),$U$2:$U$1001,0),0), INDEX($AB$1004:$AQ$1004,1,MATCH(COLUMNS($AB$1006:AD1006),$AB$1006:$AQ$1006,0)))),"Fix")))</f>
        <v>0</v>
      </c>
      <c r="E562" s="5">
        <f>IF(OR(INDEX($V$2:$V$1001,MATCH(ROWS($U$2:U562),$U$2:$U$1001,0),1)&gt;=100000,INDEX($AB$1005:$AQ$1005,1,MATCH(COLUMNS($AB$1006:AE1006),$AB$1006:$AQ$1006,0))&gt;=100000), " ",IF(INDEX($AB$2:$AQ$1001,MATCH(ROWS($U$2:U562),$U$2:$U$1001,0),MATCH(COLUMNS($AB$1006:AE1006),$AB$1006:$AQ$1006,0)), HYPERLINK("#",""), HYPERLINK(CONCATENATE("#Metadata!", ADDRESS(INDEX($W$2:$W$1001,MATCH(ROWS($U$2:U562),$U$2:$U$1001,0),0), INDEX($AB$1004:$AQ$1004,1,MATCH(COLUMNS($AB$1006:AE1006),$AB$1006:$AQ$1006,0)))),"Fix")))</f>
        <v>0</v>
      </c>
      <c r="F562" s="5">
        <f>IF(OR(INDEX($V$2:$V$1001,MATCH(ROWS($U$2:U562),$U$2:$U$1001,0),1)&gt;=100000,INDEX($AB$1005:$AQ$1005,1,MATCH(COLUMNS($AB$1006:AF1006),$AB$1006:$AQ$1006,0))&gt;=100000), " ",IF(INDEX($AB$2:$AQ$1001,MATCH(ROWS($U$2:U562),$U$2:$U$1001,0),MATCH(COLUMNS($AB$1006:AF1006),$AB$1006:$AQ$1006,0)), HYPERLINK("#",""), HYPERLINK(CONCATENATE("#Metadata!", ADDRESS(INDEX($W$2:$W$1001,MATCH(ROWS($U$2:U562),$U$2:$U$1001,0),0), INDEX($AB$1004:$AQ$1004,1,MATCH(COLUMNS($AB$1006:AF1006),$AB$1006:$AQ$1006,0)))),"Fix")))</f>
        <v>0</v>
      </c>
      <c r="G562" s="5">
        <f>IF(OR(INDEX($V$2:$V$1001,MATCH(ROWS($U$2:U562),$U$2:$U$1001,0),1)&gt;=100000,INDEX($AB$1005:$AQ$1005,1,MATCH(COLUMNS($AB$1006:AG1006),$AB$1006:$AQ$1006,0))&gt;=100000), " ",IF(INDEX($AB$2:$AQ$1001,MATCH(ROWS($U$2:U562),$U$2:$U$1001,0),MATCH(COLUMNS($AB$1006:AG1006),$AB$1006:$AQ$1006,0)), HYPERLINK("#",""), HYPERLINK(CONCATENATE("#Metadata!", ADDRESS(INDEX($W$2:$W$1001,MATCH(ROWS($U$2:U562),$U$2:$U$1001,0),0), INDEX($AB$1004:$AQ$1004,1,MATCH(COLUMNS($AB$1006:AG1006),$AB$1006:$AQ$1006,0)))),"Fix")))</f>
        <v>0</v>
      </c>
      <c r="H562" s="5">
        <f>IF(OR(INDEX($V$2:$V$1001,MATCH(ROWS($U$2:U562),$U$2:$U$1001,0),1)&gt;=100000,INDEX($AB$1005:$AQ$1005,1,MATCH(COLUMNS($AB$1006:AH1006),$AB$1006:$AQ$1006,0))&gt;=100000), " ",IF(INDEX($AB$2:$AQ$1001,MATCH(ROWS($U$2:U562),$U$2:$U$1001,0),MATCH(COLUMNS($AB$1006:AH1006),$AB$1006:$AQ$1006,0)), HYPERLINK("#",""), HYPERLINK(CONCATENATE("#Metadata!", ADDRESS(INDEX($W$2:$W$1001,MATCH(ROWS($U$2:U562),$U$2:$U$1001,0),0), INDEX($AB$1004:$AQ$1004,1,MATCH(COLUMNS($AB$1006:AH1006),$AB$1006:$AQ$1006,0)))),"Fix")))</f>
        <v>0</v>
      </c>
      <c r="I562" s="5">
        <f>IF(OR(INDEX($V$2:$V$1001,MATCH(ROWS($U$2:U562),$U$2:$U$1001,0),1)&gt;=100000,INDEX($AB$1005:$AQ$1005,1,MATCH(COLUMNS($AB$1006:AI1006),$AB$1006:$AQ$1006,0))&gt;=100000), " ",IF(INDEX($AB$2:$AQ$1001,MATCH(ROWS($U$2:U562),$U$2:$U$1001,0),MATCH(COLUMNS($AB$1006:AI1006),$AB$1006:$AQ$1006,0)), HYPERLINK("#",""), HYPERLINK(CONCATENATE("#Metadata!", ADDRESS(INDEX($W$2:$W$1001,MATCH(ROWS($U$2:U562),$U$2:$U$1001,0),0), INDEX($AB$1004:$AQ$1004,1,MATCH(COLUMNS($AB$1006:AI1006),$AB$1006:$AQ$1006,0)))),"Fix")))</f>
        <v>0</v>
      </c>
      <c r="J562" s="5">
        <f>IF(OR(INDEX($V$2:$V$1001,MATCH(ROWS($U$2:U562),$U$2:$U$1001,0),1)&gt;=100000,INDEX($AB$1005:$AQ$1005,1,MATCH(COLUMNS($AB$1006:AJ1006),$AB$1006:$AQ$1006,0))&gt;=100000), " ",IF(INDEX($AB$2:$AQ$1001,MATCH(ROWS($U$2:U562),$U$2:$U$1001,0),MATCH(COLUMNS($AB$1006:AJ1006),$AB$1006:$AQ$1006,0)), HYPERLINK("#",""), HYPERLINK(CONCATENATE("#Metadata!", ADDRESS(INDEX($W$2:$W$1001,MATCH(ROWS($U$2:U562),$U$2:$U$1001,0),0), INDEX($AB$1004:$AQ$1004,1,MATCH(COLUMNS($AB$1006:AJ1006),$AB$1006:$AQ$1006,0)))),"Fix")))</f>
        <v>0</v>
      </c>
      <c r="K562" s="5">
        <f>IF(OR(INDEX($V$2:$V$1001,MATCH(ROWS($U$2:U562),$U$2:$U$1001,0),1)&gt;=100000,INDEX($AB$1005:$AQ$1005,1,MATCH(COLUMNS($AB$1006:AK1006),$AB$1006:$AQ$1006,0))&gt;=100000), " ",IF(INDEX($AB$2:$AQ$1001,MATCH(ROWS($U$2:U562),$U$2:$U$1001,0),MATCH(COLUMNS($AB$1006:AK1006),$AB$1006:$AQ$1006,0)), HYPERLINK("#",""), HYPERLINK(CONCATENATE("#Metadata!", ADDRESS(INDEX($W$2:$W$1001,MATCH(ROWS($U$2:U562),$U$2:$U$1001,0),0), INDEX($AB$1004:$AQ$1004,1,MATCH(COLUMNS($AB$1006:AK1006),$AB$1006:$AQ$1006,0)))),"Fix")))</f>
        <v>0</v>
      </c>
      <c r="L562" s="5">
        <f>IF(OR(INDEX($V$2:$V$1001,MATCH(ROWS($U$2:U562),$U$2:$U$1001,0),1)&gt;=100000,INDEX($AB$1005:$AQ$1005,1,MATCH(COLUMNS($AB$1006:AL1006),$AB$1006:$AQ$1006,0))&gt;=100000), " ",IF(INDEX($AB$2:$AQ$1001,MATCH(ROWS($U$2:U562),$U$2:$U$1001,0),MATCH(COLUMNS($AB$1006:AL1006),$AB$1006:$AQ$1006,0)), HYPERLINK("#",""), HYPERLINK(CONCATENATE("#Metadata!", ADDRESS(INDEX($W$2:$W$1001,MATCH(ROWS($U$2:U562),$U$2:$U$1001,0),0), INDEX($AB$1004:$AQ$1004,1,MATCH(COLUMNS($AB$1006:AL1006),$AB$1006:$AQ$1006,0)))),"Fix")))</f>
        <v>0</v>
      </c>
      <c r="M562" s="5">
        <f>IF(OR(INDEX($V$2:$V$1001,MATCH(ROWS($U$2:U562),$U$2:$U$1001,0),1)&gt;=100000,INDEX($AB$1005:$AQ$1005,1,MATCH(COLUMNS($AB$1006:AM1006),$AB$1006:$AQ$1006,0))&gt;=100000), " ",IF(INDEX($AB$2:$AQ$1001,MATCH(ROWS($U$2:U562),$U$2:$U$1001,0),MATCH(COLUMNS($AB$1006:AM1006),$AB$1006:$AQ$1006,0)), HYPERLINK("#",""), HYPERLINK(CONCATENATE("#Metadata!", ADDRESS(INDEX($W$2:$W$1001,MATCH(ROWS($U$2:U562),$U$2:$U$1001,0),0), INDEX($AB$1004:$AQ$1004,1,MATCH(COLUMNS($AB$1006:AM1006),$AB$1006:$AQ$1006,0)))),"Fix")))</f>
        <v>0</v>
      </c>
      <c r="N562" s="5">
        <f>IF(OR(INDEX($V$2:$V$1001,MATCH(ROWS($U$2:U562),$U$2:$U$1001,0),1)&gt;=100000,INDEX($AB$1005:$AQ$1005,1,MATCH(COLUMNS($AB$1006:AN1006),$AB$1006:$AQ$1006,0))&gt;=100000), " ",IF(INDEX($AB$2:$AQ$1001,MATCH(ROWS($U$2:U562),$U$2:$U$1001,0),MATCH(COLUMNS($AB$1006:AN1006),$AB$1006:$AQ$1006,0)), HYPERLINK("#",""), HYPERLINK(CONCATENATE("#Metadata!", ADDRESS(INDEX($W$2:$W$1001,MATCH(ROWS($U$2:U562),$U$2:$U$1001,0),0), INDEX($AB$1004:$AQ$1004,1,MATCH(COLUMNS($AB$1006:AN1006),$AB$1006:$AQ$1006,0)))),"Fix")))</f>
        <v>0</v>
      </c>
      <c r="O562" s="5">
        <f>IF(OR(INDEX($V$2:$V$1001,MATCH(ROWS($U$2:U562),$U$2:$U$1001,0),1)&gt;=100000,INDEX($AB$1005:$AQ$1005,1,MATCH(COLUMNS($AB$1006:AO1006),$AB$1006:$AQ$1006,0))&gt;=100000), " ",IF(INDEX($AB$2:$AQ$1001,MATCH(ROWS($U$2:U562),$U$2:$U$1001,0),MATCH(COLUMNS($AB$1006:AO1006),$AB$1006:$AQ$1006,0)), HYPERLINK("#",""), HYPERLINK(CONCATENATE("#Metadata!", ADDRESS(INDEX($W$2:$W$1001,MATCH(ROWS($U$2:U562),$U$2:$U$1001,0),0), INDEX($AB$1004:$AQ$1004,1,MATCH(COLUMNS($AB$1006:AO1006),$AB$1006:$AQ$1006,0)))),"Fix")))</f>
        <v>0</v>
      </c>
      <c r="P562" s="5">
        <f>IF(OR(INDEX($V$2:$V$1001,MATCH(ROWS($U$2:U562),$U$2:$U$1001,0),1)&gt;=100000,INDEX($AB$1005:$AQ$1005,1,MATCH(COLUMNS($AB$1006:AP1006),$AB$1006:$AQ$1006,0))&gt;=100000), " ",IF(INDEX($AB$2:$AQ$1001,MATCH(ROWS($U$2:U562),$U$2:$U$1001,0),MATCH(COLUMNS($AB$1006:AP1006),$AB$1006:$AQ$1006,0)), HYPERLINK("#",""), HYPERLINK(CONCATENATE("#Metadata!", ADDRESS(INDEX($W$2:$W$1001,MATCH(ROWS($U$2:U562),$U$2:$U$1001,0),0), INDEX($AB$1004:$AQ$1004,1,MATCH(COLUMNS($AB$1006:AP1006),$AB$1006:$AQ$1006,0)))),"Fix")))</f>
        <v>0</v>
      </c>
      <c r="Q562" s="5">
        <f>IF(OR(INDEX($V$2:$V$1001,MATCH(ROWS($U$2:U562),$U$2:$U$1001,0),1)&gt;=100000,INDEX($AB$1005:$AQ$1005,1,MATCH(COLUMNS($AB$1006:AQ1006),$AB$1006:$AQ$1006,0))&gt;=100000), " ",IF(INDEX($AB$2:$AQ$1001,MATCH(ROWS($U$2:U562),$U$2:$U$1001,0),MATCH(COLUMNS($AB$1006:AQ1006),$AB$1006:$AQ$1006,0)), HYPERLINK("#",""), HYPERLINK(CONCATENATE("#Metadata!", ADDRESS(INDEX($W$2:$W$1001,MATCH(ROWS($U$2:U562),$U$2:$U$1001,0),0), INDEX($AB$1004:$AQ$1004,1,MATCH(COLUMNS($AB$1006:AQ1006),$AB$1006:$AQ$1006,0)))),"Fix")))</f>
        <v>0</v>
      </c>
      <c r="U562">
        <v>0</v>
      </c>
      <c r="V562">
        <v>0</v>
      </c>
      <c r="W562">
        <v>0</v>
      </c>
      <c r="X562">
        <f>IF(Y562,TRUE,AND(AB562:AQ562))</f>
        <v>0</v>
      </c>
      <c r="Y562">
        <f>COUNTBLANK(Metadata!B562:Q562)=COLUMNS(Metadata!B562:Q562)</f>
        <v>0</v>
      </c>
      <c r="Z562">
        <v>0</v>
      </c>
      <c r="AB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AC562">
        <f>AND(IF(Metadata!C562="",FALSE,TRUE),exact(Metadata!C562,"urban biome"))</f>
        <v>0</v>
      </c>
      <c r="AD562">
        <f>AND(IF(Metadata!D562="",FALSE,TRUE),exact(Metadata!D562,"human-associated habitat"))</f>
        <v>0</v>
      </c>
      <c r="AE562">
        <f>AND(IF(Metadata!E562="",FALSE,TRUE),OR(exact(Metadata!E562,"human-associated"),exact(Metadata!E562,"human-skin"),exact(Metadata!E562,"human-oral"),exact(Metadata!E562,"human-gut"),exact(Metadata!E562,"human-vaginal")))</f>
        <v>0</v>
      </c>
      <c r="AF562">
        <f>AND(IF(Metadata!F562="",FALSE,ISNUMBER(VALUE(Metadata!F562))),Metadata!F562&gt;0)</f>
        <v>0</v>
      </c>
      <c r="AG562">
        <f>AND(IF(Metadata!G562="",FALSE,TRUE),exact(Metadata!G562,"years"))</f>
        <v>0</v>
      </c>
      <c r="AH562">
        <f>OR(AND(IF(Metadata!H562="",FALSE,TRUE),OR(exact(Metadata!H562,"not applicable"),exact(Metadata!H562,"not collected"),exact(Metadata!H562,"not provided"),exact(Metadata!H562,"restricted access"))),AND(IF(Metadata!H562="",FALSE,ISNUMBER(VALUE(Metadata!H562))),Metadata!H562&gt;0))</f>
        <v>0</v>
      </c>
      <c r="AI562">
        <f>AND(IF(Metadata!I562="",FALSE,TRUE),exact(Metadata!I562,"human"))</f>
        <v>0</v>
      </c>
      <c r="AJ562">
        <f>AND(IF(Metadata!J562="",FALSE,ISNUMBER(VALUE(Metadata!J562))),Metadata!J562&gt;0)</f>
        <v>0</v>
      </c>
      <c r="AK562">
        <f>AND(IF(Metadata!K562="",FALSE,TRUE),exact(Metadata!K562,"cm"))</f>
        <v>0</v>
      </c>
      <c r="AL562">
        <f>AND(IF(Metadata!L562="",FALSE,TRUE),exact(Metadata!L562,"Homo sapiens"))</f>
        <v>0</v>
      </c>
      <c r="AM562">
        <f>AND(IF(Metadata!M562="",FALSE,TRUE),exact(Metadata!M562,"9606"))</f>
        <v>0</v>
      </c>
      <c r="AN562">
        <f>AND(IF(Metadata!N562="",FALSE,ISNUMBER(VALUE(Metadata!N562))),Metadata!N562&gt;0)</f>
        <v>0</v>
      </c>
      <c r="AO562">
        <f>AND(IF(Metadata!O562="",FALSE,TRUE),exact(Metadata!O562,"kg"))</f>
        <v>0</v>
      </c>
      <c r="AP562">
        <f>OR(AND(IF(Metadata!P562="",FALSE,TRUE),exact(Metadata!P562,"not provided")),IF(Metadata!P562="",FALSE,TRUE))</f>
        <v>0</v>
      </c>
      <c r="AQ562">
        <f>OR(AND(IF(Metadata!Q562="",FALSE,TRUE),exact(Metadata!Q562,"not provided")),IF(Metadata!Q562="",FALSE,TRUE))</f>
        <v>0</v>
      </c>
    </row>
    <row r="563" spans="1:43">
      <c r="A563" s="4">
        <f>IF(B563=" "," ",HYPERLINK(CONCATENATE("#metadata!",ADDRESS(INDEX($W$2:$W$1001,MATCH(ROWS($U$2:U563),$U$2:$U$1001,0),0),2)),INDEX($Z$2:$Z$1001,MATCH(ROWS($U$2:U563),$U$2:$U$1001,0),0)))</f>
        <v>0</v>
      </c>
      <c r="B563" s="5">
        <f>IF(OR(INDEX($V$2:$V$1001,MATCH(ROWS($U$2:U563),$U$2:$U$1001,0),1)&gt;=100000,INDEX($AB$1005:$AQ$1005,1,MATCH(COLUMNS($AB$1006:AB1006),$AB$1006:$AQ$1006,0))&gt;=100000), " ",IF(INDEX($AB$2:$AQ$1001,MATCH(ROWS($U$2:U563),$U$2:$U$1001,0),MATCH(COLUMNS($AB$1006:AB1006),$AB$1006:$AQ$1006,0)), HYPERLINK("#",""), HYPERLINK(CONCATENATE("#Metadata!", ADDRESS(INDEX($W$2:$W$1001,MATCH(ROWS($U$2:U563),$U$2:$U$1001,0),0), INDEX($AB$1004:$AQ$1004,1,MATCH(COLUMNS($AB$1006:AB1006),$AB$1006:$AQ$1006,0)))),"Fix")))</f>
        <v>0</v>
      </c>
      <c r="C563" s="5">
        <f>IF(OR(INDEX($V$2:$V$1001,MATCH(ROWS($U$2:U563),$U$2:$U$1001,0),1)&gt;=100000,INDEX($AB$1005:$AQ$1005,1,MATCH(COLUMNS($AB$1006:AC1006),$AB$1006:$AQ$1006,0))&gt;=100000), " ",IF(INDEX($AB$2:$AQ$1001,MATCH(ROWS($U$2:U563),$U$2:$U$1001,0),MATCH(COLUMNS($AB$1006:AC1006),$AB$1006:$AQ$1006,0)), HYPERLINK("#",""), HYPERLINK(CONCATENATE("#Metadata!", ADDRESS(INDEX($W$2:$W$1001,MATCH(ROWS($U$2:U563),$U$2:$U$1001,0),0), INDEX($AB$1004:$AQ$1004,1,MATCH(COLUMNS($AB$1006:AC1006),$AB$1006:$AQ$1006,0)))),"Fix")))</f>
        <v>0</v>
      </c>
      <c r="D563" s="5">
        <f>IF(OR(INDEX($V$2:$V$1001,MATCH(ROWS($U$2:U563),$U$2:$U$1001,0),1)&gt;=100000,INDEX($AB$1005:$AQ$1005,1,MATCH(COLUMNS($AB$1006:AD1006),$AB$1006:$AQ$1006,0))&gt;=100000), " ",IF(INDEX($AB$2:$AQ$1001,MATCH(ROWS($U$2:U563),$U$2:$U$1001,0),MATCH(COLUMNS($AB$1006:AD1006),$AB$1006:$AQ$1006,0)), HYPERLINK("#",""), HYPERLINK(CONCATENATE("#Metadata!", ADDRESS(INDEX($W$2:$W$1001,MATCH(ROWS($U$2:U563),$U$2:$U$1001,0),0), INDEX($AB$1004:$AQ$1004,1,MATCH(COLUMNS($AB$1006:AD1006),$AB$1006:$AQ$1006,0)))),"Fix")))</f>
        <v>0</v>
      </c>
      <c r="E563" s="5">
        <f>IF(OR(INDEX($V$2:$V$1001,MATCH(ROWS($U$2:U563),$U$2:$U$1001,0),1)&gt;=100000,INDEX($AB$1005:$AQ$1005,1,MATCH(COLUMNS($AB$1006:AE1006),$AB$1006:$AQ$1006,0))&gt;=100000), " ",IF(INDEX($AB$2:$AQ$1001,MATCH(ROWS($U$2:U563),$U$2:$U$1001,0),MATCH(COLUMNS($AB$1006:AE1006),$AB$1006:$AQ$1006,0)), HYPERLINK("#",""), HYPERLINK(CONCATENATE("#Metadata!", ADDRESS(INDEX($W$2:$W$1001,MATCH(ROWS($U$2:U563),$U$2:$U$1001,0),0), INDEX($AB$1004:$AQ$1004,1,MATCH(COLUMNS($AB$1006:AE1006),$AB$1006:$AQ$1006,0)))),"Fix")))</f>
        <v>0</v>
      </c>
      <c r="F563" s="5">
        <f>IF(OR(INDEX($V$2:$V$1001,MATCH(ROWS($U$2:U563),$U$2:$U$1001,0),1)&gt;=100000,INDEX($AB$1005:$AQ$1005,1,MATCH(COLUMNS($AB$1006:AF1006),$AB$1006:$AQ$1006,0))&gt;=100000), " ",IF(INDEX($AB$2:$AQ$1001,MATCH(ROWS($U$2:U563),$U$2:$U$1001,0),MATCH(COLUMNS($AB$1006:AF1006),$AB$1006:$AQ$1006,0)), HYPERLINK("#",""), HYPERLINK(CONCATENATE("#Metadata!", ADDRESS(INDEX($W$2:$W$1001,MATCH(ROWS($U$2:U563),$U$2:$U$1001,0),0), INDEX($AB$1004:$AQ$1004,1,MATCH(COLUMNS($AB$1006:AF1006),$AB$1006:$AQ$1006,0)))),"Fix")))</f>
        <v>0</v>
      </c>
      <c r="G563" s="5">
        <f>IF(OR(INDEX($V$2:$V$1001,MATCH(ROWS($U$2:U563),$U$2:$U$1001,0),1)&gt;=100000,INDEX($AB$1005:$AQ$1005,1,MATCH(COLUMNS($AB$1006:AG1006),$AB$1006:$AQ$1006,0))&gt;=100000), " ",IF(INDEX($AB$2:$AQ$1001,MATCH(ROWS($U$2:U563),$U$2:$U$1001,0),MATCH(COLUMNS($AB$1006:AG1006),$AB$1006:$AQ$1006,0)), HYPERLINK("#",""), HYPERLINK(CONCATENATE("#Metadata!", ADDRESS(INDEX($W$2:$W$1001,MATCH(ROWS($U$2:U563),$U$2:$U$1001,0),0), INDEX($AB$1004:$AQ$1004,1,MATCH(COLUMNS($AB$1006:AG1006),$AB$1006:$AQ$1006,0)))),"Fix")))</f>
        <v>0</v>
      </c>
      <c r="H563" s="5">
        <f>IF(OR(INDEX($V$2:$V$1001,MATCH(ROWS($U$2:U563),$U$2:$U$1001,0),1)&gt;=100000,INDEX($AB$1005:$AQ$1005,1,MATCH(COLUMNS($AB$1006:AH1006),$AB$1006:$AQ$1006,0))&gt;=100000), " ",IF(INDEX($AB$2:$AQ$1001,MATCH(ROWS($U$2:U563),$U$2:$U$1001,0),MATCH(COLUMNS($AB$1006:AH1006),$AB$1006:$AQ$1006,0)), HYPERLINK("#",""), HYPERLINK(CONCATENATE("#Metadata!", ADDRESS(INDEX($W$2:$W$1001,MATCH(ROWS($U$2:U563),$U$2:$U$1001,0),0), INDEX($AB$1004:$AQ$1004,1,MATCH(COLUMNS($AB$1006:AH1006),$AB$1006:$AQ$1006,0)))),"Fix")))</f>
        <v>0</v>
      </c>
      <c r="I563" s="5">
        <f>IF(OR(INDEX($V$2:$V$1001,MATCH(ROWS($U$2:U563),$U$2:$U$1001,0),1)&gt;=100000,INDEX($AB$1005:$AQ$1005,1,MATCH(COLUMNS($AB$1006:AI1006),$AB$1006:$AQ$1006,0))&gt;=100000), " ",IF(INDEX($AB$2:$AQ$1001,MATCH(ROWS($U$2:U563),$U$2:$U$1001,0),MATCH(COLUMNS($AB$1006:AI1006),$AB$1006:$AQ$1006,0)), HYPERLINK("#",""), HYPERLINK(CONCATENATE("#Metadata!", ADDRESS(INDEX($W$2:$W$1001,MATCH(ROWS($U$2:U563),$U$2:$U$1001,0),0), INDEX($AB$1004:$AQ$1004,1,MATCH(COLUMNS($AB$1006:AI1006),$AB$1006:$AQ$1006,0)))),"Fix")))</f>
        <v>0</v>
      </c>
      <c r="J563" s="5">
        <f>IF(OR(INDEX($V$2:$V$1001,MATCH(ROWS($U$2:U563),$U$2:$U$1001,0),1)&gt;=100000,INDEX($AB$1005:$AQ$1005,1,MATCH(COLUMNS($AB$1006:AJ1006),$AB$1006:$AQ$1006,0))&gt;=100000), " ",IF(INDEX($AB$2:$AQ$1001,MATCH(ROWS($U$2:U563),$U$2:$U$1001,0),MATCH(COLUMNS($AB$1006:AJ1006),$AB$1006:$AQ$1006,0)), HYPERLINK("#",""), HYPERLINK(CONCATENATE("#Metadata!", ADDRESS(INDEX($W$2:$W$1001,MATCH(ROWS($U$2:U563),$U$2:$U$1001,0),0), INDEX($AB$1004:$AQ$1004,1,MATCH(COLUMNS($AB$1006:AJ1006),$AB$1006:$AQ$1006,0)))),"Fix")))</f>
        <v>0</v>
      </c>
      <c r="K563" s="5">
        <f>IF(OR(INDEX($V$2:$V$1001,MATCH(ROWS($U$2:U563),$U$2:$U$1001,0),1)&gt;=100000,INDEX($AB$1005:$AQ$1005,1,MATCH(COLUMNS($AB$1006:AK1006),$AB$1006:$AQ$1006,0))&gt;=100000), " ",IF(INDEX($AB$2:$AQ$1001,MATCH(ROWS($U$2:U563),$U$2:$U$1001,0),MATCH(COLUMNS($AB$1006:AK1006),$AB$1006:$AQ$1006,0)), HYPERLINK("#",""), HYPERLINK(CONCATENATE("#Metadata!", ADDRESS(INDEX($W$2:$W$1001,MATCH(ROWS($U$2:U563),$U$2:$U$1001,0),0), INDEX($AB$1004:$AQ$1004,1,MATCH(COLUMNS($AB$1006:AK1006),$AB$1006:$AQ$1006,0)))),"Fix")))</f>
        <v>0</v>
      </c>
      <c r="L563" s="5">
        <f>IF(OR(INDEX($V$2:$V$1001,MATCH(ROWS($U$2:U563),$U$2:$U$1001,0),1)&gt;=100000,INDEX($AB$1005:$AQ$1005,1,MATCH(COLUMNS($AB$1006:AL1006),$AB$1006:$AQ$1006,0))&gt;=100000), " ",IF(INDEX($AB$2:$AQ$1001,MATCH(ROWS($U$2:U563),$U$2:$U$1001,0),MATCH(COLUMNS($AB$1006:AL1006),$AB$1006:$AQ$1006,0)), HYPERLINK("#",""), HYPERLINK(CONCATENATE("#Metadata!", ADDRESS(INDEX($W$2:$W$1001,MATCH(ROWS($U$2:U563),$U$2:$U$1001,0),0), INDEX($AB$1004:$AQ$1004,1,MATCH(COLUMNS($AB$1006:AL1006),$AB$1006:$AQ$1006,0)))),"Fix")))</f>
        <v>0</v>
      </c>
      <c r="M563" s="5">
        <f>IF(OR(INDEX($V$2:$V$1001,MATCH(ROWS($U$2:U563),$U$2:$U$1001,0),1)&gt;=100000,INDEX($AB$1005:$AQ$1005,1,MATCH(COLUMNS($AB$1006:AM1006),$AB$1006:$AQ$1006,0))&gt;=100000), " ",IF(INDEX($AB$2:$AQ$1001,MATCH(ROWS($U$2:U563),$U$2:$U$1001,0),MATCH(COLUMNS($AB$1006:AM1006),$AB$1006:$AQ$1006,0)), HYPERLINK("#",""), HYPERLINK(CONCATENATE("#Metadata!", ADDRESS(INDEX($W$2:$W$1001,MATCH(ROWS($U$2:U563),$U$2:$U$1001,0),0), INDEX($AB$1004:$AQ$1004,1,MATCH(COLUMNS($AB$1006:AM1006),$AB$1006:$AQ$1006,0)))),"Fix")))</f>
        <v>0</v>
      </c>
      <c r="N563" s="5">
        <f>IF(OR(INDEX($V$2:$V$1001,MATCH(ROWS($U$2:U563),$U$2:$U$1001,0),1)&gt;=100000,INDEX($AB$1005:$AQ$1005,1,MATCH(COLUMNS($AB$1006:AN1006),$AB$1006:$AQ$1006,0))&gt;=100000), " ",IF(INDEX($AB$2:$AQ$1001,MATCH(ROWS($U$2:U563),$U$2:$U$1001,0),MATCH(COLUMNS($AB$1006:AN1006),$AB$1006:$AQ$1006,0)), HYPERLINK("#",""), HYPERLINK(CONCATENATE("#Metadata!", ADDRESS(INDEX($W$2:$W$1001,MATCH(ROWS($U$2:U563),$U$2:$U$1001,0),0), INDEX($AB$1004:$AQ$1004,1,MATCH(COLUMNS($AB$1006:AN1006),$AB$1006:$AQ$1006,0)))),"Fix")))</f>
        <v>0</v>
      </c>
      <c r="O563" s="5">
        <f>IF(OR(INDEX($V$2:$V$1001,MATCH(ROWS($U$2:U563),$U$2:$U$1001,0),1)&gt;=100000,INDEX($AB$1005:$AQ$1005,1,MATCH(COLUMNS($AB$1006:AO1006),$AB$1006:$AQ$1006,0))&gt;=100000), " ",IF(INDEX($AB$2:$AQ$1001,MATCH(ROWS($U$2:U563),$U$2:$U$1001,0),MATCH(COLUMNS($AB$1006:AO1006),$AB$1006:$AQ$1006,0)), HYPERLINK("#",""), HYPERLINK(CONCATENATE("#Metadata!", ADDRESS(INDEX($W$2:$W$1001,MATCH(ROWS($U$2:U563),$U$2:$U$1001,0),0), INDEX($AB$1004:$AQ$1004,1,MATCH(COLUMNS($AB$1006:AO1006),$AB$1006:$AQ$1006,0)))),"Fix")))</f>
        <v>0</v>
      </c>
      <c r="P563" s="5">
        <f>IF(OR(INDEX($V$2:$V$1001,MATCH(ROWS($U$2:U563),$U$2:$U$1001,0),1)&gt;=100000,INDEX($AB$1005:$AQ$1005,1,MATCH(COLUMNS($AB$1006:AP1006),$AB$1006:$AQ$1006,0))&gt;=100000), " ",IF(INDEX($AB$2:$AQ$1001,MATCH(ROWS($U$2:U563),$U$2:$U$1001,0),MATCH(COLUMNS($AB$1006:AP1006),$AB$1006:$AQ$1006,0)), HYPERLINK("#",""), HYPERLINK(CONCATENATE("#Metadata!", ADDRESS(INDEX($W$2:$W$1001,MATCH(ROWS($U$2:U563),$U$2:$U$1001,0),0), INDEX($AB$1004:$AQ$1004,1,MATCH(COLUMNS($AB$1006:AP1006),$AB$1006:$AQ$1006,0)))),"Fix")))</f>
        <v>0</v>
      </c>
      <c r="Q563" s="5">
        <f>IF(OR(INDEX($V$2:$V$1001,MATCH(ROWS($U$2:U563),$U$2:$U$1001,0),1)&gt;=100000,INDEX($AB$1005:$AQ$1005,1,MATCH(COLUMNS($AB$1006:AQ1006),$AB$1006:$AQ$1006,0))&gt;=100000), " ",IF(INDEX($AB$2:$AQ$1001,MATCH(ROWS($U$2:U563),$U$2:$U$1001,0),MATCH(COLUMNS($AB$1006:AQ1006),$AB$1006:$AQ$1006,0)), HYPERLINK("#",""), HYPERLINK(CONCATENATE("#Metadata!", ADDRESS(INDEX($W$2:$W$1001,MATCH(ROWS($U$2:U563),$U$2:$U$1001,0),0), INDEX($AB$1004:$AQ$1004,1,MATCH(COLUMNS($AB$1006:AQ1006),$AB$1006:$AQ$1006,0)))),"Fix")))</f>
        <v>0</v>
      </c>
      <c r="U563">
        <v>0</v>
      </c>
      <c r="V563">
        <v>0</v>
      </c>
      <c r="W563">
        <v>0</v>
      </c>
      <c r="X563">
        <f>IF(Y563,TRUE,AND(AB563:AQ563))</f>
        <v>0</v>
      </c>
      <c r="Y563">
        <f>COUNTBLANK(Metadata!B563:Q563)=COLUMNS(Metadata!B563:Q563)</f>
        <v>0</v>
      </c>
      <c r="Z563">
        <v>0</v>
      </c>
      <c r="AB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AC563">
        <f>AND(IF(Metadata!C563="",FALSE,TRUE),exact(Metadata!C563,"urban biome"))</f>
        <v>0</v>
      </c>
      <c r="AD563">
        <f>AND(IF(Metadata!D563="",FALSE,TRUE),exact(Metadata!D563,"human-associated habitat"))</f>
        <v>0</v>
      </c>
      <c r="AE563">
        <f>AND(IF(Metadata!E563="",FALSE,TRUE),OR(exact(Metadata!E563,"human-associated"),exact(Metadata!E563,"human-skin"),exact(Metadata!E563,"human-oral"),exact(Metadata!E563,"human-gut"),exact(Metadata!E563,"human-vaginal")))</f>
        <v>0</v>
      </c>
      <c r="AF563">
        <f>AND(IF(Metadata!F563="",FALSE,ISNUMBER(VALUE(Metadata!F563))),Metadata!F563&gt;0)</f>
        <v>0</v>
      </c>
      <c r="AG563">
        <f>AND(IF(Metadata!G563="",FALSE,TRUE),exact(Metadata!G563,"years"))</f>
        <v>0</v>
      </c>
      <c r="AH563">
        <f>OR(AND(IF(Metadata!H563="",FALSE,TRUE),OR(exact(Metadata!H563,"not applicable"),exact(Metadata!H563,"not collected"),exact(Metadata!H563,"not provided"),exact(Metadata!H563,"restricted access"))),AND(IF(Metadata!H563="",FALSE,ISNUMBER(VALUE(Metadata!H563))),Metadata!H563&gt;0))</f>
        <v>0</v>
      </c>
      <c r="AI563">
        <f>AND(IF(Metadata!I563="",FALSE,TRUE),exact(Metadata!I563,"human"))</f>
        <v>0</v>
      </c>
      <c r="AJ563">
        <f>AND(IF(Metadata!J563="",FALSE,ISNUMBER(VALUE(Metadata!J563))),Metadata!J563&gt;0)</f>
        <v>0</v>
      </c>
      <c r="AK563">
        <f>AND(IF(Metadata!K563="",FALSE,TRUE),exact(Metadata!K563,"cm"))</f>
        <v>0</v>
      </c>
      <c r="AL563">
        <f>AND(IF(Metadata!L563="",FALSE,TRUE),exact(Metadata!L563,"Homo sapiens"))</f>
        <v>0</v>
      </c>
      <c r="AM563">
        <f>AND(IF(Metadata!M563="",FALSE,TRUE),exact(Metadata!M563,"9606"))</f>
        <v>0</v>
      </c>
      <c r="AN563">
        <f>AND(IF(Metadata!N563="",FALSE,ISNUMBER(VALUE(Metadata!N563))),Metadata!N563&gt;0)</f>
        <v>0</v>
      </c>
      <c r="AO563">
        <f>AND(IF(Metadata!O563="",FALSE,TRUE),exact(Metadata!O563,"kg"))</f>
        <v>0</v>
      </c>
      <c r="AP563">
        <f>OR(AND(IF(Metadata!P563="",FALSE,TRUE),exact(Metadata!P563,"not provided")),IF(Metadata!P563="",FALSE,TRUE))</f>
        <v>0</v>
      </c>
      <c r="AQ563">
        <f>OR(AND(IF(Metadata!Q563="",FALSE,TRUE),exact(Metadata!Q563,"not provided")),IF(Metadata!Q563="",FALSE,TRUE))</f>
        <v>0</v>
      </c>
    </row>
    <row r="564" spans="1:43">
      <c r="A564" s="4">
        <f>IF(B564=" "," ",HYPERLINK(CONCATENATE("#metadata!",ADDRESS(INDEX($W$2:$W$1001,MATCH(ROWS($U$2:U564),$U$2:$U$1001,0),0),2)),INDEX($Z$2:$Z$1001,MATCH(ROWS($U$2:U564),$U$2:$U$1001,0),0)))</f>
        <v>0</v>
      </c>
      <c r="B564" s="5">
        <f>IF(OR(INDEX($V$2:$V$1001,MATCH(ROWS($U$2:U564),$U$2:$U$1001,0),1)&gt;=100000,INDEX($AB$1005:$AQ$1005,1,MATCH(COLUMNS($AB$1006:AB1006),$AB$1006:$AQ$1006,0))&gt;=100000), " ",IF(INDEX($AB$2:$AQ$1001,MATCH(ROWS($U$2:U564),$U$2:$U$1001,0),MATCH(COLUMNS($AB$1006:AB1006),$AB$1006:$AQ$1006,0)), HYPERLINK("#",""), HYPERLINK(CONCATENATE("#Metadata!", ADDRESS(INDEX($W$2:$W$1001,MATCH(ROWS($U$2:U564),$U$2:$U$1001,0),0), INDEX($AB$1004:$AQ$1004,1,MATCH(COLUMNS($AB$1006:AB1006),$AB$1006:$AQ$1006,0)))),"Fix")))</f>
        <v>0</v>
      </c>
      <c r="C564" s="5">
        <f>IF(OR(INDEX($V$2:$V$1001,MATCH(ROWS($U$2:U564),$U$2:$U$1001,0),1)&gt;=100000,INDEX($AB$1005:$AQ$1005,1,MATCH(COLUMNS($AB$1006:AC1006),$AB$1006:$AQ$1006,0))&gt;=100000), " ",IF(INDEX($AB$2:$AQ$1001,MATCH(ROWS($U$2:U564),$U$2:$U$1001,0),MATCH(COLUMNS($AB$1006:AC1006),$AB$1006:$AQ$1006,0)), HYPERLINK("#",""), HYPERLINK(CONCATENATE("#Metadata!", ADDRESS(INDEX($W$2:$W$1001,MATCH(ROWS($U$2:U564),$U$2:$U$1001,0),0), INDEX($AB$1004:$AQ$1004,1,MATCH(COLUMNS($AB$1006:AC1006),$AB$1006:$AQ$1006,0)))),"Fix")))</f>
        <v>0</v>
      </c>
      <c r="D564" s="5">
        <f>IF(OR(INDEX($V$2:$V$1001,MATCH(ROWS($U$2:U564),$U$2:$U$1001,0),1)&gt;=100000,INDEX($AB$1005:$AQ$1005,1,MATCH(COLUMNS($AB$1006:AD1006),$AB$1006:$AQ$1006,0))&gt;=100000), " ",IF(INDEX($AB$2:$AQ$1001,MATCH(ROWS($U$2:U564),$U$2:$U$1001,0),MATCH(COLUMNS($AB$1006:AD1006),$AB$1006:$AQ$1006,0)), HYPERLINK("#",""), HYPERLINK(CONCATENATE("#Metadata!", ADDRESS(INDEX($W$2:$W$1001,MATCH(ROWS($U$2:U564),$U$2:$U$1001,0),0), INDEX($AB$1004:$AQ$1004,1,MATCH(COLUMNS($AB$1006:AD1006),$AB$1006:$AQ$1006,0)))),"Fix")))</f>
        <v>0</v>
      </c>
      <c r="E564" s="5">
        <f>IF(OR(INDEX($V$2:$V$1001,MATCH(ROWS($U$2:U564),$U$2:$U$1001,0),1)&gt;=100000,INDEX($AB$1005:$AQ$1005,1,MATCH(COLUMNS($AB$1006:AE1006),$AB$1006:$AQ$1006,0))&gt;=100000), " ",IF(INDEX($AB$2:$AQ$1001,MATCH(ROWS($U$2:U564),$U$2:$U$1001,0),MATCH(COLUMNS($AB$1006:AE1006),$AB$1006:$AQ$1006,0)), HYPERLINK("#",""), HYPERLINK(CONCATENATE("#Metadata!", ADDRESS(INDEX($W$2:$W$1001,MATCH(ROWS($U$2:U564),$U$2:$U$1001,0),0), INDEX($AB$1004:$AQ$1004,1,MATCH(COLUMNS($AB$1006:AE1006),$AB$1006:$AQ$1006,0)))),"Fix")))</f>
        <v>0</v>
      </c>
      <c r="F564" s="5">
        <f>IF(OR(INDEX($V$2:$V$1001,MATCH(ROWS($U$2:U564),$U$2:$U$1001,0),1)&gt;=100000,INDEX($AB$1005:$AQ$1005,1,MATCH(COLUMNS($AB$1006:AF1006),$AB$1006:$AQ$1006,0))&gt;=100000), " ",IF(INDEX($AB$2:$AQ$1001,MATCH(ROWS($U$2:U564),$U$2:$U$1001,0),MATCH(COLUMNS($AB$1006:AF1006),$AB$1006:$AQ$1006,0)), HYPERLINK("#",""), HYPERLINK(CONCATENATE("#Metadata!", ADDRESS(INDEX($W$2:$W$1001,MATCH(ROWS($U$2:U564),$U$2:$U$1001,0),0), INDEX($AB$1004:$AQ$1004,1,MATCH(COLUMNS($AB$1006:AF1006),$AB$1006:$AQ$1006,0)))),"Fix")))</f>
        <v>0</v>
      </c>
      <c r="G564" s="5">
        <f>IF(OR(INDEX($V$2:$V$1001,MATCH(ROWS($U$2:U564),$U$2:$U$1001,0),1)&gt;=100000,INDEX($AB$1005:$AQ$1005,1,MATCH(COLUMNS($AB$1006:AG1006),$AB$1006:$AQ$1006,0))&gt;=100000), " ",IF(INDEX($AB$2:$AQ$1001,MATCH(ROWS($U$2:U564),$U$2:$U$1001,0),MATCH(COLUMNS($AB$1006:AG1006),$AB$1006:$AQ$1006,0)), HYPERLINK("#",""), HYPERLINK(CONCATENATE("#Metadata!", ADDRESS(INDEX($W$2:$W$1001,MATCH(ROWS($U$2:U564),$U$2:$U$1001,0),0), INDEX($AB$1004:$AQ$1004,1,MATCH(COLUMNS($AB$1006:AG1006),$AB$1006:$AQ$1006,0)))),"Fix")))</f>
        <v>0</v>
      </c>
      <c r="H564" s="5">
        <f>IF(OR(INDEX($V$2:$V$1001,MATCH(ROWS($U$2:U564),$U$2:$U$1001,0),1)&gt;=100000,INDEX($AB$1005:$AQ$1005,1,MATCH(COLUMNS($AB$1006:AH1006),$AB$1006:$AQ$1006,0))&gt;=100000), " ",IF(INDEX($AB$2:$AQ$1001,MATCH(ROWS($U$2:U564),$U$2:$U$1001,0),MATCH(COLUMNS($AB$1006:AH1006),$AB$1006:$AQ$1006,0)), HYPERLINK("#",""), HYPERLINK(CONCATENATE("#Metadata!", ADDRESS(INDEX($W$2:$W$1001,MATCH(ROWS($U$2:U564),$U$2:$U$1001,0),0), INDEX($AB$1004:$AQ$1004,1,MATCH(COLUMNS($AB$1006:AH1006),$AB$1006:$AQ$1006,0)))),"Fix")))</f>
        <v>0</v>
      </c>
      <c r="I564" s="5">
        <f>IF(OR(INDEX($V$2:$V$1001,MATCH(ROWS($U$2:U564),$U$2:$U$1001,0),1)&gt;=100000,INDEX($AB$1005:$AQ$1005,1,MATCH(COLUMNS($AB$1006:AI1006),$AB$1006:$AQ$1006,0))&gt;=100000), " ",IF(INDEX($AB$2:$AQ$1001,MATCH(ROWS($U$2:U564),$U$2:$U$1001,0),MATCH(COLUMNS($AB$1006:AI1006),$AB$1006:$AQ$1006,0)), HYPERLINK("#",""), HYPERLINK(CONCATENATE("#Metadata!", ADDRESS(INDEX($W$2:$W$1001,MATCH(ROWS($U$2:U564),$U$2:$U$1001,0),0), INDEX($AB$1004:$AQ$1004,1,MATCH(COLUMNS($AB$1006:AI1006),$AB$1006:$AQ$1006,0)))),"Fix")))</f>
        <v>0</v>
      </c>
      <c r="J564" s="5">
        <f>IF(OR(INDEX($V$2:$V$1001,MATCH(ROWS($U$2:U564),$U$2:$U$1001,0),1)&gt;=100000,INDEX($AB$1005:$AQ$1005,1,MATCH(COLUMNS($AB$1006:AJ1006),$AB$1006:$AQ$1006,0))&gt;=100000), " ",IF(INDEX($AB$2:$AQ$1001,MATCH(ROWS($U$2:U564),$U$2:$U$1001,0),MATCH(COLUMNS($AB$1006:AJ1006),$AB$1006:$AQ$1006,0)), HYPERLINK("#",""), HYPERLINK(CONCATENATE("#Metadata!", ADDRESS(INDEX($W$2:$W$1001,MATCH(ROWS($U$2:U564),$U$2:$U$1001,0),0), INDEX($AB$1004:$AQ$1004,1,MATCH(COLUMNS($AB$1006:AJ1006),$AB$1006:$AQ$1006,0)))),"Fix")))</f>
        <v>0</v>
      </c>
      <c r="K564" s="5">
        <f>IF(OR(INDEX($V$2:$V$1001,MATCH(ROWS($U$2:U564),$U$2:$U$1001,0),1)&gt;=100000,INDEX($AB$1005:$AQ$1005,1,MATCH(COLUMNS($AB$1006:AK1006),$AB$1006:$AQ$1006,0))&gt;=100000), " ",IF(INDEX($AB$2:$AQ$1001,MATCH(ROWS($U$2:U564),$U$2:$U$1001,0),MATCH(COLUMNS($AB$1006:AK1006),$AB$1006:$AQ$1006,0)), HYPERLINK("#",""), HYPERLINK(CONCATENATE("#Metadata!", ADDRESS(INDEX($W$2:$W$1001,MATCH(ROWS($U$2:U564),$U$2:$U$1001,0),0), INDEX($AB$1004:$AQ$1004,1,MATCH(COLUMNS($AB$1006:AK1006),$AB$1006:$AQ$1006,0)))),"Fix")))</f>
        <v>0</v>
      </c>
      <c r="L564" s="5">
        <f>IF(OR(INDEX($V$2:$V$1001,MATCH(ROWS($U$2:U564),$U$2:$U$1001,0),1)&gt;=100000,INDEX($AB$1005:$AQ$1005,1,MATCH(COLUMNS($AB$1006:AL1006),$AB$1006:$AQ$1006,0))&gt;=100000), " ",IF(INDEX($AB$2:$AQ$1001,MATCH(ROWS($U$2:U564),$U$2:$U$1001,0),MATCH(COLUMNS($AB$1006:AL1006),$AB$1006:$AQ$1006,0)), HYPERLINK("#",""), HYPERLINK(CONCATENATE("#Metadata!", ADDRESS(INDEX($W$2:$W$1001,MATCH(ROWS($U$2:U564),$U$2:$U$1001,0),0), INDEX($AB$1004:$AQ$1004,1,MATCH(COLUMNS($AB$1006:AL1006),$AB$1006:$AQ$1006,0)))),"Fix")))</f>
        <v>0</v>
      </c>
      <c r="M564" s="5">
        <f>IF(OR(INDEX($V$2:$V$1001,MATCH(ROWS($U$2:U564),$U$2:$U$1001,0),1)&gt;=100000,INDEX($AB$1005:$AQ$1005,1,MATCH(COLUMNS($AB$1006:AM1006),$AB$1006:$AQ$1006,0))&gt;=100000), " ",IF(INDEX($AB$2:$AQ$1001,MATCH(ROWS($U$2:U564),$U$2:$U$1001,0),MATCH(COLUMNS($AB$1006:AM1006),$AB$1006:$AQ$1006,0)), HYPERLINK("#",""), HYPERLINK(CONCATENATE("#Metadata!", ADDRESS(INDEX($W$2:$W$1001,MATCH(ROWS($U$2:U564),$U$2:$U$1001,0),0), INDEX($AB$1004:$AQ$1004,1,MATCH(COLUMNS($AB$1006:AM1006),$AB$1006:$AQ$1006,0)))),"Fix")))</f>
        <v>0</v>
      </c>
      <c r="N564" s="5">
        <f>IF(OR(INDEX($V$2:$V$1001,MATCH(ROWS($U$2:U564),$U$2:$U$1001,0),1)&gt;=100000,INDEX($AB$1005:$AQ$1005,1,MATCH(COLUMNS($AB$1006:AN1006),$AB$1006:$AQ$1006,0))&gt;=100000), " ",IF(INDEX($AB$2:$AQ$1001,MATCH(ROWS($U$2:U564),$U$2:$U$1001,0),MATCH(COLUMNS($AB$1006:AN1006),$AB$1006:$AQ$1006,0)), HYPERLINK("#",""), HYPERLINK(CONCATENATE("#Metadata!", ADDRESS(INDEX($W$2:$W$1001,MATCH(ROWS($U$2:U564),$U$2:$U$1001,0),0), INDEX($AB$1004:$AQ$1004,1,MATCH(COLUMNS($AB$1006:AN1006),$AB$1006:$AQ$1006,0)))),"Fix")))</f>
        <v>0</v>
      </c>
      <c r="O564" s="5">
        <f>IF(OR(INDEX($V$2:$V$1001,MATCH(ROWS($U$2:U564),$U$2:$U$1001,0),1)&gt;=100000,INDEX($AB$1005:$AQ$1005,1,MATCH(COLUMNS($AB$1006:AO1006),$AB$1006:$AQ$1006,0))&gt;=100000), " ",IF(INDEX($AB$2:$AQ$1001,MATCH(ROWS($U$2:U564),$U$2:$U$1001,0),MATCH(COLUMNS($AB$1006:AO1006),$AB$1006:$AQ$1006,0)), HYPERLINK("#",""), HYPERLINK(CONCATENATE("#Metadata!", ADDRESS(INDEX($W$2:$W$1001,MATCH(ROWS($U$2:U564),$U$2:$U$1001,0),0), INDEX($AB$1004:$AQ$1004,1,MATCH(COLUMNS($AB$1006:AO1006),$AB$1006:$AQ$1006,0)))),"Fix")))</f>
        <v>0</v>
      </c>
      <c r="P564" s="5">
        <f>IF(OR(INDEX($V$2:$V$1001,MATCH(ROWS($U$2:U564),$U$2:$U$1001,0),1)&gt;=100000,INDEX($AB$1005:$AQ$1005,1,MATCH(COLUMNS($AB$1006:AP1006),$AB$1006:$AQ$1006,0))&gt;=100000), " ",IF(INDEX($AB$2:$AQ$1001,MATCH(ROWS($U$2:U564),$U$2:$U$1001,0),MATCH(COLUMNS($AB$1006:AP1006),$AB$1006:$AQ$1006,0)), HYPERLINK("#",""), HYPERLINK(CONCATENATE("#Metadata!", ADDRESS(INDEX($W$2:$W$1001,MATCH(ROWS($U$2:U564),$U$2:$U$1001,0),0), INDEX($AB$1004:$AQ$1004,1,MATCH(COLUMNS($AB$1006:AP1006),$AB$1006:$AQ$1006,0)))),"Fix")))</f>
        <v>0</v>
      </c>
      <c r="Q564" s="5">
        <f>IF(OR(INDEX($V$2:$V$1001,MATCH(ROWS($U$2:U564),$U$2:$U$1001,0),1)&gt;=100000,INDEX($AB$1005:$AQ$1005,1,MATCH(COLUMNS($AB$1006:AQ1006),$AB$1006:$AQ$1006,0))&gt;=100000), " ",IF(INDEX($AB$2:$AQ$1001,MATCH(ROWS($U$2:U564),$U$2:$U$1001,0),MATCH(COLUMNS($AB$1006:AQ1006),$AB$1006:$AQ$1006,0)), HYPERLINK("#",""), HYPERLINK(CONCATENATE("#Metadata!", ADDRESS(INDEX($W$2:$W$1001,MATCH(ROWS($U$2:U564),$U$2:$U$1001,0),0), INDEX($AB$1004:$AQ$1004,1,MATCH(COLUMNS($AB$1006:AQ1006),$AB$1006:$AQ$1006,0)))),"Fix")))</f>
        <v>0</v>
      </c>
      <c r="U564">
        <v>0</v>
      </c>
      <c r="V564">
        <v>0</v>
      </c>
      <c r="W564">
        <v>0</v>
      </c>
      <c r="X564">
        <f>IF(Y564,TRUE,AND(AB564:AQ564))</f>
        <v>0</v>
      </c>
      <c r="Y564">
        <f>COUNTBLANK(Metadata!B564:Q564)=COLUMNS(Metadata!B564:Q564)</f>
        <v>0</v>
      </c>
      <c r="Z564">
        <v>0</v>
      </c>
      <c r="AB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AC564">
        <f>AND(IF(Metadata!C564="",FALSE,TRUE),exact(Metadata!C564,"urban biome"))</f>
        <v>0</v>
      </c>
      <c r="AD564">
        <f>AND(IF(Metadata!D564="",FALSE,TRUE),exact(Metadata!D564,"human-associated habitat"))</f>
        <v>0</v>
      </c>
      <c r="AE564">
        <f>AND(IF(Metadata!E564="",FALSE,TRUE),OR(exact(Metadata!E564,"human-associated"),exact(Metadata!E564,"human-skin"),exact(Metadata!E564,"human-oral"),exact(Metadata!E564,"human-gut"),exact(Metadata!E564,"human-vaginal")))</f>
        <v>0</v>
      </c>
      <c r="AF564">
        <f>AND(IF(Metadata!F564="",FALSE,ISNUMBER(VALUE(Metadata!F564))),Metadata!F564&gt;0)</f>
        <v>0</v>
      </c>
      <c r="AG564">
        <f>AND(IF(Metadata!G564="",FALSE,TRUE),exact(Metadata!G564,"years"))</f>
        <v>0</v>
      </c>
      <c r="AH564">
        <f>OR(AND(IF(Metadata!H564="",FALSE,TRUE),OR(exact(Metadata!H564,"not applicable"),exact(Metadata!H564,"not collected"),exact(Metadata!H564,"not provided"),exact(Metadata!H564,"restricted access"))),AND(IF(Metadata!H564="",FALSE,ISNUMBER(VALUE(Metadata!H564))),Metadata!H564&gt;0))</f>
        <v>0</v>
      </c>
      <c r="AI564">
        <f>AND(IF(Metadata!I564="",FALSE,TRUE),exact(Metadata!I564,"human"))</f>
        <v>0</v>
      </c>
      <c r="AJ564">
        <f>AND(IF(Metadata!J564="",FALSE,ISNUMBER(VALUE(Metadata!J564))),Metadata!J564&gt;0)</f>
        <v>0</v>
      </c>
      <c r="AK564">
        <f>AND(IF(Metadata!K564="",FALSE,TRUE),exact(Metadata!K564,"cm"))</f>
        <v>0</v>
      </c>
      <c r="AL564">
        <f>AND(IF(Metadata!L564="",FALSE,TRUE),exact(Metadata!L564,"Homo sapiens"))</f>
        <v>0</v>
      </c>
      <c r="AM564">
        <f>AND(IF(Metadata!M564="",FALSE,TRUE),exact(Metadata!M564,"9606"))</f>
        <v>0</v>
      </c>
      <c r="AN564">
        <f>AND(IF(Metadata!N564="",FALSE,ISNUMBER(VALUE(Metadata!N564))),Metadata!N564&gt;0)</f>
        <v>0</v>
      </c>
      <c r="AO564">
        <f>AND(IF(Metadata!O564="",FALSE,TRUE),exact(Metadata!O564,"kg"))</f>
        <v>0</v>
      </c>
      <c r="AP564">
        <f>OR(AND(IF(Metadata!P564="",FALSE,TRUE),exact(Metadata!P564,"not provided")),IF(Metadata!P564="",FALSE,TRUE))</f>
        <v>0</v>
      </c>
      <c r="AQ564">
        <f>OR(AND(IF(Metadata!Q564="",FALSE,TRUE),exact(Metadata!Q564,"not provided")),IF(Metadata!Q564="",FALSE,TRUE))</f>
        <v>0</v>
      </c>
    </row>
    <row r="565" spans="1:43">
      <c r="A565" s="4">
        <f>IF(B565=" "," ",HYPERLINK(CONCATENATE("#metadata!",ADDRESS(INDEX($W$2:$W$1001,MATCH(ROWS($U$2:U565),$U$2:$U$1001,0),0),2)),INDEX($Z$2:$Z$1001,MATCH(ROWS($U$2:U565),$U$2:$U$1001,0),0)))</f>
        <v>0</v>
      </c>
      <c r="B565" s="5">
        <f>IF(OR(INDEX($V$2:$V$1001,MATCH(ROWS($U$2:U565),$U$2:$U$1001,0),1)&gt;=100000,INDEX($AB$1005:$AQ$1005,1,MATCH(COLUMNS($AB$1006:AB1006),$AB$1006:$AQ$1006,0))&gt;=100000), " ",IF(INDEX($AB$2:$AQ$1001,MATCH(ROWS($U$2:U565),$U$2:$U$1001,0),MATCH(COLUMNS($AB$1006:AB1006),$AB$1006:$AQ$1006,0)), HYPERLINK("#",""), HYPERLINK(CONCATENATE("#Metadata!", ADDRESS(INDEX($W$2:$W$1001,MATCH(ROWS($U$2:U565),$U$2:$U$1001,0),0), INDEX($AB$1004:$AQ$1004,1,MATCH(COLUMNS($AB$1006:AB1006),$AB$1006:$AQ$1006,0)))),"Fix")))</f>
        <v>0</v>
      </c>
      <c r="C565" s="5">
        <f>IF(OR(INDEX($V$2:$V$1001,MATCH(ROWS($U$2:U565),$U$2:$U$1001,0),1)&gt;=100000,INDEX($AB$1005:$AQ$1005,1,MATCH(COLUMNS($AB$1006:AC1006),$AB$1006:$AQ$1006,0))&gt;=100000), " ",IF(INDEX($AB$2:$AQ$1001,MATCH(ROWS($U$2:U565),$U$2:$U$1001,0),MATCH(COLUMNS($AB$1006:AC1006),$AB$1006:$AQ$1006,0)), HYPERLINK("#",""), HYPERLINK(CONCATENATE("#Metadata!", ADDRESS(INDEX($W$2:$W$1001,MATCH(ROWS($U$2:U565),$U$2:$U$1001,0),0), INDEX($AB$1004:$AQ$1004,1,MATCH(COLUMNS($AB$1006:AC1006),$AB$1006:$AQ$1006,0)))),"Fix")))</f>
        <v>0</v>
      </c>
      <c r="D565" s="5">
        <f>IF(OR(INDEX($V$2:$V$1001,MATCH(ROWS($U$2:U565),$U$2:$U$1001,0),1)&gt;=100000,INDEX($AB$1005:$AQ$1005,1,MATCH(COLUMNS($AB$1006:AD1006),$AB$1006:$AQ$1006,0))&gt;=100000), " ",IF(INDEX($AB$2:$AQ$1001,MATCH(ROWS($U$2:U565),$U$2:$U$1001,0),MATCH(COLUMNS($AB$1006:AD1006),$AB$1006:$AQ$1006,0)), HYPERLINK("#",""), HYPERLINK(CONCATENATE("#Metadata!", ADDRESS(INDEX($W$2:$W$1001,MATCH(ROWS($U$2:U565),$U$2:$U$1001,0),0), INDEX($AB$1004:$AQ$1004,1,MATCH(COLUMNS($AB$1006:AD1006),$AB$1006:$AQ$1006,0)))),"Fix")))</f>
        <v>0</v>
      </c>
      <c r="E565" s="5">
        <f>IF(OR(INDEX($V$2:$V$1001,MATCH(ROWS($U$2:U565),$U$2:$U$1001,0),1)&gt;=100000,INDEX($AB$1005:$AQ$1005,1,MATCH(COLUMNS($AB$1006:AE1006),$AB$1006:$AQ$1006,0))&gt;=100000), " ",IF(INDEX($AB$2:$AQ$1001,MATCH(ROWS($U$2:U565),$U$2:$U$1001,0),MATCH(COLUMNS($AB$1006:AE1006),$AB$1006:$AQ$1006,0)), HYPERLINK("#",""), HYPERLINK(CONCATENATE("#Metadata!", ADDRESS(INDEX($W$2:$W$1001,MATCH(ROWS($U$2:U565),$U$2:$U$1001,0),0), INDEX($AB$1004:$AQ$1004,1,MATCH(COLUMNS($AB$1006:AE1006),$AB$1006:$AQ$1006,0)))),"Fix")))</f>
        <v>0</v>
      </c>
      <c r="F565" s="5">
        <f>IF(OR(INDEX($V$2:$V$1001,MATCH(ROWS($U$2:U565),$U$2:$U$1001,0),1)&gt;=100000,INDEX($AB$1005:$AQ$1005,1,MATCH(COLUMNS($AB$1006:AF1006),$AB$1006:$AQ$1006,0))&gt;=100000), " ",IF(INDEX($AB$2:$AQ$1001,MATCH(ROWS($U$2:U565),$U$2:$U$1001,0),MATCH(COLUMNS($AB$1006:AF1006),$AB$1006:$AQ$1006,0)), HYPERLINK("#",""), HYPERLINK(CONCATENATE("#Metadata!", ADDRESS(INDEX($W$2:$W$1001,MATCH(ROWS($U$2:U565),$U$2:$U$1001,0),0), INDEX($AB$1004:$AQ$1004,1,MATCH(COLUMNS($AB$1006:AF1006),$AB$1006:$AQ$1006,0)))),"Fix")))</f>
        <v>0</v>
      </c>
      <c r="G565" s="5">
        <f>IF(OR(INDEX($V$2:$V$1001,MATCH(ROWS($U$2:U565),$U$2:$U$1001,0),1)&gt;=100000,INDEX($AB$1005:$AQ$1005,1,MATCH(COLUMNS($AB$1006:AG1006),$AB$1006:$AQ$1006,0))&gt;=100000), " ",IF(INDEX($AB$2:$AQ$1001,MATCH(ROWS($U$2:U565),$U$2:$U$1001,0),MATCH(COLUMNS($AB$1006:AG1006),$AB$1006:$AQ$1006,0)), HYPERLINK("#",""), HYPERLINK(CONCATENATE("#Metadata!", ADDRESS(INDEX($W$2:$W$1001,MATCH(ROWS($U$2:U565),$U$2:$U$1001,0),0), INDEX($AB$1004:$AQ$1004,1,MATCH(COLUMNS($AB$1006:AG1006),$AB$1006:$AQ$1006,0)))),"Fix")))</f>
        <v>0</v>
      </c>
      <c r="H565" s="5">
        <f>IF(OR(INDEX($V$2:$V$1001,MATCH(ROWS($U$2:U565),$U$2:$U$1001,0),1)&gt;=100000,INDEX($AB$1005:$AQ$1005,1,MATCH(COLUMNS($AB$1006:AH1006),$AB$1006:$AQ$1006,0))&gt;=100000), " ",IF(INDEX($AB$2:$AQ$1001,MATCH(ROWS($U$2:U565),$U$2:$U$1001,0),MATCH(COLUMNS($AB$1006:AH1006),$AB$1006:$AQ$1006,0)), HYPERLINK("#",""), HYPERLINK(CONCATENATE("#Metadata!", ADDRESS(INDEX($W$2:$W$1001,MATCH(ROWS($U$2:U565),$U$2:$U$1001,0),0), INDEX($AB$1004:$AQ$1004,1,MATCH(COLUMNS($AB$1006:AH1006),$AB$1006:$AQ$1006,0)))),"Fix")))</f>
        <v>0</v>
      </c>
      <c r="I565" s="5">
        <f>IF(OR(INDEX($V$2:$V$1001,MATCH(ROWS($U$2:U565),$U$2:$U$1001,0),1)&gt;=100000,INDEX($AB$1005:$AQ$1005,1,MATCH(COLUMNS($AB$1006:AI1006),$AB$1006:$AQ$1006,0))&gt;=100000), " ",IF(INDEX($AB$2:$AQ$1001,MATCH(ROWS($U$2:U565),$U$2:$U$1001,0),MATCH(COLUMNS($AB$1006:AI1006),$AB$1006:$AQ$1006,0)), HYPERLINK("#",""), HYPERLINK(CONCATENATE("#Metadata!", ADDRESS(INDEX($W$2:$W$1001,MATCH(ROWS($U$2:U565),$U$2:$U$1001,0),0), INDEX($AB$1004:$AQ$1004,1,MATCH(COLUMNS($AB$1006:AI1006),$AB$1006:$AQ$1006,0)))),"Fix")))</f>
        <v>0</v>
      </c>
      <c r="J565" s="5">
        <f>IF(OR(INDEX($V$2:$V$1001,MATCH(ROWS($U$2:U565),$U$2:$U$1001,0),1)&gt;=100000,INDEX($AB$1005:$AQ$1005,1,MATCH(COLUMNS($AB$1006:AJ1006),$AB$1006:$AQ$1006,0))&gt;=100000), " ",IF(INDEX($AB$2:$AQ$1001,MATCH(ROWS($U$2:U565),$U$2:$U$1001,0),MATCH(COLUMNS($AB$1006:AJ1006),$AB$1006:$AQ$1006,0)), HYPERLINK("#",""), HYPERLINK(CONCATENATE("#Metadata!", ADDRESS(INDEX($W$2:$W$1001,MATCH(ROWS($U$2:U565),$U$2:$U$1001,0),0), INDEX($AB$1004:$AQ$1004,1,MATCH(COLUMNS($AB$1006:AJ1006),$AB$1006:$AQ$1006,0)))),"Fix")))</f>
        <v>0</v>
      </c>
      <c r="K565" s="5">
        <f>IF(OR(INDEX($V$2:$V$1001,MATCH(ROWS($U$2:U565),$U$2:$U$1001,0),1)&gt;=100000,INDEX($AB$1005:$AQ$1005,1,MATCH(COLUMNS($AB$1006:AK1006),$AB$1006:$AQ$1006,0))&gt;=100000), " ",IF(INDEX($AB$2:$AQ$1001,MATCH(ROWS($U$2:U565),$U$2:$U$1001,0),MATCH(COLUMNS($AB$1006:AK1006),$AB$1006:$AQ$1006,0)), HYPERLINK("#",""), HYPERLINK(CONCATENATE("#Metadata!", ADDRESS(INDEX($W$2:$W$1001,MATCH(ROWS($U$2:U565),$U$2:$U$1001,0),0), INDEX($AB$1004:$AQ$1004,1,MATCH(COLUMNS($AB$1006:AK1006),$AB$1006:$AQ$1006,0)))),"Fix")))</f>
        <v>0</v>
      </c>
      <c r="L565" s="5">
        <f>IF(OR(INDEX($V$2:$V$1001,MATCH(ROWS($U$2:U565),$U$2:$U$1001,0),1)&gt;=100000,INDEX($AB$1005:$AQ$1005,1,MATCH(COLUMNS($AB$1006:AL1006),$AB$1006:$AQ$1006,0))&gt;=100000), " ",IF(INDEX($AB$2:$AQ$1001,MATCH(ROWS($U$2:U565),$U$2:$U$1001,0),MATCH(COLUMNS($AB$1006:AL1006),$AB$1006:$AQ$1006,0)), HYPERLINK("#",""), HYPERLINK(CONCATENATE("#Metadata!", ADDRESS(INDEX($W$2:$W$1001,MATCH(ROWS($U$2:U565),$U$2:$U$1001,0),0), INDEX($AB$1004:$AQ$1004,1,MATCH(COLUMNS($AB$1006:AL1006),$AB$1006:$AQ$1006,0)))),"Fix")))</f>
        <v>0</v>
      </c>
      <c r="M565" s="5">
        <f>IF(OR(INDEX($V$2:$V$1001,MATCH(ROWS($U$2:U565),$U$2:$U$1001,0),1)&gt;=100000,INDEX($AB$1005:$AQ$1005,1,MATCH(COLUMNS($AB$1006:AM1006),$AB$1006:$AQ$1006,0))&gt;=100000), " ",IF(INDEX($AB$2:$AQ$1001,MATCH(ROWS($U$2:U565),$U$2:$U$1001,0),MATCH(COLUMNS($AB$1006:AM1006),$AB$1006:$AQ$1006,0)), HYPERLINK("#",""), HYPERLINK(CONCATENATE("#Metadata!", ADDRESS(INDEX($W$2:$W$1001,MATCH(ROWS($U$2:U565),$U$2:$U$1001,0),0), INDEX($AB$1004:$AQ$1004,1,MATCH(COLUMNS($AB$1006:AM1006),$AB$1006:$AQ$1006,0)))),"Fix")))</f>
        <v>0</v>
      </c>
      <c r="N565" s="5">
        <f>IF(OR(INDEX($V$2:$V$1001,MATCH(ROWS($U$2:U565),$U$2:$U$1001,0),1)&gt;=100000,INDEX($AB$1005:$AQ$1005,1,MATCH(COLUMNS($AB$1006:AN1006),$AB$1006:$AQ$1006,0))&gt;=100000), " ",IF(INDEX($AB$2:$AQ$1001,MATCH(ROWS($U$2:U565),$U$2:$U$1001,0),MATCH(COLUMNS($AB$1006:AN1006),$AB$1006:$AQ$1006,0)), HYPERLINK("#",""), HYPERLINK(CONCATENATE("#Metadata!", ADDRESS(INDEX($W$2:$W$1001,MATCH(ROWS($U$2:U565),$U$2:$U$1001,0),0), INDEX($AB$1004:$AQ$1004,1,MATCH(COLUMNS($AB$1006:AN1006),$AB$1006:$AQ$1006,0)))),"Fix")))</f>
        <v>0</v>
      </c>
      <c r="O565" s="5">
        <f>IF(OR(INDEX($V$2:$V$1001,MATCH(ROWS($U$2:U565),$U$2:$U$1001,0),1)&gt;=100000,INDEX($AB$1005:$AQ$1005,1,MATCH(COLUMNS($AB$1006:AO1006),$AB$1006:$AQ$1006,0))&gt;=100000), " ",IF(INDEX($AB$2:$AQ$1001,MATCH(ROWS($U$2:U565),$U$2:$U$1001,0),MATCH(COLUMNS($AB$1006:AO1006),$AB$1006:$AQ$1006,0)), HYPERLINK("#",""), HYPERLINK(CONCATENATE("#Metadata!", ADDRESS(INDEX($W$2:$W$1001,MATCH(ROWS($U$2:U565),$U$2:$U$1001,0),0), INDEX($AB$1004:$AQ$1004,1,MATCH(COLUMNS($AB$1006:AO1006),$AB$1006:$AQ$1006,0)))),"Fix")))</f>
        <v>0</v>
      </c>
      <c r="P565" s="5">
        <f>IF(OR(INDEX($V$2:$V$1001,MATCH(ROWS($U$2:U565),$U$2:$U$1001,0),1)&gt;=100000,INDEX($AB$1005:$AQ$1005,1,MATCH(COLUMNS($AB$1006:AP1006),$AB$1006:$AQ$1006,0))&gt;=100000), " ",IF(INDEX($AB$2:$AQ$1001,MATCH(ROWS($U$2:U565),$U$2:$U$1001,0),MATCH(COLUMNS($AB$1006:AP1006),$AB$1006:$AQ$1006,0)), HYPERLINK("#",""), HYPERLINK(CONCATENATE("#Metadata!", ADDRESS(INDEX($W$2:$W$1001,MATCH(ROWS($U$2:U565),$U$2:$U$1001,0),0), INDEX($AB$1004:$AQ$1004,1,MATCH(COLUMNS($AB$1006:AP1006),$AB$1006:$AQ$1006,0)))),"Fix")))</f>
        <v>0</v>
      </c>
      <c r="Q565" s="5">
        <f>IF(OR(INDEX($V$2:$V$1001,MATCH(ROWS($U$2:U565),$U$2:$U$1001,0),1)&gt;=100000,INDEX($AB$1005:$AQ$1005,1,MATCH(COLUMNS($AB$1006:AQ1006),$AB$1006:$AQ$1006,0))&gt;=100000), " ",IF(INDEX($AB$2:$AQ$1001,MATCH(ROWS($U$2:U565),$U$2:$U$1001,0),MATCH(COLUMNS($AB$1006:AQ1006),$AB$1006:$AQ$1006,0)), HYPERLINK("#",""), HYPERLINK(CONCATENATE("#Metadata!", ADDRESS(INDEX($W$2:$W$1001,MATCH(ROWS($U$2:U565),$U$2:$U$1001,0),0), INDEX($AB$1004:$AQ$1004,1,MATCH(COLUMNS($AB$1006:AQ1006),$AB$1006:$AQ$1006,0)))),"Fix")))</f>
        <v>0</v>
      </c>
      <c r="U565">
        <v>0</v>
      </c>
      <c r="V565">
        <v>0</v>
      </c>
      <c r="W565">
        <v>0</v>
      </c>
      <c r="X565">
        <f>IF(Y565,TRUE,AND(AB565:AQ565))</f>
        <v>0</v>
      </c>
      <c r="Y565">
        <f>COUNTBLANK(Metadata!B565:Q565)=COLUMNS(Metadata!B565:Q565)</f>
        <v>0</v>
      </c>
      <c r="Z565">
        <v>0</v>
      </c>
      <c r="AB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AC565">
        <f>AND(IF(Metadata!C565="",FALSE,TRUE),exact(Metadata!C565,"urban biome"))</f>
        <v>0</v>
      </c>
      <c r="AD565">
        <f>AND(IF(Metadata!D565="",FALSE,TRUE),exact(Metadata!D565,"human-associated habitat"))</f>
        <v>0</v>
      </c>
      <c r="AE565">
        <f>AND(IF(Metadata!E565="",FALSE,TRUE),OR(exact(Metadata!E565,"human-associated"),exact(Metadata!E565,"human-skin"),exact(Metadata!E565,"human-oral"),exact(Metadata!E565,"human-gut"),exact(Metadata!E565,"human-vaginal")))</f>
        <v>0</v>
      </c>
      <c r="AF565">
        <f>AND(IF(Metadata!F565="",FALSE,ISNUMBER(VALUE(Metadata!F565))),Metadata!F565&gt;0)</f>
        <v>0</v>
      </c>
      <c r="AG565">
        <f>AND(IF(Metadata!G565="",FALSE,TRUE),exact(Metadata!G565,"years"))</f>
        <v>0</v>
      </c>
      <c r="AH565">
        <f>OR(AND(IF(Metadata!H565="",FALSE,TRUE),OR(exact(Metadata!H565,"not applicable"),exact(Metadata!H565,"not collected"),exact(Metadata!H565,"not provided"),exact(Metadata!H565,"restricted access"))),AND(IF(Metadata!H565="",FALSE,ISNUMBER(VALUE(Metadata!H565))),Metadata!H565&gt;0))</f>
        <v>0</v>
      </c>
      <c r="AI565">
        <f>AND(IF(Metadata!I565="",FALSE,TRUE),exact(Metadata!I565,"human"))</f>
        <v>0</v>
      </c>
      <c r="AJ565">
        <f>AND(IF(Metadata!J565="",FALSE,ISNUMBER(VALUE(Metadata!J565))),Metadata!J565&gt;0)</f>
        <v>0</v>
      </c>
      <c r="AK565">
        <f>AND(IF(Metadata!K565="",FALSE,TRUE),exact(Metadata!K565,"cm"))</f>
        <v>0</v>
      </c>
      <c r="AL565">
        <f>AND(IF(Metadata!L565="",FALSE,TRUE),exact(Metadata!L565,"Homo sapiens"))</f>
        <v>0</v>
      </c>
      <c r="AM565">
        <f>AND(IF(Metadata!M565="",FALSE,TRUE),exact(Metadata!M565,"9606"))</f>
        <v>0</v>
      </c>
      <c r="AN565">
        <f>AND(IF(Metadata!N565="",FALSE,ISNUMBER(VALUE(Metadata!N565))),Metadata!N565&gt;0)</f>
        <v>0</v>
      </c>
      <c r="AO565">
        <f>AND(IF(Metadata!O565="",FALSE,TRUE),exact(Metadata!O565,"kg"))</f>
        <v>0</v>
      </c>
      <c r="AP565">
        <f>OR(AND(IF(Metadata!P565="",FALSE,TRUE),exact(Metadata!P565,"not provided")),IF(Metadata!P565="",FALSE,TRUE))</f>
        <v>0</v>
      </c>
      <c r="AQ565">
        <f>OR(AND(IF(Metadata!Q565="",FALSE,TRUE),exact(Metadata!Q565,"not provided")),IF(Metadata!Q565="",FALSE,TRUE))</f>
        <v>0</v>
      </c>
    </row>
    <row r="566" spans="1:43">
      <c r="A566" s="4">
        <f>IF(B566=" "," ",HYPERLINK(CONCATENATE("#metadata!",ADDRESS(INDEX($W$2:$W$1001,MATCH(ROWS($U$2:U566),$U$2:$U$1001,0),0),2)),INDEX($Z$2:$Z$1001,MATCH(ROWS($U$2:U566),$U$2:$U$1001,0),0)))</f>
        <v>0</v>
      </c>
      <c r="B566" s="5">
        <f>IF(OR(INDEX($V$2:$V$1001,MATCH(ROWS($U$2:U566),$U$2:$U$1001,0),1)&gt;=100000,INDEX($AB$1005:$AQ$1005,1,MATCH(COLUMNS($AB$1006:AB1006),$AB$1006:$AQ$1006,0))&gt;=100000), " ",IF(INDEX($AB$2:$AQ$1001,MATCH(ROWS($U$2:U566),$U$2:$U$1001,0),MATCH(COLUMNS($AB$1006:AB1006),$AB$1006:$AQ$1006,0)), HYPERLINK("#",""), HYPERLINK(CONCATENATE("#Metadata!", ADDRESS(INDEX($W$2:$W$1001,MATCH(ROWS($U$2:U566),$U$2:$U$1001,0),0), INDEX($AB$1004:$AQ$1004,1,MATCH(COLUMNS($AB$1006:AB1006),$AB$1006:$AQ$1006,0)))),"Fix")))</f>
        <v>0</v>
      </c>
      <c r="C566" s="5">
        <f>IF(OR(INDEX($V$2:$V$1001,MATCH(ROWS($U$2:U566),$U$2:$U$1001,0),1)&gt;=100000,INDEX($AB$1005:$AQ$1005,1,MATCH(COLUMNS($AB$1006:AC1006),$AB$1006:$AQ$1006,0))&gt;=100000), " ",IF(INDEX($AB$2:$AQ$1001,MATCH(ROWS($U$2:U566),$U$2:$U$1001,0),MATCH(COLUMNS($AB$1006:AC1006),$AB$1006:$AQ$1006,0)), HYPERLINK("#",""), HYPERLINK(CONCATENATE("#Metadata!", ADDRESS(INDEX($W$2:$W$1001,MATCH(ROWS($U$2:U566),$U$2:$U$1001,0),0), INDEX($AB$1004:$AQ$1004,1,MATCH(COLUMNS($AB$1006:AC1006),$AB$1006:$AQ$1006,0)))),"Fix")))</f>
        <v>0</v>
      </c>
      <c r="D566" s="5">
        <f>IF(OR(INDEX($V$2:$V$1001,MATCH(ROWS($U$2:U566),$U$2:$U$1001,0),1)&gt;=100000,INDEX($AB$1005:$AQ$1005,1,MATCH(COLUMNS($AB$1006:AD1006),$AB$1006:$AQ$1006,0))&gt;=100000), " ",IF(INDEX($AB$2:$AQ$1001,MATCH(ROWS($U$2:U566),$U$2:$U$1001,0),MATCH(COLUMNS($AB$1006:AD1006),$AB$1006:$AQ$1006,0)), HYPERLINK("#",""), HYPERLINK(CONCATENATE("#Metadata!", ADDRESS(INDEX($W$2:$W$1001,MATCH(ROWS($U$2:U566),$U$2:$U$1001,0),0), INDEX($AB$1004:$AQ$1004,1,MATCH(COLUMNS($AB$1006:AD1006),$AB$1006:$AQ$1006,0)))),"Fix")))</f>
        <v>0</v>
      </c>
      <c r="E566" s="5">
        <f>IF(OR(INDEX($V$2:$V$1001,MATCH(ROWS($U$2:U566),$U$2:$U$1001,0),1)&gt;=100000,INDEX($AB$1005:$AQ$1005,1,MATCH(COLUMNS($AB$1006:AE1006),$AB$1006:$AQ$1006,0))&gt;=100000), " ",IF(INDEX($AB$2:$AQ$1001,MATCH(ROWS($U$2:U566),$U$2:$U$1001,0),MATCH(COLUMNS($AB$1006:AE1006),$AB$1006:$AQ$1006,0)), HYPERLINK("#",""), HYPERLINK(CONCATENATE("#Metadata!", ADDRESS(INDEX($W$2:$W$1001,MATCH(ROWS($U$2:U566),$U$2:$U$1001,0),0), INDEX($AB$1004:$AQ$1004,1,MATCH(COLUMNS($AB$1006:AE1006),$AB$1006:$AQ$1006,0)))),"Fix")))</f>
        <v>0</v>
      </c>
      <c r="F566" s="5">
        <f>IF(OR(INDEX($V$2:$V$1001,MATCH(ROWS($U$2:U566),$U$2:$U$1001,0),1)&gt;=100000,INDEX($AB$1005:$AQ$1005,1,MATCH(COLUMNS($AB$1006:AF1006),$AB$1006:$AQ$1006,0))&gt;=100000), " ",IF(INDEX($AB$2:$AQ$1001,MATCH(ROWS($U$2:U566),$U$2:$U$1001,0),MATCH(COLUMNS($AB$1006:AF1006),$AB$1006:$AQ$1006,0)), HYPERLINK("#",""), HYPERLINK(CONCATENATE("#Metadata!", ADDRESS(INDEX($W$2:$W$1001,MATCH(ROWS($U$2:U566),$U$2:$U$1001,0),0), INDEX($AB$1004:$AQ$1004,1,MATCH(COLUMNS($AB$1006:AF1006),$AB$1006:$AQ$1006,0)))),"Fix")))</f>
        <v>0</v>
      </c>
      <c r="G566" s="5">
        <f>IF(OR(INDEX($V$2:$V$1001,MATCH(ROWS($U$2:U566),$U$2:$U$1001,0),1)&gt;=100000,INDEX($AB$1005:$AQ$1005,1,MATCH(COLUMNS($AB$1006:AG1006),$AB$1006:$AQ$1006,0))&gt;=100000), " ",IF(INDEX($AB$2:$AQ$1001,MATCH(ROWS($U$2:U566),$U$2:$U$1001,0),MATCH(COLUMNS($AB$1006:AG1006),$AB$1006:$AQ$1006,0)), HYPERLINK("#",""), HYPERLINK(CONCATENATE("#Metadata!", ADDRESS(INDEX($W$2:$W$1001,MATCH(ROWS($U$2:U566),$U$2:$U$1001,0),0), INDEX($AB$1004:$AQ$1004,1,MATCH(COLUMNS($AB$1006:AG1006),$AB$1006:$AQ$1006,0)))),"Fix")))</f>
        <v>0</v>
      </c>
      <c r="H566" s="5">
        <f>IF(OR(INDEX($V$2:$V$1001,MATCH(ROWS($U$2:U566),$U$2:$U$1001,0),1)&gt;=100000,INDEX($AB$1005:$AQ$1005,1,MATCH(COLUMNS($AB$1006:AH1006),$AB$1006:$AQ$1006,0))&gt;=100000), " ",IF(INDEX($AB$2:$AQ$1001,MATCH(ROWS($U$2:U566),$U$2:$U$1001,0),MATCH(COLUMNS($AB$1006:AH1006),$AB$1006:$AQ$1006,0)), HYPERLINK("#",""), HYPERLINK(CONCATENATE("#Metadata!", ADDRESS(INDEX($W$2:$W$1001,MATCH(ROWS($U$2:U566),$U$2:$U$1001,0),0), INDEX($AB$1004:$AQ$1004,1,MATCH(COLUMNS($AB$1006:AH1006),$AB$1006:$AQ$1006,0)))),"Fix")))</f>
        <v>0</v>
      </c>
      <c r="I566" s="5">
        <f>IF(OR(INDEX($V$2:$V$1001,MATCH(ROWS($U$2:U566),$U$2:$U$1001,0),1)&gt;=100000,INDEX($AB$1005:$AQ$1005,1,MATCH(COLUMNS($AB$1006:AI1006),$AB$1006:$AQ$1006,0))&gt;=100000), " ",IF(INDEX($AB$2:$AQ$1001,MATCH(ROWS($U$2:U566),$U$2:$U$1001,0),MATCH(COLUMNS($AB$1006:AI1006),$AB$1006:$AQ$1006,0)), HYPERLINK("#",""), HYPERLINK(CONCATENATE("#Metadata!", ADDRESS(INDEX($W$2:$W$1001,MATCH(ROWS($U$2:U566),$U$2:$U$1001,0),0), INDEX($AB$1004:$AQ$1004,1,MATCH(COLUMNS($AB$1006:AI1006),$AB$1006:$AQ$1006,0)))),"Fix")))</f>
        <v>0</v>
      </c>
      <c r="J566" s="5">
        <f>IF(OR(INDEX($V$2:$V$1001,MATCH(ROWS($U$2:U566),$U$2:$U$1001,0),1)&gt;=100000,INDEX($AB$1005:$AQ$1005,1,MATCH(COLUMNS($AB$1006:AJ1006),$AB$1006:$AQ$1006,0))&gt;=100000), " ",IF(INDEX($AB$2:$AQ$1001,MATCH(ROWS($U$2:U566),$U$2:$U$1001,0),MATCH(COLUMNS($AB$1006:AJ1006),$AB$1006:$AQ$1006,0)), HYPERLINK("#",""), HYPERLINK(CONCATENATE("#Metadata!", ADDRESS(INDEX($W$2:$W$1001,MATCH(ROWS($U$2:U566),$U$2:$U$1001,0),0), INDEX($AB$1004:$AQ$1004,1,MATCH(COLUMNS($AB$1006:AJ1006),$AB$1006:$AQ$1006,0)))),"Fix")))</f>
        <v>0</v>
      </c>
      <c r="K566" s="5">
        <f>IF(OR(INDEX($V$2:$V$1001,MATCH(ROWS($U$2:U566),$U$2:$U$1001,0),1)&gt;=100000,INDEX($AB$1005:$AQ$1005,1,MATCH(COLUMNS($AB$1006:AK1006),$AB$1006:$AQ$1006,0))&gt;=100000), " ",IF(INDEX($AB$2:$AQ$1001,MATCH(ROWS($U$2:U566),$U$2:$U$1001,0),MATCH(COLUMNS($AB$1006:AK1006),$AB$1006:$AQ$1006,0)), HYPERLINK("#",""), HYPERLINK(CONCATENATE("#Metadata!", ADDRESS(INDEX($W$2:$W$1001,MATCH(ROWS($U$2:U566),$U$2:$U$1001,0),0), INDEX($AB$1004:$AQ$1004,1,MATCH(COLUMNS($AB$1006:AK1006),$AB$1006:$AQ$1006,0)))),"Fix")))</f>
        <v>0</v>
      </c>
      <c r="L566" s="5">
        <f>IF(OR(INDEX($V$2:$V$1001,MATCH(ROWS($U$2:U566),$U$2:$U$1001,0),1)&gt;=100000,INDEX($AB$1005:$AQ$1005,1,MATCH(COLUMNS($AB$1006:AL1006),$AB$1006:$AQ$1006,0))&gt;=100000), " ",IF(INDEX($AB$2:$AQ$1001,MATCH(ROWS($U$2:U566),$U$2:$U$1001,0),MATCH(COLUMNS($AB$1006:AL1006),$AB$1006:$AQ$1006,0)), HYPERLINK("#",""), HYPERLINK(CONCATENATE("#Metadata!", ADDRESS(INDEX($W$2:$W$1001,MATCH(ROWS($U$2:U566),$U$2:$U$1001,0),0), INDEX($AB$1004:$AQ$1004,1,MATCH(COLUMNS($AB$1006:AL1006),$AB$1006:$AQ$1006,0)))),"Fix")))</f>
        <v>0</v>
      </c>
      <c r="M566" s="5">
        <f>IF(OR(INDEX($V$2:$V$1001,MATCH(ROWS($U$2:U566),$U$2:$U$1001,0),1)&gt;=100000,INDEX($AB$1005:$AQ$1005,1,MATCH(COLUMNS($AB$1006:AM1006),$AB$1006:$AQ$1006,0))&gt;=100000), " ",IF(INDEX($AB$2:$AQ$1001,MATCH(ROWS($U$2:U566),$U$2:$U$1001,0),MATCH(COLUMNS($AB$1006:AM1006),$AB$1006:$AQ$1006,0)), HYPERLINK("#",""), HYPERLINK(CONCATENATE("#Metadata!", ADDRESS(INDEX($W$2:$W$1001,MATCH(ROWS($U$2:U566),$U$2:$U$1001,0),0), INDEX($AB$1004:$AQ$1004,1,MATCH(COLUMNS($AB$1006:AM1006),$AB$1006:$AQ$1006,0)))),"Fix")))</f>
        <v>0</v>
      </c>
      <c r="N566" s="5">
        <f>IF(OR(INDEX($V$2:$V$1001,MATCH(ROWS($U$2:U566),$U$2:$U$1001,0),1)&gt;=100000,INDEX($AB$1005:$AQ$1005,1,MATCH(COLUMNS($AB$1006:AN1006),$AB$1006:$AQ$1006,0))&gt;=100000), " ",IF(INDEX($AB$2:$AQ$1001,MATCH(ROWS($U$2:U566),$U$2:$U$1001,0),MATCH(COLUMNS($AB$1006:AN1006),$AB$1006:$AQ$1006,0)), HYPERLINK("#",""), HYPERLINK(CONCATENATE("#Metadata!", ADDRESS(INDEX($W$2:$W$1001,MATCH(ROWS($U$2:U566),$U$2:$U$1001,0),0), INDEX($AB$1004:$AQ$1004,1,MATCH(COLUMNS($AB$1006:AN1006),$AB$1006:$AQ$1006,0)))),"Fix")))</f>
        <v>0</v>
      </c>
      <c r="O566" s="5">
        <f>IF(OR(INDEX($V$2:$V$1001,MATCH(ROWS($U$2:U566),$U$2:$U$1001,0),1)&gt;=100000,INDEX($AB$1005:$AQ$1005,1,MATCH(COLUMNS($AB$1006:AO1006),$AB$1006:$AQ$1006,0))&gt;=100000), " ",IF(INDEX($AB$2:$AQ$1001,MATCH(ROWS($U$2:U566),$U$2:$U$1001,0),MATCH(COLUMNS($AB$1006:AO1006),$AB$1006:$AQ$1006,0)), HYPERLINK("#",""), HYPERLINK(CONCATENATE("#Metadata!", ADDRESS(INDEX($W$2:$W$1001,MATCH(ROWS($U$2:U566),$U$2:$U$1001,0),0), INDEX($AB$1004:$AQ$1004,1,MATCH(COLUMNS($AB$1006:AO1006),$AB$1006:$AQ$1006,0)))),"Fix")))</f>
        <v>0</v>
      </c>
      <c r="P566" s="5">
        <f>IF(OR(INDEX($V$2:$V$1001,MATCH(ROWS($U$2:U566),$U$2:$U$1001,0),1)&gt;=100000,INDEX($AB$1005:$AQ$1005,1,MATCH(COLUMNS($AB$1006:AP1006),$AB$1006:$AQ$1006,0))&gt;=100000), " ",IF(INDEX($AB$2:$AQ$1001,MATCH(ROWS($U$2:U566),$U$2:$U$1001,0),MATCH(COLUMNS($AB$1006:AP1006),$AB$1006:$AQ$1006,0)), HYPERLINK("#",""), HYPERLINK(CONCATENATE("#Metadata!", ADDRESS(INDEX($W$2:$W$1001,MATCH(ROWS($U$2:U566),$U$2:$U$1001,0),0), INDEX($AB$1004:$AQ$1004,1,MATCH(COLUMNS($AB$1006:AP1006),$AB$1006:$AQ$1006,0)))),"Fix")))</f>
        <v>0</v>
      </c>
      <c r="Q566" s="5">
        <f>IF(OR(INDEX($V$2:$V$1001,MATCH(ROWS($U$2:U566),$U$2:$U$1001,0),1)&gt;=100000,INDEX($AB$1005:$AQ$1005,1,MATCH(COLUMNS($AB$1006:AQ1006),$AB$1006:$AQ$1006,0))&gt;=100000), " ",IF(INDEX($AB$2:$AQ$1001,MATCH(ROWS($U$2:U566),$U$2:$U$1001,0),MATCH(COLUMNS($AB$1006:AQ1006),$AB$1006:$AQ$1006,0)), HYPERLINK("#",""), HYPERLINK(CONCATENATE("#Metadata!", ADDRESS(INDEX($W$2:$W$1001,MATCH(ROWS($U$2:U566),$U$2:$U$1001,0),0), INDEX($AB$1004:$AQ$1004,1,MATCH(COLUMNS($AB$1006:AQ1006),$AB$1006:$AQ$1006,0)))),"Fix")))</f>
        <v>0</v>
      </c>
      <c r="U566">
        <v>0</v>
      </c>
      <c r="V566">
        <v>0</v>
      </c>
      <c r="W566">
        <v>0</v>
      </c>
      <c r="X566">
        <f>IF(Y566,TRUE,AND(AB566:AQ566))</f>
        <v>0</v>
      </c>
      <c r="Y566">
        <f>COUNTBLANK(Metadata!B566:Q566)=COLUMNS(Metadata!B566:Q566)</f>
        <v>0</v>
      </c>
      <c r="Z566">
        <v>0</v>
      </c>
      <c r="AB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AC566">
        <f>AND(IF(Metadata!C566="",FALSE,TRUE),exact(Metadata!C566,"urban biome"))</f>
        <v>0</v>
      </c>
      <c r="AD566">
        <f>AND(IF(Metadata!D566="",FALSE,TRUE),exact(Metadata!D566,"human-associated habitat"))</f>
        <v>0</v>
      </c>
      <c r="AE566">
        <f>AND(IF(Metadata!E566="",FALSE,TRUE),OR(exact(Metadata!E566,"human-associated"),exact(Metadata!E566,"human-skin"),exact(Metadata!E566,"human-oral"),exact(Metadata!E566,"human-gut"),exact(Metadata!E566,"human-vaginal")))</f>
        <v>0</v>
      </c>
      <c r="AF566">
        <f>AND(IF(Metadata!F566="",FALSE,ISNUMBER(VALUE(Metadata!F566))),Metadata!F566&gt;0)</f>
        <v>0</v>
      </c>
      <c r="AG566">
        <f>AND(IF(Metadata!G566="",FALSE,TRUE),exact(Metadata!G566,"years"))</f>
        <v>0</v>
      </c>
      <c r="AH566">
        <f>OR(AND(IF(Metadata!H566="",FALSE,TRUE),OR(exact(Metadata!H566,"not applicable"),exact(Metadata!H566,"not collected"),exact(Metadata!H566,"not provided"),exact(Metadata!H566,"restricted access"))),AND(IF(Metadata!H566="",FALSE,ISNUMBER(VALUE(Metadata!H566))),Metadata!H566&gt;0))</f>
        <v>0</v>
      </c>
      <c r="AI566">
        <f>AND(IF(Metadata!I566="",FALSE,TRUE),exact(Metadata!I566,"human"))</f>
        <v>0</v>
      </c>
      <c r="AJ566">
        <f>AND(IF(Metadata!J566="",FALSE,ISNUMBER(VALUE(Metadata!J566))),Metadata!J566&gt;0)</f>
        <v>0</v>
      </c>
      <c r="AK566">
        <f>AND(IF(Metadata!K566="",FALSE,TRUE),exact(Metadata!K566,"cm"))</f>
        <v>0</v>
      </c>
      <c r="AL566">
        <f>AND(IF(Metadata!L566="",FALSE,TRUE),exact(Metadata!L566,"Homo sapiens"))</f>
        <v>0</v>
      </c>
      <c r="AM566">
        <f>AND(IF(Metadata!M566="",FALSE,TRUE),exact(Metadata!M566,"9606"))</f>
        <v>0</v>
      </c>
      <c r="AN566">
        <f>AND(IF(Metadata!N566="",FALSE,ISNUMBER(VALUE(Metadata!N566))),Metadata!N566&gt;0)</f>
        <v>0</v>
      </c>
      <c r="AO566">
        <f>AND(IF(Metadata!O566="",FALSE,TRUE),exact(Metadata!O566,"kg"))</f>
        <v>0</v>
      </c>
      <c r="AP566">
        <f>OR(AND(IF(Metadata!P566="",FALSE,TRUE),exact(Metadata!P566,"not provided")),IF(Metadata!P566="",FALSE,TRUE))</f>
        <v>0</v>
      </c>
      <c r="AQ566">
        <f>OR(AND(IF(Metadata!Q566="",FALSE,TRUE),exact(Metadata!Q566,"not provided")),IF(Metadata!Q566="",FALSE,TRUE))</f>
        <v>0</v>
      </c>
    </row>
    <row r="567" spans="1:43">
      <c r="A567" s="4">
        <f>IF(B567=" "," ",HYPERLINK(CONCATENATE("#metadata!",ADDRESS(INDEX($W$2:$W$1001,MATCH(ROWS($U$2:U567),$U$2:$U$1001,0),0),2)),INDEX($Z$2:$Z$1001,MATCH(ROWS($U$2:U567),$U$2:$U$1001,0),0)))</f>
        <v>0</v>
      </c>
      <c r="B567" s="5">
        <f>IF(OR(INDEX($V$2:$V$1001,MATCH(ROWS($U$2:U567),$U$2:$U$1001,0),1)&gt;=100000,INDEX($AB$1005:$AQ$1005,1,MATCH(COLUMNS($AB$1006:AB1006),$AB$1006:$AQ$1006,0))&gt;=100000), " ",IF(INDEX($AB$2:$AQ$1001,MATCH(ROWS($U$2:U567),$U$2:$U$1001,0),MATCH(COLUMNS($AB$1006:AB1006),$AB$1006:$AQ$1006,0)), HYPERLINK("#",""), HYPERLINK(CONCATENATE("#Metadata!", ADDRESS(INDEX($W$2:$W$1001,MATCH(ROWS($U$2:U567),$U$2:$U$1001,0),0), INDEX($AB$1004:$AQ$1004,1,MATCH(COLUMNS($AB$1006:AB1006),$AB$1006:$AQ$1006,0)))),"Fix")))</f>
        <v>0</v>
      </c>
      <c r="C567" s="5">
        <f>IF(OR(INDEX($V$2:$V$1001,MATCH(ROWS($U$2:U567),$U$2:$U$1001,0),1)&gt;=100000,INDEX($AB$1005:$AQ$1005,1,MATCH(COLUMNS($AB$1006:AC1006),$AB$1006:$AQ$1006,0))&gt;=100000), " ",IF(INDEX($AB$2:$AQ$1001,MATCH(ROWS($U$2:U567),$U$2:$U$1001,0),MATCH(COLUMNS($AB$1006:AC1006),$AB$1006:$AQ$1006,0)), HYPERLINK("#",""), HYPERLINK(CONCATENATE("#Metadata!", ADDRESS(INDEX($W$2:$W$1001,MATCH(ROWS($U$2:U567),$U$2:$U$1001,0),0), INDEX($AB$1004:$AQ$1004,1,MATCH(COLUMNS($AB$1006:AC1006),$AB$1006:$AQ$1006,0)))),"Fix")))</f>
        <v>0</v>
      </c>
      <c r="D567" s="5">
        <f>IF(OR(INDEX($V$2:$V$1001,MATCH(ROWS($U$2:U567),$U$2:$U$1001,0),1)&gt;=100000,INDEX($AB$1005:$AQ$1005,1,MATCH(COLUMNS($AB$1006:AD1006),$AB$1006:$AQ$1006,0))&gt;=100000), " ",IF(INDEX($AB$2:$AQ$1001,MATCH(ROWS($U$2:U567),$U$2:$U$1001,0),MATCH(COLUMNS($AB$1006:AD1006),$AB$1006:$AQ$1006,0)), HYPERLINK("#",""), HYPERLINK(CONCATENATE("#Metadata!", ADDRESS(INDEX($W$2:$W$1001,MATCH(ROWS($U$2:U567),$U$2:$U$1001,0),0), INDEX($AB$1004:$AQ$1004,1,MATCH(COLUMNS($AB$1006:AD1006),$AB$1006:$AQ$1006,0)))),"Fix")))</f>
        <v>0</v>
      </c>
      <c r="E567" s="5">
        <f>IF(OR(INDEX($V$2:$V$1001,MATCH(ROWS($U$2:U567),$U$2:$U$1001,0),1)&gt;=100000,INDEX($AB$1005:$AQ$1005,1,MATCH(COLUMNS($AB$1006:AE1006),$AB$1006:$AQ$1006,0))&gt;=100000), " ",IF(INDEX($AB$2:$AQ$1001,MATCH(ROWS($U$2:U567),$U$2:$U$1001,0),MATCH(COLUMNS($AB$1006:AE1006),$AB$1006:$AQ$1006,0)), HYPERLINK("#",""), HYPERLINK(CONCATENATE("#Metadata!", ADDRESS(INDEX($W$2:$W$1001,MATCH(ROWS($U$2:U567),$U$2:$U$1001,0),0), INDEX($AB$1004:$AQ$1004,1,MATCH(COLUMNS($AB$1006:AE1006),$AB$1006:$AQ$1006,0)))),"Fix")))</f>
        <v>0</v>
      </c>
      <c r="F567" s="5">
        <f>IF(OR(INDEX($V$2:$V$1001,MATCH(ROWS($U$2:U567),$U$2:$U$1001,0),1)&gt;=100000,INDEX($AB$1005:$AQ$1005,1,MATCH(COLUMNS($AB$1006:AF1006),$AB$1006:$AQ$1006,0))&gt;=100000), " ",IF(INDEX($AB$2:$AQ$1001,MATCH(ROWS($U$2:U567),$U$2:$U$1001,0),MATCH(COLUMNS($AB$1006:AF1006),$AB$1006:$AQ$1006,0)), HYPERLINK("#",""), HYPERLINK(CONCATENATE("#Metadata!", ADDRESS(INDEX($W$2:$W$1001,MATCH(ROWS($U$2:U567),$U$2:$U$1001,0),0), INDEX($AB$1004:$AQ$1004,1,MATCH(COLUMNS($AB$1006:AF1006),$AB$1006:$AQ$1006,0)))),"Fix")))</f>
        <v>0</v>
      </c>
      <c r="G567" s="5">
        <f>IF(OR(INDEX($V$2:$V$1001,MATCH(ROWS($U$2:U567),$U$2:$U$1001,0),1)&gt;=100000,INDEX($AB$1005:$AQ$1005,1,MATCH(COLUMNS($AB$1006:AG1006),$AB$1006:$AQ$1006,0))&gt;=100000), " ",IF(INDEX($AB$2:$AQ$1001,MATCH(ROWS($U$2:U567),$U$2:$U$1001,0),MATCH(COLUMNS($AB$1006:AG1006),$AB$1006:$AQ$1006,0)), HYPERLINK("#",""), HYPERLINK(CONCATENATE("#Metadata!", ADDRESS(INDEX($W$2:$W$1001,MATCH(ROWS($U$2:U567),$U$2:$U$1001,0),0), INDEX($AB$1004:$AQ$1004,1,MATCH(COLUMNS($AB$1006:AG1006),$AB$1006:$AQ$1006,0)))),"Fix")))</f>
        <v>0</v>
      </c>
      <c r="H567" s="5">
        <f>IF(OR(INDEX($V$2:$V$1001,MATCH(ROWS($U$2:U567),$U$2:$U$1001,0),1)&gt;=100000,INDEX($AB$1005:$AQ$1005,1,MATCH(COLUMNS($AB$1006:AH1006),$AB$1006:$AQ$1006,0))&gt;=100000), " ",IF(INDEX($AB$2:$AQ$1001,MATCH(ROWS($U$2:U567),$U$2:$U$1001,0),MATCH(COLUMNS($AB$1006:AH1006),$AB$1006:$AQ$1006,0)), HYPERLINK("#",""), HYPERLINK(CONCATENATE("#Metadata!", ADDRESS(INDEX($W$2:$W$1001,MATCH(ROWS($U$2:U567),$U$2:$U$1001,0),0), INDEX($AB$1004:$AQ$1004,1,MATCH(COLUMNS($AB$1006:AH1006),$AB$1006:$AQ$1006,0)))),"Fix")))</f>
        <v>0</v>
      </c>
      <c r="I567" s="5">
        <f>IF(OR(INDEX($V$2:$V$1001,MATCH(ROWS($U$2:U567),$U$2:$U$1001,0),1)&gt;=100000,INDEX($AB$1005:$AQ$1005,1,MATCH(COLUMNS($AB$1006:AI1006),$AB$1006:$AQ$1006,0))&gt;=100000), " ",IF(INDEX($AB$2:$AQ$1001,MATCH(ROWS($U$2:U567),$U$2:$U$1001,0),MATCH(COLUMNS($AB$1006:AI1006),$AB$1006:$AQ$1006,0)), HYPERLINK("#",""), HYPERLINK(CONCATENATE("#Metadata!", ADDRESS(INDEX($W$2:$W$1001,MATCH(ROWS($U$2:U567),$U$2:$U$1001,0),0), INDEX($AB$1004:$AQ$1004,1,MATCH(COLUMNS($AB$1006:AI1006),$AB$1006:$AQ$1006,0)))),"Fix")))</f>
        <v>0</v>
      </c>
      <c r="J567" s="5">
        <f>IF(OR(INDEX($V$2:$V$1001,MATCH(ROWS($U$2:U567),$U$2:$U$1001,0),1)&gt;=100000,INDEX($AB$1005:$AQ$1005,1,MATCH(COLUMNS($AB$1006:AJ1006),$AB$1006:$AQ$1006,0))&gt;=100000), " ",IF(INDEX($AB$2:$AQ$1001,MATCH(ROWS($U$2:U567),$U$2:$U$1001,0),MATCH(COLUMNS($AB$1006:AJ1006),$AB$1006:$AQ$1006,0)), HYPERLINK("#",""), HYPERLINK(CONCATENATE("#Metadata!", ADDRESS(INDEX($W$2:$W$1001,MATCH(ROWS($U$2:U567),$U$2:$U$1001,0),0), INDEX($AB$1004:$AQ$1004,1,MATCH(COLUMNS($AB$1006:AJ1006),$AB$1006:$AQ$1006,0)))),"Fix")))</f>
        <v>0</v>
      </c>
      <c r="K567" s="5">
        <f>IF(OR(INDEX($V$2:$V$1001,MATCH(ROWS($U$2:U567),$U$2:$U$1001,0),1)&gt;=100000,INDEX($AB$1005:$AQ$1005,1,MATCH(COLUMNS($AB$1006:AK1006),$AB$1006:$AQ$1006,0))&gt;=100000), " ",IF(INDEX($AB$2:$AQ$1001,MATCH(ROWS($U$2:U567),$U$2:$U$1001,0),MATCH(COLUMNS($AB$1006:AK1006),$AB$1006:$AQ$1006,0)), HYPERLINK("#",""), HYPERLINK(CONCATENATE("#Metadata!", ADDRESS(INDEX($W$2:$W$1001,MATCH(ROWS($U$2:U567),$U$2:$U$1001,0),0), INDEX($AB$1004:$AQ$1004,1,MATCH(COLUMNS($AB$1006:AK1006),$AB$1006:$AQ$1006,0)))),"Fix")))</f>
        <v>0</v>
      </c>
      <c r="L567" s="5">
        <f>IF(OR(INDEX($V$2:$V$1001,MATCH(ROWS($U$2:U567),$U$2:$U$1001,0),1)&gt;=100000,INDEX($AB$1005:$AQ$1005,1,MATCH(COLUMNS($AB$1006:AL1006),$AB$1006:$AQ$1006,0))&gt;=100000), " ",IF(INDEX($AB$2:$AQ$1001,MATCH(ROWS($U$2:U567),$U$2:$U$1001,0),MATCH(COLUMNS($AB$1006:AL1006),$AB$1006:$AQ$1006,0)), HYPERLINK("#",""), HYPERLINK(CONCATENATE("#Metadata!", ADDRESS(INDEX($W$2:$W$1001,MATCH(ROWS($U$2:U567),$U$2:$U$1001,0),0), INDEX($AB$1004:$AQ$1004,1,MATCH(COLUMNS($AB$1006:AL1006),$AB$1006:$AQ$1006,0)))),"Fix")))</f>
        <v>0</v>
      </c>
      <c r="M567" s="5">
        <f>IF(OR(INDEX($V$2:$V$1001,MATCH(ROWS($U$2:U567),$U$2:$U$1001,0),1)&gt;=100000,INDEX($AB$1005:$AQ$1005,1,MATCH(COLUMNS($AB$1006:AM1006),$AB$1006:$AQ$1006,0))&gt;=100000), " ",IF(INDEX($AB$2:$AQ$1001,MATCH(ROWS($U$2:U567),$U$2:$U$1001,0),MATCH(COLUMNS($AB$1006:AM1006),$AB$1006:$AQ$1006,0)), HYPERLINK("#",""), HYPERLINK(CONCATENATE("#Metadata!", ADDRESS(INDEX($W$2:$W$1001,MATCH(ROWS($U$2:U567),$U$2:$U$1001,0),0), INDEX($AB$1004:$AQ$1004,1,MATCH(COLUMNS($AB$1006:AM1006),$AB$1006:$AQ$1006,0)))),"Fix")))</f>
        <v>0</v>
      </c>
      <c r="N567" s="5">
        <f>IF(OR(INDEX($V$2:$V$1001,MATCH(ROWS($U$2:U567),$U$2:$U$1001,0),1)&gt;=100000,INDEX($AB$1005:$AQ$1005,1,MATCH(COLUMNS($AB$1006:AN1006),$AB$1006:$AQ$1006,0))&gt;=100000), " ",IF(INDEX($AB$2:$AQ$1001,MATCH(ROWS($U$2:U567),$U$2:$U$1001,0),MATCH(COLUMNS($AB$1006:AN1006),$AB$1006:$AQ$1006,0)), HYPERLINK("#",""), HYPERLINK(CONCATENATE("#Metadata!", ADDRESS(INDEX($W$2:$W$1001,MATCH(ROWS($U$2:U567),$U$2:$U$1001,0),0), INDEX($AB$1004:$AQ$1004,1,MATCH(COLUMNS($AB$1006:AN1006),$AB$1006:$AQ$1006,0)))),"Fix")))</f>
        <v>0</v>
      </c>
      <c r="O567" s="5">
        <f>IF(OR(INDEX($V$2:$V$1001,MATCH(ROWS($U$2:U567),$U$2:$U$1001,0),1)&gt;=100000,INDEX($AB$1005:$AQ$1005,1,MATCH(COLUMNS($AB$1006:AO1006),$AB$1006:$AQ$1006,0))&gt;=100000), " ",IF(INDEX($AB$2:$AQ$1001,MATCH(ROWS($U$2:U567),$U$2:$U$1001,0),MATCH(COLUMNS($AB$1006:AO1006),$AB$1006:$AQ$1006,0)), HYPERLINK("#",""), HYPERLINK(CONCATENATE("#Metadata!", ADDRESS(INDEX($W$2:$W$1001,MATCH(ROWS($U$2:U567),$U$2:$U$1001,0),0), INDEX($AB$1004:$AQ$1004,1,MATCH(COLUMNS($AB$1006:AO1006),$AB$1006:$AQ$1006,0)))),"Fix")))</f>
        <v>0</v>
      </c>
      <c r="P567" s="5">
        <f>IF(OR(INDEX($V$2:$V$1001,MATCH(ROWS($U$2:U567),$U$2:$U$1001,0),1)&gt;=100000,INDEX($AB$1005:$AQ$1005,1,MATCH(COLUMNS($AB$1006:AP1006),$AB$1006:$AQ$1006,0))&gt;=100000), " ",IF(INDEX($AB$2:$AQ$1001,MATCH(ROWS($U$2:U567),$U$2:$U$1001,0),MATCH(COLUMNS($AB$1006:AP1006),$AB$1006:$AQ$1006,0)), HYPERLINK("#",""), HYPERLINK(CONCATENATE("#Metadata!", ADDRESS(INDEX($W$2:$W$1001,MATCH(ROWS($U$2:U567),$U$2:$U$1001,0),0), INDEX($AB$1004:$AQ$1004,1,MATCH(COLUMNS($AB$1006:AP1006),$AB$1006:$AQ$1006,0)))),"Fix")))</f>
        <v>0</v>
      </c>
      <c r="Q567" s="5">
        <f>IF(OR(INDEX($V$2:$V$1001,MATCH(ROWS($U$2:U567),$U$2:$U$1001,0),1)&gt;=100000,INDEX($AB$1005:$AQ$1005,1,MATCH(COLUMNS($AB$1006:AQ1006),$AB$1006:$AQ$1006,0))&gt;=100000), " ",IF(INDEX($AB$2:$AQ$1001,MATCH(ROWS($U$2:U567),$U$2:$U$1001,0),MATCH(COLUMNS($AB$1006:AQ1006),$AB$1006:$AQ$1006,0)), HYPERLINK("#",""), HYPERLINK(CONCATENATE("#Metadata!", ADDRESS(INDEX($W$2:$W$1001,MATCH(ROWS($U$2:U567),$U$2:$U$1001,0),0), INDEX($AB$1004:$AQ$1004,1,MATCH(COLUMNS($AB$1006:AQ1006),$AB$1006:$AQ$1006,0)))),"Fix")))</f>
        <v>0</v>
      </c>
      <c r="U567">
        <v>0</v>
      </c>
      <c r="V567">
        <v>0</v>
      </c>
      <c r="W567">
        <v>0</v>
      </c>
      <c r="X567">
        <f>IF(Y567,TRUE,AND(AB567:AQ567))</f>
        <v>0</v>
      </c>
      <c r="Y567">
        <f>COUNTBLANK(Metadata!B567:Q567)=COLUMNS(Metadata!B567:Q567)</f>
        <v>0</v>
      </c>
      <c r="Z567">
        <v>0</v>
      </c>
      <c r="AB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AC567">
        <f>AND(IF(Metadata!C567="",FALSE,TRUE),exact(Metadata!C567,"urban biome"))</f>
        <v>0</v>
      </c>
      <c r="AD567">
        <f>AND(IF(Metadata!D567="",FALSE,TRUE),exact(Metadata!D567,"human-associated habitat"))</f>
        <v>0</v>
      </c>
      <c r="AE567">
        <f>AND(IF(Metadata!E567="",FALSE,TRUE),OR(exact(Metadata!E567,"human-associated"),exact(Metadata!E567,"human-skin"),exact(Metadata!E567,"human-oral"),exact(Metadata!E567,"human-gut"),exact(Metadata!E567,"human-vaginal")))</f>
        <v>0</v>
      </c>
      <c r="AF567">
        <f>AND(IF(Metadata!F567="",FALSE,ISNUMBER(VALUE(Metadata!F567))),Metadata!F567&gt;0)</f>
        <v>0</v>
      </c>
      <c r="AG567">
        <f>AND(IF(Metadata!G567="",FALSE,TRUE),exact(Metadata!G567,"years"))</f>
        <v>0</v>
      </c>
      <c r="AH567">
        <f>OR(AND(IF(Metadata!H567="",FALSE,TRUE),OR(exact(Metadata!H567,"not applicable"),exact(Metadata!H567,"not collected"),exact(Metadata!H567,"not provided"),exact(Metadata!H567,"restricted access"))),AND(IF(Metadata!H567="",FALSE,ISNUMBER(VALUE(Metadata!H567))),Metadata!H567&gt;0))</f>
        <v>0</v>
      </c>
      <c r="AI567">
        <f>AND(IF(Metadata!I567="",FALSE,TRUE),exact(Metadata!I567,"human"))</f>
        <v>0</v>
      </c>
      <c r="AJ567">
        <f>AND(IF(Metadata!J567="",FALSE,ISNUMBER(VALUE(Metadata!J567))),Metadata!J567&gt;0)</f>
        <v>0</v>
      </c>
      <c r="AK567">
        <f>AND(IF(Metadata!K567="",FALSE,TRUE),exact(Metadata!K567,"cm"))</f>
        <v>0</v>
      </c>
      <c r="AL567">
        <f>AND(IF(Metadata!L567="",FALSE,TRUE),exact(Metadata!L567,"Homo sapiens"))</f>
        <v>0</v>
      </c>
      <c r="AM567">
        <f>AND(IF(Metadata!M567="",FALSE,TRUE),exact(Metadata!M567,"9606"))</f>
        <v>0</v>
      </c>
      <c r="AN567">
        <f>AND(IF(Metadata!N567="",FALSE,ISNUMBER(VALUE(Metadata!N567))),Metadata!N567&gt;0)</f>
        <v>0</v>
      </c>
      <c r="AO567">
        <f>AND(IF(Metadata!O567="",FALSE,TRUE),exact(Metadata!O567,"kg"))</f>
        <v>0</v>
      </c>
      <c r="AP567">
        <f>OR(AND(IF(Metadata!P567="",FALSE,TRUE),exact(Metadata!P567,"not provided")),IF(Metadata!P567="",FALSE,TRUE))</f>
        <v>0</v>
      </c>
      <c r="AQ567">
        <f>OR(AND(IF(Metadata!Q567="",FALSE,TRUE),exact(Metadata!Q567,"not provided")),IF(Metadata!Q567="",FALSE,TRUE))</f>
        <v>0</v>
      </c>
    </row>
    <row r="568" spans="1:43">
      <c r="A568" s="4">
        <f>IF(B568=" "," ",HYPERLINK(CONCATENATE("#metadata!",ADDRESS(INDEX($W$2:$W$1001,MATCH(ROWS($U$2:U568),$U$2:$U$1001,0),0),2)),INDEX($Z$2:$Z$1001,MATCH(ROWS($U$2:U568),$U$2:$U$1001,0),0)))</f>
        <v>0</v>
      </c>
      <c r="B568" s="5">
        <f>IF(OR(INDEX($V$2:$V$1001,MATCH(ROWS($U$2:U568),$U$2:$U$1001,0),1)&gt;=100000,INDEX($AB$1005:$AQ$1005,1,MATCH(COLUMNS($AB$1006:AB1006),$AB$1006:$AQ$1006,0))&gt;=100000), " ",IF(INDEX($AB$2:$AQ$1001,MATCH(ROWS($U$2:U568),$U$2:$U$1001,0),MATCH(COLUMNS($AB$1006:AB1006),$AB$1006:$AQ$1006,0)), HYPERLINK("#",""), HYPERLINK(CONCATENATE("#Metadata!", ADDRESS(INDEX($W$2:$W$1001,MATCH(ROWS($U$2:U568),$U$2:$U$1001,0),0), INDEX($AB$1004:$AQ$1004,1,MATCH(COLUMNS($AB$1006:AB1006),$AB$1006:$AQ$1006,0)))),"Fix")))</f>
        <v>0</v>
      </c>
      <c r="C568" s="5">
        <f>IF(OR(INDEX($V$2:$V$1001,MATCH(ROWS($U$2:U568),$U$2:$U$1001,0),1)&gt;=100000,INDEX($AB$1005:$AQ$1005,1,MATCH(COLUMNS($AB$1006:AC1006),$AB$1006:$AQ$1006,0))&gt;=100000), " ",IF(INDEX($AB$2:$AQ$1001,MATCH(ROWS($U$2:U568),$U$2:$U$1001,0),MATCH(COLUMNS($AB$1006:AC1006),$AB$1006:$AQ$1006,0)), HYPERLINK("#",""), HYPERLINK(CONCATENATE("#Metadata!", ADDRESS(INDEX($W$2:$W$1001,MATCH(ROWS($U$2:U568),$U$2:$U$1001,0),0), INDEX($AB$1004:$AQ$1004,1,MATCH(COLUMNS($AB$1006:AC1006),$AB$1006:$AQ$1006,0)))),"Fix")))</f>
        <v>0</v>
      </c>
      <c r="D568" s="5">
        <f>IF(OR(INDEX($V$2:$V$1001,MATCH(ROWS($U$2:U568),$U$2:$U$1001,0),1)&gt;=100000,INDEX($AB$1005:$AQ$1005,1,MATCH(COLUMNS($AB$1006:AD1006),$AB$1006:$AQ$1006,0))&gt;=100000), " ",IF(INDEX($AB$2:$AQ$1001,MATCH(ROWS($U$2:U568),$U$2:$U$1001,0),MATCH(COLUMNS($AB$1006:AD1006),$AB$1006:$AQ$1006,0)), HYPERLINK("#",""), HYPERLINK(CONCATENATE("#Metadata!", ADDRESS(INDEX($W$2:$W$1001,MATCH(ROWS($U$2:U568),$U$2:$U$1001,0),0), INDEX($AB$1004:$AQ$1004,1,MATCH(COLUMNS($AB$1006:AD1006),$AB$1006:$AQ$1006,0)))),"Fix")))</f>
        <v>0</v>
      </c>
      <c r="E568" s="5">
        <f>IF(OR(INDEX($V$2:$V$1001,MATCH(ROWS($U$2:U568),$U$2:$U$1001,0),1)&gt;=100000,INDEX($AB$1005:$AQ$1005,1,MATCH(COLUMNS($AB$1006:AE1006),$AB$1006:$AQ$1006,0))&gt;=100000), " ",IF(INDEX($AB$2:$AQ$1001,MATCH(ROWS($U$2:U568),$U$2:$U$1001,0),MATCH(COLUMNS($AB$1006:AE1006),$AB$1006:$AQ$1006,0)), HYPERLINK("#",""), HYPERLINK(CONCATENATE("#Metadata!", ADDRESS(INDEX($W$2:$W$1001,MATCH(ROWS($U$2:U568),$U$2:$U$1001,0),0), INDEX($AB$1004:$AQ$1004,1,MATCH(COLUMNS($AB$1006:AE1006),$AB$1006:$AQ$1006,0)))),"Fix")))</f>
        <v>0</v>
      </c>
      <c r="F568" s="5">
        <f>IF(OR(INDEX($V$2:$V$1001,MATCH(ROWS($U$2:U568),$U$2:$U$1001,0),1)&gt;=100000,INDEX($AB$1005:$AQ$1005,1,MATCH(COLUMNS($AB$1006:AF1006),$AB$1006:$AQ$1006,0))&gt;=100000), " ",IF(INDEX($AB$2:$AQ$1001,MATCH(ROWS($U$2:U568),$U$2:$U$1001,0),MATCH(COLUMNS($AB$1006:AF1006),$AB$1006:$AQ$1006,0)), HYPERLINK("#",""), HYPERLINK(CONCATENATE("#Metadata!", ADDRESS(INDEX($W$2:$W$1001,MATCH(ROWS($U$2:U568),$U$2:$U$1001,0),0), INDEX($AB$1004:$AQ$1004,1,MATCH(COLUMNS($AB$1006:AF1006),$AB$1006:$AQ$1006,0)))),"Fix")))</f>
        <v>0</v>
      </c>
      <c r="G568" s="5">
        <f>IF(OR(INDEX($V$2:$V$1001,MATCH(ROWS($U$2:U568),$U$2:$U$1001,0),1)&gt;=100000,INDEX($AB$1005:$AQ$1005,1,MATCH(COLUMNS($AB$1006:AG1006),$AB$1006:$AQ$1006,0))&gt;=100000), " ",IF(INDEX($AB$2:$AQ$1001,MATCH(ROWS($U$2:U568),$U$2:$U$1001,0),MATCH(COLUMNS($AB$1006:AG1006),$AB$1006:$AQ$1006,0)), HYPERLINK("#",""), HYPERLINK(CONCATENATE("#Metadata!", ADDRESS(INDEX($W$2:$W$1001,MATCH(ROWS($U$2:U568),$U$2:$U$1001,0),0), INDEX($AB$1004:$AQ$1004,1,MATCH(COLUMNS($AB$1006:AG1006),$AB$1006:$AQ$1006,0)))),"Fix")))</f>
        <v>0</v>
      </c>
      <c r="H568" s="5">
        <f>IF(OR(INDEX($V$2:$V$1001,MATCH(ROWS($U$2:U568),$U$2:$U$1001,0),1)&gt;=100000,INDEX($AB$1005:$AQ$1005,1,MATCH(COLUMNS($AB$1006:AH1006),$AB$1006:$AQ$1006,0))&gt;=100000), " ",IF(INDEX($AB$2:$AQ$1001,MATCH(ROWS($U$2:U568),$U$2:$U$1001,0),MATCH(COLUMNS($AB$1006:AH1006),$AB$1006:$AQ$1006,0)), HYPERLINK("#",""), HYPERLINK(CONCATENATE("#Metadata!", ADDRESS(INDEX($W$2:$W$1001,MATCH(ROWS($U$2:U568),$U$2:$U$1001,0),0), INDEX($AB$1004:$AQ$1004,1,MATCH(COLUMNS($AB$1006:AH1006),$AB$1006:$AQ$1006,0)))),"Fix")))</f>
        <v>0</v>
      </c>
      <c r="I568" s="5">
        <f>IF(OR(INDEX($V$2:$V$1001,MATCH(ROWS($U$2:U568),$U$2:$U$1001,0),1)&gt;=100000,INDEX($AB$1005:$AQ$1005,1,MATCH(COLUMNS($AB$1006:AI1006),$AB$1006:$AQ$1006,0))&gt;=100000), " ",IF(INDEX($AB$2:$AQ$1001,MATCH(ROWS($U$2:U568),$U$2:$U$1001,0),MATCH(COLUMNS($AB$1006:AI1006),$AB$1006:$AQ$1006,0)), HYPERLINK("#",""), HYPERLINK(CONCATENATE("#Metadata!", ADDRESS(INDEX($W$2:$W$1001,MATCH(ROWS($U$2:U568),$U$2:$U$1001,0),0), INDEX($AB$1004:$AQ$1004,1,MATCH(COLUMNS($AB$1006:AI1006),$AB$1006:$AQ$1006,0)))),"Fix")))</f>
        <v>0</v>
      </c>
      <c r="J568" s="5">
        <f>IF(OR(INDEX($V$2:$V$1001,MATCH(ROWS($U$2:U568),$U$2:$U$1001,0),1)&gt;=100000,INDEX($AB$1005:$AQ$1005,1,MATCH(COLUMNS($AB$1006:AJ1006),$AB$1006:$AQ$1006,0))&gt;=100000), " ",IF(INDEX($AB$2:$AQ$1001,MATCH(ROWS($U$2:U568),$U$2:$U$1001,0),MATCH(COLUMNS($AB$1006:AJ1006),$AB$1006:$AQ$1006,0)), HYPERLINK("#",""), HYPERLINK(CONCATENATE("#Metadata!", ADDRESS(INDEX($W$2:$W$1001,MATCH(ROWS($U$2:U568),$U$2:$U$1001,0),0), INDEX($AB$1004:$AQ$1004,1,MATCH(COLUMNS($AB$1006:AJ1006),$AB$1006:$AQ$1006,0)))),"Fix")))</f>
        <v>0</v>
      </c>
      <c r="K568" s="5">
        <f>IF(OR(INDEX($V$2:$V$1001,MATCH(ROWS($U$2:U568),$U$2:$U$1001,0),1)&gt;=100000,INDEX($AB$1005:$AQ$1005,1,MATCH(COLUMNS($AB$1006:AK1006),$AB$1006:$AQ$1006,0))&gt;=100000), " ",IF(INDEX($AB$2:$AQ$1001,MATCH(ROWS($U$2:U568),$U$2:$U$1001,0),MATCH(COLUMNS($AB$1006:AK1006),$AB$1006:$AQ$1006,0)), HYPERLINK("#",""), HYPERLINK(CONCATENATE("#Metadata!", ADDRESS(INDEX($W$2:$W$1001,MATCH(ROWS($U$2:U568),$U$2:$U$1001,0),0), INDEX($AB$1004:$AQ$1004,1,MATCH(COLUMNS($AB$1006:AK1006),$AB$1006:$AQ$1006,0)))),"Fix")))</f>
        <v>0</v>
      </c>
      <c r="L568" s="5">
        <f>IF(OR(INDEX($V$2:$V$1001,MATCH(ROWS($U$2:U568),$U$2:$U$1001,0),1)&gt;=100000,INDEX($AB$1005:$AQ$1005,1,MATCH(COLUMNS($AB$1006:AL1006),$AB$1006:$AQ$1006,0))&gt;=100000), " ",IF(INDEX($AB$2:$AQ$1001,MATCH(ROWS($U$2:U568),$U$2:$U$1001,0),MATCH(COLUMNS($AB$1006:AL1006),$AB$1006:$AQ$1006,0)), HYPERLINK("#",""), HYPERLINK(CONCATENATE("#Metadata!", ADDRESS(INDEX($W$2:$W$1001,MATCH(ROWS($U$2:U568),$U$2:$U$1001,0),0), INDEX($AB$1004:$AQ$1004,1,MATCH(COLUMNS($AB$1006:AL1006),$AB$1006:$AQ$1006,0)))),"Fix")))</f>
        <v>0</v>
      </c>
      <c r="M568" s="5">
        <f>IF(OR(INDEX($V$2:$V$1001,MATCH(ROWS($U$2:U568),$U$2:$U$1001,0),1)&gt;=100000,INDEX($AB$1005:$AQ$1005,1,MATCH(COLUMNS($AB$1006:AM1006),$AB$1006:$AQ$1006,0))&gt;=100000), " ",IF(INDEX($AB$2:$AQ$1001,MATCH(ROWS($U$2:U568),$U$2:$U$1001,0),MATCH(COLUMNS($AB$1006:AM1006),$AB$1006:$AQ$1006,0)), HYPERLINK("#",""), HYPERLINK(CONCATENATE("#Metadata!", ADDRESS(INDEX($W$2:$W$1001,MATCH(ROWS($U$2:U568),$U$2:$U$1001,0),0), INDEX($AB$1004:$AQ$1004,1,MATCH(COLUMNS($AB$1006:AM1006),$AB$1006:$AQ$1006,0)))),"Fix")))</f>
        <v>0</v>
      </c>
      <c r="N568" s="5">
        <f>IF(OR(INDEX($V$2:$V$1001,MATCH(ROWS($U$2:U568),$U$2:$U$1001,0),1)&gt;=100000,INDEX($AB$1005:$AQ$1005,1,MATCH(COLUMNS($AB$1006:AN1006),$AB$1006:$AQ$1006,0))&gt;=100000), " ",IF(INDEX($AB$2:$AQ$1001,MATCH(ROWS($U$2:U568),$U$2:$U$1001,0),MATCH(COLUMNS($AB$1006:AN1006),$AB$1006:$AQ$1006,0)), HYPERLINK("#",""), HYPERLINK(CONCATENATE("#Metadata!", ADDRESS(INDEX($W$2:$W$1001,MATCH(ROWS($U$2:U568),$U$2:$U$1001,0),0), INDEX($AB$1004:$AQ$1004,1,MATCH(COLUMNS($AB$1006:AN1006),$AB$1006:$AQ$1006,0)))),"Fix")))</f>
        <v>0</v>
      </c>
      <c r="O568" s="5">
        <f>IF(OR(INDEX($V$2:$V$1001,MATCH(ROWS($U$2:U568),$U$2:$U$1001,0),1)&gt;=100000,INDEX($AB$1005:$AQ$1005,1,MATCH(COLUMNS($AB$1006:AO1006),$AB$1006:$AQ$1006,0))&gt;=100000), " ",IF(INDEX($AB$2:$AQ$1001,MATCH(ROWS($U$2:U568),$U$2:$U$1001,0),MATCH(COLUMNS($AB$1006:AO1006),$AB$1006:$AQ$1006,0)), HYPERLINK("#",""), HYPERLINK(CONCATENATE("#Metadata!", ADDRESS(INDEX($W$2:$W$1001,MATCH(ROWS($U$2:U568),$U$2:$U$1001,0),0), INDEX($AB$1004:$AQ$1004,1,MATCH(COLUMNS($AB$1006:AO1006),$AB$1006:$AQ$1006,0)))),"Fix")))</f>
        <v>0</v>
      </c>
      <c r="P568" s="5">
        <f>IF(OR(INDEX($V$2:$V$1001,MATCH(ROWS($U$2:U568),$U$2:$U$1001,0),1)&gt;=100000,INDEX($AB$1005:$AQ$1005,1,MATCH(COLUMNS($AB$1006:AP1006),$AB$1006:$AQ$1006,0))&gt;=100000), " ",IF(INDEX($AB$2:$AQ$1001,MATCH(ROWS($U$2:U568),$U$2:$U$1001,0),MATCH(COLUMNS($AB$1006:AP1006),$AB$1006:$AQ$1006,0)), HYPERLINK("#",""), HYPERLINK(CONCATENATE("#Metadata!", ADDRESS(INDEX($W$2:$W$1001,MATCH(ROWS($U$2:U568),$U$2:$U$1001,0),0), INDEX($AB$1004:$AQ$1004,1,MATCH(COLUMNS($AB$1006:AP1006),$AB$1006:$AQ$1006,0)))),"Fix")))</f>
        <v>0</v>
      </c>
      <c r="Q568" s="5">
        <f>IF(OR(INDEX($V$2:$V$1001,MATCH(ROWS($U$2:U568),$U$2:$U$1001,0),1)&gt;=100000,INDEX($AB$1005:$AQ$1005,1,MATCH(COLUMNS($AB$1006:AQ1006),$AB$1006:$AQ$1006,0))&gt;=100000), " ",IF(INDEX($AB$2:$AQ$1001,MATCH(ROWS($U$2:U568),$U$2:$U$1001,0),MATCH(COLUMNS($AB$1006:AQ1006),$AB$1006:$AQ$1006,0)), HYPERLINK("#",""), HYPERLINK(CONCATENATE("#Metadata!", ADDRESS(INDEX($W$2:$W$1001,MATCH(ROWS($U$2:U568),$U$2:$U$1001,0),0), INDEX($AB$1004:$AQ$1004,1,MATCH(COLUMNS($AB$1006:AQ1006),$AB$1006:$AQ$1006,0)))),"Fix")))</f>
        <v>0</v>
      </c>
      <c r="U568">
        <v>0</v>
      </c>
      <c r="V568">
        <v>0</v>
      </c>
      <c r="W568">
        <v>0</v>
      </c>
      <c r="X568">
        <f>IF(Y568,TRUE,AND(AB568:AQ568))</f>
        <v>0</v>
      </c>
      <c r="Y568">
        <f>COUNTBLANK(Metadata!B568:Q568)=COLUMNS(Metadata!B568:Q568)</f>
        <v>0</v>
      </c>
      <c r="Z568">
        <v>0</v>
      </c>
      <c r="AB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AC568">
        <f>AND(IF(Metadata!C568="",FALSE,TRUE),exact(Metadata!C568,"urban biome"))</f>
        <v>0</v>
      </c>
      <c r="AD568">
        <f>AND(IF(Metadata!D568="",FALSE,TRUE),exact(Metadata!D568,"human-associated habitat"))</f>
        <v>0</v>
      </c>
      <c r="AE568">
        <f>AND(IF(Metadata!E568="",FALSE,TRUE),OR(exact(Metadata!E568,"human-associated"),exact(Metadata!E568,"human-skin"),exact(Metadata!E568,"human-oral"),exact(Metadata!E568,"human-gut"),exact(Metadata!E568,"human-vaginal")))</f>
        <v>0</v>
      </c>
      <c r="AF568">
        <f>AND(IF(Metadata!F568="",FALSE,ISNUMBER(VALUE(Metadata!F568))),Metadata!F568&gt;0)</f>
        <v>0</v>
      </c>
      <c r="AG568">
        <f>AND(IF(Metadata!G568="",FALSE,TRUE),exact(Metadata!G568,"years"))</f>
        <v>0</v>
      </c>
      <c r="AH568">
        <f>OR(AND(IF(Metadata!H568="",FALSE,TRUE),OR(exact(Metadata!H568,"not applicable"),exact(Metadata!H568,"not collected"),exact(Metadata!H568,"not provided"),exact(Metadata!H568,"restricted access"))),AND(IF(Metadata!H568="",FALSE,ISNUMBER(VALUE(Metadata!H568))),Metadata!H568&gt;0))</f>
        <v>0</v>
      </c>
      <c r="AI568">
        <f>AND(IF(Metadata!I568="",FALSE,TRUE),exact(Metadata!I568,"human"))</f>
        <v>0</v>
      </c>
      <c r="AJ568">
        <f>AND(IF(Metadata!J568="",FALSE,ISNUMBER(VALUE(Metadata!J568))),Metadata!J568&gt;0)</f>
        <v>0</v>
      </c>
      <c r="AK568">
        <f>AND(IF(Metadata!K568="",FALSE,TRUE),exact(Metadata!K568,"cm"))</f>
        <v>0</v>
      </c>
      <c r="AL568">
        <f>AND(IF(Metadata!L568="",FALSE,TRUE),exact(Metadata!L568,"Homo sapiens"))</f>
        <v>0</v>
      </c>
      <c r="AM568">
        <f>AND(IF(Metadata!M568="",FALSE,TRUE),exact(Metadata!M568,"9606"))</f>
        <v>0</v>
      </c>
      <c r="AN568">
        <f>AND(IF(Metadata!N568="",FALSE,ISNUMBER(VALUE(Metadata!N568))),Metadata!N568&gt;0)</f>
        <v>0</v>
      </c>
      <c r="AO568">
        <f>AND(IF(Metadata!O568="",FALSE,TRUE),exact(Metadata!O568,"kg"))</f>
        <v>0</v>
      </c>
      <c r="AP568">
        <f>OR(AND(IF(Metadata!P568="",FALSE,TRUE),exact(Metadata!P568,"not provided")),IF(Metadata!P568="",FALSE,TRUE))</f>
        <v>0</v>
      </c>
      <c r="AQ568">
        <f>OR(AND(IF(Metadata!Q568="",FALSE,TRUE),exact(Metadata!Q568,"not provided")),IF(Metadata!Q568="",FALSE,TRUE))</f>
        <v>0</v>
      </c>
    </row>
    <row r="569" spans="1:43">
      <c r="A569" s="4">
        <f>IF(B569=" "," ",HYPERLINK(CONCATENATE("#metadata!",ADDRESS(INDEX($W$2:$W$1001,MATCH(ROWS($U$2:U569),$U$2:$U$1001,0),0),2)),INDEX($Z$2:$Z$1001,MATCH(ROWS($U$2:U569),$U$2:$U$1001,0),0)))</f>
        <v>0</v>
      </c>
      <c r="B569" s="5">
        <f>IF(OR(INDEX($V$2:$V$1001,MATCH(ROWS($U$2:U569),$U$2:$U$1001,0),1)&gt;=100000,INDEX($AB$1005:$AQ$1005,1,MATCH(COLUMNS($AB$1006:AB1006),$AB$1006:$AQ$1006,0))&gt;=100000), " ",IF(INDEX($AB$2:$AQ$1001,MATCH(ROWS($U$2:U569),$U$2:$U$1001,0),MATCH(COLUMNS($AB$1006:AB1006),$AB$1006:$AQ$1006,0)), HYPERLINK("#",""), HYPERLINK(CONCATENATE("#Metadata!", ADDRESS(INDEX($W$2:$W$1001,MATCH(ROWS($U$2:U569),$U$2:$U$1001,0),0), INDEX($AB$1004:$AQ$1004,1,MATCH(COLUMNS($AB$1006:AB1006),$AB$1006:$AQ$1006,0)))),"Fix")))</f>
        <v>0</v>
      </c>
      <c r="C569" s="5">
        <f>IF(OR(INDEX($V$2:$V$1001,MATCH(ROWS($U$2:U569),$U$2:$U$1001,0),1)&gt;=100000,INDEX($AB$1005:$AQ$1005,1,MATCH(COLUMNS($AB$1006:AC1006),$AB$1006:$AQ$1006,0))&gt;=100000), " ",IF(INDEX($AB$2:$AQ$1001,MATCH(ROWS($U$2:U569),$U$2:$U$1001,0),MATCH(COLUMNS($AB$1006:AC1006),$AB$1006:$AQ$1006,0)), HYPERLINK("#",""), HYPERLINK(CONCATENATE("#Metadata!", ADDRESS(INDEX($W$2:$W$1001,MATCH(ROWS($U$2:U569),$U$2:$U$1001,0),0), INDEX($AB$1004:$AQ$1004,1,MATCH(COLUMNS($AB$1006:AC1006),$AB$1006:$AQ$1006,0)))),"Fix")))</f>
        <v>0</v>
      </c>
      <c r="D569" s="5">
        <f>IF(OR(INDEX($V$2:$V$1001,MATCH(ROWS($U$2:U569),$U$2:$U$1001,0),1)&gt;=100000,INDEX($AB$1005:$AQ$1005,1,MATCH(COLUMNS($AB$1006:AD1006),$AB$1006:$AQ$1006,0))&gt;=100000), " ",IF(INDEX($AB$2:$AQ$1001,MATCH(ROWS($U$2:U569),$U$2:$U$1001,0),MATCH(COLUMNS($AB$1006:AD1006),$AB$1006:$AQ$1006,0)), HYPERLINK("#",""), HYPERLINK(CONCATENATE("#Metadata!", ADDRESS(INDEX($W$2:$W$1001,MATCH(ROWS($U$2:U569),$U$2:$U$1001,0),0), INDEX($AB$1004:$AQ$1004,1,MATCH(COLUMNS($AB$1006:AD1006),$AB$1006:$AQ$1006,0)))),"Fix")))</f>
        <v>0</v>
      </c>
      <c r="E569" s="5">
        <f>IF(OR(INDEX($V$2:$V$1001,MATCH(ROWS($U$2:U569),$U$2:$U$1001,0),1)&gt;=100000,INDEX($AB$1005:$AQ$1005,1,MATCH(COLUMNS($AB$1006:AE1006),$AB$1006:$AQ$1006,0))&gt;=100000), " ",IF(INDEX($AB$2:$AQ$1001,MATCH(ROWS($U$2:U569),$U$2:$U$1001,0),MATCH(COLUMNS($AB$1006:AE1006),$AB$1006:$AQ$1006,0)), HYPERLINK("#",""), HYPERLINK(CONCATENATE("#Metadata!", ADDRESS(INDEX($W$2:$W$1001,MATCH(ROWS($U$2:U569),$U$2:$U$1001,0),0), INDEX($AB$1004:$AQ$1004,1,MATCH(COLUMNS($AB$1006:AE1006),$AB$1006:$AQ$1006,0)))),"Fix")))</f>
        <v>0</v>
      </c>
      <c r="F569" s="5">
        <f>IF(OR(INDEX($V$2:$V$1001,MATCH(ROWS($U$2:U569),$U$2:$U$1001,0),1)&gt;=100000,INDEX($AB$1005:$AQ$1005,1,MATCH(COLUMNS($AB$1006:AF1006),$AB$1006:$AQ$1006,0))&gt;=100000), " ",IF(INDEX($AB$2:$AQ$1001,MATCH(ROWS($U$2:U569),$U$2:$U$1001,0),MATCH(COLUMNS($AB$1006:AF1006),$AB$1006:$AQ$1006,0)), HYPERLINK("#",""), HYPERLINK(CONCATENATE("#Metadata!", ADDRESS(INDEX($W$2:$W$1001,MATCH(ROWS($U$2:U569),$U$2:$U$1001,0),0), INDEX($AB$1004:$AQ$1004,1,MATCH(COLUMNS($AB$1006:AF1006),$AB$1006:$AQ$1006,0)))),"Fix")))</f>
        <v>0</v>
      </c>
      <c r="G569" s="5">
        <f>IF(OR(INDEX($V$2:$V$1001,MATCH(ROWS($U$2:U569),$U$2:$U$1001,0),1)&gt;=100000,INDEX($AB$1005:$AQ$1005,1,MATCH(COLUMNS($AB$1006:AG1006),$AB$1006:$AQ$1006,0))&gt;=100000), " ",IF(INDEX($AB$2:$AQ$1001,MATCH(ROWS($U$2:U569),$U$2:$U$1001,0),MATCH(COLUMNS($AB$1006:AG1006),$AB$1006:$AQ$1006,0)), HYPERLINK("#",""), HYPERLINK(CONCATENATE("#Metadata!", ADDRESS(INDEX($W$2:$W$1001,MATCH(ROWS($U$2:U569),$U$2:$U$1001,0),0), INDEX($AB$1004:$AQ$1004,1,MATCH(COLUMNS($AB$1006:AG1006),$AB$1006:$AQ$1006,0)))),"Fix")))</f>
        <v>0</v>
      </c>
      <c r="H569" s="5">
        <f>IF(OR(INDEX($V$2:$V$1001,MATCH(ROWS($U$2:U569),$U$2:$U$1001,0),1)&gt;=100000,INDEX($AB$1005:$AQ$1005,1,MATCH(COLUMNS($AB$1006:AH1006),$AB$1006:$AQ$1006,0))&gt;=100000), " ",IF(INDEX($AB$2:$AQ$1001,MATCH(ROWS($U$2:U569),$U$2:$U$1001,0),MATCH(COLUMNS($AB$1006:AH1006),$AB$1006:$AQ$1006,0)), HYPERLINK("#",""), HYPERLINK(CONCATENATE("#Metadata!", ADDRESS(INDEX($W$2:$W$1001,MATCH(ROWS($U$2:U569),$U$2:$U$1001,0),0), INDEX($AB$1004:$AQ$1004,1,MATCH(COLUMNS($AB$1006:AH1006),$AB$1006:$AQ$1006,0)))),"Fix")))</f>
        <v>0</v>
      </c>
      <c r="I569" s="5">
        <f>IF(OR(INDEX($V$2:$V$1001,MATCH(ROWS($U$2:U569),$U$2:$U$1001,0),1)&gt;=100000,INDEX($AB$1005:$AQ$1005,1,MATCH(COLUMNS($AB$1006:AI1006),$AB$1006:$AQ$1006,0))&gt;=100000), " ",IF(INDEX($AB$2:$AQ$1001,MATCH(ROWS($U$2:U569),$U$2:$U$1001,0),MATCH(COLUMNS($AB$1006:AI1006),$AB$1006:$AQ$1006,0)), HYPERLINK("#",""), HYPERLINK(CONCATENATE("#Metadata!", ADDRESS(INDEX($W$2:$W$1001,MATCH(ROWS($U$2:U569),$U$2:$U$1001,0),0), INDEX($AB$1004:$AQ$1004,1,MATCH(COLUMNS($AB$1006:AI1006),$AB$1006:$AQ$1006,0)))),"Fix")))</f>
        <v>0</v>
      </c>
      <c r="J569" s="5">
        <f>IF(OR(INDEX($V$2:$V$1001,MATCH(ROWS($U$2:U569),$U$2:$U$1001,0),1)&gt;=100000,INDEX($AB$1005:$AQ$1005,1,MATCH(COLUMNS($AB$1006:AJ1006),$AB$1006:$AQ$1006,0))&gt;=100000), " ",IF(INDEX($AB$2:$AQ$1001,MATCH(ROWS($U$2:U569),$U$2:$U$1001,0),MATCH(COLUMNS($AB$1006:AJ1006),$AB$1006:$AQ$1006,0)), HYPERLINK("#",""), HYPERLINK(CONCATENATE("#Metadata!", ADDRESS(INDEX($W$2:$W$1001,MATCH(ROWS($U$2:U569),$U$2:$U$1001,0),0), INDEX($AB$1004:$AQ$1004,1,MATCH(COLUMNS($AB$1006:AJ1006),$AB$1006:$AQ$1006,0)))),"Fix")))</f>
        <v>0</v>
      </c>
      <c r="K569" s="5">
        <f>IF(OR(INDEX($V$2:$V$1001,MATCH(ROWS($U$2:U569),$U$2:$U$1001,0),1)&gt;=100000,INDEX($AB$1005:$AQ$1005,1,MATCH(COLUMNS($AB$1006:AK1006),$AB$1006:$AQ$1006,0))&gt;=100000), " ",IF(INDEX($AB$2:$AQ$1001,MATCH(ROWS($U$2:U569),$U$2:$U$1001,0),MATCH(COLUMNS($AB$1006:AK1006),$AB$1006:$AQ$1006,0)), HYPERLINK("#",""), HYPERLINK(CONCATENATE("#Metadata!", ADDRESS(INDEX($W$2:$W$1001,MATCH(ROWS($U$2:U569),$U$2:$U$1001,0),0), INDEX($AB$1004:$AQ$1004,1,MATCH(COLUMNS($AB$1006:AK1006),$AB$1006:$AQ$1006,0)))),"Fix")))</f>
        <v>0</v>
      </c>
      <c r="L569" s="5">
        <f>IF(OR(INDEX($V$2:$V$1001,MATCH(ROWS($U$2:U569),$U$2:$U$1001,0),1)&gt;=100000,INDEX($AB$1005:$AQ$1005,1,MATCH(COLUMNS($AB$1006:AL1006),$AB$1006:$AQ$1006,0))&gt;=100000), " ",IF(INDEX($AB$2:$AQ$1001,MATCH(ROWS($U$2:U569),$U$2:$U$1001,0),MATCH(COLUMNS($AB$1006:AL1006),$AB$1006:$AQ$1006,0)), HYPERLINK("#",""), HYPERLINK(CONCATENATE("#Metadata!", ADDRESS(INDEX($W$2:$W$1001,MATCH(ROWS($U$2:U569),$U$2:$U$1001,0),0), INDEX($AB$1004:$AQ$1004,1,MATCH(COLUMNS($AB$1006:AL1006),$AB$1006:$AQ$1006,0)))),"Fix")))</f>
        <v>0</v>
      </c>
      <c r="M569" s="5">
        <f>IF(OR(INDEX($V$2:$V$1001,MATCH(ROWS($U$2:U569),$U$2:$U$1001,0),1)&gt;=100000,INDEX($AB$1005:$AQ$1005,1,MATCH(COLUMNS($AB$1006:AM1006),$AB$1006:$AQ$1006,0))&gt;=100000), " ",IF(INDEX($AB$2:$AQ$1001,MATCH(ROWS($U$2:U569),$U$2:$U$1001,0),MATCH(COLUMNS($AB$1006:AM1006),$AB$1006:$AQ$1006,0)), HYPERLINK("#",""), HYPERLINK(CONCATENATE("#Metadata!", ADDRESS(INDEX($W$2:$W$1001,MATCH(ROWS($U$2:U569),$U$2:$U$1001,0),0), INDEX($AB$1004:$AQ$1004,1,MATCH(COLUMNS($AB$1006:AM1006),$AB$1006:$AQ$1006,0)))),"Fix")))</f>
        <v>0</v>
      </c>
      <c r="N569" s="5">
        <f>IF(OR(INDEX($V$2:$V$1001,MATCH(ROWS($U$2:U569),$U$2:$U$1001,0),1)&gt;=100000,INDEX($AB$1005:$AQ$1005,1,MATCH(COLUMNS($AB$1006:AN1006),$AB$1006:$AQ$1006,0))&gt;=100000), " ",IF(INDEX($AB$2:$AQ$1001,MATCH(ROWS($U$2:U569),$U$2:$U$1001,0),MATCH(COLUMNS($AB$1006:AN1006),$AB$1006:$AQ$1006,0)), HYPERLINK("#",""), HYPERLINK(CONCATENATE("#Metadata!", ADDRESS(INDEX($W$2:$W$1001,MATCH(ROWS($U$2:U569),$U$2:$U$1001,0),0), INDEX($AB$1004:$AQ$1004,1,MATCH(COLUMNS($AB$1006:AN1006),$AB$1006:$AQ$1006,0)))),"Fix")))</f>
        <v>0</v>
      </c>
      <c r="O569" s="5">
        <f>IF(OR(INDEX($V$2:$V$1001,MATCH(ROWS($U$2:U569),$U$2:$U$1001,0),1)&gt;=100000,INDEX($AB$1005:$AQ$1005,1,MATCH(COLUMNS($AB$1006:AO1006),$AB$1006:$AQ$1006,0))&gt;=100000), " ",IF(INDEX($AB$2:$AQ$1001,MATCH(ROWS($U$2:U569),$U$2:$U$1001,0),MATCH(COLUMNS($AB$1006:AO1006),$AB$1006:$AQ$1006,0)), HYPERLINK("#",""), HYPERLINK(CONCATENATE("#Metadata!", ADDRESS(INDEX($W$2:$W$1001,MATCH(ROWS($U$2:U569),$U$2:$U$1001,0),0), INDEX($AB$1004:$AQ$1004,1,MATCH(COLUMNS($AB$1006:AO1006),$AB$1006:$AQ$1006,0)))),"Fix")))</f>
        <v>0</v>
      </c>
      <c r="P569" s="5">
        <f>IF(OR(INDEX($V$2:$V$1001,MATCH(ROWS($U$2:U569),$U$2:$U$1001,0),1)&gt;=100000,INDEX($AB$1005:$AQ$1005,1,MATCH(COLUMNS($AB$1006:AP1006),$AB$1006:$AQ$1006,0))&gt;=100000), " ",IF(INDEX($AB$2:$AQ$1001,MATCH(ROWS($U$2:U569),$U$2:$U$1001,0),MATCH(COLUMNS($AB$1006:AP1006),$AB$1006:$AQ$1006,0)), HYPERLINK("#",""), HYPERLINK(CONCATENATE("#Metadata!", ADDRESS(INDEX($W$2:$W$1001,MATCH(ROWS($U$2:U569),$U$2:$U$1001,0),0), INDEX($AB$1004:$AQ$1004,1,MATCH(COLUMNS($AB$1006:AP1006),$AB$1006:$AQ$1006,0)))),"Fix")))</f>
        <v>0</v>
      </c>
      <c r="Q569" s="5">
        <f>IF(OR(INDEX($V$2:$V$1001,MATCH(ROWS($U$2:U569),$U$2:$U$1001,0),1)&gt;=100000,INDEX($AB$1005:$AQ$1005,1,MATCH(COLUMNS($AB$1006:AQ1006),$AB$1006:$AQ$1006,0))&gt;=100000), " ",IF(INDEX($AB$2:$AQ$1001,MATCH(ROWS($U$2:U569),$U$2:$U$1001,0),MATCH(COLUMNS($AB$1006:AQ1006),$AB$1006:$AQ$1006,0)), HYPERLINK("#",""), HYPERLINK(CONCATENATE("#Metadata!", ADDRESS(INDEX($W$2:$W$1001,MATCH(ROWS($U$2:U569),$U$2:$U$1001,0),0), INDEX($AB$1004:$AQ$1004,1,MATCH(COLUMNS($AB$1006:AQ1006),$AB$1006:$AQ$1006,0)))),"Fix")))</f>
        <v>0</v>
      </c>
      <c r="U569">
        <v>0</v>
      </c>
      <c r="V569">
        <v>0</v>
      </c>
      <c r="W569">
        <v>0</v>
      </c>
      <c r="X569">
        <f>IF(Y569,TRUE,AND(AB569:AQ569))</f>
        <v>0</v>
      </c>
      <c r="Y569">
        <f>COUNTBLANK(Metadata!B569:Q569)=COLUMNS(Metadata!B569:Q569)</f>
        <v>0</v>
      </c>
      <c r="Z569">
        <v>0</v>
      </c>
      <c r="AB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AC569">
        <f>AND(IF(Metadata!C569="",FALSE,TRUE),exact(Metadata!C569,"urban biome"))</f>
        <v>0</v>
      </c>
      <c r="AD569">
        <f>AND(IF(Metadata!D569="",FALSE,TRUE),exact(Metadata!D569,"human-associated habitat"))</f>
        <v>0</v>
      </c>
      <c r="AE569">
        <f>AND(IF(Metadata!E569="",FALSE,TRUE),OR(exact(Metadata!E569,"human-associated"),exact(Metadata!E569,"human-skin"),exact(Metadata!E569,"human-oral"),exact(Metadata!E569,"human-gut"),exact(Metadata!E569,"human-vaginal")))</f>
        <v>0</v>
      </c>
      <c r="AF569">
        <f>AND(IF(Metadata!F569="",FALSE,ISNUMBER(VALUE(Metadata!F569))),Metadata!F569&gt;0)</f>
        <v>0</v>
      </c>
      <c r="AG569">
        <f>AND(IF(Metadata!G569="",FALSE,TRUE),exact(Metadata!G569,"years"))</f>
        <v>0</v>
      </c>
      <c r="AH569">
        <f>OR(AND(IF(Metadata!H569="",FALSE,TRUE),OR(exact(Metadata!H569,"not applicable"),exact(Metadata!H569,"not collected"),exact(Metadata!H569,"not provided"),exact(Metadata!H569,"restricted access"))),AND(IF(Metadata!H569="",FALSE,ISNUMBER(VALUE(Metadata!H569))),Metadata!H569&gt;0))</f>
        <v>0</v>
      </c>
      <c r="AI569">
        <f>AND(IF(Metadata!I569="",FALSE,TRUE),exact(Metadata!I569,"human"))</f>
        <v>0</v>
      </c>
      <c r="AJ569">
        <f>AND(IF(Metadata!J569="",FALSE,ISNUMBER(VALUE(Metadata!J569))),Metadata!J569&gt;0)</f>
        <v>0</v>
      </c>
      <c r="AK569">
        <f>AND(IF(Metadata!K569="",FALSE,TRUE),exact(Metadata!K569,"cm"))</f>
        <v>0</v>
      </c>
      <c r="AL569">
        <f>AND(IF(Metadata!L569="",FALSE,TRUE),exact(Metadata!L569,"Homo sapiens"))</f>
        <v>0</v>
      </c>
      <c r="AM569">
        <f>AND(IF(Metadata!M569="",FALSE,TRUE),exact(Metadata!M569,"9606"))</f>
        <v>0</v>
      </c>
      <c r="AN569">
        <f>AND(IF(Metadata!N569="",FALSE,ISNUMBER(VALUE(Metadata!N569))),Metadata!N569&gt;0)</f>
        <v>0</v>
      </c>
      <c r="AO569">
        <f>AND(IF(Metadata!O569="",FALSE,TRUE),exact(Metadata!O569,"kg"))</f>
        <v>0</v>
      </c>
      <c r="AP569">
        <f>OR(AND(IF(Metadata!P569="",FALSE,TRUE),exact(Metadata!P569,"not provided")),IF(Metadata!P569="",FALSE,TRUE))</f>
        <v>0</v>
      </c>
      <c r="AQ569">
        <f>OR(AND(IF(Metadata!Q569="",FALSE,TRUE),exact(Metadata!Q569,"not provided")),IF(Metadata!Q569="",FALSE,TRUE))</f>
        <v>0</v>
      </c>
    </row>
    <row r="570" spans="1:43">
      <c r="A570" s="4">
        <f>IF(B570=" "," ",HYPERLINK(CONCATENATE("#metadata!",ADDRESS(INDEX($W$2:$W$1001,MATCH(ROWS($U$2:U570),$U$2:$U$1001,0),0),2)),INDEX($Z$2:$Z$1001,MATCH(ROWS($U$2:U570),$U$2:$U$1001,0),0)))</f>
        <v>0</v>
      </c>
      <c r="B570" s="5">
        <f>IF(OR(INDEX($V$2:$V$1001,MATCH(ROWS($U$2:U570),$U$2:$U$1001,0),1)&gt;=100000,INDEX($AB$1005:$AQ$1005,1,MATCH(COLUMNS($AB$1006:AB1006),$AB$1006:$AQ$1006,0))&gt;=100000), " ",IF(INDEX($AB$2:$AQ$1001,MATCH(ROWS($U$2:U570),$U$2:$U$1001,0),MATCH(COLUMNS($AB$1006:AB1006),$AB$1006:$AQ$1006,0)), HYPERLINK("#",""), HYPERLINK(CONCATENATE("#Metadata!", ADDRESS(INDEX($W$2:$W$1001,MATCH(ROWS($U$2:U570),$U$2:$U$1001,0),0), INDEX($AB$1004:$AQ$1004,1,MATCH(COLUMNS($AB$1006:AB1006),$AB$1006:$AQ$1006,0)))),"Fix")))</f>
        <v>0</v>
      </c>
      <c r="C570" s="5">
        <f>IF(OR(INDEX($V$2:$V$1001,MATCH(ROWS($U$2:U570),$U$2:$U$1001,0),1)&gt;=100000,INDEX($AB$1005:$AQ$1005,1,MATCH(COLUMNS($AB$1006:AC1006),$AB$1006:$AQ$1006,0))&gt;=100000), " ",IF(INDEX($AB$2:$AQ$1001,MATCH(ROWS($U$2:U570),$U$2:$U$1001,0),MATCH(COLUMNS($AB$1006:AC1006),$AB$1006:$AQ$1006,0)), HYPERLINK("#",""), HYPERLINK(CONCATENATE("#Metadata!", ADDRESS(INDEX($W$2:$W$1001,MATCH(ROWS($U$2:U570),$U$2:$U$1001,0),0), INDEX($AB$1004:$AQ$1004,1,MATCH(COLUMNS($AB$1006:AC1006),$AB$1006:$AQ$1006,0)))),"Fix")))</f>
        <v>0</v>
      </c>
      <c r="D570" s="5">
        <f>IF(OR(INDEX($V$2:$V$1001,MATCH(ROWS($U$2:U570),$U$2:$U$1001,0),1)&gt;=100000,INDEX($AB$1005:$AQ$1005,1,MATCH(COLUMNS($AB$1006:AD1006),$AB$1006:$AQ$1006,0))&gt;=100000), " ",IF(INDEX($AB$2:$AQ$1001,MATCH(ROWS($U$2:U570),$U$2:$U$1001,0),MATCH(COLUMNS($AB$1006:AD1006),$AB$1006:$AQ$1006,0)), HYPERLINK("#",""), HYPERLINK(CONCATENATE("#Metadata!", ADDRESS(INDEX($W$2:$W$1001,MATCH(ROWS($U$2:U570),$U$2:$U$1001,0),0), INDEX($AB$1004:$AQ$1004,1,MATCH(COLUMNS($AB$1006:AD1006),$AB$1006:$AQ$1006,0)))),"Fix")))</f>
        <v>0</v>
      </c>
      <c r="E570" s="5">
        <f>IF(OR(INDEX($V$2:$V$1001,MATCH(ROWS($U$2:U570),$U$2:$U$1001,0),1)&gt;=100000,INDEX($AB$1005:$AQ$1005,1,MATCH(COLUMNS($AB$1006:AE1006),$AB$1006:$AQ$1006,0))&gt;=100000), " ",IF(INDEX($AB$2:$AQ$1001,MATCH(ROWS($U$2:U570),$U$2:$U$1001,0),MATCH(COLUMNS($AB$1006:AE1006),$AB$1006:$AQ$1006,0)), HYPERLINK("#",""), HYPERLINK(CONCATENATE("#Metadata!", ADDRESS(INDEX($W$2:$W$1001,MATCH(ROWS($U$2:U570),$U$2:$U$1001,0),0), INDEX($AB$1004:$AQ$1004,1,MATCH(COLUMNS($AB$1006:AE1006),$AB$1006:$AQ$1006,0)))),"Fix")))</f>
        <v>0</v>
      </c>
      <c r="F570" s="5">
        <f>IF(OR(INDEX($V$2:$V$1001,MATCH(ROWS($U$2:U570),$U$2:$U$1001,0),1)&gt;=100000,INDEX($AB$1005:$AQ$1005,1,MATCH(COLUMNS($AB$1006:AF1006),$AB$1006:$AQ$1006,0))&gt;=100000), " ",IF(INDEX($AB$2:$AQ$1001,MATCH(ROWS($U$2:U570),$U$2:$U$1001,0),MATCH(COLUMNS($AB$1006:AF1006),$AB$1006:$AQ$1006,0)), HYPERLINK("#",""), HYPERLINK(CONCATENATE("#Metadata!", ADDRESS(INDEX($W$2:$W$1001,MATCH(ROWS($U$2:U570),$U$2:$U$1001,0),0), INDEX($AB$1004:$AQ$1004,1,MATCH(COLUMNS($AB$1006:AF1006),$AB$1006:$AQ$1006,0)))),"Fix")))</f>
        <v>0</v>
      </c>
      <c r="G570" s="5">
        <f>IF(OR(INDEX($V$2:$V$1001,MATCH(ROWS($U$2:U570),$U$2:$U$1001,0),1)&gt;=100000,INDEX($AB$1005:$AQ$1005,1,MATCH(COLUMNS($AB$1006:AG1006),$AB$1006:$AQ$1006,0))&gt;=100000), " ",IF(INDEX($AB$2:$AQ$1001,MATCH(ROWS($U$2:U570),$U$2:$U$1001,0),MATCH(COLUMNS($AB$1006:AG1006),$AB$1006:$AQ$1006,0)), HYPERLINK("#",""), HYPERLINK(CONCATENATE("#Metadata!", ADDRESS(INDEX($W$2:$W$1001,MATCH(ROWS($U$2:U570),$U$2:$U$1001,0),0), INDEX($AB$1004:$AQ$1004,1,MATCH(COLUMNS($AB$1006:AG1006),$AB$1006:$AQ$1006,0)))),"Fix")))</f>
        <v>0</v>
      </c>
      <c r="H570" s="5">
        <f>IF(OR(INDEX($V$2:$V$1001,MATCH(ROWS($U$2:U570),$U$2:$U$1001,0),1)&gt;=100000,INDEX($AB$1005:$AQ$1005,1,MATCH(COLUMNS($AB$1006:AH1006),$AB$1006:$AQ$1006,0))&gt;=100000), " ",IF(INDEX($AB$2:$AQ$1001,MATCH(ROWS($U$2:U570),$U$2:$U$1001,0),MATCH(COLUMNS($AB$1006:AH1006),$AB$1006:$AQ$1006,0)), HYPERLINK("#",""), HYPERLINK(CONCATENATE("#Metadata!", ADDRESS(INDEX($W$2:$W$1001,MATCH(ROWS($U$2:U570),$U$2:$U$1001,0),0), INDEX($AB$1004:$AQ$1004,1,MATCH(COLUMNS($AB$1006:AH1006),$AB$1006:$AQ$1006,0)))),"Fix")))</f>
        <v>0</v>
      </c>
      <c r="I570" s="5">
        <f>IF(OR(INDEX($V$2:$V$1001,MATCH(ROWS($U$2:U570),$U$2:$U$1001,0),1)&gt;=100000,INDEX($AB$1005:$AQ$1005,1,MATCH(COLUMNS($AB$1006:AI1006),$AB$1006:$AQ$1006,0))&gt;=100000), " ",IF(INDEX($AB$2:$AQ$1001,MATCH(ROWS($U$2:U570),$U$2:$U$1001,0),MATCH(COLUMNS($AB$1006:AI1006),$AB$1006:$AQ$1006,0)), HYPERLINK("#",""), HYPERLINK(CONCATENATE("#Metadata!", ADDRESS(INDEX($W$2:$W$1001,MATCH(ROWS($U$2:U570),$U$2:$U$1001,0),0), INDEX($AB$1004:$AQ$1004,1,MATCH(COLUMNS($AB$1006:AI1006),$AB$1006:$AQ$1006,0)))),"Fix")))</f>
        <v>0</v>
      </c>
      <c r="J570" s="5">
        <f>IF(OR(INDEX($V$2:$V$1001,MATCH(ROWS($U$2:U570),$U$2:$U$1001,0),1)&gt;=100000,INDEX($AB$1005:$AQ$1005,1,MATCH(COLUMNS($AB$1006:AJ1006),$AB$1006:$AQ$1006,0))&gt;=100000), " ",IF(INDEX($AB$2:$AQ$1001,MATCH(ROWS($U$2:U570),$U$2:$U$1001,0),MATCH(COLUMNS($AB$1006:AJ1006),$AB$1006:$AQ$1006,0)), HYPERLINK("#",""), HYPERLINK(CONCATENATE("#Metadata!", ADDRESS(INDEX($W$2:$W$1001,MATCH(ROWS($U$2:U570),$U$2:$U$1001,0),0), INDEX($AB$1004:$AQ$1004,1,MATCH(COLUMNS($AB$1006:AJ1006),$AB$1006:$AQ$1006,0)))),"Fix")))</f>
        <v>0</v>
      </c>
      <c r="K570" s="5">
        <f>IF(OR(INDEX($V$2:$V$1001,MATCH(ROWS($U$2:U570),$U$2:$U$1001,0),1)&gt;=100000,INDEX($AB$1005:$AQ$1005,1,MATCH(COLUMNS($AB$1006:AK1006),$AB$1006:$AQ$1006,0))&gt;=100000), " ",IF(INDEX($AB$2:$AQ$1001,MATCH(ROWS($U$2:U570),$U$2:$U$1001,0),MATCH(COLUMNS($AB$1006:AK1006),$AB$1006:$AQ$1006,0)), HYPERLINK("#",""), HYPERLINK(CONCATENATE("#Metadata!", ADDRESS(INDEX($W$2:$W$1001,MATCH(ROWS($U$2:U570),$U$2:$U$1001,0),0), INDEX($AB$1004:$AQ$1004,1,MATCH(COLUMNS($AB$1006:AK1006),$AB$1006:$AQ$1006,0)))),"Fix")))</f>
        <v>0</v>
      </c>
      <c r="L570" s="5">
        <f>IF(OR(INDEX($V$2:$V$1001,MATCH(ROWS($U$2:U570),$U$2:$U$1001,0),1)&gt;=100000,INDEX($AB$1005:$AQ$1005,1,MATCH(COLUMNS($AB$1006:AL1006),$AB$1006:$AQ$1006,0))&gt;=100000), " ",IF(INDEX($AB$2:$AQ$1001,MATCH(ROWS($U$2:U570),$U$2:$U$1001,0),MATCH(COLUMNS($AB$1006:AL1006),$AB$1006:$AQ$1006,0)), HYPERLINK("#",""), HYPERLINK(CONCATENATE("#Metadata!", ADDRESS(INDEX($W$2:$W$1001,MATCH(ROWS($U$2:U570),$U$2:$U$1001,0),0), INDEX($AB$1004:$AQ$1004,1,MATCH(COLUMNS($AB$1006:AL1006),$AB$1006:$AQ$1006,0)))),"Fix")))</f>
        <v>0</v>
      </c>
      <c r="M570" s="5">
        <f>IF(OR(INDEX($V$2:$V$1001,MATCH(ROWS($U$2:U570),$U$2:$U$1001,0),1)&gt;=100000,INDEX($AB$1005:$AQ$1005,1,MATCH(COLUMNS($AB$1006:AM1006),$AB$1006:$AQ$1006,0))&gt;=100000), " ",IF(INDEX($AB$2:$AQ$1001,MATCH(ROWS($U$2:U570),$U$2:$U$1001,0),MATCH(COLUMNS($AB$1006:AM1006),$AB$1006:$AQ$1006,0)), HYPERLINK("#",""), HYPERLINK(CONCATENATE("#Metadata!", ADDRESS(INDEX($W$2:$W$1001,MATCH(ROWS($U$2:U570),$U$2:$U$1001,0),0), INDEX($AB$1004:$AQ$1004,1,MATCH(COLUMNS($AB$1006:AM1006),$AB$1006:$AQ$1006,0)))),"Fix")))</f>
        <v>0</v>
      </c>
      <c r="N570" s="5">
        <f>IF(OR(INDEX($V$2:$V$1001,MATCH(ROWS($U$2:U570),$U$2:$U$1001,0),1)&gt;=100000,INDEX($AB$1005:$AQ$1005,1,MATCH(COLUMNS($AB$1006:AN1006),$AB$1006:$AQ$1006,0))&gt;=100000), " ",IF(INDEX($AB$2:$AQ$1001,MATCH(ROWS($U$2:U570),$U$2:$U$1001,0),MATCH(COLUMNS($AB$1006:AN1006),$AB$1006:$AQ$1006,0)), HYPERLINK("#",""), HYPERLINK(CONCATENATE("#Metadata!", ADDRESS(INDEX($W$2:$W$1001,MATCH(ROWS($U$2:U570),$U$2:$U$1001,0),0), INDEX($AB$1004:$AQ$1004,1,MATCH(COLUMNS($AB$1006:AN1006),$AB$1006:$AQ$1006,0)))),"Fix")))</f>
        <v>0</v>
      </c>
      <c r="O570" s="5">
        <f>IF(OR(INDEX($V$2:$V$1001,MATCH(ROWS($U$2:U570),$U$2:$U$1001,0),1)&gt;=100000,INDEX($AB$1005:$AQ$1005,1,MATCH(COLUMNS($AB$1006:AO1006),$AB$1006:$AQ$1006,0))&gt;=100000), " ",IF(INDEX($AB$2:$AQ$1001,MATCH(ROWS($U$2:U570),$U$2:$U$1001,0),MATCH(COLUMNS($AB$1006:AO1006),$AB$1006:$AQ$1006,0)), HYPERLINK("#",""), HYPERLINK(CONCATENATE("#Metadata!", ADDRESS(INDEX($W$2:$W$1001,MATCH(ROWS($U$2:U570),$U$2:$U$1001,0),0), INDEX($AB$1004:$AQ$1004,1,MATCH(COLUMNS($AB$1006:AO1006),$AB$1006:$AQ$1006,0)))),"Fix")))</f>
        <v>0</v>
      </c>
      <c r="P570" s="5">
        <f>IF(OR(INDEX($V$2:$V$1001,MATCH(ROWS($U$2:U570),$U$2:$U$1001,0),1)&gt;=100000,INDEX($AB$1005:$AQ$1005,1,MATCH(COLUMNS($AB$1006:AP1006),$AB$1006:$AQ$1006,0))&gt;=100000), " ",IF(INDEX($AB$2:$AQ$1001,MATCH(ROWS($U$2:U570),$U$2:$U$1001,0),MATCH(COLUMNS($AB$1006:AP1006),$AB$1006:$AQ$1006,0)), HYPERLINK("#",""), HYPERLINK(CONCATENATE("#Metadata!", ADDRESS(INDEX($W$2:$W$1001,MATCH(ROWS($U$2:U570),$U$2:$U$1001,0),0), INDEX($AB$1004:$AQ$1004,1,MATCH(COLUMNS($AB$1006:AP1006),$AB$1006:$AQ$1006,0)))),"Fix")))</f>
        <v>0</v>
      </c>
      <c r="Q570" s="5">
        <f>IF(OR(INDEX($V$2:$V$1001,MATCH(ROWS($U$2:U570),$U$2:$U$1001,0),1)&gt;=100000,INDEX($AB$1005:$AQ$1005,1,MATCH(COLUMNS($AB$1006:AQ1006),$AB$1006:$AQ$1006,0))&gt;=100000), " ",IF(INDEX($AB$2:$AQ$1001,MATCH(ROWS($U$2:U570),$U$2:$U$1001,0),MATCH(COLUMNS($AB$1006:AQ1006),$AB$1006:$AQ$1006,0)), HYPERLINK("#",""), HYPERLINK(CONCATENATE("#Metadata!", ADDRESS(INDEX($W$2:$W$1001,MATCH(ROWS($U$2:U570),$U$2:$U$1001,0),0), INDEX($AB$1004:$AQ$1004,1,MATCH(COLUMNS($AB$1006:AQ1006),$AB$1006:$AQ$1006,0)))),"Fix")))</f>
        <v>0</v>
      </c>
      <c r="U570">
        <v>0</v>
      </c>
      <c r="V570">
        <v>0</v>
      </c>
      <c r="W570">
        <v>0</v>
      </c>
      <c r="X570">
        <f>IF(Y570,TRUE,AND(AB570:AQ570))</f>
        <v>0</v>
      </c>
      <c r="Y570">
        <f>COUNTBLANK(Metadata!B570:Q570)=COLUMNS(Metadata!B570:Q570)</f>
        <v>0</v>
      </c>
      <c r="Z570">
        <v>0</v>
      </c>
      <c r="AB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AC570">
        <f>AND(IF(Metadata!C570="",FALSE,TRUE),exact(Metadata!C570,"urban biome"))</f>
        <v>0</v>
      </c>
      <c r="AD570">
        <f>AND(IF(Metadata!D570="",FALSE,TRUE),exact(Metadata!D570,"human-associated habitat"))</f>
        <v>0</v>
      </c>
      <c r="AE570">
        <f>AND(IF(Metadata!E570="",FALSE,TRUE),OR(exact(Metadata!E570,"human-associated"),exact(Metadata!E570,"human-skin"),exact(Metadata!E570,"human-oral"),exact(Metadata!E570,"human-gut"),exact(Metadata!E570,"human-vaginal")))</f>
        <v>0</v>
      </c>
      <c r="AF570">
        <f>AND(IF(Metadata!F570="",FALSE,ISNUMBER(VALUE(Metadata!F570))),Metadata!F570&gt;0)</f>
        <v>0</v>
      </c>
      <c r="AG570">
        <f>AND(IF(Metadata!G570="",FALSE,TRUE),exact(Metadata!G570,"years"))</f>
        <v>0</v>
      </c>
      <c r="AH570">
        <f>OR(AND(IF(Metadata!H570="",FALSE,TRUE),OR(exact(Metadata!H570,"not applicable"),exact(Metadata!H570,"not collected"),exact(Metadata!H570,"not provided"),exact(Metadata!H570,"restricted access"))),AND(IF(Metadata!H570="",FALSE,ISNUMBER(VALUE(Metadata!H570))),Metadata!H570&gt;0))</f>
        <v>0</v>
      </c>
      <c r="AI570">
        <f>AND(IF(Metadata!I570="",FALSE,TRUE),exact(Metadata!I570,"human"))</f>
        <v>0</v>
      </c>
      <c r="AJ570">
        <f>AND(IF(Metadata!J570="",FALSE,ISNUMBER(VALUE(Metadata!J570))),Metadata!J570&gt;0)</f>
        <v>0</v>
      </c>
      <c r="AK570">
        <f>AND(IF(Metadata!K570="",FALSE,TRUE),exact(Metadata!K570,"cm"))</f>
        <v>0</v>
      </c>
      <c r="AL570">
        <f>AND(IF(Metadata!L570="",FALSE,TRUE),exact(Metadata!L570,"Homo sapiens"))</f>
        <v>0</v>
      </c>
      <c r="AM570">
        <f>AND(IF(Metadata!M570="",FALSE,TRUE),exact(Metadata!M570,"9606"))</f>
        <v>0</v>
      </c>
      <c r="AN570">
        <f>AND(IF(Metadata!N570="",FALSE,ISNUMBER(VALUE(Metadata!N570))),Metadata!N570&gt;0)</f>
        <v>0</v>
      </c>
      <c r="AO570">
        <f>AND(IF(Metadata!O570="",FALSE,TRUE),exact(Metadata!O570,"kg"))</f>
        <v>0</v>
      </c>
      <c r="AP570">
        <f>OR(AND(IF(Metadata!P570="",FALSE,TRUE),exact(Metadata!P570,"not provided")),IF(Metadata!P570="",FALSE,TRUE))</f>
        <v>0</v>
      </c>
      <c r="AQ570">
        <f>OR(AND(IF(Metadata!Q570="",FALSE,TRUE),exact(Metadata!Q570,"not provided")),IF(Metadata!Q570="",FALSE,TRUE))</f>
        <v>0</v>
      </c>
    </row>
    <row r="571" spans="1:43">
      <c r="A571" s="4">
        <f>IF(B571=" "," ",HYPERLINK(CONCATENATE("#metadata!",ADDRESS(INDEX($W$2:$W$1001,MATCH(ROWS($U$2:U571),$U$2:$U$1001,0),0),2)),INDEX($Z$2:$Z$1001,MATCH(ROWS($U$2:U571),$U$2:$U$1001,0),0)))</f>
        <v>0</v>
      </c>
      <c r="B571" s="5">
        <f>IF(OR(INDEX($V$2:$V$1001,MATCH(ROWS($U$2:U571),$U$2:$U$1001,0),1)&gt;=100000,INDEX($AB$1005:$AQ$1005,1,MATCH(COLUMNS($AB$1006:AB1006),$AB$1006:$AQ$1006,0))&gt;=100000), " ",IF(INDEX($AB$2:$AQ$1001,MATCH(ROWS($U$2:U571),$U$2:$U$1001,0),MATCH(COLUMNS($AB$1006:AB1006),$AB$1006:$AQ$1006,0)), HYPERLINK("#",""), HYPERLINK(CONCATENATE("#Metadata!", ADDRESS(INDEX($W$2:$W$1001,MATCH(ROWS($U$2:U571),$U$2:$U$1001,0),0), INDEX($AB$1004:$AQ$1004,1,MATCH(COLUMNS($AB$1006:AB1006),$AB$1006:$AQ$1006,0)))),"Fix")))</f>
        <v>0</v>
      </c>
      <c r="C571" s="5">
        <f>IF(OR(INDEX($V$2:$V$1001,MATCH(ROWS($U$2:U571),$U$2:$U$1001,0),1)&gt;=100000,INDEX($AB$1005:$AQ$1005,1,MATCH(COLUMNS($AB$1006:AC1006),$AB$1006:$AQ$1006,0))&gt;=100000), " ",IF(INDEX($AB$2:$AQ$1001,MATCH(ROWS($U$2:U571),$U$2:$U$1001,0),MATCH(COLUMNS($AB$1006:AC1006),$AB$1006:$AQ$1006,0)), HYPERLINK("#",""), HYPERLINK(CONCATENATE("#Metadata!", ADDRESS(INDEX($W$2:$W$1001,MATCH(ROWS($U$2:U571),$U$2:$U$1001,0),0), INDEX($AB$1004:$AQ$1004,1,MATCH(COLUMNS($AB$1006:AC1006),$AB$1006:$AQ$1006,0)))),"Fix")))</f>
        <v>0</v>
      </c>
      <c r="D571" s="5">
        <f>IF(OR(INDEX($V$2:$V$1001,MATCH(ROWS($U$2:U571),$U$2:$U$1001,0),1)&gt;=100000,INDEX($AB$1005:$AQ$1005,1,MATCH(COLUMNS($AB$1006:AD1006),$AB$1006:$AQ$1006,0))&gt;=100000), " ",IF(INDEX($AB$2:$AQ$1001,MATCH(ROWS($U$2:U571),$U$2:$U$1001,0),MATCH(COLUMNS($AB$1006:AD1006),$AB$1006:$AQ$1006,0)), HYPERLINK("#",""), HYPERLINK(CONCATENATE("#Metadata!", ADDRESS(INDEX($W$2:$W$1001,MATCH(ROWS($U$2:U571),$U$2:$U$1001,0),0), INDEX($AB$1004:$AQ$1004,1,MATCH(COLUMNS($AB$1006:AD1006),$AB$1006:$AQ$1006,0)))),"Fix")))</f>
        <v>0</v>
      </c>
      <c r="E571" s="5">
        <f>IF(OR(INDEX($V$2:$V$1001,MATCH(ROWS($U$2:U571),$U$2:$U$1001,0),1)&gt;=100000,INDEX($AB$1005:$AQ$1005,1,MATCH(COLUMNS($AB$1006:AE1006),$AB$1006:$AQ$1006,0))&gt;=100000), " ",IF(INDEX($AB$2:$AQ$1001,MATCH(ROWS($U$2:U571),$U$2:$U$1001,0),MATCH(COLUMNS($AB$1006:AE1006),$AB$1006:$AQ$1006,0)), HYPERLINK("#",""), HYPERLINK(CONCATENATE("#Metadata!", ADDRESS(INDEX($W$2:$W$1001,MATCH(ROWS($U$2:U571),$U$2:$U$1001,0),0), INDEX($AB$1004:$AQ$1004,1,MATCH(COLUMNS($AB$1006:AE1006),$AB$1006:$AQ$1006,0)))),"Fix")))</f>
        <v>0</v>
      </c>
      <c r="F571" s="5">
        <f>IF(OR(INDEX($V$2:$V$1001,MATCH(ROWS($U$2:U571),$U$2:$U$1001,0),1)&gt;=100000,INDEX($AB$1005:$AQ$1005,1,MATCH(COLUMNS($AB$1006:AF1006),$AB$1006:$AQ$1006,0))&gt;=100000), " ",IF(INDEX($AB$2:$AQ$1001,MATCH(ROWS($U$2:U571),$U$2:$U$1001,0),MATCH(COLUMNS($AB$1006:AF1006),$AB$1006:$AQ$1006,0)), HYPERLINK("#",""), HYPERLINK(CONCATENATE("#Metadata!", ADDRESS(INDEX($W$2:$W$1001,MATCH(ROWS($U$2:U571),$U$2:$U$1001,0),0), INDEX($AB$1004:$AQ$1004,1,MATCH(COLUMNS($AB$1006:AF1006),$AB$1006:$AQ$1006,0)))),"Fix")))</f>
        <v>0</v>
      </c>
      <c r="G571" s="5">
        <f>IF(OR(INDEX($V$2:$V$1001,MATCH(ROWS($U$2:U571),$U$2:$U$1001,0),1)&gt;=100000,INDEX($AB$1005:$AQ$1005,1,MATCH(COLUMNS($AB$1006:AG1006),$AB$1006:$AQ$1006,0))&gt;=100000), " ",IF(INDEX($AB$2:$AQ$1001,MATCH(ROWS($U$2:U571),$U$2:$U$1001,0),MATCH(COLUMNS($AB$1006:AG1006),$AB$1006:$AQ$1006,0)), HYPERLINK("#",""), HYPERLINK(CONCATENATE("#Metadata!", ADDRESS(INDEX($W$2:$W$1001,MATCH(ROWS($U$2:U571),$U$2:$U$1001,0),0), INDEX($AB$1004:$AQ$1004,1,MATCH(COLUMNS($AB$1006:AG1006),$AB$1006:$AQ$1006,0)))),"Fix")))</f>
        <v>0</v>
      </c>
      <c r="H571" s="5">
        <f>IF(OR(INDEX($V$2:$V$1001,MATCH(ROWS($U$2:U571),$U$2:$U$1001,0),1)&gt;=100000,INDEX($AB$1005:$AQ$1005,1,MATCH(COLUMNS($AB$1006:AH1006),$AB$1006:$AQ$1006,0))&gt;=100000), " ",IF(INDEX($AB$2:$AQ$1001,MATCH(ROWS($U$2:U571),$U$2:$U$1001,0),MATCH(COLUMNS($AB$1006:AH1006),$AB$1006:$AQ$1006,0)), HYPERLINK("#",""), HYPERLINK(CONCATENATE("#Metadata!", ADDRESS(INDEX($W$2:$W$1001,MATCH(ROWS($U$2:U571),$U$2:$U$1001,0),0), INDEX($AB$1004:$AQ$1004,1,MATCH(COLUMNS($AB$1006:AH1006),$AB$1006:$AQ$1006,0)))),"Fix")))</f>
        <v>0</v>
      </c>
      <c r="I571" s="5">
        <f>IF(OR(INDEX($V$2:$V$1001,MATCH(ROWS($U$2:U571),$U$2:$U$1001,0),1)&gt;=100000,INDEX($AB$1005:$AQ$1005,1,MATCH(COLUMNS($AB$1006:AI1006),$AB$1006:$AQ$1006,0))&gt;=100000), " ",IF(INDEX($AB$2:$AQ$1001,MATCH(ROWS($U$2:U571),$U$2:$U$1001,0),MATCH(COLUMNS($AB$1006:AI1006),$AB$1006:$AQ$1006,0)), HYPERLINK("#",""), HYPERLINK(CONCATENATE("#Metadata!", ADDRESS(INDEX($W$2:$W$1001,MATCH(ROWS($U$2:U571),$U$2:$U$1001,0),0), INDEX($AB$1004:$AQ$1004,1,MATCH(COLUMNS($AB$1006:AI1006),$AB$1006:$AQ$1006,0)))),"Fix")))</f>
        <v>0</v>
      </c>
      <c r="J571" s="5">
        <f>IF(OR(INDEX($V$2:$V$1001,MATCH(ROWS($U$2:U571),$U$2:$U$1001,0),1)&gt;=100000,INDEX($AB$1005:$AQ$1005,1,MATCH(COLUMNS($AB$1006:AJ1006),$AB$1006:$AQ$1006,0))&gt;=100000), " ",IF(INDEX($AB$2:$AQ$1001,MATCH(ROWS($U$2:U571),$U$2:$U$1001,0),MATCH(COLUMNS($AB$1006:AJ1006),$AB$1006:$AQ$1006,0)), HYPERLINK("#",""), HYPERLINK(CONCATENATE("#Metadata!", ADDRESS(INDEX($W$2:$W$1001,MATCH(ROWS($U$2:U571),$U$2:$U$1001,0),0), INDEX($AB$1004:$AQ$1004,1,MATCH(COLUMNS($AB$1006:AJ1006),$AB$1006:$AQ$1006,0)))),"Fix")))</f>
        <v>0</v>
      </c>
      <c r="K571" s="5">
        <f>IF(OR(INDEX($V$2:$V$1001,MATCH(ROWS($U$2:U571),$U$2:$U$1001,0),1)&gt;=100000,INDEX($AB$1005:$AQ$1005,1,MATCH(COLUMNS($AB$1006:AK1006),$AB$1006:$AQ$1006,0))&gt;=100000), " ",IF(INDEX($AB$2:$AQ$1001,MATCH(ROWS($U$2:U571),$U$2:$U$1001,0),MATCH(COLUMNS($AB$1006:AK1006),$AB$1006:$AQ$1006,0)), HYPERLINK("#",""), HYPERLINK(CONCATENATE("#Metadata!", ADDRESS(INDEX($W$2:$W$1001,MATCH(ROWS($U$2:U571),$U$2:$U$1001,0),0), INDEX($AB$1004:$AQ$1004,1,MATCH(COLUMNS($AB$1006:AK1006),$AB$1006:$AQ$1006,0)))),"Fix")))</f>
        <v>0</v>
      </c>
      <c r="L571" s="5">
        <f>IF(OR(INDEX($V$2:$V$1001,MATCH(ROWS($U$2:U571),$U$2:$U$1001,0),1)&gt;=100000,INDEX($AB$1005:$AQ$1005,1,MATCH(COLUMNS($AB$1006:AL1006),$AB$1006:$AQ$1006,0))&gt;=100000), " ",IF(INDEX($AB$2:$AQ$1001,MATCH(ROWS($U$2:U571),$U$2:$U$1001,0),MATCH(COLUMNS($AB$1006:AL1006),$AB$1006:$AQ$1006,0)), HYPERLINK("#",""), HYPERLINK(CONCATENATE("#Metadata!", ADDRESS(INDEX($W$2:$W$1001,MATCH(ROWS($U$2:U571),$U$2:$U$1001,0),0), INDEX($AB$1004:$AQ$1004,1,MATCH(COLUMNS($AB$1006:AL1006),$AB$1006:$AQ$1006,0)))),"Fix")))</f>
        <v>0</v>
      </c>
      <c r="M571" s="5">
        <f>IF(OR(INDEX($V$2:$V$1001,MATCH(ROWS($U$2:U571),$U$2:$U$1001,0),1)&gt;=100000,INDEX($AB$1005:$AQ$1005,1,MATCH(COLUMNS($AB$1006:AM1006),$AB$1006:$AQ$1006,0))&gt;=100000), " ",IF(INDEX($AB$2:$AQ$1001,MATCH(ROWS($U$2:U571),$U$2:$U$1001,0),MATCH(COLUMNS($AB$1006:AM1006),$AB$1006:$AQ$1006,0)), HYPERLINK("#",""), HYPERLINK(CONCATENATE("#Metadata!", ADDRESS(INDEX($W$2:$W$1001,MATCH(ROWS($U$2:U571),$U$2:$U$1001,0),0), INDEX($AB$1004:$AQ$1004,1,MATCH(COLUMNS($AB$1006:AM1006),$AB$1006:$AQ$1006,0)))),"Fix")))</f>
        <v>0</v>
      </c>
      <c r="N571" s="5">
        <f>IF(OR(INDEX($V$2:$V$1001,MATCH(ROWS($U$2:U571),$U$2:$U$1001,0),1)&gt;=100000,INDEX($AB$1005:$AQ$1005,1,MATCH(COLUMNS($AB$1006:AN1006),$AB$1006:$AQ$1006,0))&gt;=100000), " ",IF(INDEX($AB$2:$AQ$1001,MATCH(ROWS($U$2:U571),$U$2:$U$1001,0),MATCH(COLUMNS($AB$1006:AN1006),$AB$1006:$AQ$1006,0)), HYPERLINK("#",""), HYPERLINK(CONCATENATE("#Metadata!", ADDRESS(INDEX($W$2:$W$1001,MATCH(ROWS($U$2:U571),$U$2:$U$1001,0),0), INDEX($AB$1004:$AQ$1004,1,MATCH(COLUMNS($AB$1006:AN1006),$AB$1006:$AQ$1006,0)))),"Fix")))</f>
        <v>0</v>
      </c>
      <c r="O571" s="5">
        <f>IF(OR(INDEX($V$2:$V$1001,MATCH(ROWS($U$2:U571),$U$2:$U$1001,0),1)&gt;=100000,INDEX($AB$1005:$AQ$1005,1,MATCH(COLUMNS($AB$1006:AO1006),$AB$1006:$AQ$1006,0))&gt;=100000), " ",IF(INDEX($AB$2:$AQ$1001,MATCH(ROWS($U$2:U571),$U$2:$U$1001,0),MATCH(COLUMNS($AB$1006:AO1006),$AB$1006:$AQ$1006,0)), HYPERLINK("#",""), HYPERLINK(CONCATENATE("#Metadata!", ADDRESS(INDEX($W$2:$W$1001,MATCH(ROWS($U$2:U571),$U$2:$U$1001,0),0), INDEX($AB$1004:$AQ$1004,1,MATCH(COLUMNS($AB$1006:AO1006),$AB$1006:$AQ$1006,0)))),"Fix")))</f>
        <v>0</v>
      </c>
      <c r="P571" s="5">
        <f>IF(OR(INDEX($V$2:$V$1001,MATCH(ROWS($U$2:U571),$U$2:$U$1001,0),1)&gt;=100000,INDEX($AB$1005:$AQ$1005,1,MATCH(COLUMNS($AB$1006:AP1006),$AB$1006:$AQ$1006,0))&gt;=100000), " ",IF(INDEX($AB$2:$AQ$1001,MATCH(ROWS($U$2:U571),$U$2:$U$1001,0),MATCH(COLUMNS($AB$1006:AP1006),$AB$1006:$AQ$1006,0)), HYPERLINK("#",""), HYPERLINK(CONCATENATE("#Metadata!", ADDRESS(INDEX($W$2:$W$1001,MATCH(ROWS($U$2:U571),$U$2:$U$1001,0),0), INDEX($AB$1004:$AQ$1004,1,MATCH(COLUMNS($AB$1006:AP1006),$AB$1006:$AQ$1006,0)))),"Fix")))</f>
        <v>0</v>
      </c>
      <c r="Q571" s="5">
        <f>IF(OR(INDEX($V$2:$V$1001,MATCH(ROWS($U$2:U571),$U$2:$U$1001,0),1)&gt;=100000,INDEX($AB$1005:$AQ$1005,1,MATCH(COLUMNS($AB$1006:AQ1006),$AB$1006:$AQ$1006,0))&gt;=100000), " ",IF(INDEX($AB$2:$AQ$1001,MATCH(ROWS($U$2:U571),$U$2:$U$1001,0),MATCH(COLUMNS($AB$1006:AQ1006),$AB$1006:$AQ$1006,0)), HYPERLINK("#",""), HYPERLINK(CONCATENATE("#Metadata!", ADDRESS(INDEX($W$2:$W$1001,MATCH(ROWS($U$2:U571),$U$2:$U$1001,0),0), INDEX($AB$1004:$AQ$1004,1,MATCH(COLUMNS($AB$1006:AQ1006),$AB$1006:$AQ$1006,0)))),"Fix")))</f>
        <v>0</v>
      </c>
      <c r="U571">
        <v>0</v>
      </c>
      <c r="V571">
        <v>0</v>
      </c>
      <c r="W571">
        <v>0</v>
      </c>
      <c r="X571">
        <f>IF(Y571,TRUE,AND(AB571:AQ571))</f>
        <v>0</v>
      </c>
      <c r="Y571">
        <f>COUNTBLANK(Metadata!B571:Q571)=COLUMNS(Metadata!B571:Q571)</f>
        <v>0</v>
      </c>
      <c r="Z571">
        <v>0</v>
      </c>
      <c r="AB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AC571">
        <f>AND(IF(Metadata!C571="",FALSE,TRUE),exact(Metadata!C571,"urban biome"))</f>
        <v>0</v>
      </c>
      <c r="AD571">
        <f>AND(IF(Metadata!D571="",FALSE,TRUE),exact(Metadata!D571,"human-associated habitat"))</f>
        <v>0</v>
      </c>
      <c r="AE571">
        <f>AND(IF(Metadata!E571="",FALSE,TRUE),OR(exact(Metadata!E571,"human-associated"),exact(Metadata!E571,"human-skin"),exact(Metadata!E571,"human-oral"),exact(Metadata!E571,"human-gut"),exact(Metadata!E571,"human-vaginal")))</f>
        <v>0</v>
      </c>
      <c r="AF571">
        <f>AND(IF(Metadata!F571="",FALSE,ISNUMBER(VALUE(Metadata!F571))),Metadata!F571&gt;0)</f>
        <v>0</v>
      </c>
      <c r="AG571">
        <f>AND(IF(Metadata!G571="",FALSE,TRUE),exact(Metadata!G571,"years"))</f>
        <v>0</v>
      </c>
      <c r="AH571">
        <f>OR(AND(IF(Metadata!H571="",FALSE,TRUE),OR(exact(Metadata!H571,"not applicable"),exact(Metadata!H571,"not collected"),exact(Metadata!H571,"not provided"),exact(Metadata!H571,"restricted access"))),AND(IF(Metadata!H571="",FALSE,ISNUMBER(VALUE(Metadata!H571))),Metadata!H571&gt;0))</f>
        <v>0</v>
      </c>
      <c r="AI571">
        <f>AND(IF(Metadata!I571="",FALSE,TRUE),exact(Metadata!I571,"human"))</f>
        <v>0</v>
      </c>
      <c r="AJ571">
        <f>AND(IF(Metadata!J571="",FALSE,ISNUMBER(VALUE(Metadata!J571))),Metadata!J571&gt;0)</f>
        <v>0</v>
      </c>
      <c r="AK571">
        <f>AND(IF(Metadata!K571="",FALSE,TRUE),exact(Metadata!K571,"cm"))</f>
        <v>0</v>
      </c>
      <c r="AL571">
        <f>AND(IF(Metadata!L571="",FALSE,TRUE),exact(Metadata!L571,"Homo sapiens"))</f>
        <v>0</v>
      </c>
      <c r="AM571">
        <f>AND(IF(Metadata!M571="",FALSE,TRUE),exact(Metadata!M571,"9606"))</f>
        <v>0</v>
      </c>
      <c r="AN571">
        <f>AND(IF(Metadata!N571="",FALSE,ISNUMBER(VALUE(Metadata!N571))),Metadata!N571&gt;0)</f>
        <v>0</v>
      </c>
      <c r="AO571">
        <f>AND(IF(Metadata!O571="",FALSE,TRUE),exact(Metadata!O571,"kg"))</f>
        <v>0</v>
      </c>
      <c r="AP571">
        <f>OR(AND(IF(Metadata!P571="",FALSE,TRUE),exact(Metadata!P571,"not provided")),IF(Metadata!P571="",FALSE,TRUE))</f>
        <v>0</v>
      </c>
      <c r="AQ571">
        <f>OR(AND(IF(Metadata!Q571="",FALSE,TRUE),exact(Metadata!Q571,"not provided")),IF(Metadata!Q571="",FALSE,TRUE))</f>
        <v>0</v>
      </c>
    </row>
    <row r="572" spans="1:43">
      <c r="A572" s="4">
        <f>IF(B572=" "," ",HYPERLINK(CONCATENATE("#metadata!",ADDRESS(INDEX($W$2:$W$1001,MATCH(ROWS($U$2:U572),$U$2:$U$1001,0),0),2)),INDEX($Z$2:$Z$1001,MATCH(ROWS($U$2:U572),$U$2:$U$1001,0),0)))</f>
        <v>0</v>
      </c>
      <c r="B572" s="5">
        <f>IF(OR(INDEX($V$2:$V$1001,MATCH(ROWS($U$2:U572),$U$2:$U$1001,0),1)&gt;=100000,INDEX($AB$1005:$AQ$1005,1,MATCH(COLUMNS($AB$1006:AB1006),$AB$1006:$AQ$1006,0))&gt;=100000), " ",IF(INDEX($AB$2:$AQ$1001,MATCH(ROWS($U$2:U572),$U$2:$U$1001,0),MATCH(COLUMNS($AB$1006:AB1006),$AB$1006:$AQ$1006,0)), HYPERLINK("#",""), HYPERLINK(CONCATENATE("#Metadata!", ADDRESS(INDEX($W$2:$W$1001,MATCH(ROWS($U$2:U572),$U$2:$U$1001,0),0), INDEX($AB$1004:$AQ$1004,1,MATCH(COLUMNS($AB$1006:AB1006),$AB$1006:$AQ$1006,0)))),"Fix")))</f>
        <v>0</v>
      </c>
      <c r="C572" s="5">
        <f>IF(OR(INDEX($V$2:$V$1001,MATCH(ROWS($U$2:U572),$U$2:$U$1001,0),1)&gt;=100000,INDEX($AB$1005:$AQ$1005,1,MATCH(COLUMNS($AB$1006:AC1006),$AB$1006:$AQ$1006,0))&gt;=100000), " ",IF(INDEX($AB$2:$AQ$1001,MATCH(ROWS($U$2:U572),$U$2:$U$1001,0),MATCH(COLUMNS($AB$1006:AC1006),$AB$1006:$AQ$1006,0)), HYPERLINK("#",""), HYPERLINK(CONCATENATE("#Metadata!", ADDRESS(INDEX($W$2:$W$1001,MATCH(ROWS($U$2:U572),$U$2:$U$1001,0),0), INDEX($AB$1004:$AQ$1004,1,MATCH(COLUMNS($AB$1006:AC1006),$AB$1006:$AQ$1006,0)))),"Fix")))</f>
        <v>0</v>
      </c>
      <c r="D572" s="5">
        <f>IF(OR(INDEX($V$2:$V$1001,MATCH(ROWS($U$2:U572),$U$2:$U$1001,0),1)&gt;=100000,INDEX($AB$1005:$AQ$1005,1,MATCH(COLUMNS($AB$1006:AD1006),$AB$1006:$AQ$1006,0))&gt;=100000), " ",IF(INDEX($AB$2:$AQ$1001,MATCH(ROWS($U$2:U572),$U$2:$U$1001,0),MATCH(COLUMNS($AB$1006:AD1006),$AB$1006:$AQ$1006,0)), HYPERLINK("#",""), HYPERLINK(CONCATENATE("#Metadata!", ADDRESS(INDEX($W$2:$W$1001,MATCH(ROWS($U$2:U572),$U$2:$U$1001,0),0), INDEX($AB$1004:$AQ$1004,1,MATCH(COLUMNS($AB$1006:AD1006),$AB$1006:$AQ$1006,0)))),"Fix")))</f>
        <v>0</v>
      </c>
      <c r="E572" s="5">
        <f>IF(OR(INDEX($V$2:$V$1001,MATCH(ROWS($U$2:U572),$U$2:$U$1001,0),1)&gt;=100000,INDEX($AB$1005:$AQ$1005,1,MATCH(COLUMNS($AB$1006:AE1006),$AB$1006:$AQ$1006,0))&gt;=100000), " ",IF(INDEX($AB$2:$AQ$1001,MATCH(ROWS($U$2:U572),$U$2:$U$1001,0),MATCH(COLUMNS($AB$1006:AE1006),$AB$1006:$AQ$1006,0)), HYPERLINK("#",""), HYPERLINK(CONCATENATE("#Metadata!", ADDRESS(INDEX($W$2:$W$1001,MATCH(ROWS($U$2:U572),$U$2:$U$1001,0),0), INDEX($AB$1004:$AQ$1004,1,MATCH(COLUMNS($AB$1006:AE1006),$AB$1006:$AQ$1006,0)))),"Fix")))</f>
        <v>0</v>
      </c>
      <c r="F572" s="5">
        <f>IF(OR(INDEX($V$2:$V$1001,MATCH(ROWS($U$2:U572),$U$2:$U$1001,0),1)&gt;=100000,INDEX($AB$1005:$AQ$1005,1,MATCH(COLUMNS($AB$1006:AF1006),$AB$1006:$AQ$1006,0))&gt;=100000), " ",IF(INDEX($AB$2:$AQ$1001,MATCH(ROWS($U$2:U572),$U$2:$U$1001,0),MATCH(COLUMNS($AB$1006:AF1006),$AB$1006:$AQ$1006,0)), HYPERLINK("#",""), HYPERLINK(CONCATENATE("#Metadata!", ADDRESS(INDEX($W$2:$W$1001,MATCH(ROWS($U$2:U572),$U$2:$U$1001,0),0), INDEX($AB$1004:$AQ$1004,1,MATCH(COLUMNS($AB$1006:AF1006),$AB$1006:$AQ$1006,0)))),"Fix")))</f>
        <v>0</v>
      </c>
      <c r="G572" s="5">
        <f>IF(OR(INDEX($V$2:$V$1001,MATCH(ROWS($U$2:U572),$U$2:$U$1001,0),1)&gt;=100000,INDEX($AB$1005:$AQ$1005,1,MATCH(COLUMNS($AB$1006:AG1006),$AB$1006:$AQ$1006,0))&gt;=100000), " ",IF(INDEX($AB$2:$AQ$1001,MATCH(ROWS($U$2:U572),$U$2:$U$1001,0),MATCH(COLUMNS($AB$1006:AG1006),$AB$1006:$AQ$1006,0)), HYPERLINK("#",""), HYPERLINK(CONCATENATE("#Metadata!", ADDRESS(INDEX($W$2:$W$1001,MATCH(ROWS($U$2:U572),$U$2:$U$1001,0),0), INDEX($AB$1004:$AQ$1004,1,MATCH(COLUMNS($AB$1006:AG1006),$AB$1006:$AQ$1006,0)))),"Fix")))</f>
        <v>0</v>
      </c>
      <c r="H572" s="5">
        <f>IF(OR(INDEX($V$2:$V$1001,MATCH(ROWS($U$2:U572),$U$2:$U$1001,0),1)&gt;=100000,INDEX($AB$1005:$AQ$1005,1,MATCH(COLUMNS($AB$1006:AH1006),$AB$1006:$AQ$1006,0))&gt;=100000), " ",IF(INDEX($AB$2:$AQ$1001,MATCH(ROWS($U$2:U572),$U$2:$U$1001,0),MATCH(COLUMNS($AB$1006:AH1006),$AB$1006:$AQ$1006,0)), HYPERLINK("#",""), HYPERLINK(CONCATENATE("#Metadata!", ADDRESS(INDEX($W$2:$W$1001,MATCH(ROWS($U$2:U572),$U$2:$U$1001,0),0), INDEX($AB$1004:$AQ$1004,1,MATCH(COLUMNS($AB$1006:AH1006),$AB$1006:$AQ$1006,0)))),"Fix")))</f>
        <v>0</v>
      </c>
      <c r="I572" s="5">
        <f>IF(OR(INDEX($V$2:$V$1001,MATCH(ROWS($U$2:U572),$U$2:$U$1001,0),1)&gt;=100000,INDEX($AB$1005:$AQ$1005,1,MATCH(COLUMNS($AB$1006:AI1006),$AB$1006:$AQ$1006,0))&gt;=100000), " ",IF(INDEX($AB$2:$AQ$1001,MATCH(ROWS($U$2:U572),$U$2:$U$1001,0),MATCH(COLUMNS($AB$1006:AI1006),$AB$1006:$AQ$1006,0)), HYPERLINK("#",""), HYPERLINK(CONCATENATE("#Metadata!", ADDRESS(INDEX($W$2:$W$1001,MATCH(ROWS($U$2:U572),$U$2:$U$1001,0),0), INDEX($AB$1004:$AQ$1004,1,MATCH(COLUMNS($AB$1006:AI1006),$AB$1006:$AQ$1006,0)))),"Fix")))</f>
        <v>0</v>
      </c>
      <c r="J572" s="5">
        <f>IF(OR(INDEX($V$2:$V$1001,MATCH(ROWS($U$2:U572),$U$2:$U$1001,0),1)&gt;=100000,INDEX($AB$1005:$AQ$1005,1,MATCH(COLUMNS($AB$1006:AJ1006),$AB$1006:$AQ$1006,0))&gt;=100000), " ",IF(INDEX($AB$2:$AQ$1001,MATCH(ROWS($U$2:U572),$U$2:$U$1001,0),MATCH(COLUMNS($AB$1006:AJ1006),$AB$1006:$AQ$1006,0)), HYPERLINK("#",""), HYPERLINK(CONCATENATE("#Metadata!", ADDRESS(INDEX($W$2:$W$1001,MATCH(ROWS($U$2:U572),$U$2:$U$1001,0),0), INDEX($AB$1004:$AQ$1004,1,MATCH(COLUMNS($AB$1006:AJ1006),$AB$1006:$AQ$1006,0)))),"Fix")))</f>
        <v>0</v>
      </c>
      <c r="K572" s="5">
        <f>IF(OR(INDEX($V$2:$V$1001,MATCH(ROWS($U$2:U572),$U$2:$U$1001,0),1)&gt;=100000,INDEX($AB$1005:$AQ$1005,1,MATCH(COLUMNS($AB$1006:AK1006),$AB$1006:$AQ$1006,0))&gt;=100000), " ",IF(INDEX($AB$2:$AQ$1001,MATCH(ROWS($U$2:U572),$U$2:$U$1001,0),MATCH(COLUMNS($AB$1006:AK1006),$AB$1006:$AQ$1006,0)), HYPERLINK("#",""), HYPERLINK(CONCATENATE("#Metadata!", ADDRESS(INDEX($W$2:$W$1001,MATCH(ROWS($U$2:U572),$U$2:$U$1001,0),0), INDEX($AB$1004:$AQ$1004,1,MATCH(COLUMNS($AB$1006:AK1006),$AB$1006:$AQ$1006,0)))),"Fix")))</f>
        <v>0</v>
      </c>
      <c r="L572" s="5">
        <f>IF(OR(INDEX($V$2:$V$1001,MATCH(ROWS($U$2:U572),$U$2:$U$1001,0),1)&gt;=100000,INDEX($AB$1005:$AQ$1005,1,MATCH(COLUMNS($AB$1006:AL1006),$AB$1006:$AQ$1006,0))&gt;=100000), " ",IF(INDEX($AB$2:$AQ$1001,MATCH(ROWS($U$2:U572),$U$2:$U$1001,0),MATCH(COLUMNS($AB$1006:AL1006),$AB$1006:$AQ$1006,0)), HYPERLINK("#",""), HYPERLINK(CONCATENATE("#Metadata!", ADDRESS(INDEX($W$2:$W$1001,MATCH(ROWS($U$2:U572),$U$2:$U$1001,0),0), INDEX($AB$1004:$AQ$1004,1,MATCH(COLUMNS($AB$1006:AL1006),$AB$1006:$AQ$1006,0)))),"Fix")))</f>
        <v>0</v>
      </c>
      <c r="M572" s="5">
        <f>IF(OR(INDEX($V$2:$V$1001,MATCH(ROWS($U$2:U572),$U$2:$U$1001,0),1)&gt;=100000,INDEX($AB$1005:$AQ$1005,1,MATCH(COLUMNS($AB$1006:AM1006),$AB$1006:$AQ$1006,0))&gt;=100000), " ",IF(INDEX($AB$2:$AQ$1001,MATCH(ROWS($U$2:U572),$U$2:$U$1001,0),MATCH(COLUMNS($AB$1006:AM1006),$AB$1006:$AQ$1006,0)), HYPERLINK("#",""), HYPERLINK(CONCATENATE("#Metadata!", ADDRESS(INDEX($W$2:$W$1001,MATCH(ROWS($U$2:U572),$U$2:$U$1001,0),0), INDEX($AB$1004:$AQ$1004,1,MATCH(COLUMNS($AB$1006:AM1006),$AB$1006:$AQ$1006,0)))),"Fix")))</f>
        <v>0</v>
      </c>
      <c r="N572" s="5">
        <f>IF(OR(INDEX($V$2:$V$1001,MATCH(ROWS($U$2:U572),$U$2:$U$1001,0),1)&gt;=100000,INDEX($AB$1005:$AQ$1005,1,MATCH(COLUMNS($AB$1006:AN1006),$AB$1006:$AQ$1006,0))&gt;=100000), " ",IF(INDEX($AB$2:$AQ$1001,MATCH(ROWS($U$2:U572),$U$2:$U$1001,0),MATCH(COLUMNS($AB$1006:AN1006),$AB$1006:$AQ$1006,0)), HYPERLINK("#",""), HYPERLINK(CONCATENATE("#Metadata!", ADDRESS(INDEX($W$2:$W$1001,MATCH(ROWS($U$2:U572),$U$2:$U$1001,0),0), INDEX($AB$1004:$AQ$1004,1,MATCH(COLUMNS($AB$1006:AN1006),$AB$1006:$AQ$1006,0)))),"Fix")))</f>
        <v>0</v>
      </c>
      <c r="O572" s="5">
        <f>IF(OR(INDEX($V$2:$V$1001,MATCH(ROWS($U$2:U572),$U$2:$U$1001,0),1)&gt;=100000,INDEX($AB$1005:$AQ$1005,1,MATCH(COLUMNS($AB$1006:AO1006),$AB$1006:$AQ$1006,0))&gt;=100000), " ",IF(INDEX($AB$2:$AQ$1001,MATCH(ROWS($U$2:U572),$U$2:$U$1001,0),MATCH(COLUMNS($AB$1006:AO1006),$AB$1006:$AQ$1006,0)), HYPERLINK("#",""), HYPERLINK(CONCATENATE("#Metadata!", ADDRESS(INDEX($W$2:$W$1001,MATCH(ROWS($U$2:U572),$U$2:$U$1001,0),0), INDEX($AB$1004:$AQ$1004,1,MATCH(COLUMNS($AB$1006:AO1006),$AB$1006:$AQ$1006,0)))),"Fix")))</f>
        <v>0</v>
      </c>
      <c r="P572" s="5">
        <f>IF(OR(INDEX($V$2:$V$1001,MATCH(ROWS($U$2:U572),$U$2:$U$1001,0),1)&gt;=100000,INDEX($AB$1005:$AQ$1005,1,MATCH(COLUMNS($AB$1006:AP1006),$AB$1006:$AQ$1006,0))&gt;=100000), " ",IF(INDEX($AB$2:$AQ$1001,MATCH(ROWS($U$2:U572),$U$2:$U$1001,0),MATCH(COLUMNS($AB$1006:AP1006),$AB$1006:$AQ$1006,0)), HYPERLINK("#",""), HYPERLINK(CONCATENATE("#Metadata!", ADDRESS(INDEX($W$2:$W$1001,MATCH(ROWS($U$2:U572),$U$2:$U$1001,0),0), INDEX($AB$1004:$AQ$1004,1,MATCH(COLUMNS($AB$1006:AP1006),$AB$1006:$AQ$1006,0)))),"Fix")))</f>
        <v>0</v>
      </c>
      <c r="Q572" s="5">
        <f>IF(OR(INDEX($V$2:$V$1001,MATCH(ROWS($U$2:U572),$U$2:$U$1001,0),1)&gt;=100000,INDEX($AB$1005:$AQ$1005,1,MATCH(COLUMNS($AB$1006:AQ1006),$AB$1006:$AQ$1006,0))&gt;=100000), " ",IF(INDEX($AB$2:$AQ$1001,MATCH(ROWS($U$2:U572),$U$2:$U$1001,0),MATCH(COLUMNS($AB$1006:AQ1006),$AB$1006:$AQ$1006,0)), HYPERLINK("#",""), HYPERLINK(CONCATENATE("#Metadata!", ADDRESS(INDEX($W$2:$W$1001,MATCH(ROWS($U$2:U572),$U$2:$U$1001,0),0), INDEX($AB$1004:$AQ$1004,1,MATCH(COLUMNS($AB$1006:AQ1006),$AB$1006:$AQ$1006,0)))),"Fix")))</f>
        <v>0</v>
      </c>
      <c r="U572">
        <v>0</v>
      </c>
      <c r="V572">
        <v>0</v>
      </c>
      <c r="W572">
        <v>0</v>
      </c>
      <c r="X572">
        <f>IF(Y572,TRUE,AND(AB572:AQ572))</f>
        <v>0</v>
      </c>
      <c r="Y572">
        <f>COUNTBLANK(Metadata!B572:Q572)=COLUMNS(Metadata!B572:Q572)</f>
        <v>0</v>
      </c>
      <c r="Z572">
        <v>0</v>
      </c>
      <c r="AB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AC572">
        <f>AND(IF(Metadata!C572="",FALSE,TRUE),exact(Metadata!C572,"urban biome"))</f>
        <v>0</v>
      </c>
      <c r="AD572">
        <f>AND(IF(Metadata!D572="",FALSE,TRUE),exact(Metadata!D572,"human-associated habitat"))</f>
        <v>0</v>
      </c>
      <c r="AE572">
        <f>AND(IF(Metadata!E572="",FALSE,TRUE),OR(exact(Metadata!E572,"human-associated"),exact(Metadata!E572,"human-skin"),exact(Metadata!E572,"human-oral"),exact(Metadata!E572,"human-gut"),exact(Metadata!E572,"human-vaginal")))</f>
        <v>0</v>
      </c>
      <c r="AF572">
        <f>AND(IF(Metadata!F572="",FALSE,ISNUMBER(VALUE(Metadata!F572))),Metadata!F572&gt;0)</f>
        <v>0</v>
      </c>
      <c r="AG572">
        <f>AND(IF(Metadata!G572="",FALSE,TRUE),exact(Metadata!G572,"years"))</f>
        <v>0</v>
      </c>
      <c r="AH572">
        <f>OR(AND(IF(Metadata!H572="",FALSE,TRUE),OR(exact(Metadata!H572,"not applicable"),exact(Metadata!H572,"not collected"),exact(Metadata!H572,"not provided"),exact(Metadata!H572,"restricted access"))),AND(IF(Metadata!H572="",FALSE,ISNUMBER(VALUE(Metadata!H572))),Metadata!H572&gt;0))</f>
        <v>0</v>
      </c>
      <c r="AI572">
        <f>AND(IF(Metadata!I572="",FALSE,TRUE),exact(Metadata!I572,"human"))</f>
        <v>0</v>
      </c>
      <c r="AJ572">
        <f>AND(IF(Metadata!J572="",FALSE,ISNUMBER(VALUE(Metadata!J572))),Metadata!J572&gt;0)</f>
        <v>0</v>
      </c>
      <c r="AK572">
        <f>AND(IF(Metadata!K572="",FALSE,TRUE),exact(Metadata!K572,"cm"))</f>
        <v>0</v>
      </c>
      <c r="AL572">
        <f>AND(IF(Metadata!L572="",FALSE,TRUE),exact(Metadata!L572,"Homo sapiens"))</f>
        <v>0</v>
      </c>
      <c r="AM572">
        <f>AND(IF(Metadata!M572="",FALSE,TRUE),exact(Metadata!M572,"9606"))</f>
        <v>0</v>
      </c>
      <c r="AN572">
        <f>AND(IF(Metadata!N572="",FALSE,ISNUMBER(VALUE(Metadata!N572))),Metadata!N572&gt;0)</f>
        <v>0</v>
      </c>
      <c r="AO572">
        <f>AND(IF(Metadata!O572="",FALSE,TRUE),exact(Metadata!O572,"kg"))</f>
        <v>0</v>
      </c>
      <c r="AP572">
        <f>OR(AND(IF(Metadata!P572="",FALSE,TRUE),exact(Metadata!P572,"not provided")),IF(Metadata!P572="",FALSE,TRUE))</f>
        <v>0</v>
      </c>
      <c r="AQ572">
        <f>OR(AND(IF(Metadata!Q572="",FALSE,TRUE),exact(Metadata!Q572,"not provided")),IF(Metadata!Q572="",FALSE,TRUE))</f>
        <v>0</v>
      </c>
    </row>
    <row r="573" spans="1:43">
      <c r="A573" s="4">
        <f>IF(B573=" "," ",HYPERLINK(CONCATENATE("#metadata!",ADDRESS(INDEX($W$2:$W$1001,MATCH(ROWS($U$2:U573),$U$2:$U$1001,0),0),2)),INDEX($Z$2:$Z$1001,MATCH(ROWS($U$2:U573),$U$2:$U$1001,0),0)))</f>
        <v>0</v>
      </c>
      <c r="B573" s="5">
        <f>IF(OR(INDEX($V$2:$V$1001,MATCH(ROWS($U$2:U573),$U$2:$U$1001,0),1)&gt;=100000,INDEX($AB$1005:$AQ$1005,1,MATCH(COLUMNS($AB$1006:AB1006),$AB$1006:$AQ$1006,0))&gt;=100000), " ",IF(INDEX($AB$2:$AQ$1001,MATCH(ROWS($U$2:U573),$U$2:$U$1001,0),MATCH(COLUMNS($AB$1006:AB1006),$AB$1006:$AQ$1006,0)), HYPERLINK("#",""), HYPERLINK(CONCATENATE("#Metadata!", ADDRESS(INDEX($W$2:$W$1001,MATCH(ROWS($U$2:U573),$U$2:$U$1001,0),0), INDEX($AB$1004:$AQ$1004,1,MATCH(COLUMNS($AB$1006:AB1006),$AB$1006:$AQ$1006,0)))),"Fix")))</f>
        <v>0</v>
      </c>
      <c r="C573" s="5">
        <f>IF(OR(INDEX($V$2:$V$1001,MATCH(ROWS($U$2:U573),$U$2:$U$1001,0),1)&gt;=100000,INDEX($AB$1005:$AQ$1005,1,MATCH(COLUMNS($AB$1006:AC1006),$AB$1006:$AQ$1006,0))&gt;=100000), " ",IF(INDEX($AB$2:$AQ$1001,MATCH(ROWS($U$2:U573),$U$2:$U$1001,0),MATCH(COLUMNS($AB$1006:AC1006),$AB$1006:$AQ$1006,0)), HYPERLINK("#",""), HYPERLINK(CONCATENATE("#Metadata!", ADDRESS(INDEX($W$2:$W$1001,MATCH(ROWS($U$2:U573),$U$2:$U$1001,0),0), INDEX($AB$1004:$AQ$1004,1,MATCH(COLUMNS($AB$1006:AC1006),$AB$1006:$AQ$1006,0)))),"Fix")))</f>
        <v>0</v>
      </c>
      <c r="D573" s="5">
        <f>IF(OR(INDEX($V$2:$V$1001,MATCH(ROWS($U$2:U573),$U$2:$U$1001,0),1)&gt;=100000,INDEX($AB$1005:$AQ$1005,1,MATCH(COLUMNS($AB$1006:AD1006),$AB$1006:$AQ$1006,0))&gt;=100000), " ",IF(INDEX($AB$2:$AQ$1001,MATCH(ROWS($U$2:U573),$U$2:$U$1001,0),MATCH(COLUMNS($AB$1006:AD1006),$AB$1006:$AQ$1006,0)), HYPERLINK("#",""), HYPERLINK(CONCATENATE("#Metadata!", ADDRESS(INDEX($W$2:$W$1001,MATCH(ROWS($U$2:U573),$U$2:$U$1001,0),0), INDEX($AB$1004:$AQ$1004,1,MATCH(COLUMNS($AB$1006:AD1006),$AB$1006:$AQ$1006,0)))),"Fix")))</f>
        <v>0</v>
      </c>
      <c r="E573" s="5">
        <f>IF(OR(INDEX($V$2:$V$1001,MATCH(ROWS($U$2:U573),$U$2:$U$1001,0),1)&gt;=100000,INDEX($AB$1005:$AQ$1005,1,MATCH(COLUMNS($AB$1006:AE1006),$AB$1006:$AQ$1006,0))&gt;=100000), " ",IF(INDEX($AB$2:$AQ$1001,MATCH(ROWS($U$2:U573),$U$2:$U$1001,0),MATCH(COLUMNS($AB$1006:AE1006),$AB$1006:$AQ$1006,0)), HYPERLINK("#",""), HYPERLINK(CONCATENATE("#Metadata!", ADDRESS(INDEX($W$2:$W$1001,MATCH(ROWS($U$2:U573),$U$2:$U$1001,0),0), INDEX($AB$1004:$AQ$1004,1,MATCH(COLUMNS($AB$1006:AE1006),$AB$1006:$AQ$1006,0)))),"Fix")))</f>
        <v>0</v>
      </c>
      <c r="F573" s="5">
        <f>IF(OR(INDEX($V$2:$V$1001,MATCH(ROWS($U$2:U573),$U$2:$U$1001,0),1)&gt;=100000,INDEX($AB$1005:$AQ$1005,1,MATCH(COLUMNS($AB$1006:AF1006),$AB$1006:$AQ$1006,0))&gt;=100000), " ",IF(INDEX($AB$2:$AQ$1001,MATCH(ROWS($U$2:U573),$U$2:$U$1001,0),MATCH(COLUMNS($AB$1006:AF1006),$AB$1006:$AQ$1006,0)), HYPERLINK("#",""), HYPERLINK(CONCATENATE("#Metadata!", ADDRESS(INDEX($W$2:$W$1001,MATCH(ROWS($U$2:U573),$U$2:$U$1001,0),0), INDEX($AB$1004:$AQ$1004,1,MATCH(COLUMNS($AB$1006:AF1006),$AB$1006:$AQ$1006,0)))),"Fix")))</f>
        <v>0</v>
      </c>
      <c r="G573" s="5">
        <f>IF(OR(INDEX($V$2:$V$1001,MATCH(ROWS($U$2:U573),$U$2:$U$1001,0),1)&gt;=100000,INDEX($AB$1005:$AQ$1005,1,MATCH(COLUMNS($AB$1006:AG1006),$AB$1006:$AQ$1006,0))&gt;=100000), " ",IF(INDEX($AB$2:$AQ$1001,MATCH(ROWS($U$2:U573),$U$2:$U$1001,0),MATCH(COLUMNS($AB$1006:AG1006),$AB$1006:$AQ$1006,0)), HYPERLINK("#",""), HYPERLINK(CONCATENATE("#Metadata!", ADDRESS(INDEX($W$2:$W$1001,MATCH(ROWS($U$2:U573),$U$2:$U$1001,0),0), INDEX($AB$1004:$AQ$1004,1,MATCH(COLUMNS($AB$1006:AG1006),$AB$1006:$AQ$1006,0)))),"Fix")))</f>
        <v>0</v>
      </c>
      <c r="H573" s="5">
        <f>IF(OR(INDEX($V$2:$V$1001,MATCH(ROWS($U$2:U573),$U$2:$U$1001,0),1)&gt;=100000,INDEX($AB$1005:$AQ$1005,1,MATCH(COLUMNS($AB$1006:AH1006),$AB$1006:$AQ$1006,0))&gt;=100000), " ",IF(INDEX($AB$2:$AQ$1001,MATCH(ROWS($U$2:U573),$U$2:$U$1001,0),MATCH(COLUMNS($AB$1006:AH1006),$AB$1006:$AQ$1006,0)), HYPERLINK("#",""), HYPERLINK(CONCATENATE("#Metadata!", ADDRESS(INDEX($W$2:$W$1001,MATCH(ROWS($U$2:U573),$U$2:$U$1001,0),0), INDEX($AB$1004:$AQ$1004,1,MATCH(COLUMNS($AB$1006:AH1006),$AB$1006:$AQ$1006,0)))),"Fix")))</f>
        <v>0</v>
      </c>
      <c r="I573" s="5">
        <f>IF(OR(INDEX($V$2:$V$1001,MATCH(ROWS($U$2:U573),$U$2:$U$1001,0),1)&gt;=100000,INDEX($AB$1005:$AQ$1005,1,MATCH(COLUMNS($AB$1006:AI1006),$AB$1006:$AQ$1006,0))&gt;=100000), " ",IF(INDEX($AB$2:$AQ$1001,MATCH(ROWS($U$2:U573),$U$2:$U$1001,0),MATCH(COLUMNS($AB$1006:AI1006),$AB$1006:$AQ$1006,0)), HYPERLINK("#",""), HYPERLINK(CONCATENATE("#Metadata!", ADDRESS(INDEX($W$2:$W$1001,MATCH(ROWS($U$2:U573),$U$2:$U$1001,0),0), INDEX($AB$1004:$AQ$1004,1,MATCH(COLUMNS($AB$1006:AI1006),$AB$1006:$AQ$1006,0)))),"Fix")))</f>
        <v>0</v>
      </c>
      <c r="J573" s="5">
        <f>IF(OR(INDEX($V$2:$V$1001,MATCH(ROWS($U$2:U573),$U$2:$U$1001,0),1)&gt;=100000,INDEX($AB$1005:$AQ$1005,1,MATCH(COLUMNS($AB$1006:AJ1006),$AB$1006:$AQ$1006,0))&gt;=100000), " ",IF(INDEX($AB$2:$AQ$1001,MATCH(ROWS($U$2:U573),$U$2:$U$1001,0),MATCH(COLUMNS($AB$1006:AJ1006),$AB$1006:$AQ$1006,0)), HYPERLINK("#",""), HYPERLINK(CONCATENATE("#Metadata!", ADDRESS(INDEX($W$2:$W$1001,MATCH(ROWS($U$2:U573),$U$2:$U$1001,0),0), INDEX($AB$1004:$AQ$1004,1,MATCH(COLUMNS($AB$1006:AJ1006),$AB$1006:$AQ$1006,0)))),"Fix")))</f>
        <v>0</v>
      </c>
      <c r="K573" s="5">
        <f>IF(OR(INDEX($V$2:$V$1001,MATCH(ROWS($U$2:U573),$U$2:$U$1001,0),1)&gt;=100000,INDEX($AB$1005:$AQ$1005,1,MATCH(COLUMNS($AB$1006:AK1006),$AB$1006:$AQ$1006,0))&gt;=100000), " ",IF(INDEX($AB$2:$AQ$1001,MATCH(ROWS($U$2:U573),$U$2:$U$1001,0),MATCH(COLUMNS($AB$1006:AK1006),$AB$1006:$AQ$1006,0)), HYPERLINK("#",""), HYPERLINK(CONCATENATE("#Metadata!", ADDRESS(INDEX($W$2:$W$1001,MATCH(ROWS($U$2:U573),$U$2:$U$1001,0),0), INDEX($AB$1004:$AQ$1004,1,MATCH(COLUMNS($AB$1006:AK1006),$AB$1006:$AQ$1006,0)))),"Fix")))</f>
        <v>0</v>
      </c>
      <c r="L573" s="5">
        <f>IF(OR(INDEX($V$2:$V$1001,MATCH(ROWS($U$2:U573),$U$2:$U$1001,0),1)&gt;=100000,INDEX($AB$1005:$AQ$1005,1,MATCH(COLUMNS($AB$1006:AL1006),$AB$1006:$AQ$1006,0))&gt;=100000), " ",IF(INDEX($AB$2:$AQ$1001,MATCH(ROWS($U$2:U573),$U$2:$U$1001,0),MATCH(COLUMNS($AB$1006:AL1006),$AB$1006:$AQ$1006,0)), HYPERLINK("#",""), HYPERLINK(CONCATENATE("#Metadata!", ADDRESS(INDEX($W$2:$W$1001,MATCH(ROWS($U$2:U573),$U$2:$U$1001,0),0), INDEX($AB$1004:$AQ$1004,1,MATCH(COLUMNS($AB$1006:AL1006),$AB$1006:$AQ$1006,0)))),"Fix")))</f>
        <v>0</v>
      </c>
      <c r="M573" s="5">
        <f>IF(OR(INDEX($V$2:$V$1001,MATCH(ROWS($U$2:U573),$U$2:$U$1001,0),1)&gt;=100000,INDEX($AB$1005:$AQ$1005,1,MATCH(COLUMNS($AB$1006:AM1006),$AB$1006:$AQ$1006,0))&gt;=100000), " ",IF(INDEX($AB$2:$AQ$1001,MATCH(ROWS($U$2:U573),$U$2:$U$1001,0),MATCH(COLUMNS($AB$1006:AM1006),$AB$1006:$AQ$1006,0)), HYPERLINK("#",""), HYPERLINK(CONCATENATE("#Metadata!", ADDRESS(INDEX($W$2:$W$1001,MATCH(ROWS($U$2:U573),$U$2:$U$1001,0),0), INDEX($AB$1004:$AQ$1004,1,MATCH(COLUMNS($AB$1006:AM1006),$AB$1006:$AQ$1006,0)))),"Fix")))</f>
        <v>0</v>
      </c>
      <c r="N573" s="5">
        <f>IF(OR(INDEX($V$2:$V$1001,MATCH(ROWS($U$2:U573),$U$2:$U$1001,0),1)&gt;=100000,INDEX($AB$1005:$AQ$1005,1,MATCH(COLUMNS($AB$1006:AN1006),$AB$1006:$AQ$1006,0))&gt;=100000), " ",IF(INDEX($AB$2:$AQ$1001,MATCH(ROWS($U$2:U573),$U$2:$U$1001,0),MATCH(COLUMNS($AB$1006:AN1006),$AB$1006:$AQ$1006,0)), HYPERLINK("#",""), HYPERLINK(CONCATENATE("#Metadata!", ADDRESS(INDEX($W$2:$W$1001,MATCH(ROWS($U$2:U573),$U$2:$U$1001,0),0), INDEX($AB$1004:$AQ$1004,1,MATCH(COLUMNS($AB$1006:AN1006),$AB$1006:$AQ$1006,0)))),"Fix")))</f>
        <v>0</v>
      </c>
      <c r="O573" s="5">
        <f>IF(OR(INDEX($V$2:$V$1001,MATCH(ROWS($U$2:U573),$U$2:$U$1001,0),1)&gt;=100000,INDEX($AB$1005:$AQ$1005,1,MATCH(COLUMNS($AB$1006:AO1006),$AB$1006:$AQ$1006,0))&gt;=100000), " ",IF(INDEX($AB$2:$AQ$1001,MATCH(ROWS($U$2:U573),$U$2:$U$1001,0),MATCH(COLUMNS($AB$1006:AO1006),$AB$1006:$AQ$1006,0)), HYPERLINK("#",""), HYPERLINK(CONCATENATE("#Metadata!", ADDRESS(INDEX($W$2:$W$1001,MATCH(ROWS($U$2:U573),$U$2:$U$1001,0),0), INDEX($AB$1004:$AQ$1004,1,MATCH(COLUMNS($AB$1006:AO1006),$AB$1006:$AQ$1006,0)))),"Fix")))</f>
        <v>0</v>
      </c>
      <c r="P573" s="5">
        <f>IF(OR(INDEX($V$2:$V$1001,MATCH(ROWS($U$2:U573),$U$2:$U$1001,0),1)&gt;=100000,INDEX($AB$1005:$AQ$1005,1,MATCH(COLUMNS($AB$1006:AP1006),$AB$1006:$AQ$1006,0))&gt;=100000), " ",IF(INDEX($AB$2:$AQ$1001,MATCH(ROWS($U$2:U573),$U$2:$U$1001,0),MATCH(COLUMNS($AB$1006:AP1006),$AB$1006:$AQ$1006,0)), HYPERLINK("#",""), HYPERLINK(CONCATENATE("#Metadata!", ADDRESS(INDEX($W$2:$W$1001,MATCH(ROWS($U$2:U573),$U$2:$U$1001,0),0), INDEX($AB$1004:$AQ$1004,1,MATCH(COLUMNS($AB$1006:AP1006),$AB$1006:$AQ$1006,0)))),"Fix")))</f>
        <v>0</v>
      </c>
      <c r="Q573" s="5">
        <f>IF(OR(INDEX($V$2:$V$1001,MATCH(ROWS($U$2:U573),$U$2:$U$1001,0),1)&gt;=100000,INDEX($AB$1005:$AQ$1005,1,MATCH(COLUMNS($AB$1006:AQ1006),$AB$1006:$AQ$1006,0))&gt;=100000), " ",IF(INDEX($AB$2:$AQ$1001,MATCH(ROWS($U$2:U573),$U$2:$U$1001,0),MATCH(COLUMNS($AB$1006:AQ1006),$AB$1006:$AQ$1006,0)), HYPERLINK("#",""), HYPERLINK(CONCATENATE("#Metadata!", ADDRESS(INDEX($W$2:$W$1001,MATCH(ROWS($U$2:U573),$U$2:$U$1001,0),0), INDEX($AB$1004:$AQ$1004,1,MATCH(COLUMNS($AB$1006:AQ1006),$AB$1006:$AQ$1006,0)))),"Fix")))</f>
        <v>0</v>
      </c>
      <c r="U573">
        <v>0</v>
      </c>
      <c r="V573">
        <v>0</v>
      </c>
      <c r="W573">
        <v>0</v>
      </c>
      <c r="X573">
        <f>IF(Y573,TRUE,AND(AB573:AQ573))</f>
        <v>0</v>
      </c>
      <c r="Y573">
        <f>COUNTBLANK(Metadata!B573:Q573)=COLUMNS(Metadata!B573:Q573)</f>
        <v>0</v>
      </c>
      <c r="Z573">
        <v>0</v>
      </c>
      <c r="AB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AC573">
        <f>AND(IF(Metadata!C573="",FALSE,TRUE),exact(Metadata!C573,"urban biome"))</f>
        <v>0</v>
      </c>
      <c r="AD573">
        <f>AND(IF(Metadata!D573="",FALSE,TRUE),exact(Metadata!D573,"human-associated habitat"))</f>
        <v>0</v>
      </c>
      <c r="AE573">
        <f>AND(IF(Metadata!E573="",FALSE,TRUE),OR(exact(Metadata!E573,"human-associated"),exact(Metadata!E573,"human-skin"),exact(Metadata!E573,"human-oral"),exact(Metadata!E573,"human-gut"),exact(Metadata!E573,"human-vaginal")))</f>
        <v>0</v>
      </c>
      <c r="AF573">
        <f>AND(IF(Metadata!F573="",FALSE,ISNUMBER(VALUE(Metadata!F573))),Metadata!F573&gt;0)</f>
        <v>0</v>
      </c>
      <c r="AG573">
        <f>AND(IF(Metadata!G573="",FALSE,TRUE),exact(Metadata!G573,"years"))</f>
        <v>0</v>
      </c>
      <c r="AH573">
        <f>OR(AND(IF(Metadata!H573="",FALSE,TRUE),OR(exact(Metadata!H573,"not applicable"),exact(Metadata!H573,"not collected"),exact(Metadata!H573,"not provided"),exact(Metadata!H573,"restricted access"))),AND(IF(Metadata!H573="",FALSE,ISNUMBER(VALUE(Metadata!H573))),Metadata!H573&gt;0))</f>
        <v>0</v>
      </c>
      <c r="AI573">
        <f>AND(IF(Metadata!I573="",FALSE,TRUE),exact(Metadata!I573,"human"))</f>
        <v>0</v>
      </c>
      <c r="AJ573">
        <f>AND(IF(Metadata!J573="",FALSE,ISNUMBER(VALUE(Metadata!J573))),Metadata!J573&gt;0)</f>
        <v>0</v>
      </c>
      <c r="AK573">
        <f>AND(IF(Metadata!K573="",FALSE,TRUE),exact(Metadata!K573,"cm"))</f>
        <v>0</v>
      </c>
      <c r="AL573">
        <f>AND(IF(Metadata!L573="",FALSE,TRUE),exact(Metadata!L573,"Homo sapiens"))</f>
        <v>0</v>
      </c>
      <c r="AM573">
        <f>AND(IF(Metadata!M573="",FALSE,TRUE),exact(Metadata!M573,"9606"))</f>
        <v>0</v>
      </c>
      <c r="AN573">
        <f>AND(IF(Metadata!N573="",FALSE,ISNUMBER(VALUE(Metadata!N573))),Metadata!N573&gt;0)</f>
        <v>0</v>
      </c>
      <c r="AO573">
        <f>AND(IF(Metadata!O573="",FALSE,TRUE),exact(Metadata!O573,"kg"))</f>
        <v>0</v>
      </c>
      <c r="AP573">
        <f>OR(AND(IF(Metadata!P573="",FALSE,TRUE),exact(Metadata!P573,"not provided")),IF(Metadata!P573="",FALSE,TRUE))</f>
        <v>0</v>
      </c>
      <c r="AQ573">
        <f>OR(AND(IF(Metadata!Q573="",FALSE,TRUE),exact(Metadata!Q573,"not provided")),IF(Metadata!Q573="",FALSE,TRUE))</f>
        <v>0</v>
      </c>
    </row>
    <row r="574" spans="1:43">
      <c r="A574" s="4">
        <f>IF(B574=" "," ",HYPERLINK(CONCATENATE("#metadata!",ADDRESS(INDEX($W$2:$W$1001,MATCH(ROWS($U$2:U574),$U$2:$U$1001,0),0),2)),INDEX($Z$2:$Z$1001,MATCH(ROWS($U$2:U574),$U$2:$U$1001,0),0)))</f>
        <v>0</v>
      </c>
      <c r="B574" s="5">
        <f>IF(OR(INDEX($V$2:$V$1001,MATCH(ROWS($U$2:U574),$U$2:$U$1001,0),1)&gt;=100000,INDEX($AB$1005:$AQ$1005,1,MATCH(COLUMNS($AB$1006:AB1006),$AB$1006:$AQ$1006,0))&gt;=100000), " ",IF(INDEX($AB$2:$AQ$1001,MATCH(ROWS($U$2:U574),$U$2:$U$1001,0),MATCH(COLUMNS($AB$1006:AB1006),$AB$1006:$AQ$1006,0)), HYPERLINK("#",""), HYPERLINK(CONCATENATE("#Metadata!", ADDRESS(INDEX($W$2:$W$1001,MATCH(ROWS($U$2:U574),$U$2:$U$1001,0),0), INDEX($AB$1004:$AQ$1004,1,MATCH(COLUMNS($AB$1006:AB1006),$AB$1006:$AQ$1006,0)))),"Fix")))</f>
        <v>0</v>
      </c>
      <c r="C574" s="5">
        <f>IF(OR(INDEX($V$2:$V$1001,MATCH(ROWS($U$2:U574),$U$2:$U$1001,0),1)&gt;=100000,INDEX($AB$1005:$AQ$1005,1,MATCH(COLUMNS($AB$1006:AC1006),$AB$1006:$AQ$1006,0))&gt;=100000), " ",IF(INDEX($AB$2:$AQ$1001,MATCH(ROWS($U$2:U574),$U$2:$U$1001,0),MATCH(COLUMNS($AB$1006:AC1006),$AB$1006:$AQ$1006,0)), HYPERLINK("#",""), HYPERLINK(CONCATENATE("#Metadata!", ADDRESS(INDEX($W$2:$W$1001,MATCH(ROWS($U$2:U574),$U$2:$U$1001,0),0), INDEX($AB$1004:$AQ$1004,1,MATCH(COLUMNS($AB$1006:AC1006),$AB$1006:$AQ$1006,0)))),"Fix")))</f>
        <v>0</v>
      </c>
      <c r="D574" s="5">
        <f>IF(OR(INDEX($V$2:$V$1001,MATCH(ROWS($U$2:U574),$U$2:$U$1001,0),1)&gt;=100000,INDEX($AB$1005:$AQ$1005,1,MATCH(COLUMNS($AB$1006:AD1006),$AB$1006:$AQ$1006,0))&gt;=100000), " ",IF(INDEX($AB$2:$AQ$1001,MATCH(ROWS($U$2:U574),$U$2:$U$1001,0),MATCH(COLUMNS($AB$1006:AD1006),$AB$1006:$AQ$1006,0)), HYPERLINK("#",""), HYPERLINK(CONCATENATE("#Metadata!", ADDRESS(INDEX($W$2:$W$1001,MATCH(ROWS($U$2:U574),$U$2:$U$1001,0),0), INDEX($AB$1004:$AQ$1004,1,MATCH(COLUMNS($AB$1006:AD1006),$AB$1006:$AQ$1006,0)))),"Fix")))</f>
        <v>0</v>
      </c>
      <c r="E574" s="5">
        <f>IF(OR(INDEX($V$2:$V$1001,MATCH(ROWS($U$2:U574),$U$2:$U$1001,0),1)&gt;=100000,INDEX($AB$1005:$AQ$1005,1,MATCH(COLUMNS($AB$1006:AE1006),$AB$1006:$AQ$1006,0))&gt;=100000), " ",IF(INDEX($AB$2:$AQ$1001,MATCH(ROWS($U$2:U574),$U$2:$U$1001,0),MATCH(COLUMNS($AB$1006:AE1006),$AB$1006:$AQ$1006,0)), HYPERLINK("#",""), HYPERLINK(CONCATENATE("#Metadata!", ADDRESS(INDEX($W$2:$W$1001,MATCH(ROWS($U$2:U574),$U$2:$U$1001,0),0), INDEX($AB$1004:$AQ$1004,1,MATCH(COLUMNS($AB$1006:AE1006),$AB$1006:$AQ$1006,0)))),"Fix")))</f>
        <v>0</v>
      </c>
      <c r="F574" s="5">
        <f>IF(OR(INDEX($V$2:$V$1001,MATCH(ROWS($U$2:U574),$U$2:$U$1001,0),1)&gt;=100000,INDEX($AB$1005:$AQ$1005,1,MATCH(COLUMNS($AB$1006:AF1006),$AB$1006:$AQ$1006,0))&gt;=100000), " ",IF(INDEX($AB$2:$AQ$1001,MATCH(ROWS($U$2:U574),$U$2:$U$1001,0),MATCH(COLUMNS($AB$1006:AF1006),$AB$1006:$AQ$1006,0)), HYPERLINK("#",""), HYPERLINK(CONCATENATE("#Metadata!", ADDRESS(INDEX($W$2:$W$1001,MATCH(ROWS($U$2:U574),$U$2:$U$1001,0),0), INDEX($AB$1004:$AQ$1004,1,MATCH(COLUMNS($AB$1006:AF1006),$AB$1006:$AQ$1006,0)))),"Fix")))</f>
        <v>0</v>
      </c>
      <c r="G574" s="5">
        <f>IF(OR(INDEX($V$2:$V$1001,MATCH(ROWS($U$2:U574),$U$2:$U$1001,0),1)&gt;=100000,INDEX($AB$1005:$AQ$1005,1,MATCH(COLUMNS($AB$1006:AG1006),$AB$1006:$AQ$1006,0))&gt;=100000), " ",IF(INDEX($AB$2:$AQ$1001,MATCH(ROWS($U$2:U574),$U$2:$U$1001,0),MATCH(COLUMNS($AB$1006:AG1006),$AB$1006:$AQ$1006,0)), HYPERLINK("#",""), HYPERLINK(CONCATENATE("#Metadata!", ADDRESS(INDEX($W$2:$W$1001,MATCH(ROWS($U$2:U574),$U$2:$U$1001,0),0), INDEX($AB$1004:$AQ$1004,1,MATCH(COLUMNS($AB$1006:AG1006),$AB$1006:$AQ$1006,0)))),"Fix")))</f>
        <v>0</v>
      </c>
      <c r="H574" s="5">
        <f>IF(OR(INDEX($V$2:$V$1001,MATCH(ROWS($U$2:U574),$U$2:$U$1001,0),1)&gt;=100000,INDEX($AB$1005:$AQ$1005,1,MATCH(COLUMNS($AB$1006:AH1006),$AB$1006:$AQ$1006,0))&gt;=100000), " ",IF(INDEX($AB$2:$AQ$1001,MATCH(ROWS($U$2:U574),$U$2:$U$1001,0),MATCH(COLUMNS($AB$1006:AH1006),$AB$1006:$AQ$1006,0)), HYPERLINK("#",""), HYPERLINK(CONCATENATE("#Metadata!", ADDRESS(INDEX($W$2:$W$1001,MATCH(ROWS($U$2:U574),$U$2:$U$1001,0),0), INDEX($AB$1004:$AQ$1004,1,MATCH(COLUMNS($AB$1006:AH1006),$AB$1006:$AQ$1006,0)))),"Fix")))</f>
        <v>0</v>
      </c>
      <c r="I574" s="5">
        <f>IF(OR(INDEX($V$2:$V$1001,MATCH(ROWS($U$2:U574),$U$2:$U$1001,0),1)&gt;=100000,INDEX($AB$1005:$AQ$1005,1,MATCH(COLUMNS($AB$1006:AI1006),$AB$1006:$AQ$1006,0))&gt;=100000), " ",IF(INDEX($AB$2:$AQ$1001,MATCH(ROWS($U$2:U574),$U$2:$U$1001,0),MATCH(COLUMNS($AB$1006:AI1006),$AB$1006:$AQ$1006,0)), HYPERLINK("#",""), HYPERLINK(CONCATENATE("#Metadata!", ADDRESS(INDEX($W$2:$W$1001,MATCH(ROWS($U$2:U574),$U$2:$U$1001,0),0), INDEX($AB$1004:$AQ$1004,1,MATCH(COLUMNS($AB$1006:AI1006),$AB$1006:$AQ$1006,0)))),"Fix")))</f>
        <v>0</v>
      </c>
      <c r="J574" s="5">
        <f>IF(OR(INDEX($V$2:$V$1001,MATCH(ROWS($U$2:U574),$U$2:$U$1001,0),1)&gt;=100000,INDEX($AB$1005:$AQ$1005,1,MATCH(COLUMNS($AB$1006:AJ1006),$AB$1006:$AQ$1006,0))&gt;=100000), " ",IF(INDEX($AB$2:$AQ$1001,MATCH(ROWS($U$2:U574),$U$2:$U$1001,0),MATCH(COLUMNS($AB$1006:AJ1006),$AB$1006:$AQ$1006,0)), HYPERLINK("#",""), HYPERLINK(CONCATENATE("#Metadata!", ADDRESS(INDEX($W$2:$W$1001,MATCH(ROWS($U$2:U574),$U$2:$U$1001,0),0), INDEX($AB$1004:$AQ$1004,1,MATCH(COLUMNS($AB$1006:AJ1006),$AB$1006:$AQ$1006,0)))),"Fix")))</f>
        <v>0</v>
      </c>
      <c r="K574" s="5">
        <f>IF(OR(INDEX($V$2:$V$1001,MATCH(ROWS($U$2:U574),$U$2:$U$1001,0),1)&gt;=100000,INDEX($AB$1005:$AQ$1005,1,MATCH(COLUMNS($AB$1006:AK1006),$AB$1006:$AQ$1006,0))&gt;=100000), " ",IF(INDEX($AB$2:$AQ$1001,MATCH(ROWS($U$2:U574),$U$2:$U$1001,0),MATCH(COLUMNS($AB$1006:AK1006),$AB$1006:$AQ$1006,0)), HYPERLINK("#",""), HYPERLINK(CONCATENATE("#Metadata!", ADDRESS(INDEX($W$2:$W$1001,MATCH(ROWS($U$2:U574),$U$2:$U$1001,0),0), INDEX($AB$1004:$AQ$1004,1,MATCH(COLUMNS($AB$1006:AK1006),$AB$1006:$AQ$1006,0)))),"Fix")))</f>
        <v>0</v>
      </c>
      <c r="L574" s="5">
        <f>IF(OR(INDEX($V$2:$V$1001,MATCH(ROWS($U$2:U574),$U$2:$U$1001,0),1)&gt;=100000,INDEX($AB$1005:$AQ$1005,1,MATCH(COLUMNS($AB$1006:AL1006),$AB$1006:$AQ$1006,0))&gt;=100000), " ",IF(INDEX($AB$2:$AQ$1001,MATCH(ROWS($U$2:U574),$U$2:$U$1001,0),MATCH(COLUMNS($AB$1006:AL1006),$AB$1006:$AQ$1006,0)), HYPERLINK("#",""), HYPERLINK(CONCATENATE("#Metadata!", ADDRESS(INDEX($W$2:$W$1001,MATCH(ROWS($U$2:U574),$U$2:$U$1001,0),0), INDEX($AB$1004:$AQ$1004,1,MATCH(COLUMNS($AB$1006:AL1006),$AB$1006:$AQ$1006,0)))),"Fix")))</f>
        <v>0</v>
      </c>
      <c r="M574" s="5">
        <f>IF(OR(INDEX($V$2:$V$1001,MATCH(ROWS($U$2:U574),$U$2:$U$1001,0),1)&gt;=100000,INDEX($AB$1005:$AQ$1005,1,MATCH(COLUMNS($AB$1006:AM1006),$AB$1006:$AQ$1006,0))&gt;=100000), " ",IF(INDEX($AB$2:$AQ$1001,MATCH(ROWS($U$2:U574),$U$2:$U$1001,0),MATCH(COLUMNS($AB$1006:AM1006),$AB$1006:$AQ$1006,0)), HYPERLINK("#",""), HYPERLINK(CONCATENATE("#Metadata!", ADDRESS(INDEX($W$2:$W$1001,MATCH(ROWS($U$2:U574),$U$2:$U$1001,0),0), INDEX($AB$1004:$AQ$1004,1,MATCH(COLUMNS($AB$1006:AM1006),$AB$1006:$AQ$1006,0)))),"Fix")))</f>
        <v>0</v>
      </c>
      <c r="N574" s="5">
        <f>IF(OR(INDEX($V$2:$V$1001,MATCH(ROWS($U$2:U574),$U$2:$U$1001,0),1)&gt;=100000,INDEX($AB$1005:$AQ$1005,1,MATCH(COLUMNS($AB$1006:AN1006),$AB$1006:$AQ$1006,0))&gt;=100000), " ",IF(INDEX($AB$2:$AQ$1001,MATCH(ROWS($U$2:U574),$U$2:$U$1001,0),MATCH(COLUMNS($AB$1006:AN1006),$AB$1006:$AQ$1006,0)), HYPERLINK("#",""), HYPERLINK(CONCATENATE("#Metadata!", ADDRESS(INDEX($W$2:$W$1001,MATCH(ROWS($U$2:U574),$U$2:$U$1001,0),0), INDEX($AB$1004:$AQ$1004,1,MATCH(COLUMNS($AB$1006:AN1006),$AB$1006:$AQ$1006,0)))),"Fix")))</f>
        <v>0</v>
      </c>
      <c r="O574" s="5">
        <f>IF(OR(INDEX($V$2:$V$1001,MATCH(ROWS($U$2:U574),$U$2:$U$1001,0),1)&gt;=100000,INDEX($AB$1005:$AQ$1005,1,MATCH(COLUMNS($AB$1006:AO1006),$AB$1006:$AQ$1006,0))&gt;=100000), " ",IF(INDEX($AB$2:$AQ$1001,MATCH(ROWS($U$2:U574),$U$2:$U$1001,0),MATCH(COLUMNS($AB$1006:AO1006),$AB$1006:$AQ$1006,0)), HYPERLINK("#",""), HYPERLINK(CONCATENATE("#Metadata!", ADDRESS(INDEX($W$2:$W$1001,MATCH(ROWS($U$2:U574),$U$2:$U$1001,0),0), INDEX($AB$1004:$AQ$1004,1,MATCH(COLUMNS($AB$1006:AO1006),$AB$1006:$AQ$1006,0)))),"Fix")))</f>
        <v>0</v>
      </c>
      <c r="P574" s="5">
        <f>IF(OR(INDEX($V$2:$V$1001,MATCH(ROWS($U$2:U574),$U$2:$U$1001,0),1)&gt;=100000,INDEX($AB$1005:$AQ$1005,1,MATCH(COLUMNS($AB$1006:AP1006),$AB$1006:$AQ$1006,0))&gt;=100000), " ",IF(INDEX($AB$2:$AQ$1001,MATCH(ROWS($U$2:U574),$U$2:$U$1001,0),MATCH(COLUMNS($AB$1006:AP1006),$AB$1006:$AQ$1006,0)), HYPERLINK("#",""), HYPERLINK(CONCATENATE("#Metadata!", ADDRESS(INDEX($W$2:$W$1001,MATCH(ROWS($U$2:U574),$U$2:$U$1001,0),0), INDEX($AB$1004:$AQ$1004,1,MATCH(COLUMNS($AB$1006:AP1006),$AB$1006:$AQ$1006,0)))),"Fix")))</f>
        <v>0</v>
      </c>
      <c r="Q574" s="5">
        <f>IF(OR(INDEX($V$2:$V$1001,MATCH(ROWS($U$2:U574),$U$2:$U$1001,0),1)&gt;=100000,INDEX($AB$1005:$AQ$1005,1,MATCH(COLUMNS($AB$1006:AQ1006),$AB$1006:$AQ$1006,0))&gt;=100000), " ",IF(INDEX($AB$2:$AQ$1001,MATCH(ROWS($U$2:U574),$U$2:$U$1001,0),MATCH(COLUMNS($AB$1006:AQ1006),$AB$1006:$AQ$1006,0)), HYPERLINK("#",""), HYPERLINK(CONCATENATE("#Metadata!", ADDRESS(INDEX($W$2:$W$1001,MATCH(ROWS($U$2:U574),$U$2:$U$1001,0),0), INDEX($AB$1004:$AQ$1004,1,MATCH(COLUMNS($AB$1006:AQ1006),$AB$1006:$AQ$1006,0)))),"Fix")))</f>
        <v>0</v>
      </c>
      <c r="U574">
        <v>0</v>
      </c>
      <c r="V574">
        <v>0</v>
      </c>
      <c r="W574">
        <v>0</v>
      </c>
      <c r="X574">
        <f>IF(Y574,TRUE,AND(AB574:AQ574))</f>
        <v>0</v>
      </c>
      <c r="Y574">
        <f>COUNTBLANK(Metadata!B574:Q574)=COLUMNS(Metadata!B574:Q574)</f>
        <v>0</v>
      </c>
      <c r="Z574">
        <v>0</v>
      </c>
      <c r="AB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AC574">
        <f>AND(IF(Metadata!C574="",FALSE,TRUE),exact(Metadata!C574,"urban biome"))</f>
        <v>0</v>
      </c>
      <c r="AD574">
        <f>AND(IF(Metadata!D574="",FALSE,TRUE),exact(Metadata!D574,"human-associated habitat"))</f>
        <v>0</v>
      </c>
      <c r="AE574">
        <f>AND(IF(Metadata!E574="",FALSE,TRUE),OR(exact(Metadata!E574,"human-associated"),exact(Metadata!E574,"human-skin"),exact(Metadata!E574,"human-oral"),exact(Metadata!E574,"human-gut"),exact(Metadata!E574,"human-vaginal")))</f>
        <v>0</v>
      </c>
      <c r="AF574">
        <f>AND(IF(Metadata!F574="",FALSE,ISNUMBER(VALUE(Metadata!F574))),Metadata!F574&gt;0)</f>
        <v>0</v>
      </c>
      <c r="AG574">
        <f>AND(IF(Metadata!G574="",FALSE,TRUE),exact(Metadata!G574,"years"))</f>
        <v>0</v>
      </c>
      <c r="AH574">
        <f>OR(AND(IF(Metadata!H574="",FALSE,TRUE),OR(exact(Metadata!H574,"not applicable"),exact(Metadata!H574,"not collected"),exact(Metadata!H574,"not provided"),exact(Metadata!H574,"restricted access"))),AND(IF(Metadata!H574="",FALSE,ISNUMBER(VALUE(Metadata!H574))),Metadata!H574&gt;0))</f>
        <v>0</v>
      </c>
      <c r="AI574">
        <f>AND(IF(Metadata!I574="",FALSE,TRUE),exact(Metadata!I574,"human"))</f>
        <v>0</v>
      </c>
      <c r="AJ574">
        <f>AND(IF(Metadata!J574="",FALSE,ISNUMBER(VALUE(Metadata!J574))),Metadata!J574&gt;0)</f>
        <v>0</v>
      </c>
      <c r="AK574">
        <f>AND(IF(Metadata!K574="",FALSE,TRUE),exact(Metadata!K574,"cm"))</f>
        <v>0</v>
      </c>
      <c r="AL574">
        <f>AND(IF(Metadata!L574="",FALSE,TRUE),exact(Metadata!L574,"Homo sapiens"))</f>
        <v>0</v>
      </c>
      <c r="AM574">
        <f>AND(IF(Metadata!M574="",FALSE,TRUE),exact(Metadata!M574,"9606"))</f>
        <v>0</v>
      </c>
      <c r="AN574">
        <f>AND(IF(Metadata!N574="",FALSE,ISNUMBER(VALUE(Metadata!N574))),Metadata!N574&gt;0)</f>
        <v>0</v>
      </c>
      <c r="AO574">
        <f>AND(IF(Metadata!O574="",FALSE,TRUE),exact(Metadata!O574,"kg"))</f>
        <v>0</v>
      </c>
      <c r="AP574">
        <f>OR(AND(IF(Metadata!P574="",FALSE,TRUE),exact(Metadata!P574,"not provided")),IF(Metadata!P574="",FALSE,TRUE))</f>
        <v>0</v>
      </c>
      <c r="AQ574">
        <f>OR(AND(IF(Metadata!Q574="",FALSE,TRUE),exact(Metadata!Q574,"not provided")),IF(Metadata!Q574="",FALSE,TRUE))</f>
        <v>0</v>
      </c>
    </row>
    <row r="575" spans="1:43">
      <c r="A575" s="4">
        <f>IF(B575=" "," ",HYPERLINK(CONCATENATE("#metadata!",ADDRESS(INDEX($W$2:$W$1001,MATCH(ROWS($U$2:U575),$U$2:$U$1001,0),0),2)),INDEX($Z$2:$Z$1001,MATCH(ROWS($U$2:U575),$U$2:$U$1001,0),0)))</f>
        <v>0</v>
      </c>
      <c r="B575" s="5">
        <f>IF(OR(INDEX($V$2:$V$1001,MATCH(ROWS($U$2:U575),$U$2:$U$1001,0),1)&gt;=100000,INDEX($AB$1005:$AQ$1005,1,MATCH(COLUMNS($AB$1006:AB1006),$AB$1006:$AQ$1006,0))&gt;=100000), " ",IF(INDEX($AB$2:$AQ$1001,MATCH(ROWS($U$2:U575),$U$2:$U$1001,0),MATCH(COLUMNS($AB$1006:AB1006),$AB$1006:$AQ$1006,0)), HYPERLINK("#",""), HYPERLINK(CONCATENATE("#Metadata!", ADDRESS(INDEX($W$2:$W$1001,MATCH(ROWS($U$2:U575),$U$2:$U$1001,0),0), INDEX($AB$1004:$AQ$1004,1,MATCH(COLUMNS($AB$1006:AB1006),$AB$1006:$AQ$1006,0)))),"Fix")))</f>
        <v>0</v>
      </c>
      <c r="C575" s="5">
        <f>IF(OR(INDEX($V$2:$V$1001,MATCH(ROWS($U$2:U575),$U$2:$U$1001,0),1)&gt;=100000,INDEX($AB$1005:$AQ$1005,1,MATCH(COLUMNS($AB$1006:AC1006),$AB$1006:$AQ$1006,0))&gt;=100000), " ",IF(INDEX($AB$2:$AQ$1001,MATCH(ROWS($U$2:U575),$U$2:$U$1001,0),MATCH(COLUMNS($AB$1006:AC1006),$AB$1006:$AQ$1006,0)), HYPERLINK("#",""), HYPERLINK(CONCATENATE("#Metadata!", ADDRESS(INDEX($W$2:$W$1001,MATCH(ROWS($U$2:U575),$U$2:$U$1001,0),0), INDEX($AB$1004:$AQ$1004,1,MATCH(COLUMNS($AB$1006:AC1006),$AB$1006:$AQ$1006,0)))),"Fix")))</f>
        <v>0</v>
      </c>
      <c r="D575" s="5">
        <f>IF(OR(INDEX($V$2:$V$1001,MATCH(ROWS($U$2:U575),$U$2:$U$1001,0),1)&gt;=100000,INDEX($AB$1005:$AQ$1005,1,MATCH(COLUMNS($AB$1006:AD1006),$AB$1006:$AQ$1006,0))&gt;=100000), " ",IF(INDEX($AB$2:$AQ$1001,MATCH(ROWS($U$2:U575),$U$2:$U$1001,0),MATCH(COLUMNS($AB$1006:AD1006),$AB$1006:$AQ$1006,0)), HYPERLINK("#",""), HYPERLINK(CONCATENATE("#Metadata!", ADDRESS(INDEX($W$2:$W$1001,MATCH(ROWS($U$2:U575),$U$2:$U$1001,0),0), INDEX($AB$1004:$AQ$1004,1,MATCH(COLUMNS($AB$1006:AD1006),$AB$1006:$AQ$1006,0)))),"Fix")))</f>
        <v>0</v>
      </c>
      <c r="E575" s="5">
        <f>IF(OR(INDEX($V$2:$V$1001,MATCH(ROWS($U$2:U575),$U$2:$U$1001,0),1)&gt;=100000,INDEX($AB$1005:$AQ$1005,1,MATCH(COLUMNS($AB$1006:AE1006),$AB$1006:$AQ$1006,0))&gt;=100000), " ",IF(INDEX($AB$2:$AQ$1001,MATCH(ROWS($U$2:U575),$U$2:$U$1001,0),MATCH(COLUMNS($AB$1006:AE1006),$AB$1006:$AQ$1006,0)), HYPERLINK("#",""), HYPERLINK(CONCATENATE("#Metadata!", ADDRESS(INDEX($W$2:$W$1001,MATCH(ROWS($U$2:U575),$U$2:$U$1001,0),0), INDEX($AB$1004:$AQ$1004,1,MATCH(COLUMNS($AB$1006:AE1006),$AB$1006:$AQ$1006,0)))),"Fix")))</f>
        <v>0</v>
      </c>
      <c r="F575" s="5">
        <f>IF(OR(INDEX($V$2:$V$1001,MATCH(ROWS($U$2:U575),$U$2:$U$1001,0),1)&gt;=100000,INDEX($AB$1005:$AQ$1005,1,MATCH(COLUMNS($AB$1006:AF1006),$AB$1006:$AQ$1006,0))&gt;=100000), " ",IF(INDEX($AB$2:$AQ$1001,MATCH(ROWS($U$2:U575),$U$2:$U$1001,0),MATCH(COLUMNS($AB$1006:AF1006),$AB$1006:$AQ$1006,0)), HYPERLINK("#",""), HYPERLINK(CONCATENATE("#Metadata!", ADDRESS(INDEX($W$2:$W$1001,MATCH(ROWS($U$2:U575),$U$2:$U$1001,0),0), INDEX($AB$1004:$AQ$1004,1,MATCH(COLUMNS($AB$1006:AF1006),$AB$1006:$AQ$1006,0)))),"Fix")))</f>
        <v>0</v>
      </c>
      <c r="G575" s="5">
        <f>IF(OR(INDEX($V$2:$V$1001,MATCH(ROWS($U$2:U575),$U$2:$U$1001,0),1)&gt;=100000,INDEX($AB$1005:$AQ$1005,1,MATCH(COLUMNS($AB$1006:AG1006),$AB$1006:$AQ$1006,0))&gt;=100000), " ",IF(INDEX($AB$2:$AQ$1001,MATCH(ROWS($U$2:U575),$U$2:$U$1001,0),MATCH(COLUMNS($AB$1006:AG1006),$AB$1006:$AQ$1006,0)), HYPERLINK("#",""), HYPERLINK(CONCATENATE("#Metadata!", ADDRESS(INDEX($W$2:$W$1001,MATCH(ROWS($U$2:U575),$U$2:$U$1001,0),0), INDEX($AB$1004:$AQ$1004,1,MATCH(COLUMNS($AB$1006:AG1006),$AB$1006:$AQ$1006,0)))),"Fix")))</f>
        <v>0</v>
      </c>
      <c r="H575" s="5">
        <f>IF(OR(INDEX($V$2:$V$1001,MATCH(ROWS($U$2:U575),$U$2:$U$1001,0),1)&gt;=100000,INDEX($AB$1005:$AQ$1005,1,MATCH(COLUMNS($AB$1006:AH1006),$AB$1006:$AQ$1006,0))&gt;=100000), " ",IF(INDEX($AB$2:$AQ$1001,MATCH(ROWS($U$2:U575),$U$2:$U$1001,0),MATCH(COLUMNS($AB$1006:AH1006),$AB$1006:$AQ$1006,0)), HYPERLINK("#",""), HYPERLINK(CONCATENATE("#Metadata!", ADDRESS(INDEX($W$2:$W$1001,MATCH(ROWS($U$2:U575),$U$2:$U$1001,0),0), INDEX($AB$1004:$AQ$1004,1,MATCH(COLUMNS($AB$1006:AH1006),$AB$1006:$AQ$1006,0)))),"Fix")))</f>
        <v>0</v>
      </c>
      <c r="I575" s="5">
        <f>IF(OR(INDEX($V$2:$V$1001,MATCH(ROWS($U$2:U575),$U$2:$U$1001,0),1)&gt;=100000,INDEX($AB$1005:$AQ$1005,1,MATCH(COLUMNS($AB$1006:AI1006),$AB$1006:$AQ$1006,0))&gt;=100000), " ",IF(INDEX($AB$2:$AQ$1001,MATCH(ROWS($U$2:U575),$U$2:$U$1001,0),MATCH(COLUMNS($AB$1006:AI1006),$AB$1006:$AQ$1006,0)), HYPERLINK("#",""), HYPERLINK(CONCATENATE("#Metadata!", ADDRESS(INDEX($W$2:$W$1001,MATCH(ROWS($U$2:U575),$U$2:$U$1001,0),0), INDEX($AB$1004:$AQ$1004,1,MATCH(COLUMNS($AB$1006:AI1006),$AB$1006:$AQ$1006,0)))),"Fix")))</f>
        <v>0</v>
      </c>
      <c r="J575" s="5">
        <f>IF(OR(INDEX($V$2:$V$1001,MATCH(ROWS($U$2:U575),$U$2:$U$1001,0),1)&gt;=100000,INDEX($AB$1005:$AQ$1005,1,MATCH(COLUMNS($AB$1006:AJ1006),$AB$1006:$AQ$1006,0))&gt;=100000), " ",IF(INDEX($AB$2:$AQ$1001,MATCH(ROWS($U$2:U575),$U$2:$U$1001,0),MATCH(COLUMNS($AB$1006:AJ1006),$AB$1006:$AQ$1006,0)), HYPERLINK("#",""), HYPERLINK(CONCATENATE("#Metadata!", ADDRESS(INDEX($W$2:$W$1001,MATCH(ROWS($U$2:U575),$U$2:$U$1001,0),0), INDEX($AB$1004:$AQ$1004,1,MATCH(COLUMNS($AB$1006:AJ1006),$AB$1006:$AQ$1006,0)))),"Fix")))</f>
        <v>0</v>
      </c>
      <c r="K575" s="5">
        <f>IF(OR(INDEX($V$2:$V$1001,MATCH(ROWS($U$2:U575),$U$2:$U$1001,0),1)&gt;=100000,INDEX($AB$1005:$AQ$1005,1,MATCH(COLUMNS($AB$1006:AK1006),$AB$1006:$AQ$1006,0))&gt;=100000), " ",IF(INDEX($AB$2:$AQ$1001,MATCH(ROWS($U$2:U575),$U$2:$U$1001,0),MATCH(COLUMNS($AB$1006:AK1006),$AB$1006:$AQ$1006,0)), HYPERLINK("#",""), HYPERLINK(CONCATENATE("#Metadata!", ADDRESS(INDEX($W$2:$W$1001,MATCH(ROWS($U$2:U575),$U$2:$U$1001,0),0), INDEX($AB$1004:$AQ$1004,1,MATCH(COLUMNS($AB$1006:AK1006),$AB$1006:$AQ$1006,0)))),"Fix")))</f>
        <v>0</v>
      </c>
      <c r="L575" s="5">
        <f>IF(OR(INDEX($V$2:$V$1001,MATCH(ROWS($U$2:U575),$U$2:$U$1001,0),1)&gt;=100000,INDEX($AB$1005:$AQ$1005,1,MATCH(COLUMNS($AB$1006:AL1006),$AB$1006:$AQ$1006,0))&gt;=100000), " ",IF(INDEX($AB$2:$AQ$1001,MATCH(ROWS($U$2:U575),$U$2:$U$1001,0),MATCH(COLUMNS($AB$1006:AL1006),$AB$1006:$AQ$1006,0)), HYPERLINK("#",""), HYPERLINK(CONCATENATE("#Metadata!", ADDRESS(INDEX($W$2:$W$1001,MATCH(ROWS($U$2:U575),$U$2:$U$1001,0),0), INDEX($AB$1004:$AQ$1004,1,MATCH(COLUMNS($AB$1006:AL1006),$AB$1006:$AQ$1006,0)))),"Fix")))</f>
        <v>0</v>
      </c>
      <c r="M575" s="5">
        <f>IF(OR(INDEX($V$2:$V$1001,MATCH(ROWS($U$2:U575),$U$2:$U$1001,0),1)&gt;=100000,INDEX($AB$1005:$AQ$1005,1,MATCH(COLUMNS($AB$1006:AM1006),$AB$1006:$AQ$1006,0))&gt;=100000), " ",IF(INDEX($AB$2:$AQ$1001,MATCH(ROWS($U$2:U575),$U$2:$U$1001,0),MATCH(COLUMNS($AB$1006:AM1006),$AB$1006:$AQ$1006,0)), HYPERLINK("#",""), HYPERLINK(CONCATENATE("#Metadata!", ADDRESS(INDEX($W$2:$W$1001,MATCH(ROWS($U$2:U575),$U$2:$U$1001,0),0), INDEX($AB$1004:$AQ$1004,1,MATCH(COLUMNS($AB$1006:AM1006),$AB$1006:$AQ$1006,0)))),"Fix")))</f>
        <v>0</v>
      </c>
      <c r="N575" s="5">
        <f>IF(OR(INDEX($V$2:$V$1001,MATCH(ROWS($U$2:U575),$U$2:$U$1001,0),1)&gt;=100000,INDEX($AB$1005:$AQ$1005,1,MATCH(COLUMNS($AB$1006:AN1006),$AB$1006:$AQ$1006,0))&gt;=100000), " ",IF(INDEX($AB$2:$AQ$1001,MATCH(ROWS($U$2:U575),$U$2:$U$1001,0),MATCH(COLUMNS($AB$1006:AN1006),$AB$1006:$AQ$1006,0)), HYPERLINK("#",""), HYPERLINK(CONCATENATE("#Metadata!", ADDRESS(INDEX($W$2:$W$1001,MATCH(ROWS($U$2:U575),$U$2:$U$1001,0),0), INDEX($AB$1004:$AQ$1004,1,MATCH(COLUMNS($AB$1006:AN1006),$AB$1006:$AQ$1006,0)))),"Fix")))</f>
        <v>0</v>
      </c>
      <c r="O575" s="5">
        <f>IF(OR(INDEX($V$2:$V$1001,MATCH(ROWS($U$2:U575),$U$2:$U$1001,0),1)&gt;=100000,INDEX($AB$1005:$AQ$1005,1,MATCH(COLUMNS($AB$1006:AO1006),$AB$1006:$AQ$1006,0))&gt;=100000), " ",IF(INDEX($AB$2:$AQ$1001,MATCH(ROWS($U$2:U575),$U$2:$U$1001,0),MATCH(COLUMNS($AB$1006:AO1006),$AB$1006:$AQ$1006,0)), HYPERLINK("#",""), HYPERLINK(CONCATENATE("#Metadata!", ADDRESS(INDEX($W$2:$W$1001,MATCH(ROWS($U$2:U575),$U$2:$U$1001,0),0), INDEX($AB$1004:$AQ$1004,1,MATCH(COLUMNS($AB$1006:AO1006),$AB$1006:$AQ$1006,0)))),"Fix")))</f>
        <v>0</v>
      </c>
      <c r="P575" s="5">
        <f>IF(OR(INDEX($V$2:$V$1001,MATCH(ROWS($U$2:U575),$U$2:$U$1001,0),1)&gt;=100000,INDEX($AB$1005:$AQ$1005,1,MATCH(COLUMNS($AB$1006:AP1006),$AB$1006:$AQ$1006,0))&gt;=100000), " ",IF(INDEX($AB$2:$AQ$1001,MATCH(ROWS($U$2:U575),$U$2:$U$1001,0),MATCH(COLUMNS($AB$1006:AP1006),$AB$1006:$AQ$1006,0)), HYPERLINK("#",""), HYPERLINK(CONCATENATE("#Metadata!", ADDRESS(INDEX($W$2:$W$1001,MATCH(ROWS($U$2:U575),$U$2:$U$1001,0),0), INDEX($AB$1004:$AQ$1004,1,MATCH(COLUMNS($AB$1006:AP1006),$AB$1006:$AQ$1006,0)))),"Fix")))</f>
        <v>0</v>
      </c>
      <c r="Q575" s="5">
        <f>IF(OR(INDEX($V$2:$V$1001,MATCH(ROWS($U$2:U575),$U$2:$U$1001,0),1)&gt;=100000,INDEX($AB$1005:$AQ$1005,1,MATCH(COLUMNS($AB$1006:AQ1006),$AB$1006:$AQ$1006,0))&gt;=100000), " ",IF(INDEX($AB$2:$AQ$1001,MATCH(ROWS($U$2:U575),$U$2:$U$1001,0),MATCH(COLUMNS($AB$1006:AQ1006),$AB$1006:$AQ$1006,0)), HYPERLINK("#",""), HYPERLINK(CONCATENATE("#Metadata!", ADDRESS(INDEX($W$2:$W$1001,MATCH(ROWS($U$2:U575),$U$2:$U$1001,0),0), INDEX($AB$1004:$AQ$1004,1,MATCH(COLUMNS($AB$1006:AQ1006),$AB$1006:$AQ$1006,0)))),"Fix")))</f>
        <v>0</v>
      </c>
      <c r="U575">
        <v>0</v>
      </c>
      <c r="V575">
        <v>0</v>
      </c>
      <c r="W575">
        <v>0</v>
      </c>
      <c r="X575">
        <f>IF(Y575,TRUE,AND(AB575:AQ575))</f>
        <v>0</v>
      </c>
      <c r="Y575">
        <f>COUNTBLANK(Metadata!B575:Q575)=COLUMNS(Metadata!B575:Q575)</f>
        <v>0</v>
      </c>
      <c r="Z575">
        <v>0</v>
      </c>
      <c r="AB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AC575">
        <f>AND(IF(Metadata!C575="",FALSE,TRUE),exact(Metadata!C575,"urban biome"))</f>
        <v>0</v>
      </c>
      <c r="AD575">
        <f>AND(IF(Metadata!D575="",FALSE,TRUE),exact(Metadata!D575,"human-associated habitat"))</f>
        <v>0</v>
      </c>
      <c r="AE575">
        <f>AND(IF(Metadata!E575="",FALSE,TRUE),OR(exact(Metadata!E575,"human-associated"),exact(Metadata!E575,"human-skin"),exact(Metadata!E575,"human-oral"),exact(Metadata!E575,"human-gut"),exact(Metadata!E575,"human-vaginal")))</f>
        <v>0</v>
      </c>
      <c r="AF575">
        <f>AND(IF(Metadata!F575="",FALSE,ISNUMBER(VALUE(Metadata!F575))),Metadata!F575&gt;0)</f>
        <v>0</v>
      </c>
      <c r="AG575">
        <f>AND(IF(Metadata!G575="",FALSE,TRUE),exact(Metadata!G575,"years"))</f>
        <v>0</v>
      </c>
      <c r="AH575">
        <f>OR(AND(IF(Metadata!H575="",FALSE,TRUE),OR(exact(Metadata!H575,"not applicable"),exact(Metadata!H575,"not collected"),exact(Metadata!H575,"not provided"),exact(Metadata!H575,"restricted access"))),AND(IF(Metadata!H575="",FALSE,ISNUMBER(VALUE(Metadata!H575))),Metadata!H575&gt;0))</f>
        <v>0</v>
      </c>
      <c r="AI575">
        <f>AND(IF(Metadata!I575="",FALSE,TRUE),exact(Metadata!I575,"human"))</f>
        <v>0</v>
      </c>
      <c r="AJ575">
        <f>AND(IF(Metadata!J575="",FALSE,ISNUMBER(VALUE(Metadata!J575))),Metadata!J575&gt;0)</f>
        <v>0</v>
      </c>
      <c r="AK575">
        <f>AND(IF(Metadata!K575="",FALSE,TRUE),exact(Metadata!K575,"cm"))</f>
        <v>0</v>
      </c>
      <c r="AL575">
        <f>AND(IF(Metadata!L575="",FALSE,TRUE),exact(Metadata!L575,"Homo sapiens"))</f>
        <v>0</v>
      </c>
      <c r="AM575">
        <f>AND(IF(Metadata!M575="",FALSE,TRUE),exact(Metadata!M575,"9606"))</f>
        <v>0</v>
      </c>
      <c r="AN575">
        <f>AND(IF(Metadata!N575="",FALSE,ISNUMBER(VALUE(Metadata!N575))),Metadata!N575&gt;0)</f>
        <v>0</v>
      </c>
      <c r="AO575">
        <f>AND(IF(Metadata!O575="",FALSE,TRUE),exact(Metadata!O575,"kg"))</f>
        <v>0</v>
      </c>
      <c r="AP575">
        <f>OR(AND(IF(Metadata!P575="",FALSE,TRUE),exact(Metadata!P575,"not provided")),IF(Metadata!P575="",FALSE,TRUE))</f>
        <v>0</v>
      </c>
      <c r="AQ575">
        <f>OR(AND(IF(Metadata!Q575="",FALSE,TRUE),exact(Metadata!Q575,"not provided")),IF(Metadata!Q575="",FALSE,TRUE))</f>
        <v>0</v>
      </c>
    </row>
    <row r="576" spans="1:43">
      <c r="A576" s="4">
        <f>IF(B576=" "," ",HYPERLINK(CONCATENATE("#metadata!",ADDRESS(INDEX($W$2:$W$1001,MATCH(ROWS($U$2:U576),$U$2:$U$1001,0),0),2)),INDEX($Z$2:$Z$1001,MATCH(ROWS($U$2:U576),$U$2:$U$1001,0),0)))</f>
        <v>0</v>
      </c>
      <c r="B576" s="5">
        <f>IF(OR(INDEX($V$2:$V$1001,MATCH(ROWS($U$2:U576),$U$2:$U$1001,0),1)&gt;=100000,INDEX($AB$1005:$AQ$1005,1,MATCH(COLUMNS($AB$1006:AB1006),$AB$1006:$AQ$1006,0))&gt;=100000), " ",IF(INDEX($AB$2:$AQ$1001,MATCH(ROWS($U$2:U576),$U$2:$U$1001,0),MATCH(COLUMNS($AB$1006:AB1006),$AB$1006:$AQ$1006,0)), HYPERLINK("#",""), HYPERLINK(CONCATENATE("#Metadata!", ADDRESS(INDEX($W$2:$W$1001,MATCH(ROWS($U$2:U576),$U$2:$U$1001,0),0), INDEX($AB$1004:$AQ$1004,1,MATCH(COLUMNS($AB$1006:AB1006),$AB$1006:$AQ$1006,0)))),"Fix")))</f>
        <v>0</v>
      </c>
      <c r="C576" s="5">
        <f>IF(OR(INDEX($V$2:$V$1001,MATCH(ROWS($U$2:U576),$U$2:$U$1001,0),1)&gt;=100000,INDEX($AB$1005:$AQ$1005,1,MATCH(COLUMNS($AB$1006:AC1006),$AB$1006:$AQ$1006,0))&gt;=100000), " ",IF(INDEX($AB$2:$AQ$1001,MATCH(ROWS($U$2:U576),$U$2:$U$1001,0),MATCH(COLUMNS($AB$1006:AC1006),$AB$1006:$AQ$1006,0)), HYPERLINK("#",""), HYPERLINK(CONCATENATE("#Metadata!", ADDRESS(INDEX($W$2:$W$1001,MATCH(ROWS($U$2:U576),$U$2:$U$1001,0),0), INDEX($AB$1004:$AQ$1004,1,MATCH(COLUMNS($AB$1006:AC1006),$AB$1006:$AQ$1006,0)))),"Fix")))</f>
        <v>0</v>
      </c>
      <c r="D576" s="5">
        <f>IF(OR(INDEX($V$2:$V$1001,MATCH(ROWS($U$2:U576),$U$2:$U$1001,0),1)&gt;=100000,INDEX($AB$1005:$AQ$1005,1,MATCH(COLUMNS($AB$1006:AD1006),$AB$1006:$AQ$1006,0))&gt;=100000), " ",IF(INDEX($AB$2:$AQ$1001,MATCH(ROWS($U$2:U576),$U$2:$U$1001,0),MATCH(COLUMNS($AB$1006:AD1006),$AB$1006:$AQ$1006,0)), HYPERLINK("#",""), HYPERLINK(CONCATENATE("#Metadata!", ADDRESS(INDEX($W$2:$W$1001,MATCH(ROWS($U$2:U576),$U$2:$U$1001,0),0), INDEX($AB$1004:$AQ$1004,1,MATCH(COLUMNS($AB$1006:AD1006),$AB$1006:$AQ$1006,0)))),"Fix")))</f>
        <v>0</v>
      </c>
      <c r="E576" s="5">
        <f>IF(OR(INDEX($V$2:$V$1001,MATCH(ROWS($U$2:U576),$U$2:$U$1001,0),1)&gt;=100000,INDEX($AB$1005:$AQ$1005,1,MATCH(COLUMNS($AB$1006:AE1006),$AB$1006:$AQ$1006,0))&gt;=100000), " ",IF(INDEX($AB$2:$AQ$1001,MATCH(ROWS($U$2:U576),$U$2:$U$1001,0),MATCH(COLUMNS($AB$1006:AE1006),$AB$1006:$AQ$1006,0)), HYPERLINK("#",""), HYPERLINK(CONCATENATE("#Metadata!", ADDRESS(INDEX($W$2:$W$1001,MATCH(ROWS($U$2:U576),$U$2:$U$1001,0),0), INDEX($AB$1004:$AQ$1004,1,MATCH(COLUMNS($AB$1006:AE1006),$AB$1006:$AQ$1006,0)))),"Fix")))</f>
        <v>0</v>
      </c>
      <c r="F576" s="5">
        <f>IF(OR(INDEX($V$2:$V$1001,MATCH(ROWS($U$2:U576),$U$2:$U$1001,0),1)&gt;=100000,INDEX($AB$1005:$AQ$1005,1,MATCH(COLUMNS($AB$1006:AF1006),$AB$1006:$AQ$1006,0))&gt;=100000), " ",IF(INDEX($AB$2:$AQ$1001,MATCH(ROWS($U$2:U576),$U$2:$U$1001,0),MATCH(COLUMNS($AB$1006:AF1006),$AB$1006:$AQ$1006,0)), HYPERLINK("#",""), HYPERLINK(CONCATENATE("#Metadata!", ADDRESS(INDEX($W$2:$W$1001,MATCH(ROWS($U$2:U576),$U$2:$U$1001,0),0), INDEX($AB$1004:$AQ$1004,1,MATCH(COLUMNS($AB$1006:AF1006),$AB$1006:$AQ$1006,0)))),"Fix")))</f>
        <v>0</v>
      </c>
      <c r="G576" s="5">
        <f>IF(OR(INDEX($V$2:$V$1001,MATCH(ROWS($U$2:U576),$U$2:$U$1001,0),1)&gt;=100000,INDEX($AB$1005:$AQ$1005,1,MATCH(COLUMNS($AB$1006:AG1006),$AB$1006:$AQ$1006,0))&gt;=100000), " ",IF(INDEX($AB$2:$AQ$1001,MATCH(ROWS($U$2:U576),$U$2:$U$1001,0),MATCH(COLUMNS($AB$1006:AG1006),$AB$1006:$AQ$1006,0)), HYPERLINK("#",""), HYPERLINK(CONCATENATE("#Metadata!", ADDRESS(INDEX($W$2:$W$1001,MATCH(ROWS($U$2:U576),$U$2:$U$1001,0),0), INDEX($AB$1004:$AQ$1004,1,MATCH(COLUMNS($AB$1006:AG1006),$AB$1006:$AQ$1006,0)))),"Fix")))</f>
        <v>0</v>
      </c>
      <c r="H576" s="5">
        <f>IF(OR(INDEX($V$2:$V$1001,MATCH(ROWS($U$2:U576),$U$2:$U$1001,0),1)&gt;=100000,INDEX($AB$1005:$AQ$1005,1,MATCH(COLUMNS($AB$1006:AH1006),$AB$1006:$AQ$1006,0))&gt;=100000), " ",IF(INDEX($AB$2:$AQ$1001,MATCH(ROWS($U$2:U576),$U$2:$U$1001,0),MATCH(COLUMNS($AB$1006:AH1006),$AB$1006:$AQ$1006,0)), HYPERLINK("#",""), HYPERLINK(CONCATENATE("#Metadata!", ADDRESS(INDEX($W$2:$W$1001,MATCH(ROWS($U$2:U576),$U$2:$U$1001,0),0), INDEX($AB$1004:$AQ$1004,1,MATCH(COLUMNS($AB$1006:AH1006),$AB$1006:$AQ$1006,0)))),"Fix")))</f>
        <v>0</v>
      </c>
      <c r="I576" s="5">
        <f>IF(OR(INDEX($V$2:$V$1001,MATCH(ROWS($U$2:U576),$U$2:$U$1001,0),1)&gt;=100000,INDEX($AB$1005:$AQ$1005,1,MATCH(COLUMNS($AB$1006:AI1006),$AB$1006:$AQ$1006,0))&gt;=100000), " ",IF(INDEX($AB$2:$AQ$1001,MATCH(ROWS($U$2:U576),$U$2:$U$1001,0),MATCH(COLUMNS($AB$1006:AI1006),$AB$1006:$AQ$1006,0)), HYPERLINK("#",""), HYPERLINK(CONCATENATE("#Metadata!", ADDRESS(INDEX($W$2:$W$1001,MATCH(ROWS($U$2:U576),$U$2:$U$1001,0),0), INDEX($AB$1004:$AQ$1004,1,MATCH(COLUMNS($AB$1006:AI1006),$AB$1006:$AQ$1006,0)))),"Fix")))</f>
        <v>0</v>
      </c>
      <c r="J576" s="5">
        <f>IF(OR(INDEX($V$2:$V$1001,MATCH(ROWS($U$2:U576),$U$2:$U$1001,0),1)&gt;=100000,INDEX($AB$1005:$AQ$1005,1,MATCH(COLUMNS($AB$1006:AJ1006),$AB$1006:$AQ$1006,0))&gt;=100000), " ",IF(INDEX($AB$2:$AQ$1001,MATCH(ROWS($U$2:U576),$U$2:$U$1001,0),MATCH(COLUMNS($AB$1006:AJ1006),$AB$1006:$AQ$1006,0)), HYPERLINK("#",""), HYPERLINK(CONCATENATE("#Metadata!", ADDRESS(INDEX($W$2:$W$1001,MATCH(ROWS($U$2:U576),$U$2:$U$1001,0),0), INDEX($AB$1004:$AQ$1004,1,MATCH(COLUMNS($AB$1006:AJ1006),$AB$1006:$AQ$1006,0)))),"Fix")))</f>
        <v>0</v>
      </c>
      <c r="K576" s="5">
        <f>IF(OR(INDEX($V$2:$V$1001,MATCH(ROWS($U$2:U576),$U$2:$U$1001,0),1)&gt;=100000,INDEX($AB$1005:$AQ$1005,1,MATCH(COLUMNS($AB$1006:AK1006),$AB$1006:$AQ$1006,0))&gt;=100000), " ",IF(INDEX($AB$2:$AQ$1001,MATCH(ROWS($U$2:U576),$U$2:$U$1001,0),MATCH(COLUMNS($AB$1006:AK1006),$AB$1006:$AQ$1006,0)), HYPERLINK("#",""), HYPERLINK(CONCATENATE("#Metadata!", ADDRESS(INDEX($W$2:$W$1001,MATCH(ROWS($U$2:U576),$U$2:$U$1001,0),0), INDEX($AB$1004:$AQ$1004,1,MATCH(COLUMNS($AB$1006:AK1006),$AB$1006:$AQ$1006,0)))),"Fix")))</f>
        <v>0</v>
      </c>
      <c r="L576" s="5">
        <f>IF(OR(INDEX($V$2:$V$1001,MATCH(ROWS($U$2:U576),$U$2:$U$1001,0),1)&gt;=100000,INDEX($AB$1005:$AQ$1005,1,MATCH(COLUMNS($AB$1006:AL1006),$AB$1006:$AQ$1006,0))&gt;=100000), " ",IF(INDEX($AB$2:$AQ$1001,MATCH(ROWS($U$2:U576),$U$2:$U$1001,0),MATCH(COLUMNS($AB$1006:AL1006),$AB$1006:$AQ$1006,0)), HYPERLINK("#",""), HYPERLINK(CONCATENATE("#Metadata!", ADDRESS(INDEX($W$2:$W$1001,MATCH(ROWS($U$2:U576),$U$2:$U$1001,0),0), INDEX($AB$1004:$AQ$1004,1,MATCH(COLUMNS($AB$1006:AL1006),$AB$1006:$AQ$1006,0)))),"Fix")))</f>
        <v>0</v>
      </c>
      <c r="M576" s="5">
        <f>IF(OR(INDEX($V$2:$V$1001,MATCH(ROWS($U$2:U576),$U$2:$U$1001,0),1)&gt;=100000,INDEX($AB$1005:$AQ$1005,1,MATCH(COLUMNS($AB$1006:AM1006),$AB$1006:$AQ$1006,0))&gt;=100000), " ",IF(INDEX($AB$2:$AQ$1001,MATCH(ROWS($U$2:U576),$U$2:$U$1001,0),MATCH(COLUMNS($AB$1006:AM1006),$AB$1006:$AQ$1006,0)), HYPERLINK("#",""), HYPERLINK(CONCATENATE("#Metadata!", ADDRESS(INDEX($W$2:$W$1001,MATCH(ROWS($U$2:U576),$U$2:$U$1001,0),0), INDEX($AB$1004:$AQ$1004,1,MATCH(COLUMNS($AB$1006:AM1006),$AB$1006:$AQ$1006,0)))),"Fix")))</f>
        <v>0</v>
      </c>
      <c r="N576" s="5">
        <f>IF(OR(INDEX($V$2:$V$1001,MATCH(ROWS($U$2:U576),$U$2:$U$1001,0),1)&gt;=100000,INDEX($AB$1005:$AQ$1005,1,MATCH(COLUMNS($AB$1006:AN1006),$AB$1006:$AQ$1006,0))&gt;=100000), " ",IF(INDEX($AB$2:$AQ$1001,MATCH(ROWS($U$2:U576),$U$2:$U$1001,0),MATCH(COLUMNS($AB$1006:AN1006),$AB$1006:$AQ$1006,0)), HYPERLINK("#",""), HYPERLINK(CONCATENATE("#Metadata!", ADDRESS(INDEX($W$2:$W$1001,MATCH(ROWS($U$2:U576),$U$2:$U$1001,0),0), INDEX($AB$1004:$AQ$1004,1,MATCH(COLUMNS($AB$1006:AN1006),$AB$1006:$AQ$1006,0)))),"Fix")))</f>
        <v>0</v>
      </c>
      <c r="O576" s="5">
        <f>IF(OR(INDEX($V$2:$V$1001,MATCH(ROWS($U$2:U576),$U$2:$U$1001,0),1)&gt;=100000,INDEX($AB$1005:$AQ$1005,1,MATCH(COLUMNS($AB$1006:AO1006),$AB$1006:$AQ$1006,0))&gt;=100000), " ",IF(INDEX($AB$2:$AQ$1001,MATCH(ROWS($U$2:U576),$U$2:$U$1001,0),MATCH(COLUMNS($AB$1006:AO1006),$AB$1006:$AQ$1006,0)), HYPERLINK("#",""), HYPERLINK(CONCATENATE("#Metadata!", ADDRESS(INDEX($W$2:$W$1001,MATCH(ROWS($U$2:U576),$U$2:$U$1001,0),0), INDEX($AB$1004:$AQ$1004,1,MATCH(COLUMNS($AB$1006:AO1006),$AB$1006:$AQ$1006,0)))),"Fix")))</f>
        <v>0</v>
      </c>
      <c r="P576" s="5">
        <f>IF(OR(INDEX($V$2:$V$1001,MATCH(ROWS($U$2:U576),$U$2:$U$1001,0),1)&gt;=100000,INDEX($AB$1005:$AQ$1005,1,MATCH(COLUMNS($AB$1006:AP1006),$AB$1006:$AQ$1006,0))&gt;=100000), " ",IF(INDEX($AB$2:$AQ$1001,MATCH(ROWS($U$2:U576),$U$2:$U$1001,0),MATCH(COLUMNS($AB$1006:AP1006),$AB$1006:$AQ$1006,0)), HYPERLINK("#",""), HYPERLINK(CONCATENATE("#Metadata!", ADDRESS(INDEX($W$2:$W$1001,MATCH(ROWS($U$2:U576),$U$2:$U$1001,0),0), INDEX($AB$1004:$AQ$1004,1,MATCH(COLUMNS($AB$1006:AP1006),$AB$1006:$AQ$1006,0)))),"Fix")))</f>
        <v>0</v>
      </c>
      <c r="Q576" s="5">
        <f>IF(OR(INDEX($V$2:$V$1001,MATCH(ROWS($U$2:U576),$U$2:$U$1001,0),1)&gt;=100000,INDEX($AB$1005:$AQ$1005,1,MATCH(COLUMNS($AB$1006:AQ1006),$AB$1006:$AQ$1006,0))&gt;=100000), " ",IF(INDEX($AB$2:$AQ$1001,MATCH(ROWS($U$2:U576),$U$2:$U$1001,0),MATCH(COLUMNS($AB$1006:AQ1006),$AB$1006:$AQ$1006,0)), HYPERLINK("#",""), HYPERLINK(CONCATENATE("#Metadata!", ADDRESS(INDEX($W$2:$W$1001,MATCH(ROWS($U$2:U576),$U$2:$U$1001,0),0), INDEX($AB$1004:$AQ$1004,1,MATCH(COLUMNS($AB$1006:AQ1006),$AB$1006:$AQ$1006,0)))),"Fix")))</f>
        <v>0</v>
      </c>
      <c r="U576">
        <v>0</v>
      </c>
      <c r="V576">
        <v>0</v>
      </c>
      <c r="W576">
        <v>0</v>
      </c>
      <c r="X576">
        <f>IF(Y576,TRUE,AND(AB576:AQ576))</f>
        <v>0</v>
      </c>
      <c r="Y576">
        <f>COUNTBLANK(Metadata!B576:Q576)=COLUMNS(Metadata!B576:Q576)</f>
        <v>0</v>
      </c>
      <c r="Z576">
        <v>0</v>
      </c>
      <c r="AB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AC576">
        <f>AND(IF(Metadata!C576="",FALSE,TRUE),exact(Metadata!C576,"urban biome"))</f>
        <v>0</v>
      </c>
      <c r="AD576">
        <f>AND(IF(Metadata!D576="",FALSE,TRUE),exact(Metadata!D576,"human-associated habitat"))</f>
        <v>0</v>
      </c>
      <c r="AE576">
        <f>AND(IF(Metadata!E576="",FALSE,TRUE),OR(exact(Metadata!E576,"human-associated"),exact(Metadata!E576,"human-skin"),exact(Metadata!E576,"human-oral"),exact(Metadata!E576,"human-gut"),exact(Metadata!E576,"human-vaginal")))</f>
        <v>0</v>
      </c>
      <c r="AF576">
        <f>AND(IF(Metadata!F576="",FALSE,ISNUMBER(VALUE(Metadata!F576))),Metadata!F576&gt;0)</f>
        <v>0</v>
      </c>
      <c r="AG576">
        <f>AND(IF(Metadata!G576="",FALSE,TRUE),exact(Metadata!G576,"years"))</f>
        <v>0</v>
      </c>
      <c r="AH576">
        <f>OR(AND(IF(Metadata!H576="",FALSE,TRUE),OR(exact(Metadata!H576,"not applicable"),exact(Metadata!H576,"not collected"),exact(Metadata!H576,"not provided"),exact(Metadata!H576,"restricted access"))),AND(IF(Metadata!H576="",FALSE,ISNUMBER(VALUE(Metadata!H576))),Metadata!H576&gt;0))</f>
        <v>0</v>
      </c>
      <c r="AI576">
        <f>AND(IF(Metadata!I576="",FALSE,TRUE),exact(Metadata!I576,"human"))</f>
        <v>0</v>
      </c>
      <c r="AJ576">
        <f>AND(IF(Metadata!J576="",FALSE,ISNUMBER(VALUE(Metadata!J576))),Metadata!J576&gt;0)</f>
        <v>0</v>
      </c>
      <c r="AK576">
        <f>AND(IF(Metadata!K576="",FALSE,TRUE),exact(Metadata!K576,"cm"))</f>
        <v>0</v>
      </c>
      <c r="AL576">
        <f>AND(IF(Metadata!L576="",FALSE,TRUE),exact(Metadata!L576,"Homo sapiens"))</f>
        <v>0</v>
      </c>
      <c r="AM576">
        <f>AND(IF(Metadata!M576="",FALSE,TRUE),exact(Metadata!M576,"9606"))</f>
        <v>0</v>
      </c>
      <c r="AN576">
        <f>AND(IF(Metadata!N576="",FALSE,ISNUMBER(VALUE(Metadata!N576))),Metadata!N576&gt;0)</f>
        <v>0</v>
      </c>
      <c r="AO576">
        <f>AND(IF(Metadata!O576="",FALSE,TRUE),exact(Metadata!O576,"kg"))</f>
        <v>0</v>
      </c>
      <c r="AP576">
        <f>OR(AND(IF(Metadata!P576="",FALSE,TRUE),exact(Metadata!P576,"not provided")),IF(Metadata!P576="",FALSE,TRUE))</f>
        <v>0</v>
      </c>
      <c r="AQ576">
        <f>OR(AND(IF(Metadata!Q576="",FALSE,TRUE),exact(Metadata!Q576,"not provided")),IF(Metadata!Q576="",FALSE,TRUE))</f>
        <v>0</v>
      </c>
    </row>
    <row r="577" spans="1:43">
      <c r="A577" s="4">
        <f>IF(B577=" "," ",HYPERLINK(CONCATENATE("#metadata!",ADDRESS(INDEX($W$2:$W$1001,MATCH(ROWS($U$2:U577),$U$2:$U$1001,0),0),2)),INDEX($Z$2:$Z$1001,MATCH(ROWS($U$2:U577),$U$2:$U$1001,0),0)))</f>
        <v>0</v>
      </c>
      <c r="B577" s="5">
        <f>IF(OR(INDEX($V$2:$V$1001,MATCH(ROWS($U$2:U577),$U$2:$U$1001,0),1)&gt;=100000,INDEX($AB$1005:$AQ$1005,1,MATCH(COLUMNS($AB$1006:AB1006),$AB$1006:$AQ$1006,0))&gt;=100000), " ",IF(INDEX($AB$2:$AQ$1001,MATCH(ROWS($U$2:U577),$U$2:$U$1001,0),MATCH(COLUMNS($AB$1006:AB1006),$AB$1006:$AQ$1006,0)), HYPERLINK("#",""), HYPERLINK(CONCATENATE("#Metadata!", ADDRESS(INDEX($W$2:$W$1001,MATCH(ROWS($U$2:U577),$U$2:$U$1001,0),0), INDEX($AB$1004:$AQ$1004,1,MATCH(COLUMNS($AB$1006:AB1006),$AB$1006:$AQ$1006,0)))),"Fix")))</f>
        <v>0</v>
      </c>
      <c r="C577" s="5">
        <f>IF(OR(INDEX($V$2:$V$1001,MATCH(ROWS($U$2:U577),$U$2:$U$1001,0),1)&gt;=100000,INDEX($AB$1005:$AQ$1005,1,MATCH(COLUMNS($AB$1006:AC1006),$AB$1006:$AQ$1006,0))&gt;=100000), " ",IF(INDEX($AB$2:$AQ$1001,MATCH(ROWS($U$2:U577),$U$2:$U$1001,0),MATCH(COLUMNS($AB$1006:AC1006),$AB$1006:$AQ$1006,0)), HYPERLINK("#",""), HYPERLINK(CONCATENATE("#Metadata!", ADDRESS(INDEX($W$2:$W$1001,MATCH(ROWS($U$2:U577),$U$2:$U$1001,0),0), INDEX($AB$1004:$AQ$1004,1,MATCH(COLUMNS($AB$1006:AC1006),$AB$1006:$AQ$1006,0)))),"Fix")))</f>
        <v>0</v>
      </c>
      <c r="D577" s="5">
        <f>IF(OR(INDEX($V$2:$V$1001,MATCH(ROWS($U$2:U577),$U$2:$U$1001,0),1)&gt;=100000,INDEX($AB$1005:$AQ$1005,1,MATCH(COLUMNS($AB$1006:AD1006),$AB$1006:$AQ$1006,0))&gt;=100000), " ",IF(INDEX($AB$2:$AQ$1001,MATCH(ROWS($U$2:U577),$U$2:$U$1001,0),MATCH(COLUMNS($AB$1006:AD1006),$AB$1006:$AQ$1006,0)), HYPERLINK("#",""), HYPERLINK(CONCATENATE("#Metadata!", ADDRESS(INDEX($W$2:$W$1001,MATCH(ROWS($U$2:U577),$U$2:$U$1001,0),0), INDEX($AB$1004:$AQ$1004,1,MATCH(COLUMNS($AB$1006:AD1006),$AB$1006:$AQ$1006,0)))),"Fix")))</f>
        <v>0</v>
      </c>
      <c r="E577" s="5">
        <f>IF(OR(INDEX($V$2:$V$1001,MATCH(ROWS($U$2:U577),$U$2:$U$1001,0),1)&gt;=100000,INDEX($AB$1005:$AQ$1005,1,MATCH(COLUMNS($AB$1006:AE1006),$AB$1006:$AQ$1006,0))&gt;=100000), " ",IF(INDEX($AB$2:$AQ$1001,MATCH(ROWS($U$2:U577),$U$2:$U$1001,0),MATCH(COLUMNS($AB$1006:AE1006),$AB$1006:$AQ$1006,0)), HYPERLINK("#",""), HYPERLINK(CONCATENATE("#Metadata!", ADDRESS(INDEX($W$2:$W$1001,MATCH(ROWS($U$2:U577),$U$2:$U$1001,0),0), INDEX($AB$1004:$AQ$1004,1,MATCH(COLUMNS($AB$1006:AE1006),$AB$1006:$AQ$1006,0)))),"Fix")))</f>
        <v>0</v>
      </c>
      <c r="F577" s="5">
        <f>IF(OR(INDEX($V$2:$V$1001,MATCH(ROWS($U$2:U577),$U$2:$U$1001,0),1)&gt;=100000,INDEX($AB$1005:$AQ$1005,1,MATCH(COLUMNS($AB$1006:AF1006),$AB$1006:$AQ$1006,0))&gt;=100000), " ",IF(INDEX($AB$2:$AQ$1001,MATCH(ROWS($U$2:U577),$U$2:$U$1001,0),MATCH(COLUMNS($AB$1006:AF1006),$AB$1006:$AQ$1006,0)), HYPERLINK("#",""), HYPERLINK(CONCATENATE("#Metadata!", ADDRESS(INDEX($W$2:$W$1001,MATCH(ROWS($U$2:U577),$U$2:$U$1001,0),0), INDEX($AB$1004:$AQ$1004,1,MATCH(COLUMNS($AB$1006:AF1006),$AB$1006:$AQ$1006,0)))),"Fix")))</f>
        <v>0</v>
      </c>
      <c r="G577" s="5">
        <f>IF(OR(INDEX($V$2:$V$1001,MATCH(ROWS($U$2:U577),$U$2:$U$1001,0),1)&gt;=100000,INDEX($AB$1005:$AQ$1005,1,MATCH(COLUMNS($AB$1006:AG1006),$AB$1006:$AQ$1006,0))&gt;=100000), " ",IF(INDEX($AB$2:$AQ$1001,MATCH(ROWS($U$2:U577),$U$2:$U$1001,0),MATCH(COLUMNS($AB$1006:AG1006),$AB$1006:$AQ$1006,0)), HYPERLINK("#",""), HYPERLINK(CONCATENATE("#Metadata!", ADDRESS(INDEX($W$2:$W$1001,MATCH(ROWS($U$2:U577),$U$2:$U$1001,0),0), INDEX($AB$1004:$AQ$1004,1,MATCH(COLUMNS($AB$1006:AG1006),$AB$1006:$AQ$1006,0)))),"Fix")))</f>
        <v>0</v>
      </c>
      <c r="H577" s="5">
        <f>IF(OR(INDEX($V$2:$V$1001,MATCH(ROWS($U$2:U577),$U$2:$U$1001,0),1)&gt;=100000,INDEX($AB$1005:$AQ$1005,1,MATCH(COLUMNS($AB$1006:AH1006),$AB$1006:$AQ$1006,0))&gt;=100000), " ",IF(INDEX($AB$2:$AQ$1001,MATCH(ROWS($U$2:U577),$U$2:$U$1001,0),MATCH(COLUMNS($AB$1006:AH1006),$AB$1006:$AQ$1006,0)), HYPERLINK("#",""), HYPERLINK(CONCATENATE("#Metadata!", ADDRESS(INDEX($W$2:$W$1001,MATCH(ROWS($U$2:U577),$U$2:$U$1001,0),0), INDEX($AB$1004:$AQ$1004,1,MATCH(COLUMNS($AB$1006:AH1006),$AB$1006:$AQ$1006,0)))),"Fix")))</f>
        <v>0</v>
      </c>
      <c r="I577" s="5">
        <f>IF(OR(INDEX($V$2:$V$1001,MATCH(ROWS($U$2:U577),$U$2:$U$1001,0),1)&gt;=100000,INDEX($AB$1005:$AQ$1005,1,MATCH(COLUMNS($AB$1006:AI1006),$AB$1006:$AQ$1006,0))&gt;=100000), " ",IF(INDEX($AB$2:$AQ$1001,MATCH(ROWS($U$2:U577),$U$2:$U$1001,0),MATCH(COLUMNS($AB$1006:AI1006),$AB$1006:$AQ$1006,0)), HYPERLINK("#",""), HYPERLINK(CONCATENATE("#Metadata!", ADDRESS(INDEX($W$2:$W$1001,MATCH(ROWS($U$2:U577),$U$2:$U$1001,0),0), INDEX($AB$1004:$AQ$1004,1,MATCH(COLUMNS($AB$1006:AI1006),$AB$1006:$AQ$1006,0)))),"Fix")))</f>
        <v>0</v>
      </c>
      <c r="J577" s="5">
        <f>IF(OR(INDEX($V$2:$V$1001,MATCH(ROWS($U$2:U577),$U$2:$U$1001,0),1)&gt;=100000,INDEX($AB$1005:$AQ$1005,1,MATCH(COLUMNS($AB$1006:AJ1006),$AB$1006:$AQ$1006,0))&gt;=100000), " ",IF(INDEX($AB$2:$AQ$1001,MATCH(ROWS($U$2:U577),$U$2:$U$1001,0),MATCH(COLUMNS($AB$1006:AJ1006),$AB$1006:$AQ$1006,0)), HYPERLINK("#",""), HYPERLINK(CONCATENATE("#Metadata!", ADDRESS(INDEX($W$2:$W$1001,MATCH(ROWS($U$2:U577),$U$2:$U$1001,0),0), INDEX($AB$1004:$AQ$1004,1,MATCH(COLUMNS($AB$1006:AJ1006),$AB$1006:$AQ$1006,0)))),"Fix")))</f>
        <v>0</v>
      </c>
      <c r="K577" s="5">
        <f>IF(OR(INDEX($V$2:$V$1001,MATCH(ROWS($U$2:U577),$U$2:$U$1001,0),1)&gt;=100000,INDEX($AB$1005:$AQ$1005,1,MATCH(COLUMNS($AB$1006:AK1006),$AB$1006:$AQ$1006,0))&gt;=100000), " ",IF(INDEX($AB$2:$AQ$1001,MATCH(ROWS($U$2:U577),$U$2:$U$1001,0),MATCH(COLUMNS($AB$1006:AK1006),$AB$1006:$AQ$1006,0)), HYPERLINK("#",""), HYPERLINK(CONCATENATE("#Metadata!", ADDRESS(INDEX($W$2:$W$1001,MATCH(ROWS($U$2:U577),$U$2:$U$1001,0),0), INDEX($AB$1004:$AQ$1004,1,MATCH(COLUMNS($AB$1006:AK1006),$AB$1006:$AQ$1006,0)))),"Fix")))</f>
        <v>0</v>
      </c>
      <c r="L577" s="5">
        <f>IF(OR(INDEX($V$2:$V$1001,MATCH(ROWS($U$2:U577),$U$2:$U$1001,0),1)&gt;=100000,INDEX($AB$1005:$AQ$1005,1,MATCH(COLUMNS($AB$1006:AL1006),$AB$1006:$AQ$1006,0))&gt;=100000), " ",IF(INDEX($AB$2:$AQ$1001,MATCH(ROWS($U$2:U577),$U$2:$U$1001,0),MATCH(COLUMNS($AB$1006:AL1006),$AB$1006:$AQ$1006,0)), HYPERLINK("#",""), HYPERLINK(CONCATENATE("#Metadata!", ADDRESS(INDEX($W$2:$W$1001,MATCH(ROWS($U$2:U577),$U$2:$U$1001,0),0), INDEX($AB$1004:$AQ$1004,1,MATCH(COLUMNS($AB$1006:AL1006),$AB$1006:$AQ$1006,0)))),"Fix")))</f>
        <v>0</v>
      </c>
      <c r="M577" s="5">
        <f>IF(OR(INDEX($V$2:$V$1001,MATCH(ROWS($U$2:U577),$U$2:$U$1001,0),1)&gt;=100000,INDEX($AB$1005:$AQ$1005,1,MATCH(COLUMNS($AB$1006:AM1006),$AB$1006:$AQ$1006,0))&gt;=100000), " ",IF(INDEX($AB$2:$AQ$1001,MATCH(ROWS($U$2:U577),$U$2:$U$1001,0),MATCH(COLUMNS($AB$1006:AM1006),$AB$1006:$AQ$1006,0)), HYPERLINK("#",""), HYPERLINK(CONCATENATE("#Metadata!", ADDRESS(INDEX($W$2:$W$1001,MATCH(ROWS($U$2:U577),$U$2:$U$1001,0),0), INDEX($AB$1004:$AQ$1004,1,MATCH(COLUMNS($AB$1006:AM1006),$AB$1006:$AQ$1006,0)))),"Fix")))</f>
        <v>0</v>
      </c>
      <c r="N577" s="5">
        <f>IF(OR(INDEX($V$2:$V$1001,MATCH(ROWS($U$2:U577),$U$2:$U$1001,0),1)&gt;=100000,INDEX($AB$1005:$AQ$1005,1,MATCH(COLUMNS($AB$1006:AN1006),$AB$1006:$AQ$1006,0))&gt;=100000), " ",IF(INDEX($AB$2:$AQ$1001,MATCH(ROWS($U$2:U577),$U$2:$U$1001,0),MATCH(COLUMNS($AB$1006:AN1006),$AB$1006:$AQ$1006,0)), HYPERLINK("#",""), HYPERLINK(CONCATENATE("#Metadata!", ADDRESS(INDEX($W$2:$W$1001,MATCH(ROWS($U$2:U577),$U$2:$U$1001,0),0), INDEX($AB$1004:$AQ$1004,1,MATCH(COLUMNS($AB$1006:AN1006),$AB$1006:$AQ$1006,0)))),"Fix")))</f>
        <v>0</v>
      </c>
      <c r="O577" s="5">
        <f>IF(OR(INDEX($V$2:$V$1001,MATCH(ROWS($U$2:U577),$U$2:$U$1001,0),1)&gt;=100000,INDEX($AB$1005:$AQ$1005,1,MATCH(COLUMNS($AB$1006:AO1006),$AB$1006:$AQ$1006,0))&gt;=100000), " ",IF(INDEX($AB$2:$AQ$1001,MATCH(ROWS($U$2:U577),$U$2:$U$1001,0),MATCH(COLUMNS($AB$1006:AO1006),$AB$1006:$AQ$1006,0)), HYPERLINK("#",""), HYPERLINK(CONCATENATE("#Metadata!", ADDRESS(INDEX($W$2:$W$1001,MATCH(ROWS($U$2:U577),$U$2:$U$1001,0),0), INDEX($AB$1004:$AQ$1004,1,MATCH(COLUMNS($AB$1006:AO1006),$AB$1006:$AQ$1006,0)))),"Fix")))</f>
        <v>0</v>
      </c>
      <c r="P577" s="5">
        <f>IF(OR(INDEX($V$2:$V$1001,MATCH(ROWS($U$2:U577),$U$2:$U$1001,0),1)&gt;=100000,INDEX($AB$1005:$AQ$1005,1,MATCH(COLUMNS($AB$1006:AP1006),$AB$1006:$AQ$1006,0))&gt;=100000), " ",IF(INDEX($AB$2:$AQ$1001,MATCH(ROWS($U$2:U577),$U$2:$U$1001,0),MATCH(COLUMNS($AB$1006:AP1006),$AB$1006:$AQ$1006,0)), HYPERLINK("#",""), HYPERLINK(CONCATENATE("#Metadata!", ADDRESS(INDEX($W$2:$W$1001,MATCH(ROWS($U$2:U577),$U$2:$U$1001,0),0), INDEX($AB$1004:$AQ$1004,1,MATCH(COLUMNS($AB$1006:AP1006),$AB$1006:$AQ$1006,0)))),"Fix")))</f>
        <v>0</v>
      </c>
      <c r="Q577" s="5">
        <f>IF(OR(INDEX($V$2:$V$1001,MATCH(ROWS($U$2:U577),$U$2:$U$1001,0),1)&gt;=100000,INDEX($AB$1005:$AQ$1005,1,MATCH(COLUMNS($AB$1006:AQ1006),$AB$1006:$AQ$1006,0))&gt;=100000), " ",IF(INDEX($AB$2:$AQ$1001,MATCH(ROWS($U$2:U577),$U$2:$U$1001,0),MATCH(COLUMNS($AB$1006:AQ1006),$AB$1006:$AQ$1006,0)), HYPERLINK("#",""), HYPERLINK(CONCATENATE("#Metadata!", ADDRESS(INDEX($W$2:$W$1001,MATCH(ROWS($U$2:U577),$U$2:$U$1001,0),0), INDEX($AB$1004:$AQ$1004,1,MATCH(COLUMNS($AB$1006:AQ1006),$AB$1006:$AQ$1006,0)))),"Fix")))</f>
        <v>0</v>
      </c>
      <c r="U577">
        <v>0</v>
      </c>
      <c r="V577">
        <v>0</v>
      </c>
      <c r="W577">
        <v>0</v>
      </c>
      <c r="X577">
        <f>IF(Y577,TRUE,AND(AB577:AQ577))</f>
        <v>0</v>
      </c>
      <c r="Y577">
        <f>COUNTBLANK(Metadata!B577:Q577)=COLUMNS(Metadata!B577:Q577)</f>
        <v>0</v>
      </c>
      <c r="Z577">
        <v>0</v>
      </c>
      <c r="AB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AC577">
        <f>AND(IF(Metadata!C577="",FALSE,TRUE),exact(Metadata!C577,"urban biome"))</f>
        <v>0</v>
      </c>
      <c r="AD577">
        <f>AND(IF(Metadata!D577="",FALSE,TRUE),exact(Metadata!D577,"human-associated habitat"))</f>
        <v>0</v>
      </c>
      <c r="AE577">
        <f>AND(IF(Metadata!E577="",FALSE,TRUE),OR(exact(Metadata!E577,"human-associated"),exact(Metadata!E577,"human-skin"),exact(Metadata!E577,"human-oral"),exact(Metadata!E577,"human-gut"),exact(Metadata!E577,"human-vaginal")))</f>
        <v>0</v>
      </c>
      <c r="AF577">
        <f>AND(IF(Metadata!F577="",FALSE,ISNUMBER(VALUE(Metadata!F577))),Metadata!F577&gt;0)</f>
        <v>0</v>
      </c>
      <c r="AG577">
        <f>AND(IF(Metadata!G577="",FALSE,TRUE),exact(Metadata!G577,"years"))</f>
        <v>0</v>
      </c>
      <c r="AH577">
        <f>OR(AND(IF(Metadata!H577="",FALSE,TRUE),OR(exact(Metadata!H577,"not applicable"),exact(Metadata!H577,"not collected"),exact(Metadata!H577,"not provided"),exact(Metadata!H577,"restricted access"))),AND(IF(Metadata!H577="",FALSE,ISNUMBER(VALUE(Metadata!H577))),Metadata!H577&gt;0))</f>
        <v>0</v>
      </c>
      <c r="AI577">
        <f>AND(IF(Metadata!I577="",FALSE,TRUE),exact(Metadata!I577,"human"))</f>
        <v>0</v>
      </c>
      <c r="AJ577">
        <f>AND(IF(Metadata!J577="",FALSE,ISNUMBER(VALUE(Metadata!J577))),Metadata!J577&gt;0)</f>
        <v>0</v>
      </c>
      <c r="AK577">
        <f>AND(IF(Metadata!K577="",FALSE,TRUE),exact(Metadata!K577,"cm"))</f>
        <v>0</v>
      </c>
      <c r="AL577">
        <f>AND(IF(Metadata!L577="",FALSE,TRUE),exact(Metadata!L577,"Homo sapiens"))</f>
        <v>0</v>
      </c>
      <c r="AM577">
        <f>AND(IF(Metadata!M577="",FALSE,TRUE),exact(Metadata!M577,"9606"))</f>
        <v>0</v>
      </c>
      <c r="AN577">
        <f>AND(IF(Metadata!N577="",FALSE,ISNUMBER(VALUE(Metadata!N577))),Metadata!N577&gt;0)</f>
        <v>0</v>
      </c>
      <c r="AO577">
        <f>AND(IF(Metadata!O577="",FALSE,TRUE),exact(Metadata!O577,"kg"))</f>
        <v>0</v>
      </c>
      <c r="AP577">
        <f>OR(AND(IF(Metadata!P577="",FALSE,TRUE),exact(Metadata!P577,"not provided")),IF(Metadata!P577="",FALSE,TRUE))</f>
        <v>0</v>
      </c>
      <c r="AQ577">
        <f>OR(AND(IF(Metadata!Q577="",FALSE,TRUE),exact(Metadata!Q577,"not provided")),IF(Metadata!Q577="",FALSE,TRUE))</f>
        <v>0</v>
      </c>
    </row>
    <row r="578" spans="1:43">
      <c r="A578" s="4">
        <f>IF(B578=" "," ",HYPERLINK(CONCATENATE("#metadata!",ADDRESS(INDEX($W$2:$W$1001,MATCH(ROWS($U$2:U578),$U$2:$U$1001,0),0),2)),INDEX($Z$2:$Z$1001,MATCH(ROWS($U$2:U578),$U$2:$U$1001,0),0)))</f>
        <v>0</v>
      </c>
      <c r="B578" s="5">
        <f>IF(OR(INDEX($V$2:$V$1001,MATCH(ROWS($U$2:U578),$U$2:$U$1001,0),1)&gt;=100000,INDEX($AB$1005:$AQ$1005,1,MATCH(COLUMNS($AB$1006:AB1006),$AB$1006:$AQ$1006,0))&gt;=100000), " ",IF(INDEX($AB$2:$AQ$1001,MATCH(ROWS($U$2:U578),$U$2:$U$1001,0),MATCH(COLUMNS($AB$1006:AB1006),$AB$1006:$AQ$1006,0)), HYPERLINK("#",""), HYPERLINK(CONCATENATE("#Metadata!", ADDRESS(INDEX($W$2:$W$1001,MATCH(ROWS($U$2:U578),$U$2:$U$1001,0),0), INDEX($AB$1004:$AQ$1004,1,MATCH(COLUMNS($AB$1006:AB1006),$AB$1006:$AQ$1006,0)))),"Fix")))</f>
        <v>0</v>
      </c>
      <c r="C578" s="5">
        <f>IF(OR(INDEX($V$2:$V$1001,MATCH(ROWS($U$2:U578),$U$2:$U$1001,0),1)&gt;=100000,INDEX($AB$1005:$AQ$1005,1,MATCH(COLUMNS($AB$1006:AC1006),$AB$1006:$AQ$1006,0))&gt;=100000), " ",IF(INDEX($AB$2:$AQ$1001,MATCH(ROWS($U$2:U578),$U$2:$U$1001,0),MATCH(COLUMNS($AB$1006:AC1006),$AB$1006:$AQ$1006,0)), HYPERLINK("#",""), HYPERLINK(CONCATENATE("#Metadata!", ADDRESS(INDEX($W$2:$W$1001,MATCH(ROWS($U$2:U578),$U$2:$U$1001,0),0), INDEX($AB$1004:$AQ$1004,1,MATCH(COLUMNS($AB$1006:AC1006),$AB$1006:$AQ$1006,0)))),"Fix")))</f>
        <v>0</v>
      </c>
      <c r="D578" s="5">
        <f>IF(OR(INDEX($V$2:$V$1001,MATCH(ROWS($U$2:U578),$U$2:$U$1001,0),1)&gt;=100000,INDEX($AB$1005:$AQ$1005,1,MATCH(COLUMNS($AB$1006:AD1006),$AB$1006:$AQ$1006,0))&gt;=100000), " ",IF(INDEX($AB$2:$AQ$1001,MATCH(ROWS($U$2:U578),$U$2:$U$1001,0),MATCH(COLUMNS($AB$1006:AD1006),$AB$1006:$AQ$1006,0)), HYPERLINK("#",""), HYPERLINK(CONCATENATE("#Metadata!", ADDRESS(INDEX($W$2:$W$1001,MATCH(ROWS($U$2:U578),$U$2:$U$1001,0),0), INDEX($AB$1004:$AQ$1004,1,MATCH(COLUMNS($AB$1006:AD1006),$AB$1006:$AQ$1006,0)))),"Fix")))</f>
        <v>0</v>
      </c>
      <c r="E578" s="5">
        <f>IF(OR(INDEX($V$2:$V$1001,MATCH(ROWS($U$2:U578),$U$2:$U$1001,0),1)&gt;=100000,INDEX($AB$1005:$AQ$1005,1,MATCH(COLUMNS($AB$1006:AE1006),$AB$1006:$AQ$1006,0))&gt;=100000), " ",IF(INDEX($AB$2:$AQ$1001,MATCH(ROWS($U$2:U578),$U$2:$U$1001,0),MATCH(COLUMNS($AB$1006:AE1006),$AB$1006:$AQ$1006,0)), HYPERLINK("#",""), HYPERLINK(CONCATENATE("#Metadata!", ADDRESS(INDEX($W$2:$W$1001,MATCH(ROWS($U$2:U578),$U$2:$U$1001,0),0), INDEX($AB$1004:$AQ$1004,1,MATCH(COLUMNS($AB$1006:AE1006),$AB$1006:$AQ$1006,0)))),"Fix")))</f>
        <v>0</v>
      </c>
      <c r="F578" s="5">
        <f>IF(OR(INDEX($V$2:$V$1001,MATCH(ROWS($U$2:U578),$U$2:$U$1001,0),1)&gt;=100000,INDEX($AB$1005:$AQ$1005,1,MATCH(COLUMNS($AB$1006:AF1006),$AB$1006:$AQ$1006,0))&gt;=100000), " ",IF(INDEX($AB$2:$AQ$1001,MATCH(ROWS($U$2:U578),$U$2:$U$1001,0),MATCH(COLUMNS($AB$1006:AF1006),$AB$1006:$AQ$1006,0)), HYPERLINK("#",""), HYPERLINK(CONCATENATE("#Metadata!", ADDRESS(INDEX($W$2:$W$1001,MATCH(ROWS($U$2:U578),$U$2:$U$1001,0),0), INDEX($AB$1004:$AQ$1004,1,MATCH(COLUMNS($AB$1006:AF1006),$AB$1006:$AQ$1006,0)))),"Fix")))</f>
        <v>0</v>
      </c>
      <c r="G578" s="5">
        <f>IF(OR(INDEX($V$2:$V$1001,MATCH(ROWS($U$2:U578),$U$2:$U$1001,0),1)&gt;=100000,INDEX($AB$1005:$AQ$1005,1,MATCH(COLUMNS($AB$1006:AG1006),$AB$1006:$AQ$1006,0))&gt;=100000), " ",IF(INDEX($AB$2:$AQ$1001,MATCH(ROWS($U$2:U578),$U$2:$U$1001,0),MATCH(COLUMNS($AB$1006:AG1006),$AB$1006:$AQ$1006,0)), HYPERLINK("#",""), HYPERLINK(CONCATENATE("#Metadata!", ADDRESS(INDEX($W$2:$W$1001,MATCH(ROWS($U$2:U578),$U$2:$U$1001,0),0), INDEX($AB$1004:$AQ$1004,1,MATCH(COLUMNS($AB$1006:AG1006),$AB$1006:$AQ$1006,0)))),"Fix")))</f>
        <v>0</v>
      </c>
      <c r="H578" s="5">
        <f>IF(OR(INDEX($V$2:$V$1001,MATCH(ROWS($U$2:U578),$U$2:$U$1001,0),1)&gt;=100000,INDEX($AB$1005:$AQ$1005,1,MATCH(COLUMNS($AB$1006:AH1006),$AB$1006:$AQ$1006,0))&gt;=100000), " ",IF(INDEX($AB$2:$AQ$1001,MATCH(ROWS($U$2:U578),$U$2:$U$1001,0),MATCH(COLUMNS($AB$1006:AH1006),$AB$1006:$AQ$1006,0)), HYPERLINK("#",""), HYPERLINK(CONCATENATE("#Metadata!", ADDRESS(INDEX($W$2:$W$1001,MATCH(ROWS($U$2:U578),$U$2:$U$1001,0),0), INDEX($AB$1004:$AQ$1004,1,MATCH(COLUMNS($AB$1006:AH1006),$AB$1006:$AQ$1006,0)))),"Fix")))</f>
        <v>0</v>
      </c>
      <c r="I578" s="5">
        <f>IF(OR(INDEX($V$2:$V$1001,MATCH(ROWS($U$2:U578),$U$2:$U$1001,0),1)&gt;=100000,INDEX($AB$1005:$AQ$1005,1,MATCH(COLUMNS($AB$1006:AI1006),$AB$1006:$AQ$1006,0))&gt;=100000), " ",IF(INDEX($AB$2:$AQ$1001,MATCH(ROWS($U$2:U578),$U$2:$U$1001,0),MATCH(COLUMNS($AB$1006:AI1006),$AB$1006:$AQ$1006,0)), HYPERLINK("#",""), HYPERLINK(CONCATENATE("#Metadata!", ADDRESS(INDEX($W$2:$W$1001,MATCH(ROWS($U$2:U578),$U$2:$U$1001,0),0), INDEX($AB$1004:$AQ$1004,1,MATCH(COLUMNS($AB$1006:AI1006),$AB$1006:$AQ$1006,0)))),"Fix")))</f>
        <v>0</v>
      </c>
      <c r="J578" s="5">
        <f>IF(OR(INDEX($V$2:$V$1001,MATCH(ROWS($U$2:U578),$U$2:$U$1001,0),1)&gt;=100000,INDEX($AB$1005:$AQ$1005,1,MATCH(COLUMNS($AB$1006:AJ1006),$AB$1006:$AQ$1006,0))&gt;=100000), " ",IF(INDEX($AB$2:$AQ$1001,MATCH(ROWS($U$2:U578),$U$2:$U$1001,0),MATCH(COLUMNS($AB$1006:AJ1006),$AB$1006:$AQ$1006,0)), HYPERLINK("#",""), HYPERLINK(CONCATENATE("#Metadata!", ADDRESS(INDEX($W$2:$W$1001,MATCH(ROWS($U$2:U578),$U$2:$U$1001,0),0), INDEX($AB$1004:$AQ$1004,1,MATCH(COLUMNS($AB$1006:AJ1006),$AB$1006:$AQ$1006,0)))),"Fix")))</f>
        <v>0</v>
      </c>
      <c r="K578" s="5">
        <f>IF(OR(INDEX($V$2:$V$1001,MATCH(ROWS($U$2:U578),$U$2:$U$1001,0),1)&gt;=100000,INDEX($AB$1005:$AQ$1005,1,MATCH(COLUMNS($AB$1006:AK1006),$AB$1006:$AQ$1006,0))&gt;=100000), " ",IF(INDEX($AB$2:$AQ$1001,MATCH(ROWS($U$2:U578),$U$2:$U$1001,0),MATCH(COLUMNS($AB$1006:AK1006),$AB$1006:$AQ$1006,0)), HYPERLINK("#",""), HYPERLINK(CONCATENATE("#Metadata!", ADDRESS(INDEX($W$2:$W$1001,MATCH(ROWS($U$2:U578),$U$2:$U$1001,0),0), INDEX($AB$1004:$AQ$1004,1,MATCH(COLUMNS($AB$1006:AK1006),$AB$1006:$AQ$1006,0)))),"Fix")))</f>
        <v>0</v>
      </c>
      <c r="L578" s="5">
        <f>IF(OR(INDEX($V$2:$V$1001,MATCH(ROWS($U$2:U578),$U$2:$U$1001,0),1)&gt;=100000,INDEX($AB$1005:$AQ$1005,1,MATCH(COLUMNS($AB$1006:AL1006),$AB$1006:$AQ$1006,0))&gt;=100000), " ",IF(INDEX($AB$2:$AQ$1001,MATCH(ROWS($U$2:U578),$U$2:$U$1001,0),MATCH(COLUMNS($AB$1006:AL1006),$AB$1006:$AQ$1006,0)), HYPERLINK("#",""), HYPERLINK(CONCATENATE("#Metadata!", ADDRESS(INDEX($W$2:$W$1001,MATCH(ROWS($U$2:U578),$U$2:$U$1001,0),0), INDEX($AB$1004:$AQ$1004,1,MATCH(COLUMNS($AB$1006:AL1006),$AB$1006:$AQ$1006,0)))),"Fix")))</f>
        <v>0</v>
      </c>
      <c r="M578" s="5">
        <f>IF(OR(INDEX($V$2:$V$1001,MATCH(ROWS($U$2:U578),$U$2:$U$1001,0),1)&gt;=100000,INDEX($AB$1005:$AQ$1005,1,MATCH(COLUMNS($AB$1006:AM1006),$AB$1006:$AQ$1006,0))&gt;=100000), " ",IF(INDEX($AB$2:$AQ$1001,MATCH(ROWS($U$2:U578),$U$2:$U$1001,0),MATCH(COLUMNS($AB$1006:AM1006),$AB$1006:$AQ$1006,0)), HYPERLINK("#",""), HYPERLINK(CONCATENATE("#Metadata!", ADDRESS(INDEX($W$2:$W$1001,MATCH(ROWS($U$2:U578),$U$2:$U$1001,0),0), INDEX($AB$1004:$AQ$1004,1,MATCH(COLUMNS($AB$1006:AM1006),$AB$1006:$AQ$1006,0)))),"Fix")))</f>
        <v>0</v>
      </c>
      <c r="N578" s="5">
        <f>IF(OR(INDEX($V$2:$V$1001,MATCH(ROWS($U$2:U578),$U$2:$U$1001,0),1)&gt;=100000,INDEX($AB$1005:$AQ$1005,1,MATCH(COLUMNS($AB$1006:AN1006),$AB$1006:$AQ$1006,0))&gt;=100000), " ",IF(INDEX($AB$2:$AQ$1001,MATCH(ROWS($U$2:U578),$U$2:$U$1001,0),MATCH(COLUMNS($AB$1006:AN1006),$AB$1006:$AQ$1006,0)), HYPERLINK("#",""), HYPERLINK(CONCATENATE("#Metadata!", ADDRESS(INDEX($W$2:$W$1001,MATCH(ROWS($U$2:U578),$U$2:$U$1001,0),0), INDEX($AB$1004:$AQ$1004,1,MATCH(COLUMNS($AB$1006:AN1006),$AB$1006:$AQ$1006,0)))),"Fix")))</f>
        <v>0</v>
      </c>
      <c r="O578" s="5">
        <f>IF(OR(INDEX($V$2:$V$1001,MATCH(ROWS($U$2:U578),$U$2:$U$1001,0),1)&gt;=100000,INDEX($AB$1005:$AQ$1005,1,MATCH(COLUMNS($AB$1006:AO1006),$AB$1006:$AQ$1006,0))&gt;=100000), " ",IF(INDEX($AB$2:$AQ$1001,MATCH(ROWS($U$2:U578),$U$2:$U$1001,0),MATCH(COLUMNS($AB$1006:AO1006),$AB$1006:$AQ$1006,0)), HYPERLINK("#",""), HYPERLINK(CONCATENATE("#Metadata!", ADDRESS(INDEX($W$2:$W$1001,MATCH(ROWS($U$2:U578),$U$2:$U$1001,0),0), INDEX($AB$1004:$AQ$1004,1,MATCH(COLUMNS($AB$1006:AO1006),$AB$1006:$AQ$1006,0)))),"Fix")))</f>
        <v>0</v>
      </c>
      <c r="P578" s="5">
        <f>IF(OR(INDEX($V$2:$V$1001,MATCH(ROWS($U$2:U578),$U$2:$U$1001,0),1)&gt;=100000,INDEX($AB$1005:$AQ$1005,1,MATCH(COLUMNS($AB$1006:AP1006),$AB$1006:$AQ$1006,0))&gt;=100000), " ",IF(INDEX($AB$2:$AQ$1001,MATCH(ROWS($U$2:U578),$U$2:$U$1001,0),MATCH(COLUMNS($AB$1006:AP1006),$AB$1006:$AQ$1006,0)), HYPERLINK("#",""), HYPERLINK(CONCATENATE("#Metadata!", ADDRESS(INDEX($W$2:$W$1001,MATCH(ROWS($U$2:U578),$U$2:$U$1001,0),0), INDEX($AB$1004:$AQ$1004,1,MATCH(COLUMNS($AB$1006:AP1006),$AB$1006:$AQ$1006,0)))),"Fix")))</f>
        <v>0</v>
      </c>
      <c r="Q578" s="5">
        <f>IF(OR(INDEX($V$2:$V$1001,MATCH(ROWS($U$2:U578),$U$2:$U$1001,0),1)&gt;=100000,INDEX($AB$1005:$AQ$1005,1,MATCH(COLUMNS($AB$1006:AQ1006),$AB$1006:$AQ$1006,0))&gt;=100000), " ",IF(INDEX($AB$2:$AQ$1001,MATCH(ROWS($U$2:U578),$U$2:$U$1001,0),MATCH(COLUMNS($AB$1006:AQ1006),$AB$1006:$AQ$1006,0)), HYPERLINK("#",""), HYPERLINK(CONCATENATE("#Metadata!", ADDRESS(INDEX($W$2:$W$1001,MATCH(ROWS($U$2:U578),$U$2:$U$1001,0),0), INDEX($AB$1004:$AQ$1004,1,MATCH(COLUMNS($AB$1006:AQ1006),$AB$1006:$AQ$1006,0)))),"Fix")))</f>
        <v>0</v>
      </c>
      <c r="U578">
        <v>0</v>
      </c>
      <c r="V578">
        <v>0</v>
      </c>
      <c r="W578">
        <v>0</v>
      </c>
      <c r="X578">
        <f>IF(Y578,TRUE,AND(AB578:AQ578))</f>
        <v>0</v>
      </c>
      <c r="Y578">
        <f>COUNTBLANK(Metadata!B578:Q578)=COLUMNS(Metadata!B578:Q578)</f>
        <v>0</v>
      </c>
      <c r="Z578">
        <v>0</v>
      </c>
      <c r="AB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AC578">
        <f>AND(IF(Metadata!C578="",FALSE,TRUE),exact(Metadata!C578,"urban biome"))</f>
        <v>0</v>
      </c>
      <c r="AD578">
        <f>AND(IF(Metadata!D578="",FALSE,TRUE),exact(Metadata!D578,"human-associated habitat"))</f>
        <v>0</v>
      </c>
      <c r="AE578">
        <f>AND(IF(Metadata!E578="",FALSE,TRUE),OR(exact(Metadata!E578,"human-associated"),exact(Metadata!E578,"human-skin"),exact(Metadata!E578,"human-oral"),exact(Metadata!E578,"human-gut"),exact(Metadata!E578,"human-vaginal")))</f>
        <v>0</v>
      </c>
      <c r="AF578">
        <f>AND(IF(Metadata!F578="",FALSE,ISNUMBER(VALUE(Metadata!F578))),Metadata!F578&gt;0)</f>
        <v>0</v>
      </c>
      <c r="AG578">
        <f>AND(IF(Metadata!G578="",FALSE,TRUE),exact(Metadata!G578,"years"))</f>
        <v>0</v>
      </c>
      <c r="AH578">
        <f>OR(AND(IF(Metadata!H578="",FALSE,TRUE),OR(exact(Metadata!H578,"not applicable"),exact(Metadata!H578,"not collected"),exact(Metadata!H578,"not provided"),exact(Metadata!H578,"restricted access"))),AND(IF(Metadata!H578="",FALSE,ISNUMBER(VALUE(Metadata!H578))),Metadata!H578&gt;0))</f>
        <v>0</v>
      </c>
      <c r="AI578">
        <f>AND(IF(Metadata!I578="",FALSE,TRUE),exact(Metadata!I578,"human"))</f>
        <v>0</v>
      </c>
      <c r="AJ578">
        <f>AND(IF(Metadata!J578="",FALSE,ISNUMBER(VALUE(Metadata!J578))),Metadata!J578&gt;0)</f>
        <v>0</v>
      </c>
      <c r="AK578">
        <f>AND(IF(Metadata!K578="",FALSE,TRUE),exact(Metadata!K578,"cm"))</f>
        <v>0</v>
      </c>
      <c r="AL578">
        <f>AND(IF(Metadata!L578="",FALSE,TRUE),exact(Metadata!L578,"Homo sapiens"))</f>
        <v>0</v>
      </c>
      <c r="AM578">
        <f>AND(IF(Metadata!M578="",FALSE,TRUE),exact(Metadata!M578,"9606"))</f>
        <v>0</v>
      </c>
      <c r="AN578">
        <f>AND(IF(Metadata!N578="",FALSE,ISNUMBER(VALUE(Metadata!N578))),Metadata!N578&gt;0)</f>
        <v>0</v>
      </c>
      <c r="AO578">
        <f>AND(IF(Metadata!O578="",FALSE,TRUE),exact(Metadata!O578,"kg"))</f>
        <v>0</v>
      </c>
      <c r="AP578">
        <f>OR(AND(IF(Metadata!P578="",FALSE,TRUE),exact(Metadata!P578,"not provided")),IF(Metadata!P578="",FALSE,TRUE))</f>
        <v>0</v>
      </c>
      <c r="AQ578">
        <f>OR(AND(IF(Metadata!Q578="",FALSE,TRUE),exact(Metadata!Q578,"not provided")),IF(Metadata!Q578="",FALSE,TRUE))</f>
        <v>0</v>
      </c>
    </row>
    <row r="579" spans="1:43">
      <c r="A579" s="4">
        <f>IF(B579=" "," ",HYPERLINK(CONCATENATE("#metadata!",ADDRESS(INDEX($W$2:$W$1001,MATCH(ROWS($U$2:U579),$U$2:$U$1001,0),0),2)),INDEX($Z$2:$Z$1001,MATCH(ROWS($U$2:U579),$U$2:$U$1001,0),0)))</f>
        <v>0</v>
      </c>
      <c r="B579" s="5">
        <f>IF(OR(INDEX($V$2:$V$1001,MATCH(ROWS($U$2:U579),$U$2:$U$1001,0),1)&gt;=100000,INDEX($AB$1005:$AQ$1005,1,MATCH(COLUMNS($AB$1006:AB1006),$AB$1006:$AQ$1006,0))&gt;=100000), " ",IF(INDEX($AB$2:$AQ$1001,MATCH(ROWS($U$2:U579),$U$2:$U$1001,0),MATCH(COLUMNS($AB$1006:AB1006),$AB$1006:$AQ$1006,0)), HYPERLINK("#",""), HYPERLINK(CONCATENATE("#Metadata!", ADDRESS(INDEX($W$2:$W$1001,MATCH(ROWS($U$2:U579),$U$2:$U$1001,0),0), INDEX($AB$1004:$AQ$1004,1,MATCH(COLUMNS($AB$1006:AB1006),$AB$1006:$AQ$1006,0)))),"Fix")))</f>
        <v>0</v>
      </c>
      <c r="C579" s="5">
        <f>IF(OR(INDEX($V$2:$V$1001,MATCH(ROWS($U$2:U579),$U$2:$U$1001,0),1)&gt;=100000,INDEX($AB$1005:$AQ$1005,1,MATCH(COLUMNS($AB$1006:AC1006),$AB$1006:$AQ$1006,0))&gt;=100000), " ",IF(INDEX($AB$2:$AQ$1001,MATCH(ROWS($U$2:U579),$U$2:$U$1001,0),MATCH(COLUMNS($AB$1006:AC1006),$AB$1006:$AQ$1006,0)), HYPERLINK("#",""), HYPERLINK(CONCATENATE("#Metadata!", ADDRESS(INDEX($W$2:$W$1001,MATCH(ROWS($U$2:U579),$U$2:$U$1001,0),0), INDEX($AB$1004:$AQ$1004,1,MATCH(COLUMNS($AB$1006:AC1006),$AB$1006:$AQ$1006,0)))),"Fix")))</f>
        <v>0</v>
      </c>
      <c r="D579" s="5">
        <f>IF(OR(INDEX($V$2:$V$1001,MATCH(ROWS($U$2:U579),$U$2:$U$1001,0),1)&gt;=100000,INDEX($AB$1005:$AQ$1005,1,MATCH(COLUMNS($AB$1006:AD1006),$AB$1006:$AQ$1006,0))&gt;=100000), " ",IF(INDEX($AB$2:$AQ$1001,MATCH(ROWS($U$2:U579),$U$2:$U$1001,0),MATCH(COLUMNS($AB$1006:AD1006),$AB$1006:$AQ$1006,0)), HYPERLINK("#",""), HYPERLINK(CONCATENATE("#Metadata!", ADDRESS(INDEX($W$2:$W$1001,MATCH(ROWS($U$2:U579),$U$2:$U$1001,0),0), INDEX($AB$1004:$AQ$1004,1,MATCH(COLUMNS($AB$1006:AD1006),$AB$1006:$AQ$1006,0)))),"Fix")))</f>
        <v>0</v>
      </c>
      <c r="E579" s="5">
        <f>IF(OR(INDEX($V$2:$V$1001,MATCH(ROWS($U$2:U579),$U$2:$U$1001,0),1)&gt;=100000,INDEX($AB$1005:$AQ$1005,1,MATCH(COLUMNS($AB$1006:AE1006),$AB$1006:$AQ$1006,0))&gt;=100000), " ",IF(INDEX($AB$2:$AQ$1001,MATCH(ROWS($U$2:U579),$U$2:$U$1001,0),MATCH(COLUMNS($AB$1006:AE1006),$AB$1006:$AQ$1006,0)), HYPERLINK("#",""), HYPERLINK(CONCATENATE("#Metadata!", ADDRESS(INDEX($W$2:$W$1001,MATCH(ROWS($U$2:U579),$U$2:$U$1001,0),0), INDEX($AB$1004:$AQ$1004,1,MATCH(COLUMNS($AB$1006:AE1006),$AB$1006:$AQ$1006,0)))),"Fix")))</f>
        <v>0</v>
      </c>
      <c r="F579" s="5">
        <f>IF(OR(INDEX($V$2:$V$1001,MATCH(ROWS($U$2:U579),$U$2:$U$1001,0),1)&gt;=100000,INDEX($AB$1005:$AQ$1005,1,MATCH(COLUMNS($AB$1006:AF1006),$AB$1006:$AQ$1006,0))&gt;=100000), " ",IF(INDEX($AB$2:$AQ$1001,MATCH(ROWS($U$2:U579),$U$2:$U$1001,0),MATCH(COLUMNS($AB$1006:AF1006),$AB$1006:$AQ$1006,0)), HYPERLINK("#",""), HYPERLINK(CONCATENATE("#Metadata!", ADDRESS(INDEX($W$2:$W$1001,MATCH(ROWS($U$2:U579),$U$2:$U$1001,0),0), INDEX($AB$1004:$AQ$1004,1,MATCH(COLUMNS($AB$1006:AF1006),$AB$1006:$AQ$1006,0)))),"Fix")))</f>
        <v>0</v>
      </c>
      <c r="G579" s="5">
        <f>IF(OR(INDEX($V$2:$V$1001,MATCH(ROWS($U$2:U579),$U$2:$U$1001,0),1)&gt;=100000,INDEX($AB$1005:$AQ$1005,1,MATCH(COLUMNS($AB$1006:AG1006),$AB$1006:$AQ$1006,0))&gt;=100000), " ",IF(INDEX($AB$2:$AQ$1001,MATCH(ROWS($U$2:U579),$U$2:$U$1001,0),MATCH(COLUMNS($AB$1006:AG1006),$AB$1006:$AQ$1006,0)), HYPERLINK("#",""), HYPERLINK(CONCATENATE("#Metadata!", ADDRESS(INDEX($W$2:$W$1001,MATCH(ROWS($U$2:U579),$U$2:$U$1001,0),0), INDEX($AB$1004:$AQ$1004,1,MATCH(COLUMNS($AB$1006:AG1006),$AB$1006:$AQ$1006,0)))),"Fix")))</f>
        <v>0</v>
      </c>
      <c r="H579" s="5">
        <f>IF(OR(INDEX($V$2:$V$1001,MATCH(ROWS($U$2:U579),$U$2:$U$1001,0),1)&gt;=100000,INDEX($AB$1005:$AQ$1005,1,MATCH(COLUMNS($AB$1006:AH1006),$AB$1006:$AQ$1006,0))&gt;=100000), " ",IF(INDEX($AB$2:$AQ$1001,MATCH(ROWS($U$2:U579),$U$2:$U$1001,0),MATCH(COLUMNS($AB$1006:AH1006),$AB$1006:$AQ$1006,0)), HYPERLINK("#",""), HYPERLINK(CONCATENATE("#Metadata!", ADDRESS(INDEX($W$2:$W$1001,MATCH(ROWS($U$2:U579),$U$2:$U$1001,0),0), INDEX($AB$1004:$AQ$1004,1,MATCH(COLUMNS($AB$1006:AH1006),$AB$1006:$AQ$1006,0)))),"Fix")))</f>
        <v>0</v>
      </c>
      <c r="I579" s="5">
        <f>IF(OR(INDEX($V$2:$V$1001,MATCH(ROWS($U$2:U579),$U$2:$U$1001,0),1)&gt;=100000,INDEX($AB$1005:$AQ$1005,1,MATCH(COLUMNS($AB$1006:AI1006),$AB$1006:$AQ$1006,0))&gt;=100000), " ",IF(INDEX($AB$2:$AQ$1001,MATCH(ROWS($U$2:U579),$U$2:$U$1001,0),MATCH(COLUMNS($AB$1006:AI1006),$AB$1006:$AQ$1006,0)), HYPERLINK("#",""), HYPERLINK(CONCATENATE("#Metadata!", ADDRESS(INDEX($W$2:$W$1001,MATCH(ROWS($U$2:U579),$U$2:$U$1001,0),0), INDEX($AB$1004:$AQ$1004,1,MATCH(COLUMNS($AB$1006:AI1006),$AB$1006:$AQ$1006,0)))),"Fix")))</f>
        <v>0</v>
      </c>
      <c r="J579" s="5">
        <f>IF(OR(INDEX($V$2:$V$1001,MATCH(ROWS($U$2:U579),$U$2:$U$1001,0),1)&gt;=100000,INDEX($AB$1005:$AQ$1005,1,MATCH(COLUMNS($AB$1006:AJ1006),$AB$1006:$AQ$1006,0))&gt;=100000), " ",IF(INDEX($AB$2:$AQ$1001,MATCH(ROWS($U$2:U579),$U$2:$U$1001,0),MATCH(COLUMNS($AB$1006:AJ1006),$AB$1006:$AQ$1006,0)), HYPERLINK("#",""), HYPERLINK(CONCATENATE("#Metadata!", ADDRESS(INDEX($W$2:$W$1001,MATCH(ROWS($U$2:U579),$U$2:$U$1001,0),0), INDEX($AB$1004:$AQ$1004,1,MATCH(COLUMNS($AB$1006:AJ1006),$AB$1006:$AQ$1006,0)))),"Fix")))</f>
        <v>0</v>
      </c>
      <c r="K579" s="5">
        <f>IF(OR(INDEX($V$2:$V$1001,MATCH(ROWS($U$2:U579),$U$2:$U$1001,0),1)&gt;=100000,INDEX($AB$1005:$AQ$1005,1,MATCH(COLUMNS($AB$1006:AK1006),$AB$1006:$AQ$1006,0))&gt;=100000), " ",IF(INDEX($AB$2:$AQ$1001,MATCH(ROWS($U$2:U579),$U$2:$U$1001,0),MATCH(COLUMNS($AB$1006:AK1006),$AB$1006:$AQ$1006,0)), HYPERLINK("#",""), HYPERLINK(CONCATENATE("#Metadata!", ADDRESS(INDEX($W$2:$W$1001,MATCH(ROWS($U$2:U579),$U$2:$U$1001,0),0), INDEX($AB$1004:$AQ$1004,1,MATCH(COLUMNS($AB$1006:AK1006),$AB$1006:$AQ$1006,0)))),"Fix")))</f>
        <v>0</v>
      </c>
      <c r="L579" s="5">
        <f>IF(OR(INDEX($V$2:$V$1001,MATCH(ROWS($U$2:U579),$U$2:$U$1001,0),1)&gt;=100000,INDEX($AB$1005:$AQ$1005,1,MATCH(COLUMNS($AB$1006:AL1006),$AB$1006:$AQ$1006,0))&gt;=100000), " ",IF(INDEX($AB$2:$AQ$1001,MATCH(ROWS($U$2:U579),$U$2:$U$1001,0),MATCH(COLUMNS($AB$1006:AL1006),$AB$1006:$AQ$1006,0)), HYPERLINK("#",""), HYPERLINK(CONCATENATE("#Metadata!", ADDRESS(INDEX($W$2:$W$1001,MATCH(ROWS($U$2:U579),$U$2:$U$1001,0),0), INDEX($AB$1004:$AQ$1004,1,MATCH(COLUMNS($AB$1006:AL1006),$AB$1006:$AQ$1006,0)))),"Fix")))</f>
        <v>0</v>
      </c>
      <c r="M579" s="5">
        <f>IF(OR(INDEX($V$2:$V$1001,MATCH(ROWS($U$2:U579),$U$2:$U$1001,0),1)&gt;=100000,INDEX($AB$1005:$AQ$1005,1,MATCH(COLUMNS($AB$1006:AM1006),$AB$1006:$AQ$1006,0))&gt;=100000), " ",IF(INDEX($AB$2:$AQ$1001,MATCH(ROWS($U$2:U579),$U$2:$U$1001,0),MATCH(COLUMNS($AB$1006:AM1006),$AB$1006:$AQ$1006,0)), HYPERLINK("#",""), HYPERLINK(CONCATENATE("#Metadata!", ADDRESS(INDEX($W$2:$W$1001,MATCH(ROWS($U$2:U579),$U$2:$U$1001,0),0), INDEX($AB$1004:$AQ$1004,1,MATCH(COLUMNS($AB$1006:AM1006),$AB$1006:$AQ$1006,0)))),"Fix")))</f>
        <v>0</v>
      </c>
      <c r="N579" s="5">
        <f>IF(OR(INDEX($V$2:$V$1001,MATCH(ROWS($U$2:U579),$U$2:$U$1001,0),1)&gt;=100000,INDEX($AB$1005:$AQ$1005,1,MATCH(COLUMNS($AB$1006:AN1006),$AB$1006:$AQ$1006,0))&gt;=100000), " ",IF(INDEX($AB$2:$AQ$1001,MATCH(ROWS($U$2:U579),$U$2:$U$1001,0),MATCH(COLUMNS($AB$1006:AN1006),$AB$1006:$AQ$1006,0)), HYPERLINK("#",""), HYPERLINK(CONCATENATE("#Metadata!", ADDRESS(INDEX($W$2:$W$1001,MATCH(ROWS($U$2:U579),$U$2:$U$1001,0),0), INDEX($AB$1004:$AQ$1004,1,MATCH(COLUMNS($AB$1006:AN1006),$AB$1006:$AQ$1006,0)))),"Fix")))</f>
        <v>0</v>
      </c>
      <c r="O579" s="5">
        <f>IF(OR(INDEX($V$2:$V$1001,MATCH(ROWS($U$2:U579),$U$2:$U$1001,0),1)&gt;=100000,INDEX($AB$1005:$AQ$1005,1,MATCH(COLUMNS($AB$1006:AO1006),$AB$1006:$AQ$1006,0))&gt;=100000), " ",IF(INDEX($AB$2:$AQ$1001,MATCH(ROWS($U$2:U579),$U$2:$U$1001,0),MATCH(COLUMNS($AB$1006:AO1006),$AB$1006:$AQ$1006,0)), HYPERLINK("#",""), HYPERLINK(CONCATENATE("#Metadata!", ADDRESS(INDEX($W$2:$W$1001,MATCH(ROWS($U$2:U579),$U$2:$U$1001,0),0), INDEX($AB$1004:$AQ$1004,1,MATCH(COLUMNS($AB$1006:AO1006),$AB$1006:$AQ$1006,0)))),"Fix")))</f>
        <v>0</v>
      </c>
      <c r="P579" s="5">
        <f>IF(OR(INDEX($V$2:$V$1001,MATCH(ROWS($U$2:U579),$U$2:$U$1001,0),1)&gt;=100000,INDEX($AB$1005:$AQ$1005,1,MATCH(COLUMNS($AB$1006:AP1006),$AB$1006:$AQ$1006,0))&gt;=100000), " ",IF(INDEX($AB$2:$AQ$1001,MATCH(ROWS($U$2:U579),$U$2:$U$1001,0),MATCH(COLUMNS($AB$1006:AP1006),$AB$1006:$AQ$1006,0)), HYPERLINK("#",""), HYPERLINK(CONCATENATE("#Metadata!", ADDRESS(INDEX($W$2:$W$1001,MATCH(ROWS($U$2:U579),$U$2:$U$1001,0),0), INDEX($AB$1004:$AQ$1004,1,MATCH(COLUMNS($AB$1006:AP1006),$AB$1006:$AQ$1006,0)))),"Fix")))</f>
        <v>0</v>
      </c>
      <c r="Q579" s="5">
        <f>IF(OR(INDEX($V$2:$V$1001,MATCH(ROWS($U$2:U579),$U$2:$U$1001,0),1)&gt;=100000,INDEX($AB$1005:$AQ$1005,1,MATCH(COLUMNS($AB$1006:AQ1006),$AB$1006:$AQ$1006,0))&gt;=100000), " ",IF(INDEX($AB$2:$AQ$1001,MATCH(ROWS($U$2:U579),$U$2:$U$1001,0),MATCH(COLUMNS($AB$1006:AQ1006),$AB$1006:$AQ$1006,0)), HYPERLINK("#",""), HYPERLINK(CONCATENATE("#Metadata!", ADDRESS(INDEX($W$2:$W$1001,MATCH(ROWS($U$2:U579),$U$2:$U$1001,0),0), INDEX($AB$1004:$AQ$1004,1,MATCH(COLUMNS($AB$1006:AQ1006),$AB$1006:$AQ$1006,0)))),"Fix")))</f>
        <v>0</v>
      </c>
      <c r="U579">
        <v>0</v>
      </c>
      <c r="V579">
        <v>0</v>
      </c>
      <c r="W579">
        <v>0</v>
      </c>
      <c r="X579">
        <f>IF(Y579,TRUE,AND(AB579:AQ579))</f>
        <v>0</v>
      </c>
      <c r="Y579">
        <f>COUNTBLANK(Metadata!B579:Q579)=COLUMNS(Metadata!B579:Q579)</f>
        <v>0</v>
      </c>
      <c r="Z579">
        <v>0</v>
      </c>
      <c r="AB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AC579">
        <f>AND(IF(Metadata!C579="",FALSE,TRUE),exact(Metadata!C579,"urban biome"))</f>
        <v>0</v>
      </c>
      <c r="AD579">
        <f>AND(IF(Metadata!D579="",FALSE,TRUE),exact(Metadata!D579,"human-associated habitat"))</f>
        <v>0</v>
      </c>
      <c r="AE579">
        <f>AND(IF(Metadata!E579="",FALSE,TRUE),OR(exact(Metadata!E579,"human-associated"),exact(Metadata!E579,"human-skin"),exact(Metadata!E579,"human-oral"),exact(Metadata!E579,"human-gut"),exact(Metadata!E579,"human-vaginal")))</f>
        <v>0</v>
      </c>
      <c r="AF579">
        <f>AND(IF(Metadata!F579="",FALSE,ISNUMBER(VALUE(Metadata!F579))),Metadata!F579&gt;0)</f>
        <v>0</v>
      </c>
      <c r="AG579">
        <f>AND(IF(Metadata!G579="",FALSE,TRUE),exact(Metadata!G579,"years"))</f>
        <v>0</v>
      </c>
      <c r="AH579">
        <f>OR(AND(IF(Metadata!H579="",FALSE,TRUE),OR(exact(Metadata!H579,"not applicable"),exact(Metadata!H579,"not collected"),exact(Metadata!H579,"not provided"),exact(Metadata!H579,"restricted access"))),AND(IF(Metadata!H579="",FALSE,ISNUMBER(VALUE(Metadata!H579))),Metadata!H579&gt;0))</f>
        <v>0</v>
      </c>
      <c r="AI579">
        <f>AND(IF(Metadata!I579="",FALSE,TRUE),exact(Metadata!I579,"human"))</f>
        <v>0</v>
      </c>
      <c r="AJ579">
        <f>AND(IF(Metadata!J579="",FALSE,ISNUMBER(VALUE(Metadata!J579))),Metadata!J579&gt;0)</f>
        <v>0</v>
      </c>
      <c r="AK579">
        <f>AND(IF(Metadata!K579="",FALSE,TRUE),exact(Metadata!K579,"cm"))</f>
        <v>0</v>
      </c>
      <c r="AL579">
        <f>AND(IF(Metadata!L579="",FALSE,TRUE),exact(Metadata!L579,"Homo sapiens"))</f>
        <v>0</v>
      </c>
      <c r="AM579">
        <f>AND(IF(Metadata!M579="",FALSE,TRUE),exact(Metadata!M579,"9606"))</f>
        <v>0</v>
      </c>
      <c r="AN579">
        <f>AND(IF(Metadata!N579="",FALSE,ISNUMBER(VALUE(Metadata!N579))),Metadata!N579&gt;0)</f>
        <v>0</v>
      </c>
      <c r="AO579">
        <f>AND(IF(Metadata!O579="",FALSE,TRUE),exact(Metadata!O579,"kg"))</f>
        <v>0</v>
      </c>
      <c r="AP579">
        <f>OR(AND(IF(Metadata!P579="",FALSE,TRUE),exact(Metadata!P579,"not provided")),IF(Metadata!P579="",FALSE,TRUE))</f>
        <v>0</v>
      </c>
      <c r="AQ579">
        <f>OR(AND(IF(Metadata!Q579="",FALSE,TRUE),exact(Metadata!Q579,"not provided")),IF(Metadata!Q579="",FALSE,TRUE))</f>
        <v>0</v>
      </c>
    </row>
    <row r="580" spans="1:43">
      <c r="A580" s="4">
        <f>IF(B580=" "," ",HYPERLINK(CONCATENATE("#metadata!",ADDRESS(INDEX($W$2:$W$1001,MATCH(ROWS($U$2:U580),$U$2:$U$1001,0),0),2)),INDEX($Z$2:$Z$1001,MATCH(ROWS($U$2:U580),$U$2:$U$1001,0),0)))</f>
        <v>0</v>
      </c>
      <c r="B580" s="5">
        <f>IF(OR(INDEX($V$2:$V$1001,MATCH(ROWS($U$2:U580),$U$2:$U$1001,0),1)&gt;=100000,INDEX($AB$1005:$AQ$1005,1,MATCH(COLUMNS($AB$1006:AB1006),$AB$1006:$AQ$1006,0))&gt;=100000), " ",IF(INDEX($AB$2:$AQ$1001,MATCH(ROWS($U$2:U580),$U$2:$U$1001,0),MATCH(COLUMNS($AB$1006:AB1006),$AB$1006:$AQ$1006,0)), HYPERLINK("#",""), HYPERLINK(CONCATENATE("#Metadata!", ADDRESS(INDEX($W$2:$W$1001,MATCH(ROWS($U$2:U580),$U$2:$U$1001,0),0), INDEX($AB$1004:$AQ$1004,1,MATCH(COLUMNS($AB$1006:AB1006),$AB$1006:$AQ$1006,0)))),"Fix")))</f>
        <v>0</v>
      </c>
      <c r="C580" s="5">
        <f>IF(OR(INDEX($V$2:$V$1001,MATCH(ROWS($U$2:U580),$U$2:$U$1001,0),1)&gt;=100000,INDEX($AB$1005:$AQ$1005,1,MATCH(COLUMNS($AB$1006:AC1006),$AB$1006:$AQ$1006,0))&gt;=100000), " ",IF(INDEX($AB$2:$AQ$1001,MATCH(ROWS($U$2:U580),$U$2:$U$1001,0),MATCH(COLUMNS($AB$1006:AC1006),$AB$1006:$AQ$1006,0)), HYPERLINK("#",""), HYPERLINK(CONCATENATE("#Metadata!", ADDRESS(INDEX($W$2:$W$1001,MATCH(ROWS($U$2:U580),$U$2:$U$1001,0),0), INDEX($AB$1004:$AQ$1004,1,MATCH(COLUMNS($AB$1006:AC1006),$AB$1006:$AQ$1006,0)))),"Fix")))</f>
        <v>0</v>
      </c>
      <c r="D580" s="5">
        <f>IF(OR(INDEX($V$2:$V$1001,MATCH(ROWS($U$2:U580),$U$2:$U$1001,0),1)&gt;=100000,INDEX($AB$1005:$AQ$1005,1,MATCH(COLUMNS($AB$1006:AD1006),$AB$1006:$AQ$1006,0))&gt;=100000), " ",IF(INDEX($AB$2:$AQ$1001,MATCH(ROWS($U$2:U580),$U$2:$U$1001,0),MATCH(COLUMNS($AB$1006:AD1006),$AB$1006:$AQ$1006,0)), HYPERLINK("#",""), HYPERLINK(CONCATENATE("#Metadata!", ADDRESS(INDEX($W$2:$W$1001,MATCH(ROWS($U$2:U580),$U$2:$U$1001,0),0), INDEX($AB$1004:$AQ$1004,1,MATCH(COLUMNS($AB$1006:AD1006),$AB$1006:$AQ$1006,0)))),"Fix")))</f>
        <v>0</v>
      </c>
      <c r="E580" s="5">
        <f>IF(OR(INDEX($V$2:$V$1001,MATCH(ROWS($U$2:U580),$U$2:$U$1001,0),1)&gt;=100000,INDEX($AB$1005:$AQ$1005,1,MATCH(COLUMNS($AB$1006:AE1006),$AB$1006:$AQ$1006,0))&gt;=100000), " ",IF(INDEX($AB$2:$AQ$1001,MATCH(ROWS($U$2:U580),$U$2:$U$1001,0),MATCH(COLUMNS($AB$1006:AE1006),$AB$1006:$AQ$1006,0)), HYPERLINK("#",""), HYPERLINK(CONCATENATE("#Metadata!", ADDRESS(INDEX($W$2:$W$1001,MATCH(ROWS($U$2:U580),$U$2:$U$1001,0),0), INDEX($AB$1004:$AQ$1004,1,MATCH(COLUMNS($AB$1006:AE1006),$AB$1006:$AQ$1006,0)))),"Fix")))</f>
        <v>0</v>
      </c>
      <c r="F580" s="5">
        <f>IF(OR(INDEX($V$2:$V$1001,MATCH(ROWS($U$2:U580),$U$2:$U$1001,0),1)&gt;=100000,INDEX($AB$1005:$AQ$1005,1,MATCH(COLUMNS($AB$1006:AF1006),$AB$1006:$AQ$1006,0))&gt;=100000), " ",IF(INDEX($AB$2:$AQ$1001,MATCH(ROWS($U$2:U580),$U$2:$U$1001,0),MATCH(COLUMNS($AB$1006:AF1006),$AB$1006:$AQ$1006,0)), HYPERLINK("#",""), HYPERLINK(CONCATENATE("#Metadata!", ADDRESS(INDEX($W$2:$W$1001,MATCH(ROWS($U$2:U580),$U$2:$U$1001,0),0), INDEX($AB$1004:$AQ$1004,1,MATCH(COLUMNS($AB$1006:AF1006),$AB$1006:$AQ$1006,0)))),"Fix")))</f>
        <v>0</v>
      </c>
      <c r="G580" s="5">
        <f>IF(OR(INDEX($V$2:$V$1001,MATCH(ROWS($U$2:U580),$U$2:$U$1001,0),1)&gt;=100000,INDEX($AB$1005:$AQ$1005,1,MATCH(COLUMNS($AB$1006:AG1006),$AB$1006:$AQ$1006,0))&gt;=100000), " ",IF(INDEX($AB$2:$AQ$1001,MATCH(ROWS($U$2:U580),$U$2:$U$1001,0),MATCH(COLUMNS($AB$1006:AG1006),$AB$1006:$AQ$1006,0)), HYPERLINK("#",""), HYPERLINK(CONCATENATE("#Metadata!", ADDRESS(INDEX($W$2:$W$1001,MATCH(ROWS($U$2:U580),$U$2:$U$1001,0),0), INDEX($AB$1004:$AQ$1004,1,MATCH(COLUMNS($AB$1006:AG1006),$AB$1006:$AQ$1006,0)))),"Fix")))</f>
        <v>0</v>
      </c>
      <c r="H580" s="5">
        <f>IF(OR(INDEX($V$2:$V$1001,MATCH(ROWS($U$2:U580),$U$2:$U$1001,0),1)&gt;=100000,INDEX($AB$1005:$AQ$1005,1,MATCH(COLUMNS($AB$1006:AH1006),$AB$1006:$AQ$1006,0))&gt;=100000), " ",IF(INDEX($AB$2:$AQ$1001,MATCH(ROWS($U$2:U580),$U$2:$U$1001,0),MATCH(COLUMNS($AB$1006:AH1006),$AB$1006:$AQ$1006,0)), HYPERLINK("#",""), HYPERLINK(CONCATENATE("#Metadata!", ADDRESS(INDEX($W$2:$W$1001,MATCH(ROWS($U$2:U580),$U$2:$U$1001,0),0), INDEX($AB$1004:$AQ$1004,1,MATCH(COLUMNS($AB$1006:AH1006),$AB$1006:$AQ$1006,0)))),"Fix")))</f>
        <v>0</v>
      </c>
      <c r="I580" s="5">
        <f>IF(OR(INDEX($V$2:$V$1001,MATCH(ROWS($U$2:U580),$U$2:$U$1001,0),1)&gt;=100000,INDEX($AB$1005:$AQ$1005,1,MATCH(COLUMNS($AB$1006:AI1006),$AB$1006:$AQ$1006,0))&gt;=100000), " ",IF(INDEX($AB$2:$AQ$1001,MATCH(ROWS($U$2:U580),$U$2:$U$1001,0),MATCH(COLUMNS($AB$1006:AI1006),$AB$1006:$AQ$1006,0)), HYPERLINK("#",""), HYPERLINK(CONCATENATE("#Metadata!", ADDRESS(INDEX($W$2:$W$1001,MATCH(ROWS($U$2:U580),$U$2:$U$1001,0),0), INDEX($AB$1004:$AQ$1004,1,MATCH(COLUMNS($AB$1006:AI1006),$AB$1006:$AQ$1006,0)))),"Fix")))</f>
        <v>0</v>
      </c>
      <c r="J580" s="5">
        <f>IF(OR(INDEX($V$2:$V$1001,MATCH(ROWS($U$2:U580),$U$2:$U$1001,0),1)&gt;=100000,INDEX($AB$1005:$AQ$1005,1,MATCH(COLUMNS($AB$1006:AJ1006),$AB$1006:$AQ$1006,0))&gt;=100000), " ",IF(INDEX($AB$2:$AQ$1001,MATCH(ROWS($U$2:U580),$U$2:$U$1001,0),MATCH(COLUMNS($AB$1006:AJ1006),$AB$1006:$AQ$1006,0)), HYPERLINK("#",""), HYPERLINK(CONCATENATE("#Metadata!", ADDRESS(INDEX($W$2:$W$1001,MATCH(ROWS($U$2:U580),$U$2:$U$1001,0),0), INDEX($AB$1004:$AQ$1004,1,MATCH(COLUMNS($AB$1006:AJ1006),$AB$1006:$AQ$1006,0)))),"Fix")))</f>
        <v>0</v>
      </c>
      <c r="K580" s="5">
        <f>IF(OR(INDEX($V$2:$V$1001,MATCH(ROWS($U$2:U580),$U$2:$U$1001,0),1)&gt;=100000,INDEX($AB$1005:$AQ$1005,1,MATCH(COLUMNS($AB$1006:AK1006),$AB$1006:$AQ$1006,0))&gt;=100000), " ",IF(INDEX($AB$2:$AQ$1001,MATCH(ROWS($U$2:U580),$U$2:$U$1001,0),MATCH(COLUMNS($AB$1006:AK1006),$AB$1006:$AQ$1006,0)), HYPERLINK("#",""), HYPERLINK(CONCATENATE("#Metadata!", ADDRESS(INDEX($W$2:$W$1001,MATCH(ROWS($U$2:U580),$U$2:$U$1001,0),0), INDEX($AB$1004:$AQ$1004,1,MATCH(COLUMNS($AB$1006:AK1006),$AB$1006:$AQ$1006,0)))),"Fix")))</f>
        <v>0</v>
      </c>
      <c r="L580" s="5">
        <f>IF(OR(INDEX($V$2:$V$1001,MATCH(ROWS($U$2:U580),$U$2:$U$1001,0),1)&gt;=100000,INDEX($AB$1005:$AQ$1005,1,MATCH(COLUMNS($AB$1006:AL1006),$AB$1006:$AQ$1006,0))&gt;=100000), " ",IF(INDEX($AB$2:$AQ$1001,MATCH(ROWS($U$2:U580),$U$2:$U$1001,0),MATCH(COLUMNS($AB$1006:AL1006),$AB$1006:$AQ$1006,0)), HYPERLINK("#",""), HYPERLINK(CONCATENATE("#Metadata!", ADDRESS(INDEX($W$2:$W$1001,MATCH(ROWS($U$2:U580),$U$2:$U$1001,0),0), INDEX($AB$1004:$AQ$1004,1,MATCH(COLUMNS($AB$1006:AL1006),$AB$1006:$AQ$1006,0)))),"Fix")))</f>
        <v>0</v>
      </c>
      <c r="M580" s="5">
        <f>IF(OR(INDEX($V$2:$V$1001,MATCH(ROWS($U$2:U580),$U$2:$U$1001,0),1)&gt;=100000,INDEX($AB$1005:$AQ$1005,1,MATCH(COLUMNS($AB$1006:AM1006),$AB$1006:$AQ$1006,0))&gt;=100000), " ",IF(INDEX($AB$2:$AQ$1001,MATCH(ROWS($U$2:U580),$U$2:$U$1001,0),MATCH(COLUMNS($AB$1006:AM1006),$AB$1006:$AQ$1006,0)), HYPERLINK("#",""), HYPERLINK(CONCATENATE("#Metadata!", ADDRESS(INDEX($W$2:$W$1001,MATCH(ROWS($U$2:U580),$U$2:$U$1001,0),0), INDEX($AB$1004:$AQ$1004,1,MATCH(COLUMNS($AB$1006:AM1006),$AB$1006:$AQ$1006,0)))),"Fix")))</f>
        <v>0</v>
      </c>
      <c r="N580" s="5">
        <f>IF(OR(INDEX($V$2:$V$1001,MATCH(ROWS($U$2:U580),$U$2:$U$1001,0),1)&gt;=100000,INDEX($AB$1005:$AQ$1005,1,MATCH(COLUMNS($AB$1006:AN1006),$AB$1006:$AQ$1006,0))&gt;=100000), " ",IF(INDEX($AB$2:$AQ$1001,MATCH(ROWS($U$2:U580),$U$2:$U$1001,0),MATCH(COLUMNS($AB$1006:AN1006),$AB$1006:$AQ$1006,0)), HYPERLINK("#",""), HYPERLINK(CONCATENATE("#Metadata!", ADDRESS(INDEX($W$2:$W$1001,MATCH(ROWS($U$2:U580),$U$2:$U$1001,0),0), INDEX($AB$1004:$AQ$1004,1,MATCH(COLUMNS($AB$1006:AN1006),$AB$1006:$AQ$1006,0)))),"Fix")))</f>
        <v>0</v>
      </c>
      <c r="O580" s="5">
        <f>IF(OR(INDEX($V$2:$V$1001,MATCH(ROWS($U$2:U580),$U$2:$U$1001,0),1)&gt;=100000,INDEX($AB$1005:$AQ$1005,1,MATCH(COLUMNS($AB$1006:AO1006),$AB$1006:$AQ$1006,0))&gt;=100000), " ",IF(INDEX($AB$2:$AQ$1001,MATCH(ROWS($U$2:U580),$U$2:$U$1001,0),MATCH(COLUMNS($AB$1006:AO1006),$AB$1006:$AQ$1006,0)), HYPERLINK("#",""), HYPERLINK(CONCATENATE("#Metadata!", ADDRESS(INDEX($W$2:$W$1001,MATCH(ROWS($U$2:U580),$U$2:$U$1001,0),0), INDEX($AB$1004:$AQ$1004,1,MATCH(COLUMNS($AB$1006:AO1006),$AB$1006:$AQ$1006,0)))),"Fix")))</f>
        <v>0</v>
      </c>
      <c r="P580" s="5">
        <f>IF(OR(INDEX($V$2:$V$1001,MATCH(ROWS($U$2:U580),$U$2:$U$1001,0),1)&gt;=100000,INDEX($AB$1005:$AQ$1005,1,MATCH(COLUMNS($AB$1006:AP1006),$AB$1006:$AQ$1006,0))&gt;=100000), " ",IF(INDEX($AB$2:$AQ$1001,MATCH(ROWS($U$2:U580),$U$2:$U$1001,0),MATCH(COLUMNS($AB$1006:AP1006),$AB$1006:$AQ$1006,0)), HYPERLINK("#",""), HYPERLINK(CONCATENATE("#Metadata!", ADDRESS(INDEX($W$2:$W$1001,MATCH(ROWS($U$2:U580),$U$2:$U$1001,0),0), INDEX($AB$1004:$AQ$1004,1,MATCH(COLUMNS($AB$1006:AP1006),$AB$1006:$AQ$1006,0)))),"Fix")))</f>
        <v>0</v>
      </c>
      <c r="Q580" s="5">
        <f>IF(OR(INDEX($V$2:$V$1001,MATCH(ROWS($U$2:U580),$U$2:$U$1001,0),1)&gt;=100000,INDEX($AB$1005:$AQ$1005,1,MATCH(COLUMNS($AB$1006:AQ1006),$AB$1006:$AQ$1006,0))&gt;=100000), " ",IF(INDEX($AB$2:$AQ$1001,MATCH(ROWS($U$2:U580),$U$2:$U$1001,0),MATCH(COLUMNS($AB$1006:AQ1006),$AB$1006:$AQ$1006,0)), HYPERLINK("#",""), HYPERLINK(CONCATENATE("#Metadata!", ADDRESS(INDEX($W$2:$W$1001,MATCH(ROWS($U$2:U580),$U$2:$U$1001,0),0), INDEX($AB$1004:$AQ$1004,1,MATCH(COLUMNS($AB$1006:AQ1006),$AB$1006:$AQ$1006,0)))),"Fix")))</f>
        <v>0</v>
      </c>
      <c r="U580">
        <v>0</v>
      </c>
      <c r="V580">
        <v>0</v>
      </c>
      <c r="W580">
        <v>0</v>
      </c>
      <c r="X580">
        <f>IF(Y580,TRUE,AND(AB580:AQ580))</f>
        <v>0</v>
      </c>
      <c r="Y580">
        <f>COUNTBLANK(Metadata!B580:Q580)=COLUMNS(Metadata!B580:Q580)</f>
        <v>0</v>
      </c>
      <c r="Z580">
        <v>0</v>
      </c>
      <c r="AB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AC580">
        <f>AND(IF(Metadata!C580="",FALSE,TRUE),exact(Metadata!C580,"urban biome"))</f>
        <v>0</v>
      </c>
      <c r="AD580">
        <f>AND(IF(Metadata!D580="",FALSE,TRUE),exact(Metadata!D580,"human-associated habitat"))</f>
        <v>0</v>
      </c>
      <c r="AE580">
        <f>AND(IF(Metadata!E580="",FALSE,TRUE),OR(exact(Metadata!E580,"human-associated"),exact(Metadata!E580,"human-skin"),exact(Metadata!E580,"human-oral"),exact(Metadata!E580,"human-gut"),exact(Metadata!E580,"human-vaginal")))</f>
        <v>0</v>
      </c>
      <c r="AF580">
        <f>AND(IF(Metadata!F580="",FALSE,ISNUMBER(VALUE(Metadata!F580))),Metadata!F580&gt;0)</f>
        <v>0</v>
      </c>
      <c r="AG580">
        <f>AND(IF(Metadata!G580="",FALSE,TRUE),exact(Metadata!G580,"years"))</f>
        <v>0</v>
      </c>
      <c r="AH580">
        <f>OR(AND(IF(Metadata!H580="",FALSE,TRUE),OR(exact(Metadata!H580,"not applicable"),exact(Metadata!H580,"not collected"),exact(Metadata!H580,"not provided"),exact(Metadata!H580,"restricted access"))),AND(IF(Metadata!H580="",FALSE,ISNUMBER(VALUE(Metadata!H580))),Metadata!H580&gt;0))</f>
        <v>0</v>
      </c>
      <c r="AI580">
        <f>AND(IF(Metadata!I580="",FALSE,TRUE),exact(Metadata!I580,"human"))</f>
        <v>0</v>
      </c>
      <c r="AJ580">
        <f>AND(IF(Metadata!J580="",FALSE,ISNUMBER(VALUE(Metadata!J580))),Metadata!J580&gt;0)</f>
        <v>0</v>
      </c>
      <c r="AK580">
        <f>AND(IF(Metadata!K580="",FALSE,TRUE),exact(Metadata!K580,"cm"))</f>
        <v>0</v>
      </c>
      <c r="AL580">
        <f>AND(IF(Metadata!L580="",FALSE,TRUE),exact(Metadata!L580,"Homo sapiens"))</f>
        <v>0</v>
      </c>
      <c r="AM580">
        <f>AND(IF(Metadata!M580="",FALSE,TRUE),exact(Metadata!M580,"9606"))</f>
        <v>0</v>
      </c>
      <c r="AN580">
        <f>AND(IF(Metadata!N580="",FALSE,ISNUMBER(VALUE(Metadata!N580))),Metadata!N580&gt;0)</f>
        <v>0</v>
      </c>
      <c r="AO580">
        <f>AND(IF(Metadata!O580="",FALSE,TRUE),exact(Metadata!O580,"kg"))</f>
        <v>0</v>
      </c>
      <c r="AP580">
        <f>OR(AND(IF(Metadata!P580="",FALSE,TRUE),exact(Metadata!P580,"not provided")),IF(Metadata!P580="",FALSE,TRUE))</f>
        <v>0</v>
      </c>
      <c r="AQ580">
        <f>OR(AND(IF(Metadata!Q580="",FALSE,TRUE),exact(Metadata!Q580,"not provided")),IF(Metadata!Q580="",FALSE,TRUE))</f>
        <v>0</v>
      </c>
    </row>
    <row r="581" spans="1:43">
      <c r="A581" s="4">
        <f>IF(B581=" "," ",HYPERLINK(CONCATENATE("#metadata!",ADDRESS(INDEX($W$2:$W$1001,MATCH(ROWS($U$2:U581),$U$2:$U$1001,0),0),2)),INDEX($Z$2:$Z$1001,MATCH(ROWS($U$2:U581),$U$2:$U$1001,0),0)))</f>
        <v>0</v>
      </c>
      <c r="B581" s="5">
        <f>IF(OR(INDEX($V$2:$V$1001,MATCH(ROWS($U$2:U581),$U$2:$U$1001,0),1)&gt;=100000,INDEX($AB$1005:$AQ$1005,1,MATCH(COLUMNS($AB$1006:AB1006),$AB$1006:$AQ$1006,0))&gt;=100000), " ",IF(INDEX($AB$2:$AQ$1001,MATCH(ROWS($U$2:U581),$U$2:$U$1001,0),MATCH(COLUMNS($AB$1006:AB1006),$AB$1006:$AQ$1006,0)), HYPERLINK("#",""), HYPERLINK(CONCATENATE("#Metadata!", ADDRESS(INDEX($W$2:$W$1001,MATCH(ROWS($U$2:U581),$U$2:$U$1001,0),0), INDEX($AB$1004:$AQ$1004,1,MATCH(COLUMNS($AB$1006:AB1006),$AB$1006:$AQ$1006,0)))),"Fix")))</f>
        <v>0</v>
      </c>
      <c r="C581" s="5">
        <f>IF(OR(INDEX($V$2:$V$1001,MATCH(ROWS($U$2:U581),$U$2:$U$1001,0),1)&gt;=100000,INDEX($AB$1005:$AQ$1005,1,MATCH(COLUMNS($AB$1006:AC1006),$AB$1006:$AQ$1006,0))&gt;=100000), " ",IF(INDEX($AB$2:$AQ$1001,MATCH(ROWS($U$2:U581),$U$2:$U$1001,0),MATCH(COLUMNS($AB$1006:AC1006),$AB$1006:$AQ$1006,0)), HYPERLINK("#",""), HYPERLINK(CONCATENATE("#Metadata!", ADDRESS(INDEX($W$2:$W$1001,MATCH(ROWS($U$2:U581),$U$2:$U$1001,0),0), INDEX($AB$1004:$AQ$1004,1,MATCH(COLUMNS($AB$1006:AC1006),$AB$1006:$AQ$1006,0)))),"Fix")))</f>
        <v>0</v>
      </c>
      <c r="D581" s="5">
        <f>IF(OR(INDEX($V$2:$V$1001,MATCH(ROWS($U$2:U581),$U$2:$U$1001,0),1)&gt;=100000,INDEX($AB$1005:$AQ$1005,1,MATCH(COLUMNS($AB$1006:AD1006),$AB$1006:$AQ$1006,0))&gt;=100000), " ",IF(INDEX($AB$2:$AQ$1001,MATCH(ROWS($U$2:U581),$U$2:$U$1001,0),MATCH(COLUMNS($AB$1006:AD1006),$AB$1006:$AQ$1006,0)), HYPERLINK("#",""), HYPERLINK(CONCATENATE("#Metadata!", ADDRESS(INDEX($W$2:$W$1001,MATCH(ROWS($U$2:U581),$U$2:$U$1001,0),0), INDEX($AB$1004:$AQ$1004,1,MATCH(COLUMNS($AB$1006:AD1006),$AB$1006:$AQ$1006,0)))),"Fix")))</f>
        <v>0</v>
      </c>
      <c r="E581" s="5">
        <f>IF(OR(INDEX($V$2:$V$1001,MATCH(ROWS($U$2:U581),$U$2:$U$1001,0),1)&gt;=100000,INDEX($AB$1005:$AQ$1005,1,MATCH(COLUMNS($AB$1006:AE1006),$AB$1006:$AQ$1006,0))&gt;=100000), " ",IF(INDEX($AB$2:$AQ$1001,MATCH(ROWS($U$2:U581),$U$2:$U$1001,0),MATCH(COLUMNS($AB$1006:AE1006),$AB$1006:$AQ$1006,0)), HYPERLINK("#",""), HYPERLINK(CONCATENATE("#Metadata!", ADDRESS(INDEX($W$2:$W$1001,MATCH(ROWS($U$2:U581),$U$2:$U$1001,0),0), INDEX($AB$1004:$AQ$1004,1,MATCH(COLUMNS($AB$1006:AE1006),$AB$1006:$AQ$1006,0)))),"Fix")))</f>
        <v>0</v>
      </c>
      <c r="F581" s="5">
        <f>IF(OR(INDEX($V$2:$V$1001,MATCH(ROWS($U$2:U581),$U$2:$U$1001,0),1)&gt;=100000,INDEX($AB$1005:$AQ$1005,1,MATCH(COLUMNS($AB$1006:AF1006),$AB$1006:$AQ$1006,0))&gt;=100000), " ",IF(INDEX($AB$2:$AQ$1001,MATCH(ROWS($U$2:U581),$U$2:$U$1001,0),MATCH(COLUMNS($AB$1006:AF1006),$AB$1006:$AQ$1006,0)), HYPERLINK("#",""), HYPERLINK(CONCATENATE("#Metadata!", ADDRESS(INDEX($W$2:$W$1001,MATCH(ROWS($U$2:U581),$U$2:$U$1001,0),0), INDEX($AB$1004:$AQ$1004,1,MATCH(COLUMNS($AB$1006:AF1006),$AB$1006:$AQ$1006,0)))),"Fix")))</f>
        <v>0</v>
      </c>
      <c r="G581" s="5">
        <f>IF(OR(INDEX($V$2:$V$1001,MATCH(ROWS($U$2:U581),$U$2:$U$1001,0),1)&gt;=100000,INDEX($AB$1005:$AQ$1005,1,MATCH(COLUMNS($AB$1006:AG1006),$AB$1006:$AQ$1006,0))&gt;=100000), " ",IF(INDEX($AB$2:$AQ$1001,MATCH(ROWS($U$2:U581),$U$2:$U$1001,0),MATCH(COLUMNS($AB$1006:AG1006),$AB$1006:$AQ$1006,0)), HYPERLINK("#",""), HYPERLINK(CONCATENATE("#Metadata!", ADDRESS(INDEX($W$2:$W$1001,MATCH(ROWS($U$2:U581),$U$2:$U$1001,0),0), INDEX($AB$1004:$AQ$1004,1,MATCH(COLUMNS($AB$1006:AG1006),$AB$1006:$AQ$1006,0)))),"Fix")))</f>
        <v>0</v>
      </c>
      <c r="H581" s="5">
        <f>IF(OR(INDEX($V$2:$V$1001,MATCH(ROWS($U$2:U581),$U$2:$U$1001,0),1)&gt;=100000,INDEX($AB$1005:$AQ$1005,1,MATCH(COLUMNS($AB$1006:AH1006),$AB$1006:$AQ$1006,0))&gt;=100000), " ",IF(INDEX($AB$2:$AQ$1001,MATCH(ROWS($U$2:U581),$U$2:$U$1001,0),MATCH(COLUMNS($AB$1006:AH1006),$AB$1006:$AQ$1006,0)), HYPERLINK("#",""), HYPERLINK(CONCATENATE("#Metadata!", ADDRESS(INDEX($W$2:$W$1001,MATCH(ROWS($U$2:U581),$U$2:$U$1001,0),0), INDEX($AB$1004:$AQ$1004,1,MATCH(COLUMNS($AB$1006:AH1006),$AB$1006:$AQ$1006,0)))),"Fix")))</f>
        <v>0</v>
      </c>
      <c r="I581" s="5">
        <f>IF(OR(INDEX($V$2:$V$1001,MATCH(ROWS($U$2:U581),$U$2:$U$1001,0),1)&gt;=100000,INDEX($AB$1005:$AQ$1005,1,MATCH(COLUMNS($AB$1006:AI1006),$AB$1006:$AQ$1006,0))&gt;=100000), " ",IF(INDEX($AB$2:$AQ$1001,MATCH(ROWS($U$2:U581),$U$2:$U$1001,0),MATCH(COLUMNS($AB$1006:AI1006),$AB$1006:$AQ$1006,0)), HYPERLINK("#",""), HYPERLINK(CONCATENATE("#Metadata!", ADDRESS(INDEX($W$2:$W$1001,MATCH(ROWS($U$2:U581),$U$2:$U$1001,0),0), INDEX($AB$1004:$AQ$1004,1,MATCH(COLUMNS($AB$1006:AI1006),$AB$1006:$AQ$1006,0)))),"Fix")))</f>
        <v>0</v>
      </c>
      <c r="J581" s="5">
        <f>IF(OR(INDEX($V$2:$V$1001,MATCH(ROWS($U$2:U581),$U$2:$U$1001,0),1)&gt;=100000,INDEX($AB$1005:$AQ$1005,1,MATCH(COLUMNS($AB$1006:AJ1006),$AB$1006:$AQ$1006,0))&gt;=100000), " ",IF(INDEX($AB$2:$AQ$1001,MATCH(ROWS($U$2:U581),$U$2:$U$1001,0),MATCH(COLUMNS($AB$1006:AJ1006),$AB$1006:$AQ$1006,0)), HYPERLINK("#",""), HYPERLINK(CONCATENATE("#Metadata!", ADDRESS(INDEX($W$2:$W$1001,MATCH(ROWS($U$2:U581),$U$2:$U$1001,0),0), INDEX($AB$1004:$AQ$1004,1,MATCH(COLUMNS($AB$1006:AJ1006),$AB$1006:$AQ$1006,0)))),"Fix")))</f>
        <v>0</v>
      </c>
      <c r="K581" s="5">
        <f>IF(OR(INDEX($V$2:$V$1001,MATCH(ROWS($U$2:U581),$U$2:$U$1001,0),1)&gt;=100000,INDEX($AB$1005:$AQ$1005,1,MATCH(COLUMNS($AB$1006:AK1006),$AB$1006:$AQ$1006,0))&gt;=100000), " ",IF(INDEX($AB$2:$AQ$1001,MATCH(ROWS($U$2:U581),$U$2:$U$1001,0),MATCH(COLUMNS($AB$1006:AK1006),$AB$1006:$AQ$1006,0)), HYPERLINK("#",""), HYPERLINK(CONCATENATE("#Metadata!", ADDRESS(INDEX($W$2:$W$1001,MATCH(ROWS($U$2:U581),$U$2:$U$1001,0),0), INDEX($AB$1004:$AQ$1004,1,MATCH(COLUMNS($AB$1006:AK1006),$AB$1006:$AQ$1006,0)))),"Fix")))</f>
        <v>0</v>
      </c>
      <c r="L581" s="5">
        <f>IF(OR(INDEX($V$2:$V$1001,MATCH(ROWS($U$2:U581),$U$2:$U$1001,0),1)&gt;=100000,INDEX($AB$1005:$AQ$1005,1,MATCH(COLUMNS($AB$1006:AL1006),$AB$1006:$AQ$1006,0))&gt;=100000), " ",IF(INDEX($AB$2:$AQ$1001,MATCH(ROWS($U$2:U581),$U$2:$U$1001,0),MATCH(COLUMNS($AB$1006:AL1006),$AB$1006:$AQ$1006,0)), HYPERLINK("#",""), HYPERLINK(CONCATENATE("#Metadata!", ADDRESS(INDEX($W$2:$W$1001,MATCH(ROWS($U$2:U581),$U$2:$U$1001,0),0), INDEX($AB$1004:$AQ$1004,1,MATCH(COLUMNS($AB$1006:AL1006),$AB$1006:$AQ$1006,0)))),"Fix")))</f>
        <v>0</v>
      </c>
      <c r="M581" s="5">
        <f>IF(OR(INDEX($V$2:$V$1001,MATCH(ROWS($U$2:U581),$U$2:$U$1001,0),1)&gt;=100000,INDEX($AB$1005:$AQ$1005,1,MATCH(COLUMNS($AB$1006:AM1006),$AB$1006:$AQ$1006,0))&gt;=100000), " ",IF(INDEX($AB$2:$AQ$1001,MATCH(ROWS($U$2:U581),$U$2:$U$1001,0),MATCH(COLUMNS($AB$1006:AM1006),$AB$1006:$AQ$1006,0)), HYPERLINK("#",""), HYPERLINK(CONCATENATE("#Metadata!", ADDRESS(INDEX($W$2:$W$1001,MATCH(ROWS($U$2:U581),$U$2:$U$1001,0),0), INDEX($AB$1004:$AQ$1004,1,MATCH(COLUMNS($AB$1006:AM1006),$AB$1006:$AQ$1006,0)))),"Fix")))</f>
        <v>0</v>
      </c>
      <c r="N581" s="5">
        <f>IF(OR(INDEX($V$2:$V$1001,MATCH(ROWS($U$2:U581),$U$2:$U$1001,0),1)&gt;=100000,INDEX($AB$1005:$AQ$1005,1,MATCH(COLUMNS($AB$1006:AN1006),$AB$1006:$AQ$1006,0))&gt;=100000), " ",IF(INDEX($AB$2:$AQ$1001,MATCH(ROWS($U$2:U581),$U$2:$U$1001,0),MATCH(COLUMNS($AB$1006:AN1006),$AB$1006:$AQ$1006,0)), HYPERLINK("#",""), HYPERLINK(CONCATENATE("#Metadata!", ADDRESS(INDEX($W$2:$W$1001,MATCH(ROWS($U$2:U581),$U$2:$U$1001,0),0), INDEX($AB$1004:$AQ$1004,1,MATCH(COLUMNS($AB$1006:AN1006),$AB$1006:$AQ$1006,0)))),"Fix")))</f>
        <v>0</v>
      </c>
      <c r="O581" s="5">
        <f>IF(OR(INDEX($V$2:$V$1001,MATCH(ROWS($U$2:U581),$U$2:$U$1001,0),1)&gt;=100000,INDEX($AB$1005:$AQ$1005,1,MATCH(COLUMNS($AB$1006:AO1006),$AB$1006:$AQ$1006,0))&gt;=100000), " ",IF(INDEX($AB$2:$AQ$1001,MATCH(ROWS($U$2:U581),$U$2:$U$1001,0),MATCH(COLUMNS($AB$1006:AO1006),$AB$1006:$AQ$1006,0)), HYPERLINK("#",""), HYPERLINK(CONCATENATE("#Metadata!", ADDRESS(INDEX($W$2:$W$1001,MATCH(ROWS($U$2:U581),$U$2:$U$1001,0),0), INDEX($AB$1004:$AQ$1004,1,MATCH(COLUMNS($AB$1006:AO1006),$AB$1006:$AQ$1006,0)))),"Fix")))</f>
        <v>0</v>
      </c>
      <c r="P581" s="5">
        <f>IF(OR(INDEX($V$2:$V$1001,MATCH(ROWS($U$2:U581),$U$2:$U$1001,0),1)&gt;=100000,INDEX($AB$1005:$AQ$1005,1,MATCH(COLUMNS($AB$1006:AP1006),$AB$1006:$AQ$1006,0))&gt;=100000), " ",IF(INDEX($AB$2:$AQ$1001,MATCH(ROWS($U$2:U581),$U$2:$U$1001,0),MATCH(COLUMNS($AB$1006:AP1006),$AB$1006:$AQ$1006,0)), HYPERLINK("#",""), HYPERLINK(CONCATENATE("#Metadata!", ADDRESS(INDEX($W$2:$W$1001,MATCH(ROWS($U$2:U581),$U$2:$U$1001,0),0), INDEX($AB$1004:$AQ$1004,1,MATCH(COLUMNS($AB$1006:AP1006),$AB$1006:$AQ$1006,0)))),"Fix")))</f>
        <v>0</v>
      </c>
      <c r="Q581" s="5">
        <f>IF(OR(INDEX($V$2:$V$1001,MATCH(ROWS($U$2:U581),$U$2:$U$1001,0),1)&gt;=100000,INDEX($AB$1005:$AQ$1005,1,MATCH(COLUMNS($AB$1006:AQ1006),$AB$1006:$AQ$1006,0))&gt;=100000), " ",IF(INDEX($AB$2:$AQ$1001,MATCH(ROWS($U$2:U581),$U$2:$U$1001,0),MATCH(COLUMNS($AB$1006:AQ1006),$AB$1006:$AQ$1006,0)), HYPERLINK("#",""), HYPERLINK(CONCATENATE("#Metadata!", ADDRESS(INDEX($W$2:$W$1001,MATCH(ROWS($U$2:U581),$U$2:$U$1001,0),0), INDEX($AB$1004:$AQ$1004,1,MATCH(COLUMNS($AB$1006:AQ1006),$AB$1006:$AQ$1006,0)))),"Fix")))</f>
        <v>0</v>
      </c>
      <c r="U581">
        <v>0</v>
      </c>
      <c r="V581">
        <v>0</v>
      </c>
      <c r="W581">
        <v>0</v>
      </c>
      <c r="X581">
        <f>IF(Y581,TRUE,AND(AB581:AQ581))</f>
        <v>0</v>
      </c>
      <c r="Y581">
        <f>COUNTBLANK(Metadata!B581:Q581)=COLUMNS(Metadata!B581:Q581)</f>
        <v>0</v>
      </c>
      <c r="Z581">
        <v>0</v>
      </c>
      <c r="AB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AC581">
        <f>AND(IF(Metadata!C581="",FALSE,TRUE),exact(Metadata!C581,"urban biome"))</f>
        <v>0</v>
      </c>
      <c r="AD581">
        <f>AND(IF(Metadata!D581="",FALSE,TRUE),exact(Metadata!D581,"human-associated habitat"))</f>
        <v>0</v>
      </c>
      <c r="AE581">
        <f>AND(IF(Metadata!E581="",FALSE,TRUE),OR(exact(Metadata!E581,"human-associated"),exact(Metadata!E581,"human-skin"),exact(Metadata!E581,"human-oral"),exact(Metadata!E581,"human-gut"),exact(Metadata!E581,"human-vaginal")))</f>
        <v>0</v>
      </c>
      <c r="AF581">
        <f>AND(IF(Metadata!F581="",FALSE,ISNUMBER(VALUE(Metadata!F581))),Metadata!F581&gt;0)</f>
        <v>0</v>
      </c>
      <c r="AG581">
        <f>AND(IF(Metadata!G581="",FALSE,TRUE),exact(Metadata!G581,"years"))</f>
        <v>0</v>
      </c>
      <c r="AH581">
        <f>OR(AND(IF(Metadata!H581="",FALSE,TRUE),OR(exact(Metadata!H581,"not applicable"),exact(Metadata!H581,"not collected"),exact(Metadata!H581,"not provided"),exact(Metadata!H581,"restricted access"))),AND(IF(Metadata!H581="",FALSE,ISNUMBER(VALUE(Metadata!H581))),Metadata!H581&gt;0))</f>
        <v>0</v>
      </c>
      <c r="AI581">
        <f>AND(IF(Metadata!I581="",FALSE,TRUE),exact(Metadata!I581,"human"))</f>
        <v>0</v>
      </c>
      <c r="AJ581">
        <f>AND(IF(Metadata!J581="",FALSE,ISNUMBER(VALUE(Metadata!J581))),Metadata!J581&gt;0)</f>
        <v>0</v>
      </c>
      <c r="AK581">
        <f>AND(IF(Metadata!K581="",FALSE,TRUE),exact(Metadata!K581,"cm"))</f>
        <v>0</v>
      </c>
      <c r="AL581">
        <f>AND(IF(Metadata!L581="",FALSE,TRUE),exact(Metadata!L581,"Homo sapiens"))</f>
        <v>0</v>
      </c>
      <c r="AM581">
        <f>AND(IF(Metadata!M581="",FALSE,TRUE),exact(Metadata!M581,"9606"))</f>
        <v>0</v>
      </c>
      <c r="AN581">
        <f>AND(IF(Metadata!N581="",FALSE,ISNUMBER(VALUE(Metadata!N581))),Metadata!N581&gt;0)</f>
        <v>0</v>
      </c>
      <c r="AO581">
        <f>AND(IF(Metadata!O581="",FALSE,TRUE),exact(Metadata!O581,"kg"))</f>
        <v>0</v>
      </c>
      <c r="AP581">
        <f>OR(AND(IF(Metadata!P581="",FALSE,TRUE),exact(Metadata!P581,"not provided")),IF(Metadata!P581="",FALSE,TRUE))</f>
        <v>0</v>
      </c>
      <c r="AQ581">
        <f>OR(AND(IF(Metadata!Q581="",FALSE,TRUE),exact(Metadata!Q581,"not provided")),IF(Metadata!Q581="",FALSE,TRUE))</f>
        <v>0</v>
      </c>
    </row>
    <row r="582" spans="1:43">
      <c r="A582" s="4">
        <f>IF(B582=" "," ",HYPERLINK(CONCATENATE("#metadata!",ADDRESS(INDEX($W$2:$W$1001,MATCH(ROWS($U$2:U582),$U$2:$U$1001,0),0),2)),INDEX($Z$2:$Z$1001,MATCH(ROWS($U$2:U582),$U$2:$U$1001,0),0)))</f>
        <v>0</v>
      </c>
      <c r="B582" s="5">
        <f>IF(OR(INDEX($V$2:$V$1001,MATCH(ROWS($U$2:U582),$U$2:$U$1001,0),1)&gt;=100000,INDEX($AB$1005:$AQ$1005,1,MATCH(COLUMNS($AB$1006:AB1006),$AB$1006:$AQ$1006,0))&gt;=100000), " ",IF(INDEX($AB$2:$AQ$1001,MATCH(ROWS($U$2:U582),$U$2:$U$1001,0),MATCH(COLUMNS($AB$1006:AB1006),$AB$1006:$AQ$1006,0)), HYPERLINK("#",""), HYPERLINK(CONCATENATE("#Metadata!", ADDRESS(INDEX($W$2:$W$1001,MATCH(ROWS($U$2:U582),$U$2:$U$1001,0),0), INDEX($AB$1004:$AQ$1004,1,MATCH(COLUMNS($AB$1006:AB1006),$AB$1006:$AQ$1006,0)))),"Fix")))</f>
        <v>0</v>
      </c>
      <c r="C582" s="5">
        <f>IF(OR(INDEX($V$2:$V$1001,MATCH(ROWS($U$2:U582),$U$2:$U$1001,0),1)&gt;=100000,INDEX($AB$1005:$AQ$1005,1,MATCH(COLUMNS($AB$1006:AC1006),$AB$1006:$AQ$1006,0))&gt;=100000), " ",IF(INDEX($AB$2:$AQ$1001,MATCH(ROWS($U$2:U582),$U$2:$U$1001,0),MATCH(COLUMNS($AB$1006:AC1006),$AB$1006:$AQ$1006,0)), HYPERLINK("#",""), HYPERLINK(CONCATENATE("#Metadata!", ADDRESS(INDEX($W$2:$W$1001,MATCH(ROWS($U$2:U582),$U$2:$U$1001,0),0), INDEX($AB$1004:$AQ$1004,1,MATCH(COLUMNS($AB$1006:AC1006),$AB$1006:$AQ$1006,0)))),"Fix")))</f>
        <v>0</v>
      </c>
      <c r="D582" s="5">
        <f>IF(OR(INDEX($V$2:$V$1001,MATCH(ROWS($U$2:U582),$U$2:$U$1001,0),1)&gt;=100000,INDEX($AB$1005:$AQ$1005,1,MATCH(COLUMNS($AB$1006:AD1006),$AB$1006:$AQ$1006,0))&gt;=100000), " ",IF(INDEX($AB$2:$AQ$1001,MATCH(ROWS($U$2:U582),$U$2:$U$1001,0),MATCH(COLUMNS($AB$1006:AD1006),$AB$1006:$AQ$1006,0)), HYPERLINK("#",""), HYPERLINK(CONCATENATE("#Metadata!", ADDRESS(INDEX($W$2:$W$1001,MATCH(ROWS($U$2:U582),$U$2:$U$1001,0),0), INDEX($AB$1004:$AQ$1004,1,MATCH(COLUMNS($AB$1006:AD1006),$AB$1006:$AQ$1006,0)))),"Fix")))</f>
        <v>0</v>
      </c>
      <c r="E582" s="5">
        <f>IF(OR(INDEX($V$2:$V$1001,MATCH(ROWS($U$2:U582),$U$2:$U$1001,0),1)&gt;=100000,INDEX($AB$1005:$AQ$1005,1,MATCH(COLUMNS($AB$1006:AE1006),$AB$1006:$AQ$1006,0))&gt;=100000), " ",IF(INDEX($AB$2:$AQ$1001,MATCH(ROWS($U$2:U582),$U$2:$U$1001,0),MATCH(COLUMNS($AB$1006:AE1006),$AB$1006:$AQ$1006,0)), HYPERLINK("#",""), HYPERLINK(CONCATENATE("#Metadata!", ADDRESS(INDEX($W$2:$W$1001,MATCH(ROWS($U$2:U582),$U$2:$U$1001,0),0), INDEX($AB$1004:$AQ$1004,1,MATCH(COLUMNS($AB$1006:AE1006),$AB$1006:$AQ$1006,0)))),"Fix")))</f>
        <v>0</v>
      </c>
      <c r="F582" s="5">
        <f>IF(OR(INDEX($V$2:$V$1001,MATCH(ROWS($U$2:U582),$U$2:$U$1001,0),1)&gt;=100000,INDEX($AB$1005:$AQ$1005,1,MATCH(COLUMNS($AB$1006:AF1006),$AB$1006:$AQ$1006,0))&gt;=100000), " ",IF(INDEX($AB$2:$AQ$1001,MATCH(ROWS($U$2:U582),$U$2:$U$1001,0),MATCH(COLUMNS($AB$1006:AF1006),$AB$1006:$AQ$1006,0)), HYPERLINK("#",""), HYPERLINK(CONCATENATE("#Metadata!", ADDRESS(INDEX($W$2:$W$1001,MATCH(ROWS($U$2:U582),$U$2:$U$1001,0),0), INDEX($AB$1004:$AQ$1004,1,MATCH(COLUMNS($AB$1006:AF1006),$AB$1006:$AQ$1006,0)))),"Fix")))</f>
        <v>0</v>
      </c>
      <c r="G582" s="5">
        <f>IF(OR(INDEX($V$2:$V$1001,MATCH(ROWS($U$2:U582),$U$2:$U$1001,0),1)&gt;=100000,INDEX($AB$1005:$AQ$1005,1,MATCH(COLUMNS($AB$1006:AG1006),$AB$1006:$AQ$1006,0))&gt;=100000), " ",IF(INDEX($AB$2:$AQ$1001,MATCH(ROWS($U$2:U582),$U$2:$U$1001,0),MATCH(COLUMNS($AB$1006:AG1006),$AB$1006:$AQ$1006,0)), HYPERLINK("#",""), HYPERLINK(CONCATENATE("#Metadata!", ADDRESS(INDEX($W$2:$W$1001,MATCH(ROWS($U$2:U582),$U$2:$U$1001,0),0), INDEX($AB$1004:$AQ$1004,1,MATCH(COLUMNS($AB$1006:AG1006),$AB$1006:$AQ$1006,0)))),"Fix")))</f>
        <v>0</v>
      </c>
      <c r="H582" s="5">
        <f>IF(OR(INDEX($V$2:$V$1001,MATCH(ROWS($U$2:U582),$U$2:$U$1001,0),1)&gt;=100000,INDEX($AB$1005:$AQ$1005,1,MATCH(COLUMNS($AB$1006:AH1006),$AB$1006:$AQ$1006,0))&gt;=100000), " ",IF(INDEX($AB$2:$AQ$1001,MATCH(ROWS($U$2:U582),$U$2:$U$1001,0),MATCH(COLUMNS($AB$1006:AH1006),$AB$1006:$AQ$1006,0)), HYPERLINK("#",""), HYPERLINK(CONCATENATE("#Metadata!", ADDRESS(INDEX($W$2:$W$1001,MATCH(ROWS($U$2:U582),$U$2:$U$1001,0),0), INDEX($AB$1004:$AQ$1004,1,MATCH(COLUMNS($AB$1006:AH1006),$AB$1006:$AQ$1006,0)))),"Fix")))</f>
        <v>0</v>
      </c>
      <c r="I582" s="5">
        <f>IF(OR(INDEX($V$2:$V$1001,MATCH(ROWS($U$2:U582),$U$2:$U$1001,0),1)&gt;=100000,INDEX($AB$1005:$AQ$1005,1,MATCH(COLUMNS($AB$1006:AI1006),$AB$1006:$AQ$1006,0))&gt;=100000), " ",IF(INDEX($AB$2:$AQ$1001,MATCH(ROWS($U$2:U582),$U$2:$U$1001,0),MATCH(COLUMNS($AB$1006:AI1006),$AB$1006:$AQ$1006,0)), HYPERLINK("#",""), HYPERLINK(CONCATENATE("#Metadata!", ADDRESS(INDEX($W$2:$W$1001,MATCH(ROWS($U$2:U582),$U$2:$U$1001,0),0), INDEX($AB$1004:$AQ$1004,1,MATCH(COLUMNS($AB$1006:AI1006),$AB$1006:$AQ$1006,0)))),"Fix")))</f>
        <v>0</v>
      </c>
      <c r="J582" s="5">
        <f>IF(OR(INDEX($V$2:$V$1001,MATCH(ROWS($U$2:U582),$U$2:$U$1001,0),1)&gt;=100000,INDEX($AB$1005:$AQ$1005,1,MATCH(COLUMNS($AB$1006:AJ1006),$AB$1006:$AQ$1006,0))&gt;=100000), " ",IF(INDEX($AB$2:$AQ$1001,MATCH(ROWS($U$2:U582),$U$2:$U$1001,0),MATCH(COLUMNS($AB$1006:AJ1006),$AB$1006:$AQ$1006,0)), HYPERLINK("#",""), HYPERLINK(CONCATENATE("#Metadata!", ADDRESS(INDEX($W$2:$W$1001,MATCH(ROWS($U$2:U582),$U$2:$U$1001,0),0), INDEX($AB$1004:$AQ$1004,1,MATCH(COLUMNS($AB$1006:AJ1006),$AB$1006:$AQ$1006,0)))),"Fix")))</f>
        <v>0</v>
      </c>
      <c r="K582" s="5">
        <f>IF(OR(INDEX($V$2:$V$1001,MATCH(ROWS($U$2:U582),$U$2:$U$1001,0),1)&gt;=100000,INDEX($AB$1005:$AQ$1005,1,MATCH(COLUMNS($AB$1006:AK1006),$AB$1006:$AQ$1006,0))&gt;=100000), " ",IF(INDEX($AB$2:$AQ$1001,MATCH(ROWS($U$2:U582),$U$2:$U$1001,0),MATCH(COLUMNS($AB$1006:AK1006),$AB$1006:$AQ$1006,0)), HYPERLINK("#",""), HYPERLINK(CONCATENATE("#Metadata!", ADDRESS(INDEX($W$2:$W$1001,MATCH(ROWS($U$2:U582),$U$2:$U$1001,0),0), INDEX($AB$1004:$AQ$1004,1,MATCH(COLUMNS($AB$1006:AK1006),$AB$1006:$AQ$1006,0)))),"Fix")))</f>
        <v>0</v>
      </c>
      <c r="L582" s="5">
        <f>IF(OR(INDEX($V$2:$V$1001,MATCH(ROWS($U$2:U582),$U$2:$U$1001,0),1)&gt;=100000,INDEX($AB$1005:$AQ$1005,1,MATCH(COLUMNS($AB$1006:AL1006),$AB$1006:$AQ$1006,0))&gt;=100000), " ",IF(INDEX($AB$2:$AQ$1001,MATCH(ROWS($U$2:U582),$U$2:$U$1001,0),MATCH(COLUMNS($AB$1006:AL1006),$AB$1006:$AQ$1006,0)), HYPERLINK("#",""), HYPERLINK(CONCATENATE("#Metadata!", ADDRESS(INDEX($W$2:$W$1001,MATCH(ROWS($U$2:U582),$U$2:$U$1001,0),0), INDEX($AB$1004:$AQ$1004,1,MATCH(COLUMNS($AB$1006:AL1006),$AB$1006:$AQ$1006,0)))),"Fix")))</f>
        <v>0</v>
      </c>
      <c r="M582" s="5">
        <f>IF(OR(INDEX($V$2:$V$1001,MATCH(ROWS($U$2:U582),$U$2:$U$1001,0),1)&gt;=100000,INDEX($AB$1005:$AQ$1005,1,MATCH(COLUMNS($AB$1006:AM1006),$AB$1006:$AQ$1006,0))&gt;=100000), " ",IF(INDEX($AB$2:$AQ$1001,MATCH(ROWS($U$2:U582),$U$2:$U$1001,0),MATCH(COLUMNS($AB$1006:AM1006),$AB$1006:$AQ$1006,0)), HYPERLINK("#",""), HYPERLINK(CONCATENATE("#Metadata!", ADDRESS(INDEX($W$2:$W$1001,MATCH(ROWS($U$2:U582),$U$2:$U$1001,0),0), INDEX($AB$1004:$AQ$1004,1,MATCH(COLUMNS($AB$1006:AM1006),$AB$1006:$AQ$1006,0)))),"Fix")))</f>
        <v>0</v>
      </c>
      <c r="N582" s="5">
        <f>IF(OR(INDEX($V$2:$V$1001,MATCH(ROWS($U$2:U582),$U$2:$U$1001,0),1)&gt;=100000,INDEX($AB$1005:$AQ$1005,1,MATCH(COLUMNS($AB$1006:AN1006),$AB$1006:$AQ$1006,0))&gt;=100000), " ",IF(INDEX($AB$2:$AQ$1001,MATCH(ROWS($U$2:U582),$U$2:$U$1001,0),MATCH(COLUMNS($AB$1006:AN1006),$AB$1006:$AQ$1006,0)), HYPERLINK("#",""), HYPERLINK(CONCATENATE("#Metadata!", ADDRESS(INDEX($W$2:$W$1001,MATCH(ROWS($U$2:U582),$U$2:$U$1001,0),0), INDEX($AB$1004:$AQ$1004,1,MATCH(COLUMNS($AB$1006:AN1006),$AB$1006:$AQ$1006,0)))),"Fix")))</f>
        <v>0</v>
      </c>
      <c r="O582" s="5">
        <f>IF(OR(INDEX($V$2:$V$1001,MATCH(ROWS($U$2:U582),$U$2:$U$1001,0),1)&gt;=100000,INDEX($AB$1005:$AQ$1005,1,MATCH(COLUMNS($AB$1006:AO1006),$AB$1006:$AQ$1006,0))&gt;=100000), " ",IF(INDEX($AB$2:$AQ$1001,MATCH(ROWS($U$2:U582),$U$2:$U$1001,0),MATCH(COLUMNS($AB$1006:AO1006),$AB$1006:$AQ$1006,0)), HYPERLINK("#",""), HYPERLINK(CONCATENATE("#Metadata!", ADDRESS(INDEX($W$2:$W$1001,MATCH(ROWS($U$2:U582),$U$2:$U$1001,0),0), INDEX($AB$1004:$AQ$1004,1,MATCH(COLUMNS($AB$1006:AO1006),$AB$1006:$AQ$1006,0)))),"Fix")))</f>
        <v>0</v>
      </c>
      <c r="P582" s="5">
        <f>IF(OR(INDEX($V$2:$V$1001,MATCH(ROWS($U$2:U582),$U$2:$U$1001,0),1)&gt;=100000,INDEX($AB$1005:$AQ$1005,1,MATCH(COLUMNS($AB$1006:AP1006),$AB$1006:$AQ$1006,0))&gt;=100000), " ",IF(INDEX($AB$2:$AQ$1001,MATCH(ROWS($U$2:U582),$U$2:$U$1001,0),MATCH(COLUMNS($AB$1006:AP1006),$AB$1006:$AQ$1006,0)), HYPERLINK("#",""), HYPERLINK(CONCATENATE("#Metadata!", ADDRESS(INDEX($W$2:$W$1001,MATCH(ROWS($U$2:U582),$U$2:$U$1001,0),0), INDEX($AB$1004:$AQ$1004,1,MATCH(COLUMNS($AB$1006:AP1006),$AB$1006:$AQ$1006,0)))),"Fix")))</f>
        <v>0</v>
      </c>
      <c r="Q582" s="5">
        <f>IF(OR(INDEX($V$2:$V$1001,MATCH(ROWS($U$2:U582),$U$2:$U$1001,0),1)&gt;=100000,INDEX($AB$1005:$AQ$1005,1,MATCH(COLUMNS($AB$1006:AQ1006),$AB$1006:$AQ$1006,0))&gt;=100000), " ",IF(INDEX($AB$2:$AQ$1001,MATCH(ROWS($U$2:U582),$U$2:$U$1001,0),MATCH(COLUMNS($AB$1006:AQ1006),$AB$1006:$AQ$1006,0)), HYPERLINK("#",""), HYPERLINK(CONCATENATE("#Metadata!", ADDRESS(INDEX($W$2:$W$1001,MATCH(ROWS($U$2:U582),$U$2:$U$1001,0),0), INDEX($AB$1004:$AQ$1004,1,MATCH(COLUMNS($AB$1006:AQ1006),$AB$1006:$AQ$1006,0)))),"Fix")))</f>
        <v>0</v>
      </c>
      <c r="U582">
        <v>0</v>
      </c>
      <c r="V582">
        <v>0</v>
      </c>
      <c r="W582">
        <v>0</v>
      </c>
      <c r="X582">
        <f>IF(Y582,TRUE,AND(AB582:AQ582))</f>
        <v>0</v>
      </c>
      <c r="Y582">
        <f>COUNTBLANK(Metadata!B582:Q582)=COLUMNS(Metadata!B582:Q582)</f>
        <v>0</v>
      </c>
      <c r="Z582">
        <v>0</v>
      </c>
      <c r="AB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AC582">
        <f>AND(IF(Metadata!C582="",FALSE,TRUE),exact(Metadata!C582,"urban biome"))</f>
        <v>0</v>
      </c>
      <c r="AD582">
        <f>AND(IF(Metadata!D582="",FALSE,TRUE),exact(Metadata!D582,"human-associated habitat"))</f>
        <v>0</v>
      </c>
      <c r="AE582">
        <f>AND(IF(Metadata!E582="",FALSE,TRUE),OR(exact(Metadata!E582,"human-associated"),exact(Metadata!E582,"human-skin"),exact(Metadata!E582,"human-oral"),exact(Metadata!E582,"human-gut"),exact(Metadata!E582,"human-vaginal")))</f>
        <v>0</v>
      </c>
      <c r="AF582">
        <f>AND(IF(Metadata!F582="",FALSE,ISNUMBER(VALUE(Metadata!F582))),Metadata!F582&gt;0)</f>
        <v>0</v>
      </c>
      <c r="AG582">
        <f>AND(IF(Metadata!G582="",FALSE,TRUE),exact(Metadata!G582,"years"))</f>
        <v>0</v>
      </c>
      <c r="AH582">
        <f>OR(AND(IF(Metadata!H582="",FALSE,TRUE),OR(exact(Metadata!H582,"not applicable"),exact(Metadata!H582,"not collected"),exact(Metadata!H582,"not provided"),exact(Metadata!H582,"restricted access"))),AND(IF(Metadata!H582="",FALSE,ISNUMBER(VALUE(Metadata!H582))),Metadata!H582&gt;0))</f>
        <v>0</v>
      </c>
      <c r="AI582">
        <f>AND(IF(Metadata!I582="",FALSE,TRUE),exact(Metadata!I582,"human"))</f>
        <v>0</v>
      </c>
      <c r="AJ582">
        <f>AND(IF(Metadata!J582="",FALSE,ISNUMBER(VALUE(Metadata!J582))),Metadata!J582&gt;0)</f>
        <v>0</v>
      </c>
      <c r="AK582">
        <f>AND(IF(Metadata!K582="",FALSE,TRUE),exact(Metadata!K582,"cm"))</f>
        <v>0</v>
      </c>
      <c r="AL582">
        <f>AND(IF(Metadata!L582="",FALSE,TRUE),exact(Metadata!L582,"Homo sapiens"))</f>
        <v>0</v>
      </c>
      <c r="AM582">
        <f>AND(IF(Metadata!M582="",FALSE,TRUE),exact(Metadata!M582,"9606"))</f>
        <v>0</v>
      </c>
      <c r="AN582">
        <f>AND(IF(Metadata!N582="",FALSE,ISNUMBER(VALUE(Metadata!N582))),Metadata!N582&gt;0)</f>
        <v>0</v>
      </c>
      <c r="AO582">
        <f>AND(IF(Metadata!O582="",FALSE,TRUE),exact(Metadata!O582,"kg"))</f>
        <v>0</v>
      </c>
      <c r="AP582">
        <f>OR(AND(IF(Metadata!P582="",FALSE,TRUE),exact(Metadata!P582,"not provided")),IF(Metadata!P582="",FALSE,TRUE))</f>
        <v>0</v>
      </c>
      <c r="AQ582">
        <f>OR(AND(IF(Metadata!Q582="",FALSE,TRUE),exact(Metadata!Q582,"not provided")),IF(Metadata!Q582="",FALSE,TRUE))</f>
        <v>0</v>
      </c>
    </row>
    <row r="583" spans="1:43">
      <c r="A583" s="4">
        <f>IF(B583=" "," ",HYPERLINK(CONCATENATE("#metadata!",ADDRESS(INDEX($W$2:$W$1001,MATCH(ROWS($U$2:U583),$U$2:$U$1001,0),0),2)),INDEX($Z$2:$Z$1001,MATCH(ROWS($U$2:U583),$U$2:$U$1001,0),0)))</f>
        <v>0</v>
      </c>
      <c r="B583" s="5">
        <f>IF(OR(INDEX($V$2:$V$1001,MATCH(ROWS($U$2:U583),$U$2:$U$1001,0),1)&gt;=100000,INDEX($AB$1005:$AQ$1005,1,MATCH(COLUMNS($AB$1006:AB1006),$AB$1006:$AQ$1006,0))&gt;=100000), " ",IF(INDEX($AB$2:$AQ$1001,MATCH(ROWS($U$2:U583),$U$2:$U$1001,0),MATCH(COLUMNS($AB$1006:AB1006),$AB$1006:$AQ$1006,0)), HYPERLINK("#",""), HYPERLINK(CONCATENATE("#Metadata!", ADDRESS(INDEX($W$2:$W$1001,MATCH(ROWS($U$2:U583),$U$2:$U$1001,0),0), INDEX($AB$1004:$AQ$1004,1,MATCH(COLUMNS($AB$1006:AB1006),$AB$1006:$AQ$1006,0)))),"Fix")))</f>
        <v>0</v>
      </c>
      <c r="C583" s="5">
        <f>IF(OR(INDEX($V$2:$V$1001,MATCH(ROWS($U$2:U583),$U$2:$U$1001,0),1)&gt;=100000,INDEX($AB$1005:$AQ$1005,1,MATCH(COLUMNS($AB$1006:AC1006),$AB$1006:$AQ$1006,0))&gt;=100000), " ",IF(INDEX($AB$2:$AQ$1001,MATCH(ROWS($U$2:U583),$U$2:$U$1001,0),MATCH(COLUMNS($AB$1006:AC1006),$AB$1006:$AQ$1006,0)), HYPERLINK("#",""), HYPERLINK(CONCATENATE("#Metadata!", ADDRESS(INDEX($W$2:$W$1001,MATCH(ROWS($U$2:U583),$U$2:$U$1001,0),0), INDEX($AB$1004:$AQ$1004,1,MATCH(COLUMNS($AB$1006:AC1006),$AB$1006:$AQ$1006,0)))),"Fix")))</f>
        <v>0</v>
      </c>
      <c r="D583" s="5">
        <f>IF(OR(INDEX($V$2:$V$1001,MATCH(ROWS($U$2:U583),$U$2:$U$1001,0),1)&gt;=100000,INDEX($AB$1005:$AQ$1005,1,MATCH(COLUMNS($AB$1006:AD1006),$AB$1006:$AQ$1006,0))&gt;=100000), " ",IF(INDEX($AB$2:$AQ$1001,MATCH(ROWS($U$2:U583),$U$2:$U$1001,0),MATCH(COLUMNS($AB$1006:AD1006),$AB$1006:$AQ$1006,0)), HYPERLINK("#",""), HYPERLINK(CONCATENATE("#Metadata!", ADDRESS(INDEX($W$2:$W$1001,MATCH(ROWS($U$2:U583),$U$2:$U$1001,0),0), INDEX($AB$1004:$AQ$1004,1,MATCH(COLUMNS($AB$1006:AD1006),$AB$1006:$AQ$1006,0)))),"Fix")))</f>
        <v>0</v>
      </c>
      <c r="E583" s="5">
        <f>IF(OR(INDEX($V$2:$V$1001,MATCH(ROWS($U$2:U583),$U$2:$U$1001,0),1)&gt;=100000,INDEX($AB$1005:$AQ$1005,1,MATCH(COLUMNS($AB$1006:AE1006),$AB$1006:$AQ$1006,0))&gt;=100000), " ",IF(INDEX($AB$2:$AQ$1001,MATCH(ROWS($U$2:U583),$U$2:$U$1001,0),MATCH(COLUMNS($AB$1006:AE1006),$AB$1006:$AQ$1006,0)), HYPERLINK("#",""), HYPERLINK(CONCATENATE("#Metadata!", ADDRESS(INDEX($W$2:$W$1001,MATCH(ROWS($U$2:U583),$U$2:$U$1001,0),0), INDEX($AB$1004:$AQ$1004,1,MATCH(COLUMNS($AB$1006:AE1006),$AB$1006:$AQ$1006,0)))),"Fix")))</f>
        <v>0</v>
      </c>
      <c r="F583" s="5">
        <f>IF(OR(INDEX($V$2:$V$1001,MATCH(ROWS($U$2:U583),$U$2:$U$1001,0),1)&gt;=100000,INDEX($AB$1005:$AQ$1005,1,MATCH(COLUMNS($AB$1006:AF1006),$AB$1006:$AQ$1006,0))&gt;=100000), " ",IF(INDEX($AB$2:$AQ$1001,MATCH(ROWS($U$2:U583),$U$2:$U$1001,0),MATCH(COLUMNS($AB$1006:AF1006),$AB$1006:$AQ$1006,0)), HYPERLINK("#",""), HYPERLINK(CONCATENATE("#Metadata!", ADDRESS(INDEX($W$2:$W$1001,MATCH(ROWS($U$2:U583),$U$2:$U$1001,0),0), INDEX($AB$1004:$AQ$1004,1,MATCH(COLUMNS($AB$1006:AF1006),$AB$1006:$AQ$1006,0)))),"Fix")))</f>
        <v>0</v>
      </c>
      <c r="G583" s="5">
        <f>IF(OR(INDEX($V$2:$V$1001,MATCH(ROWS($U$2:U583),$U$2:$U$1001,0),1)&gt;=100000,INDEX($AB$1005:$AQ$1005,1,MATCH(COLUMNS($AB$1006:AG1006),$AB$1006:$AQ$1006,0))&gt;=100000), " ",IF(INDEX($AB$2:$AQ$1001,MATCH(ROWS($U$2:U583),$U$2:$U$1001,0),MATCH(COLUMNS($AB$1006:AG1006),$AB$1006:$AQ$1006,0)), HYPERLINK("#",""), HYPERLINK(CONCATENATE("#Metadata!", ADDRESS(INDEX($W$2:$W$1001,MATCH(ROWS($U$2:U583),$U$2:$U$1001,0),0), INDEX($AB$1004:$AQ$1004,1,MATCH(COLUMNS($AB$1006:AG1006),$AB$1006:$AQ$1006,0)))),"Fix")))</f>
        <v>0</v>
      </c>
      <c r="H583" s="5">
        <f>IF(OR(INDEX($V$2:$V$1001,MATCH(ROWS($U$2:U583),$U$2:$U$1001,0),1)&gt;=100000,INDEX($AB$1005:$AQ$1005,1,MATCH(COLUMNS($AB$1006:AH1006),$AB$1006:$AQ$1006,0))&gt;=100000), " ",IF(INDEX($AB$2:$AQ$1001,MATCH(ROWS($U$2:U583),$U$2:$U$1001,0),MATCH(COLUMNS($AB$1006:AH1006),$AB$1006:$AQ$1006,0)), HYPERLINK("#",""), HYPERLINK(CONCATENATE("#Metadata!", ADDRESS(INDEX($W$2:$W$1001,MATCH(ROWS($U$2:U583),$U$2:$U$1001,0),0), INDEX($AB$1004:$AQ$1004,1,MATCH(COLUMNS($AB$1006:AH1006),$AB$1006:$AQ$1006,0)))),"Fix")))</f>
        <v>0</v>
      </c>
      <c r="I583" s="5">
        <f>IF(OR(INDEX($V$2:$V$1001,MATCH(ROWS($U$2:U583),$U$2:$U$1001,0),1)&gt;=100000,INDEX($AB$1005:$AQ$1005,1,MATCH(COLUMNS($AB$1006:AI1006),$AB$1006:$AQ$1006,0))&gt;=100000), " ",IF(INDEX($AB$2:$AQ$1001,MATCH(ROWS($U$2:U583),$U$2:$U$1001,0),MATCH(COLUMNS($AB$1006:AI1006),$AB$1006:$AQ$1006,0)), HYPERLINK("#",""), HYPERLINK(CONCATENATE("#Metadata!", ADDRESS(INDEX($W$2:$W$1001,MATCH(ROWS($U$2:U583),$U$2:$U$1001,0),0), INDEX($AB$1004:$AQ$1004,1,MATCH(COLUMNS($AB$1006:AI1006),$AB$1006:$AQ$1006,0)))),"Fix")))</f>
        <v>0</v>
      </c>
      <c r="J583" s="5">
        <f>IF(OR(INDEX($V$2:$V$1001,MATCH(ROWS($U$2:U583),$U$2:$U$1001,0),1)&gt;=100000,INDEX($AB$1005:$AQ$1005,1,MATCH(COLUMNS($AB$1006:AJ1006),$AB$1006:$AQ$1006,0))&gt;=100000), " ",IF(INDEX($AB$2:$AQ$1001,MATCH(ROWS($U$2:U583),$U$2:$U$1001,0),MATCH(COLUMNS($AB$1006:AJ1006),$AB$1006:$AQ$1006,0)), HYPERLINK("#",""), HYPERLINK(CONCATENATE("#Metadata!", ADDRESS(INDEX($W$2:$W$1001,MATCH(ROWS($U$2:U583),$U$2:$U$1001,0),0), INDEX($AB$1004:$AQ$1004,1,MATCH(COLUMNS($AB$1006:AJ1006),$AB$1006:$AQ$1006,0)))),"Fix")))</f>
        <v>0</v>
      </c>
      <c r="K583" s="5">
        <f>IF(OR(INDEX($V$2:$V$1001,MATCH(ROWS($U$2:U583),$U$2:$U$1001,0),1)&gt;=100000,INDEX($AB$1005:$AQ$1005,1,MATCH(COLUMNS($AB$1006:AK1006),$AB$1006:$AQ$1006,0))&gt;=100000), " ",IF(INDEX($AB$2:$AQ$1001,MATCH(ROWS($U$2:U583),$U$2:$U$1001,0),MATCH(COLUMNS($AB$1006:AK1006),$AB$1006:$AQ$1006,0)), HYPERLINK("#",""), HYPERLINK(CONCATENATE("#Metadata!", ADDRESS(INDEX($W$2:$W$1001,MATCH(ROWS($U$2:U583),$U$2:$U$1001,0),0), INDEX($AB$1004:$AQ$1004,1,MATCH(COLUMNS($AB$1006:AK1006),$AB$1006:$AQ$1006,0)))),"Fix")))</f>
        <v>0</v>
      </c>
      <c r="L583" s="5">
        <f>IF(OR(INDEX($V$2:$V$1001,MATCH(ROWS($U$2:U583),$U$2:$U$1001,0),1)&gt;=100000,INDEX($AB$1005:$AQ$1005,1,MATCH(COLUMNS($AB$1006:AL1006),$AB$1006:$AQ$1006,0))&gt;=100000), " ",IF(INDEX($AB$2:$AQ$1001,MATCH(ROWS($U$2:U583),$U$2:$U$1001,0),MATCH(COLUMNS($AB$1006:AL1006),$AB$1006:$AQ$1006,0)), HYPERLINK("#",""), HYPERLINK(CONCATENATE("#Metadata!", ADDRESS(INDEX($W$2:$W$1001,MATCH(ROWS($U$2:U583),$U$2:$U$1001,0),0), INDEX($AB$1004:$AQ$1004,1,MATCH(COLUMNS($AB$1006:AL1006),$AB$1006:$AQ$1006,0)))),"Fix")))</f>
        <v>0</v>
      </c>
      <c r="M583" s="5">
        <f>IF(OR(INDEX($V$2:$V$1001,MATCH(ROWS($U$2:U583),$U$2:$U$1001,0),1)&gt;=100000,INDEX($AB$1005:$AQ$1005,1,MATCH(COLUMNS($AB$1006:AM1006),$AB$1006:$AQ$1006,0))&gt;=100000), " ",IF(INDEX($AB$2:$AQ$1001,MATCH(ROWS($U$2:U583),$U$2:$U$1001,0),MATCH(COLUMNS($AB$1006:AM1006),$AB$1006:$AQ$1006,0)), HYPERLINK("#",""), HYPERLINK(CONCATENATE("#Metadata!", ADDRESS(INDEX($W$2:$W$1001,MATCH(ROWS($U$2:U583),$U$2:$U$1001,0),0), INDEX($AB$1004:$AQ$1004,1,MATCH(COLUMNS($AB$1006:AM1006),$AB$1006:$AQ$1006,0)))),"Fix")))</f>
        <v>0</v>
      </c>
      <c r="N583" s="5">
        <f>IF(OR(INDEX($V$2:$V$1001,MATCH(ROWS($U$2:U583),$U$2:$U$1001,0),1)&gt;=100000,INDEX($AB$1005:$AQ$1005,1,MATCH(COLUMNS($AB$1006:AN1006),$AB$1006:$AQ$1006,0))&gt;=100000), " ",IF(INDEX($AB$2:$AQ$1001,MATCH(ROWS($U$2:U583),$U$2:$U$1001,0),MATCH(COLUMNS($AB$1006:AN1006),$AB$1006:$AQ$1006,0)), HYPERLINK("#",""), HYPERLINK(CONCATENATE("#Metadata!", ADDRESS(INDEX($W$2:$W$1001,MATCH(ROWS($U$2:U583),$U$2:$U$1001,0),0), INDEX($AB$1004:$AQ$1004,1,MATCH(COLUMNS($AB$1006:AN1006),$AB$1006:$AQ$1006,0)))),"Fix")))</f>
        <v>0</v>
      </c>
      <c r="O583" s="5">
        <f>IF(OR(INDEX($V$2:$V$1001,MATCH(ROWS($U$2:U583),$U$2:$U$1001,0),1)&gt;=100000,INDEX($AB$1005:$AQ$1005,1,MATCH(COLUMNS($AB$1006:AO1006),$AB$1006:$AQ$1006,0))&gt;=100000), " ",IF(INDEX($AB$2:$AQ$1001,MATCH(ROWS($U$2:U583),$U$2:$U$1001,0),MATCH(COLUMNS($AB$1006:AO1006),$AB$1006:$AQ$1006,0)), HYPERLINK("#",""), HYPERLINK(CONCATENATE("#Metadata!", ADDRESS(INDEX($W$2:$W$1001,MATCH(ROWS($U$2:U583),$U$2:$U$1001,0),0), INDEX($AB$1004:$AQ$1004,1,MATCH(COLUMNS($AB$1006:AO1006),$AB$1006:$AQ$1006,0)))),"Fix")))</f>
        <v>0</v>
      </c>
      <c r="P583" s="5">
        <f>IF(OR(INDEX($V$2:$V$1001,MATCH(ROWS($U$2:U583),$U$2:$U$1001,0),1)&gt;=100000,INDEX($AB$1005:$AQ$1005,1,MATCH(COLUMNS($AB$1006:AP1006),$AB$1006:$AQ$1006,0))&gt;=100000), " ",IF(INDEX($AB$2:$AQ$1001,MATCH(ROWS($U$2:U583),$U$2:$U$1001,0),MATCH(COLUMNS($AB$1006:AP1006),$AB$1006:$AQ$1006,0)), HYPERLINK("#",""), HYPERLINK(CONCATENATE("#Metadata!", ADDRESS(INDEX($W$2:$W$1001,MATCH(ROWS($U$2:U583),$U$2:$U$1001,0),0), INDEX($AB$1004:$AQ$1004,1,MATCH(COLUMNS($AB$1006:AP1006),$AB$1006:$AQ$1006,0)))),"Fix")))</f>
        <v>0</v>
      </c>
      <c r="Q583" s="5">
        <f>IF(OR(INDEX($V$2:$V$1001,MATCH(ROWS($U$2:U583),$U$2:$U$1001,0),1)&gt;=100000,INDEX($AB$1005:$AQ$1005,1,MATCH(COLUMNS($AB$1006:AQ1006),$AB$1006:$AQ$1006,0))&gt;=100000), " ",IF(INDEX($AB$2:$AQ$1001,MATCH(ROWS($U$2:U583),$U$2:$U$1001,0),MATCH(COLUMNS($AB$1006:AQ1006),$AB$1006:$AQ$1006,0)), HYPERLINK("#",""), HYPERLINK(CONCATENATE("#Metadata!", ADDRESS(INDEX($W$2:$W$1001,MATCH(ROWS($U$2:U583),$U$2:$U$1001,0),0), INDEX($AB$1004:$AQ$1004,1,MATCH(COLUMNS($AB$1006:AQ1006),$AB$1006:$AQ$1006,0)))),"Fix")))</f>
        <v>0</v>
      </c>
      <c r="U583">
        <v>0</v>
      </c>
      <c r="V583">
        <v>0</v>
      </c>
      <c r="W583">
        <v>0</v>
      </c>
      <c r="X583">
        <f>IF(Y583,TRUE,AND(AB583:AQ583))</f>
        <v>0</v>
      </c>
      <c r="Y583">
        <f>COUNTBLANK(Metadata!B583:Q583)=COLUMNS(Metadata!B583:Q583)</f>
        <v>0</v>
      </c>
      <c r="Z583">
        <v>0</v>
      </c>
      <c r="AB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AC583">
        <f>AND(IF(Metadata!C583="",FALSE,TRUE),exact(Metadata!C583,"urban biome"))</f>
        <v>0</v>
      </c>
      <c r="AD583">
        <f>AND(IF(Metadata!D583="",FALSE,TRUE),exact(Metadata!D583,"human-associated habitat"))</f>
        <v>0</v>
      </c>
      <c r="AE583">
        <f>AND(IF(Metadata!E583="",FALSE,TRUE),OR(exact(Metadata!E583,"human-associated"),exact(Metadata!E583,"human-skin"),exact(Metadata!E583,"human-oral"),exact(Metadata!E583,"human-gut"),exact(Metadata!E583,"human-vaginal")))</f>
        <v>0</v>
      </c>
      <c r="AF583">
        <f>AND(IF(Metadata!F583="",FALSE,ISNUMBER(VALUE(Metadata!F583))),Metadata!F583&gt;0)</f>
        <v>0</v>
      </c>
      <c r="AG583">
        <f>AND(IF(Metadata!G583="",FALSE,TRUE),exact(Metadata!G583,"years"))</f>
        <v>0</v>
      </c>
      <c r="AH583">
        <f>OR(AND(IF(Metadata!H583="",FALSE,TRUE),OR(exact(Metadata!H583,"not applicable"),exact(Metadata!H583,"not collected"),exact(Metadata!H583,"not provided"),exact(Metadata!H583,"restricted access"))),AND(IF(Metadata!H583="",FALSE,ISNUMBER(VALUE(Metadata!H583))),Metadata!H583&gt;0))</f>
        <v>0</v>
      </c>
      <c r="AI583">
        <f>AND(IF(Metadata!I583="",FALSE,TRUE),exact(Metadata!I583,"human"))</f>
        <v>0</v>
      </c>
      <c r="AJ583">
        <f>AND(IF(Metadata!J583="",FALSE,ISNUMBER(VALUE(Metadata!J583))),Metadata!J583&gt;0)</f>
        <v>0</v>
      </c>
      <c r="AK583">
        <f>AND(IF(Metadata!K583="",FALSE,TRUE),exact(Metadata!K583,"cm"))</f>
        <v>0</v>
      </c>
      <c r="AL583">
        <f>AND(IF(Metadata!L583="",FALSE,TRUE),exact(Metadata!L583,"Homo sapiens"))</f>
        <v>0</v>
      </c>
      <c r="AM583">
        <f>AND(IF(Metadata!M583="",FALSE,TRUE),exact(Metadata!M583,"9606"))</f>
        <v>0</v>
      </c>
      <c r="AN583">
        <f>AND(IF(Metadata!N583="",FALSE,ISNUMBER(VALUE(Metadata!N583))),Metadata!N583&gt;0)</f>
        <v>0</v>
      </c>
      <c r="AO583">
        <f>AND(IF(Metadata!O583="",FALSE,TRUE),exact(Metadata!O583,"kg"))</f>
        <v>0</v>
      </c>
      <c r="AP583">
        <f>OR(AND(IF(Metadata!P583="",FALSE,TRUE),exact(Metadata!P583,"not provided")),IF(Metadata!P583="",FALSE,TRUE))</f>
        <v>0</v>
      </c>
      <c r="AQ583">
        <f>OR(AND(IF(Metadata!Q583="",FALSE,TRUE),exact(Metadata!Q583,"not provided")),IF(Metadata!Q583="",FALSE,TRUE))</f>
        <v>0</v>
      </c>
    </row>
    <row r="584" spans="1:43">
      <c r="A584" s="4">
        <f>IF(B584=" "," ",HYPERLINK(CONCATENATE("#metadata!",ADDRESS(INDEX($W$2:$W$1001,MATCH(ROWS($U$2:U584),$U$2:$U$1001,0),0),2)),INDEX($Z$2:$Z$1001,MATCH(ROWS($U$2:U584),$U$2:$U$1001,0),0)))</f>
        <v>0</v>
      </c>
      <c r="B584" s="5">
        <f>IF(OR(INDEX($V$2:$V$1001,MATCH(ROWS($U$2:U584),$U$2:$U$1001,0),1)&gt;=100000,INDEX($AB$1005:$AQ$1005,1,MATCH(COLUMNS($AB$1006:AB1006),$AB$1006:$AQ$1006,0))&gt;=100000), " ",IF(INDEX($AB$2:$AQ$1001,MATCH(ROWS($U$2:U584),$U$2:$U$1001,0),MATCH(COLUMNS($AB$1006:AB1006),$AB$1006:$AQ$1006,0)), HYPERLINK("#",""), HYPERLINK(CONCATENATE("#Metadata!", ADDRESS(INDEX($W$2:$W$1001,MATCH(ROWS($U$2:U584),$U$2:$U$1001,0),0), INDEX($AB$1004:$AQ$1004,1,MATCH(COLUMNS($AB$1006:AB1006),$AB$1006:$AQ$1006,0)))),"Fix")))</f>
        <v>0</v>
      </c>
      <c r="C584" s="5">
        <f>IF(OR(INDEX($V$2:$V$1001,MATCH(ROWS($U$2:U584),$U$2:$U$1001,0),1)&gt;=100000,INDEX($AB$1005:$AQ$1005,1,MATCH(COLUMNS($AB$1006:AC1006),$AB$1006:$AQ$1006,0))&gt;=100000), " ",IF(INDEX($AB$2:$AQ$1001,MATCH(ROWS($U$2:U584),$U$2:$U$1001,0),MATCH(COLUMNS($AB$1006:AC1006),$AB$1006:$AQ$1006,0)), HYPERLINK("#",""), HYPERLINK(CONCATENATE("#Metadata!", ADDRESS(INDEX($W$2:$W$1001,MATCH(ROWS($U$2:U584),$U$2:$U$1001,0),0), INDEX($AB$1004:$AQ$1004,1,MATCH(COLUMNS($AB$1006:AC1006),$AB$1006:$AQ$1006,0)))),"Fix")))</f>
        <v>0</v>
      </c>
      <c r="D584" s="5">
        <f>IF(OR(INDEX($V$2:$V$1001,MATCH(ROWS($U$2:U584),$U$2:$U$1001,0),1)&gt;=100000,INDEX($AB$1005:$AQ$1005,1,MATCH(COLUMNS($AB$1006:AD1006),$AB$1006:$AQ$1006,0))&gt;=100000), " ",IF(INDEX($AB$2:$AQ$1001,MATCH(ROWS($U$2:U584),$U$2:$U$1001,0),MATCH(COLUMNS($AB$1006:AD1006),$AB$1006:$AQ$1006,0)), HYPERLINK("#",""), HYPERLINK(CONCATENATE("#Metadata!", ADDRESS(INDEX($W$2:$W$1001,MATCH(ROWS($U$2:U584),$U$2:$U$1001,0),0), INDEX($AB$1004:$AQ$1004,1,MATCH(COLUMNS($AB$1006:AD1006),$AB$1006:$AQ$1006,0)))),"Fix")))</f>
        <v>0</v>
      </c>
      <c r="E584" s="5">
        <f>IF(OR(INDEX($V$2:$V$1001,MATCH(ROWS($U$2:U584),$U$2:$U$1001,0),1)&gt;=100000,INDEX($AB$1005:$AQ$1005,1,MATCH(COLUMNS($AB$1006:AE1006),$AB$1006:$AQ$1006,0))&gt;=100000), " ",IF(INDEX($AB$2:$AQ$1001,MATCH(ROWS($U$2:U584),$U$2:$U$1001,0),MATCH(COLUMNS($AB$1006:AE1006),$AB$1006:$AQ$1006,0)), HYPERLINK("#",""), HYPERLINK(CONCATENATE("#Metadata!", ADDRESS(INDEX($W$2:$W$1001,MATCH(ROWS($U$2:U584),$U$2:$U$1001,0),0), INDEX($AB$1004:$AQ$1004,1,MATCH(COLUMNS($AB$1006:AE1006),$AB$1006:$AQ$1006,0)))),"Fix")))</f>
        <v>0</v>
      </c>
      <c r="F584" s="5">
        <f>IF(OR(INDEX($V$2:$V$1001,MATCH(ROWS($U$2:U584),$U$2:$U$1001,0),1)&gt;=100000,INDEX($AB$1005:$AQ$1005,1,MATCH(COLUMNS($AB$1006:AF1006),$AB$1006:$AQ$1006,0))&gt;=100000), " ",IF(INDEX($AB$2:$AQ$1001,MATCH(ROWS($U$2:U584),$U$2:$U$1001,0),MATCH(COLUMNS($AB$1006:AF1006),$AB$1006:$AQ$1006,0)), HYPERLINK("#",""), HYPERLINK(CONCATENATE("#Metadata!", ADDRESS(INDEX($W$2:$W$1001,MATCH(ROWS($U$2:U584),$U$2:$U$1001,0),0), INDEX($AB$1004:$AQ$1004,1,MATCH(COLUMNS($AB$1006:AF1006),$AB$1006:$AQ$1006,0)))),"Fix")))</f>
        <v>0</v>
      </c>
      <c r="G584" s="5">
        <f>IF(OR(INDEX($V$2:$V$1001,MATCH(ROWS($U$2:U584),$U$2:$U$1001,0),1)&gt;=100000,INDEX($AB$1005:$AQ$1005,1,MATCH(COLUMNS($AB$1006:AG1006),$AB$1006:$AQ$1006,0))&gt;=100000), " ",IF(INDEX($AB$2:$AQ$1001,MATCH(ROWS($U$2:U584),$U$2:$U$1001,0),MATCH(COLUMNS($AB$1006:AG1006),$AB$1006:$AQ$1006,0)), HYPERLINK("#",""), HYPERLINK(CONCATENATE("#Metadata!", ADDRESS(INDEX($W$2:$W$1001,MATCH(ROWS($U$2:U584),$U$2:$U$1001,0),0), INDEX($AB$1004:$AQ$1004,1,MATCH(COLUMNS($AB$1006:AG1006),$AB$1006:$AQ$1006,0)))),"Fix")))</f>
        <v>0</v>
      </c>
      <c r="H584" s="5">
        <f>IF(OR(INDEX($V$2:$V$1001,MATCH(ROWS($U$2:U584),$U$2:$U$1001,0),1)&gt;=100000,INDEX($AB$1005:$AQ$1005,1,MATCH(COLUMNS($AB$1006:AH1006),$AB$1006:$AQ$1006,0))&gt;=100000), " ",IF(INDEX($AB$2:$AQ$1001,MATCH(ROWS($U$2:U584),$U$2:$U$1001,0),MATCH(COLUMNS($AB$1006:AH1006),$AB$1006:$AQ$1006,0)), HYPERLINK("#",""), HYPERLINK(CONCATENATE("#Metadata!", ADDRESS(INDEX($W$2:$W$1001,MATCH(ROWS($U$2:U584),$U$2:$U$1001,0),0), INDEX($AB$1004:$AQ$1004,1,MATCH(COLUMNS($AB$1006:AH1006),$AB$1006:$AQ$1006,0)))),"Fix")))</f>
        <v>0</v>
      </c>
      <c r="I584" s="5">
        <f>IF(OR(INDEX($V$2:$V$1001,MATCH(ROWS($U$2:U584),$U$2:$U$1001,0),1)&gt;=100000,INDEX($AB$1005:$AQ$1005,1,MATCH(COLUMNS($AB$1006:AI1006),$AB$1006:$AQ$1006,0))&gt;=100000), " ",IF(INDEX($AB$2:$AQ$1001,MATCH(ROWS($U$2:U584),$U$2:$U$1001,0),MATCH(COLUMNS($AB$1006:AI1006),$AB$1006:$AQ$1006,0)), HYPERLINK("#",""), HYPERLINK(CONCATENATE("#Metadata!", ADDRESS(INDEX($W$2:$W$1001,MATCH(ROWS($U$2:U584),$U$2:$U$1001,0),0), INDEX($AB$1004:$AQ$1004,1,MATCH(COLUMNS($AB$1006:AI1006),$AB$1006:$AQ$1006,0)))),"Fix")))</f>
        <v>0</v>
      </c>
      <c r="J584" s="5">
        <f>IF(OR(INDEX($V$2:$V$1001,MATCH(ROWS($U$2:U584),$U$2:$U$1001,0),1)&gt;=100000,INDEX($AB$1005:$AQ$1005,1,MATCH(COLUMNS($AB$1006:AJ1006),$AB$1006:$AQ$1006,0))&gt;=100000), " ",IF(INDEX($AB$2:$AQ$1001,MATCH(ROWS($U$2:U584),$U$2:$U$1001,0),MATCH(COLUMNS($AB$1006:AJ1006),$AB$1006:$AQ$1006,0)), HYPERLINK("#",""), HYPERLINK(CONCATENATE("#Metadata!", ADDRESS(INDEX($W$2:$W$1001,MATCH(ROWS($U$2:U584),$U$2:$U$1001,0),0), INDEX($AB$1004:$AQ$1004,1,MATCH(COLUMNS($AB$1006:AJ1006),$AB$1006:$AQ$1006,0)))),"Fix")))</f>
        <v>0</v>
      </c>
      <c r="K584" s="5">
        <f>IF(OR(INDEX($V$2:$V$1001,MATCH(ROWS($U$2:U584),$U$2:$U$1001,0),1)&gt;=100000,INDEX($AB$1005:$AQ$1005,1,MATCH(COLUMNS($AB$1006:AK1006),$AB$1006:$AQ$1006,0))&gt;=100000), " ",IF(INDEX($AB$2:$AQ$1001,MATCH(ROWS($U$2:U584),$U$2:$U$1001,0),MATCH(COLUMNS($AB$1006:AK1006),$AB$1006:$AQ$1006,0)), HYPERLINK("#",""), HYPERLINK(CONCATENATE("#Metadata!", ADDRESS(INDEX($W$2:$W$1001,MATCH(ROWS($U$2:U584),$U$2:$U$1001,0),0), INDEX($AB$1004:$AQ$1004,1,MATCH(COLUMNS($AB$1006:AK1006),$AB$1006:$AQ$1006,0)))),"Fix")))</f>
        <v>0</v>
      </c>
      <c r="L584" s="5">
        <f>IF(OR(INDEX($V$2:$V$1001,MATCH(ROWS($U$2:U584),$U$2:$U$1001,0),1)&gt;=100000,INDEX($AB$1005:$AQ$1005,1,MATCH(COLUMNS($AB$1006:AL1006),$AB$1006:$AQ$1006,0))&gt;=100000), " ",IF(INDEX($AB$2:$AQ$1001,MATCH(ROWS($U$2:U584),$U$2:$U$1001,0),MATCH(COLUMNS($AB$1006:AL1006),$AB$1006:$AQ$1006,0)), HYPERLINK("#",""), HYPERLINK(CONCATENATE("#Metadata!", ADDRESS(INDEX($W$2:$W$1001,MATCH(ROWS($U$2:U584),$U$2:$U$1001,0),0), INDEX($AB$1004:$AQ$1004,1,MATCH(COLUMNS($AB$1006:AL1006),$AB$1006:$AQ$1006,0)))),"Fix")))</f>
        <v>0</v>
      </c>
      <c r="M584" s="5">
        <f>IF(OR(INDEX($V$2:$V$1001,MATCH(ROWS($U$2:U584),$U$2:$U$1001,0),1)&gt;=100000,INDEX($AB$1005:$AQ$1005,1,MATCH(COLUMNS($AB$1006:AM1006),$AB$1006:$AQ$1006,0))&gt;=100000), " ",IF(INDEX($AB$2:$AQ$1001,MATCH(ROWS($U$2:U584),$U$2:$U$1001,0),MATCH(COLUMNS($AB$1006:AM1006),$AB$1006:$AQ$1006,0)), HYPERLINK("#",""), HYPERLINK(CONCATENATE("#Metadata!", ADDRESS(INDEX($W$2:$W$1001,MATCH(ROWS($U$2:U584),$U$2:$U$1001,0),0), INDEX($AB$1004:$AQ$1004,1,MATCH(COLUMNS($AB$1006:AM1006),$AB$1006:$AQ$1006,0)))),"Fix")))</f>
        <v>0</v>
      </c>
      <c r="N584" s="5">
        <f>IF(OR(INDEX($V$2:$V$1001,MATCH(ROWS($U$2:U584),$U$2:$U$1001,0),1)&gt;=100000,INDEX($AB$1005:$AQ$1005,1,MATCH(COLUMNS($AB$1006:AN1006),$AB$1006:$AQ$1006,0))&gt;=100000), " ",IF(INDEX($AB$2:$AQ$1001,MATCH(ROWS($U$2:U584),$U$2:$U$1001,0),MATCH(COLUMNS($AB$1006:AN1006),$AB$1006:$AQ$1006,0)), HYPERLINK("#",""), HYPERLINK(CONCATENATE("#Metadata!", ADDRESS(INDEX($W$2:$W$1001,MATCH(ROWS($U$2:U584),$U$2:$U$1001,0),0), INDEX($AB$1004:$AQ$1004,1,MATCH(COLUMNS($AB$1006:AN1006),$AB$1006:$AQ$1006,0)))),"Fix")))</f>
        <v>0</v>
      </c>
      <c r="O584" s="5">
        <f>IF(OR(INDEX($V$2:$V$1001,MATCH(ROWS($U$2:U584),$U$2:$U$1001,0),1)&gt;=100000,INDEX($AB$1005:$AQ$1005,1,MATCH(COLUMNS($AB$1006:AO1006),$AB$1006:$AQ$1006,0))&gt;=100000), " ",IF(INDEX($AB$2:$AQ$1001,MATCH(ROWS($U$2:U584),$U$2:$U$1001,0),MATCH(COLUMNS($AB$1006:AO1006),$AB$1006:$AQ$1006,0)), HYPERLINK("#",""), HYPERLINK(CONCATENATE("#Metadata!", ADDRESS(INDEX($W$2:$W$1001,MATCH(ROWS($U$2:U584),$U$2:$U$1001,0),0), INDEX($AB$1004:$AQ$1004,1,MATCH(COLUMNS($AB$1006:AO1006),$AB$1006:$AQ$1006,0)))),"Fix")))</f>
        <v>0</v>
      </c>
      <c r="P584" s="5">
        <f>IF(OR(INDEX($V$2:$V$1001,MATCH(ROWS($U$2:U584),$U$2:$U$1001,0),1)&gt;=100000,INDEX($AB$1005:$AQ$1005,1,MATCH(COLUMNS($AB$1006:AP1006),$AB$1006:$AQ$1006,0))&gt;=100000), " ",IF(INDEX($AB$2:$AQ$1001,MATCH(ROWS($U$2:U584),$U$2:$U$1001,0),MATCH(COLUMNS($AB$1006:AP1006),$AB$1006:$AQ$1006,0)), HYPERLINK("#",""), HYPERLINK(CONCATENATE("#Metadata!", ADDRESS(INDEX($W$2:$W$1001,MATCH(ROWS($U$2:U584),$U$2:$U$1001,0),0), INDEX($AB$1004:$AQ$1004,1,MATCH(COLUMNS($AB$1006:AP1006),$AB$1006:$AQ$1006,0)))),"Fix")))</f>
        <v>0</v>
      </c>
      <c r="Q584" s="5">
        <f>IF(OR(INDEX($V$2:$V$1001,MATCH(ROWS($U$2:U584),$U$2:$U$1001,0),1)&gt;=100000,INDEX($AB$1005:$AQ$1005,1,MATCH(COLUMNS($AB$1006:AQ1006),$AB$1006:$AQ$1006,0))&gt;=100000), " ",IF(INDEX($AB$2:$AQ$1001,MATCH(ROWS($U$2:U584),$U$2:$U$1001,0),MATCH(COLUMNS($AB$1006:AQ1006),$AB$1006:$AQ$1006,0)), HYPERLINK("#",""), HYPERLINK(CONCATENATE("#Metadata!", ADDRESS(INDEX($W$2:$W$1001,MATCH(ROWS($U$2:U584),$U$2:$U$1001,0),0), INDEX($AB$1004:$AQ$1004,1,MATCH(COLUMNS($AB$1006:AQ1006),$AB$1006:$AQ$1006,0)))),"Fix")))</f>
        <v>0</v>
      </c>
      <c r="U584">
        <v>0</v>
      </c>
      <c r="V584">
        <v>0</v>
      </c>
      <c r="W584">
        <v>0</v>
      </c>
      <c r="X584">
        <f>IF(Y584,TRUE,AND(AB584:AQ584))</f>
        <v>0</v>
      </c>
      <c r="Y584">
        <f>COUNTBLANK(Metadata!B584:Q584)=COLUMNS(Metadata!B584:Q584)</f>
        <v>0</v>
      </c>
      <c r="Z584">
        <v>0</v>
      </c>
      <c r="AB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AC584">
        <f>AND(IF(Metadata!C584="",FALSE,TRUE),exact(Metadata!C584,"urban biome"))</f>
        <v>0</v>
      </c>
      <c r="AD584">
        <f>AND(IF(Metadata!D584="",FALSE,TRUE),exact(Metadata!D584,"human-associated habitat"))</f>
        <v>0</v>
      </c>
      <c r="AE584">
        <f>AND(IF(Metadata!E584="",FALSE,TRUE),OR(exact(Metadata!E584,"human-associated"),exact(Metadata!E584,"human-skin"),exact(Metadata!E584,"human-oral"),exact(Metadata!E584,"human-gut"),exact(Metadata!E584,"human-vaginal")))</f>
        <v>0</v>
      </c>
      <c r="AF584">
        <f>AND(IF(Metadata!F584="",FALSE,ISNUMBER(VALUE(Metadata!F584))),Metadata!F584&gt;0)</f>
        <v>0</v>
      </c>
      <c r="AG584">
        <f>AND(IF(Metadata!G584="",FALSE,TRUE),exact(Metadata!G584,"years"))</f>
        <v>0</v>
      </c>
      <c r="AH584">
        <f>OR(AND(IF(Metadata!H584="",FALSE,TRUE),OR(exact(Metadata!H584,"not applicable"),exact(Metadata!H584,"not collected"),exact(Metadata!H584,"not provided"),exact(Metadata!H584,"restricted access"))),AND(IF(Metadata!H584="",FALSE,ISNUMBER(VALUE(Metadata!H584))),Metadata!H584&gt;0))</f>
        <v>0</v>
      </c>
      <c r="AI584">
        <f>AND(IF(Metadata!I584="",FALSE,TRUE),exact(Metadata!I584,"human"))</f>
        <v>0</v>
      </c>
      <c r="AJ584">
        <f>AND(IF(Metadata!J584="",FALSE,ISNUMBER(VALUE(Metadata!J584))),Metadata!J584&gt;0)</f>
        <v>0</v>
      </c>
      <c r="AK584">
        <f>AND(IF(Metadata!K584="",FALSE,TRUE),exact(Metadata!K584,"cm"))</f>
        <v>0</v>
      </c>
      <c r="AL584">
        <f>AND(IF(Metadata!L584="",FALSE,TRUE),exact(Metadata!L584,"Homo sapiens"))</f>
        <v>0</v>
      </c>
      <c r="AM584">
        <f>AND(IF(Metadata!M584="",FALSE,TRUE),exact(Metadata!M584,"9606"))</f>
        <v>0</v>
      </c>
      <c r="AN584">
        <f>AND(IF(Metadata!N584="",FALSE,ISNUMBER(VALUE(Metadata!N584))),Metadata!N584&gt;0)</f>
        <v>0</v>
      </c>
      <c r="AO584">
        <f>AND(IF(Metadata!O584="",FALSE,TRUE),exact(Metadata!O584,"kg"))</f>
        <v>0</v>
      </c>
      <c r="AP584">
        <f>OR(AND(IF(Metadata!P584="",FALSE,TRUE),exact(Metadata!P584,"not provided")),IF(Metadata!P584="",FALSE,TRUE))</f>
        <v>0</v>
      </c>
      <c r="AQ584">
        <f>OR(AND(IF(Metadata!Q584="",FALSE,TRUE),exact(Metadata!Q584,"not provided")),IF(Metadata!Q584="",FALSE,TRUE))</f>
        <v>0</v>
      </c>
    </row>
    <row r="585" spans="1:43">
      <c r="A585" s="4">
        <f>IF(B585=" "," ",HYPERLINK(CONCATENATE("#metadata!",ADDRESS(INDEX($W$2:$W$1001,MATCH(ROWS($U$2:U585),$U$2:$U$1001,0),0),2)),INDEX($Z$2:$Z$1001,MATCH(ROWS($U$2:U585),$U$2:$U$1001,0),0)))</f>
        <v>0</v>
      </c>
      <c r="B585" s="5">
        <f>IF(OR(INDEX($V$2:$V$1001,MATCH(ROWS($U$2:U585),$U$2:$U$1001,0),1)&gt;=100000,INDEX($AB$1005:$AQ$1005,1,MATCH(COLUMNS($AB$1006:AB1006),$AB$1006:$AQ$1006,0))&gt;=100000), " ",IF(INDEX($AB$2:$AQ$1001,MATCH(ROWS($U$2:U585),$U$2:$U$1001,0),MATCH(COLUMNS($AB$1006:AB1006),$AB$1006:$AQ$1006,0)), HYPERLINK("#",""), HYPERLINK(CONCATENATE("#Metadata!", ADDRESS(INDEX($W$2:$W$1001,MATCH(ROWS($U$2:U585),$U$2:$U$1001,0),0), INDEX($AB$1004:$AQ$1004,1,MATCH(COLUMNS($AB$1006:AB1006),$AB$1006:$AQ$1006,0)))),"Fix")))</f>
        <v>0</v>
      </c>
      <c r="C585" s="5">
        <f>IF(OR(INDEX($V$2:$V$1001,MATCH(ROWS($U$2:U585),$U$2:$U$1001,0),1)&gt;=100000,INDEX($AB$1005:$AQ$1005,1,MATCH(COLUMNS($AB$1006:AC1006),$AB$1006:$AQ$1006,0))&gt;=100000), " ",IF(INDEX($AB$2:$AQ$1001,MATCH(ROWS($U$2:U585),$U$2:$U$1001,0),MATCH(COLUMNS($AB$1006:AC1006),$AB$1006:$AQ$1006,0)), HYPERLINK("#",""), HYPERLINK(CONCATENATE("#Metadata!", ADDRESS(INDEX($W$2:$W$1001,MATCH(ROWS($U$2:U585),$U$2:$U$1001,0),0), INDEX($AB$1004:$AQ$1004,1,MATCH(COLUMNS($AB$1006:AC1006),$AB$1006:$AQ$1006,0)))),"Fix")))</f>
        <v>0</v>
      </c>
      <c r="D585" s="5">
        <f>IF(OR(INDEX($V$2:$V$1001,MATCH(ROWS($U$2:U585),$U$2:$U$1001,0),1)&gt;=100000,INDEX($AB$1005:$AQ$1005,1,MATCH(COLUMNS($AB$1006:AD1006),$AB$1006:$AQ$1006,0))&gt;=100000), " ",IF(INDEX($AB$2:$AQ$1001,MATCH(ROWS($U$2:U585),$U$2:$U$1001,0),MATCH(COLUMNS($AB$1006:AD1006),$AB$1006:$AQ$1006,0)), HYPERLINK("#",""), HYPERLINK(CONCATENATE("#Metadata!", ADDRESS(INDEX($W$2:$W$1001,MATCH(ROWS($U$2:U585),$U$2:$U$1001,0),0), INDEX($AB$1004:$AQ$1004,1,MATCH(COLUMNS($AB$1006:AD1006),$AB$1006:$AQ$1006,0)))),"Fix")))</f>
        <v>0</v>
      </c>
      <c r="E585" s="5">
        <f>IF(OR(INDEX($V$2:$V$1001,MATCH(ROWS($U$2:U585),$U$2:$U$1001,0),1)&gt;=100000,INDEX($AB$1005:$AQ$1005,1,MATCH(COLUMNS($AB$1006:AE1006),$AB$1006:$AQ$1006,0))&gt;=100000), " ",IF(INDEX($AB$2:$AQ$1001,MATCH(ROWS($U$2:U585),$U$2:$U$1001,0),MATCH(COLUMNS($AB$1006:AE1006),$AB$1006:$AQ$1006,0)), HYPERLINK("#",""), HYPERLINK(CONCATENATE("#Metadata!", ADDRESS(INDEX($W$2:$W$1001,MATCH(ROWS($U$2:U585),$U$2:$U$1001,0),0), INDEX($AB$1004:$AQ$1004,1,MATCH(COLUMNS($AB$1006:AE1006),$AB$1006:$AQ$1006,0)))),"Fix")))</f>
        <v>0</v>
      </c>
      <c r="F585" s="5">
        <f>IF(OR(INDEX($V$2:$V$1001,MATCH(ROWS($U$2:U585),$U$2:$U$1001,0),1)&gt;=100000,INDEX($AB$1005:$AQ$1005,1,MATCH(COLUMNS($AB$1006:AF1006),$AB$1006:$AQ$1006,0))&gt;=100000), " ",IF(INDEX($AB$2:$AQ$1001,MATCH(ROWS($U$2:U585),$U$2:$U$1001,0),MATCH(COLUMNS($AB$1006:AF1006),$AB$1006:$AQ$1006,0)), HYPERLINK("#",""), HYPERLINK(CONCATENATE("#Metadata!", ADDRESS(INDEX($W$2:$W$1001,MATCH(ROWS($U$2:U585),$U$2:$U$1001,0),0), INDEX($AB$1004:$AQ$1004,1,MATCH(COLUMNS($AB$1006:AF1006),$AB$1006:$AQ$1006,0)))),"Fix")))</f>
        <v>0</v>
      </c>
      <c r="G585" s="5">
        <f>IF(OR(INDEX($V$2:$V$1001,MATCH(ROWS($U$2:U585),$U$2:$U$1001,0),1)&gt;=100000,INDEX($AB$1005:$AQ$1005,1,MATCH(COLUMNS($AB$1006:AG1006),$AB$1006:$AQ$1006,0))&gt;=100000), " ",IF(INDEX($AB$2:$AQ$1001,MATCH(ROWS($U$2:U585),$U$2:$U$1001,0),MATCH(COLUMNS($AB$1006:AG1006),$AB$1006:$AQ$1006,0)), HYPERLINK("#",""), HYPERLINK(CONCATENATE("#Metadata!", ADDRESS(INDEX($W$2:$W$1001,MATCH(ROWS($U$2:U585),$U$2:$U$1001,0),0), INDEX($AB$1004:$AQ$1004,1,MATCH(COLUMNS($AB$1006:AG1006),$AB$1006:$AQ$1006,0)))),"Fix")))</f>
        <v>0</v>
      </c>
      <c r="H585" s="5">
        <f>IF(OR(INDEX($V$2:$V$1001,MATCH(ROWS($U$2:U585),$U$2:$U$1001,0),1)&gt;=100000,INDEX($AB$1005:$AQ$1005,1,MATCH(COLUMNS($AB$1006:AH1006),$AB$1006:$AQ$1006,0))&gt;=100000), " ",IF(INDEX($AB$2:$AQ$1001,MATCH(ROWS($U$2:U585),$U$2:$U$1001,0),MATCH(COLUMNS($AB$1006:AH1006),$AB$1006:$AQ$1006,0)), HYPERLINK("#",""), HYPERLINK(CONCATENATE("#Metadata!", ADDRESS(INDEX($W$2:$W$1001,MATCH(ROWS($U$2:U585),$U$2:$U$1001,0),0), INDEX($AB$1004:$AQ$1004,1,MATCH(COLUMNS($AB$1006:AH1006),$AB$1006:$AQ$1006,0)))),"Fix")))</f>
        <v>0</v>
      </c>
      <c r="I585" s="5">
        <f>IF(OR(INDEX($V$2:$V$1001,MATCH(ROWS($U$2:U585),$U$2:$U$1001,0),1)&gt;=100000,INDEX($AB$1005:$AQ$1005,1,MATCH(COLUMNS($AB$1006:AI1006),$AB$1006:$AQ$1006,0))&gt;=100000), " ",IF(INDEX($AB$2:$AQ$1001,MATCH(ROWS($U$2:U585),$U$2:$U$1001,0),MATCH(COLUMNS($AB$1006:AI1006),$AB$1006:$AQ$1006,0)), HYPERLINK("#",""), HYPERLINK(CONCATENATE("#Metadata!", ADDRESS(INDEX($W$2:$W$1001,MATCH(ROWS($U$2:U585),$U$2:$U$1001,0),0), INDEX($AB$1004:$AQ$1004,1,MATCH(COLUMNS($AB$1006:AI1006),$AB$1006:$AQ$1006,0)))),"Fix")))</f>
        <v>0</v>
      </c>
      <c r="J585" s="5">
        <f>IF(OR(INDEX($V$2:$V$1001,MATCH(ROWS($U$2:U585),$U$2:$U$1001,0),1)&gt;=100000,INDEX($AB$1005:$AQ$1005,1,MATCH(COLUMNS($AB$1006:AJ1006),$AB$1006:$AQ$1006,0))&gt;=100000), " ",IF(INDEX($AB$2:$AQ$1001,MATCH(ROWS($U$2:U585),$U$2:$U$1001,0),MATCH(COLUMNS($AB$1006:AJ1006),$AB$1006:$AQ$1006,0)), HYPERLINK("#",""), HYPERLINK(CONCATENATE("#Metadata!", ADDRESS(INDEX($W$2:$W$1001,MATCH(ROWS($U$2:U585),$U$2:$U$1001,0),0), INDEX($AB$1004:$AQ$1004,1,MATCH(COLUMNS($AB$1006:AJ1006),$AB$1006:$AQ$1006,0)))),"Fix")))</f>
        <v>0</v>
      </c>
      <c r="K585" s="5">
        <f>IF(OR(INDEX($V$2:$V$1001,MATCH(ROWS($U$2:U585),$U$2:$U$1001,0),1)&gt;=100000,INDEX($AB$1005:$AQ$1005,1,MATCH(COLUMNS($AB$1006:AK1006),$AB$1006:$AQ$1006,0))&gt;=100000), " ",IF(INDEX($AB$2:$AQ$1001,MATCH(ROWS($U$2:U585),$U$2:$U$1001,0),MATCH(COLUMNS($AB$1006:AK1006),$AB$1006:$AQ$1006,0)), HYPERLINK("#",""), HYPERLINK(CONCATENATE("#Metadata!", ADDRESS(INDEX($W$2:$W$1001,MATCH(ROWS($U$2:U585),$U$2:$U$1001,0),0), INDEX($AB$1004:$AQ$1004,1,MATCH(COLUMNS($AB$1006:AK1006),$AB$1006:$AQ$1006,0)))),"Fix")))</f>
        <v>0</v>
      </c>
      <c r="L585" s="5">
        <f>IF(OR(INDEX($V$2:$V$1001,MATCH(ROWS($U$2:U585),$U$2:$U$1001,0),1)&gt;=100000,INDEX($AB$1005:$AQ$1005,1,MATCH(COLUMNS($AB$1006:AL1006),$AB$1006:$AQ$1006,0))&gt;=100000), " ",IF(INDEX($AB$2:$AQ$1001,MATCH(ROWS($U$2:U585),$U$2:$U$1001,0),MATCH(COLUMNS($AB$1006:AL1006),$AB$1006:$AQ$1006,0)), HYPERLINK("#",""), HYPERLINK(CONCATENATE("#Metadata!", ADDRESS(INDEX($W$2:$W$1001,MATCH(ROWS($U$2:U585),$U$2:$U$1001,0),0), INDEX($AB$1004:$AQ$1004,1,MATCH(COLUMNS($AB$1006:AL1006),$AB$1006:$AQ$1006,0)))),"Fix")))</f>
        <v>0</v>
      </c>
      <c r="M585" s="5">
        <f>IF(OR(INDEX($V$2:$V$1001,MATCH(ROWS($U$2:U585),$U$2:$U$1001,0),1)&gt;=100000,INDEX($AB$1005:$AQ$1005,1,MATCH(COLUMNS($AB$1006:AM1006),$AB$1006:$AQ$1006,0))&gt;=100000), " ",IF(INDEX($AB$2:$AQ$1001,MATCH(ROWS($U$2:U585),$U$2:$U$1001,0),MATCH(COLUMNS($AB$1006:AM1006),$AB$1006:$AQ$1006,0)), HYPERLINK("#",""), HYPERLINK(CONCATENATE("#Metadata!", ADDRESS(INDEX($W$2:$W$1001,MATCH(ROWS($U$2:U585),$U$2:$U$1001,0),0), INDEX($AB$1004:$AQ$1004,1,MATCH(COLUMNS($AB$1006:AM1006),$AB$1006:$AQ$1006,0)))),"Fix")))</f>
        <v>0</v>
      </c>
      <c r="N585" s="5">
        <f>IF(OR(INDEX($V$2:$V$1001,MATCH(ROWS($U$2:U585),$U$2:$U$1001,0),1)&gt;=100000,INDEX($AB$1005:$AQ$1005,1,MATCH(COLUMNS($AB$1006:AN1006),$AB$1006:$AQ$1006,0))&gt;=100000), " ",IF(INDEX($AB$2:$AQ$1001,MATCH(ROWS($U$2:U585),$U$2:$U$1001,0),MATCH(COLUMNS($AB$1006:AN1006),$AB$1006:$AQ$1006,0)), HYPERLINK("#",""), HYPERLINK(CONCATENATE("#Metadata!", ADDRESS(INDEX($W$2:$W$1001,MATCH(ROWS($U$2:U585),$U$2:$U$1001,0),0), INDEX($AB$1004:$AQ$1004,1,MATCH(COLUMNS($AB$1006:AN1006),$AB$1006:$AQ$1006,0)))),"Fix")))</f>
        <v>0</v>
      </c>
      <c r="O585" s="5">
        <f>IF(OR(INDEX($V$2:$V$1001,MATCH(ROWS($U$2:U585),$U$2:$U$1001,0),1)&gt;=100000,INDEX($AB$1005:$AQ$1005,1,MATCH(COLUMNS($AB$1006:AO1006),$AB$1006:$AQ$1006,0))&gt;=100000), " ",IF(INDEX($AB$2:$AQ$1001,MATCH(ROWS($U$2:U585),$U$2:$U$1001,0),MATCH(COLUMNS($AB$1006:AO1006),$AB$1006:$AQ$1006,0)), HYPERLINK("#",""), HYPERLINK(CONCATENATE("#Metadata!", ADDRESS(INDEX($W$2:$W$1001,MATCH(ROWS($U$2:U585),$U$2:$U$1001,0),0), INDEX($AB$1004:$AQ$1004,1,MATCH(COLUMNS($AB$1006:AO1006),$AB$1006:$AQ$1006,0)))),"Fix")))</f>
        <v>0</v>
      </c>
      <c r="P585" s="5">
        <f>IF(OR(INDEX($V$2:$V$1001,MATCH(ROWS($U$2:U585),$U$2:$U$1001,0),1)&gt;=100000,INDEX($AB$1005:$AQ$1005,1,MATCH(COLUMNS($AB$1006:AP1006),$AB$1006:$AQ$1006,0))&gt;=100000), " ",IF(INDEX($AB$2:$AQ$1001,MATCH(ROWS($U$2:U585),$U$2:$U$1001,0),MATCH(COLUMNS($AB$1006:AP1006),$AB$1006:$AQ$1006,0)), HYPERLINK("#",""), HYPERLINK(CONCATENATE("#Metadata!", ADDRESS(INDEX($W$2:$W$1001,MATCH(ROWS($U$2:U585),$U$2:$U$1001,0),0), INDEX($AB$1004:$AQ$1004,1,MATCH(COLUMNS($AB$1006:AP1006),$AB$1006:$AQ$1006,0)))),"Fix")))</f>
        <v>0</v>
      </c>
      <c r="Q585" s="5">
        <f>IF(OR(INDEX($V$2:$V$1001,MATCH(ROWS($U$2:U585),$U$2:$U$1001,0),1)&gt;=100000,INDEX($AB$1005:$AQ$1005,1,MATCH(COLUMNS($AB$1006:AQ1006),$AB$1006:$AQ$1006,0))&gt;=100000), " ",IF(INDEX($AB$2:$AQ$1001,MATCH(ROWS($U$2:U585),$U$2:$U$1001,0),MATCH(COLUMNS($AB$1006:AQ1006),$AB$1006:$AQ$1006,0)), HYPERLINK("#",""), HYPERLINK(CONCATENATE("#Metadata!", ADDRESS(INDEX($W$2:$W$1001,MATCH(ROWS($U$2:U585),$U$2:$U$1001,0),0), INDEX($AB$1004:$AQ$1004,1,MATCH(COLUMNS($AB$1006:AQ1006),$AB$1006:$AQ$1006,0)))),"Fix")))</f>
        <v>0</v>
      </c>
      <c r="U585">
        <v>0</v>
      </c>
      <c r="V585">
        <v>0</v>
      </c>
      <c r="W585">
        <v>0</v>
      </c>
      <c r="X585">
        <f>IF(Y585,TRUE,AND(AB585:AQ585))</f>
        <v>0</v>
      </c>
      <c r="Y585">
        <f>COUNTBLANK(Metadata!B585:Q585)=COLUMNS(Metadata!B585:Q585)</f>
        <v>0</v>
      </c>
      <c r="Z585">
        <v>0</v>
      </c>
      <c r="AB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AC585">
        <f>AND(IF(Metadata!C585="",FALSE,TRUE),exact(Metadata!C585,"urban biome"))</f>
        <v>0</v>
      </c>
      <c r="AD585">
        <f>AND(IF(Metadata!D585="",FALSE,TRUE),exact(Metadata!D585,"human-associated habitat"))</f>
        <v>0</v>
      </c>
      <c r="AE585">
        <f>AND(IF(Metadata!E585="",FALSE,TRUE),OR(exact(Metadata!E585,"human-associated"),exact(Metadata!E585,"human-skin"),exact(Metadata!E585,"human-oral"),exact(Metadata!E585,"human-gut"),exact(Metadata!E585,"human-vaginal")))</f>
        <v>0</v>
      </c>
      <c r="AF585">
        <f>AND(IF(Metadata!F585="",FALSE,ISNUMBER(VALUE(Metadata!F585))),Metadata!F585&gt;0)</f>
        <v>0</v>
      </c>
      <c r="AG585">
        <f>AND(IF(Metadata!G585="",FALSE,TRUE),exact(Metadata!G585,"years"))</f>
        <v>0</v>
      </c>
      <c r="AH585">
        <f>OR(AND(IF(Metadata!H585="",FALSE,TRUE),OR(exact(Metadata!H585,"not applicable"),exact(Metadata!H585,"not collected"),exact(Metadata!H585,"not provided"),exact(Metadata!H585,"restricted access"))),AND(IF(Metadata!H585="",FALSE,ISNUMBER(VALUE(Metadata!H585))),Metadata!H585&gt;0))</f>
        <v>0</v>
      </c>
      <c r="AI585">
        <f>AND(IF(Metadata!I585="",FALSE,TRUE),exact(Metadata!I585,"human"))</f>
        <v>0</v>
      </c>
      <c r="AJ585">
        <f>AND(IF(Metadata!J585="",FALSE,ISNUMBER(VALUE(Metadata!J585))),Metadata!J585&gt;0)</f>
        <v>0</v>
      </c>
      <c r="AK585">
        <f>AND(IF(Metadata!K585="",FALSE,TRUE),exact(Metadata!K585,"cm"))</f>
        <v>0</v>
      </c>
      <c r="AL585">
        <f>AND(IF(Metadata!L585="",FALSE,TRUE),exact(Metadata!L585,"Homo sapiens"))</f>
        <v>0</v>
      </c>
      <c r="AM585">
        <f>AND(IF(Metadata!M585="",FALSE,TRUE),exact(Metadata!M585,"9606"))</f>
        <v>0</v>
      </c>
      <c r="AN585">
        <f>AND(IF(Metadata!N585="",FALSE,ISNUMBER(VALUE(Metadata!N585))),Metadata!N585&gt;0)</f>
        <v>0</v>
      </c>
      <c r="AO585">
        <f>AND(IF(Metadata!O585="",FALSE,TRUE),exact(Metadata!O585,"kg"))</f>
        <v>0</v>
      </c>
      <c r="AP585">
        <f>OR(AND(IF(Metadata!P585="",FALSE,TRUE),exact(Metadata!P585,"not provided")),IF(Metadata!P585="",FALSE,TRUE))</f>
        <v>0</v>
      </c>
      <c r="AQ585">
        <f>OR(AND(IF(Metadata!Q585="",FALSE,TRUE),exact(Metadata!Q585,"not provided")),IF(Metadata!Q585="",FALSE,TRUE))</f>
        <v>0</v>
      </c>
    </row>
    <row r="586" spans="1:43">
      <c r="A586" s="4">
        <f>IF(B586=" "," ",HYPERLINK(CONCATENATE("#metadata!",ADDRESS(INDEX($W$2:$W$1001,MATCH(ROWS($U$2:U586),$U$2:$U$1001,0),0),2)),INDEX($Z$2:$Z$1001,MATCH(ROWS($U$2:U586),$U$2:$U$1001,0),0)))</f>
        <v>0</v>
      </c>
      <c r="B586" s="5">
        <f>IF(OR(INDEX($V$2:$V$1001,MATCH(ROWS($U$2:U586),$U$2:$U$1001,0),1)&gt;=100000,INDEX($AB$1005:$AQ$1005,1,MATCH(COLUMNS($AB$1006:AB1006),$AB$1006:$AQ$1006,0))&gt;=100000), " ",IF(INDEX($AB$2:$AQ$1001,MATCH(ROWS($U$2:U586),$U$2:$U$1001,0),MATCH(COLUMNS($AB$1006:AB1006),$AB$1006:$AQ$1006,0)), HYPERLINK("#",""), HYPERLINK(CONCATENATE("#Metadata!", ADDRESS(INDEX($W$2:$W$1001,MATCH(ROWS($U$2:U586),$U$2:$U$1001,0),0), INDEX($AB$1004:$AQ$1004,1,MATCH(COLUMNS($AB$1006:AB1006),$AB$1006:$AQ$1006,0)))),"Fix")))</f>
        <v>0</v>
      </c>
      <c r="C586" s="5">
        <f>IF(OR(INDEX($V$2:$V$1001,MATCH(ROWS($U$2:U586),$U$2:$U$1001,0),1)&gt;=100000,INDEX($AB$1005:$AQ$1005,1,MATCH(COLUMNS($AB$1006:AC1006),$AB$1006:$AQ$1006,0))&gt;=100000), " ",IF(INDEX($AB$2:$AQ$1001,MATCH(ROWS($U$2:U586),$U$2:$U$1001,0),MATCH(COLUMNS($AB$1006:AC1006),$AB$1006:$AQ$1006,0)), HYPERLINK("#",""), HYPERLINK(CONCATENATE("#Metadata!", ADDRESS(INDEX($W$2:$W$1001,MATCH(ROWS($U$2:U586),$U$2:$U$1001,0),0), INDEX($AB$1004:$AQ$1004,1,MATCH(COLUMNS($AB$1006:AC1006),$AB$1006:$AQ$1006,0)))),"Fix")))</f>
        <v>0</v>
      </c>
      <c r="D586" s="5">
        <f>IF(OR(INDEX($V$2:$V$1001,MATCH(ROWS($U$2:U586),$U$2:$U$1001,0),1)&gt;=100000,INDEX($AB$1005:$AQ$1005,1,MATCH(COLUMNS($AB$1006:AD1006),$AB$1006:$AQ$1006,0))&gt;=100000), " ",IF(INDEX($AB$2:$AQ$1001,MATCH(ROWS($U$2:U586),$U$2:$U$1001,0),MATCH(COLUMNS($AB$1006:AD1006),$AB$1006:$AQ$1006,0)), HYPERLINK("#",""), HYPERLINK(CONCATENATE("#Metadata!", ADDRESS(INDEX($W$2:$W$1001,MATCH(ROWS($U$2:U586),$U$2:$U$1001,0),0), INDEX($AB$1004:$AQ$1004,1,MATCH(COLUMNS($AB$1006:AD1006),$AB$1006:$AQ$1006,0)))),"Fix")))</f>
        <v>0</v>
      </c>
      <c r="E586" s="5">
        <f>IF(OR(INDEX($V$2:$V$1001,MATCH(ROWS($U$2:U586),$U$2:$U$1001,0),1)&gt;=100000,INDEX($AB$1005:$AQ$1005,1,MATCH(COLUMNS($AB$1006:AE1006),$AB$1006:$AQ$1006,0))&gt;=100000), " ",IF(INDEX($AB$2:$AQ$1001,MATCH(ROWS($U$2:U586),$U$2:$U$1001,0),MATCH(COLUMNS($AB$1006:AE1006),$AB$1006:$AQ$1006,0)), HYPERLINK("#",""), HYPERLINK(CONCATENATE("#Metadata!", ADDRESS(INDEX($W$2:$W$1001,MATCH(ROWS($U$2:U586),$U$2:$U$1001,0),0), INDEX($AB$1004:$AQ$1004,1,MATCH(COLUMNS($AB$1006:AE1006),$AB$1006:$AQ$1006,0)))),"Fix")))</f>
        <v>0</v>
      </c>
      <c r="F586" s="5">
        <f>IF(OR(INDEX($V$2:$V$1001,MATCH(ROWS($U$2:U586),$U$2:$U$1001,0),1)&gt;=100000,INDEX($AB$1005:$AQ$1005,1,MATCH(COLUMNS($AB$1006:AF1006),$AB$1006:$AQ$1006,0))&gt;=100000), " ",IF(INDEX($AB$2:$AQ$1001,MATCH(ROWS($U$2:U586),$U$2:$U$1001,0),MATCH(COLUMNS($AB$1006:AF1006),$AB$1006:$AQ$1006,0)), HYPERLINK("#",""), HYPERLINK(CONCATENATE("#Metadata!", ADDRESS(INDEX($W$2:$W$1001,MATCH(ROWS($U$2:U586),$U$2:$U$1001,0),0), INDEX($AB$1004:$AQ$1004,1,MATCH(COLUMNS($AB$1006:AF1006),$AB$1006:$AQ$1006,0)))),"Fix")))</f>
        <v>0</v>
      </c>
      <c r="G586" s="5">
        <f>IF(OR(INDEX($V$2:$V$1001,MATCH(ROWS($U$2:U586),$U$2:$U$1001,0),1)&gt;=100000,INDEX($AB$1005:$AQ$1005,1,MATCH(COLUMNS($AB$1006:AG1006),$AB$1006:$AQ$1006,0))&gt;=100000), " ",IF(INDEX($AB$2:$AQ$1001,MATCH(ROWS($U$2:U586),$U$2:$U$1001,0),MATCH(COLUMNS($AB$1006:AG1006),$AB$1006:$AQ$1006,0)), HYPERLINK("#",""), HYPERLINK(CONCATENATE("#Metadata!", ADDRESS(INDEX($W$2:$W$1001,MATCH(ROWS($U$2:U586),$U$2:$U$1001,0),0), INDEX($AB$1004:$AQ$1004,1,MATCH(COLUMNS($AB$1006:AG1006),$AB$1006:$AQ$1006,0)))),"Fix")))</f>
        <v>0</v>
      </c>
      <c r="H586" s="5">
        <f>IF(OR(INDEX($V$2:$V$1001,MATCH(ROWS($U$2:U586),$U$2:$U$1001,0),1)&gt;=100000,INDEX($AB$1005:$AQ$1005,1,MATCH(COLUMNS($AB$1006:AH1006),$AB$1006:$AQ$1006,0))&gt;=100000), " ",IF(INDEX($AB$2:$AQ$1001,MATCH(ROWS($U$2:U586),$U$2:$U$1001,0),MATCH(COLUMNS($AB$1006:AH1006),$AB$1006:$AQ$1006,0)), HYPERLINK("#",""), HYPERLINK(CONCATENATE("#Metadata!", ADDRESS(INDEX($W$2:$W$1001,MATCH(ROWS($U$2:U586),$U$2:$U$1001,0),0), INDEX($AB$1004:$AQ$1004,1,MATCH(COLUMNS($AB$1006:AH1006),$AB$1006:$AQ$1006,0)))),"Fix")))</f>
        <v>0</v>
      </c>
      <c r="I586" s="5">
        <f>IF(OR(INDEX($V$2:$V$1001,MATCH(ROWS($U$2:U586),$U$2:$U$1001,0),1)&gt;=100000,INDEX($AB$1005:$AQ$1005,1,MATCH(COLUMNS($AB$1006:AI1006),$AB$1006:$AQ$1006,0))&gt;=100000), " ",IF(INDEX($AB$2:$AQ$1001,MATCH(ROWS($U$2:U586),$U$2:$U$1001,0),MATCH(COLUMNS($AB$1006:AI1006),$AB$1006:$AQ$1006,0)), HYPERLINK("#",""), HYPERLINK(CONCATENATE("#Metadata!", ADDRESS(INDEX($W$2:$W$1001,MATCH(ROWS($U$2:U586),$U$2:$U$1001,0),0), INDEX($AB$1004:$AQ$1004,1,MATCH(COLUMNS($AB$1006:AI1006),$AB$1006:$AQ$1006,0)))),"Fix")))</f>
        <v>0</v>
      </c>
      <c r="J586" s="5">
        <f>IF(OR(INDEX($V$2:$V$1001,MATCH(ROWS($U$2:U586),$U$2:$U$1001,0),1)&gt;=100000,INDEX($AB$1005:$AQ$1005,1,MATCH(COLUMNS($AB$1006:AJ1006),$AB$1006:$AQ$1006,0))&gt;=100000), " ",IF(INDEX($AB$2:$AQ$1001,MATCH(ROWS($U$2:U586),$U$2:$U$1001,0),MATCH(COLUMNS($AB$1006:AJ1006),$AB$1006:$AQ$1006,0)), HYPERLINK("#",""), HYPERLINK(CONCATENATE("#Metadata!", ADDRESS(INDEX($W$2:$W$1001,MATCH(ROWS($U$2:U586),$U$2:$U$1001,0),0), INDEX($AB$1004:$AQ$1004,1,MATCH(COLUMNS($AB$1006:AJ1006),$AB$1006:$AQ$1006,0)))),"Fix")))</f>
        <v>0</v>
      </c>
      <c r="K586" s="5">
        <f>IF(OR(INDEX($V$2:$V$1001,MATCH(ROWS($U$2:U586),$U$2:$U$1001,0),1)&gt;=100000,INDEX($AB$1005:$AQ$1005,1,MATCH(COLUMNS($AB$1006:AK1006),$AB$1006:$AQ$1006,0))&gt;=100000), " ",IF(INDEX($AB$2:$AQ$1001,MATCH(ROWS($U$2:U586),$U$2:$U$1001,0),MATCH(COLUMNS($AB$1006:AK1006),$AB$1006:$AQ$1006,0)), HYPERLINK("#",""), HYPERLINK(CONCATENATE("#Metadata!", ADDRESS(INDEX($W$2:$W$1001,MATCH(ROWS($U$2:U586),$U$2:$U$1001,0),0), INDEX($AB$1004:$AQ$1004,1,MATCH(COLUMNS($AB$1006:AK1006),$AB$1006:$AQ$1006,0)))),"Fix")))</f>
        <v>0</v>
      </c>
      <c r="L586" s="5">
        <f>IF(OR(INDEX($V$2:$V$1001,MATCH(ROWS($U$2:U586),$U$2:$U$1001,0),1)&gt;=100000,INDEX($AB$1005:$AQ$1005,1,MATCH(COLUMNS($AB$1006:AL1006),$AB$1006:$AQ$1006,0))&gt;=100000), " ",IF(INDEX($AB$2:$AQ$1001,MATCH(ROWS($U$2:U586),$U$2:$U$1001,0),MATCH(COLUMNS($AB$1006:AL1006),$AB$1006:$AQ$1006,0)), HYPERLINK("#",""), HYPERLINK(CONCATENATE("#Metadata!", ADDRESS(INDEX($W$2:$W$1001,MATCH(ROWS($U$2:U586),$U$2:$U$1001,0),0), INDEX($AB$1004:$AQ$1004,1,MATCH(COLUMNS($AB$1006:AL1006),$AB$1006:$AQ$1006,0)))),"Fix")))</f>
        <v>0</v>
      </c>
      <c r="M586" s="5">
        <f>IF(OR(INDEX($V$2:$V$1001,MATCH(ROWS($U$2:U586),$U$2:$U$1001,0),1)&gt;=100000,INDEX($AB$1005:$AQ$1005,1,MATCH(COLUMNS($AB$1006:AM1006),$AB$1006:$AQ$1006,0))&gt;=100000), " ",IF(INDEX($AB$2:$AQ$1001,MATCH(ROWS($U$2:U586),$U$2:$U$1001,0),MATCH(COLUMNS($AB$1006:AM1006),$AB$1006:$AQ$1006,0)), HYPERLINK("#",""), HYPERLINK(CONCATENATE("#Metadata!", ADDRESS(INDEX($W$2:$W$1001,MATCH(ROWS($U$2:U586),$U$2:$U$1001,0),0), INDEX($AB$1004:$AQ$1004,1,MATCH(COLUMNS($AB$1006:AM1006),$AB$1006:$AQ$1006,0)))),"Fix")))</f>
        <v>0</v>
      </c>
      <c r="N586" s="5">
        <f>IF(OR(INDEX($V$2:$V$1001,MATCH(ROWS($U$2:U586),$U$2:$U$1001,0),1)&gt;=100000,INDEX($AB$1005:$AQ$1005,1,MATCH(COLUMNS($AB$1006:AN1006),$AB$1006:$AQ$1006,0))&gt;=100000), " ",IF(INDEX($AB$2:$AQ$1001,MATCH(ROWS($U$2:U586),$U$2:$U$1001,0),MATCH(COLUMNS($AB$1006:AN1006),$AB$1006:$AQ$1006,0)), HYPERLINK("#",""), HYPERLINK(CONCATENATE("#Metadata!", ADDRESS(INDEX($W$2:$W$1001,MATCH(ROWS($U$2:U586),$U$2:$U$1001,0),0), INDEX($AB$1004:$AQ$1004,1,MATCH(COLUMNS($AB$1006:AN1006),$AB$1006:$AQ$1006,0)))),"Fix")))</f>
        <v>0</v>
      </c>
      <c r="O586" s="5">
        <f>IF(OR(INDEX($V$2:$V$1001,MATCH(ROWS($U$2:U586),$U$2:$U$1001,0),1)&gt;=100000,INDEX($AB$1005:$AQ$1005,1,MATCH(COLUMNS($AB$1006:AO1006),$AB$1006:$AQ$1006,0))&gt;=100000), " ",IF(INDEX($AB$2:$AQ$1001,MATCH(ROWS($U$2:U586),$U$2:$U$1001,0),MATCH(COLUMNS($AB$1006:AO1006),$AB$1006:$AQ$1006,0)), HYPERLINK("#",""), HYPERLINK(CONCATENATE("#Metadata!", ADDRESS(INDEX($W$2:$W$1001,MATCH(ROWS($U$2:U586),$U$2:$U$1001,0),0), INDEX($AB$1004:$AQ$1004,1,MATCH(COLUMNS($AB$1006:AO1006),$AB$1006:$AQ$1006,0)))),"Fix")))</f>
        <v>0</v>
      </c>
      <c r="P586" s="5">
        <f>IF(OR(INDEX($V$2:$V$1001,MATCH(ROWS($U$2:U586),$U$2:$U$1001,0),1)&gt;=100000,INDEX($AB$1005:$AQ$1005,1,MATCH(COLUMNS($AB$1006:AP1006),$AB$1006:$AQ$1006,0))&gt;=100000), " ",IF(INDEX($AB$2:$AQ$1001,MATCH(ROWS($U$2:U586),$U$2:$U$1001,0),MATCH(COLUMNS($AB$1006:AP1006),$AB$1006:$AQ$1006,0)), HYPERLINK("#",""), HYPERLINK(CONCATENATE("#Metadata!", ADDRESS(INDEX($W$2:$W$1001,MATCH(ROWS($U$2:U586),$U$2:$U$1001,0),0), INDEX($AB$1004:$AQ$1004,1,MATCH(COLUMNS($AB$1006:AP1006),$AB$1006:$AQ$1006,0)))),"Fix")))</f>
        <v>0</v>
      </c>
      <c r="Q586" s="5">
        <f>IF(OR(INDEX($V$2:$V$1001,MATCH(ROWS($U$2:U586),$U$2:$U$1001,0),1)&gt;=100000,INDEX($AB$1005:$AQ$1005,1,MATCH(COLUMNS($AB$1006:AQ1006),$AB$1006:$AQ$1006,0))&gt;=100000), " ",IF(INDEX($AB$2:$AQ$1001,MATCH(ROWS($U$2:U586),$U$2:$U$1001,0),MATCH(COLUMNS($AB$1006:AQ1006),$AB$1006:$AQ$1006,0)), HYPERLINK("#",""), HYPERLINK(CONCATENATE("#Metadata!", ADDRESS(INDEX($W$2:$W$1001,MATCH(ROWS($U$2:U586),$U$2:$U$1001,0),0), INDEX($AB$1004:$AQ$1004,1,MATCH(COLUMNS($AB$1006:AQ1006),$AB$1006:$AQ$1006,0)))),"Fix")))</f>
        <v>0</v>
      </c>
      <c r="U586">
        <v>0</v>
      </c>
      <c r="V586">
        <v>0</v>
      </c>
      <c r="W586">
        <v>0</v>
      </c>
      <c r="X586">
        <f>IF(Y586,TRUE,AND(AB586:AQ586))</f>
        <v>0</v>
      </c>
      <c r="Y586">
        <f>COUNTBLANK(Metadata!B586:Q586)=COLUMNS(Metadata!B586:Q586)</f>
        <v>0</v>
      </c>
      <c r="Z586">
        <v>0</v>
      </c>
      <c r="AB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AC586">
        <f>AND(IF(Metadata!C586="",FALSE,TRUE),exact(Metadata!C586,"urban biome"))</f>
        <v>0</v>
      </c>
      <c r="AD586">
        <f>AND(IF(Metadata!D586="",FALSE,TRUE),exact(Metadata!D586,"human-associated habitat"))</f>
        <v>0</v>
      </c>
      <c r="AE586">
        <f>AND(IF(Metadata!E586="",FALSE,TRUE),OR(exact(Metadata!E586,"human-associated"),exact(Metadata!E586,"human-skin"),exact(Metadata!E586,"human-oral"),exact(Metadata!E586,"human-gut"),exact(Metadata!E586,"human-vaginal")))</f>
        <v>0</v>
      </c>
      <c r="AF586">
        <f>AND(IF(Metadata!F586="",FALSE,ISNUMBER(VALUE(Metadata!F586))),Metadata!F586&gt;0)</f>
        <v>0</v>
      </c>
      <c r="AG586">
        <f>AND(IF(Metadata!G586="",FALSE,TRUE),exact(Metadata!G586,"years"))</f>
        <v>0</v>
      </c>
      <c r="AH586">
        <f>OR(AND(IF(Metadata!H586="",FALSE,TRUE),OR(exact(Metadata!H586,"not applicable"),exact(Metadata!H586,"not collected"),exact(Metadata!H586,"not provided"),exact(Metadata!H586,"restricted access"))),AND(IF(Metadata!H586="",FALSE,ISNUMBER(VALUE(Metadata!H586))),Metadata!H586&gt;0))</f>
        <v>0</v>
      </c>
      <c r="AI586">
        <f>AND(IF(Metadata!I586="",FALSE,TRUE),exact(Metadata!I586,"human"))</f>
        <v>0</v>
      </c>
      <c r="AJ586">
        <f>AND(IF(Metadata!J586="",FALSE,ISNUMBER(VALUE(Metadata!J586))),Metadata!J586&gt;0)</f>
        <v>0</v>
      </c>
      <c r="AK586">
        <f>AND(IF(Metadata!K586="",FALSE,TRUE),exact(Metadata!K586,"cm"))</f>
        <v>0</v>
      </c>
      <c r="AL586">
        <f>AND(IF(Metadata!L586="",FALSE,TRUE),exact(Metadata!L586,"Homo sapiens"))</f>
        <v>0</v>
      </c>
      <c r="AM586">
        <f>AND(IF(Metadata!M586="",FALSE,TRUE),exact(Metadata!M586,"9606"))</f>
        <v>0</v>
      </c>
      <c r="AN586">
        <f>AND(IF(Metadata!N586="",FALSE,ISNUMBER(VALUE(Metadata!N586))),Metadata!N586&gt;0)</f>
        <v>0</v>
      </c>
      <c r="AO586">
        <f>AND(IF(Metadata!O586="",FALSE,TRUE),exact(Metadata!O586,"kg"))</f>
        <v>0</v>
      </c>
      <c r="AP586">
        <f>OR(AND(IF(Metadata!P586="",FALSE,TRUE),exact(Metadata!P586,"not provided")),IF(Metadata!P586="",FALSE,TRUE))</f>
        <v>0</v>
      </c>
      <c r="AQ586">
        <f>OR(AND(IF(Metadata!Q586="",FALSE,TRUE),exact(Metadata!Q586,"not provided")),IF(Metadata!Q586="",FALSE,TRUE))</f>
        <v>0</v>
      </c>
    </row>
    <row r="587" spans="1:43">
      <c r="A587" s="4">
        <f>IF(B587=" "," ",HYPERLINK(CONCATENATE("#metadata!",ADDRESS(INDEX($W$2:$W$1001,MATCH(ROWS($U$2:U587),$U$2:$U$1001,0),0),2)),INDEX($Z$2:$Z$1001,MATCH(ROWS($U$2:U587),$U$2:$U$1001,0),0)))</f>
        <v>0</v>
      </c>
      <c r="B587" s="5">
        <f>IF(OR(INDEX($V$2:$V$1001,MATCH(ROWS($U$2:U587),$U$2:$U$1001,0),1)&gt;=100000,INDEX($AB$1005:$AQ$1005,1,MATCH(COLUMNS($AB$1006:AB1006),$AB$1006:$AQ$1006,0))&gt;=100000), " ",IF(INDEX($AB$2:$AQ$1001,MATCH(ROWS($U$2:U587),$U$2:$U$1001,0),MATCH(COLUMNS($AB$1006:AB1006),$AB$1006:$AQ$1006,0)), HYPERLINK("#",""), HYPERLINK(CONCATENATE("#Metadata!", ADDRESS(INDEX($W$2:$W$1001,MATCH(ROWS($U$2:U587),$U$2:$U$1001,0),0), INDEX($AB$1004:$AQ$1004,1,MATCH(COLUMNS($AB$1006:AB1006),$AB$1006:$AQ$1006,0)))),"Fix")))</f>
        <v>0</v>
      </c>
      <c r="C587" s="5">
        <f>IF(OR(INDEX($V$2:$V$1001,MATCH(ROWS($U$2:U587),$U$2:$U$1001,0),1)&gt;=100000,INDEX($AB$1005:$AQ$1005,1,MATCH(COLUMNS($AB$1006:AC1006),$AB$1006:$AQ$1006,0))&gt;=100000), " ",IF(INDEX($AB$2:$AQ$1001,MATCH(ROWS($U$2:U587),$U$2:$U$1001,0),MATCH(COLUMNS($AB$1006:AC1006),$AB$1006:$AQ$1006,0)), HYPERLINK("#",""), HYPERLINK(CONCATENATE("#Metadata!", ADDRESS(INDEX($W$2:$W$1001,MATCH(ROWS($U$2:U587),$U$2:$U$1001,0),0), INDEX($AB$1004:$AQ$1004,1,MATCH(COLUMNS($AB$1006:AC1006),$AB$1006:$AQ$1006,0)))),"Fix")))</f>
        <v>0</v>
      </c>
      <c r="D587" s="5">
        <f>IF(OR(INDEX($V$2:$V$1001,MATCH(ROWS($U$2:U587),$U$2:$U$1001,0),1)&gt;=100000,INDEX($AB$1005:$AQ$1005,1,MATCH(COLUMNS($AB$1006:AD1006),$AB$1006:$AQ$1006,0))&gt;=100000), " ",IF(INDEX($AB$2:$AQ$1001,MATCH(ROWS($U$2:U587),$U$2:$U$1001,0),MATCH(COLUMNS($AB$1006:AD1006),$AB$1006:$AQ$1006,0)), HYPERLINK("#",""), HYPERLINK(CONCATENATE("#Metadata!", ADDRESS(INDEX($W$2:$W$1001,MATCH(ROWS($U$2:U587),$U$2:$U$1001,0),0), INDEX($AB$1004:$AQ$1004,1,MATCH(COLUMNS($AB$1006:AD1006),$AB$1006:$AQ$1006,0)))),"Fix")))</f>
        <v>0</v>
      </c>
      <c r="E587" s="5">
        <f>IF(OR(INDEX($V$2:$V$1001,MATCH(ROWS($U$2:U587),$U$2:$U$1001,0),1)&gt;=100000,INDEX($AB$1005:$AQ$1005,1,MATCH(COLUMNS($AB$1006:AE1006),$AB$1006:$AQ$1006,0))&gt;=100000), " ",IF(INDEX($AB$2:$AQ$1001,MATCH(ROWS($U$2:U587),$U$2:$U$1001,0),MATCH(COLUMNS($AB$1006:AE1006),$AB$1006:$AQ$1006,0)), HYPERLINK("#",""), HYPERLINK(CONCATENATE("#Metadata!", ADDRESS(INDEX($W$2:$W$1001,MATCH(ROWS($U$2:U587),$U$2:$U$1001,0),0), INDEX($AB$1004:$AQ$1004,1,MATCH(COLUMNS($AB$1006:AE1006),$AB$1006:$AQ$1006,0)))),"Fix")))</f>
        <v>0</v>
      </c>
      <c r="F587" s="5">
        <f>IF(OR(INDEX($V$2:$V$1001,MATCH(ROWS($U$2:U587),$U$2:$U$1001,0),1)&gt;=100000,INDEX($AB$1005:$AQ$1005,1,MATCH(COLUMNS($AB$1006:AF1006),$AB$1006:$AQ$1006,0))&gt;=100000), " ",IF(INDEX($AB$2:$AQ$1001,MATCH(ROWS($U$2:U587),$U$2:$U$1001,0),MATCH(COLUMNS($AB$1006:AF1006),$AB$1006:$AQ$1006,0)), HYPERLINK("#",""), HYPERLINK(CONCATENATE("#Metadata!", ADDRESS(INDEX($W$2:$W$1001,MATCH(ROWS($U$2:U587),$U$2:$U$1001,0),0), INDEX($AB$1004:$AQ$1004,1,MATCH(COLUMNS($AB$1006:AF1006),$AB$1006:$AQ$1006,0)))),"Fix")))</f>
        <v>0</v>
      </c>
      <c r="G587" s="5">
        <f>IF(OR(INDEX($V$2:$V$1001,MATCH(ROWS($U$2:U587),$U$2:$U$1001,0),1)&gt;=100000,INDEX($AB$1005:$AQ$1005,1,MATCH(COLUMNS($AB$1006:AG1006),$AB$1006:$AQ$1006,0))&gt;=100000), " ",IF(INDEX($AB$2:$AQ$1001,MATCH(ROWS($U$2:U587),$U$2:$U$1001,0),MATCH(COLUMNS($AB$1006:AG1006),$AB$1006:$AQ$1006,0)), HYPERLINK("#",""), HYPERLINK(CONCATENATE("#Metadata!", ADDRESS(INDEX($W$2:$W$1001,MATCH(ROWS($U$2:U587),$U$2:$U$1001,0),0), INDEX($AB$1004:$AQ$1004,1,MATCH(COLUMNS($AB$1006:AG1006),$AB$1006:$AQ$1006,0)))),"Fix")))</f>
        <v>0</v>
      </c>
      <c r="H587" s="5">
        <f>IF(OR(INDEX($V$2:$V$1001,MATCH(ROWS($U$2:U587),$U$2:$U$1001,0),1)&gt;=100000,INDEX($AB$1005:$AQ$1005,1,MATCH(COLUMNS($AB$1006:AH1006),$AB$1006:$AQ$1006,0))&gt;=100000), " ",IF(INDEX($AB$2:$AQ$1001,MATCH(ROWS($U$2:U587),$U$2:$U$1001,0),MATCH(COLUMNS($AB$1006:AH1006),$AB$1006:$AQ$1006,0)), HYPERLINK("#",""), HYPERLINK(CONCATENATE("#Metadata!", ADDRESS(INDEX($W$2:$W$1001,MATCH(ROWS($U$2:U587),$U$2:$U$1001,0),0), INDEX($AB$1004:$AQ$1004,1,MATCH(COLUMNS($AB$1006:AH1006),$AB$1006:$AQ$1006,0)))),"Fix")))</f>
        <v>0</v>
      </c>
      <c r="I587" s="5">
        <f>IF(OR(INDEX($V$2:$V$1001,MATCH(ROWS($U$2:U587),$U$2:$U$1001,0),1)&gt;=100000,INDEX($AB$1005:$AQ$1005,1,MATCH(COLUMNS($AB$1006:AI1006),$AB$1006:$AQ$1006,0))&gt;=100000), " ",IF(INDEX($AB$2:$AQ$1001,MATCH(ROWS($U$2:U587),$U$2:$U$1001,0),MATCH(COLUMNS($AB$1006:AI1006),$AB$1006:$AQ$1006,0)), HYPERLINK("#",""), HYPERLINK(CONCATENATE("#Metadata!", ADDRESS(INDEX($W$2:$W$1001,MATCH(ROWS($U$2:U587),$U$2:$U$1001,0),0), INDEX($AB$1004:$AQ$1004,1,MATCH(COLUMNS($AB$1006:AI1006),$AB$1006:$AQ$1006,0)))),"Fix")))</f>
        <v>0</v>
      </c>
      <c r="J587" s="5">
        <f>IF(OR(INDEX($V$2:$V$1001,MATCH(ROWS($U$2:U587),$U$2:$U$1001,0),1)&gt;=100000,INDEX($AB$1005:$AQ$1005,1,MATCH(COLUMNS($AB$1006:AJ1006),$AB$1006:$AQ$1006,0))&gt;=100000), " ",IF(INDEX($AB$2:$AQ$1001,MATCH(ROWS($U$2:U587),$U$2:$U$1001,0),MATCH(COLUMNS($AB$1006:AJ1006),$AB$1006:$AQ$1006,0)), HYPERLINK("#",""), HYPERLINK(CONCATENATE("#Metadata!", ADDRESS(INDEX($W$2:$W$1001,MATCH(ROWS($U$2:U587),$U$2:$U$1001,0),0), INDEX($AB$1004:$AQ$1004,1,MATCH(COLUMNS($AB$1006:AJ1006),$AB$1006:$AQ$1006,0)))),"Fix")))</f>
        <v>0</v>
      </c>
      <c r="K587" s="5">
        <f>IF(OR(INDEX($V$2:$V$1001,MATCH(ROWS($U$2:U587),$U$2:$U$1001,0),1)&gt;=100000,INDEX($AB$1005:$AQ$1005,1,MATCH(COLUMNS($AB$1006:AK1006),$AB$1006:$AQ$1006,0))&gt;=100000), " ",IF(INDEX($AB$2:$AQ$1001,MATCH(ROWS($U$2:U587),$U$2:$U$1001,0),MATCH(COLUMNS($AB$1006:AK1006),$AB$1006:$AQ$1006,0)), HYPERLINK("#",""), HYPERLINK(CONCATENATE("#Metadata!", ADDRESS(INDEX($W$2:$W$1001,MATCH(ROWS($U$2:U587),$U$2:$U$1001,0),0), INDEX($AB$1004:$AQ$1004,1,MATCH(COLUMNS($AB$1006:AK1006),$AB$1006:$AQ$1006,0)))),"Fix")))</f>
        <v>0</v>
      </c>
      <c r="L587" s="5">
        <f>IF(OR(INDEX($V$2:$V$1001,MATCH(ROWS($U$2:U587),$U$2:$U$1001,0),1)&gt;=100000,INDEX($AB$1005:$AQ$1005,1,MATCH(COLUMNS($AB$1006:AL1006),$AB$1006:$AQ$1006,0))&gt;=100000), " ",IF(INDEX($AB$2:$AQ$1001,MATCH(ROWS($U$2:U587),$U$2:$U$1001,0),MATCH(COLUMNS($AB$1006:AL1006),$AB$1006:$AQ$1006,0)), HYPERLINK("#",""), HYPERLINK(CONCATENATE("#Metadata!", ADDRESS(INDEX($W$2:$W$1001,MATCH(ROWS($U$2:U587),$U$2:$U$1001,0),0), INDEX($AB$1004:$AQ$1004,1,MATCH(COLUMNS($AB$1006:AL1006),$AB$1006:$AQ$1006,0)))),"Fix")))</f>
        <v>0</v>
      </c>
      <c r="M587" s="5">
        <f>IF(OR(INDEX($V$2:$V$1001,MATCH(ROWS($U$2:U587),$U$2:$U$1001,0),1)&gt;=100000,INDEX($AB$1005:$AQ$1005,1,MATCH(COLUMNS($AB$1006:AM1006),$AB$1006:$AQ$1006,0))&gt;=100000), " ",IF(INDEX($AB$2:$AQ$1001,MATCH(ROWS($U$2:U587),$U$2:$U$1001,0),MATCH(COLUMNS($AB$1006:AM1006),$AB$1006:$AQ$1006,0)), HYPERLINK("#",""), HYPERLINK(CONCATENATE("#Metadata!", ADDRESS(INDEX($W$2:$W$1001,MATCH(ROWS($U$2:U587),$U$2:$U$1001,0),0), INDEX($AB$1004:$AQ$1004,1,MATCH(COLUMNS($AB$1006:AM1006),$AB$1006:$AQ$1006,0)))),"Fix")))</f>
        <v>0</v>
      </c>
      <c r="N587" s="5">
        <f>IF(OR(INDEX($V$2:$V$1001,MATCH(ROWS($U$2:U587),$U$2:$U$1001,0),1)&gt;=100000,INDEX($AB$1005:$AQ$1005,1,MATCH(COLUMNS($AB$1006:AN1006),$AB$1006:$AQ$1006,0))&gt;=100000), " ",IF(INDEX($AB$2:$AQ$1001,MATCH(ROWS($U$2:U587),$U$2:$U$1001,0),MATCH(COLUMNS($AB$1006:AN1006),$AB$1006:$AQ$1006,0)), HYPERLINK("#",""), HYPERLINK(CONCATENATE("#Metadata!", ADDRESS(INDEX($W$2:$W$1001,MATCH(ROWS($U$2:U587),$U$2:$U$1001,0),0), INDEX($AB$1004:$AQ$1004,1,MATCH(COLUMNS($AB$1006:AN1006),$AB$1006:$AQ$1006,0)))),"Fix")))</f>
        <v>0</v>
      </c>
      <c r="O587" s="5">
        <f>IF(OR(INDEX($V$2:$V$1001,MATCH(ROWS($U$2:U587),$U$2:$U$1001,0),1)&gt;=100000,INDEX($AB$1005:$AQ$1005,1,MATCH(COLUMNS($AB$1006:AO1006),$AB$1006:$AQ$1006,0))&gt;=100000), " ",IF(INDEX($AB$2:$AQ$1001,MATCH(ROWS($U$2:U587),$U$2:$U$1001,0),MATCH(COLUMNS($AB$1006:AO1006),$AB$1006:$AQ$1006,0)), HYPERLINK("#",""), HYPERLINK(CONCATENATE("#Metadata!", ADDRESS(INDEX($W$2:$W$1001,MATCH(ROWS($U$2:U587),$U$2:$U$1001,0),0), INDEX($AB$1004:$AQ$1004,1,MATCH(COLUMNS($AB$1006:AO1006),$AB$1006:$AQ$1006,0)))),"Fix")))</f>
        <v>0</v>
      </c>
      <c r="P587" s="5">
        <f>IF(OR(INDEX($V$2:$V$1001,MATCH(ROWS($U$2:U587),$U$2:$U$1001,0),1)&gt;=100000,INDEX($AB$1005:$AQ$1005,1,MATCH(COLUMNS($AB$1006:AP1006),$AB$1006:$AQ$1006,0))&gt;=100000), " ",IF(INDEX($AB$2:$AQ$1001,MATCH(ROWS($U$2:U587),$U$2:$U$1001,0),MATCH(COLUMNS($AB$1006:AP1006),$AB$1006:$AQ$1006,0)), HYPERLINK("#",""), HYPERLINK(CONCATENATE("#Metadata!", ADDRESS(INDEX($W$2:$W$1001,MATCH(ROWS($U$2:U587),$U$2:$U$1001,0),0), INDEX($AB$1004:$AQ$1004,1,MATCH(COLUMNS($AB$1006:AP1006),$AB$1006:$AQ$1006,0)))),"Fix")))</f>
        <v>0</v>
      </c>
      <c r="Q587" s="5">
        <f>IF(OR(INDEX($V$2:$V$1001,MATCH(ROWS($U$2:U587),$U$2:$U$1001,0),1)&gt;=100000,INDEX($AB$1005:$AQ$1005,1,MATCH(COLUMNS($AB$1006:AQ1006),$AB$1006:$AQ$1006,0))&gt;=100000), " ",IF(INDEX($AB$2:$AQ$1001,MATCH(ROWS($U$2:U587),$U$2:$U$1001,0),MATCH(COLUMNS($AB$1006:AQ1006),$AB$1006:$AQ$1006,0)), HYPERLINK("#",""), HYPERLINK(CONCATENATE("#Metadata!", ADDRESS(INDEX($W$2:$W$1001,MATCH(ROWS($U$2:U587),$U$2:$U$1001,0),0), INDEX($AB$1004:$AQ$1004,1,MATCH(COLUMNS($AB$1006:AQ1006),$AB$1006:$AQ$1006,0)))),"Fix")))</f>
        <v>0</v>
      </c>
      <c r="U587">
        <v>0</v>
      </c>
      <c r="V587">
        <v>0</v>
      </c>
      <c r="W587">
        <v>0</v>
      </c>
      <c r="X587">
        <f>IF(Y587,TRUE,AND(AB587:AQ587))</f>
        <v>0</v>
      </c>
      <c r="Y587">
        <f>COUNTBLANK(Metadata!B587:Q587)=COLUMNS(Metadata!B587:Q587)</f>
        <v>0</v>
      </c>
      <c r="Z587">
        <v>0</v>
      </c>
      <c r="AB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AC587">
        <f>AND(IF(Metadata!C587="",FALSE,TRUE),exact(Metadata!C587,"urban biome"))</f>
        <v>0</v>
      </c>
      <c r="AD587">
        <f>AND(IF(Metadata!D587="",FALSE,TRUE),exact(Metadata!D587,"human-associated habitat"))</f>
        <v>0</v>
      </c>
      <c r="AE587">
        <f>AND(IF(Metadata!E587="",FALSE,TRUE),OR(exact(Metadata!E587,"human-associated"),exact(Metadata!E587,"human-skin"),exact(Metadata!E587,"human-oral"),exact(Metadata!E587,"human-gut"),exact(Metadata!E587,"human-vaginal")))</f>
        <v>0</v>
      </c>
      <c r="AF587">
        <f>AND(IF(Metadata!F587="",FALSE,ISNUMBER(VALUE(Metadata!F587))),Metadata!F587&gt;0)</f>
        <v>0</v>
      </c>
      <c r="AG587">
        <f>AND(IF(Metadata!G587="",FALSE,TRUE),exact(Metadata!G587,"years"))</f>
        <v>0</v>
      </c>
      <c r="AH587">
        <f>OR(AND(IF(Metadata!H587="",FALSE,TRUE),OR(exact(Metadata!H587,"not applicable"),exact(Metadata!H587,"not collected"),exact(Metadata!H587,"not provided"),exact(Metadata!H587,"restricted access"))),AND(IF(Metadata!H587="",FALSE,ISNUMBER(VALUE(Metadata!H587))),Metadata!H587&gt;0))</f>
        <v>0</v>
      </c>
      <c r="AI587">
        <f>AND(IF(Metadata!I587="",FALSE,TRUE),exact(Metadata!I587,"human"))</f>
        <v>0</v>
      </c>
      <c r="AJ587">
        <f>AND(IF(Metadata!J587="",FALSE,ISNUMBER(VALUE(Metadata!J587))),Metadata!J587&gt;0)</f>
        <v>0</v>
      </c>
      <c r="AK587">
        <f>AND(IF(Metadata!K587="",FALSE,TRUE),exact(Metadata!K587,"cm"))</f>
        <v>0</v>
      </c>
      <c r="AL587">
        <f>AND(IF(Metadata!L587="",FALSE,TRUE),exact(Metadata!L587,"Homo sapiens"))</f>
        <v>0</v>
      </c>
      <c r="AM587">
        <f>AND(IF(Metadata!M587="",FALSE,TRUE),exact(Metadata!M587,"9606"))</f>
        <v>0</v>
      </c>
      <c r="AN587">
        <f>AND(IF(Metadata!N587="",FALSE,ISNUMBER(VALUE(Metadata!N587))),Metadata!N587&gt;0)</f>
        <v>0</v>
      </c>
      <c r="AO587">
        <f>AND(IF(Metadata!O587="",FALSE,TRUE),exact(Metadata!O587,"kg"))</f>
        <v>0</v>
      </c>
      <c r="AP587">
        <f>OR(AND(IF(Metadata!P587="",FALSE,TRUE),exact(Metadata!P587,"not provided")),IF(Metadata!P587="",FALSE,TRUE))</f>
        <v>0</v>
      </c>
      <c r="AQ587">
        <f>OR(AND(IF(Metadata!Q587="",FALSE,TRUE),exact(Metadata!Q587,"not provided")),IF(Metadata!Q587="",FALSE,TRUE))</f>
        <v>0</v>
      </c>
    </row>
    <row r="588" spans="1:43">
      <c r="A588" s="4">
        <f>IF(B588=" "," ",HYPERLINK(CONCATENATE("#metadata!",ADDRESS(INDEX($W$2:$W$1001,MATCH(ROWS($U$2:U588),$U$2:$U$1001,0),0),2)),INDEX($Z$2:$Z$1001,MATCH(ROWS($U$2:U588),$U$2:$U$1001,0),0)))</f>
        <v>0</v>
      </c>
      <c r="B588" s="5">
        <f>IF(OR(INDEX($V$2:$V$1001,MATCH(ROWS($U$2:U588),$U$2:$U$1001,0),1)&gt;=100000,INDEX($AB$1005:$AQ$1005,1,MATCH(COLUMNS($AB$1006:AB1006),$AB$1006:$AQ$1006,0))&gt;=100000), " ",IF(INDEX($AB$2:$AQ$1001,MATCH(ROWS($U$2:U588),$U$2:$U$1001,0),MATCH(COLUMNS($AB$1006:AB1006),$AB$1006:$AQ$1006,0)), HYPERLINK("#",""), HYPERLINK(CONCATENATE("#Metadata!", ADDRESS(INDEX($W$2:$W$1001,MATCH(ROWS($U$2:U588),$U$2:$U$1001,0),0), INDEX($AB$1004:$AQ$1004,1,MATCH(COLUMNS($AB$1006:AB1006),$AB$1006:$AQ$1006,0)))),"Fix")))</f>
        <v>0</v>
      </c>
      <c r="C588" s="5">
        <f>IF(OR(INDEX($V$2:$V$1001,MATCH(ROWS($U$2:U588),$U$2:$U$1001,0),1)&gt;=100000,INDEX($AB$1005:$AQ$1005,1,MATCH(COLUMNS($AB$1006:AC1006),$AB$1006:$AQ$1006,0))&gt;=100000), " ",IF(INDEX($AB$2:$AQ$1001,MATCH(ROWS($U$2:U588),$U$2:$U$1001,0),MATCH(COLUMNS($AB$1006:AC1006),$AB$1006:$AQ$1006,0)), HYPERLINK("#",""), HYPERLINK(CONCATENATE("#Metadata!", ADDRESS(INDEX($W$2:$W$1001,MATCH(ROWS($U$2:U588),$U$2:$U$1001,0),0), INDEX($AB$1004:$AQ$1004,1,MATCH(COLUMNS($AB$1006:AC1006),$AB$1006:$AQ$1006,0)))),"Fix")))</f>
        <v>0</v>
      </c>
      <c r="D588" s="5">
        <f>IF(OR(INDEX($V$2:$V$1001,MATCH(ROWS($U$2:U588),$U$2:$U$1001,0),1)&gt;=100000,INDEX($AB$1005:$AQ$1005,1,MATCH(COLUMNS($AB$1006:AD1006),$AB$1006:$AQ$1006,0))&gt;=100000), " ",IF(INDEX($AB$2:$AQ$1001,MATCH(ROWS($U$2:U588),$U$2:$U$1001,0),MATCH(COLUMNS($AB$1006:AD1006),$AB$1006:$AQ$1006,0)), HYPERLINK("#",""), HYPERLINK(CONCATENATE("#Metadata!", ADDRESS(INDEX($W$2:$W$1001,MATCH(ROWS($U$2:U588),$U$2:$U$1001,0),0), INDEX($AB$1004:$AQ$1004,1,MATCH(COLUMNS($AB$1006:AD1006),$AB$1006:$AQ$1006,0)))),"Fix")))</f>
        <v>0</v>
      </c>
      <c r="E588" s="5">
        <f>IF(OR(INDEX($V$2:$V$1001,MATCH(ROWS($U$2:U588),$U$2:$U$1001,0),1)&gt;=100000,INDEX($AB$1005:$AQ$1005,1,MATCH(COLUMNS($AB$1006:AE1006),$AB$1006:$AQ$1006,0))&gt;=100000), " ",IF(INDEX($AB$2:$AQ$1001,MATCH(ROWS($U$2:U588),$U$2:$U$1001,0),MATCH(COLUMNS($AB$1006:AE1006),$AB$1006:$AQ$1006,0)), HYPERLINK("#",""), HYPERLINK(CONCATENATE("#Metadata!", ADDRESS(INDEX($W$2:$W$1001,MATCH(ROWS($U$2:U588),$U$2:$U$1001,0),0), INDEX($AB$1004:$AQ$1004,1,MATCH(COLUMNS($AB$1006:AE1006),$AB$1006:$AQ$1006,0)))),"Fix")))</f>
        <v>0</v>
      </c>
      <c r="F588" s="5">
        <f>IF(OR(INDEX($V$2:$V$1001,MATCH(ROWS($U$2:U588),$U$2:$U$1001,0),1)&gt;=100000,INDEX($AB$1005:$AQ$1005,1,MATCH(COLUMNS($AB$1006:AF1006),$AB$1006:$AQ$1006,0))&gt;=100000), " ",IF(INDEX($AB$2:$AQ$1001,MATCH(ROWS($U$2:U588),$U$2:$U$1001,0),MATCH(COLUMNS($AB$1006:AF1006),$AB$1006:$AQ$1006,0)), HYPERLINK("#",""), HYPERLINK(CONCATENATE("#Metadata!", ADDRESS(INDEX($W$2:$W$1001,MATCH(ROWS($U$2:U588),$U$2:$U$1001,0),0), INDEX($AB$1004:$AQ$1004,1,MATCH(COLUMNS($AB$1006:AF1006),$AB$1006:$AQ$1006,0)))),"Fix")))</f>
        <v>0</v>
      </c>
      <c r="G588" s="5">
        <f>IF(OR(INDEX($V$2:$V$1001,MATCH(ROWS($U$2:U588),$U$2:$U$1001,0),1)&gt;=100000,INDEX($AB$1005:$AQ$1005,1,MATCH(COLUMNS($AB$1006:AG1006),$AB$1006:$AQ$1006,0))&gt;=100000), " ",IF(INDEX($AB$2:$AQ$1001,MATCH(ROWS($U$2:U588),$U$2:$U$1001,0),MATCH(COLUMNS($AB$1006:AG1006),$AB$1006:$AQ$1006,0)), HYPERLINK("#",""), HYPERLINK(CONCATENATE("#Metadata!", ADDRESS(INDEX($W$2:$W$1001,MATCH(ROWS($U$2:U588),$U$2:$U$1001,0),0), INDEX($AB$1004:$AQ$1004,1,MATCH(COLUMNS($AB$1006:AG1006),$AB$1006:$AQ$1006,0)))),"Fix")))</f>
        <v>0</v>
      </c>
      <c r="H588" s="5">
        <f>IF(OR(INDEX($V$2:$V$1001,MATCH(ROWS($U$2:U588),$U$2:$U$1001,0),1)&gt;=100000,INDEX($AB$1005:$AQ$1005,1,MATCH(COLUMNS($AB$1006:AH1006),$AB$1006:$AQ$1006,0))&gt;=100000), " ",IF(INDEX($AB$2:$AQ$1001,MATCH(ROWS($U$2:U588),$U$2:$U$1001,0),MATCH(COLUMNS($AB$1006:AH1006),$AB$1006:$AQ$1006,0)), HYPERLINK("#",""), HYPERLINK(CONCATENATE("#Metadata!", ADDRESS(INDEX($W$2:$W$1001,MATCH(ROWS($U$2:U588),$U$2:$U$1001,0),0), INDEX($AB$1004:$AQ$1004,1,MATCH(COLUMNS($AB$1006:AH1006),$AB$1006:$AQ$1006,0)))),"Fix")))</f>
        <v>0</v>
      </c>
      <c r="I588" s="5">
        <f>IF(OR(INDEX($V$2:$V$1001,MATCH(ROWS($U$2:U588),$U$2:$U$1001,0),1)&gt;=100000,INDEX($AB$1005:$AQ$1005,1,MATCH(COLUMNS($AB$1006:AI1006),$AB$1006:$AQ$1006,0))&gt;=100000), " ",IF(INDEX($AB$2:$AQ$1001,MATCH(ROWS($U$2:U588),$U$2:$U$1001,0),MATCH(COLUMNS($AB$1006:AI1006),$AB$1006:$AQ$1006,0)), HYPERLINK("#",""), HYPERLINK(CONCATENATE("#Metadata!", ADDRESS(INDEX($W$2:$W$1001,MATCH(ROWS($U$2:U588),$U$2:$U$1001,0),0), INDEX($AB$1004:$AQ$1004,1,MATCH(COLUMNS($AB$1006:AI1006),$AB$1006:$AQ$1006,0)))),"Fix")))</f>
        <v>0</v>
      </c>
      <c r="J588" s="5">
        <f>IF(OR(INDEX($V$2:$V$1001,MATCH(ROWS($U$2:U588),$U$2:$U$1001,0),1)&gt;=100000,INDEX($AB$1005:$AQ$1005,1,MATCH(COLUMNS($AB$1006:AJ1006),$AB$1006:$AQ$1006,0))&gt;=100000), " ",IF(INDEX($AB$2:$AQ$1001,MATCH(ROWS($U$2:U588),$U$2:$U$1001,0),MATCH(COLUMNS($AB$1006:AJ1006),$AB$1006:$AQ$1006,0)), HYPERLINK("#",""), HYPERLINK(CONCATENATE("#Metadata!", ADDRESS(INDEX($W$2:$W$1001,MATCH(ROWS($U$2:U588),$U$2:$U$1001,0),0), INDEX($AB$1004:$AQ$1004,1,MATCH(COLUMNS($AB$1006:AJ1006),$AB$1006:$AQ$1006,0)))),"Fix")))</f>
        <v>0</v>
      </c>
      <c r="K588" s="5">
        <f>IF(OR(INDEX($V$2:$V$1001,MATCH(ROWS($U$2:U588),$U$2:$U$1001,0),1)&gt;=100000,INDEX($AB$1005:$AQ$1005,1,MATCH(COLUMNS($AB$1006:AK1006),$AB$1006:$AQ$1006,0))&gt;=100000), " ",IF(INDEX($AB$2:$AQ$1001,MATCH(ROWS($U$2:U588),$U$2:$U$1001,0),MATCH(COLUMNS($AB$1006:AK1006),$AB$1006:$AQ$1006,0)), HYPERLINK("#",""), HYPERLINK(CONCATENATE("#Metadata!", ADDRESS(INDEX($W$2:$W$1001,MATCH(ROWS($U$2:U588),$U$2:$U$1001,0),0), INDEX($AB$1004:$AQ$1004,1,MATCH(COLUMNS($AB$1006:AK1006),$AB$1006:$AQ$1006,0)))),"Fix")))</f>
        <v>0</v>
      </c>
      <c r="L588" s="5">
        <f>IF(OR(INDEX($V$2:$V$1001,MATCH(ROWS($U$2:U588),$U$2:$U$1001,0),1)&gt;=100000,INDEX($AB$1005:$AQ$1005,1,MATCH(COLUMNS($AB$1006:AL1006),$AB$1006:$AQ$1006,0))&gt;=100000), " ",IF(INDEX($AB$2:$AQ$1001,MATCH(ROWS($U$2:U588),$U$2:$U$1001,0),MATCH(COLUMNS($AB$1006:AL1006),$AB$1006:$AQ$1006,0)), HYPERLINK("#",""), HYPERLINK(CONCATENATE("#Metadata!", ADDRESS(INDEX($W$2:$W$1001,MATCH(ROWS($U$2:U588),$U$2:$U$1001,0),0), INDEX($AB$1004:$AQ$1004,1,MATCH(COLUMNS($AB$1006:AL1006),$AB$1006:$AQ$1006,0)))),"Fix")))</f>
        <v>0</v>
      </c>
      <c r="M588" s="5">
        <f>IF(OR(INDEX($V$2:$V$1001,MATCH(ROWS($U$2:U588),$U$2:$U$1001,0),1)&gt;=100000,INDEX($AB$1005:$AQ$1005,1,MATCH(COLUMNS($AB$1006:AM1006),$AB$1006:$AQ$1006,0))&gt;=100000), " ",IF(INDEX($AB$2:$AQ$1001,MATCH(ROWS($U$2:U588),$U$2:$U$1001,0),MATCH(COLUMNS($AB$1006:AM1006),$AB$1006:$AQ$1006,0)), HYPERLINK("#",""), HYPERLINK(CONCATENATE("#Metadata!", ADDRESS(INDEX($W$2:$W$1001,MATCH(ROWS($U$2:U588),$U$2:$U$1001,0),0), INDEX($AB$1004:$AQ$1004,1,MATCH(COLUMNS($AB$1006:AM1006),$AB$1006:$AQ$1006,0)))),"Fix")))</f>
        <v>0</v>
      </c>
      <c r="N588" s="5">
        <f>IF(OR(INDEX($V$2:$V$1001,MATCH(ROWS($U$2:U588),$U$2:$U$1001,0),1)&gt;=100000,INDEX($AB$1005:$AQ$1005,1,MATCH(COLUMNS($AB$1006:AN1006),$AB$1006:$AQ$1006,0))&gt;=100000), " ",IF(INDEX($AB$2:$AQ$1001,MATCH(ROWS($U$2:U588),$U$2:$U$1001,0),MATCH(COLUMNS($AB$1006:AN1006),$AB$1006:$AQ$1006,0)), HYPERLINK("#",""), HYPERLINK(CONCATENATE("#Metadata!", ADDRESS(INDEX($W$2:$W$1001,MATCH(ROWS($U$2:U588),$U$2:$U$1001,0),0), INDEX($AB$1004:$AQ$1004,1,MATCH(COLUMNS($AB$1006:AN1006),$AB$1006:$AQ$1006,0)))),"Fix")))</f>
        <v>0</v>
      </c>
      <c r="O588" s="5">
        <f>IF(OR(INDEX($V$2:$V$1001,MATCH(ROWS($U$2:U588),$U$2:$U$1001,0),1)&gt;=100000,INDEX($AB$1005:$AQ$1005,1,MATCH(COLUMNS($AB$1006:AO1006),$AB$1006:$AQ$1006,0))&gt;=100000), " ",IF(INDEX($AB$2:$AQ$1001,MATCH(ROWS($U$2:U588),$U$2:$U$1001,0),MATCH(COLUMNS($AB$1006:AO1006),$AB$1006:$AQ$1006,0)), HYPERLINK("#",""), HYPERLINK(CONCATENATE("#Metadata!", ADDRESS(INDEX($W$2:$W$1001,MATCH(ROWS($U$2:U588),$U$2:$U$1001,0),0), INDEX($AB$1004:$AQ$1004,1,MATCH(COLUMNS($AB$1006:AO1006),$AB$1006:$AQ$1006,0)))),"Fix")))</f>
        <v>0</v>
      </c>
      <c r="P588" s="5">
        <f>IF(OR(INDEX($V$2:$V$1001,MATCH(ROWS($U$2:U588),$U$2:$U$1001,0),1)&gt;=100000,INDEX($AB$1005:$AQ$1005,1,MATCH(COLUMNS($AB$1006:AP1006),$AB$1006:$AQ$1006,0))&gt;=100000), " ",IF(INDEX($AB$2:$AQ$1001,MATCH(ROWS($U$2:U588),$U$2:$U$1001,0),MATCH(COLUMNS($AB$1006:AP1006),$AB$1006:$AQ$1006,0)), HYPERLINK("#",""), HYPERLINK(CONCATENATE("#Metadata!", ADDRESS(INDEX($W$2:$W$1001,MATCH(ROWS($U$2:U588),$U$2:$U$1001,0),0), INDEX($AB$1004:$AQ$1004,1,MATCH(COLUMNS($AB$1006:AP1006),$AB$1006:$AQ$1006,0)))),"Fix")))</f>
        <v>0</v>
      </c>
      <c r="Q588" s="5">
        <f>IF(OR(INDEX($V$2:$V$1001,MATCH(ROWS($U$2:U588),$U$2:$U$1001,0),1)&gt;=100000,INDEX($AB$1005:$AQ$1005,1,MATCH(COLUMNS($AB$1006:AQ1006),$AB$1006:$AQ$1006,0))&gt;=100000), " ",IF(INDEX($AB$2:$AQ$1001,MATCH(ROWS($U$2:U588),$U$2:$U$1001,0),MATCH(COLUMNS($AB$1006:AQ1006),$AB$1006:$AQ$1006,0)), HYPERLINK("#",""), HYPERLINK(CONCATENATE("#Metadata!", ADDRESS(INDEX($W$2:$W$1001,MATCH(ROWS($U$2:U588),$U$2:$U$1001,0),0), INDEX($AB$1004:$AQ$1004,1,MATCH(COLUMNS($AB$1006:AQ1006),$AB$1006:$AQ$1006,0)))),"Fix")))</f>
        <v>0</v>
      </c>
      <c r="U588">
        <v>0</v>
      </c>
      <c r="V588">
        <v>0</v>
      </c>
      <c r="W588">
        <v>0</v>
      </c>
      <c r="X588">
        <f>IF(Y588,TRUE,AND(AB588:AQ588))</f>
        <v>0</v>
      </c>
      <c r="Y588">
        <f>COUNTBLANK(Metadata!B588:Q588)=COLUMNS(Metadata!B588:Q588)</f>
        <v>0</v>
      </c>
      <c r="Z588">
        <v>0</v>
      </c>
      <c r="AB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AC588">
        <f>AND(IF(Metadata!C588="",FALSE,TRUE),exact(Metadata!C588,"urban biome"))</f>
        <v>0</v>
      </c>
      <c r="AD588">
        <f>AND(IF(Metadata!D588="",FALSE,TRUE),exact(Metadata!D588,"human-associated habitat"))</f>
        <v>0</v>
      </c>
      <c r="AE588">
        <f>AND(IF(Metadata!E588="",FALSE,TRUE),OR(exact(Metadata!E588,"human-associated"),exact(Metadata!E588,"human-skin"),exact(Metadata!E588,"human-oral"),exact(Metadata!E588,"human-gut"),exact(Metadata!E588,"human-vaginal")))</f>
        <v>0</v>
      </c>
      <c r="AF588">
        <f>AND(IF(Metadata!F588="",FALSE,ISNUMBER(VALUE(Metadata!F588))),Metadata!F588&gt;0)</f>
        <v>0</v>
      </c>
      <c r="AG588">
        <f>AND(IF(Metadata!G588="",FALSE,TRUE),exact(Metadata!G588,"years"))</f>
        <v>0</v>
      </c>
      <c r="AH588">
        <f>OR(AND(IF(Metadata!H588="",FALSE,TRUE),OR(exact(Metadata!H588,"not applicable"),exact(Metadata!H588,"not collected"),exact(Metadata!H588,"not provided"),exact(Metadata!H588,"restricted access"))),AND(IF(Metadata!H588="",FALSE,ISNUMBER(VALUE(Metadata!H588))),Metadata!H588&gt;0))</f>
        <v>0</v>
      </c>
      <c r="AI588">
        <f>AND(IF(Metadata!I588="",FALSE,TRUE),exact(Metadata!I588,"human"))</f>
        <v>0</v>
      </c>
      <c r="AJ588">
        <f>AND(IF(Metadata!J588="",FALSE,ISNUMBER(VALUE(Metadata!J588))),Metadata!J588&gt;0)</f>
        <v>0</v>
      </c>
      <c r="AK588">
        <f>AND(IF(Metadata!K588="",FALSE,TRUE),exact(Metadata!K588,"cm"))</f>
        <v>0</v>
      </c>
      <c r="AL588">
        <f>AND(IF(Metadata!L588="",FALSE,TRUE),exact(Metadata!L588,"Homo sapiens"))</f>
        <v>0</v>
      </c>
      <c r="AM588">
        <f>AND(IF(Metadata!M588="",FALSE,TRUE),exact(Metadata!M588,"9606"))</f>
        <v>0</v>
      </c>
      <c r="AN588">
        <f>AND(IF(Metadata!N588="",FALSE,ISNUMBER(VALUE(Metadata!N588))),Metadata!N588&gt;0)</f>
        <v>0</v>
      </c>
      <c r="AO588">
        <f>AND(IF(Metadata!O588="",FALSE,TRUE),exact(Metadata!O588,"kg"))</f>
        <v>0</v>
      </c>
      <c r="AP588">
        <f>OR(AND(IF(Metadata!P588="",FALSE,TRUE),exact(Metadata!P588,"not provided")),IF(Metadata!P588="",FALSE,TRUE))</f>
        <v>0</v>
      </c>
      <c r="AQ588">
        <f>OR(AND(IF(Metadata!Q588="",FALSE,TRUE),exact(Metadata!Q588,"not provided")),IF(Metadata!Q588="",FALSE,TRUE))</f>
        <v>0</v>
      </c>
    </row>
    <row r="589" spans="1:43">
      <c r="A589" s="4">
        <f>IF(B589=" "," ",HYPERLINK(CONCATENATE("#metadata!",ADDRESS(INDEX($W$2:$W$1001,MATCH(ROWS($U$2:U589),$U$2:$U$1001,0),0),2)),INDEX($Z$2:$Z$1001,MATCH(ROWS($U$2:U589),$U$2:$U$1001,0),0)))</f>
        <v>0</v>
      </c>
      <c r="B589" s="5">
        <f>IF(OR(INDEX($V$2:$V$1001,MATCH(ROWS($U$2:U589),$U$2:$U$1001,0),1)&gt;=100000,INDEX($AB$1005:$AQ$1005,1,MATCH(COLUMNS($AB$1006:AB1006),$AB$1006:$AQ$1006,0))&gt;=100000), " ",IF(INDEX($AB$2:$AQ$1001,MATCH(ROWS($U$2:U589),$U$2:$U$1001,0),MATCH(COLUMNS($AB$1006:AB1006),$AB$1006:$AQ$1006,0)), HYPERLINK("#",""), HYPERLINK(CONCATENATE("#Metadata!", ADDRESS(INDEX($W$2:$W$1001,MATCH(ROWS($U$2:U589),$U$2:$U$1001,0),0), INDEX($AB$1004:$AQ$1004,1,MATCH(COLUMNS($AB$1006:AB1006),$AB$1006:$AQ$1006,0)))),"Fix")))</f>
        <v>0</v>
      </c>
      <c r="C589" s="5">
        <f>IF(OR(INDEX($V$2:$V$1001,MATCH(ROWS($U$2:U589),$U$2:$U$1001,0),1)&gt;=100000,INDEX($AB$1005:$AQ$1005,1,MATCH(COLUMNS($AB$1006:AC1006),$AB$1006:$AQ$1006,0))&gt;=100000), " ",IF(INDEX($AB$2:$AQ$1001,MATCH(ROWS($U$2:U589),$U$2:$U$1001,0),MATCH(COLUMNS($AB$1006:AC1006),$AB$1006:$AQ$1006,0)), HYPERLINK("#",""), HYPERLINK(CONCATENATE("#Metadata!", ADDRESS(INDEX($W$2:$W$1001,MATCH(ROWS($U$2:U589),$U$2:$U$1001,0),0), INDEX($AB$1004:$AQ$1004,1,MATCH(COLUMNS($AB$1006:AC1006),$AB$1006:$AQ$1006,0)))),"Fix")))</f>
        <v>0</v>
      </c>
      <c r="D589" s="5">
        <f>IF(OR(INDEX($V$2:$V$1001,MATCH(ROWS($U$2:U589),$U$2:$U$1001,0),1)&gt;=100000,INDEX($AB$1005:$AQ$1005,1,MATCH(COLUMNS($AB$1006:AD1006),$AB$1006:$AQ$1006,0))&gt;=100000), " ",IF(INDEX($AB$2:$AQ$1001,MATCH(ROWS($U$2:U589),$U$2:$U$1001,0),MATCH(COLUMNS($AB$1006:AD1006),$AB$1006:$AQ$1006,0)), HYPERLINK("#",""), HYPERLINK(CONCATENATE("#Metadata!", ADDRESS(INDEX($W$2:$W$1001,MATCH(ROWS($U$2:U589),$U$2:$U$1001,0),0), INDEX($AB$1004:$AQ$1004,1,MATCH(COLUMNS($AB$1006:AD1006),$AB$1006:$AQ$1006,0)))),"Fix")))</f>
        <v>0</v>
      </c>
      <c r="E589" s="5">
        <f>IF(OR(INDEX($V$2:$V$1001,MATCH(ROWS($U$2:U589),$U$2:$U$1001,0),1)&gt;=100000,INDEX($AB$1005:$AQ$1005,1,MATCH(COLUMNS($AB$1006:AE1006),$AB$1006:$AQ$1006,0))&gt;=100000), " ",IF(INDEX($AB$2:$AQ$1001,MATCH(ROWS($U$2:U589),$U$2:$U$1001,0),MATCH(COLUMNS($AB$1006:AE1006),$AB$1006:$AQ$1006,0)), HYPERLINK("#",""), HYPERLINK(CONCATENATE("#Metadata!", ADDRESS(INDEX($W$2:$W$1001,MATCH(ROWS($U$2:U589),$U$2:$U$1001,0),0), INDEX($AB$1004:$AQ$1004,1,MATCH(COLUMNS($AB$1006:AE1006),$AB$1006:$AQ$1006,0)))),"Fix")))</f>
        <v>0</v>
      </c>
      <c r="F589" s="5">
        <f>IF(OR(INDEX($V$2:$V$1001,MATCH(ROWS($U$2:U589),$U$2:$U$1001,0),1)&gt;=100000,INDEX($AB$1005:$AQ$1005,1,MATCH(COLUMNS($AB$1006:AF1006),$AB$1006:$AQ$1006,0))&gt;=100000), " ",IF(INDEX($AB$2:$AQ$1001,MATCH(ROWS($U$2:U589),$U$2:$U$1001,0),MATCH(COLUMNS($AB$1006:AF1006),$AB$1006:$AQ$1006,0)), HYPERLINK("#",""), HYPERLINK(CONCATENATE("#Metadata!", ADDRESS(INDEX($W$2:$W$1001,MATCH(ROWS($U$2:U589),$U$2:$U$1001,0),0), INDEX($AB$1004:$AQ$1004,1,MATCH(COLUMNS($AB$1006:AF1006),$AB$1006:$AQ$1006,0)))),"Fix")))</f>
        <v>0</v>
      </c>
      <c r="G589" s="5">
        <f>IF(OR(INDEX($V$2:$V$1001,MATCH(ROWS($U$2:U589),$U$2:$U$1001,0),1)&gt;=100000,INDEX($AB$1005:$AQ$1005,1,MATCH(COLUMNS($AB$1006:AG1006),$AB$1006:$AQ$1006,0))&gt;=100000), " ",IF(INDEX($AB$2:$AQ$1001,MATCH(ROWS($U$2:U589),$U$2:$U$1001,0),MATCH(COLUMNS($AB$1006:AG1006),$AB$1006:$AQ$1006,0)), HYPERLINK("#",""), HYPERLINK(CONCATENATE("#Metadata!", ADDRESS(INDEX($W$2:$W$1001,MATCH(ROWS($U$2:U589),$U$2:$U$1001,0),0), INDEX($AB$1004:$AQ$1004,1,MATCH(COLUMNS($AB$1006:AG1006),$AB$1006:$AQ$1006,0)))),"Fix")))</f>
        <v>0</v>
      </c>
      <c r="H589" s="5">
        <f>IF(OR(INDEX($V$2:$V$1001,MATCH(ROWS($U$2:U589),$U$2:$U$1001,0),1)&gt;=100000,INDEX($AB$1005:$AQ$1005,1,MATCH(COLUMNS($AB$1006:AH1006),$AB$1006:$AQ$1006,0))&gt;=100000), " ",IF(INDEX($AB$2:$AQ$1001,MATCH(ROWS($U$2:U589),$U$2:$U$1001,0),MATCH(COLUMNS($AB$1006:AH1006),$AB$1006:$AQ$1006,0)), HYPERLINK("#",""), HYPERLINK(CONCATENATE("#Metadata!", ADDRESS(INDEX($W$2:$W$1001,MATCH(ROWS($U$2:U589),$U$2:$U$1001,0),0), INDEX($AB$1004:$AQ$1004,1,MATCH(COLUMNS($AB$1006:AH1006),$AB$1006:$AQ$1006,0)))),"Fix")))</f>
        <v>0</v>
      </c>
      <c r="I589" s="5">
        <f>IF(OR(INDEX($V$2:$V$1001,MATCH(ROWS($U$2:U589),$U$2:$U$1001,0),1)&gt;=100000,INDEX($AB$1005:$AQ$1005,1,MATCH(COLUMNS($AB$1006:AI1006),$AB$1006:$AQ$1006,0))&gt;=100000), " ",IF(INDEX($AB$2:$AQ$1001,MATCH(ROWS($U$2:U589),$U$2:$U$1001,0),MATCH(COLUMNS($AB$1006:AI1006),$AB$1006:$AQ$1006,0)), HYPERLINK("#",""), HYPERLINK(CONCATENATE("#Metadata!", ADDRESS(INDEX($W$2:$W$1001,MATCH(ROWS($U$2:U589),$U$2:$U$1001,0),0), INDEX($AB$1004:$AQ$1004,1,MATCH(COLUMNS($AB$1006:AI1006),$AB$1006:$AQ$1006,0)))),"Fix")))</f>
        <v>0</v>
      </c>
      <c r="J589" s="5">
        <f>IF(OR(INDEX($V$2:$V$1001,MATCH(ROWS($U$2:U589),$U$2:$U$1001,0),1)&gt;=100000,INDEX($AB$1005:$AQ$1005,1,MATCH(COLUMNS($AB$1006:AJ1006),$AB$1006:$AQ$1006,0))&gt;=100000), " ",IF(INDEX($AB$2:$AQ$1001,MATCH(ROWS($U$2:U589),$U$2:$U$1001,0),MATCH(COLUMNS($AB$1006:AJ1006),$AB$1006:$AQ$1006,0)), HYPERLINK("#",""), HYPERLINK(CONCATENATE("#Metadata!", ADDRESS(INDEX($W$2:$W$1001,MATCH(ROWS($U$2:U589),$U$2:$U$1001,0),0), INDEX($AB$1004:$AQ$1004,1,MATCH(COLUMNS($AB$1006:AJ1006),$AB$1006:$AQ$1006,0)))),"Fix")))</f>
        <v>0</v>
      </c>
      <c r="K589" s="5">
        <f>IF(OR(INDEX($V$2:$V$1001,MATCH(ROWS($U$2:U589),$U$2:$U$1001,0),1)&gt;=100000,INDEX($AB$1005:$AQ$1005,1,MATCH(COLUMNS($AB$1006:AK1006),$AB$1006:$AQ$1006,0))&gt;=100000), " ",IF(INDEX($AB$2:$AQ$1001,MATCH(ROWS($U$2:U589),$U$2:$U$1001,0),MATCH(COLUMNS($AB$1006:AK1006),$AB$1006:$AQ$1006,0)), HYPERLINK("#",""), HYPERLINK(CONCATENATE("#Metadata!", ADDRESS(INDEX($W$2:$W$1001,MATCH(ROWS($U$2:U589),$U$2:$U$1001,0),0), INDEX($AB$1004:$AQ$1004,1,MATCH(COLUMNS($AB$1006:AK1006),$AB$1006:$AQ$1006,0)))),"Fix")))</f>
        <v>0</v>
      </c>
      <c r="L589" s="5">
        <f>IF(OR(INDEX($V$2:$V$1001,MATCH(ROWS($U$2:U589),$U$2:$U$1001,0),1)&gt;=100000,INDEX($AB$1005:$AQ$1005,1,MATCH(COLUMNS($AB$1006:AL1006),$AB$1006:$AQ$1006,0))&gt;=100000), " ",IF(INDEX($AB$2:$AQ$1001,MATCH(ROWS($U$2:U589),$U$2:$U$1001,0),MATCH(COLUMNS($AB$1006:AL1006),$AB$1006:$AQ$1006,0)), HYPERLINK("#",""), HYPERLINK(CONCATENATE("#Metadata!", ADDRESS(INDEX($W$2:$W$1001,MATCH(ROWS($U$2:U589),$U$2:$U$1001,0),0), INDEX($AB$1004:$AQ$1004,1,MATCH(COLUMNS($AB$1006:AL1006),$AB$1006:$AQ$1006,0)))),"Fix")))</f>
        <v>0</v>
      </c>
      <c r="M589" s="5">
        <f>IF(OR(INDEX($V$2:$V$1001,MATCH(ROWS($U$2:U589),$U$2:$U$1001,0),1)&gt;=100000,INDEX($AB$1005:$AQ$1005,1,MATCH(COLUMNS($AB$1006:AM1006),$AB$1006:$AQ$1006,0))&gt;=100000), " ",IF(INDEX($AB$2:$AQ$1001,MATCH(ROWS($U$2:U589),$U$2:$U$1001,0),MATCH(COLUMNS($AB$1006:AM1006),$AB$1006:$AQ$1006,0)), HYPERLINK("#",""), HYPERLINK(CONCATENATE("#Metadata!", ADDRESS(INDEX($W$2:$W$1001,MATCH(ROWS($U$2:U589),$U$2:$U$1001,0),0), INDEX($AB$1004:$AQ$1004,1,MATCH(COLUMNS($AB$1006:AM1006),$AB$1006:$AQ$1006,0)))),"Fix")))</f>
        <v>0</v>
      </c>
      <c r="N589" s="5">
        <f>IF(OR(INDEX($V$2:$V$1001,MATCH(ROWS($U$2:U589),$U$2:$U$1001,0),1)&gt;=100000,INDEX($AB$1005:$AQ$1005,1,MATCH(COLUMNS($AB$1006:AN1006),$AB$1006:$AQ$1006,0))&gt;=100000), " ",IF(INDEX($AB$2:$AQ$1001,MATCH(ROWS($U$2:U589),$U$2:$U$1001,0),MATCH(COLUMNS($AB$1006:AN1006),$AB$1006:$AQ$1006,0)), HYPERLINK("#",""), HYPERLINK(CONCATENATE("#Metadata!", ADDRESS(INDEX($W$2:$W$1001,MATCH(ROWS($U$2:U589),$U$2:$U$1001,0),0), INDEX($AB$1004:$AQ$1004,1,MATCH(COLUMNS($AB$1006:AN1006),$AB$1006:$AQ$1006,0)))),"Fix")))</f>
        <v>0</v>
      </c>
      <c r="O589" s="5">
        <f>IF(OR(INDEX($V$2:$V$1001,MATCH(ROWS($U$2:U589),$U$2:$U$1001,0),1)&gt;=100000,INDEX($AB$1005:$AQ$1005,1,MATCH(COLUMNS($AB$1006:AO1006),$AB$1006:$AQ$1006,0))&gt;=100000), " ",IF(INDEX($AB$2:$AQ$1001,MATCH(ROWS($U$2:U589),$U$2:$U$1001,0),MATCH(COLUMNS($AB$1006:AO1006),$AB$1006:$AQ$1006,0)), HYPERLINK("#",""), HYPERLINK(CONCATENATE("#Metadata!", ADDRESS(INDEX($W$2:$W$1001,MATCH(ROWS($U$2:U589),$U$2:$U$1001,0),0), INDEX($AB$1004:$AQ$1004,1,MATCH(COLUMNS($AB$1006:AO1006),$AB$1006:$AQ$1006,0)))),"Fix")))</f>
        <v>0</v>
      </c>
      <c r="P589" s="5">
        <f>IF(OR(INDEX($V$2:$V$1001,MATCH(ROWS($U$2:U589),$U$2:$U$1001,0),1)&gt;=100000,INDEX($AB$1005:$AQ$1005,1,MATCH(COLUMNS($AB$1006:AP1006),$AB$1006:$AQ$1006,0))&gt;=100000), " ",IF(INDEX($AB$2:$AQ$1001,MATCH(ROWS($U$2:U589),$U$2:$U$1001,0),MATCH(COLUMNS($AB$1006:AP1006),$AB$1006:$AQ$1006,0)), HYPERLINK("#",""), HYPERLINK(CONCATENATE("#Metadata!", ADDRESS(INDEX($W$2:$W$1001,MATCH(ROWS($U$2:U589),$U$2:$U$1001,0),0), INDEX($AB$1004:$AQ$1004,1,MATCH(COLUMNS($AB$1006:AP1006),$AB$1006:$AQ$1006,0)))),"Fix")))</f>
        <v>0</v>
      </c>
      <c r="Q589" s="5">
        <f>IF(OR(INDEX($V$2:$V$1001,MATCH(ROWS($U$2:U589),$U$2:$U$1001,0),1)&gt;=100000,INDEX($AB$1005:$AQ$1005,1,MATCH(COLUMNS($AB$1006:AQ1006),$AB$1006:$AQ$1006,0))&gt;=100000), " ",IF(INDEX($AB$2:$AQ$1001,MATCH(ROWS($U$2:U589),$U$2:$U$1001,0),MATCH(COLUMNS($AB$1006:AQ1006),$AB$1006:$AQ$1006,0)), HYPERLINK("#",""), HYPERLINK(CONCATENATE("#Metadata!", ADDRESS(INDEX($W$2:$W$1001,MATCH(ROWS($U$2:U589),$U$2:$U$1001,0),0), INDEX($AB$1004:$AQ$1004,1,MATCH(COLUMNS($AB$1006:AQ1006),$AB$1006:$AQ$1006,0)))),"Fix")))</f>
        <v>0</v>
      </c>
      <c r="U589">
        <v>0</v>
      </c>
      <c r="V589">
        <v>0</v>
      </c>
      <c r="W589">
        <v>0</v>
      </c>
      <c r="X589">
        <f>IF(Y589,TRUE,AND(AB589:AQ589))</f>
        <v>0</v>
      </c>
      <c r="Y589">
        <f>COUNTBLANK(Metadata!B589:Q589)=COLUMNS(Metadata!B589:Q589)</f>
        <v>0</v>
      </c>
      <c r="Z589">
        <v>0</v>
      </c>
      <c r="AB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AC589">
        <f>AND(IF(Metadata!C589="",FALSE,TRUE),exact(Metadata!C589,"urban biome"))</f>
        <v>0</v>
      </c>
      <c r="AD589">
        <f>AND(IF(Metadata!D589="",FALSE,TRUE),exact(Metadata!D589,"human-associated habitat"))</f>
        <v>0</v>
      </c>
      <c r="AE589">
        <f>AND(IF(Metadata!E589="",FALSE,TRUE),OR(exact(Metadata!E589,"human-associated"),exact(Metadata!E589,"human-skin"),exact(Metadata!E589,"human-oral"),exact(Metadata!E589,"human-gut"),exact(Metadata!E589,"human-vaginal")))</f>
        <v>0</v>
      </c>
      <c r="AF589">
        <f>AND(IF(Metadata!F589="",FALSE,ISNUMBER(VALUE(Metadata!F589))),Metadata!F589&gt;0)</f>
        <v>0</v>
      </c>
      <c r="AG589">
        <f>AND(IF(Metadata!G589="",FALSE,TRUE),exact(Metadata!G589,"years"))</f>
        <v>0</v>
      </c>
      <c r="AH589">
        <f>OR(AND(IF(Metadata!H589="",FALSE,TRUE),OR(exact(Metadata!H589,"not applicable"),exact(Metadata!H589,"not collected"),exact(Metadata!H589,"not provided"),exact(Metadata!H589,"restricted access"))),AND(IF(Metadata!H589="",FALSE,ISNUMBER(VALUE(Metadata!H589))),Metadata!H589&gt;0))</f>
        <v>0</v>
      </c>
      <c r="AI589">
        <f>AND(IF(Metadata!I589="",FALSE,TRUE),exact(Metadata!I589,"human"))</f>
        <v>0</v>
      </c>
      <c r="AJ589">
        <f>AND(IF(Metadata!J589="",FALSE,ISNUMBER(VALUE(Metadata!J589))),Metadata!J589&gt;0)</f>
        <v>0</v>
      </c>
      <c r="AK589">
        <f>AND(IF(Metadata!K589="",FALSE,TRUE),exact(Metadata!K589,"cm"))</f>
        <v>0</v>
      </c>
      <c r="AL589">
        <f>AND(IF(Metadata!L589="",FALSE,TRUE),exact(Metadata!L589,"Homo sapiens"))</f>
        <v>0</v>
      </c>
      <c r="AM589">
        <f>AND(IF(Metadata!M589="",FALSE,TRUE),exact(Metadata!M589,"9606"))</f>
        <v>0</v>
      </c>
      <c r="AN589">
        <f>AND(IF(Metadata!N589="",FALSE,ISNUMBER(VALUE(Metadata!N589))),Metadata!N589&gt;0)</f>
        <v>0</v>
      </c>
      <c r="AO589">
        <f>AND(IF(Metadata!O589="",FALSE,TRUE),exact(Metadata!O589,"kg"))</f>
        <v>0</v>
      </c>
      <c r="AP589">
        <f>OR(AND(IF(Metadata!P589="",FALSE,TRUE),exact(Metadata!P589,"not provided")),IF(Metadata!P589="",FALSE,TRUE))</f>
        <v>0</v>
      </c>
      <c r="AQ589">
        <f>OR(AND(IF(Metadata!Q589="",FALSE,TRUE),exact(Metadata!Q589,"not provided")),IF(Metadata!Q589="",FALSE,TRUE))</f>
        <v>0</v>
      </c>
    </row>
    <row r="590" spans="1:43">
      <c r="A590" s="4">
        <f>IF(B590=" "," ",HYPERLINK(CONCATENATE("#metadata!",ADDRESS(INDEX($W$2:$W$1001,MATCH(ROWS($U$2:U590),$U$2:$U$1001,0),0),2)),INDEX($Z$2:$Z$1001,MATCH(ROWS($U$2:U590),$U$2:$U$1001,0),0)))</f>
        <v>0</v>
      </c>
      <c r="B590" s="5">
        <f>IF(OR(INDEX($V$2:$V$1001,MATCH(ROWS($U$2:U590),$U$2:$U$1001,0),1)&gt;=100000,INDEX($AB$1005:$AQ$1005,1,MATCH(COLUMNS($AB$1006:AB1006),$AB$1006:$AQ$1006,0))&gt;=100000), " ",IF(INDEX($AB$2:$AQ$1001,MATCH(ROWS($U$2:U590),$U$2:$U$1001,0),MATCH(COLUMNS($AB$1006:AB1006),$AB$1006:$AQ$1006,0)), HYPERLINK("#",""), HYPERLINK(CONCATENATE("#Metadata!", ADDRESS(INDEX($W$2:$W$1001,MATCH(ROWS($U$2:U590),$U$2:$U$1001,0),0), INDEX($AB$1004:$AQ$1004,1,MATCH(COLUMNS($AB$1006:AB1006),$AB$1006:$AQ$1006,0)))),"Fix")))</f>
        <v>0</v>
      </c>
      <c r="C590" s="5">
        <f>IF(OR(INDEX($V$2:$V$1001,MATCH(ROWS($U$2:U590),$U$2:$U$1001,0),1)&gt;=100000,INDEX($AB$1005:$AQ$1005,1,MATCH(COLUMNS($AB$1006:AC1006),$AB$1006:$AQ$1006,0))&gt;=100000), " ",IF(INDEX($AB$2:$AQ$1001,MATCH(ROWS($U$2:U590),$U$2:$U$1001,0),MATCH(COLUMNS($AB$1006:AC1006),$AB$1006:$AQ$1006,0)), HYPERLINK("#",""), HYPERLINK(CONCATENATE("#Metadata!", ADDRESS(INDEX($W$2:$W$1001,MATCH(ROWS($U$2:U590),$U$2:$U$1001,0),0), INDEX($AB$1004:$AQ$1004,1,MATCH(COLUMNS($AB$1006:AC1006),$AB$1006:$AQ$1006,0)))),"Fix")))</f>
        <v>0</v>
      </c>
      <c r="D590" s="5">
        <f>IF(OR(INDEX($V$2:$V$1001,MATCH(ROWS($U$2:U590),$U$2:$U$1001,0),1)&gt;=100000,INDEX($AB$1005:$AQ$1005,1,MATCH(COLUMNS($AB$1006:AD1006),$AB$1006:$AQ$1006,0))&gt;=100000), " ",IF(INDEX($AB$2:$AQ$1001,MATCH(ROWS($U$2:U590),$U$2:$U$1001,0),MATCH(COLUMNS($AB$1006:AD1006),$AB$1006:$AQ$1006,0)), HYPERLINK("#",""), HYPERLINK(CONCATENATE("#Metadata!", ADDRESS(INDEX($W$2:$W$1001,MATCH(ROWS($U$2:U590),$U$2:$U$1001,0),0), INDEX($AB$1004:$AQ$1004,1,MATCH(COLUMNS($AB$1006:AD1006),$AB$1006:$AQ$1006,0)))),"Fix")))</f>
        <v>0</v>
      </c>
      <c r="E590" s="5">
        <f>IF(OR(INDEX($V$2:$V$1001,MATCH(ROWS($U$2:U590),$U$2:$U$1001,0),1)&gt;=100000,INDEX($AB$1005:$AQ$1005,1,MATCH(COLUMNS($AB$1006:AE1006),$AB$1006:$AQ$1006,0))&gt;=100000), " ",IF(INDEX($AB$2:$AQ$1001,MATCH(ROWS($U$2:U590),$U$2:$U$1001,0),MATCH(COLUMNS($AB$1006:AE1006),$AB$1006:$AQ$1006,0)), HYPERLINK("#",""), HYPERLINK(CONCATENATE("#Metadata!", ADDRESS(INDEX($W$2:$W$1001,MATCH(ROWS($U$2:U590),$U$2:$U$1001,0),0), INDEX($AB$1004:$AQ$1004,1,MATCH(COLUMNS($AB$1006:AE1006),$AB$1006:$AQ$1006,0)))),"Fix")))</f>
        <v>0</v>
      </c>
      <c r="F590" s="5">
        <f>IF(OR(INDEX($V$2:$V$1001,MATCH(ROWS($U$2:U590),$U$2:$U$1001,0),1)&gt;=100000,INDEX($AB$1005:$AQ$1005,1,MATCH(COLUMNS($AB$1006:AF1006),$AB$1006:$AQ$1006,0))&gt;=100000), " ",IF(INDEX($AB$2:$AQ$1001,MATCH(ROWS($U$2:U590),$U$2:$U$1001,0),MATCH(COLUMNS($AB$1006:AF1006),$AB$1006:$AQ$1006,0)), HYPERLINK("#",""), HYPERLINK(CONCATENATE("#Metadata!", ADDRESS(INDEX($W$2:$W$1001,MATCH(ROWS($U$2:U590),$U$2:$U$1001,0),0), INDEX($AB$1004:$AQ$1004,1,MATCH(COLUMNS($AB$1006:AF1006),$AB$1006:$AQ$1006,0)))),"Fix")))</f>
        <v>0</v>
      </c>
      <c r="G590" s="5">
        <f>IF(OR(INDEX($V$2:$V$1001,MATCH(ROWS($U$2:U590),$U$2:$U$1001,0),1)&gt;=100000,INDEX($AB$1005:$AQ$1005,1,MATCH(COLUMNS($AB$1006:AG1006),$AB$1006:$AQ$1006,0))&gt;=100000), " ",IF(INDEX($AB$2:$AQ$1001,MATCH(ROWS($U$2:U590),$U$2:$U$1001,0),MATCH(COLUMNS($AB$1006:AG1006),$AB$1006:$AQ$1006,0)), HYPERLINK("#",""), HYPERLINK(CONCATENATE("#Metadata!", ADDRESS(INDEX($W$2:$W$1001,MATCH(ROWS($U$2:U590),$U$2:$U$1001,0),0), INDEX($AB$1004:$AQ$1004,1,MATCH(COLUMNS($AB$1006:AG1006),$AB$1006:$AQ$1006,0)))),"Fix")))</f>
        <v>0</v>
      </c>
      <c r="H590" s="5">
        <f>IF(OR(INDEX($V$2:$V$1001,MATCH(ROWS($U$2:U590),$U$2:$U$1001,0),1)&gt;=100000,INDEX($AB$1005:$AQ$1005,1,MATCH(COLUMNS($AB$1006:AH1006),$AB$1006:$AQ$1006,0))&gt;=100000), " ",IF(INDEX($AB$2:$AQ$1001,MATCH(ROWS($U$2:U590),$U$2:$U$1001,0),MATCH(COLUMNS($AB$1006:AH1006),$AB$1006:$AQ$1006,0)), HYPERLINK("#",""), HYPERLINK(CONCATENATE("#Metadata!", ADDRESS(INDEX($W$2:$W$1001,MATCH(ROWS($U$2:U590),$U$2:$U$1001,0),0), INDEX($AB$1004:$AQ$1004,1,MATCH(COLUMNS($AB$1006:AH1006),$AB$1006:$AQ$1006,0)))),"Fix")))</f>
        <v>0</v>
      </c>
      <c r="I590" s="5">
        <f>IF(OR(INDEX($V$2:$V$1001,MATCH(ROWS($U$2:U590),$U$2:$U$1001,0),1)&gt;=100000,INDEX($AB$1005:$AQ$1005,1,MATCH(COLUMNS($AB$1006:AI1006),$AB$1006:$AQ$1006,0))&gt;=100000), " ",IF(INDEX($AB$2:$AQ$1001,MATCH(ROWS($U$2:U590),$U$2:$U$1001,0),MATCH(COLUMNS($AB$1006:AI1006),$AB$1006:$AQ$1006,0)), HYPERLINK("#",""), HYPERLINK(CONCATENATE("#Metadata!", ADDRESS(INDEX($W$2:$W$1001,MATCH(ROWS($U$2:U590),$U$2:$U$1001,0),0), INDEX($AB$1004:$AQ$1004,1,MATCH(COLUMNS($AB$1006:AI1006),$AB$1006:$AQ$1006,0)))),"Fix")))</f>
        <v>0</v>
      </c>
      <c r="J590" s="5">
        <f>IF(OR(INDEX($V$2:$V$1001,MATCH(ROWS($U$2:U590),$U$2:$U$1001,0),1)&gt;=100000,INDEX($AB$1005:$AQ$1005,1,MATCH(COLUMNS($AB$1006:AJ1006),$AB$1006:$AQ$1006,0))&gt;=100000), " ",IF(INDEX($AB$2:$AQ$1001,MATCH(ROWS($U$2:U590),$U$2:$U$1001,0),MATCH(COLUMNS($AB$1006:AJ1006),$AB$1006:$AQ$1006,0)), HYPERLINK("#",""), HYPERLINK(CONCATENATE("#Metadata!", ADDRESS(INDEX($W$2:$W$1001,MATCH(ROWS($U$2:U590),$U$2:$U$1001,0),0), INDEX($AB$1004:$AQ$1004,1,MATCH(COLUMNS($AB$1006:AJ1006),$AB$1006:$AQ$1006,0)))),"Fix")))</f>
        <v>0</v>
      </c>
      <c r="K590" s="5">
        <f>IF(OR(INDEX($V$2:$V$1001,MATCH(ROWS($U$2:U590),$U$2:$U$1001,0),1)&gt;=100000,INDEX($AB$1005:$AQ$1005,1,MATCH(COLUMNS($AB$1006:AK1006),$AB$1006:$AQ$1006,0))&gt;=100000), " ",IF(INDEX($AB$2:$AQ$1001,MATCH(ROWS($U$2:U590),$U$2:$U$1001,0),MATCH(COLUMNS($AB$1006:AK1006),$AB$1006:$AQ$1006,0)), HYPERLINK("#",""), HYPERLINK(CONCATENATE("#Metadata!", ADDRESS(INDEX($W$2:$W$1001,MATCH(ROWS($U$2:U590),$U$2:$U$1001,0),0), INDEX($AB$1004:$AQ$1004,1,MATCH(COLUMNS($AB$1006:AK1006),$AB$1006:$AQ$1006,0)))),"Fix")))</f>
        <v>0</v>
      </c>
      <c r="L590" s="5">
        <f>IF(OR(INDEX($V$2:$V$1001,MATCH(ROWS($U$2:U590),$U$2:$U$1001,0),1)&gt;=100000,INDEX($AB$1005:$AQ$1005,1,MATCH(COLUMNS($AB$1006:AL1006),$AB$1006:$AQ$1006,0))&gt;=100000), " ",IF(INDEX($AB$2:$AQ$1001,MATCH(ROWS($U$2:U590),$U$2:$U$1001,0),MATCH(COLUMNS($AB$1006:AL1006),$AB$1006:$AQ$1006,0)), HYPERLINK("#",""), HYPERLINK(CONCATENATE("#Metadata!", ADDRESS(INDEX($W$2:$W$1001,MATCH(ROWS($U$2:U590),$U$2:$U$1001,0),0), INDEX($AB$1004:$AQ$1004,1,MATCH(COLUMNS($AB$1006:AL1006),$AB$1006:$AQ$1006,0)))),"Fix")))</f>
        <v>0</v>
      </c>
      <c r="M590" s="5">
        <f>IF(OR(INDEX($V$2:$V$1001,MATCH(ROWS($U$2:U590),$U$2:$U$1001,0),1)&gt;=100000,INDEX($AB$1005:$AQ$1005,1,MATCH(COLUMNS($AB$1006:AM1006),$AB$1006:$AQ$1006,0))&gt;=100000), " ",IF(INDEX($AB$2:$AQ$1001,MATCH(ROWS($U$2:U590),$U$2:$U$1001,0),MATCH(COLUMNS($AB$1006:AM1006),$AB$1006:$AQ$1006,0)), HYPERLINK("#",""), HYPERLINK(CONCATENATE("#Metadata!", ADDRESS(INDEX($W$2:$W$1001,MATCH(ROWS($U$2:U590),$U$2:$U$1001,0),0), INDEX($AB$1004:$AQ$1004,1,MATCH(COLUMNS($AB$1006:AM1006),$AB$1006:$AQ$1006,0)))),"Fix")))</f>
        <v>0</v>
      </c>
      <c r="N590" s="5">
        <f>IF(OR(INDEX($V$2:$V$1001,MATCH(ROWS($U$2:U590),$U$2:$U$1001,0),1)&gt;=100000,INDEX($AB$1005:$AQ$1005,1,MATCH(COLUMNS($AB$1006:AN1006),$AB$1006:$AQ$1006,0))&gt;=100000), " ",IF(INDEX($AB$2:$AQ$1001,MATCH(ROWS($U$2:U590),$U$2:$U$1001,0),MATCH(COLUMNS($AB$1006:AN1006),$AB$1006:$AQ$1006,0)), HYPERLINK("#",""), HYPERLINK(CONCATENATE("#Metadata!", ADDRESS(INDEX($W$2:$W$1001,MATCH(ROWS($U$2:U590),$U$2:$U$1001,0),0), INDEX($AB$1004:$AQ$1004,1,MATCH(COLUMNS($AB$1006:AN1006),$AB$1006:$AQ$1006,0)))),"Fix")))</f>
        <v>0</v>
      </c>
      <c r="O590" s="5">
        <f>IF(OR(INDEX($V$2:$V$1001,MATCH(ROWS($U$2:U590),$U$2:$U$1001,0),1)&gt;=100000,INDEX($AB$1005:$AQ$1005,1,MATCH(COLUMNS($AB$1006:AO1006),$AB$1006:$AQ$1006,0))&gt;=100000), " ",IF(INDEX($AB$2:$AQ$1001,MATCH(ROWS($U$2:U590),$U$2:$U$1001,0),MATCH(COLUMNS($AB$1006:AO1006),$AB$1006:$AQ$1006,0)), HYPERLINK("#",""), HYPERLINK(CONCATENATE("#Metadata!", ADDRESS(INDEX($W$2:$W$1001,MATCH(ROWS($U$2:U590),$U$2:$U$1001,0),0), INDEX($AB$1004:$AQ$1004,1,MATCH(COLUMNS($AB$1006:AO1006),$AB$1006:$AQ$1006,0)))),"Fix")))</f>
        <v>0</v>
      </c>
      <c r="P590" s="5">
        <f>IF(OR(INDEX($V$2:$V$1001,MATCH(ROWS($U$2:U590),$U$2:$U$1001,0),1)&gt;=100000,INDEX($AB$1005:$AQ$1005,1,MATCH(COLUMNS($AB$1006:AP1006),$AB$1006:$AQ$1006,0))&gt;=100000), " ",IF(INDEX($AB$2:$AQ$1001,MATCH(ROWS($U$2:U590),$U$2:$U$1001,0),MATCH(COLUMNS($AB$1006:AP1006),$AB$1006:$AQ$1006,0)), HYPERLINK("#",""), HYPERLINK(CONCATENATE("#Metadata!", ADDRESS(INDEX($W$2:$W$1001,MATCH(ROWS($U$2:U590),$U$2:$U$1001,0),0), INDEX($AB$1004:$AQ$1004,1,MATCH(COLUMNS($AB$1006:AP1006),$AB$1006:$AQ$1006,0)))),"Fix")))</f>
        <v>0</v>
      </c>
      <c r="Q590" s="5">
        <f>IF(OR(INDEX($V$2:$V$1001,MATCH(ROWS($U$2:U590),$U$2:$U$1001,0),1)&gt;=100000,INDEX($AB$1005:$AQ$1005,1,MATCH(COLUMNS($AB$1006:AQ1006),$AB$1006:$AQ$1006,0))&gt;=100000), " ",IF(INDEX($AB$2:$AQ$1001,MATCH(ROWS($U$2:U590),$U$2:$U$1001,0),MATCH(COLUMNS($AB$1006:AQ1006),$AB$1006:$AQ$1006,0)), HYPERLINK("#",""), HYPERLINK(CONCATENATE("#Metadata!", ADDRESS(INDEX($W$2:$W$1001,MATCH(ROWS($U$2:U590),$U$2:$U$1001,0),0), INDEX($AB$1004:$AQ$1004,1,MATCH(COLUMNS($AB$1006:AQ1006),$AB$1006:$AQ$1006,0)))),"Fix")))</f>
        <v>0</v>
      </c>
      <c r="U590">
        <v>0</v>
      </c>
      <c r="V590">
        <v>0</v>
      </c>
      <c r="W590">
        <v>0</v>
      </c>
      <c r="X590">
        <f>IF(Y590,TRUE,AND(AB590:AQ590))</f>
        <v>0</v>
      </c>
      <c r="Y590">
        <f>COUNTBLANK(Metadata!B590:Q590)=COLUMNS(Metadata!B590:Q590)</f>
        <v>0</v>
      </c>
      <c r="Z590">
        <v>0</v>
      </c>
      <c r="AB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AC590">
        <f>AND(IF(Metadata!C590="",FALSE,TRUE),exact(Metadata!C590,"urban biome"))</f>
        <v>0</v>
      </c>
      <c r="AD590">
        <f>AND(IF(Metadata!D590="",FALSE,TRUE),exact(Metadata!D590,"human-associated habitat"))</f>
        <v>0</v>
      </c>
      <c r="AE590">
        <f>AND(IF(Metadata!E590="",FALSE,TRUE),OR(exact(Metadata!E590,"human-associated"),exact(Metadata!E590,"human-skin"),exact(Metadata!E590,"human-oral"),exact(Metadata!E590,"human-gut"),exact(Metadata!E590,"human-vaginal")))</f>
        <v>0</v>
      </c>
      <c r="AF590">
        <f>AND(IF(Metadata!F590="",FALSE,ISNUMBER(VALUE(Metadata!F590))),Metadata!F590&gt;0)</f>
        <v>0</v>
      </c>
      <c r="AG590">
        <f>AND(IF(Metadata!G590="",FALSE,TRUE),exact(Metadata!G590,"years"))</f>
        <v>0</v>
      </c>
      <c r="AH590">
        <f>OR(AND(IF(Metadata!H590="",FALSE,TRUE),OR(exact(Metadata!H590,"not applicable"),exact(Metadata!H590,"not collected"),exact(Metadata!H590,"not provided"),exact(Metadata!H590,"restricted access"))),AND(IF(Metadata!H590="",FALSE,ISNUMBER(VALUE(Metadata!H590))),Metadata!H590&gt;0))</f>
        <v>0</v>
      </c>
      <c r="AI590">
        <f>AND(IF(Metadata!I590="",FALSE,TRUE),exact(Metadata!I590,"human"))</f>
        <v>0</v>
      </c>
      <c r="AJ590">
        <f>AND(IF(Metadata!J590="",FALSE,ISNUMBER(VALUE(Metadata!J590))),Metadata!J590&gt;0)</f>
        <v>0</v>
      </c>
      <c r="AK590">
        <f>AND(IF(Metadata!K590="",FALSE,TRUE),exact(Metadata!K590,"cm"))</f>
        <v>0</v>
      </c>
      <c r="AL590">
        <f>AND(IF(Metadata!L590="",FALSE,TRUE),exact(Metadata!L590,"Homo sapiens"))</f>
        <v>0</v>
      </c>
      <c r="AM590">
        <f>AND(IF(Metadata!M590="",FALSE,TRUE),exact(Metadata!M590,"9606"))</f>
        <v>0</v>
      </c>
      <c r="AN590">
        <f>AND(IF(Metadata!N590="",FALSE,ISNUMBER(VALUE(Metadata!N590))),Metadata!N590&gt;0)</f>
        <v>0</v>
      </c>
      <c r="AO590">
        <f>AND(IF(Metadata!O590="",FALSE,TRUE),exact(Metadata!O590,"kg"))</f>
        <v>0</v>
      </c>
      <c r="AP590">
        <f>OR(AND(IF(Metadata!P590="",FALSE,TRUE),exact(Metadata!P590,"not provided")),IF(Metadata!P590="",FALSE,TRUE))</f>
        <v>0</v>
      </c>
      <c r="AQ590">
        <f>OR(AND(IF(Metadata!Q590="",FALSE,TRUE),exact(Metadata!Q590,"not provided")),IF(Metadata!Q590="",FALSE,TRUE))</f>
        <v>0</v>
      </c>
    </row>
    <row r="591" spans="1:43">
      <c r="A591" s="4">
        <f>IF(B591=" "," ",HYPERLINK(CONCATENATE("#metadata!",ADDRESS(INDEX($W$2:$W$1001,MATCH(ROWS($U$2:U591),$U$2:$U$1001,0),0),2)),INDEX($Z$2:$Z$1001,MATCH(ROWS($U$2:U591),$U$2:$U$1001,0),0)))</f>
        <v>0</v>
      </c>
      <c r="B591" s="5">
        <f>IF(OR(INDEX($V$2:$V$1001,MATCH(ROWS($U$2:U591),$U$2:$U$1001,0),1)&gt;=100000,INDEX($AB$1005:$AQ$1005,1,MATCH(COLUMNS($AB$1006:AB1006),$AB$1006:$AQ$1006,0))&gt;=100000), " ",IF(INDEX($AB$2:$AQ$1001,MATCH(ROWS($U$2:U591),$U$2:$U$1001,0),MATCH(COLUMNS($AB$1006:AB1006),$AB$1006:$AQ$1006,0)), HYPERLINK("#",""), HYPERLINK(CONCATENATE("#Metadata!", ADDRESS(INDEX($W$2:$W$1001,MATCH(ROWS($U$2:U591),$U$2:$U$1001,0),0), INDEX($AB$1004:$AQ$1004,1,MATCH(COLUMNS($AB$1006:AB1006),$AB$1006:$AQ$1006,0)))),"Fix")))</f>
        <v>0</v>
      </c>
      <c r="C591" s="5">
        <f>IF(OR(INDEX($V$2:$V$1001,MATCH(ROWS($U$2:U591),$U$2:$U$1001,0),1)&gt;=100000,INDEX($AB$1005:$AQ$1005,1,MATCH(COLUMNS($AB$1006:AC1006),$AB$1006:$AQ$1006,0))&gt;=100000), " ",IF(INDEX($AB$2:$AQ$1001,MATCH(ROWS($U$2:U591),$U$2:$U$1001,0),MATCH(COLUMNS($AB$1006:AC1006),$AB$1006:$AQ$1006,0)), HYPERLINK("#",""), HYPERLINK(CONCATENATE("#Metadata!", ADDRESS(INDEX($W$2:$W$1001,MATCH(ROWS($U$2:U591),$U$2:$U$1001,0),0), INDEX($AB$1004:$AQ$1004,1,MATCH(COLUMNS($AB$1006:AC1006),$AB$1006:$AQ$1006,0)))),"Fix")))</f>
        <v>0</v>
      </c>
      <c r="D591" s="5">
        <f>IF(OR(INDEX($V$2:$V$1001,MATCH(ROWS($U$2:U591),$U$2:$U$1001,0),1)&gt;=100000,INDEX($AB$1005:$AQ$1005,1,MATCH(COLUMNS($AB$1006:AD1006),$AB$1006:$AQ$1006,0))&gt;=100000), " ",IF(INDEX($AB$2:$AQ$1001,MATCH(ROWS($U$2:U591),$U$2:$U$1001,0),MATCH(COLUMNS($AB$1006:AD1006),$AB$1006:$AQ$1006,0)), HYPERLINK("#",""), HYPERLINK(CONCATENATE("#Metadata!", ADDRESS(INDEX($W$2:$W$1001,MATCH(ROWS($U$2:U591),$U$2:$U$1001,0),0), INDEX($AB$1004:$AQ$1004,1,MATCH(COLUMNS($AB$1006:AD1006),$AB$1006:$AQ$1006,0)))),"Fix")))</f>
        <v>0</v>
      </c>
      <c r="E591" s="5">
        <f>IF(OR(INDEX($V$2:$V$1001,MATCH(ROWS($U$2:U591),$U$2:$U$1001,0),1)&gt;=100000,INDEX($AB$1005:$AQ$1005,1,MATCH(COLUMNS($AB$1006:AE1006),$AB$1006:$AQ$1006,0))&gt;=100000), " ",IF(INDEX($AB$2:$AQ$1001,MATCH(ROWS($U$2:U591),$U$2:$U$1001,0),MATCH(COLUMNS($AB$1006:AE1006),$AB$1006:$AQ$1006,0)), HYPERLINK("#",""), HYPERLINK(CONCATENATE("#Metadata!", ADDRESS(INDEX($W$2:$W$1001,MATCH(ROWS($U$2:U591),$U$2:$U$1001,0),0), INDEX($AB$1004:$AQ$1004,1,MATCH(COLUMNS($AB$1006:AE1006),$AB$1006:$AQ$1006,0)))),"Fix")))</f>
        <v>0</v>
      </c>
      <c r="F591" s="5">
        <f>IF(OR(INDEX($V$2:$V$1001,MATCH(ROWS($U$2:U591),$U$2:$U$1001,0),1)&gt;=100000,INDEX($AB$1005:$AQ$1005,1,MATCH(COLUMNS($AB$1006:AF1006),$AB$1006:$AQ$1006,0))&gt;=100000), " ",IF(INDEX($AB$2:$AQ$1001,MATCH(ROWS($U$2:U591),$U$2:$U$1001,0),MATCH(COLUMNS($AB$1006:AF1006),$AB$1006:$AQ$1006,0)), HYPERLINK("#",""), HYPERLINK(CONCATENATE("#Metadata!", ADDRESS(INDEX($W$2:$W$1001,MATCH(ROWS($U$2:U591),$U$2:$U$1001,0),0), INDEX($AB$1004:$AQ$1004,1,MATCH(COLUMNS($AB$1006:AF1006),$AB$1006:$AQ$1006,0)))),"Fix")))</f>
        <v>0</v>
      </c>
      <c r="G591" s="5">
        <f>IF(OR(INDEX($V$2:$V$1001,MATCH(ROWS($U$2:U591),$U$2:$U$1001,0),1)&gt;=100000,INDEX($AB$1005:$AQ$1005,1,MATCH(COLUMNS($AB$1006:AG1006),$AB$1006:$AQ$1006,0))&gt;=100000), " ",IF(INDEX($AB$2:$AQ$1001,MATCH(ROWS($U$2:U591),$U$2:$U$1001,0),MATCH(COLUMNS($AB$1006:AG1006),$AB$1006:$AQ$1006,0)), HYPERLINK("#",""), HYPERLINK(CONCATENATE("#Metadata!", ADDRESS(INDEX($W$2:$W$1001,MATCH(ROWS($U$2:U591),$U$2:$U$1001,0),0), INDEX($AB$1004:$AQ$1004,1,MATCH(COLUMNS($AB$1006:AG1006),$AB$1006:$AQ$1006,0)))),"Fix")))</f>
        <v>0</v>
      </c>
      <c r="H591" s="5">
        <f>IF(OR(INDEX($V$2:$V$1001,MATCH(ROWS($U$2:U591),$U$2:$U$1001,0),1)&gt;=100000,INDEX($AB$1005:$AQ$1005,1,MATCH(COLUMNS($AB$1006:AH1006),$AB$1006:$AQ$1006,0))&gt;=100000), " ",IF(INDEX($AB$2:$AQ$1001,MATCH(ROWS($U$2:U591),$U$2:$U$1001,0),MATCH(COLUMNS($AB$1006:AH1006),$AB$1006:$AQ$1006,0)), HYPERLINK("#",""), HYPERLINK(CONCATENATE("#Metadata!", ADDRESS(INDEX($W$2:$W$1001,MATCH(ROWS($U$2:U591),$U$2:$U$1001,0),0), INDEX($AB$1004:$AQ$1004,1,MATCH(COLUMNS($AB$1006:AH1006),$AB$1006:$AQ$1006,0)))),"Fix")))</f>
        <v>0</v>
      </c>
      <c r="I591" s="5">
        <f>IF(OR(INDEX($V$2:$V$1001,MATCH(ROWS($U$2:U591),$U$2:$U$1001,0),1)&gt;=100000,INDEX($AB$1005:$AQ$1005,1,MATCH(COLUMNS($AB$1006:AI1006),$AB$1006:$AQ$1006,0))&gt;=100000), " ",IF(INDEX($AB$2:$AQ$1001,MATCH(ROWS($U$2:U591),$U$2:$U$1001,0),MATCH(COLUMNS($AB$1006:AI1006),$AB$1006:$AQ$1006,0)), HYPERLINK("#",""), HYPERLINK(CONCATENATE("#Metadata!", ADDRESS(INDEX($W$2:$W$1001,MATCH(ROWS($U$2:U591),$U$2:$U$1001,0),0), INDEX($AB$1004:$AQ$1004,1,MATCH(COLUMNS($AB$1006:AI1006),$AB$1006:$AQ$1006,0)))),"Fix")))</f>
        <v>0</v>
      </c>
      <c r="J591" s="5">
        <f>IF(OR(INDEX($V$2:$V$1001,MATCH(ROWS($U$2:U591),$U$2:$U$1001,0),1)&gt;=100000,INDEX($AB$1005:$AQ$1005,1,MATCH(COLUMNS($AB$1006:AJ1006),$AB$1006:$AQ$1006,0))&gt;=100000), " ",IF(INDEX($AB$2:$AQ$1001,MATCH(ROWS($U$2:U591),$U$2:$U$1001,0),MATCH(COLUMNS($AB$1006:AJ1006),$AB$1006:$AQ$1006,0)), HYPERLINK("#",""), HYPERLINK(CONCATENATE("#Metadata!", ADDRESS(INDEX($W$2:$W$1001,MATCH(ROWS($U$2:U591),$U$2:$U$1001,0),0), INDEX($AB$1004:$AQ$1004,1,MATCH(COLUMNS($AB$1006:AJ1006),$AB$1006:$AQ$1006,0)))),"Fix")))</f>
        <v>0</v>
      </c>
      <c r="K591" s="5">
        <f>IF(OR(INDEX($V$2:$V$1001,MATCH(ROWS($U$2:U591),$U$2:$U$1001,0),1)&gt;=100000,INDEX($AB$1005:$AQ$1005,1,MATCH(COLUMNS($AB$1006:AK1006),$AB$1006:$AQ$1006,0))&gt;=100000), " ",IF(INDEX($AB$2:$AQ$1001,MATCH(ROWS($U$2:U591),$U$2:$U$1001,0),MATCH(COLUMNS($AB$1006:AK1006),$AB$1006:$AQ$1006,0)), HYPERLINK("#",""), HYPERLINK(CONCATENATE("#Metadata!", ADDRESS(INDEX($W$2:$W$1001,MATCH(ROWS($U$2:U591),$U$2:$U$1001,0),0), INDEX($AB$1004:$AQ$1004,1,MATCH(COLUMNS($AB$1006:AK1006),$AB$1006:$AQ$1006,0)))),"Fix")))</f>
        <v>0</v>
      </c>
      <c r="L591" s="5">
        <f>IF(OR(INDEX($V$2:$V$1001,MATCH(ROWS($U$2:U591),$U$2:$U$1001,0),1)&gt;=100000,INDEX($AB$1005:$AQ$1005,1,MATCH(COLUMNS($AB$1006:AL1006),$AB$1006:$AQ$1006,0))&gt;=100000), " ",IF(INDEX($AB$2:$AQ$1001,MATCH(ROWS($U$2:U591),$U$2:$U$1001,0),MATCH(COLUMNS($AB$1006:AL1006),$AB$1006:$AQ$1006,0)), HYPERLINK("#",""), HYPERLINK(CONCATENATE("#Metadata!", ADDRESS(INDEX($W$2:$W$1001,MATCH(ROWS($U$2:U591),$U$2:$U$1001,0),0), INDEX($AB$1004:$AQ$1004,1,MATCH(COLUMNS($AB$1006:AL1006),$AB$1006:$AQ$1006,0)))),"Fix")))</f>
        <v>0</v>
      </c>
      <c r="M591" s="5">
        <f>IF(OR(INDEX($V$2:$V$1001,MATCH(ROWS($U$2:U591),$U$2:$U$1001,0),1)&gt;=100000,INDEX($AB$1005:$AQ$1005,1,MATCH(COLUMNS($AB$1006:AM1006),$AB$1006:$AQ$1006,0))&gt;=100000), " ",IF(INDEX($AB$2:$AQ$1001,MATCH(ROWS($U$2:U591),$U$2:$U$1001,0),MATCH(COLUMNS($AB$1006:AM1006),$AB$1006:$AQ$1006,0)), HYPERLINK("#",""), HYPERLINK(CONCATENATE("#Metadata!", ADDRESS(INDEX($W$2:$W$1001,MATCH(ROWS($U$2:U591),$U$2:$U$1001,0),0), INDEX($AB$1004:$AQ$1004,1,MATCH(COLUMNS($AB$1006:AM1006),$AB$1006:$AQ$1006,0)))),"Fix")))</f>
        <v>0</v>
      </c>
      <c r="N591" s="5">
        <f>IF(OR(INDEX($V$2:$V$1001,MATCH(ROWS($U$2:U591),$U$2:$U$1001,0),1)&gt;=100000,INDEX($AB$1005:$AQ$1005,1,MATCH(COLUMNS($AB$1006:AN1006),$AB$1006:$AQ$1006,0))&gt;=100000), " ",IF(INDEX($AB$2:$AQ$1001,MATCH(ROWS($U$2:U591),$U$2:$U$1001,0),MATCH(COLUMNS($AB$1006:AN1006),$AB$1006:$AQ$1006,0)), HYPERLINK("#",""), HYPERLINK(CONCATENATE("#Metadata!", ADDRESS(INDEX($W$2:$W$1001,MATCH(ROWS($U$2:U591),$U$2:$U$1001,0),0), INDEX($AB$1004:$AQ$1004,1,MATCH(COLUMNS($AB$1006:AN1006),$AB$1006:$AQ$1006,0)))),"Fix")))</f>
        <v>0</v>
      </c>
      <c r="O591" s="5">
        <f>IF(OR(INDEX($V$2:$V$1001,MATCH(ROWS($U$2:U591),$U$2:$U$1001,0),1)&gt;=100000,INDEX($AB$1005:$AQ$1005,1,MATCH(COLUMNS($AB$1006:AO1006),$AB$1006:$AQ$1006,0))&gt;=100000), " ",IF(INDEX($AB$2:$AQ$1001,MATCH(ROWS($U$2:U591),$U$2:$U$1001,0),MATCH(COLUMNS($AB$1006:AO1006),$AB$1006:$AQ$1006,0)), HYPERLINK("#",""), HYPERLINK(CONCATENATE("#Metadata!", ADDRESS(INDEX($W$2:$W$1001,MATCH(ROWS($U$2:U591),$U$2:$U$1001,0),0), INDEX($AB$1004:$AQ$1004,1,MATCH(COLUMNS($AB$1006:AO1006),$AB$1006:$AQ$1006,0)))),"Fix")))</f>
        <v>0</v>
      </c>
      <c r="P591" s="5">
        <f>IF(OR(INDEX($V$2:$V$1001,MATCH(ROWS($U$2:U591),$U$2:$U$1001,0),1)&gt;=100000,INDEX($AB$1005:$AQ$1005,1,MATCH(COLUMNS($AB$1006:AP1006),$AB$1006:$AQ$1006,0))&gt;=100000), " ",IF(INDEX($AB$2:$AQ$1001,MATCH(ROWS($U$2:U591),$U$2:$U$1001,0),MATCH(COLUMNS($AB$1006:AP1006),$AB$1006:$AQ$1006,0)), HYPERLINK("#",""), HYPERLINK(CONCATENATE("#Metadata!", ADDRESS(INDEX($W$2:$W$1001,MATCH(ROWS($U$2:U591),$U$2:$U$1001,0),0), INDEX($AB$1004:$AQ$1004,1,MATCH(COLUMNS($AB$1006:AP1006),$AB$1006:$AQ$1006,0)))),"Fix")))</f>
        <v>0</v>
      </c>
      <c r="Q591" s="5">
        <f>IF(OR(INDEX($V$2:$V$1001,MATCH(ROWS($U$2:U591),$U$2:$U$1001,0),1)&gt;=100000,INDEX($AB$1005:$AQ$1005,1,MATCH(COLUMNS($AB$1006:AQ1006),$AB$1006:$AQ$1006,0))&gt;=100000), " ",IF(INDEX($AB$2:$AQ$1001,MATCH(ROWS($U$2:U591),$U$2:$U$1001,0),MATCH(COLUMNS($AB$1006:AQ1006),$AB$1006:$AQ$1006,0)), HYPERLINK("#",""), HYPERLINK(CONCATENATE("#Metadata!", ADDRESS(INDEX($W$2:$W$1001,MATCH(ROWS($U$2:U591),$U$2:$U$1001,0),0), INDEX($AB$1004:$AQ$1004,1,MATCH(COLUMNS($AB$1006:AQ1006),$AB$1006:$AQ$1006,0)))),"Fix")))</f>
        <v>0</v>
      </c>
      <c r="U591">
        <v>0</v>
      </c>
      <c r="V591">
        <v>0</v>
      </c>
      <c r="W591">
        <v>0</v>
      </c>
      <c r="X591">
        <f>IF(Y591,TRUE,AND(AB591:AQ591))</f>
        <v>0</v>
      </c>
      <c r="Y591">
        <f>COUNTBLANK(Metadata!B591:Q591)=COLUMNS(Metadata!B591:Q591)</f>
        <v>0</v>
      </c>
      <c r="Z591">
        <v>0</v>
      </c>
      <c r="AB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AC591">
        <f>AND(IF(Metadata!C591="",FALSE,TRUE),exact(Metadata!C591,"urban biome"))</f>
        <v>0</v>
      </c>
      <c r="AD591">
        <f>AND(IF(Metadata!D591="",FALSE,TRUE),exact(Metadata!D591,"human-associated habitat"))</f>
        <v>0</v>
      </c>
      <c r="AE591">
        <f>AND(IF(Metadata!E591="",FALSE,TRUE),OR(exact(Metadata!E591,"human-associated"),exact(Metadata!E591,"human-skin"),exact(Metadata!E591,"human-oral"),exact(Metadata!E591,"human-gut"),exact(Metadata!E591,"human-vaginal")))</f>
        <v>0</v>
      </c>
      <c r="AF591">
        <f>AND(IF(Metadata!F591="",FALSE,ISNUMBER(VALUE(Metadata!F591))),Metadata!F591&gt;0)</f>
        <v>0</v>
      </c>
      <c r="AG591">
        <f>AND(IF(Metadata!G591="",FALSE,TRUE),exact(Metadata!G591,"years"))</f>
        <v>0</v>
      </c>
      <c r="AH591">
        <f>OR(AND(IF(Metadata!H591="",FALSE,TRUE),OR(exact(Metadata!H591,"not applicable"),exact(Metadata!H591,"not collected"),exact(Metadata!H591,"not provided"),exact(Metadata!H591,"restricted access"))),AND(IF(Metadata!H591="",FALSE,ISNUMBER(VALUE(Metadata!H591))),Metadata!H591&gt;0))</f>
        <v>0</v>
      </c>
      <c r="AI591">
        <f>AND(IF(Metadata!I591="",FALSE,TRUE),exact(Metadata!I591,"human"))</f>
        <v>0</v>
      </c>
      <c r="AJ591">
        <f>AND(IF(Metadata!J591="",FALSE,ISNUMBER(VALUE(Metadata!J591))),Metadata!J591&gt;0)</f>
        <v>0</v>
      </c>
      <c r="AK591">
        <f>AND(IF(Metadata!K591="",FALSE,TRUE),exact(Metadata!K591,"cm"))</f>
        <v>0</v>
      </c>
      <c r="AL591">
        <f>AND(IF(Metadata!L591="",FALSE,TRUE),exact(Metadata!L591,"Homo sapiens"))</f>
        <v>0</v>
      </c>
      <c r="AM591">
        <f>AND(IF(Metadata!M591="",FALSE,TRUE),exact(Metadata!M591,"9606"))</f>
        <v>0</v>
      </c>
      <c r="AN591">
        <f>AND(IF(Metadata!N591="",FALSE,ISNUMBER(VALUE(Metadata!N591))),Metadata!N591&gt;0)</f>
        <v>0</v>
      </c>
      <c r="AO591">
        <f>AND(IF(Metadata!O591="",FALSE,TRUE),exact(Metadata!O591,"kg"))</f>
        <v>0</v>
      </c>
      <c r="AP591">
        <f>OR(AND(IF(Metadata!P591="",FALSE,TRUE),exact(Metadata!P591,"not provided")),IF(Metadata!P591="",FALSE,TRUE))</f>
        <v>0</v>
      </c>
      <c r="AQ591">
        <f>OR(AND(IF(Metadata!Q591="",FALSE,TRUE),exact(Metadata!Q591,"not provided")),IF(Metadata!Q591="",FALSE,TRUE))</f>
        <v>0</v>
      </c>
    </row>
    <row r="592" spans="1:43">
      <c r="A592" s="4">
        <f>IF(B592=" "," ",HYPERLINK(CONCATENATE("#metadata!",ADDRESS(INDEX($W$2:$W$1001,MATCH(ROWS($U$2:U592),$U$2:$U$1001,0),0),2)),INDEX($Z$2:$Z$1001,MATCH(ROWS($U$2:U592),$U$2:$U$1001,0),0)))</f>
        <v>0</v>
      </c>
      <c r="B592" s="5">
        <f>IF(OR(INDEX($V$2:$V$1001,MATCH(ROWS($U$2:U592),$U$2:$U$1001,0),1)&gt;=100000,INDEX($AB$1005:$AQ$1005,1,MATCH(COLUMNS($AB$1006:AB1006),$AB$1006:$AQ$1006,0))&gt;=100000), " ",IF(INDEX($AB$2:$AQ$1001,MATCH(ROWS($U$2:U592),$U$2:$U$1001,0),MATCH(COLUMNS($AB$1006:AB1006),$AB$1006:$AQ$1006,0)), HYPERLINK("#",""), HYPERLINK(CONCATENATE("#Metadata!", ADDRESS(INDEX($W$2:$W$1001,MATCH(ROWS($U$2:U592),$U$2:$U$1001,0),0), INDEX($AB$1004:$AQ$1004,1,MATCH(COLUMNS($AB$1006:AB1006),$AB$1006:$AQ$1006,0)))),"Fix")))</f>
        <v>0</v>
      </c>
      <c r="C592" s="5">
        <f>IF(OR(INDEX($V$2:$V$1001,MATCH(ROWS($U$2:U592),$U$2:$U$1001,0),1)&gt;=100000,INDEX($AB$1005:$AQ$1005,1,MATCH(COLUMNS($AB$1006:AC1006),$AB$1006:$AQ$1006,0))&gt;=100000), " ",IF(INDEX($AB$2:$AQ$1001,MATCH(ROWS($U$2:U592),$U$2:$U$1001,0),MATCH(COLUMNS($AB$1006:AC1006),$AB$1006:$AQ$1006,0)), HYPERLINK("#",""), HYPERLINK(CONCATENATE("#Metadata!", ADDRESS(INDEX($W$2:$W$1001,MATCH(ROWS($U$2:U592),$U$2:$U$1001,0),0), INDEX($AB$1004:$AQ$1004,1,MATCH(COLUMNS($AB$1006:AC1006),$AB$1006:$AQ$1006,0)))),"Fix")))</f>
        <v>0</v>
      </c>
      <c r="D592" s="5">
        <f>IF(OR(INDEX($V$2:$V$1001,MATCH(ROWS($U$2:U592),$U$2:$U$1001,0),1)&gt;=100000,INDEX($AB$1005:$AQ$1005,1,MATCH(COLUMNS($AB$1006:AD1006),$AB$1006:$AQ$1006,0))&gt;=100000), " ",IF(INDEX($AB$2:$AQ$1001,MATCH(ROWS($U$2:U592),$U$2:$U$1001,0),MATCH(COLUMNS($AB$1006:AD1006),$AB$1006:$AQ$1006,0)), HYPERLINK("#",""), HYPERLINK(CONCATENATE("#Metadata!", ADDRESS(INDEX($W$2:$W$1001,MATCH(ROWS($U$2:U592),$U$2:$U$1001,0),0), INDEX($AB$1004:$AQ$1004,1,MATCH(COLUMNS($AB$1006:AD1006),$AB$1006:$AQ$1006,0)))),"Fix")))</f>
        <v>0</v>
      </c>
      <c r="E592" s="5">
        <f>IF(OR(INDEX($V$2:$V$1001,MATCH(ROWS($U$2:U592),$U$2:$U$1001,0),1)&gt;=100000,INDEX($AB$1005:$AQ$1005,1,MATCH(COLUMNS($AB$1006:AE1006),$AB$1006:$AQ$1006,0))&gt;=100000), " ",IF(INDEX($AB$2:$AQ$1001,MATCH(ROWS($U$2:U592),$U$2:$U$1001,0),MATCH(COLUMNS($AB$1006:AE1006),$AB$1006:$AQ$1006,0)), HYPERLINK("#",""), HYPERLINK(CONCATENATE("#Metadata!", ADDRESS(INDEX($W$2:$W$1001,MATCH(ROWS($U$2:U592),$U$2:$U$1001,0),0), INDEX($AB$1004:$AQ$1004,1,MATCH(COLUMNS($AB$1006:AE1006),$AB$1006:$AQ$1006,0)))),"Fix")))</f>
        <v>0</v>
      </c>
      <c r="F592" s="5">
        <f>IF(OR(INDEX($V$2:$V$1001,MATCH(ROWS($U$2:U592),$U$2:$U$1001,0),1)&gt;=100000,INDEX($AB$1005:$AQ$1005,1,MATCH(COLUMNS($AB$1006:AF1006),$AB$1006:$AQ$1006,0))&gt;=100000), " ",IF(INDEX($AB$2:$AQ$1001,MATCH(ROWS($U$2:U592),$U$2:$U$1001,0),MATCH(COLUMNS($AB$1006:AF1006),$AB$1006:$AQ$1006,0)), HYPERLINK("#",""), HYPERLINK(CONCATENATE("#Metadata!", ADDRESS(INDEX($W$2:$W$1001,MATCH(ROWS($U$2:U592),$U$2:$U$1001,0),0), INDEX($AB$1004:$AQ$1004,1,MATCH(COLUMNS($AB$1006:AF1006),$AB$1006:$AQ$1006,0)))),"Fix")))</f>
        <v>0</v>
      </c>
      <c r="G592" s="5">
        <f>IF(OR(INDEX($V$2:$V$1001,MATCH(ROWS($U$2:U592),$U$2:$U$1001,0),1)&gt;=100000,INDEX($AB$1005:$AQ$1005,1,MATCH(COLUMNS($AB$1006:AG1006),$AB$1006:$AQ$1006,0))&gt;=100000), " ",IF(INDEX($AB$2:$AQ$1001,MATCH(ROWS($U$2:U592),$U$2:$U$1001,0),MATCH(COLUMNS($AB$1006:AG1006),$AB$1006:$AQ$1006,0)), HYPERLINK("#",""), HYPERLINK(CONCATENATE("#Metadata!", ADDRESS(INDEX($W$2:$W$1001,MATCH(ROWS($U$2:U592),$U$2:$U$1001,0),0), INDEX($AB$1004:$AQ$1004,1,MATCH(COLUMNS($AB$1006:AG1006),$AB$1006:$AQ$1006,0)))),"Fix")))</f>
        <v>0</v>
      </c>
      <c r="H592" s="5">
        <f>IF(OR(INDEX($V$2:$V$1001,MATCH(ROWS($U$2:U592),$U$2:$U$1001,0),1)&gt;=100000,INDEX($AB$1005:$AQ$1005,1,MATCH(COLUMNS($AB$1006:AH1006),$AB$1006:$AQ$1006,0))&gt;=100000), " ",IF(INDEX($AB$2:$AQ$1001,MATCH(ROWS($U$2:U592),$U$2:$U$1001,0),MATCH(COLUMNS($AB$1006:AH1006),$AB$1006:$AQ$1006,0)), HYPERLINK("#",""), HYPERLINK(CONCATENATE("#Metadata!", ADDRESS(INDEX($W$2:$W$1001,MATCH(ROWS($U$2:U592),$U$2:$U$1001,0),0), INDEX($AB$1004:$AQ$1004,1,MATCH(COLUMNS($AB$1006:AH1006),$AB$1006:$AQ$1006,0)))),"Fix")))</f>
        <v>0</v>
      </c>
      <c r="I592" s="5">
        <f>IF(OR(INDEX($V$2:$V$1001,MATCH(ROWS($U$2:U592),$U$2:$U$1001,0),1)&gt;=100000,INDEX($AB$1005:$AQ$1005,1,MATCH(COLUMNS($AB$1006:AI1006),$AB$1006:$AQ$1006,0))&gt;=100000), " ",IF(INDEX($AB$2:$AQ$1001,MATCH(ROWS($U$2:U592),$U$2:$U$1001,0),MATCH(COLUMNS($AB$1006:AI1006),$AB$1006:$AQ$1006,0)), HYPERLINK("#",""), HYPERLINK(CONCATENATE("#Metadata!", ADDRESS(INDEX($W$2:$W$1001,MATCH(ROWS($U$2:U592),$U$2:$U$1001,0),0), INDEX($AB$1004:$AQ$1004,1,MATCH(COLUMNS($AB$1006:AI1006),$AB$1006:$AQ$1006,0)))),"Fix")))</f>
        <v>0</v>
      </c>
      <c r="J592" s="5">
        <f>IF(OR(INDEX($V$2:$V$1001,MATCH(ROWS($U$2:U592),$U$2:$U$1001,0),1)&gt;=100000,INDEX($AB$1005:$AQ$1005,1,MATCH(COLUMNS($AB$1006:AJ1006),$AB$1006:$AQ$1006,0))&gt;=100000), " ",IF(INDEX($AB$2:$AQ$1001,MATCH(ROWS($U$2:U592),$U$2:$U$1001,0),MATCH(COLUMNS($AB$1006:AJ1006),$AB$1006:$AQ$1006,0)), HYPERLINK("#",""), HYPERLINK(CONCATENATE("#Metadata!", ADDRESS(INDEX($W$2:$W$1001,MATCH(ROWS($U$2:U592),$U$2:$U$1001,0),0), INDEX($AB$1004:$AQ$1004,1,MATCH(COLUMNS($AB$1006:AJ1006),$AB$1006:$AQ$1006,0)))),"Fix")))</f>
        <v>0</v>
      </c>
      <c r="K592" s="5">
        <f>IF(OR(INDEX($V$2:$V$1001,MATCH(ROWS($U$2:U592),$U$2:$U$1001,0),1)&gt;=100000,INDEX($AB$1005:$AQ$1005,1,MATCH(COLUMNS($AB$1006:AK1006),$AB$1006:$AQ$1006,0))&gt;=100000), " ",IF(INDEX($AB$2:$AQ$1001,MATCH(ROWS($U$2:U592),$U$2:$U$1001,0),MATCH(COLUMNS($AB$1006:AK1006),$AB$1006:$AQ$1006,0)), HYPERLINK("#",""), HYPERLINK(CONCATENATE("#Metadata!", ADDRESS(INDEX($W$2:$W$1001,MATCH(ROWS($U$2:U592),$U$2:$U$1001,0),0), INDEX($AB$1004:$AQ$1004,1,MATCH(COLUMNS($AB$1006:AK1006),$AB$1006:$AQ$1006,0)))),"Fix")))</f>
        <v>0</v>
      </c>
      <c r="L592" s="5">
        <f>IF(OR(INDEX($V$2:$V$1001,MATCH(ROWS($U$2:U592),$U$2:$U$1001,0),1)&gt;=100000,INDEX($AB$1005:$AQ$1005,1,MATCH(COLUMNS($AB$1006:AL1006),$AB$1006:$AQ$1006,0))&gt;=100000), " ",IF(INDEX($AB$2:$AQ$1001,MATCH(ROWS($U$2:U592),$U$2:$U$1001,0),MATCH(COLUMNS($AB$1006:AL1006),$AB$1006:$AQ$1006,0)), HYPERLINK("#",""), HYPERLINK(CONCATENATE("#Metadata!", ADDRESS(INDEX($W$2:$W$1001,MATCH(ROWS($U$2:U592),$U$2:$U$1001,0),0), INDEX($AB$1004:$AQ$1004,1,MATCH(COLUMNS($AB$1006:AL1006),$AB$1006:$AQ$1006,0)))),"Fix")))</f>
        <v>0</v>
      </c>
      <c r="M592" s="5">
        <f>IF(OR(INDEX($V$2:$V$1001,MATCH(ROWS($U$2:U592),$U$2:$U$1001,0),1)&gt;=100000,INDEX($AB$1005:$AQ$1005,1,MATCH(COLUMNS($AB$1006:AM1006),$AB$1006:$AQ$1006,0))&gt;=100000), " ",IF(INDEX($AB$2:$AQ$1001,MATCH(ROWS($U$2:U592),$U$2:$U$1001,0),MATCH(COLUMNS($AB$1006:AM1006),$AB$1006:$AQ$1006,0)), HYPERLINK("#",""), HYPERLINK(CONCATENATE("#Metadata!", ADDRESS(INDEX($W$2:$W$1001,MATCH(ROWS($U$2:U592),$U$2:$U$1001,0),0), INDEX($AB$1004:$AQ$1004,1,MATCH(COLUMNS($AB$1006:AM1006),$AB$1006:$AQ$1006,0)))),"Fix")))</f>
        <v>0</v>
      </c>
      <c r="N592" s="5">
        <f>IF(OR(INDEX($V$2:$V$1001,MATCH(ROWS($U$2:U592),$U$2:$U$1001,0),1)&gt;=100000,INDEX($AB$1005:$AQ$1005,1,MATCH(COLUMNS($AB$1006:AN1006),$AB$1006:$AQ$1006,0))&gt;=100000), " ",IF(INDEX($AB$2:$AQ$1001,MATCH(ROWS($U$2:U592),$U$2:$U$1001,0),MATCH(COLUMNS($AB$1006:AN1006),$AB$1006:$AQ$1006,0)), HYPERLINK("#",""), HYPERLINK(CONCATENATE("#Metadata!", ADDRESS(INDEX($W$2:$W$1001,MATCH(ROWS($U$2:U592),$U$2:$U$1001,0),0), INDEX($AB$1004:$AQ$1004,1,MATCH(COLUMNS($AB$1006:AN1006),$AB$1006:$AQ$1006,0)))),"Fix")))</f>
        <v>0</v>
      </c>
      <c r="O592" s="5">
        <f>IF(OR(INDEX($V$2:$V$1001,MATCH(ROWS($U$2:U592),$U$2:$U$1001,0),1)&gt;=100000,INDEX($AB$1005:$AQ$1005,1,MATCH(COLUMNS($AB$1006:AO1006),$AB$1006:$AQ$1006,0))&gt;=100000), " ",IF(INDEX($AB$2:$AQ$1001,MATCH(ROWS($U$2:U592),$U$2:$U$1001,0),MATCH(COLUMNS($AB$1006:AO1006),$AB$1006:$AQ$1006,0)), HYPERLINK("#",""), HYPERLINK(CONCATENATE("#Metadata!", ADDRESS(INDEX($W$2:$W$1001,MATCH(ROWS($U$2:U592),$U$2:$U$1001,0),0), INDEX($AB$1004:$AQ$1004,1,MATCH(COLUMNS($AB$1006:AO1006),$AB$1006:$AQ$1006,0)))),"Fix")))</f>
        <v>0</v>
      </c>
      <c r="P592" s="5">
        <f>IF(OR(INDEX($V$2:$V$1001,MATCH(ROWS($U$2:U592),$U$2:$U$1001,0),1)&gt;=100000,INDEX($AB$1005:$AQ$1005,1,MATCH(COLUMNS($AB$1006:AP1006),$AB$1006:$AQ$1006,0))&gt;=100000), " ",IF(INDEX($AB$2:$AQ$1001,MATCH(ROWS($U$2:U592),$U$2:$U$1001,0),MATCH(COLUMNS($AB$1006:AP1006),$AB$1006:$AQ$1006,0)), HYPERLINK("#",""), HYPERLINK(CONCATENATE("#Metadata!", ADDRESS(INDEX($W$2:$W$1001,MATCH(ROWS($U$2:U592),$U$2:$U$1001,0),0), INDEX($AB$1004:$AQ$1004,1,MATCH(COLUMNS($AB$1006:AP1006),$AB$1006:$AQ$1006,0)))),"Fix")))</f>
        <v>0</v>
      </c>
      <c r="Q592" s="5">
        <f>IF(OR(INDEX($V$2:$V$1001,MATCH(ROWS($U$2:U592),$U$2:$U$1001,0),1)&gt;=100000,INDEX($AB$1005:$AQ$1005,1,MATCH(COLUMNS($AB$1006:AQ1006),$AB$1006:$AQ$1006,0))&gt;=100000), " ",IF(INDEX($AB$2:$AQ$1001,MATCH(ROWS($U$2:U592),$U$2:$U$1001,0),MATCH(COLUMNS($AB$1006:AQ1006),$AB$1006:$AQ$1006,0)), HYPERLINK("#",""), HYPERLINK(CONCATENATE("#Metadata!", ADDRESS(INDEX($W$2:$W$1001,MATCH(ROWS($U$2:U592),$U$2:$U$1001,0),0), INDEX($AB$1004:$AQ$1004,1,MATCH(COLUMNS($AB$1006:AQ1006),$AB$1006:$AQ$1006,0)))),"Fix")))</f>
        <v>0</v>
      </c>
      <c r="U592">
        <v>0</v>
      </c>
      <c r="V592">
        <v>0</v>
      </c>
      <c r="W592">
        <v>0</v>
      </c>
      <c r="X592">
        <f>IF(Y592,TRUE,AND(AB592:AQ592))</f>
        <v>0</v>
      </c>
      <c r="Y592">
        <f>COUNTBLANK(Metadata!B592:Q592)=COLUMNS(Metadata!B592:Q592)</f>
        <v>0</v>
      </c>
      <c r="Z592">
        <v>0</v>
      </c>
      <c r="AB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AC592">
        <f>AND(IF(Metadata!C592="",FALSE,TRUE),exact(Metadata!C592,"urban biome"))</f>
        <v>0</v>
      </c>
      <c r="AD592">
        <f>AND(IF(Metadata!D592="",FALSE,TRUE),exact(Metadata!D592,"human-associated habitat"))</f>
        <v>0</v>
      </c>
      <c r="AE592">
        <f>AND(IF(Metadata!E592="",FALSE,TRUE),OR(exact(Metadata!E592,"human-associated"),exact(Metadata!E592,"human-skin"),exact(Metadata!E592,"human-oral"),exact(Metadata!E592,"human-gut"),exact(Metadata!E592,"human-vaginal")))</f>
        <v>0</v>
      </c>
      <c r="AF592">
        <f>AND(IF(Metadata!F592="",FALSE,ISNUMBER(VALUE(Metadata!F592))),Metadata!F592&gt;0)</f>
        <v>0</v>
      </c>
      <c r="AG592">
        <f>AND(IF(Metadata!G592="",FALSE,TRUE),exact(Metadata!G592,"years"))</f>
        <v>0</v>
      </c>
      <c r="AH592">
        <f>OR(AND(IF(Metadata!H592="",FALSE,TRUE),OR(exact(Metadata!H592,"not applicable"),exact(Metadata!H592,"not collected"),exact(Metadata!H592,"not provided"),exact(Metadata!H592,"restricted access"))),AND(IF(Metadata!H592="",FALSE,ISNUMBER(VALUE(Metadata!H592))),Metadata!H592&gt;0))</f>
        <v>0</v>
      </c>
      <c r="AI592">
        <f>AND(IF(Metadata!I592="",FALSE,TRUE),exact(Metadata!I592,"human"))</f>
        <v>0</v>
      </c>
      <c r="AJ592">
        <f>AND(IF(Metadata!J592="",FALSE,ISNUMBER(VALUE(Metadata!J592))),Metadata!J592&gt;0)</f>
        <v>0</v>
      </c>
      <c r="AK592">
        <f>AND(IF(Metadata!K592="",FALSE,TRUE),exact(Metadata!K592,"cm"))</f>
        <v>0</v>
      </c>
      <c r="AL592">
        <f>AND(IF(Metadata!L592="",FALSE,TRUE),exact(Metadata!L592,"Homo sapiens"))</f>
        <v>0</v>
      </c>
      <c r="AM592">
        <f>AND(IF(Metadata!M592="",FALSE,TRUE),exact(Metadata!M592,"9606"))</f>
        <v>0</v>
      </c>
      <c r="AN592">
        <f>AND(IF(Metadata!N592="",FALSE,ISNUMBER(VALUE(Metadata!N592))),Metadata!N592&gt;0)</f>
        <v>0</v>
      </c>
      <c r="AO592">
        <f>AND(IF(Metadata!O592="",FALSE,TRUE),exact(Metadata!O592,"kg"))</f>
        <v>0</v>
      </c>
      <c r="AP592">
        <f>OR(AND(IF(Metadata!P592="",FALSE,TRUE),exact(Metadata!P592,"not provided")),IF(Metadata!P592="",FALSE,TRUE))</f>
        <v>0</v>
      </c>
      <c r="AQ592">
        <f>OR(AND(IF(Metadata!Q592="",FALSE,TRUE),exact(Metadata!Q592,"not provided")),IF(Metadata!Q592="",FALSE,TRUE))</f>
        <v>0</v>
      </c>
    </row>
    <row r="593" spans="1:43">
      <c r="A593" s="4">
        <f>IF(B593=" "," ",HYPERLINK(CONCATENATE("#metadata!",ADDRESS(INDEX($W$2:$W$1001,MATCH(ROWS($U$2:U593),$U$2:$U$1001,0),0),2)),INDEX($Z$2:$Z$1001,MATCH(ROWS($U$2:U593),$U$2:$U$1001,0),0)))</f>
        <v>0</v>
      </c>
      <c r="B593" s="5">
        <f>IF(OR(INDEX($V$2:$V$1001,MATCH(ROWS($U$2:U593),$U$2:$U$1001,0),1)&gt;=100000,INDEX($AB$1005:$AQ$1005,1,MATCH(COLUMNS($AB$1006:AB1006),$AB$1006:$AQ$1006,0))&gt;=100000), " ",IF(INDEX($AB$2:$AQ$1001,MATCH(ROWS($U$2:U593),$U$2:$U$1001,0),MATCH(COLUMNS($AB$1006:AB1006),$AB$1006:$AQ$1006,0)), HYPERLINK("#",""), HYPERLINK(CONCATENATE("#Metadata!", ADDRESS(INDEX($W$2:$W$1001,MATCH(ROWS($U$2:U593),$U$2:$U$1001,0),0), INDEX($AB$1004:$AQ$1004,1,MATCH(COLUMNS($AB$1006:AB1006),$AB$1006:$AQ$1006,0)))),"Fix")))</f>
        <v>0</v>
      </c>
      <c r="C593" s="5">
        <f>IF(OR(INDEX($V$2:$V$1001,MATCH(ROWS($U$2:U593),$U$2:$U$1001,0),1)&gt;=100000,INDEX($AB$1005:$AQ$1005,1,MATCH(COLUMNS($AB$1006:AC1006),$AB$1006:$AQ$1006,0))&gt;=100000), " ",IF(INDEX($AB$2:$AQ$1001,MATCH(ROWS($U$2:U593),$U$2:$U$1001,0),MATCH(COLUMNS($AB$1006:AC1006),$AB$1006:$AQ$1006,0)), HYPERLINK("#",""), HYPERLINK(CONCATENATE("#Metadata!", ADDRESS(INDEX($W$2:$W$1001,MATCH(ROWS($U$2:U593),$U$2:$U$1001,0),0), INDEX($AB$1004:$AQ$1004,1,MATCH(COLUMNS($AB$1006:AC1006),$AB$1006:$AQ$1006,0)))),"Fix")))</f>
        <v>0</v>
      </c>
      <c r="D593" s="5">
        <f>IF(OR(INDEX($V$2:$V$1001,MATCH(ROWS($U$2:U593),$U$2:$U$1001,0),1)&gt;=100000,INDEX($AB$1005:$AQ$1005,1,MATCH(COLUMNS($AB$1006:AD1006),$AB$1006:$AQ$1006,0))&gt;=100000), " ",IF(INDEX($AB$2:$AQ$1001,MATCH(ROWS($U$2:U593),$U$2:$U$1001,0),MATCH(COLUMNS($AB$1006:AD1006),$AB$1006:$AQ$1006,0)), HYPERLINK("#",""), HYPERLINK(CONCATENATE("#Metadata!", ADDRESS(INDEX($W$2:$W$1001,MATCH(ROWS($U$2:U593),$U$2:$U$1001,0),0), INDEX($AB$1004:$AQ$1004,1,MATCH(COLUMNS($AB$1006:AD1006),$AB$1006:$AQ$1006,0)))),"Fix")))</f>
        <v>0</v>
      </c>
      <c r="E593" s="5">
        <f>IF(OR(INDEX($V$2:$V$1001,MATCH(ROWS($U$2:U593),$U$2:$U$1001,0),1)&gt;=100000,INDEX($AB$1005:$AQ$1005,1,MATCH(COLUMNS($AB$1006:AE1006),$AB$1006:$AQ$1006,0))&gt;=100000), " ",IF(INDEX($AB$2:$AQ$1001,MATCH(ROWS($U$2:U593),$U$2:$U$1001,0),MATCH(COLUMNS($AB$1006:AE1006),$AB$1006:$AQ$1006,0)), HYPERLINK("#",""), HYPERLINK(CONCATENATE("#Metadata!", ADDRESS(INDEX($W$2:$W$1001,MATCH(ROWS($U$2:U593),$U$2:$U$1001,0),0), INDEX($AB$1004:$AQ$1004,1,MATCH(COLUMNS($AB$1006:AE1006),$AB$1006:$AQ$1006,0)))),"Fix")))</f>
        <v>0</v>
      </c>
      <c r="F593" s="5">
        <f>IF(OR(INDEX($V$2:$V$1001,MATCH(ROWS($U$2:U593),$U$2:$U$1001,0),1)&gt;=100000,INDEX($AB$1005:$AQ$1005,1,MATCH(COLUMNS($AB$1006:AF1006),$AB$1006:$AQ$1006,0))&gt;=100000), " ",IF(INDEX($AB$2:$AQ$1001,MATCH(ROWS($U$2:U593),$U$2:$U$1001,0),MATCH(COLUMNS($AB$1006:AF1006),$AB$1006:$AQ$1006,0)), HYPERLINK("#",""), HYPERLINK(CONCATENATE("#Metadata!", ADDRESS(INDEX($W$2:$W$1001,MATCH(ROWS($U$2:U593),$U$2:$U$1001,0),0), INDEX($AB$1004:$AQ$1004,1,MATCH(COLUMNS($AB$1006:AF1006),$AB$1006:$AQ$1006,0)))),"Fix")))</f>
        <v>0</v>
      </c>
      <c r="G593" s="5">
        <f>IF(OR(INDEX($V$2:$V$1001,MATCH(ROWS($U$2:U593),$U$2:$U$1001,0),1)&gt;=100000,INDEX($AB$1005:$AQ$1005,1,MATCH(COLUMNS($AB$1006:AG1006),$AB$1006:$AQ$1006,0))&gt;=100000), " ",IF(INDEX($AB$2:$AQ$1001,MATCH(ROWS($U$2:U593),$U$2:$U$1001,0),MATCH(COLUMNS($AB$1006:AG1006),$AB$1006:$AQ$1006,0)), HYPERLINK("#",""), HYPERLINK(CONCATENATE("#Metadata!", ADDRESS(INDEX($W$2:$W$1001,MATCH(ROWS($U$2:U593),$U$2:$U$1001,0),0), INDEX($AB$1004:$AQ$1004,1,MATCH(COLUMNS($AB$1006:AG1006),$AB$1006:$AQ$1006,0)))),"Fix")))</f>
        <v>0</v>
      </c>
      <c r="H593" s="5">
        <f>IF(OR(INDEX($V$2:$V$1001,MATCH(ROWS($U$2:U593),$U$2:$U$1001,0),1)&gt;=100000,INDEX($AB$1005:$AQ$1005,1,MATCH(COLUMNS($AB$1006:AH1006),$AB$1006:$AQ$1006,0))&gt;=100000), " ",IF(INDEX($AB$2:$AQ$1001,MATCH(ROWS($U$2:U593),$U$2:$U$1001,0),MATCH(COLUMNS($AB$1006:AH1006),$AB$1006:$AQ$1006,0)), HYPERLINK("#",""), HYPERLINK(CONCATENATE("#Metadata!", ADDRESS(INDEX($W$2:$W$1001,MATCH(ROWS($U$2:U593),$U$2:$U$1001,0),0), INDEX($AB$1004:$AQ$1004,1,MATCH(COLUMNS($AB$1006:AH1006),$AB$1006:$AQ$1006,0)))),"Fix")))</f>
        <v>0</v>
      </c>
      <c r="I593" s="5">
        <f>IF(OR(INDEX($V$2:$V$1001,MATCH(ROWS($U$2:U593),$U$2:$U$1001,0),1)&gt;=100000,INDEX($AB$1005:$AQ$1005,1,MATCH(COLUMNS($AB$1006:AI1006),$AB$1006:$AQ$1006,0))&gt;=100000), " ",IF(INDEX($AB$2:$AQ$1001,MATCH(ROWS($U$2:U593),$U$2:$U$1001,0),MATCH(COLUMNS($AB$1006:AI1006),$AB$1006:$AQ$1006,0)), HYPERLINK("#",""), HYPERLINK(CONCATENATE("#Metadata!", ADDRESS(INDEX($W$2:$W$1001,MATCH(ROWS($U$2:U593),$U$2:$U$1001,0),0), INDEX($AB$1004:$AQ$1004,1,MATCH(COLUMNS($AB$1006:AI1006),$AB$1006:$AQ$1006,0)))),"Fix")))</f>
        <v>0</v>
      </c>
      <c r="J593" s="5">
        <f>IF(OR(INDEX($V$2:$V$1001,MATCH(ROWS($U$2:U593),$U$2:$U$1001,0),1)&gt;=100000,INDEX($AB$1005:$AQ$1005,1,MATCH(COLUMNS($AB$1006:AJ1006),$AB$1006:$AQ$1006,0))&gt;=100000), " ",IF(INDEX($AB$2:$AQ$1001,MATCH(ROWS($U$2:U593),$U$2:$U$1001,0),MATCH(COLUMNS($AB$1006:AJ1006),$AB$1006:$AQ$1006,0)), HYPERLINK("#",""), HYPERLINK(CONCATENATE("#Metadata!", ADDRESS(INDEX($W$2:$W$1001,MATCH(ROWS($U$2:U593),$U$2:$U$1001,0),0), INDEX($AB$1004:$AQ$1004,1,MATCH(COLUMNS($AB$1006:AJ1006),$AB$1006:$AQ$1006,0)))),"Fix")))</f>
        <v>0</v>
      </c>
      <c r="K593" s="5">
        <f>IF(OR(INDEX($V$2:$V$1001,MATCH(ROWS($U$2:U593),$U$2:$U$1001,0),1)&gt;=100000,INDEX($AB$1005:$AQ$1005,1,MATCH(COLUMNS($AB$1006:AK1006),$AB$1006:$AQ$1006,0))&gt;=100000), " ",IF(INDEX($AB$2:$AQ$1001,MATCH(ROWS($U$2:U593),$U$2:$U$1001,0),MATCH(COLUMNS($AB$1006:AK1006),$AB$1006:$AQ$1006,0)), HYPERLINK("#",""), HYPERLINK(CONCATENATE("#Metadata!", ADDRESS(INDEX($W$2:$W$1001,MATCH(ROWS($U$2:U593),$U$2:$U$1001,0),0), INDEX($AB$1004:$AQ$1004,1,MATCH(COLUMNS($AB$1006:AK1006),$AB$1006:$AQ$1006,0)))),"Fix")))</f>
        <v>0</v>
      </c>
      <c r="L593" s="5">
        <f>IF(OR(INDEX($V$2:$V$1001,MATCH(ROWS($U$2:U593),$U$2:$U$1001,0),1)&gt;=100000,INDEX($AB$1005:$AQ$1005,1,MATCH(COLUMNS($AB$1006:AL1006),$AB$1006:$AQ$1006,0))&gt;=100000), " ",IF(INDEX($AB$2:$AQ$1001,MATCH(ROWS($U$2:U593),$U$2:$U$1001,0),MATCH(COLUMNS($AB$1006:AL1006),$AB$1006:$AQ$1006,0)), HYPERLINK("#",""), HYPERLINK(CONCATENATE("#Metadata!", ADDRESS(INDEX($W$2:$W$1001,MATCH(ROWS($U$2:U593),$U$2:$U$1001,0),0), INDEX($AB$1004:$AQ$1004,1,MATCH(COLUMNS($AB$1006:AL1006),$AB$1006:$AQ$1006,0)))),"Fix")))</f>
        <v>0</v>
      </c>
      <c r="M593" s="5">
        <f>IF(OR(INDEX($V$2:$V$1001,MATCH(ROWS($U$2:U593),$U$2:$U$1001,0),1)&gt;=100000,INDEX($AB$1005:$AQ$1005,1,MATCH(COLUMNS($AB$1006:AM1006),$AB$1006:$AQ$1006,0))&gt;=100000), " ",IF(INDEX($AB$2:$AQ$1001,MATCH(ROWS($U$2:U593),$U$2:$U$1001,0),MATCH(COLUMNS($AB$1006:AM1006),$AB$1006:$AQ$1006,0)), HYPERLINK("#",""), HYPERLINK(CONCATENATE("#Metadata!", ADDRESS(INDEX($W$2:$W$1001,MATCH(ROWS($U$2:U593),$U$2:$U$1001,0),0), INDEX($AB$1004:$AQ$1004,1,MATCH(COLUMNS($AB$1006:AM1006),$AB$1006:$AQ$1006,0)))),"Fix")))</f>
        <v>0</v>
      </c>
      <c r="N593" s="5">
        <f>IF(OR(INDEX($V$2:$V$1001,MATCH(ROWS($U$2:U593),$U$2:$U$1001,0),1)&gt;=100000,INDEX($AB$1005:$AQ$1005,1,MATCH(COLUMNS($AB$1006:AN1006),$AB$1006:$AQ$1006,0))&gt;=100000), " ",IF(INDEX($AB$2:$AQ$1001,MATCH(ROWS($U$2:U593),$U$2:$U$1001,0),MATCH(COLUMNS($AB$1006:AN1006),$AB$1006:$AQ$1006,0)), HYPERLINK("#",""), HYPERLINK(CONCATENATE("#Metadata!", ADDRESS(INDEX($W$2:$W$1001,MATCH(ROWS($U$2:U593),$U$2:$U$1001,0),0), INDEX($AB$1004:$AQ$1004,1,MATCH(COLUMNS($AB$1006:AN1006),$AB$1006:$AQ$1006,0)))),"Fix")))</f>
        <v>0</v>
      </c>
      <c r="O593" s="5">
        <f>IF(OR(INDEX($V$2:$V$1001,MATCH(ROWS($U$2:U593),$U$2:$U$1001,0),1)&gt;=100000,INDEX($AB$1005:$AQ$1005,1,MATCH(COLUMNS($AB$1006:AO1006),$AB$1006:$AQ$1006,0))&gt;=100000), " ",IF(INDEX($AB$2:$AQ$1001,MATCH(ROWS($U$2:U593),$U$2:$U$1001,0),MATCH(COLUMNS($AB$1006:AO1006),$AB$1006:$AQ$1006,0)), HYPERLINK("#",""), HYPERLINK(CONCATENATE("#Metadata!", ADDRESS(INDEX($W$2:$W$1001,MATCH(ROWS($U$2:U593),$U$2:$U$1001,0),0), INDEX($AB$1004:$AQ$1004,1,MATCH(COLUMNS($AB$1006:AO1006),$AB$1006:$AQ$1006,0)))),"Fix")))</f>
        <v>0</v>
      </c>
      <c r="P593" s="5">
        <f>IF(OR(INDEX($V$2:$V$1001,MATCH(ROWS($U$2:U593),$U$2:$U$1001,0),1)&gt;=100000,INDEX($AB$1005:$AQ$1005,1,MATCH(COLUMNS($AB$1006:AP1006),$AB$1006:$AQ$1006,0))&gt;=100000), " ",IF(INDEX($AB$2:$AQ$1001,MATCH(ROWS($U$2:U593),$U$2:$U$1001,0),MATCH(COLUMNS($AB$1006:AP1006),$AB$1006:$AQ$1006,0)), HYPERLINK("#",""), HYPERLINK(CONCATENATE("#Metadata!", ADDRESS(INDEX($W$2:$W$1001,MATCH(ROWS($U$2:U593),$U$2:$U$1001,0),0), INDEX($AB$1004:$AQ$1004,1,MATCH(COLUMNS($AB$1006:AP1006),$AB$1006:$AQ$1006,0)))),"Fix")))</f>
        <v>0</v>
      </c>
      <c r="Q593" s="5">
        <f>IF(OR(INDEX($V$2:$V$1001,MATCH(ROWS($U$2:U593),$U$2:$U$1001,0),1)&gt;=100000,INDEX($AB$1005:$AQ$1005,1,MATCH(COLUMNS($AB$1006:AQ1006),$AB$1006:$AQ$1006,0))&gt;=100000), " ",IF(INDEX($AB$2:$AQ$1001,MATCH(ROWS($U$2:U593),$U$2:$U$1001,0),MATCH(COLUMNS($AB$1006:AQ1006),$AB$1006:$AQ$1006,0)), HYPERLINK("#",""), HYPERLINK(CONCATENATE("#Metadata!", ADDRESS(INDEX($W$2:$W$1001,MATCH(ROWS($U$2:U593),$U$2:$U$1001,0),0), INDEX($AB$1004:$AQ$1004,1,MATCH(COLUMNS($AB$1006:AQ1006),$AB$1006:$AQ$1006,0)))),"Fix")))</f>
        <v>0</v>
      </c>
      <c r="U593">
        <v>0</v>
      </c>
      <c r="V593">
        <v>0</v>
      </c>
      <c r="W593">
        <v>0</v>
      </c>
      <c r="X593">
        <f>IF(Y593,TRUE,AND(AB593:AQ593))</f>
        <v>0</v>
      </c>
      <c r="Y593">
        <f>COUNTBLANK(Metadata!B593:Q593)=COLUMNS(Metadata!B593:Q593)</f>
        <v>0</v>
      </c>
      <c r="Z593">
        <v>0</v>
      </c>
      <c r="AB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AC593">
        <f>AND(IF(Metadata!C593="",FALSE,TRUE),exact(Metadata!C593,"urban biome"))</f>
        <v>0</v>
      </c>
      <c r="AD593">
        <f>AND(IF(Metadata!D593="",FALSE,TRUE),exact(Metadata!D593,"human-associated habitat"))</f>
        <v>0</v>
      </c>
      <c r="AE593">
        <f>AND(IF(Metadata!E593="",FALSE,TRUE),OR(exact(Metadata!E593,"human-associated"),exact(Metadata!E593,"human-skin"),exact(Metadata!E593,"human-oral"),exact(Metadata!E593,"human-gut"),exact(Metadata!E593,"human-vaginal")))</f>
        <v>0</v>
      </c>
      <c r="AF593">
        <f>AND(IF(Metadata!F593="",FALSE,ISNUMBER(VALUE(Metadata!F593))),Metadata!F593&gt;0)</f>
        <v>0</v>
      </c>
      <c r="AG593">
        <f>AND(IF(Metadata!G593="",FALSE,TRUE),exact(Metadata!G593,"years"))</f>
        <v>0</v>
      </c>
      <c r="AH593">
        <f>OR(AND(IF(Metadata!H593="",FALSE,TRUE),OR(exact(Metadata!H593,"not applicable"),exact(Metadata!H593,"not collected"),exact(Metadata!H593,"not provided"),exact(Metadata!H593,"restricted access"))),AND(IF(Metadata!H593="",FALSE,ISNUMBER(VALUE(Metadata!H593))),Metadata!H593&gt;0))</f>
        <v>0</v>
      </c>
      <c r="AI593">
        <f>AND(IF(Metadata!I593="",FALSE,TRUE),exact(Metadata!I593,"human"))</f>
        <v>0</v>
      </c>
      <c r="AJ593">
        <f>AND(IF(Metadata!J593="",FALSE,ISNUMBER(VALUE(Metadata!J593))),Metadata!J593&gt;0)</f>
        <v>0</v>
      </c>
      <c r="AK593">
        <f>AND(IF(Metadata!K593="",FALSE,TRUE),exact(Metadata!K593,"cm"))</f>
        <v>0</v>
      </c>
      <c r="AL593">
        <f>AND(IF(Metadata!L593="",FALSE,TRUE),exact(Metadata!L593,"Homo sapiens"))</f>
        <v>0</v>
      </c>
      <c r="AM593">
        <f>AND(IF(Metadata!M593="",FALSE,TRUE),exact(Metadata!M593,"9606"))</f>
        <v>0</v>
      </c>
      <c r="AN593">
        <f>AND(IF(Metadata!N593="",FALSE,ISNUMBER(VALUE(Metadata!N593))),Metadata!N593&gt;0)</f>
        <v>0</v>
      </c>
      <c r="AO593">
        <f>AND(IF(Metadata!O593="",FALSE,TRUE),exact(Metadata!O593,"kg"))</f>
        <v>0</v>
      </c>
      <c r="AP593">
        <f>OR(AND(IF(Metadata!P593="",FALSE,TRUE),exact(Metadata!P593,"not provided")),IF(Metadata!P593="",FALSE,TRUE))</f>
        <v>0</v>
      </c>
      <c r="AQ593">
        <f>OR(AND(IF(Metadata!Q593="",FALSE,TRUE),exact(Metadata!Q593,"not provided")),IF(Metadata!Q593="",FALSE,TRUE))</f>
        <v>0</v>
      </c>
    </row>
    <row r="594" spans="1:43">
      <c r="A594" s="4">
        <f>IF(B594=" "," ",HYPERLINK(CONCATENATE("#metadata!",ADDRESS(INDEX($W$2:$W$1001,MATCH(ROWS($U$2:U594),$U$2:$U$1001,0),0),2)),INDEX($Z$2:$Z$1001,MATCH(ROWS($U$2:U594),$U$2:$U$1001,0),0)))</f>
        <v>0</v>
      </c>
      <c r="B594" s="5">
        <f>IF(OR(INDEX($V$2:$V$1001,MATCH(ROWS($U$2:U594),$U$2:$U$1001,0),1)&gt;=100000,INDEX($AB$1005:$AQ$1005,1,MATCH(COLUMNS($AB$1006:AB1006),$AB$1006:$AQ$1006,0))&gt;=100000), " ",IF(INDEX($AB$2:$AQ$1001,MATCH(ROWS($U$2:U594),$U$2:$U$1001,0),MATCH(COLUMNS($AB$1006:AB1006),$AB$1006:$AQ$1006,0)), HYPERLINK("#",""), HYPERLINK(CONCATENATE("#Metadata!", ADDRESS(INDEX($W$2:$W$1001,MATCH(ROWS($U$2:U594),$U$2:$U$1001,0),0), INDEX($AB$1004:$AQ$1004,1,MATCH(COLUMNS($AB$1006:AB1006),$AB$1006:$AQ$1006,0)))),"Fix")))</f>
        <v>0</v>
      </c>
      <c r="C594" s="5">
        <f>IF(OR(INDEX($V$2:$V$1001,MATCH(ROWS($U$2:U594),$U$2:$U$1001,0),1)&gt;=100000,INDEX($AB$1005:$AQ$1005,1,MATCH(COLUMNS($AB$1006:AC1006),$AB$1006:$AQ$1006,0))&gt;=100000), " ",IF(INDEX($AB$2:$AQ$1001,MATCH(ROWS($U$2:U594),$U$2:$U$1001,0),MATCH(COLUMNS($AB$1006:AC1006),$AB$1006:$AQ$1006,0)), HYPERLINK("#",""), HYPERLINK(CONCATENATE("#Metadata!", ADDRESS(INDEX($W$2:$W$1001,MATCH(ROWS($U$2:U594),$U$2:$U$1001,0),0), INDEX($AB$1004:$AQ$1004,1,MATCH(COLUMNS($AB$1006:AC1006),$AB$1006:$AQ$1006,0)))),"Fix")))</f>
        <v>0</v>
      </c>
      <c r="D594" s="5">
        <f>IF(OR(INDEX($V$2:$V$1001,MATCH(ROWS($U$2:U594),$U$2:$U$1001,0),1)&gt;=100000,INDEX($AB$1005:$AQ$1005,1,MATCH(COLUMNS($AB$1006:AD1006),$AB$1006:$AQ$1006,0))&gt;=100000), " ",IF(INDEX($AB$2:$AQ$1001,MATCH(ROWS($U$2:U594),$U$2:$U$1001,0),MATCH(COLUMNS($AB$1006:AD1006),$AB$1006:$AQ$1006,0)), HYPERLINK("#",""), HYPERLINK(CONCATENATE("#Metadata!", ADDRESS(INDEX($W$2:$W$1001,MATCH(ROWS($U$2:U594),$U$2:$U$1001,0),0), INDEX($AB$1004:$AQ$1004,1,MATCH(COLUMNS($AB$1006:AD1006),$AB$1006:$AQ$1006,0)))),"Fix")))</f>
        <v>0</v>
      </c>
      <c r="E594" s="5">
        <f>IF(OR(INDEX($V$2:$V$1001,MATCH(ROWS($U$2:U594),$U$2:$U$1001,0),1)&gt;=100000,INDEX($AB$1005:$AQ$1005,1,MATCH(COLUMNS($AB$1006:AE1006),$AB$1006:$AQ$1006,0))&gt;=100000), " ",IF(INDEX($AB$2:$AQ$1001,MATCH(ROWS($U$2:U594),$U$2:$U$1001,0),MATCH(COLUMNS($AB$1006:AE1006),$AB$1006:$AQ$1006,0)), HYPERLINK("#",""), HYPERLINK(CONCATENATE("#Metadata!", ADDRESS(INDEX($W$2:$W$1001,MATCH(ROWS($U$2:U594),$U$2:$U$1001,0),0), INDEX($AB$1004:$AQ$1004,1,MATCH(COLUMNS($AB$1006:AE1006),$AB$1006:$AQ$1006,0)))),"Fix")))</f>
        <v>0</v>
      </c>
      <c r="F594" s="5">
        <f>IF(OR(INDEX($V$2:$V$1001,MATCH(ROWS($U$2:U594),$U$2:$U$1001,0),1)&gt;=100000,INDEX($AB$1005:$AQ$1005,1,MATCH(COLUMNS($AB$1006:AF1006),$AB$1006:$AQ$1006,0))&gt;=100000), " ",IF(INDEX($AB$2:$AQ$1001,MATCH(ROWS($U$2:U594),$U$2:$U$1001,0),MATCH(COLUMNS($AB$1006:AF1006),$AB$1006:$AQ$1006,0)), HYPERLINK("#",""), HYPERLINK(CONCATENATE("#Metadata!", ADDRESS(INDEX($W$2:$W$1001,MATCH(ROWS($U$2:U594),$U$2:$U$1001,0),0), INDEX($AB$1004:$AQ$1004,1,MATCH(COLUMNS($AB$1006:AF1006),$AB$1006:$AQ$1006,0)))),"Fix")))</f>
        <v>0</v>
      </c>
      <c r="G594" s="5">
        <f>IF(OR(INDEX($V$2:$V$1001,MATCH(ROWS($U$2:U594),$U$2:$U$1001,0),1)&gt;=100000,INDEX($AB$1005:$AQ$1005,1,MATCH(COLUMNS($AB$1006:AG1006),$AB$1006:$AQ$1006,0))&gt;=100000), " ",IF(INDEX($AB$2:$AQ$1001,MATCH(ROWS($U$2:U594),$U$2:$U$1001,0),MATCH(COLUMNS($AB$1006:AG1006),$AB$1006:$AQ$1006,0)), HYPERLINK("#",""), HYPERLINK(CONCATENATE("#Metadata!", ADDRESS(INDEX($W$2:$W$1001,MATCH(ROWS($U$2:U594),$U$2:$U$1001,0),0), INDEX($AB$1004:$AQ$1004,1,MATCH(COLUMNS($AB$1006:AG1006),$AB$1006:$AQ$1006,0)))),"Fix")))</f>
        <v>0</v>
      </c>
      <c r="H594" s="5">
        <f>IF(OR(INDEX($V$2:$V$1001,MATCH(ROWS($U$2:U594),$U$2:$U$1001,0),1)&gt;=100000,INDEX($AB$1005:$AQ$1005,1,MATCH(COLUMNS($AB$1006:AH1006),$AB$1006:$AQ$1006,0))&gt;=100000), " ",IF(INDEX($AB$2:$AQ$1001,MATCH(ROWS($U$2:U594),$U$2:$U$1001,0),MATCH(COLUMNS($AB$1006:AH1006),$AB$1006:$AQ$1006,0)), HYPERLINK("#",""), HYPERLINK(CONCATENATE("#Metadata!", ADDRESS(INDEX($W$2:$W$1001,MATCH(ROWS($U$2:U594),$U$2:$U$1001,0),0), INDEX($AB$1004:$AQ$1004,1,MATCH(COLUMNS($AB$1006:AH1006),$AB$1006:$AQ$1006,0)))),"Fix")))</f>
        <v>0</v>
      </c>
      <c r="I594" s="5">
        <f>IF(OR(INDEX($V$2:$V$1001,MATCH(ROWS($U$2:U594),$U$2:$U$1001,0),1)&gt;=100000,INDEX($AB$1005:$AQ$1005,1,MATCH(COLUMNS($AB$1006:AI1006),$AB$1006:$AQ$1006,0))&gt;=100000), " ",IF(INDEX($AB$2:$AQ$1001,MATCH(ROWS($U$2:U594),$U$2:$U$1001,0),MATCH(COLUMNS($AB$1006:AI1006),$AB$1006:$AQ$1006,0)), HYPERLINK("#",""), HYPERLINK(CONCATENATE("#Metadata!", ADDRESS(INDEX($W$2:$W$1001,MATCH(ROWS($U$2:U594),$U$2:$U$1001,0),0), INDEX($AB$1004:$AQ$1004,1,MATCH(COLUMNS($AB$1006:AI1006),$AB$1006:$AQ$1006,0)))),"Fix")))</f>
        <v>0</v>
      </c>
      <c r="J594" s="5">
        <f>IF(OR(INDEX($V$2:$V$1001,MATCH(ROWS($U$2:U594),$U$2:$U$1001,0),1)&gt;=100000,INDEX($AB$1005:$AQ$1005,1,MATCH(COLUMNS($AB$1006:AJ1006),$AB$1006:$AQ$1006,0))&gt;=100000), " ",IF(INDEX($AB$2:$AQ$1001,MATCH(ROWS($U$2:U594),$U$2:$U$1001,0),MATCH(COLUMNS($AB$1006:AJ1006),$AB$1006:$AQ$1006,0)), HYPERLINK("#",""), HYPERLINK(CONCATENATE("#Metadata!", ADDRESS(INDEX($W$2:$W$1001,MATCH(ROWS($U$2:U594),$U$2:$U$1001,0),0), INDEX($AB$1004:$AQ$1004,1,MATCH(COLUMNS($AB$1006:AJ1006),$AB$1006:$AQ$1006,0)))),"Fix")))</f>
        <v>0</v>
      </c>
      <c r="K594" s="5">
        <f>IF(OR(INDEX($V$2:$V$1001,MATCH(ROWS($U$2:U594),$U$2:$U$1001,0),1)&gt;=100000,INDEX($AB$1005:$AQ$1005,1,MATCH(COLUMNS($AB$1006:AK1006),$AB$1006:$AQ$1006,0))&gt;=100000), " ",IF(INDEX($AB$2:$AQ$1001,MATCH(ROWS($U$2:U594),$U$2:$U$1001,0),MATCH(COLUMNS($AB$1006:AK1006),$AB$1006:$AQ$1006,0)), HYPERLINK("#",""), HYPERLINK(CONCATENATE("#Metadata!", ADDRESS(INDEX($W$2:$W$1001,MATCH(ROWS($U$2:U594),$U$2:$U$1001,0),0), INDEX($AB$1004:$AQ$1004,1,MATCH(COLUMNS($AB$1006:AK1006),$AB$1006:$AQ$1006,0)))),"Fix")))</f>
        <v>0</v>
      </c>
      <c r="L594" s="5">
        <f>IF(OR(INDEX($V$2:$V$1001,MATCH(ROWS($U$2:U594),$U$2:$U$1001,0),1)&gt;=100000,INDEX($AB$1005:$AQ$1005,1,MATCH(COLUMNS($AB$1006:AL1006),$AB$1006:$AQ$1006,0))&gt;=100000), " ",IF(INDEX($AB$2:$AQ$1001,MATCH(ROWS($U$2:U594),$U$2:$U$1001,0),MATCH(COLUMNS($AB$1006:AL1006),$AB$1006:$AQ$1006,0)), HYPERLINK("#",""), HYPERLINK(CONCATENATE("#Metadata!", ADDRESS(INDEX($W$2:$W$1001,MATCH(ROWS($U$2:U594),$U$2:$U$1001,0),0), INDEX($AB$1004:$AQ$1004,1,MATCH(COLUMNS($AB$1006:AL1006),$AB$1006:$AQ$1006,0)))),"Fix")))</f>
        <v>0</v>
      </c>
      <c r="M594" s="5">
        <f>IF(OR(INDEX($V$2:$V$1001,MATCH(ROWS($U$2:U594),$U$2:$U$1001,0),1)&gt;=100000,INDEX($AB$1005:$AQ$1005,1,MATCH(COLUMNS($AB$1006:AM1006),$AB$1006:$AQ$1006,0))&gt;=100000), " ",IF(INDEX($AB$2:$AQ$1001,MATCH(ROWS($U$2:U594),$U$2:$U$1001,0),MATCH(COLUMNS($AB$1006:AM1006),$AB$1006:$AQ$1006,0)), HYPERLINK("#",""), HYPERLINK(CONCATENATE("#Metadata!", ADDRESS(INDEX($W$2:$W$1001,MATCH(ROWS($U$2:U594),$U$2:$U$1001,0),0), INDEX($AB$1004:$AQ$1004,1,MATCH(COLUMNS($AB$1006:AM1006),$AB$1006:$AQ$1006,0)))),"Fix")))</f>
        <v>0</v>
      </c>
      <c r="N594" s="5">
        <f>IF(OR(INDEX($V$2:$V$1001,MATCH(ROWS($U$2:U594),$U$2:$U$1001,0),1)&gt;=100000,INDEX($AB$1005:$AQ$1005,1,MATCH(COLUMNS($AB$1006:AN1006),$AB$1006:$AQ$1006,0))&gt;=100000), " ",IF(INDEX($AB$2:$AQ$1001,MATCH(ROWS($U$2:U594),$U$2:$U$1001,0),MATCH(COLUMNS($AB$1006:AN1006),$AB$1006:$AQ$1006,0)), HYPERLINK("#",""), HYPERLINK(CONCATENATE("#Metadata!", ADDRESS(INDEX($W$2:$W$1001,MATCH(ROWS($U$2:U594),$U$2:$U$1001,0),0), INDEX($AB$1004:$AQ$1004,1,MATCH(COLUMNS($AB$1006:AN1006),$AB$1006:$AQ$1006,0)))),"Fix")))</f>
        <v>0</v>
      </c>
      <c r="O594" s="5">
        <f>IF(OR(INDEX($V$2:$V$1001,MATCH(ROWS($U$2:U594),$U$2:$U$1001,0),1)&gt;=100000,INDEX($AB$1005:$AQ$1005,1,MATCH(COLUMNS($AB$1006:AO1006),$AB$1006:$AQ$1006,0))&gt;=100000), " ",IF(INDEX($AB$2:$AQ$1001,MATCH(ROWS($U$2:U594),$U$2:$U$1001,0),MATCH(COLUMNS($AB$1006:AO1006),$AB$1006:$AQ$1006,0)), HYPERLINK("#",""), HYPERLINK(CONCATENATE("#Metadata!", ADDRESS(INDEX($W$2:$W$1001,MATCH(ROWS($U$2:U594),$U$2:$U$1001,0),0), INDEX($AB$1004:$AQ$1004,1,MATCH(COLUMNS($AB$1006:AO1006),$AB$1006:$AQ$1006,0)))),"Fix")))</f>
        <v>0</v>
      </c>
      <c r="P594" s="5">
        <f>IF(OR(INDEX($V$2:$V$1001,MATCH(ROWS($U$2:U594),$U$2:$U$1001,0),1)&gt;=100000,INDEX($AB$1005:$AQ$1005,1,MATCH(COLUMNS($AB$1006:AP1006),$AB$1006:$AQ$1006,0))&gt;=100000), " ",IF(INDEX($AB$2:$AQ$1001,MATCH(ROWS($U$2:U594),$U$2:$U$1001,0),MATCH(COLUMNS($AB$1006:AP1006),$AB$1006:$AQ$1006,0)), HYPERLINK("#",""), HYPERLINK(CONCATENATE("#Metadata!", ADDRESS(INDEX($W$2:$W$1001,MATCH(ROWS($U$2:U594),$U$2:$U$1001,0),0), INDEX($AB$1004:$AQ$1004,1,MATCH(COLUMNS($AB$1006:AP1006),$AB$1006:$AQ$1006,0)))),"Fix")))</f>
        <v>0</v>
      </c>
      <c r="Q594" s="5">
        <f>IF(OR(INDEX($V$2:$V$1001,MATCH(ROWS($U$2:U594),$U$2:$U$1001,0),1)&gt;=100000,INDEX($AB$1005:$AQ$1005,1,MATCH(COLUMNS($AB$1006:AQ1006),$AB$1006:$AQ$1006,0))&gt;=100000), " ",IF(INDEX($AB$2:$AQ$1001,MATCH(ROWS($U$2:U594),$U$2:$U$1001,0),MATCH(COLUMNS($AB$1006:AQ1006),$AB$1006:$AQ$1006,0)), HYPERLINK("#",""), HYPERLINK(CONCATENATE("#Metadata!", ADDRESS(INDEX($W$2:$W$1001,MATCH(ROWS($U$2:U594),$U$2:$U$1001,0),0), INDEX($AB$1004:$AQ$1004,1,MATCH(COLUMNS($AB$1006:AQ1006),$AB$1006:$AQ$1006,0)))),"Fix")))</f>
        <v>0</v>
      </c>
      <c r="U594">
        <v>0</v>
      </c>
      <c r="V594">
        <v>0</v>
      </c>
      <c r="W594">
        <v>0</v>
      </c>
      <c r="X594">
        <f>IF(Y594,TRUE,AND(AB594:AQ594))</f>
        <v>0</v>
      </c>
      <c r="Y594">
        <f>COUNTBLANK(Metadata!B594:Q594)=COLUMNS(Metadata!B594:Q594)</f>
        <v>0</v>
      </c>
      <c r="Z594">
        <v>0</v>
      </c>
      <c r="AB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AC594">
        <f>AND(IF(Metadata!C594="",FALSE,TRUE),exact(Metadata!C594,"urban biome"))</f>
        <v>0</v>
      </c>
      <c r="AD594">
        <f>AND(IF(Metadata!D594="",FALSE,TRUE),exact(Metadata!D594,"human-associated habitat"))</f>
        <v>0</v>
      </c>
      <c r="AE594">
        <f>AND(IF(Metadata!E594="",FALSE,TRUE),OR(exact(Metadata!E594,"human-associated"),exact(Metadata!E594,"human-skin"),exact(Metadata!E594,"human-oral"),exact(Metadata!E594,"human-gut"),exact(Metadata!E594,"human-vaginal")))</f>
        <v>0</v>
      </c>
      <c r="AF594">
        <f>AND(IF(Metadata!F594="",FALSE,ISNUMBER(VALUE(Metadata!F594))),Metadata!F594&gt;0)</f>
        <v>0</v>
      </c>
      <c r="AG594">
        <f>AND(IF(Metadata!G594="",FALSE,TRUE),exact(Metadata!G594,"years"))</f>
        <v>0</v>
      </c>
      <c r="AH594">
        <f>OR(AND(IF(Metadata!H594="",FALSE,TRUE),OR(exact(Metadata!H594,"not applicable"),exact(Metadata!H594,"not collected"),exact(Metadata!H594,"not provided"),exact(Metadata!H594,"restricted access"))),AND(IF(Metadata!H594="",FALSE,ISNUMBER(VALUE(Metadata!H594))),Metadata!H594&gt;0))</f>
        <v>0</v>
      </c>
      <c r="AI594">
        <f>AND(IF(Metadata!I594="",FALSE,TRUE),exact(Metadata!I594,"human"))</f>
        <v>0</v>
      </c>
      <c r="AJ594">
        <f>AND(IF(Metadata!J594="",FALSE,ISNUMBER(VALUE(Metadata!J594))),Metadata!J594&gt;0)</f>
        <v>0</v>
      </c>
      <c r="AK594">
        <f>AND(IF(Metadata!K594="",FALSE,TRUE),exact(Metadata!K594,"cm"))</f>
        <v>0</v>
      </c>
      <c r="AL594">
        <f>AND(IF(Metadata!L594="",FALSE,TRUE),exact(Metadata!L594,"Homo sapiens"))</f>
        <v>0</v>
      </c>
      <c r="AM594">
        <f>AND(IF(Metadata!M594="",FALSE,TRUE),exact(Metadata!M594,"9606"))</f>
        <v>0</v>
      </c>
      <c r="AN594">
        <f>AND(IF(Metadata!N594="",FALSE,ISNUMBER(VALUE(Metadata!N594))),Metadata!N594&gt;0)</f>
        <v>0</v>
      </c>
      <c r="AO594">
        <f>AND(IF(Metadata!O594="",FALSE,TRUE),exact(Metadata!O594,"kg"))</f>
        <v>0</v>
      </c>
      <c r="AP594">
        <f>OR(AND(IF(Metadata!P594="",FALSE,TRUE),exact(Metadata!P594,"not provided")),IF(Metadata!P594="",FALSE,TRUE))</f>
        <v>0</v>
      </c>
      <c r="AQ594">
        <f>OR(AND(IF(Metadata!Q594="",FALSE,TRUE),exact(Metadata!Q594,"not provided")),IF(Metadata!Q594="",FALSE,TRUE))</f>
        <v>0</v>
      </c>
    </row>
    <row r="595" spans="1:43">
      <c r="A595" s="4">
        <f>IF(B595=" "," ",HYPERLINK(CONCATENATE("#metadata!",ADDRESS(INDEX($W$2:$W$1001,MATCH(ROWS($U$2:U595),$U$2:$U$1001,0),0),2)),INDEX($Z$2:$Z$1001,MATCH(ROWS($U$2:U595),$U$2:$U$1001,0),0)))</f>
        <v>0</v>
      </c>
      <c r="B595" s="5">
        <f>IF(OR(INDEX($V$2:$V$1001,MATCH(ROWS($U$2:U595),$U$2:$U$1001,0),1)&gt;=100000,INDEX($AB$1005:$AQ$1005,1,MATCH(COLUMNS($AB$1006:AB1006),$AB$1006:$AQ$1006,0))&gt;=100000), " ",IF(INDEX($AB$2:$AQ$1001,MATCH(ROWS($U$2:U595),$U$2:$U$1001,0),MATCH(COLUMNS($AB$1006:AB1006),$AB$1006:$AQ$1006,0)), HYPERLINK("#",""), HYPERLINK(CONCATENATE("#Metadata!", ADDRESS(INDEX($W$2:$W$1001,MATCH(ROWS($U$2:U595),$U$2:$U$1001,0),0), INDEX($AB$1004:$AQ$1004,1,MATCH(COLUMNS($AB$1006:AB1006),$AB$1006:$AQ$1006,0)))),"Fix")))</f>
        <v>0</v>
      </c>
      <c r="C595" s="5">
        <f>IF(OR(INDEX($V$2:$V$1001,MATCH(ROWS($U$2:U595),$U$2:$U$1001,0),1)&gt;=100000,INDEX($AB$1005:$AQ$1005,1,MATCH(COLUMNS($AB$1006:AC1006),$AB$1006:$AQ$1006,0))&gt;=100000), " ",IF(INDEX($AB$2:$AQ$1001,MATCH(ROWS($U$2:U595),$U$2:$U$1001,0),MATCH(COLUMNS($AB$1006:AC1006),$AB$1006:$AQ$1006,0)), HYPERLINK("#",""), HYPERLINK(CONCATENATE("#Metadata!", ADDRESS(INDEX($W$2:$W$1001,MATCH(ROWS($U$2:U595),$U$2:$U$1001,0),0), INDEX($AB$1004:$AQ$1004,1,MATCH(COLUMNS($AB$1006:AC1006),$AB$1006:$AQ$1006,0)))),"Fix")))</f>
        <v>0</v>
      </c>
      <c r="D595" s="5">
        <f>IF(OR(INDEX($V$2:$V$1001,MATCH(ROWS($U$2:U595),$U$2:$U$1001,0),1)&gt;=100000,INDEX($AB$1005:$AQ$1005,1,MATCH(COLUMNS($AB$1006:AD1006),$AB$1006:$AQ$1006,0))&gt;=100000), " ",IF(INDEX($AB$2:$AQ$1001,MATCH(ROWS($U$2:U595),$U$2:$U$1001,0),MATCH(COLUMNS($AB$1006:AD1006),$AB$1006:$AQ$1006,0)), HYPERLINK("#",""), HYPERLINK(CONCATENATE("#Metadata!", ADDRESS(INDEX($W$2:$W$1001,MATCH(ROWS($U$2:U595),$U$2:$U$1001,0),0), INDEX($AB$1004:$AQ$1004,1,MATCH(COLUMNS($AB$1006:AD1006),$AB$1006:$AQ$1006,0)))),"Fix")))</f>
        <v>0</v>
      </c>
      <c r="E595" s="5">
        <f>IF(OR(INDEX($V$2:$V$1001,MATCH(ROWS($U$2:U595),$U$2:$U$1001,0),1)&gt;=100000,INDEX($AB$1005:$AQ$1005,1,MATCH(COLUMNS($AB$1006:AE1006),$AB$1006:$AQ$1006,0))&gt;=100000), " ",IF(INDEX($AB$2:$AQ$1001,MATCH(ROWS($U$2:U595),$U$2:$U$1001,0),MATCH(COLUMNS($AB$1006:AE1006),$AB$1006:$AQ$1006,0)), HYPERLINK("#",""), HYPERLINK(CONCATENATE("#Metadata!", ADDRESS(INDEX($W$2:$W$1001,MATCH(ROWS($U$2:U595),$U$2:$U$1001,0),0), INDEX($AB$1004:$AQ$1004,1,MATCH(COLUMNS($AB$1006:AE1006),$AB$1006:$AQ$1006,0)))),"Fix")))</f>
        <v>0</v>
      </c>
      <c r="F595" s="5">
        <f>IF(OR(INDEX($V$2:$V$1001,MATCH(ROWS($U$2:U595),$U$2:$U$1001,0),1)&gt;=100000,INDEX($AB$1005:$AQ$1005,1,MATCH(COLUMNS($AB$1006:AF1006),$AB$1006:$AQ$1006,0))&gt;=100000), " ",IF(INDEX($AB$2:$AQ$1001,MATCH(ROWS($U$2:U595),$U$2:$U$1001,0),MATCH(COLUMNS($AB$1006:AF1006),$AB$1006:$AQ$1006,0)), HYPERLINK("#",""), HYPERLINK(CONCATENATE("#Metadata!", ADDRESS(INDEX($W$2:$W$1001,MATCH(ROWS($U$2:U595),$U$2:$U$1001,0),0), INDEX($AB$1004:$AQ$1004,1,MATCH(COLUMNS($AB$1006:AF1006),$AB$1006:$AQ$1006,0)))),"Fix")))</f>
        <v>0</v>
      </c>
      <c r="G595" s="5">
        <f>IF(OR(INDEX($V$2:$V$1001,MATCH(ROWS($U$2:U595),$U$2:$U$1001,0),1)&gt;=100000,INDEX($AB$1005:$AQ$1005,1,MATCH(COLUMNS($AB$1006:AG1006),$AB$1006:$AQ$1006,0))&gt;=100000), " ",IF(INDEX($AB$2:$AQ$1001,MATCH(ROWS($U$2:U595),$U$2:$U$1001,0),MATCH(COLUMNS($AB$1006:AG1006),$AB$1006:$AQ$1006,0)), HYPERLINK("#",""), HYPERLINK(CONCATENATE("#Metadata!", ADDRESS(INDEX($W$2:$W$1001,MATCH(ROWS($U$2:U595),$U$2:$U$1001,0),0), INDEX($AB$1004:$AQ$1004,1,MATCH(COLUMNS($AB$1006:AG1006),$AB$1006:$AQ$1006,0)))),"Fix")))</f>
        <v>0</v>
      </c>
      <c r="H595" s="5">
        <f>IF(OR(INDEX($V$2:$V$1001,MATCH(ROWS($U$2:U595),$U$2:$U$1001,0),1)&gt;=100000,INDEX($AB$1005:$AQ$1005,1,MATCH(COLUMNS($AB$1006:AH1006),$AB$1006:$AQ$1006,0))&gt;=100000), " ",IF(INDEX($AB$2:$AQ$1001,MATCH(ROWS($U$2:U595),$U$2:$U$1001,0),MATCH(COLUMNS($AB$1006:AH1006),$AB$1006:$AQ$1006,0)), HYPERLINK("#",""), HYPERLINK(CONCATENATE("#Metadata!", ADDRESS(INDEX($W$2:$W$1001,MATCH(ROWS($U$2:U595),$U$2:$U$1001,0),0), INDEX($AB$1004:$AQ$1004,1,MATCH(COLUMNS($AB$1006:AH1006),$AB$1006:$AQ$1006,0)))),"Fix")))</f>
        <v>0</v>
      </c>
      <c r="I595" s="5">
        <f>IF(OR(INDEX($V$2:$V$1001,MATCH(ROWS($U$2:U595),$U$2:$U$1001,0),1)&gt;=100000,INDEX($AB$1005:$AQ$1005,1,MATCH(COLUMNS($AB$1006:AI1006),$AB$1006:$AQ$1006,0))&gt;=100000), " ",IF(INDEX($AB$2:$AQ$1001,MATCH(ROWS($U$2:U595),$U$2:$U$1001,0),MATCH(COLUMNS($AB$1006:AI1006),$AB$1006:$AQ$1006,0)), HYPERLINK("#",""), HYPERLINK(CONCATENATE("#Metadata!", ADDRESS(INDEX($W$2:$W$1001,MATCH(ROWS($U$2:U595),$U$2:$U$1001,0),0), INDEX($AB$1004:$AQ$1004,1,MATCH(COLUMNS($AB$1006:AI1006),$AB$1006:$AQ$1006,0)))),"Fix")))</f>
        <v>0</v>
      </c>
      <c r="J595" s="5">
        <f>IF(OR(INDEX($V$2:$V$1001,MATCH(ROWS($U$2:U595),$U$2:$U$1001,0),1)&gt;=100000,INDEX($AB$1005:$AQ$1005,1,MATCH(COLUMNS($AB$1006:AJ1006),$AB$1006:$AQ$1006,0))&gt;=100000), " ",IF(INDEX($AB$2:$AQ$1001,MATCH(ROWS($U$2:U595),$U$2:$U$1001,0),MATCH(COLUMNS($AB$1006:AJ1006),$AB$1006:$AQ$1006,0)), HYPERLINK("#",""), HYPERLINK(CONCATENATE("#Metadata!", ADDRESS(INDEX($W$2:$W$1001,MATCH(ROWS($U$2:U595),$U$2:$U$1001,0),0), INDEX($AB$1004:$AQ$1004,1,MATCH(COLUMNS($AB$1006:AJ1006),$AB$1006:$AQ$1006,0)))),"Fix")))</f>
        <v>0</v>
      </c>
      <c r="K595" s="5">
        <f>IF(OR(INDEX($V$2:$V$1001,MATCH(ROWS($U$2:U595),$U$2:$U$1001,0),1)&gt;=100000,INDEX($AB$1005:$AQ$1005,1,MATCH(COLUMNS($AB$1006:AK1006),$AB$1006:$AQ$1006,0))&gt;=100000), " ",IF(INDEX($AB$2:$AQ$1001,MATCH(ROWS($U$2:U595),$U$2:$U$1001,0),MATCH(COLUMNS($AB$1006:AK1006),$AB$1006:$AQ$1006,0)), HYPERLINK("#",""), HYPERLINK(CONCATENATE("#Metadata!", ADDRESS(INDEX($W$2:$W$1001,MATCH(ROWS($U$2:U595),$U$2:$U$1001,0),0), INDEX($AB$1004:$AQ$1004,1,MATCH(COLUMNS($AB$1006:AK1006),$AB$1006:$AQ$1006,0)))),"Fix")))</f>
        <v>0</v>
      </c>
      <c r="L595" s="5">
        <f>IF(OR(INDEX($V$2:$V$1001,MATCH(ROWS($U$2:U595),$U$2:$U$1001,0),1)&gt;=100000,INDEX($AB$1005:$AQ$1005,1,MATCH(COLUMNS($AB$1006:AL1006),$AB$1006:$AQ$1006,0))&gt;=100000), " ",IF(INDEX($AB$2:$AQ$1001,MATCH(ROWS($U$2:U595),$U$2:$U$1001,0),MATCH(COLUMNS($AB$1006:AL1006),$AB$1006:$AQ$1006,0)), HYPERLINK("#",""), HYPERLINK(CONCATENATE("#Metadata!", ADDRESS(INDEX($W$2:$W$1001,MATCH(ROWS($U$2:U595),$U$2:$U$1001,0),0), INDEX($AB$1004:$AQ$1004,1,MATCH(COLUMNS($AB$1006:AL1006),$AB$1006:$AQ$1006,0)))),"Fix")))</f>
        <v>0</v>
      </c>
      <c r="M595" s="5">
        <f>IF(OR(INDEX($V$2:$V$1001,MATCH(ROWS($U$2:U595),$U$2:$U$1001,0),1)&gt;=100000,INDEX($AB$1005:$AQ$1005,1,MATCH(COLUMNS($AB$1006:AM1006),$AB$1006:$AQ$1006,0))&gt;=100000), " ",IF(INDEX($AB$2:$AQ$1001,MATCH(ROWS($U$2:U595),$U$2:$U$1001,0),MATCH(COLUMNS($AB$1006:AM1006),$AB$1006:$AQ$1006,0)), HYPERLINK("#",""), HYPERLINK(CONCATENATE("#Metadata!", ADDRESS(INDEX($W$2:$W$1001,MATCH(ROWS($U$2:U595),$U$2:$U$1001,0),0), INDEX($AB$1004:$AQ$1004,1,MATCH(COLUMNS($AB$1006:AM1006),$AB$1006:$AQ$1006,0)))),"Fix")))</f>
        <v>0</v>
      </c>
      <c r="N595" s="5">
        <f>IF(OR(INDEX($V$2:$V$1001,MATCH(ROWS($U$2:U595),$U$2:$U$1001,0),1)&gt;=100000,INDEX($AB$1005:$AQ$1005,1,MATCH(COLUMNS($AB$1006:AN1006),$AB$1006:$AQ$1006,0))&gt;=100000), " ",IF(INDEX($AB$2:$AQ$1001,MATCH(ROWS($U$2:U595),$U$2:$U$1001,0),MATCH(COLUMNS($AB$1006:AN1006),$AB$1006:$AQ$1006,0)), HYPERLINK("#",""), HYPERLINK(CONCATENATE("#Metadata!", ADDRESS(INDEX($W$2:$W$1001,MATCH(ROWS($U$2:U595),$U$2:$U$1001,0),0), INDEX($AB$1004:$AQ$1004,1,MATCH(COLUMNS($AB$1006:AN1006),$AB$1006:$AQ$1006,0)))),"Fix")))</f>
        <v>0</v>
      </c>
      <c r="O595" s="5">
        <f>IF(OR(INDEX($V$2:$V$1001,MATCH(ROWS($U$2:U595),$U$2:$U$1001,0),1)&gt;=100000,INDEX($AB$1005:$AQ$1005,1,MATCH(COLUMNS($AB$1006:AO1006),$AB$1006:$AQ$1006,0))&gt;=100000), " ",IF(INDEX($AB$2:$AQ$1001,MATCH(ROWS($U$2:U595),$U$2:$U$1001,0),MATCH(COLUMNS($AB$1006:AO1006),$AB$1006:$AQ$1006,0)), HYPERLINK("#",""), HYPERLINK(CONCATENATE("#Metadata!", ADDRESS(INDEX($W$2:$W$1001,MATCH(ROWS($U$2:U595),$U$2:$U$1001,0),0), INDEX($AB$1004:$AQ$1004,1,MATCH(COLUMNS($AB$1006:AO1006),$AB$1006:$AQ$1006,0)))),"Fix")))</f>
        <v>0</v>
      </c>
      <c r="P595" s="5">
        <f>IF(OR(INDEX($V$2:$V$1001,MATCH(ROWS($U$2:U595),$U$2:$U$1001,0),1)&gt;=100000,INDEX($AB$1005:$AQ$1005,1,MATCH(COLUMNS($AB$1006:AP1006),$AB$1006:$AQ$1006,0))&gt;=100000), " ",IF(INDEX($AB$2:$AQ$1001,MATCH(ROWS($U$2:U595),$U$2:$U$1001,0),MATCH(COLUMNS($AB$1006:AP1006),$AB$1006:$AQ$1006,0)), HYPERLINK("#",""), HYPERLINK(CONCATENATE("#Metadata!", ADDRESS(INDEX($W$2:$W$1001,MATCH(ROWS($U$2:U595),$U$2:$U$1001,0),0), INDEX($AB$1004:$AQ$1004,1,MATCH(COLUMNS($AB$1006:AP1006),$AB$1006:$AQ$1006,0)))),"Fix")))</f>
        <v>0</v>
      </c>
      <c r="Q595" s="5">
        <f>IF(OR(INDEX($V$2:$V$1001,MATCH(ROWS($U$2:U595),$U$2:$U$1001,0),1)&gt;=100000,INDEX($AB$1005:$AQ$1005,1,MATCH(COLUMNS($AB$1006:AQ1006),$AB$1006:$AQ$1006,0))&gt;=100000), " ",IF(INDEX($AB$2:$AQ$1001,MATCH(ROWS($U$2:U595),$U$2:$U$1001,0),MATCH(COLUMNS($AB$1006:AQ1006),$AB$1006:$AQ$1006,0)), HYPERLINK("#",""), HYPERLINK(CONCATENATE("#Metadata!", ADDRESS(INDEX($W$2:$W$1001,MATCH(ROWS($U$2:U595),$U$2:$U$1001,0),0), INDEX($AB$1004:$AQ$1004,1,MATCH(COLUMNS($AB$1006:AQ1006),$AB$1006:$AQ$1006,0)))),"Fix")))</f>
        <v>0</v>
      </c>
      <c r="U595">
        <v>0</v>
      </c>
      <c r="V595">
        <v>0</v>
      </c>
      <c r="W595">
        <v>0</v>
      </c>
      <c r="X595">
        <f>IF(Y595,TRUE,AND(AB595:AQ595))</f>
        <v>0</v>
      </c>
      <c r="Y595">
        <f>COUNTBLANK(Metadata!B595:Q595)=COLUMNS(Metadata!B595:Q595)</f>
        <v>0</v>
      </c>
      <c r="Z595">
        <v>0</v>
      </c>
      <c r="AB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AC595">
        <f>AND(IF(Metadata!C595="",FALSE,TRUE),exact(Metadata!C595,"urban biome"))</f>
        <v>0</v>
      </c>
      <c r="AD595">
        <f>AND(IF(Metadata!D595="",FALSE,TRUE),exact(Metadata!D595,"human-associated habitat"))</f>
        <v>0</v>
      </c>
      <c r="AE595">
        <f>AND(IF(Metadata!E595="",FALSE,TRUE),OR(exact(Metadata!E595,"human-associated"),exact(Metadata!E595,"human-skin"),exact(Metadata!E595,"human-oral"),exact(Metadata!E595,"human-gut"),exact(Metadata!E595,"human-vaginal")))</f>
        <v>0</v>
      </c>
      <c r="AF595">
        <f>AND(IF(Metadata!F595="",FALSE,ISNUMBER(VALUE(Metadata!F595))),Metadata!F595&gt;0)</f>
        <v>0</v>
      </c>
      <c r="AG595">
        <f>AND(IF(Metadata!G595="",FALSE,TRUE),exact(Metadata!G595,"years"))</f>
        <v>0</v>
      </c>
      <c r="AH595">
        <f>OR(AND(IF(Metadata!H595="",FALSE,TRUE),OR(exact(Metadata!H595,"not applicable"),exact(Metadata!H595,"not collected"),exact(Metadata!H595,"not provided"),exact(Metadata!H595,"restricted access"))),AND(IF(Metadata!H595="",FALSE,ISNUMBER(VALUE(Metadata!H595))),Metadata!H595&gt;0))</f>
        <v>0</v>
      </c>
      <c r="AI595">
        <f>AND(IF(Metadata!I595="",FALSE,TRUE),exact(Metadata!I595,"human"))</f>
        <v>0</v>
      </c>
      <c r="AJ595">
        <f>AND(IF(Metadata!J595="",FALSE,ISNUMBER(VALUE(Metadata!J595))),Metadata!J595&gt;0)</f>
        <v>0</v>
      </c>
      <c r="AK595">
        <f>AND(IF(Metadata!K595="",FALSE,TRUE),exact(Metadata!K595,"cm"))</f>
        <v>0</v>
      </c>
      <c r="AL595">
        <f>AND(IF(Metadata!L595="",FALSE,TRUE),exact(Metadata!L595,"Homo sapiens"))</f>
        <v>0</v>
      </c>
      <c r="AM595">
        <f>AND(IF(Metadata!M595="",FALSE,TRUE),exact(Metadata!M595,"9606"))</f>
        <v>0</v>
      </c>
      <c r="AN595">
        <f>AND(IF(Metadata!N595="",FALSE,ISNUMBER(VALUE(Metadata!N595))),Metadata!N595&gt;0)</f>
        <v>0</v>
      </c>
      <c r="AO595">
        <f>AND(IF(Metadata!O595="",FALSE,TRUE),exact(Metadata!O595,"kg"))</f>
        <v>0</v>
      </c>
      <c r="AP595">
        <f>OR(AND(IF(Metadata!P595="",FALSE,TRUE),exact(Metadata!P595,"not provided")),IF(Metadata!P595="",FALSE,TRUE))</f>
        <v>0</v>
      </c>
      <c r="AQ595">
        <f>OR(AND(IF(Metadata!Q595="",FALSE,TRUE),exact(Metadata!Q595,"not provided")),IF(Metadata!Q595="",FALSE,TRUE))</f>
        <v>0</v>
      </c>
    </row>
    <row r="596" spans="1:43">
      <c r="A596" s="4">
        <f>IF(B596=" "," ",HYPERLINK(CONCATENATE("#metadata!",ADDRESS(INDEX($W$2:$W$1001,MATCH(ROWS($U$2:U596),$U$2:$U$1001,0),0),2)),INDEX($Z$2:$Z$1001,MATCH(ROWS($U$2:U596),$U$2:$U$1001,0),0)))</f>
        <v>0</v>
      </c>
      <c r="B596" s="5">
        <f>IF(OR(INDEX($V$2:$V$1001,MATCH(ROWS($U$2:U596),$U$2:$U$1001,0),1)&gt;=100000,INDEX($AB$1005:$AQ$1005,1,MATCH(COLUMNS($AB$1006:AB1006),$AB$1006:$AQ$1006,0))&gt;=100000), " ",IF(INDEX($AB$2:$AQ$1001,MATCH(ROWS($U$2:U596),$U$2:$U$1001,0),MATCH(COLUMNS($AB$1006:AB1006),$AB$1006:$AQ$1006,0)), HYPERLINK("#",""), HYPERLINK(CONCATENATE("#Metadata!", ADDRESS(INDEX($W$2:$W$1001,MATCH(ROWS($U$2:U596),$U$2:$U$1001,0),0), INDEX($AB$1004:$AQ$1004,1,MATCH(COLUMNS($AB$1006:AB1006),$AB$1006:$AQ$1006,0)))),"Fix")))</f>
        <v>0</v>
      </c>
      <c r="C596" s="5">
        <f>IF(OR(INDEX($V$2:$V$1001,MATCH(ROWS($U$2:U596),$U$2:$U$1001,0),1)&gt;=100000,INDEX($AB$1005:$AQ$1005,1,MATCH(COLUMNS($AB$1006:AC1006),$AB$1006:$AQ$1006,0))&gt;=100000), " ",IF(INDEX($AB$2:$AQ$1001,MATCH(ROWS($U$2:U596),$U$2:$U$1001,0),MATCH(COLUMNS($AB$1006:AC1006),$AB$1006:$AQ$1006,0)), HYPERLINK("#",""), HYPERLINK(CONCATENATE("#Metadata!", ADDRESS(INDEX($W$2:$W$1001,MATCH(ROWS($U$2:U596),$U$2:$U$1001,0),0), INDEX($AB$1004:$AQ$1004,1,MATCH(COLUMNS($AB$1006:AC1006),$AB$1006:$AQ$1006,0)))),"Fix")))</f>
        <v>0</v>
      </c>
      <c r="D596" s="5">
        <f>IF(OR(INDEX($V$2:$V$1001,MATCH(ROWS($U$2:U596),$U$2:$U$1001,0),1)&gt;=100000,INDEX($AB$1005:$AQ$1005,1,MATCH(COLUMNS($AB$1006:AD1006),$AB$1006:$AQ$1006,0))&gt;=100000), " ",IF(INDEX($AB$2:$AQ$1001,MATCH(ROWS($U$2:U596),$U$2:$U$1001,0),MATCH(COLUMNS($AB$1006:AD1006),$AB$1006:$AQ$1006,0)), HYPERLINK("#",""), HYPERLINK(CONCATENATE("#Metadata!", ADDRESS(INDEX($W$2:$W$1001,MATCH(ROWS($U$2:U596),$U$2:$U$1001,0),0), INDEX($AB$1004:$AQ$1004,1,MATCH(COLUMNS($AB$1006:AD1006),$AB$1006:$AQ$1006,0)))),"Fix")))</f>
        <v>0</v>
      </c>
      <c r="E596" s="5">
        <f>IF(OR(INDEX($V$2:$V$1001,MATCH(ROWS($U$2:U596),$U$2:$U$1001,0),1)&gt;=100000,INDEX($AB$1005:$AQ$1005,1,MATCH(COLUMNS($AB$1006:AE1006),$AB$1006:$AQ$1006,0))&gt;=100000), " ",IF(INDEX($AB$2:$AQ$1001,MATCH(ROWS($U$2:U596),$U$2:$U$1001,0),MATCH(COLUMNS($AB$1006:AE1006),$AB$1006:$AQ$1006,0)), HYPERLINK("#",""), HYPERLINK(CONCATENATE("#Metadata!", ADDRESS(INDEX($W$2:$W$1001,MATCH(ROWS($U$2:U596),$U$2:$U$1001,0),0), INDEX($AB$1004:$AQ$1004,1,MATCH(COLUMNS($AB$1006:AE1006),$AB$1006:$AQ$1006,0)))),"Fix")))</f>
        <v>0</v>
      </c>
      <c r="F596" s="5">
        <f>IF(OR(INDEX($V$2:$V$1001,MATCH(ROWS($U$2:U596),$U$2:$U$1001,0),1)&gt;=100000,INDEX($AB$1005:$AQ$1005,1,MATCH(COLUMNS($AB$1006:AF1006),$AB$1006:$AQ$1006,0))&gt;=100000), " ",IF(INDEX($AB$2:$AQ$1001,MATCH(ROWS($U$2:U596),$U$2:$U$1001,0),MATCH(COLUMNS($AB$1006:AF1006),$AB$1006:$AQ$1006,0)), HYPERLINK("#",""), HYPERLINK(CONCATENATE("#Metadata!", ADDRESS(INDEX($W$2:$W$1001,MATCH(ROWS($U$2:U596),$U$2:$U$1001,0),0), INDEX($AB$1004:$AQ$1004,1,MATCH(COLUMNS($AB$1006:AF1006),$AB$1006:$AQ$1006,0)))),"Fix")))</f>
        <v>0</v>
      </c>
      <c r="G596" s="5">
        <f>IF(OR(INDEX($V$2:$V$1001,MATCH(ROWS($U$2:U596),$U$2:$U$1001,0),1)&gt;=100000,INDEX($AB$1005:$AQ$1005,1,MATCH(COLUMNS($AB$1006:AG1006),$AB$1006:$AQ$1006,0))&gt;=100000), " ",IF(INDEX($AB$2:$AQ$1001,MATCH(ROWS($U$2:U596),$U$2:$U$1001,0),MATCH(COLUMNS($AB$1006:AG1006),$AB$1006:$AQ$1006,0)), HYPERLINK("#",""), HYPERLINK(CONCATENATE("#Metadata!", ADDRESS(INDEX($W$2:$W$1001,MATCH(ROWS($U$2:U596),$U$2:$U$1001,0),0), INDEX($AB$1004:$AQ$1004,1,MATCH(COLUMNS($AB$1006:AG1006),$AB$1006:$AQ$1006,0)))),"Fix")))</f>
        <v>0</v>
      </c>
      <c r="H596" s="5">
        <f>IF(OR(INDEX($V$2:$V$1001,MATCH(ROWS($U$2:U596),$U$2:$U$1001,0),1)&gt;=100000,INDEX($AB$1005:$AQ$1005,1,MATCH(COLUMNS($AB$1006:AH1006),$AB$1006:$AQ$1006,0))&gt;=100000), " ",IF(INDEX($AB$2:$AQ$1001,MATCH(ROWS($U$2:U596),$U$2:$U$1001,0),MATCH(COLUMNS($AB$1006:AH1006),$AB$1006:$AQ$1006,0)), HYPERLINK("#",""), HYPERLINK(CONCATENATE("#Metadata!", ADDRESS(INDEX($W$2:$W$1001,MATCH(ROWS($U$2:U596),$U$2:$U$1001,0),0), INDEX($AB$1004:$AQ$1004,1,MATCH(COLUMNS($AB$1006:AH1006),$AB$1006:$AQ$1006,0)))),"Fix")))</f>
        <v>0</v>
      </c>
      <c r="I596" s="5">
        <f>IF(OR(INDEX($V$2:$V$1001,MATCH(ROWS($U$2:U596),$U$2:$U$1001,0),1)&gt;=100000,INDEX($AB$1005:$AQ$1005,1,MATCH(COLUMNS($AB$1006:AI1006),$AB$1006:$AQ$1006,0))&gt;=100000), " ",IF(INDEX($AB$2:$AQ$1001,MATCH(ROWS($U$2:U596),$U$2:$U$1001,0),MATCH(COLUMNS($AB$1006:AI1006),$AB$1006:$AQ$1006,0)), HYPERLINK("#",""), HYPERLINK(CONCATENATE("#Metadata!", ADDRESS(INDEX($W$2:$W$1001,MATCH(ROWS($U$2:U596),$U$2:$U$1001,0),0), INDEX($AB$1004:$AQ$1004,1,MATCH(COLUMNS($AB$1006:AI1006),$AB$1006:$AQ$1006,0)))),"Fix")))</f>
        <v>0</v>
      </c>
      <c r="J596" s="5">
        <f>IF(OR(INDEX($V$2:$V$1001,MATCH(ROWS($U$2:U596),$U$2:$U$1001,0),1)&gt;=100000,INDEX($AB$1005:$AQ$1005,1,MATCH(COLUMNS($AB$1006:AJ1006),$AB$1006:$AQ$1006,0))&gt;=100000), " ",IF(INDEX($AB$2:$AQ$1001,MATCH(ROWS($U$2:U596),$U$2:$U$1001,0),MATCH(COLUMNS($AB$1006:AJ1006),$AB$1006:$AQ$1006,0)), HYPERLINK("#",""), HYPERLINK(CONCATENATE("#Metadata!", ADDRESS(INDEX($W$2:$W$1001,MATCH(ROWS($U$2:U596),$U$2:$U$1001,0),0), INDEX($AB$1004:$AQ$1004,1,MATCH(COLUMNS($AB$1006:AJ1006),$AB$1006:$AQ$1006,0)))),"Fix")))</f>
        <v>0</v>
      </c>
      <c r="K596" s="5">
        <f>IF(OR(INDEX($V$2:$V$1001,MATCH(ROWS($U$2:U596),$U$2:$U$1001,0),1)&gt;=100000,INDEX($AB$1005:$AQ$1005,1,MATCH(COLUMNS($AB$1006:AK1006),$AB$1006:$AQ$1006,0))&gt;=100000), " ",IF(INDEX($AB$2:$AQ$1001,MATCH(ROWS($U$2:U596),$U$2:$U$1001,0),MATCH(COLUMNS($AB$1006:AK1006),$AB$1006:$AQ$1006,0)), HYPERLINK("#",""), HYPERLINK(CONCATENATE("#Metadata!", ADDRESS(INDEX($W$2:$W$1001,MATCH(ROWS($U$2:U596),$U$2:$U$1001,0),0), INDEX($AB$1004:$AQ$1004,1,MATCH(COLUMNS($AB$1006:AK1006),$AB$1006:$AQ$1006,0)))),"Fix")))</f>
        <v>0</v>
      </c>
      <c r="L596" s="5">
        <f>IF(OR(INDEX($V$2:$V$1001,MATCH(ROWS($U$2:U596),$U$2:$U$1001,0),1)&gt;=100000,INDEX($AB$1005:$AQ$1005,1,MATCH(COLUMNS($AB$1006:AL1006),$AB$1006:$AQ$1006,0))&gt;=100000), " ",IF(INDEX($AB$2:$AQ$1001,MATCH(ROWS($U$2:U596),$U$2:$U$1001,0),MATCH(COLUMNS($AB$1006:AL1006),$AB$1006:$AQ$1006,0)), HYPERLINK("#",""), HYPERLINK(CONCATENATE("#Metadata!", ADDRESS(INDEX($W$2:$W$1001,MATCH(ROWS($U$2:U596),$U$2:$U$1001,0),0), INDEX($AB$1004:$AQ$1004,1,MATCH(COLUMNS($AB$1006:AL1006),$AB$1006:$AQ$1006,0)))),"Fix")))</f>
        <v>0</v>
      </c>
      <c r="M596" s="5">
        <f>IF(OR(INDEX($V$2:$V$1001,MATCH(ROWS($U$2:U596),$U$2:$U$1001,0),1)&gt;=100000,INDEX($AB$1005:$AQ$1005,1,MATCH(COLUMNS($AB$1006:AM1006),$AB$1006:$AQ$1006,0))&gt;=100000), " ",IF(INDEX($AB$2:$AQ$1001,MATCH(ROWS($U$2:U596),$U$2:$U$1001,0),MATCH(COLUMNS($AB$1006:AM1006),$AB$1006:$AQ$1006,0)), HYPERLINK("#",""), HYPERLINK(CONCATENATE("#Metadata!", ADDRESS(INDEX($W$2:$W$1001,MATCH(ROWS($U$2:U596),$U$2:$U$1001,0),0), INDEX($AB$1004:$AQ$1004,1,MATCH(COLUMNS($AB$1006:AM1006),$AB$1006:$AQ$1006,0)))),"Fix")))</f>
        <v>0</v>
      </c>
      <c r="N596" s="5">
        <f>IF(OR(INDEX($V$2:$V$1001,MATCH(ROWS($U$2:U596),$U$2:$U$1001,0),1)&gt;=100000,INDEX($AB$1005:$AQ$1005,1,MATCH(COLUMNS($AB$1006:AN1006),$AB$1006:$AQ$1006,0))&gt;=100000), " ",IF(INDEX($AB$2:$AQ$1001,MATCH(ROWS($U$2:U596),$U$2:$U$1001,0),MATCH(COLUMNS($AB$1006:AN1006),$AB$1006:$AQ$1006,0)), HYPERLINK("#",""), HYPERLINK(CONCATENATE("#Metadata!", ADDRESS(INDEX($W$2:$W$1001,MATCH(ROWS($U$2:U596),$U$2:$U$1001,0),0), INDEX($AB$1004:$AQ$1004,1,MATCH(COLUMNS($AB$1006:AN1006),$AB$1006:$AQ$1006,0)))),"Fix")))</f>
        <v>0</v>
      </c>
      <c r="O596" s="5">
        <f>IF(OR(INDEX($V$2:$V$1001,MATCH(ROWS($U$2:U596),$U$2:$U$1001,0),1)&gt;=100000,INDEX($AB$1005:$AQ$1005,1,MATCH(COLUMNS($AB$1006:AO1006),$AB$1006:$AQ$1006,0))&gt;=100000), " ",IF(INDEX($AB$2:$AQ$1001,MATCH(ROWS($U$2:U596),$U$2:$U$1001,0),MATCH(COLUMNS($AB$1006:AO1006),$AB$1006:$AQ$1006,0)), HYPERLINK("#",""), HYPERLINK(CONCATENATE("#Metadata!", ADDRESS(INDEX($W$2:$W$1001,MATCH(ROWS($U$2:U596),$U$2:$U$1001,0),0), INDEX($AB$1004:$AQ$1004,1,MATCH(COLUMNS($AB$1006:AO1006),$AB$1006:$AQ$1006,0)))),"Fix")))</f>
        <v>0</v>
      </c>
      <c r="P596" s="5">
        <f>IF(OR(INDEX($V$2:$V$1001,MATCH(ROWS($U$2:U596),$U$2:$U$1001,0),1)&gt;=100000,INDEX($AB$1005:$AQ$1005,1,MATCH(COLUMNS($AB$1006:AP1006),$AB$1006:$AQ$1006,0))&gt;=100000), " ",IF(INDEX($AB$2:$AQ$1001,MATCH(ROWS($U$2:U596),$U$2:$U$1001,0),MATCH(COLUMNS($AB$1006:AP1006),$AB$1006:$AQ$1006,0)), HYPERLINK("#",""), HYPERLINK(CONCATENATE("#Metadata!", ADDRESS(INDEX($W$2:$W$1001,MATCH(ROWS($U$2:U596),$U$2:$U$1001,0),0), INDEX($AB$1004:$AQ$1004,1,MATCH(COLUMNS($AB$1006:AP1006),$AB$1006:$AQ$1006,0)))),"Fix")))</f>
        <v>0</v>
      </c>
      <c r="Q596" s="5">
        <f>IF(OR(INDEX($V$2:$V$1001,MATCH(ROWS($U$2:U596),$U$2:$U$1001,0),1)&gt;=100000,INDEX($AB$1005:$AQ$1005,1,MATCH(COLUMNS($AB$1006:AQ1006),$AB$1006:$AQ$1006,0))&gt;=100000), " ",IF(INDEX($AB$2:$AQ$1001,MATCH(ROWS($U$2:U596),$U$2:$U$1001,0),MATCH(COLUMNS($AB$1006:AQ1006),$AB$1006:$AQ$1006,0)), HYPERLINK("#",""), HYPERLINK(CONCATENATE("#Metadata!", ADDRESS(INDEX($W$2:$W$1001,MATCH(ROWS($U$2:U596),$U$2:$U$1001,0),0), INDEX($AB$1004:$AQ$1004,1,MATCH(COLUMNS($AB$1006:AQ1006),$AB$1006:$AQ$1006,0)))),"Fix")))</f>
        <v>0</v>
      </c>
      <c r="U596">
        <v>0</v>
      </c>
      <c r="V596">
        <v>0</v>
      </c>
      <c r="W596">
        <v>0</v>
      </c>
      <c r="X596">
        <f>IF(Y596,TRUE,AND(AB596:AQ596))</f>
        <v>0</v>
      </c>
      <c r="Y596">
        <f>COUNTBLANK(Metadata!B596:Q596)=COLUMNS(Metadata!B596:Q596)</f>
        <v>0</v>
      </c>
      <c r="Z596">
        <v>0</v>
      </c>
      <c r="AB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AC596">
        <f>AND(IF(Metadata!C596="",FALSE,TRUE),exact(Metadata!C596,"urban biome"))</f>
        <v>0</v>
      </c>
      <c r="AD596">
        <f>AND(IF(Metadata!D596="",FALSE,TRUE),exact(Metadata!D596,"human-associated habitat"))</f>
        <v>0</v>
      </c>
      <c r="AE596">
        <f>AND(IF(Metadata!E596="",FALSE,TRUE),OR(exact(Metadata!E596,"human-associated"),exact(Metadata!E596,"human-skin"),exact(Metadata!E596,"human-oral"),exact(Metadata!E596,"human-gut"),exact(Metadata!E596,"human-vaginal")))</f>
        <v>0</v>
      </c>
      <c r="AF596">
        <f>AND(IF(Metadata!F596="",FALSE,ISNUMBER(VALUE(Metadata!F596))),Metadata!F596&gt;0)</f>
        <v>0</v>
      </c>
      <c r="AG596">
        <f>AND(IF(Metadata!G596="",FALSE,TRUE),exact(Metadata!G596,"years"))</f>
        <v>0</v>
      </c>
      <c r="AH596">
        <f>OR(AND(IF(Metadata!H596="",FALSE,TRUE),OR(exact(Metadata!H596,"not applicable"),exact(Metadata!H596,"not collected"),exact(Metadata!H596,"not provided"),exact(Metadata!H596,"restricted access"))),AND(IF(Metadata!H596="",FALSE,ISNUMBER(VALUE(Metadata!H596))),Metadata!H596&gt;0))</f>
        <v>0</v>
      </c>
      <c r="AI596">
        <f>AND(IF(Metadata!I596="",FALSE,TRUE),exact(Metadata!I596,"human"))</f>
        <v>0</v>
      </c>
      <c r="AJ596">
        <f>AND(IF(Metadata!J596="",FALSE,ISNUMBER(VALUE(Metadata!J596))),Metadata!J596&gt;0)</f>
        <v>0</v>
      </c>
      <c r="AK596">
        <f>AND(IF(Metadata!K596="",FALSE,TRUE),exact(Metadata!K596,"cm"))</f>
        <v>0</v>
      </c>
      <c r="AL596">
        <f>AND(IF(Metadata!L596="",FALSE,TRUE),exact(Metadata!L596,"Homo sapiens"))</f>
        <v>0</v>
      </c>
      <c r="AM596">
        <f>AND(IF(Metadata!M596="",FALSE,TRUE),exact(Metadata!M596,"9606"))</f>
        <v>0</v>
      </c>
      <c r="AN596">
        <f>AND(IF(Metadata!N596="",FALSE,ISNUMBER(VALUE(Metadata!N596))),Metadata!N596&gt;0)</f>
        <v>0</v>
      </c>
      <c r="AO596">
        <f>AND(IF(Metadata!O596="",FALSE,TRUE),exact(Metadata!O596,"kg"))</f>
        <v>0</v>
      </c>
      <c r="AP596">
        <f>OR(AND(IF(Metadata!P596="",FALSE,TRUE),exact(Metadata!P596,"not provided")),IF(Metadata!P596="",FALSE,TRUE))</f>
        <v>0</v>
      </c>
      <c r="AQ596">
        <f>OR(AND(IF(Metadata!Q596="",FALSE,TRUE),exact(Metadata!Q596,"not provided")),IF(Metadata!Q596="",FALSE,TRUE))</f>
        <v>0</v>
      </c>
    </row>
    <row r="597" spans="1:43">
      <c r="A597" s="4">
        <f>IF(B597=" "," ",HYPERLINK(CONCATENATE("#metadata!",ADDRESS(INDEX($W$2:$W$1001,MATCH(ROWS($U$2:U597),$U$2:$U$1001,0),0),2)),INDEX($Z$2:$Z$1001,MATCH(ROWS($U$2:U597),$U$2:$U$1001,0),0)))</f>
        <v>0</v>
      </c>
      <c r="B597" s="5">
        <f>IF(OR(INDEX($V$2:$V$1001,MATCH(ROWS($U$2:U597),$U$2:$U$1001,0),1)&gt;=100000,INDEX($AB$1005:$AQ$1005,1,MATCH(COLUMNS($AB$1006:AB1006),$AB$1006:$AQ$1006,0))&gt;=100000), " ",IF(INDEX($AB$2:$AQ$1001,MATCH(ROWS($U$2:U597),$U$2:$U$1001,0),MATCH(COLUMNS($AB$1006:AB1006),$AB$1006:$AQ$1006,0)), HYPERLINK("#",""), HYPERLINK(CONCATENATE("#Metadata!", ADDRESS(INDEX($W$2:$W$1001,MATCH(ROWS($U$2:U597),$U$2:$U$1001,0),0), INDEX($AB$1004:$AQ$1004,1,MATCH(COLUMNS($AB$1006:AB1006),$AB$1006:$AQ$1006,0)))),"Fix")))</f>
        <v>0</v>
      </c>
      <c r="C597" s="5">
        <f>IF(OR(INDEX($V$2:$V$1001,MATCH(ROWS($U$2:U597),$U$2:$U$1001,0),1)&gt;=100000,INDEX($AB$1005:$AQ$1005,1,MATCH(COLUMNS($AB$1006:AC1006),$AB$1006:$AQ$1006,0))&gt;=100000), " ",IF(INDEX($AB$2:$AQ$1001,MATCH(ROWS($U$2:U597),$U$2:$U$1001,0),MATCH(COLUMNS($AB$1006:AC1006),$AB$1006:$AQ$1006,0)), HYPERLINK("#",""), HYPERLINK(CONCATENATE("#Metadata!", ADDRESS(INDEX($W$2:$W$1001,MATCH(ROWS($U$2:U597),$U$2:$U$1001,0),0), INDEX($AB$1004:$AQ$1004,1,MATCH(COLUMNS($AB$1006:AC1006),$AB$1006:$AQ$1006,0)))),"Fix")))</f>
        <v>0</v>
      </c>
      <c r="D597" s="5">
        <f>IF(OR(INDEX($V$2:$V$1001,MATCH(ROWS($U$2:U597),$U$2:$U$1001,0),1)&gt;=100000,INDEX($AB$1005:$AQ$1005,1,MATCH(COLUMNS($AB$1006:AD1006),$AB$1006:$AQ$1006,0))&gt;=100000), " ",IF(INDEX($AB$2:$AQ$1001,MATCH(ROWS($U$2:U597),$U$2:$U$1001,0),MATCH(COLUMNS($AB$1006:AD1006),$AB$1006:$AQ$1006,0)), HYPERLINK("#",""), HYPERLINK(CONCATENATE("#Metadata!", ADDRESS(INDEX($W$2:$W$1001,MATCH(ROWS($U$2:U597),$U$2:$U$1001,0),0), INDEX($AB$1004:$AQ$1004,1,MATCH(COLUMNS($AB$1006:AD1006),$AB$1006:$AQ$1006,0)))),"Fix")))</f>
        <v>0</v>
      </c>
      <c r="E597" s="5">
        <f>IF(OR(INDEX($V$2:$V$1001,MATCH(ROWS($U$2:U597),$U$2:$U$1001,0),1)&gt;=100000,INDEX($AB$1005:$AQ$1005,1,MATCH(COLUMNS($AB$1006:AE1006),$AB$1006:$AQ$1006,0))&gt;=100000), " ",IF(INDEX($AB$2:$AQ$1001,MATCH(ROWS($U$2:U597),$U$2:$U$1001,0),MATCH(COLUMNS($AB$1006:AE1006),$AB$1006:$AQ$1006,0)), HYPERLINK("#",""), HYPERLINK(CONCATENATE("#Metadata!", ADDRESS(INDEX($W$2:$W$1001,MATCH(ROWS($U$2:U597),$U$2:$U$1001,0),0), INDEX($AB$1004:$AQ$1004,1,MATCH(COLUMNS($AB$1006:AE1006),$AB$1006:$AQ$1006,0)))),"Fix")))</f>
        <v>0</v>
      </c>
      <c r="F597" s="5">
        <f>IF(OR(INDEX($V$2:$V$1001,MATCH(ROWS($U$2:U597),$U$2:$U$1001,0),1)&gt;=100000,INDEX($AB$1005:$AQ$1005,1,MATCH(COLUMNS($AB$1006:AF1006),$AB$1006:$AQ$1006,0))&gt;=100000), " ",IF(INDEX($AB$2:$AQ$1001,MATCH(ROWS($U$2:U597),$U$2:$U$1001,0),MATCH(COLUMNS($AB$1006:AF1006),$AB$1006:$AQ$1006,0)), HYPERLINK("#",""), HYPERLINK(CONCATENATE("#Metadata!", ADDRESS(INDEX($W$2:$W$1001,MATCH(ROWS($U$2:U597),$U$2:$U$1001,0),0), INDEX($AB$1004:$AQ$1004,1,MATCH(COLUMNS($AB$1006:AF1006),$AB$1006:$AQ$1006,0)))),"Fix")))</f>
        <v>0</v>
      </c>
      <c r="G597" s="5">
        <f>IF(OR(INDEX($V$2:$V$1001,MATCH(ROWS($U$2:U597),$U$2:$U$1001,0),1)&gt;=100000,INDEX($AB$1005:$AQ$1005,1,MATCH(COLUMNS($AB$1006:AG1006),$AB$1006:$AQ$1006,0))&gt;=100000), " ",IF(INDEX($AB$2:$AQ$1001,MATCH(ROWS($U$2:U597),$U$2:$U$1001,0),MATCH(COLUMNS($AB$1006:AG1006),$AB$1006:$AQ$1006,0)), HYPERLINK("#",""), HYPERLINK(CONCATENATE("#Metadata!", ADDRESS(INDEX($W$2:$W$1001,MATCH(ROWS($U$2:U597),$U$2:$U$1001,0),0), INDEX($AB$1004:$AQ$1004,1,MATCH(COLUMNS($AB$1006:AG1006),$AB$1006:$AQ$1006,0)))),"Fix")))</f>
        <v>0</v>
      </c>
      <c r="H597" s="5">
        <f>IF(OR(INDEX($V$2:$V$1001,MATCH(ROWS($U$2:U597),$U$2:$U$1001,0),1)&gt;=100000,INDEX($AB$1005:$AQ$1005,1,MATCH(COLUMNS($AB$1006:AH1006),$AB$1006:$AQ$1006,0))&gt;=100000), " ",IF(INDEX($AB$2:$AQ$1001,MATCH(ROWS($U$2:U597),$U$2:$U$1001,0),MATCH(COLUMNS($AB$1006:AH1006),$AB$1006:$AQ$1006,0)), HYPERLINK("#",""), HYPERLINK(CONCATENATE("#Metadata!", ADDRESS(INDEX($W$2:$W$1001,MATCH(ROWS($U$2:U597),$U$2:$U$1001,0),0), INDEX($AB$1004:$AQ$1004,1,MATCH(COLUMNS($AB$1006:AH1006),$AB$1006:$AQ$1006,0)))),"Fix")))</f>
        <v>0</v>
      </c>
      <c r="I597" s="5">
        <f>IF(OR(INDEX($V$2:$V$1001,MATCH(ROWS($U$2:U597),$U$2:$U$1001,0),1)&gt;=100000,INDEX($AB$1005:$AQ$1005,1,MATCH(COLUMNS($AB$1006:AI1006),$AB$1006:$AQ$1006,0))&gt;=100000), " ",IF(INDEX($AB$2:$AQ$1001,MATCH(ROWS($U$2:U597),$U$2:$U$1001,0),MATCH(COLUMNS($AB$1006:AI1006),$AB$1006:$AQ$1006,0)), HYPERLINK("#",""), HYPERLINK(CONCATENATE("#Metadata!", ADDRESS(INDEX($W$2:$W$1001,MATCH(ROWS($U$2:U597),$U$2:$U$1001,0),0), INDEX($AB$1004:$AQ$1004,1,MATCH(COLUMNS($AB$1006:AI1006),$AB$1006:$AQ$1006,0)))),"Fix")))</f>
        <v>0</v>
      </c>
      <c r="J597" s="5">
        <f>IF(OR(INDEX($V$2:$V$1001,MATCH(ROWS($U$2:U597),$U$2:$U$1001,0),1)&gt;=100000,INDEX($AB$1005:$AQ$1005,1,MATCH(COLUMNS($AB$1006:AJ1006),$AB$1006:$AQ$1006,0))&gt;=100000), " ",IF(INDEX($AB$2:$AQ$1001,MATCH(ROWS($U$2:U597),$U$2:$U$1001,0),MATCH(COLUMNS($AB$1006:AJ1006),$AB$1006:$AQ$1006,0)), HYPERLINK("#",""), HYPERLINK(CONCATENATE("#Metadata!", ADDRESS(INDEX($W$2:$W$1001,MATCH(ROWS($U$2:U597),$U$2:$U$1001,0),0), INDEX($AB$1004:$AQ$1004,1,MATCH(COLUMNS($AB$1006:AJ1006),$AB$1006:$AQ$1006,0)))),"Fix")))</f>
        <v>0</v>
      </c>
      <c r="K597" s="5">
        <f>IF(OR(INDEX($V$2:$V$1001,MATCH(ROWS($U$2:U597),$U$2:$U$1001,0),1)&gt;=100000,INDEX($AB$1005:$AQ$1005,1,MATCH(COLUMNS($AB$1006:AK1006),$AB$1006:$AQ$1006,0))&gt;=100000), " ",IF(INDEX($AB$2:$AQ$1001,MATCH(ROWS($U$2:U597),$U$2:$U$1001,0),MATCH(COLUMNS($AB$1006:AK1006),$AB$1006:$AQ$1006,0)), HYPERLINK("#",""), HYPERLINK(CONCATENATE("#Metadata!", ADDRESS(INDEX($W$2:$W$1001,MATCH(ROWS($U$2:U597),$U$2:$U$1001,0),0), INDEX($AB$1004:$AQ$1004,1,MATCH(COLUMNS($AB$1006:AK1006),$AB$1006:$AQ$1006,0)))),"Fix")))</f>
        <v>0</v>
      </c>
      <c r="L597" s="5">
        <f>IF(OR(INDEX($V$2:$V$1001,MATCH(ROWS($U$2:U597),$U$2:$U$1001,0),1)&gt;=100000,INDEX($AB$1005:$AQ$1005,1,MATCH(COLUMNS($AB$1006:AL1006),$AB$1006:$AQ$1006,0))&gt;=100000), " ",IF(INDEX($AB$2:$AQ$1001,MATCH(ROWS($U$2:U597),$U$2:$U$1001,0),MATCH(COLUMNS($AB$1006:AL1006),$AB$1006:$AQ$1006,0)), HYPERLINK("#",""), HYPERLINK(CONCATENATE("#Metadata!", ADDRESS(INDEX($W$2:$W$1001,MATCH(ROWS($U$2:U597),$U$2:$U$1001,0),0), INDEX($AB$1004:$AQ$1004,1,MATCH(COLUMNS($AB$1006:AL1006),$AB$1006:$AQ$1006,0)))),"Fix")))</f>
        <v>0</v>
      </c>
      <c r="M597" s="5">
        <f>IF(OR(INDEX($V$2:$V$1001,MATCH(ROWS($U$2:U597),$U$2:$U$1001,0),1)&gt;=100000,INDEX($AB$1005:$AQ$1005,1,MATCH(COLUMNS($AB$1006:AM1006),$AB$1006:$AQ$1006,0))&gt;=100000), " ",IF(INDEX($AB$2:$AQ$1001,MATCH(ROWS($U$2:U597),$U$2:$U$1001,0),MATCH(COLUMNS($AB$1006:AM1006),$AB$1006:$AQ$1006,0)), HYPERLINK("#",""), HYPERLINK(CONCATENATE("#Metadata!", ADDRESS(INDEX($W$2:$W$1001,MATCH(ROWS($U$2:U597),$U$2:$U$1001,0),0), INDEX($AB$1004:$AQ$1004,1,MATCH(COLUMNS($AB$1006:AM1006),$AB$1006:$AQ$1006,0)))),"Fix")))</f>
        <v>0</v>
      </c>
      <c r="N597" s="5">
        <f>IF(OR(INDEX($V$2:$V$1001,MATCH(ROWS($U$2:U597),$U$2:$U$1001,0),1)&gt;=100000,INDEX($AB$1005:$AQ$1005,1,MATCH(COLUMNS($AB$1006:AN1006),$AB$1006:$AQ$1006,0))&gt;=100000), " ",IF(INDEX($AB$2:$AQ$1001,MATCH(ROWS($U$2:U597),$U$2:$U$1001,0),MATCH(COLUMNS($AB$1006:AN1006),$AB$1006:$AQ$1006,0)), HYPERLINK("#",""), HYPERLINK(CONCATENATE("#Metadata!", ADDRESS(INDEX($W$2:$W$1001,MATCH(ROWS($U$2:U597),$U$2:$U$1001,0),0), INDEX($AB$1004:$AQ$1004,1,MATCH(COLUMNS($AB$1006:AN1006),$AB$1006:$AQ$1006,0)))),"Fix")))</f>
        <v>0</v>
      </c>
      <c r="O597" s="5">
        <f>IF(OR(INDEX($V$2:$V$1001,MATCH(ROWS($U$2:U597),$U$2:$U$1001,0),1)&gt;=100000,INDEX($AB$1005:$AQ$1005,1,MATCH(COLUMNS($AB$1006:AO1006),$AB$1006:$AQ$1006,0))&gt;=100000), " ",IF(INDEX($AB$2:$AQ$1001,MATCH(ROWS($U$2:U597),$U$2:$U$1001,0),MATCH(COLUMNS($AB$1006:AO1006),$AB$1006:$AQ$1006,0)), HYPERLINK("#",""), HYPERLINK(CONCATENATE("#Metadata!", ADDRESS(INDEX($W$2:$W$1001,MATCH(ROWS($U$2:U597),$U$2:$U$1001,0),0), INDEX($AB$1004:$AQ$1004,1,MATCH(COLUMNS($AB$1006:AO1006),$AB$1006:$AQ$1006,0)))),"Fix")))</f>
        <v>0</v>
      </c>
      <c r="P597" s="5">
        <f>IF(OR(INDEX($V$2:$V$1001,MATCH(ROWS($U$2:U597),$U$2:$U$1001,0),1)&gt;=100000,INDEX($AB$1005:$AQ$1005,1,MATCH(COLUMNS($AB$1006:AP1006),$AB$1006:$AQ$1006,0))&gt;=100000), " ",IF(INDEX($AB$2:$AQ$1001,MATCH(ROWS($U$2:U597),$U$2:$U$1001,0),MATCH(COLUMNS($AB$1006:AP1006),$AB$1006:$AQ$1006,0)), HYPERLINK("#",""), HYPERLINK(CONCATENATE("#Metadata!", ADDRESS(INDEX($W$2:$W$1001,MATCH(ROWS($U$2:U597),$U$2:$U$1001,0),0), INDEX($AB$1004:$AQ$1004,1,MATCH(COLUMNS($AB$1006:AP1006),$AB$1006:$AQ$1006,0)))),"Fix")))</f>
        <v>0</v>
      </c>
      <c r="Q597" s="5">
        <f>IF(OR(INDEX($V$2:$V$1001,MATCH(ROWS($U$2:U597),$U$2:$U$1001,0),1)&gt;=100000,INDEX($AB$1005:$AQ$1005,1,MATCH(COLUMNS($AB$1006:AQ1006),$AB$1006:$AQ$1006,0))&gt;=100000), " ",IF(INDEX($AB$2:$AQ$1001,MATCH(ROWS($U$2:U597),$U$2:$U$1001,0),MATCH(COLUMNS($AB$1006:AQ1006),$AB$1006:$AQ$1006,0)), HYPERLINK("#",""), HYPERLINK(CONCATENATE("#Metadata!", ADDRESS(INDEX($W$2:$W$1001,MATCH(ROWS($U$2:U597),$U$2:$U$1001,0),0), INDEX($AB$1004:$AQ$1004,1,MATCH(COLUMNS($AB$1006:AQ1006),$AB$1006:$AQ$1006,0)))),"Fix")))</f>
        <v>0</v>
      </c>
      <c r="U597">
        <v>0</v>
      </c>
      <c r="V597">
        <v>0</v>
      </c>
      <c r="W597">
        <v>0</v>
      </c>
      <c r="X597">
        <f>IF(Y597,TRUE,AND(AB597:AQ597))</f>
        <v>0</v>
      </c>
      <c r="Y597">
        <f>COUNTBLANK(Metadata!B597:Q597)=COLUMNS(Metadata!B597:Q597)</f>
        <v>0</v>
      </c>
      <c r="Z597">
        <v>0</v>
      </c>
      <c r="AB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AC597">
        <f>AND(IF(Metadata!C597="",FALSE,TRUE),exact(Metadata!C597,"urban biome"))</f>
        <v>0</v>
      </c>
      <c r="AD597">
        <f>AND(IF(Metadata!D597="",FALSE,TRUE),exact(Metadata!D597,"human-associated habitat"))</f>
        <v>0</v>
      </c>
      <c r="AE597">
        <f>AND(IF(Metadata!E597="",FALSE,TRUE),OR(exact(Metadata!E597,"human-associated"),exact(Metadata!E597,"human-skin"),exact(Metadata!E597,"human-oral"),exact(Metadata!E597,"human-gut"),exact(Metadata!E597,"human-vaginal")))</f>
        <v>0</v>
      </c>
      <c r="AF597">
        <f>AND(IF(Metadata!F597="",FALSE,ISNUMBER(VALUE(Metadata!F597))),Metadata!F597&gt;0)</f>
        <v>0</v>
      </c>
      <c r="AG597">
        <f>AND(IF(Metadata!G597="",FALSE,TRUE),exact(Metadata!G597,"years"))</f>
        <v>0</v>
      </c>
      <c r="AH597">
        <f>OR(AND(IF(Metadata!H597="",FALSE,TRUE),OR(exact(Metadata!H597,"not applicable"),exact(Metadata!H597,"not collected"),exact(Metadata!H597,"not provided"),exact(Metadata!H597,"restricted access"))),AND(IF(Metadata!H597="",FALSE,ISNUMBER(VALUE(Metadata!H597))),Metadata!H597&gt;0))</f>
        <v>0</v>
      </c>
      <c r="AI597">
        <f>AND(IF(Metadata!I597="",FALSE,TRUE),exact(Metadata!I597,"human"))</f>
        <v>0</v>
      </c>
      <c r="AJ597">
        <f>AND(IF(Metadata!J597="",FALSE,ISNUMBER(VALUE(Metadata!J597))),Metadata!J597&gt;0)</f>
        <v>0</v>
      </c>
      <c r="AK597">
        <f>AND(IF(Metadata!K597="",FALSE,TRUE),exact(Metadata!K597,"cm"))</f>
        <v>0</v>
      </c>
      <c r="AL597">
        <f>AND(IF(Metadata!L597="",FALSE,TRUE),exact(Metadata!L597,"Homo sapiens"))</f>
        <v>0</v>
      </c>
      <c r="AM597">
        <f>AND(IF(Metadata!M597="",FALSE,TRUE),exact(Metadata!M597,"9606"))</f>
        <v>0</v>
      </c>
      <c r="AN597">
        <f>AND(IF(Metadata!N597="",FALSE,ISNUMBER(VALUE(Metadata!N597))),Metadata!N597&gt;0)</f>
        <v>0</v>
      </c>
      <c r="AO597">
        <f>AND(IF(Metadata!O597="",FALSE,TRUE),exact(Metadata!O597,"kg"))</f>
        <v>0</v>
      </c>
      <c r="AP597">
        <f>OR(AND(IF(Metadata!P597="",FALSE,TRUE),exact(Metadata!P597,"not provided")),IF(Metadata!P597="",FALSE,TRUE))</f>
        <v>0</v>
      </c>
      <c r="AQ597">
        <f>OR(AND(IF(Metadata!Q597="",FALSE,TRUE),exact(Metadata!Q597,"not provided")),IF(Metadata!Q597="",FALSE,TRUE))</f>
        <v>0</v>
      </c>
    </row>
    <row r="598" spans="1:43">
      <c r="A598" s="4">
        <f>IF(B598=" "," ",HYPERLINK(CONCATENATE("#metadata!",ADDRESS(INDEX($W$2:$W$1001,MATCH(ROWS($U$2:U598),$U$2:$U$1001,0),0),2)),INDEX($Z$2:$Z$1001,MATCH(ROWS($U$2:U598),$U$2:$U$1001,0),0)))</f>
        <v>0</v>
      </c>
      <c r="B598" s="5">
        <f>IF(OR(INDEX($V$2:$V$1001,MATCH(ROWS($U$2:U598),$U$2:$U$1001,0),1)&gt;=100000,INDEX($AB$1005:$AQ$1005,1,MATCH(COLUMNS($AB$1006:AB1006),$AB$1006:$AQ$1006,0))&gt;=100000), " ",IF(INDEX($AB$2:$AQ$1001,MATCH(ROWS($U$2:U598),$U$2:$U$1001,0),MATCH(COLUMNS($AB$1006:AB1006),$AB$1006:$AQ$1006,0)), HYPERLINK("#",""), HYPERLINK(CONCATENATE("#Metadata!", ADDRESS(INDEX($W$2:$W$1001,MATCH(ROWS($U$2:U598),$U$2:$U$1001,0),0), INDEX($AB$1004:$AQ$1004,1,MATCH(COLUMNS($AB$1006:AB1006),$AB$1006:$AQ$1006,0)))),"Fix")))</f>
        <v>0</v>
      </c>
      <c r="C598" s="5">
        <f>IF(OR(INDEX($V$2:$V$1001,MATCH(ROWS($U$2:U598),$U$2:$U$1001,0),1)&gt;=100000,INDEX($AB$1005:$AQ$1005,1,MATCH(COLUMNS($AB$1006:AC1006),$AB$1006:$AQ$1006,0))&gt;=100000), " ",IF(INDEX($AB$2:$AQ$1001,MATCH(ROWS($U$2:U598),$U$2:$U$1001,0),MATCH(COLUMNS($AB$1006:AC1006),$AB$1006:$AQ$1006,0)), HYPERLINK("#",""), HYPERLINK(CONCATENATE("#Metadata!", ADDRESS(INDEX($W$2:$W$1001,MATCH(ROWS($U$2:U598),$U$2:$U$1001,0),0), INDEX($AB$1004:$AQ$1004,1,MATCH(COLUMNS($AB$1006:AC1006),$AB$1006:$AQ$1006,0)))),"Fix")))</f>
        <v>0</v>
      </c>
      <c r="D598" s="5">
        <f>IF(OR(INDEX($V$2:$V$1001,MATCH(ROWS($U$2:U598),$U$2:$U$1001,0),1)&gt;=100000,INDEX($AB$1005:$AQ$1005,1,MATCH(COLUMNS($AB$1006:AD1006),$AB$1006:$AQ$1006,0))&gt;=100000), " ",IF(INDEX($AB$2:$AQ$1001,MATCH(ROWS($U$2:U598),$U$2:$U$1001,0),MATCH(COLUMNS($AB$1006:AD1006),$AB$1006:$AQ$1006,0)), HYPERLINK("#",""), HYPERLINK(CONCATENATE("#Metadata!", ADDRESS(INDEX($W$2:$W$1001,MATCH(ROWS($U$2:U598),$U$2:$U$1001,0),0), INDEX($AB$1004:$AQ$1004,1,MATCH(COLUMNS($AB$1006:AD1006),$AB$1006:$AQ$1006,0)))),"Fix")))</f>
        <v>0</v>
      </c>
      <c r="E598" s="5">
        <f>IF(OR(INDEX($V$2:$V$1001,MATCH(ROWS($U$2:U598),$U$2:$U$1001,0),1)&gt;=100000,INDEX($AB$1005:$AQ$1005,1,MATCH(COLUMNS($AB$1006:AE1006),$AB$1006:$AQ$1006,0))&gt;=100000), " ",IF(INDEX($AB$2:$AQ$1001,MATCH(ROWS($U$2:U598),$U$2:$U$1001,0),MATCH(COLUMNS($AB$1006:AE1006),$AB$1006:$AQ$1006,0)), HYPERLINK("#",""), HYPERLINK(CONCATENATE("#Metadata!", ADDRESS(INDEX($W$2:$W$1001,MATCH(ROWS($U$2:U598),$U$2:$U$1001,0),0), INDEX($AB$1004:$AQ$1004,1,MATCH(COLUMNS($AB$1006:AE1006),$AB$1006:$AQ$1006,0)))),"Fix")))</f>
        <v>0</v>
      </c>
      <c r="F598" s="5">
        <f>IF(OR(INDEX($V$2:$V$1001,MATCH(ROWS($U$2:U598),$U$2:$U$1001,0),1)&gt;=100000,INDEX($AB$1005:$AQ$1005,1,MATCH(COLUMNS($AB$1006:AF1006),$AB$1006:$AQ$1006,0))&gt;=100000), " ",IF(INDEX($AB$2:$AQ$1001,MATCH(ROWS($U$2:U598),$U$2:$U$1001,0),MATCH(COLUMNS($AB$1006:AF1006),$AB$1006:$AQ$1006,0)), HYPERLINK("#",""), HYPERLINK(CONCATENATE("#Metadata!", ADDRESS(INDEX($W$2:$W$1001,MATCH(ROWS($U$2:U598),$U$2:$U$1001,0),0), INDEX($AB$1004:$AQ$1004,1,MATCH(COLUMNS($AB$1006:AF1006),$AB$1006:$AQ$1006,0)))),"Fix")))</f>
        <v>0</v>
      </c>
      <c r="G598" s="5">
        <f>IF(OR(INDEX($V$2:$V$1001,MATCH(ROWS($U$2:U598),$U$2:$U$1001,0),1)&gt;=100000,INDEX($AB$1005:$AQ$1005,1,MATCH(COLUMNS($AB$1006:AG1006),$AB$1006:$AQ$1006,0))&gt;=100000), " ",IF(INDEX($AB$2:$AQ$1001,MATCH(ROWS($U$2:U598),$U$2:$U$1001,0),MATCH(COLUMNS($AB$1006:AG1006),$AB$1006:$AQ$1006,0)), HYPERLINK("#",""), HYPERLINK(CONCATENATE("#Metadata!", ADDRESS(INDEX($W$2:$W$1001,MATCH(ROWS($U$2:U598),$U$2:$U$1001,0),0), INDEX($AB$1004:$AQ$1004,1,MATCH(COLUMNS($AB$1006:AG1006),$AB$1006:$AQ$1006,0)))),"Fix")))</f>
        <v>0</v>
      </c>
      <c r="H598" s="5">
        <f>IF(OR(INDEX($V$2:$V$1001,MATCH(ROWS($U$2:U598),$U$2:$U$1001,0),1)&gt;=100000,INDEX($AB$1005:$AQ$1005,1,MATCH(COLUMNS($AB$1006:AH1006),$AB$1006:$AQ$1006,0))&gt;=100000), " ",IF(INDEX($AB$2:$AQ$1001,MATCH(ROWS($U$2:U598),$U$2:$U$1001,0),MATCH(COLUMNS($AB$1006:AH1006),$AB$1006:$AQ$1006,0)), HYPERLINK("#",""), HYPERLINK(CONCATENATE("#Metadata!", ADDRESS(INDEX($W$2:$W$1001,MATCH(ROWS($U$2:U598),$U$2:$U$1001,0),0), INDEX($AB$1004:$AQ$1004,1,MATCH(COLUMNS($AB$1006:AH1006),$AB$1006:$AQ$1006,0)))),"Fix")))</f>
        <v>0</v>
      </c>
      <c r="I598" s="5">
        <f>IF(OR(INDEX($V$2:$V$1001,MATCH(ROWS($U$2:U598),$U$2:$U$1001,0),1)&gt;=100000,INDEX($AB$1005:$AQ$1005,1,MATCH(COLUMNS($AB$1006:AI1006),$AB$1006:$AQ$1006,0))&gt;=100000), " ",IF(INDEX($AB$2:$AQ$1001,MATCH(ROWS($U$2:U598),$U$2:$U$1001,0),MATCH(COLUMNS($AB$1006:AI1006),$AB$1006:$AQ$1006,0)), HYPERLINK("#",""), HYPERLINK(CONCATENATE("#Metadata!", ADDRESS(INDEX($W$2:$W$1001,MATCH(ROWS($U$2:U598),$U$2:$U$1001,0),0), INDEX($AB$1004:$AQ$1004,1,MATCH(COLUMNS($AB$1006:AI1006),$AB$1006:$AQ$1006,0)))),"Fix")))</f>
        <v>0</v>
      </c>
      <c r="J598" s="5">
        <f>IF(OR(INDEX($V$2:$V$1001,MATCH(ROWS($U$2:U598),$U$2:$U$1001,0),1)&gt;=100000,INDEX($AB$1005:$AQ$1005,1,MATCH(COLUMNS($AB$1006:AJ1006),$AB$1006:$AQ$1006,0))&gt;=100000), " ",IF(INDEX($AB$2:$AQ$1001,MATCH(ROWS($U$2:U598),$U$2:$U$1001,0),MATCH(COLUMNS($AB$1006:AJ1006),$AB$1006:$AQ$1006,0)), HYPERLINK("#",""), HYPERLINK(CONCATENATE("#Metadata!", ADDRESS(INDEX($W$2:$W$1001,MATCH(ROWS($U$2:U598),$U$2:$U$1001,0),0), INDEX($AB$1004:$AQ$1004,1,MATCH(COLUMNS($AB$1006:AJ1006),$AB$1006:$AQ$1006,0)))),"Fix")))</f>
        <v>0</v>
      </c>
      <c r="K598" s="5">
        <f>IF(OR(INDEX($V$2:$V$1001,MATCH(ROWS($U$2:U598),$U$2:$U$1001,0),1)&gt;=100000,INDEX($AB$1005:$AQ$1005,1,MATCH(COLUMNS($AB$1006:AK1006),$AB$1006:$AQ$1006,0))&gt;=100000), " ",IF(INDEX($AB$2:$AQ$1001,MATCH(ROWS($U$2:U598),$U$2:$U$1001,0),MATCH(COLUMNS($AB$1006:AK1006),$AB$1006:$AQ$1006,0)), HYPERLINK("#",""), HYPERLINK(CONCATENATE("#Metadata!", ADDRESS(INDEX($W$2:$W$1001,MATCH(ROWS($U$2:U598),$U$2:$U$1001,0),0), INDEX($AB$1004:$AQ$1004,1,MATCH(COLUMNS($AB$1006:AK1006),$AB$1006:$AQ$1006,0)))),"Fix")))</f>
        <v>0</v>
      </c>
      <c r="L598" s="5">
        <f>IF(OR(INDEX($V$2:$V$1001,MATCH(ROWS($U$2:U598),$U$2:$U$1001,0),1)&gt;=100000,INDEX($AB$1005:$AQ$1005,1,MATCH(COLUMNS($AB$1006:AL1006),$AB$1006:$AQ$1006,0))&gt;=100000), " ",IF(INDEX($AB$2:$AQ$1001,MATCH(ROWS($U$2:U598),$U$2:$U$1001,0),MATCH(COLUMNS($AB$1006:AL1006),$AB$1006:$AQ$1006,0)), HYPERLINK("#",""), HYPERLINK(CONCATENATE("#Metadata!", ADDRESS(INDEX($W$2:$W$1001,MATCH(ROWS($U$2:U598),$U$2:$U$1001,0),0), INDEX($AB$1004:$AQ$1004,1,MATCH(COLUMNS($AB$1006:AL1006),$AB$1006:$AQ$1006,0)))),"Fix")))</f>
        <v>0</v>
      </c>
      <c r="M598" s="5">
        <f>IF(OR(INDEX($V$2:$V$1001,MATCH(ROWS($U$2:U598),$U$2:$U$1001,0),1)&gt;=100000,INDEX($AB$1005:$AQ$1005,1,MATCH(COLUMNS($AB$1006:AM1006),$AB$1006:$AQ$1006,0))&gt;=100000), " ",IF(INDEX($AB$2:$AQ$1001,MATCH(ROWS($U$2:U598),$U$2:$U$1001,0),MATCH(COLUMNS($AB$1006:AM1006),$AB$1006:$AQ$1006,0)), HYPERLINK("#",""), HYPERLINK(CONCATENATE("#Metadata!", ADDRESS(INDEX($W$2:$W$1001,MATCH(ROWS($U$2:U598),$U$2:$U$1001,0),0), INDEX($AB$1004:$AQ$1004,1,MATCH(COLUMNS($AB$1006:AM1006),$AB$1006:$AQ$1006,0)))),"Fix")))</f>
        <v>0</v>
      </c>
      <c r="N598" s="5">
        <f>IF(OR(INDEX($V$2:$V$1001,MATCH(ROWS($U$2:U598),$U$2:$U$1001,0),1)&gt;=100000,INDEX($AB$1005:$AQ$1005,1,MATCH(COLUMNS($AB$1006:AN1006),$AB$1006:$AQ$1006,0))&gt;=100000), " ",IF(INDEX($AB$2:$AQ$1001,MATCH(ROWS($U$2:U598),$U$2:$U$1001,0),MATCH(COLUMNS($AB$1006:AN1006),$AB$1006:$AQ$1006,0)), HYPERLINK("#",""), HYPERLINK(CONCATENATE("#Metadata!", ADDRESS(INDEX($W$2:$W$1001,MATCH(ROWS($U$2:U598),$U$2:$U$1001,0),0), INDEX($AB$1004:$AQ$1004,1,MATCH(COLUMNS($AB$1006:AN1006),$AB$1006:$AQ$1006,0)))),"Fix")))</f>
        <v>0</v>
      </c>
      <c r="O598" s="5">
        <f>IF(OR(INDEX($V$2:$V$1001,MATCH(ROWS($U$2:U598),$U$2:$U$1001,0),1)&gt;=100000,INDEX($AB$1005:$AQ$1005,1,MATCH(COLUMNS($AB$1006:AO1006),$AB$1006:$AQ$1006,0))&gt;=100000), " ",IF(INDEX($AB$2:$AQ$1001,MATCH(ROWS($U$2:U598),$U$2:$U$1001,0),MATCH(COLUMNS($AB$1006:AO1006),$AB$1006:$AQ$1006,0)), HYPERLINK("#",""), HYPERLINK(CONCATENATE("#Metadata!", ADDRESS(INDEX($W$2:$W$1001,MATCH(ROWS($U$2:U598),$U$2:$U$1001,0),0), INDEX($AB$1004:$AQ$1004,1,MATCH(COLUMNS($AB$1006:AO1006),$AB$1006:$AQ$1006,0)))),"Fix")))</f>
        <v>0</v>
      </c>
      <c r="P598" s="5">
        <f>IF(OR(INDEX($V$2:$V$1001,MATCH(ROWS($U$2:U598),$U$2:$U$1001,0),1)&gt;=100000,INDEX($AB$1005:$AQ$1005,1,MATCH(COLUMNS($AB$1006:AP1006),$AB$1006:$AQ$1006,0))&gt;=100000), " ",IF(INDEX($AB$2:$AQ$1001,MATCH(ROWS($U$2:U598),$U$2:$U$1001,0),MATCH(COLUMNS($AB$1006:AP1006),$AB$1006:$AQ$1006,0)), HYPERLINK("#",""), HYPERLINK(CONCATENATE("#Metadata!", ADDRESS(INDEX($W$2:$W$1001,MATCH(ROWS($U$2:U598),$U$2:$U$1001,0),0), INDEX($AB$1004:$AQ$1004,1,MATCH(COLUMNS($AB$1006:AP1006),$AB$1006:$AQ$1006,0)))),"Fix")))</f>
        <v>0</v>
      </c>
      <c r="Q598" s="5">
        <f>IF(OR(INDEX($V$2:$V$1001,MATCH(ROWS($U$2:U598),$U$2:$U$1001,0),1)&gt;=100000,INDEX($AB$1005:$AQ$1005,1,MATCH(COLUMNS($AB$1006:AQ1006),$AB$1006:$AQ$1006,0))&gt;=100000), " ",IF(INDEX($AB$2:$AQ$1001,MATCH(ROWS($U$2:U598),$U$2:$U$1001,0),MATCH(COLUMNS($AB$1006:AQ1006),$AB$1006:$AQ$1006,0)), HYPERLINK("#",""), HYPERLINK(CONCATENATE("#Metadata!", ADDRESS(INDEX($W$2:$W$1001,MATCH(ROWS($U$2:U598),$U$2:$U$1001,0),0), INDEX($AB$1004:$AQ$1004,1,MATCH(COLUMNS($AB$1006:AQ1006),$AB$1006:$AQ$1006,0)))),"Fix")))</f>
        <v>0</v>
      </c>
      <c r="U598">
        <v>0</v>
      </c>
      <c r="V598">
        <v>0</v>
      </c>
      <c r="W598">
        <v>0</v>
      </c>
      <c r="X598">
        <f>IF(Y598,TRUE,AND(AB598:AQ598))</f>
        <v>0</v>
      </c>
      <c r="Y598">
        <f>COUNTBLANK(Metadata!B598:Q598)=COLUMNS(Metadata!B598:Q598)</f>
        <v>0</v>
      </c>
      <c r="Z598">
        <v>0</v>
      </c>
      <c r="AB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AC598">
        <f>AND(IF(Metadata!C598="",FALSE,TRUE),exact(Metadata!C598,"urban biome"))</f>
        <v>0</v>
      </c>
      <c r="AD598">
        <f>AND(IF(Metadata!D598="",FALSE,TRUE),exact(Metadata!D598,"human-associated habitat"))</f>
        <v>0</v>
      </c>
      <c r="AE598">
        <f>AND(IF(Metadata!E598="",FALSE,TRUE),OR(exact(Metadata!E598,"human-associated"),exact(Metadata!E598,"human-skin"),exact(Metadata!E598,"human-oral"),exact(Metadata!E598,"human-gut"),exact(Metadata!E598,"human-vaginal")))</f>
        <v>0</v>
      </c>
      <c r="AF598">
        <f>AND(IF(Metadata!F598="",FALSE,ISNUMBER(VALUE(Metadata!F598))),Metadata!F598&gt;0)</f>
        <v>0</v>
      </c>
      <c r="AG598">
        <f>AND(IF(Metadata!G598="",FALSE,TRUE),exact(Metadata!G598,"years"))</f>
        <v>0</v>
      </c>
      <c r="AH598">
        <f>OR(AND(IF(Metadata!H598="",FALSE,TRUE),OR(exact(Metadata!H598,"not applicable"),exact(Metadata!H598,"not collected"),exact(Metadata!H598,"not provided"),exact(Metadata!H598,"restricted access"))),AND(IF(Metadata!H598="",FALSE,ISNUMBER(VALUE(Metadata!H598))),Metadata!H598&gt;0))</f>
        <v>0</v>
      </c>
      <c r="AI598">
        <f>AND(IF(Metadata!I598="",FALSE,TRUE),exact(Metadata!I598,"human"))</f>
        <v>0</v>
      </c>
      <c r="AJ598">
        <f>AND(IF(Metadata!J598="",FALSE,ISNUMBER(VALUE(Metadata!J598))),Metadata!J598&gt;0)</f>
        <v>0</v>
      </c>
      <c r="AK598">
        <f>AND(IF(Metadata!K598="",FALSE,TRUE),exact(Metadata!K598,"cm"))</f>
        <v>0</v>
      </c>
      <c r="AL598">
        <f>AND(IF(Metadata!L598="",FALSE,TRUE),exact(Metadata!L598,"Homo sapiens"))</f>
        <v>0</v>
      </c>
      <c r="AM598">
        <f>AND(IF(Metadata!M598="",FALSE,TRUE),exact(Metadata!M598,"9606"))</f>
        <v>0</v>
      </c>
      <c r="AN598">
        <f>AND(IF(Metadata!N598="",FALSE,ISNUMBER(VALUE(Metadata!N598))),Metadata!N598&gt;0)</f>
        <v>0</v>
      </c>
      <c r="AO598">
        <f>AND(IF(Metadata!O598="",FALSE,TRUE),exact(Metadata!O598,"kg"))</f>
        <v>0</v>
      </c>
      <c r="AP598">
        <f>OR(AND(IF(Metadata!P598="",FALSE,TRUE),exact(Metadata!P598,"not provided")),IF(Metadata!P598="",FALSE,TRUE))</f>
        <v>0</v>
      </c>
      <c r="AQ598">
        <f>OR(AND(IF(Metadata!Q598="",FALSE,TRUE),exact(Metadata!Q598,"not provided")),IF(Metadata!Q598="",FALSE,TRUE))</f>
        <v>0</v>
      </c>
    </row>
    <row r="599" spans="1:43">
      <c r="A599" s="4">
        <f>IF(B599=" "," ",HYPERLINK(CONCATENATE("#metadata!",ADDRESS(INDEX($W$2:$W$1001,MATCH(ROWS($U$2:U599),$U$2:$U$1001,0),0),2)),INDEX($Z$2:$Z$1001,MATCH(ROWS($U$2:U599),$U$2:$U$1001,0),0)))</f>
        <v>0</v>
      </c>
      <c r="B599" s="5">
        <f>IF(OR(INDEX($V$2:$V$1001,MATCH(ROWS($U$2:U599),$U$2:$U$1001,0),1)&gt;=100000,INDEX($AB$1005:$AQ$1005,1,MATCH(COLUMNS($AB$1006:AB1006),$AB$1006:$AQ$1006,0))&gt;=100000), " ",IF(INDEX($AB$2:$AQ$1001,MATCH(ROWS($U$2:U599),$U$2:$U$1001,0),MATCH(COLUMNS($AB$1006:AB1006),$AB$1006:$AQ$1006,0)), HYPERLINK("#",""), HYPERLINK(CONCATENATE("#Metadata!", ADDRESS(INDEX($W$2:$W$1001,MATCH(ROWS($U$2:U599),$U$2:$U$1001,0),0), INDEX($AB$1004:$AQ$1004,1,MATCH(COLUMNS($AB$1006:AB1006),$AB$1006:$AQ$1006,0)))),"Fix")))</f>
        <v>0</v>
      </c>
      <c r="C599" s="5">
        <f>IF(OR(INDEX($V$2:$V$1001,MATCH(ROWS($U$2:U599),$U$2:$U$1001,0),1)&gt;=100000,INDEX($AB$1005:$AQ$1005,1,MATCH(COLUMNS($AB$1006:AC1006),$AB$1006:$AQ$1006,0))&gt;=100000), " ",IF(INDEX($AB$2:$AQ$1001,MATCH(ROWS($U$2:U599),$U$2:$U$1001,0),MATCH(COLUMNS($AB$1006:AC1006),$AB$1006:$AQ$1006,0)), HYPERLINK("#",""), HYPERLINK(CONCATENATE("#Metadata!", ADDRESS(INDEX($W$2:$W$1001,MATCH(ROWS($U$2:U599),$U$2:$U$1001,0),0), INDEX($AB$1004:$AQ$1004,1,MATCH(COLUMNS($AB$1006:AC1006),$AB$1006:$AQ$1006,0)))),"Fix")))</f>
        <v>0</v>
      </c>
      <c r="D599" s="5">
        <f>IF(OR(INDEX($V$2:$V$1001,MATCH(ROWS($U$2:U599),$U$2:$U$1001,0),1)&gt;=100000,INDEX($AB$1005:$AQ$1005,1,MATCH(COLUMNS($AB$1006:AD1006),$AB$1006:$AQ$1006,0))&gt;=100000), " ",IF(INDEX($AB$2:$AQ$1001,MATCH(ROWS($U$2:U599),$U$2:$U$1001,0),MATCH(COLUMNS($AB$1006:AD1006),$AB$1006:$AQ$1006,0)), HYPERLINK("#",""), HYPERLINK(CONCATENATE("#Metadata!", ADDRESS(INDEX($W$2:$W$1001,MATCH(ROWS($U$2:U599),$U$2:$U$1001,0),0), INDEX($AB$1004:$AQ$1004,1,MATCH(COLUMNS($AB$1006:AD1006),$AB$1006:$AQ$1006,0)))),"Fix")))</f>
        <v>0</v>
      </c>
      <c r="E599" s="5">
        <f>IF(OR(INDEX($V$2:$V$1001,MATCH(ROWS($U$2:U599),$U$2:$U$1001,0),1)&gt;=100000,INDEX($AB$1005:$AQ$1005,1,MATCH(COLUMNS($AB$1006:AE1006),$AB$1006:$AQ$1006,0))&gt;=100000), " ",IF(INDEX($AB$2:$AQ$1001,MATCH(ROWS($U$2:U599),$U$2:$U$1001,0),MATCH(COLUMNS($AB$1006:AE1006),$AB$1006:$AQ$1006,0)), HYPERLINK("#",""), HYPERLINK(CONCATENATE("#Metadata!", ADDRESS(INDEX($W$2:$W$1001,MATCH(ROWS($U$2:U599),$U$2:$U$1001,0),0), INDEX($AB$1004:$AQ$1004,1,MATCH(COLUMNS($AB$1006:AE1006),$AB$1006:$AQ$1006,0)))),"Fix")))</f>
        <v>0</v>
      </c>
      <c r="F599" s="5">
        <f>IF(OR(INDEX($V$2:$V$1001,MATCH(ROWS($U$2:U599),$U$2:$U$1001,0),1)&gt;=100000,INDEX($AB$1005:$AQ$1005,1,MATCH(COLUMNS($AB$1006:AF1006),$AB$1006:$AQ$1006,0))&gt;=100000), " ",IF(INDEX($AB$2:$AQ$1001,MATCH(ROWS($U$2:U599),$U$2:$U$1001,0),MATCH(COLUMNS($AB$1006:AF1006),$AB$1006:$AQ$1006,0)), HYPERLINK("#",""), HYPERLINK(CONCATENATE("#Metadata!", ADDRESS(INDEX($W$2:$W$1001,MATCH(ROWS($U$2:U599),$U$2:$U$1001,0),0), INDEX($AB$1004:$AQ$1004,1,MATCH(COLUMNS($AB$1006:AF1006),$AB$1006:$AQ$1006,0)))),"Fix")))</f>
        <v>0</v>
      </c>
      <c r="G599" s="5">
        <f>IF(OR(INDEX($V$2:$V$1001,MATCH(ROWS($U$2:U599),$U$2:$U$1001,0),1)&gt;=100000,INDEX($AB$1005:$AQ$1005,1,MATCH(COLUMNS($AB$1006:AG1006),$AB$1006:$AQ$1006,0))&gt;=100000), " ",IF(INDEX($AB$2:$AQ$1001,MATCH(ROWS($U$2:U599),$U$2:$U$1001,0),MATCH(COLUMNS($AB$1006:AG1006),$AB$1006:$AQ$1006,0)), HYPERLINK("#",""), HYPERLINK(CONCATENATE("#Metadata!", ADDRESS(INDEX($W$2:$W$1001,MATCH(ROWS($U$2:U599),$U$2:$U$1001,0),0), INDEX($AB$1004:$AQ$1004,1,MATCH(COLUMNS($AB$1006:AG1006),$AB$1006:$AQ$1006,0)))),"Fix")))</f>
        <v>0</v>
      </c>
      <c r="H599" s="5">
        <f>IF(OR(INDEX($V$2:$V$1001,MATCH(ROWS($U$2:U599),$U$2:$U$1001,0),1)&gt;=100000,INDEX($AB$1005:$AQ$1005,1,MATCH(COLUMNS($AB$1006:AH1006),$AB$1006:$AQ$1006,0))&gt;=100000), " ",IF(INDEX($AB$2:$AQ$1001,MATCH(ROWS($U$2:U599),$U$2:$U$1001,0),MATCH(COLUMNS($AB$1006:AH1006),$AB$1006:$AQ$1006,0)), HYPERLINK("#",""), HYPERLINK(CONCATENATE("#Metadata!", ADDRESS(INDEX($W$2:$W$1001,MATCH(ROWS($U$2:U599),$U$2:$U$1001,0),0), INDEX($AB$1004:$AQ$1004,1,MATCH(COLUMNS($AB$1006:AH1006),$AB$1006:$AQ$1006,0)))),"Fix")))</f>
        <v>0</v>
      </c>
      <c r="I599" s="5">
        <f>IF(OR(INDEX($V$2:$V$1001,MATCH(ROWS($U$2:U599),$U$2:$U$1001,0),1)&gt;=100000,INDEX($AB$1005:$AQ$1005,1,MATCH(COLUMNS($AB$1006:AI1006),$AB$1006:$AQ$1006,0))&gt;=100000), " ",IF(INDEX($AB$2:$AQ$1001,MATCH(ROWS($U$2:U599),$U$2:$U$1001,0),MATCH(COLUMNS($AB$1006:AI1006),$AB$1006:$AQ$1006,0)), HYPERLINK("#",""), HYPERLINK(CONCATENATE("#Metadata!", ADDRESS(INDEX($W$2:$W$1001,MATCH(ROWS($U$2:U599),$U$2:$U$1001,0),0), INDEX($AB$1004:$AQ$1004,1,MATCH(COLUMNS($AB$1006:AI1006),$AB$1006:$AQ$1006,0)))),"Fix")))</f>
        <v>0</v>
      </c>
      <c r="J599" s="5">
        <f>IF(OR(INDEX($V$2:$V$1001,MATCH(ROWS($U$2:U599),$U$2:$U$1001,0),1)&gt;=100000,INDEX($AB$1005:$AQ$1005,1,MATCH(COLUMNS($AB$1006:AJ1006),$AB$1006:$AQ$1006,0))&gt;=100000), " ",IF(INDEX($AB$2:$AQ$1001,MATCH(ROWS($U$2:U599),$U$2:$U$1001,0),MATCH(COLUMNS($AB$1006:AJ1006),$AB$1006:$AQ$1006,0)), HYPERLINK("#",""), HYPERLINK(CONCATENATE("#Metadata!", ADDRESS(INDEX($W$2:$W$1001,MATCH(ROWS($U$2:U599),$U$2:$U$1001,0),0), INDEX($AB$1004:$AQ$1004,1,MATCH(COLUMNS($AB$1006:AJ1006),$AB$1006:$AQ$1006,0)))),"Fix")))</f>
        <v>0</v>
      </c>
      <c r="K599" s="5">
        <f>IF(OR(INDEX($V$2:$V$1001,MATCH(ROWS($U$2:U599),$U$2:$U$1001,0),1)&gt;=100000,INDEX($AB$1005:$AQ$1005,1,MATCH(COLUMNS($AB$1006:AK1006),$AB$1006:$AQ$1006,0))&gt;=100000), " ",IF(INDEX($AB$2:$AQ$1001,MATCH(ROWS($U$2:U599),$U$2:$U$1001,0),MATCH(COLUMNS($AB$1006:AK1006),$AB$1006:$AQ$1006,0)), HYPERLINK("#",""), HYPERLINK(CONCATENATE("#Metadata!", ADDRESS(INDEX($W$2:$W$1001,MATCH(ROWS($U$2:U599),$U$2:$U$1001,0),0), INDEX($AB$1004:$AQ$1004,1,MATCH(COLUMNS($AB$1006:AK1006),$AB$1006:$AQ$1006,0)))),"Fix")))</f>
        <v>0</v>
      </c>
      <c r="L599" s="5">
        <f>IF(OR(INDEX($V$2:$V$1001,MATCH(ROWS($U$2:U599),$U$2:$U$1001,0),1)&gt;=100000,INDEX($AB$1005:$AQ$1005,1,MATCH(COLUMNS($AB$1006:AL1006),$AB$1006:$AQ$1006,0))&gt;=100000), " ",IF(INDEX($AB$2:$AQ$1001,MATCH(ROWS($U$2:U599),$U$2:$U$1001,0),MATCH(COLUMNS($AB$1006:AL1006),$AB$1006:$AQ$1006,0)), HYPERLINK("#",""), HYPERLINK(CONCATENATE("#Metadata!", ADDRESS(INDEX($W$2:$W$1001,MATCH(ROWS($U$2:U599),$U$2:$U$1001,0),0), INDEX($AB$1004:$AQ$1004,1,MATCH(COLUMNS($AB$1006:AL1006),$AB$1006:$AQ$1006,0)))),"Fix")))</f>
        <v>0</v>
      </c>
      <c r="M599" s="5">
        <f>IF(OR(INDEX($V$2:$V$1001,MATCH(ROWS($U$2:U599),$U$2:$U$1001,0),1)&gt;=100000,INDEX($AB$1005:$AQ$1005,1,MATCH(COLUMNS($AB$1006:AM1006),$AB$1006:$AQ$1006,0))&gt;=100000), " ",IF(INDEX($AB$2:$AQ$1001,MATCH(ROWS($U$2:U599),$U$2:$U$1001,0),MATCH(COLUMNS($AB$1006:AM1006),$AB$1006:$AQ$1006,0)), HYPERLINK("#",""), HYPERLINK(CONCATENATE("#Metadata!", ADDRESS(INDEX($W$2:$W$1001,MATCH(ROWS($U$2:U599),$U$2:$U$1001,0),0), INDEX($AB$1004:$AQ$1004,1,MATCH(COLUMNS($AB$1006:AM1006),$AB$1006:$AQ$1006,0)))),"Fix")))</f>
        <v>0</v>
      </c>
      <c r="N599" s="5">
        <f>IF(OR(INDEX($V$2:$V$1001,MATCH(ROWS($U$2:U599),$U$2:$U$1001,0),1)&gt;=100000,INDEX($AB$1005:$AQ$1005,1,MATCH(COLUMNS($AB$1006:AN1006),$AB$1006:$AQ$1006,0))&gt;=100000), " ",IF(INDEX($AB$2:$AQ$1001,MATCH(ROWS($U$2:U599),$U$2:$U$1001,0),MATCH(COLUMNS($AB$1006:AN1006),$AB$1006:$AQ$1006,0)), HYPERLINK("#",""), HYPERLINK(CONCATENATE("#Metadata!", ADDRESS(INDEX($W$2:$W$1001,MATCH(ROWS($U$2:U599),$U$2:$U$1001,0),0), INDEX($AB$1004:$AQ$1004,1,MATCH(COLUMNS($AB$1006:AN1006),$AB$1006:$AQ$1006,0)))),"Fix")))</f>
        <v>0</v>
      </c>
      <c r="O599" s="5">
        <f>IF(OR(INDEX($V$2:$V$1001,MATCH(ROWS($U$2:U599),$U$2:$U$1001,0),1)&gt;=100000,INDEX($AB$1005:$AQ$1005,1,MATCH(COLUMNS($AB$1006:AO1006),$AB$1006:$AQ$1006,0))&gt;=100000), " ",IF(INDEX($AB$2:$AQ$1001,MATCH(ROWS($U$2:U599),$U$2:$U$1001,0),MATCH(COLUMNS($AB$1006:AO1006),$AB$1006:$AQ$1006,0)), HYPERLINK("#",""), HYPERLINK(CONCATENATE("#Metadata!", ADDRESS(INDEX($W$2:$W$1001,MATCH(ROWS($U$2:U599),$U$2:$U$1001,0),0), INDEX($AB$1004:$AQ$1004,1,MATCH(COLUMNS($AB$1006:AO1006),$AB$1006:$AQ$1006,0)))),"Fix")))</f>
        <v>0</v>
      </c>
      <c r="P599" s="5">
        <f>IF(OR(INDEX($V$2:$V$1001,MATCH(ROWS($U$2:U599),$U$2:$U$1001,0),1)&gt;=100000,INDEX($AB$1005:$AQ$1005,1,MATCH(COLUMNS($AB$1006:AP1006),$AB$1006:$AQ$1006,0))&gt;=100000), " ",IF(INDEX($AB$2:$AQ$1001,MATCH(ROWS($U$2:U599),$U$2:$U$1001,0),MATCH(COLUMNS($AB$1006:AP1006),$AB$1006:$AQ$1006,0)), HYPERLINK("#",""), HYPERLINK(CONCATENATE("#Metadata!", ADDRESS(INDEX($W$2:$W$1001,MATCH(ROWS($U$2:U599),$U$2:$U$1001,0),0), INDEX($AB$1004:$AQ$1004,1,MATCH(COLUMNS($AB$1006:AP1006),$AB$1006:$AQ$1006,0)))),"Fix")))</f>
        <v>0</v>
      </c>
      <c r="Q599" s="5">
        <f>IF(OR(INDEX($V$2:$V$1001,MATCH(ROWS($U$2:U599),$U$2:$U$1001,0),1)&gt;=100000,INDEX($AB$1005:$AQ$1005,1,MATCH(COLUMNS($AB$1006:AQ1006),$AB$1006:$AQ$1006,0))&gt;=100000), " ",IF(INDEX($AB$2:$AQ$1001,MATCH(ROWS($U$2:U599),$U$2:$U$1001,0),MATCH(COLUMNS($AB$1006:AQ1006),$AB$1006:$AQ$1006,0)), HYPERLINK("#",""), HYPERLINK(CONCATENATE("#Metadata!", ADDRESS(INDEX($W$2:$W$1001,MATCH(ROWS($U$2:U599),$U$2:$U$1001,0),0), INDEX($AB$1004:$AQ$1004,1,MATCH(COLUMNS($AB$1006:AQ1006),$AB$1006:$AQ$1006,0)))),"Fix")))</f>
        <v>0</v>
      </c>
      <c r="U599">
        <v>0</v>
      </c>
      <c r="V599">
        <v>0</v>
      </c>
      <c r="W599">
        <v>0</v>
      </c>
      <c r="X599">
        <f>IF(Y599,TRUE,AND(AB599:AQ599))</f>
        <v>0</v>
      </c>
      <c r="Y599">
        <f>COUNTBLANK(Metadata!B599:Q599)=COLUMNS(Metadata!B599:Q599)</f>
        <v>0</v>
      </c>
      <c r="Z599">
        <v>0</v>
      </c>
      <c r="AB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AC599">
        <f>AND(IF(Metadata!C599="",FALSE,TRUE),exact(Metadata!C599,"urban biome"))</f>
        <v>0</v>
      </c>
      <c r="AD599">
        <f>AND(IF(Metadata!D599="",FALSE,TRUE),exact(Metadata!D599,"human-associated habitat"))</f>
        <v>0</v>
      </c>
      <c r="AE599">
        <f>AND(IF(Metadata!E599="",FALSE,TRUE),OR(exact(Metadata!E599,"human-associated"),exact(Metadata!E599,"human-skin"),exact(Metadata!E599,"human-oral"),exact(Metadata!E599,"human-gut"),exact(Metadata!E599,"human-vaginal")))</f>
        <v>0</v>
      </c>
      <c r="AF599">
        <f>AND(IF(Metadata!F599="",FALSE,ISNUMBER(VALUE(Metadata!F599))),Metadata!F599&gt;0)</f>
        <v>0</v>
      </c>
      <c r="AG599">
        <f>AND(IF(Metadata!G599="",FALSE,TRUE),exact(Metadata!G599,"years"))</f>
        <v>0</v>
      </c>
      <c r="AH599">
        <f>OR(AND(IF(Metadata!H599="",FALSE,TRUE),OR(exact(Metadata!H599,"not applicable"),exact(Metadata!H599,"not collected"),exact(Metadata!H599,"not provided"),exact(Metadata!H599,"restricted access"))),AND(IF(Metadata!H599="",FALSE,ISNUMBER(VALUE(Metadata!H599))),Metadata!H599&gt;0))</f>
        <v>0</v>
      </c>
      <c r="AI599">
        <f>AND(IF(Metadata!I599="",FALSE,TRUE),exact(Metadata!I599,"human"))</f>
        <v>0</v>
      </c>
      <c r="AJ599">
        <f>AND(IF(Metadata!J599="",FALSE,ISNUMBER(VALUE(Metadata!J599))),Metadata!J599&gt;0)</f>
        <v>0</v>
      </c>
      <c r="AK599">
        <f>AND(IF(Metadata!K599="",FALSE,TRUE),exact(Metadata!K599,"cm"))</f>
        <v>0</v>
      </c>
      <c r="AL599">
        <f>AND(IF(Metadata!L599="",FALSE,TRUE),exact(Metadata!L599,"Homo sapiens"))</f>
        <v>0</v>
      </c>
      <c r="AM599">
        <f>AND(IF(Metadata!M599="",FALSE,TRUE),exact(Metadata!M599,"9606"))</f>
        <v>0</v>
      </c>
      <c r="AN599">
        <f>AND(IF(Metadata!N599="",FALSE,ISNUMBER(VALUE(Metadata!N599))),Metadata!N599&gt;0)</f>
        <v>0</v>
      </c>
      <c r="AO599">
        <f>AND(IF(Metadata!O599="",FALSE,TRUE),exact(Metadata!O599,"kg"))</f>
        <v>0</v>
      </c>
      <c r="AP599">
        <f>OR(AND(IF(Metadata!P599="",FALSE,TRUE),exact(Metadata!P599,"not provided")),IF(Metadata!P599="",FALSE,TRUE))</f>
        <v>0</v>
      </c>
      <c r="AQ599">
        <f>OR(AND(IF(Metadata!Q599="",FALSE,TRUE),exact(Metadata!Q599,"not provided")),IF(Metadata!Q599="",FALSE,TRUE))</f>
        <v>0</v>
      </c>
    </row>
    <row r="600" spans="1:43">
      <c r="A600" s="4">
        <f>IF(B600=" "," ",HYPERLINK(CONCATENATE("#metadata!",ADDRESS(INDEX($W$2:$W$1001,MATCH(ROWS($U$2:U600),$U$2:$U$1001,0),0),2)),INDEX($Z$2:$Z$1001,MATCH(ROWS($U$2:U600),$U$2:$U$1001,0),0)))</f>
        <v>0</v>
      </c>
      <c r="B600" s="5">
        <f>IF(OR(INDEX($V$2:$V$1001,MATCH(ROWS($U$2:U600),$U$2:$U$1001,0),1)&gt;=100000,INDEX($AB$1005:$AQ$1005,1,MATCH(COLUMNS($AB$1006:AB1006),$AB$1006:$AQ$1006,0))&gt;=100000), " ",IF(INDEX($AB$2:$AQ$1001,MATCH(ROWS($U$2:U600),$U$2:$U$1001,0),MATCH(COLUMNS($AB$1006:AB1006),$AB$1006:$AQ$1006,0)), HYPERLINK("#",""), HYPERLINK(CONCATENATE("#Metadata!", ADDRESS(INDEX($W$2:$W$1001,MATCH(ROWS($U$2:U600),$U$2:$U$1001,0),0), INDEX($AB$1004:$AQ$1004,1,MATCH(COLUMNS($AB$1006:AB1006),$AB$1006:$AQ$1006,0)))),"Fix")))</f>
        <v>0</v>
      </c>
      <c r="C600" s="5">
        <f>IF(OR(INDEX($V$2:$V$1001,MATCH(ROWS($U$2:U600),$U$2:$U$1001,0),1)&gt;=100000,INDEX($AB$1005:$AQ$1005,1,MATCH(COLUMNS($AB$1006:AC1006),$AB$1006:$AQ$1006,0))&gt;=100000), " ",IF(INDEX($AB$2:$AQ$1001,MATCH(ROWS($U$2:U600),$U$2:$U$1001,0),MATCH(COLUMNS($AB$1006:AC1006),$AB$1006:$AQ$1006,0)), HYPERLINK("#",""), HYPERLINK(CONCATENATE("#Metadata!", ADDRESS(INDEX($W$2:$W$1001,MATCH(ROWS($U$2:U600),$U$2:$U$1001,0),0), INDEX($AB$1004:$AQ$1004,1,MATCH(COLUMNS($AB$1006:AC1006),$AB$1006:$AQ$1006,0)))),"Fix")))</f>
        <v>0</v>
      </c>
      <c r="D600" s="5">
        <f>IF(OR(INDEX($V$2:$V$1001,MATCH(ROWS($U$2:U600),$U$2:$U$1001,0),1)&gt;=100000,INDEX($AB$1005:$AQ$1005,1,MATCH(COLUMNS($AB$1006:AD1006),$AB$1006:$AQ$1006,0))&gt;=100000), " ",IF(INDEX($AB$2:$AQ$1001,MATCH(ROWS($U$2:U600),$U$2:$U$1001,0),MATCH(COLUMNS($AB$1006:AD1006),$AB$1006:$AQ$1006,0)), HYPERLINK("#",""), HYPERLINK(CONCATENATE("#Metadata!", ADDRESS(INDEX($W$2:$W$1001,MATCH(ROWS($U$2:U600),$U$2:$U$1001,0),0), INDEX($AB$1004:$AQ$1004,1,MATCH(COLUMNS($AB$1006:AD1006),$AB$1006:$AQ$1006,0)))),"Fix")))</f>
        <v>0</v>
      </c>
      <c r="E600" s="5">
        <f>IF(OR(INDEX($V$2:$V$1001,MATCH(ROWS($U$2:U600),$U$2:$U$1001,0),1)&gt;=100000,INDEX($AB$1005:$AQ$1005,1,MATCH(COLUMNS($AB$1006:AE1006),$AB$1006:$AQ$1006,0))&gt;=100000), " ",IF(INDEX($AB$2:$AQ$1001,MATCH(ROWS($U$2:U600),$U$2:$U$1001,0),MATCH(COLUMNS($AB$1006:AE1006),$AB$1006:$AQ$1006,0)), HYPERLINK("#",""), HYPERLINK(CONCATENATE("#Metadata!", ADDRESS(INDEX($W$2:$W$1001,MATCH(ROWS($U$2:U600),$U$2:$U$1001,0),0), INDEX($AB$1004:$AQ$1004,1,MATCH(COLUMNS($AB$1006:AE1006),$AB$1006:$AQ$1006,0)))),"Fix")))</f>
        <v>0</v>
      </c>
      <c r="F600" s="5">
        <f>IF(OR(INDEX($V$2:$V$1001,MATCH(ROWS($U$2:U600),$U$2:$U$1001,0),1)&gt;=100000,INDEX($AB$1005:$AQ$1005,1,MATCH(COLUMNS($AB$1006:AF1006),$AB$1006:$AQ$1006,0))&gt;=100000), " ",IF(INDEX($AB$2:$AQ$1001,MATCH(ROWS($U$2:U600),$U$2:$U$1001,0),MATCH(COLUMNS($AB$1006:AF1006),$AB$1006:$AQ$1006,0)), HYPERLINK("#",""), HYPERLINK(CONCATENATE("#Metadata!", ADDRESS(INDEX($W$2:$W$1001,MATCH(ROWS($U$2:U600),$U$2:$U$1001,0),0), INDEX($AB$1004:$AQ$1004,1,MATCH(COLUMNS($AB$1006:AF1006),$AB$1006:$AQ$1006,0)))),"Fix")))</f>
        <v>0</v>
      </c>
      <c r="G600" s="5">
        <f>IF(OR(INDEX($V$2:$V$1001,MATCH(ROWS($U$2:U600),$U$2:$U$1001,0),1)&gt;=100000,INDEX($AB$1005:$AQ$1005,1,MATCH(COLUMNS($AB$1006:AG1006),$AB$1006:$AQ$1006,0))&gt;=100000), " ",IF(INDEX($AB$2:$AQ$1001,MATCH(ROWS($U$2:U600),$U$2:$U$1001,0),MATCH(COLUMNS($AB$1006:AG1006),$AB$1006:$AQ$1006,0)), HYPERLINK("#",""), HYPERLINK(CONCATENATE("#Metadata!", ADDRESS(INDEX($W$2:$W$1001,MATCH(ROWS($U$2:U600),$U$2:$U$1001,0),0), INDEX($AB$1004:$AQ$1004,1,MATCH(COLUMNS($AB$1006:AG1006),$AB$1006:$AQ$1006,0)))),"Fix")))</f>
        <v>0</v>
      </c>
      <c r="H600" s="5">
        <f>IF(OR(INDEX($V$2:$V$1001,MATCH(ROWS($U$2:U600),$U$2:$U$1001,0),1)&gt;=100000,INDEX($AB$1005:$AQ$1005,1,MATCH(COLUMNS($AB$1006:AH1006),$AB$1006:$AQ$1006,0))&gt;=100000), " ",IF(INDEX($AB$2:$AQ$1001,MATCH(ROWS($U$2:U600),$U$2:$U$1001,0),MATCH(COLUMNS($AB$1006:AH1006),$AB$1006:$AQ$1006,0)), HYPERLINK("#",""), HYPERLINK(CONCATENATE("#Metadata!", ADDRESS(INDEX($W$2:$W$1001,MATCH(ROWS($U$2:U600),$U$2:$U$1001,0),0), INDEX($AB$1004:$AQ$1004,1,MATCH(COLUMNS($AB$1006:AH1006),$AB$1006:$AQ$1006,0)))),"Fix")))</f>
        <v>0</v>
      </c>
      <c r="I600" s="5">
        <f>IF(OR(INDEX($V$2:$V$1001,MATCH(ROWS($U$2:U600),$U$2:$U$1001,0),1)&gt;=100000,INDEX($AB$1005:$AQ$1005,1,MATCH(COLUMNS($AB$1006:AI1006),$AB$1006:$AQ$1006,0))&gt;=100000), " ",IF(INDEX($AB$2:$AQ$1001,MATCH(ROWS($U$2:U600),$U$2:$U$1001,0),MATCH(COLUMNS($AB$1006:AI1006),$AB$1006:$AQ$1006,0)), HYPERLINK("#",""), HYPERLINK(CONCATENATE("#Metadata!", ADDRESS(INDEX($W$2:$W$1001,MATCH(ROWS($U$2:U600),$U$2:$U$1001,0),0), INDEX($AB$1004:$AQ$1004,1,MATCH(COLUMNS($AB$1006:AI1006),$AB$1006:$AQ$1006,0)))),"Fix")))</f>
        <v>0</v>
      </c>
      <c r="J600" s="5">
        <f>IF(OR(INDEX($V$2:$V$1001,MATCH(ROWS($U$2:U600),$U$2:$U$1001,0),1)&gt;=100000,INDEX($AB$1005:$AQ$1005,1,MATCH(COLUMNS($AB$1006:AJ1006),$AB$1006:$AQ$1006,0))&gt;=100000), " ",IF(INDEX($AB$2:$AQ$1001,MATCH(ROWS($U$2:U600),$U$2:$U$1001,0),MATCH(COLUMNS($AB$1006:AJ1006),$AB$1006:$AQ$1006,0)), HYPERLINK("#",""), HYPERLINK(CONCATENATE("#Metadata!", ADDRESS(INDEX($W$2:$W$1001,MATCH(ROWS($U$2:U600),$U$2:$U$1001,0),0), INDEX($AB$1004:$AQ$1004,1,MATCH(COLUMNS($AB$1006:AJ1006),$AB$1006:$AQ$1006,0)))),"Fix")))</f>
        <v>0</v>
      </c>
      <c r="K600" s="5">
        <f>IF(OR(INDEX($V$2:$V$1001,MATCH(ROWS($U$2:U600),$U$2:$U$1001,0),1)&gt;=100000,INDEX($AB$1005:$AQ$1005,1,MATCH(COLUMNS($AB$1006:AK1006),$AB$1006:$AQ$1006,0))&gt;=100000), " ",IF(INDEX($AB$2:$AQ$1001,MATCH(ROWS($U$2:U600),$U$2:$U$1001,0),MATCH(COLUMNS($AB$1006:AK1006),$AB$1006:$AQ$1006,0)), HYPERLINK("#",""), HYPERLINK(CONCATENATE("#Metadata!", ADDRESS(INDEX($W$2:$W$1001,MATCH(ROWS($U$2:U600),$U$2:$U$1001,0),0), INDEX($AB$1004:$AQ$1004,1,MATCH(COLUMNS($AB$1006:AK1006),$AB$1006:$AQ$1006,0)))),"Fix")))</f>
        <v>0</v>
      </c>
      <c r="L600" s="5">
        <f>IF(OR(INDEX($V$2:$V$1001,MATCH(ROWS($U$2:U600),$U$2:$U$1001,0),1)&gt;=100000,INDEX($AB$1005:$AQ$1005,1,MATCH(COLUMNS($AB$1006:AL1006),$AB$1006:$AQ$1006,0))&gt;=100000), " ",IF(INDEX($AB$2:$AQ$1001,MATCH(ROWS($U$2:U600),$U$2:$U$1001,0),MATCH(COLUMNS($AB$1006:AL1006),$AB$1006:$AQ$1006,0)), HYPERLINK("#",""), HYPERLINK(CONCATENATE("#Metadata!", ADDRESS(INDEX($W$2:$W$1001,MATCH(ROWS($U$2:U600),$U$2:$U$1001,0),0), INDEX($AB$1004:$AQ$1004,1,MATCH(COLUMNS($AB$1006:AL1006),$AB$1006:$AQ$1006,0)))),"Fix")))</f>
        <v>0</v>
      </c>
      <c r="M600" s="5">
        <f>IF(OR(INDEX($V$2:$V$1001,MATCH(ROWS($U$2:U600),$U$2:$U$1001,0),1)&gt;=100000,INDEX($AB$1005:$AQ$1005,1,MATCH(COLUMNS($AB$1006:AM1006),$AB$1006:$AQ$1006,0))&gt;=100000), " ",IF(INDEX($AB$2:$AQ$1001,MATCH(ROWS($U$2:U600),$U$2:$U$1001,0),MATCH(COLUMNS($AB$1006:AM1006),$AB$1006:$AQ$1006,0)), HYPERLINK("#",""), HYPERLINK(CONCATENATE("#Metadata!", ADDRESS(INDEX($W$2:$W$1001,MATCH(ROWS($U$2:U600),$U$2:$U$1001,0),0), INDEX($AB$1004:$AQ$1004,1,MATCH(COLUMNS($AB$1006:AM1006),$AB$1006:$AQ$1006,0)))),"Fix")))</f>
        <v>0</v>
      </c>
      <c r="N600" s="5">
        <f>IF(OR(INDEX($V$2:$V$1001,MATCH(ROWS($U$2:U600),$U$2:$U$1001,0),1)&gt;=100000,INDEX($AB$1005:$AQ$1005,1,MATCH(COLUMNS($AB$1006:AN1006),$AB$1006:$AQ$1006,0))&gt;=100000), " ",IF(INDEX($AB$2:$AQ$1001,MATCH(ROWS($U$2:U600),$U$2:$U$1001,0),MATCH(COLUMNS($AB$1006:AN1006),$AB$1006:$AQ$1006,0)), HYPERLINK("#",""), HYPERLINK(CONCATENATE("#Metadata!", ADDRESS(INDEX($W$2:$W$1001,MATCH(ROWS($U$2:U600),$U$2:$U$1001,0),0), INDEX($AB$1004:$AQ$1004,1,MATCH(COLUMNS($AB$1006:AN1006),$AB$1006:$AQ$1006,0)))),"Fix")))</f>
        <v>0</v>
      </c>
      <c r="O600" s="5">
        <f>IF(OR(INDEX($V$2:$V$1001,MATCH(ROWS($U$2:U600),$U$2:$U$1001,0),1)&gt;=100000,INDEX($AB$1005:$AQ$1005,1,MATCH(COLUMNS($AB$1006:AO1006),$AB$1006:$AQ$1006,0))&gt;=100000), " ",IF(INDEX($AB$2:$AQ$1001,MATCH(ROWS($U$2:U600),$U$2:$U$1001,0),MATCH(COLUMNS($AB$1006:AO1006),$AB$1006:$AQ$1006,0)), HYPERLINK("#",""), HYPERLINK(CONCATENATE("#Metadata!", ADDRESS(INDEX($W$2:$W$1001,MATCH(ROWS($U$2:U600),$U$2:$U$1001,0),0), INDEX($AB$1004:$AQ$1004,1,MATCH(COLUMNS($AB$1006:AO1006),$AB$1006:$AQ$1006,0)))),"Fix")))</f>
        <v>0</v>
      </c>
      <c r="P600" s="5">
        <f>IF(OR(INDEX($V$2:$V$1001,MATCH(ROWS($U$2:U600),$U$2:$U$1001,0),1)&gt;=100000,INDEX($AB$1005:$AQ$1005,1,MATCH(COLUMNS($AB$1006:AP1006),$AB$1006:$AQ$1006,0))&gt;=100000), " ",IF(INDEX($AB$2:$AQ$1001,MATCH(ROWS($U$2:U600),$U$2:$U$1001,0),MATCH(COLUMNS($AB$1006:AP1006),$AB$1006:$AQ$1006,0)), HYPERLINK("#",""), HYPERLINK(CONCATENATE("#Metadata!", ADDRESS(INDEX($W$2:$W$1001,MATCH(ROWS($U$2:U600),$U$2:$U$1001,0),0), INDEX($AB$1004:$AQ$1004,1,MATCH(COLUMNS($AB$1006:AP1006),$AB$1006:$AQ$1006,0)))),"Fix")))</f>
        <v>0</v>
      </c>
      <c r="Q600" s="5">
        <f>IF(OR(INDEX($V$2:$V$1001,MATCH(ROWS($U$2:U600),$U$2:$U$1001,0),1)&gt;=100000,INDEX($AB$1005:$AQ$1005,1,MATCH(COLUMNS($AB$1006:AQ1006),$AB$1006:$AQ$1006,0))&gt;=100000), " ",IF(INDEX($AB$2:$AQ$1001,MATCH(ROWS($U$2:U600),$U$2:$U$1001,0),MATCH(COLUMNS($AB$1006:AQ1006),$AB$1006:$AQ$1006,0)), HYPERLINK("#",""), HYPERLINK(CONCATENATE("#Metadata!", ADDRESS(INDEX($W$2:$W$1001,MATCH(ROWS($U$2:U600),$U$2:$U$1001,0),0), INDEX($AB$1004:$AQ$1004,1,MATCH(COLUMNS($AB$1006:AQ1006),$AB$1006:$AQ$1006,0)))),"Fix")))</f>
        <v>0</v>
      </c>
      <c r="U600">
        <v>0</v>
      </c>
      <c r="V600">
        <v>0</v>
      </c>
      <c r="W600">
        <v>0</v>
      </c>
      <c r="X600">
        <f>IF(Y600,TRUE,AND(AB600:AQ600))</f>
        <v>0</v>
      </c>
      <c r="Y600">
        <f>COUNTBLANK(Metadata!B600:Q600)=COLUMNS(Metadata!B600:Q600)</f>
        <v>0</v>
      </c>
      <c r="Z600">
        <v>0</v>
      </c>
      <c r="AB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AC600">
        <f>AND(IF(Metadata!C600="",FALSE,TRUE),exact(Metadata!C600,"urban biome"))</f>
        <v>0</v>
      </c>
      <c r="AD600">
        <f>AND(IF(Metadata!D600="",FALSE,TRUE),exact(Metadata!D600,"human-associated habitat"))</f>
        <v>0</v>
      </c>
      <c r="AE600">
        <f>AND(IF(Metadata!E600="",FALSE,TRUE),OR(exact(Metadata!E600,"human-associated"),exact(Metadata!E600,"human-skin"),exact(Metadata!E600,"human-oral"),exact(Metadata!E600,"human-gut"),exact(Metadata!E600,"human-vaginal")))</f>
        <v>0</v>
      </c>
      <c r="AF600">
        <f>AND(IF(Metadata!F600="",FALSE,ISNUMBER(VALUE(Metadata!F600))),Metadata!F600&gt;0)</f>
        <v>0</v>
      </c>
      <c r="AG600">
        <f>AND(IF(Metadata!G600="",FALSE,TRUE),exact(Metadata!G600,"years"))</f>
        <v>0</v>
      </c>
      <c r="AH600">
        <f>OR(AND(IF(Metadata!H600="",FALSE,TRUE),OR(exact(Metadata!H600,"not applicable"),exact(Metadata!H600,"not collected"),exact(Metadata!H600,"not provided"),exact(Metadata!H600,"restricted access"))),AND(IF(Metadata!H600="",FALSE,ISNUMBER(VALUE(Metadata!H600))),Metadata!H600&gt;0))</f>
        <v>0</v>
      </c>
      <c r="AI600">
        <f>AND(IF(Metadata!I600="",FALSE,TRUE),exact(Metadata!I600,"human"))</f>
        <v>0</v>
      </c>
      <c r="AJ600">
        <f>AND(IF(Metadata!J600="",FALSE,ISNUMBER(VALUE(Metadata!J600))),Metadata!J600&gt;0)</f>
        <v>0</v>
      </c>
      <c r="AK600">
        <f>AND(IF(Metadata!K600="",FALSE,TRUE),exact(Metadata!K600,"cm"))</f>
        <v>0</v>
      </c>
      <c r="AL600">
        <f>AND(IF(Metadata!L600="",FALSE,TRUE),exact(Metadata!L600,"Homo sapiens"))</f>
        <v>0</v>
      </c>
      <c r="AM600">
        <f>AND(IF(Metadata!M600="",FALSE,TRUE),exact(Metadata!M600,"9606"))</f>
        <v>0</v>
      </c>
      <c r="AN600">
        <f>AND(IF(Metadata!N600="",FALSE,ISNUMBER(VALUE(Metadata!N600))),Metadata!N600&gt;0)</f>
        <v>0</v>
      </c>
      <c r="AO600">
        <f>AND(IF(Metadata!O600="",FALSE,TRUE),exact(Metadata!O600,"kg"))</f>
        <v>0</v>
      </c>
      <c r="AP600">
        <f>OR(AND(IF(Metadata!P600="",FALSE,TRUE),exact(Metadata!P600,"not provided")),IF(Metadata!P600="",FALSE,TRUE))</f>
        <v>0</v>
      </c>
      <c r="AQ600">
        <f>OR(AND(IF(Metadata!Q600="",FALSE,TRUE),exact(Metadata!Q600,"not provided")),IF(Metadata!Q600="",FALSE,TRUE))</f>
        <v>0</v>
      </c>
    </row>
    <row r="601" spans="1:43">
      <c r="A601" s="4">
        <f>IF(B601=" "," ",HYPERLINK(CONCATENATE("#metadata!",ADDRESS(INDEX($W$2:$W$1001,MATCH(ROWS($U$2:U601),$U$2:$U$1001,0),0),2)),INDEX($Z$2:$Z$1001,MATCH(ROWS($U$2:U601),$U$2:$U$1001,0),0)))</f>
        <v>0</v>
      </c>
      <c r="B601" s="5">
        <f>IF(OR(INDEX($V$2:$V$1001,MATCH(ROWS($U$2:U601),$U$2:$U$1001,0),1)&gt;=100000,INDEX($AB$1005:$AQ$1005,1,MATCH(COLUMNS($AB$1006:AB1006),$AB$1006:$AQ$1006,0))&gt;=100000), " ",IF(INDEX($AB$2:$AQ$1001,MATCH(ROWS($U$2:U601),$U$2:$U$1001,0),MATCH(COLUMNS($AB$1006:AB1006),$AB$1006:$AQ$1006,0)), HYPERLINK("#",""), HYPERLINK(CONCATENATE("#Metadata!", ADDRESS(INDEX($W$2:$W$1001,MATCH(ROWS($U$2:U601),$U$2:$U$1001,0),0), INDEX($AB$1004:$AQ$1004,1,MATCH(COLUMNS($AB$1006:AB1006),$AB$1006:$AQ$1006,0)))),"Fix")))</f>
        <v>0</v>
      </c>
      <c r="C601" s="5">
        <f>IF(OR(INDEX($V$2:$V$1001,MATCH(ROWS($U$2:U601),$U$2:$U$1001,0),1)&gt;=100000,INDEX($AB$1005:$AQ$1005,1,MATCH(COLUMNS($AB$1006:AC1006),$AB$1006:$AQ$1006,0))&gt;=100000), " ",IF(INDEX($AB$2:$AQ$1001,MATCH(ROWS($U$2:U601),$U$2:$U$1001,0),MATCH(COLUMNS($AB$1006:AC1006),$AB$1006:$AQ$1006,0)), HYPERLINK("#",""), HYPERLINK(CONCATENATE("#Metadata!", ADDRESS(INDEX($W$2:$W$1001,MATCH(ROWS($U$2:U601),$U$2:$U$1001,0),0), INDEX($AB$1004:$AQ$1004,1,MATCH(COLUMNS($AB$1006:AC1006),$AB$1006:$AQ$1006,0)))),"Fix")))</f>
        <v>0</v>
      </c>
      <c r="D601" s="5">
        <f>IF(OR(INDEX($V$2:$V$1001,MATCH(ROWS($U$2:U601),$U$2:$U$1001,0),1)&gt;=100000,INDEX($AB$1005:$AQ$1005,1,MATCH(COLUMNS($AB$1006:AD1006),$AB$1006:$AQ$1006,0))&gt;=100000), " ",IF(INDEX($AB$2:$AQ$1001,MATCH(ROWS($U$2:U601),$U$2:$U$1001,0),MATCH(COLUMNS($AB$1006:AD1006),$AB$1006:$AQ$1006,0)), HYPERLINK("#",""), HYPERLINK(CONCATENATE("#Metadata!", ADDRESS(INDEX($W$2:$W$1001,MATCH(ROWS($U$2:U601),$U$2:$U$1001,0),0), INDEX($AB$1004:$AQ$1004,1,MATCH(COLUMNS($AB$1006:AD1006),$AB$1006:$AQ$1006,0)))),"Fix")))</f>
        <v>0</v>
      </c>
      <c r="E601" s="5">
        <f>IF(OR(INDEX($V$2:$V$1001,MATCH(ROWS($U$2:U601),$U$2:$U$1001,0),1)&gt;=100000,INDEX($AB$1005:$AQ$1005,1,MATCH(COLUMNS($AB$1006:AE1006),$AB$1006:$AQ$1006,0))&gt;=100000), " ",IF(INDEX($AB$2:$AQ$1001,MATCH(ROWS($U$2:U601),$U$2:$U$1001,0),MATCH(COLUMNS($AB$1006:AE1006),$AB$1006:$AQ$1006,0)), HYPERLINK("#",""), HYPERLINK(CONCATENATE("#Metadata!", ADDRESS(INDEX($W$2:$W$1001,MATCH(ROWS($U$2:U601),$U$2:$U$1001,0),0), INDEX($AB$1004:$AQ$1004,1,MATCH(COLUMNS($AB$1006:AE1006),$AB$1006:$AQ$1006,0)))),"Fix")))</f>
        <v>0</v>
      </c>
      <c r="F601" s="5">
        <f>IF(OR(INDEX($V$2:$V$1001,MATCH(ROWS($U$2:U601),$U$2:$U$1001,0),1)&gt;=100000,INDEX($AB$1005:$AQ$1005,1,MATCH(COLUMNS($AB$1006:AF1006),$AB$1006:$AQ$1006,0))&gt;=100000), " ",IF(INDEX($AB$2:$AQ$1001,MATCH(ROWS($U$2:U601),$U$2:$U$1001,0),MATCH(COLUMNS($AB$1006:AF1006),$AB$1006:$AQ$1006,0)), HYPERLINK("#",""), HYPERLINK(CONCATENATE("#Metadata!", ADDRESS(INDEX($W$2:$W$1001,MATCH(ROWS($U$2:U601),$U$2:$U$1001,0),0), INDEX($AB$1004:$AQ$1004,1,MATCH(COLUMNS($AB$1006:AF1006),$AB$1006:$AQ$1006,0)))),"Fix")))</f>
        <v>0</v>
      </c>
      <c r="G601" s="5">
        <f>IF(OR(INDEX($V$2:$V$1001,MATCH(ROWS($U$2:U601),$U$2:$U$1001,0),1)&gt;=100000,INDEX($AB$1005:$AQ$1005,1,MATCH(COLUMNS($AB$1006:AG1006),$AB$1006:$AQ$1006,0))&gt;=100000), " ",IF(INDEX($AB$2:$AQ$1001,MATCH(ROWS($U$2:U601),$U$2:$U$1001,0),MATCH(COLUMNS($AB$1006:AG1006),$AB$1006:$AQ$1006,0)), HYPERLINK("#",""), HYPERLINK(CONCATENATE("#Metadata!", ADDRESS(INDEX($W$2:$W$1001,MATCH(ROWS($U$2:U601),$U$2:$U$1001,0),0), INDEX($AB$1004:$AQ$1004,1,MATCH(COLUMNS($AB$1006:AG1006),$AB$1006:$AQ$1006,0)))),"Fix")))</f>
        <v>0</v>
      </c>
      <c r="H601" s="5">
        <f>IF(OR(INDEX($V$2:$V$1001,MATCH(ROWS($U$2:U601),$U$2:$U$1001,0),1)&gt;=100000,INDEX($AB$1005:$AQ$1005,1,MATCH(COLUMNS($AB$1006:AH1006),$AB$1006:$AQ$1006,0))&gt;=100000), " ",IF(INDEX($AB$2:$AQ$1001,MATCH(ROWS($U$2:U601),$U$2:$U$1001,0),MATCH(COLUMNS($AB$1006:AH1006),$AB$1006:$AQ$1006,0)), HYPERLINK("#",""), HYPERLINK(CONCATENATE("#Metadata!", ADDRESS(INDEX($W$2:$W$1001,MATCH(ROWS($U$2:U601),$U$2:$U$1001,0),0), INDEX($AB$1004:$AQ$1004,1,MATCH(COLUMNS($AB$1006:AH1006),$AB$1006:$AQ$1006,0)))),"Fix")))</f>
        <v>0</v>
      </c>
      <c r="I601" s="5">
        <f>IF(OR(INDEX($V$2:$V$1001,MATCH(ROWS($U$2:U601),$U$2:$U$1001,0),1)&gt;=100000,INDEX($AB$1005:$AQ$1005,1,MATCH(COLUMNS($AB$1006:AI1006),$AB$1006:$AQ$1006,0))&gt;=100000), " ",IF(INDEX($AB$2:$AQ$1001,MATCH(ROWS($U$2:U601),$U$2:$U$1001,0),MATCH(COLUMNS($AB$1006:AI1006),$AB$1006:$AQ$1006,0)), HYPERLINK("#",""), HYPERLINK(CONCATENATE("#Metadata!", ADDRESS(INDEX($W$2:$W$1001,MATCH(ROWS($U$2:U601),$U$2:$U$1001,0),0), INDEX($AB$1004:$AQ$1004,1,MATCH(COLUMNS($AB$1006:AI1006),$AB$1006:$AQ$1006,0)))),"Fix")))</f>
        <v>0</v>
      </c>
      <c r="J601" s="5">
        <f>IF(OR(INDEX($V$2:$V$1001,MATCH(ROWS($U$2:U601),$U$2:$U$1001,0),1)&gt;=100000,INDEX($AB$1005:$AQ$1005,1,MATCH(COLUMNS($AB$1006:AJ1006),$AB$1006:$AQ$1006,0))&gt;=100000), " ",IF(INDEX($AB$2:$AQ$1001,MATCH(ROWS($U$2:U601),$U$2:$U$1001,0),MATCH(COLUMNS($AB$1006:AJ1006),$AB$1006:$AQ$1006,0)), HYPERLINK("#",""), HYPERLINK(CONCATENATE("#Metadata!", ADDRESS(INDEX($W$2:$W$1001,MATCH(ROWS($U$2:U601),$U$2:$U$1001,0),0), INDEX($AB$1004:$AQ$1004,1,MATCH(COLUMNS($AB$1006:AJ1006),$AB$1006:$AQ$1006,0)))),"Fix")))</f>
        <v>0</v>
      </c>
      <c r="K601" s="5">
        <f>IF(OR(INDEX($V$2:$V$1001,MATCH(ROWS($U$2:U601),$U$2:$U$1001,0),1)&gt;=100000,INDEX($AB$1005:$AQ$1005,1,MATCH(COLUMNS($AB$1006:AK1006),$AB$1006:$AQ$1006,0))&gt;=100000), " ",IF(INDEX($AB$2:$AQ$1001,MATCH(ROWS($U$2:U601),$U$2:$U$1001,0),MATCH(COLUMNS($AB$1006:AK1006),$AB$1006:$AQ$1006,0)), HYPERLINK("#",""), HYPERLINK(CONCATENATE("#Metadata!", ADDRESS(INDEX($W$2:$W$1001,MATCH(ROWS($U$2:U601),$U$2:$U$1001,0),0), INDEX($AB$1004:$AQ$1004,1,MATCH(COLUMNS($AB$1006:AK1006),$AB$1006:$AQ$1006,0)))),"Fix")))</f>
        <v>0</v>
      </c>
      <c r="L601" s="5">
        <f>IF(OR(INDEX($V$2:$V$1001,MATCH(ROWS($U$2:U601),$U$2:$U$1001,0),1)&gt;=100000,INDEX($AB$1005:$AQ$1005,1,MATCH(COLUMNS($AB$1006:AL1006),$AB$1006:$AQ$1006,0))&gt;=100000), " ",IF(INDEX($AB$2:$AQ$1001,MATCH(ROWS($U$2:U601),$U$2:$U$1001,0),MATCH(COLUMNS($AB$1006:AL1006),$AB$1006:$AQ$1006,0)), HYPERLINK("#",""), HYPERLINK(CONCATENATE("#Metadata!", ADDRESS(INDEX($W$2:$W$1001,MATCH(ROWS($U$2:U601),$U$2:$U$1001,0),0), INDEX($AB$1004:$AQ$1004,1,MATCH(COLUMNS($AB$1006:AL1006),$AB$1006:$AQ$1006,0)))),"Fix")))</f>
        <v>0</v>
      </c>
      <c r="M601" s="5">
        <f>IF(OR(INDEX($V$2:$V$1001,MATCH(ROWS($U$2:U601),$U$2:$U$1001,0),1)&gt;=100000,INDEX($AB$1005:$AQ$1005,1,MATCH(COLUMNS($AB$1006:AM1006),$AB$1006:$AQ$1006,0))&gt;=100000), " ",IF(INDEX($AB$2:$AQ$1001,MATCH(ROWS($U$2:U601),$U$2:$U$1001,0),MATCH(COLUMNS($AB$1006:AM1006),$AB$1006:$AQ$1006,0)), HYPERLINK("#",""), HYPERLINK(CONCATENATE("#Metadata!", ADDRESS(INDEX($W$2:$W$1001,MATCH(ROWS($U$2:U601),$U$2:$U$1001,0),0), INDEX($AB$1004:$AQ$1004,1,MATCH(COLUMNS($AB$1006:AM1006),$AB$1006:$AQ$1006,0)))),"Fix")))</f>
        <v>0</v>
      </c>
      <c r="N601" s="5">
        <f>IF(OR(INDEX($V$2:$V$1001,MATCH(ROWS($U$2:U601),$U$2:$U$1001,0),1)&gt;=100000,INDEX($AB$1005:$AQ$1005,1,MATCH(COLUMNS($AB$1006:AN1006),$AB$1006:$AQ$1006,0))&gt;=100000), " ",IF(INDEX($AB$2:$AQ$1001,MATCH(ROWS($U$2:U601),$U$2:$U$1001,0),MATCH(COLUMNS($AB$1006:AN1006),$AB$1006:$AQ$1006,0)), HYPERLINK("#",""), HYPERLINK(CONCATENATE("#Metadata!", ADDRESS(INDEX($W$2:$W$1001,MATCH(ROWS($U$2:U601),$U$2:$U$1001,0),0), INDEX($AB$1004:$AQ$1004,1,MATCH(COLUMNS($AB$1006:AN1006),$AB$1006:$AQ$1006,0)))),"Fix")))</f>
        <v>0</v>
      </c>
      <c r="O601" s="5">
        <f>IF(OR(INDEX($V$2:$V$1001,MATCH(ROWS($U$2:U601),$U$2:$U$1001,0),1)&gt;=100000,INDEX($AB$1005:$AQ$1005,1,MATCH(COLUMNS($AB$1006:AO1006),$AB$1006:$AQ$1006,0))&gt;=100000), " ",IF(INDEX($AB$2:$AQ$1001,MATCH(ROWS($U$2:U601),$U$2:$U$1001,0),MATCH(COLUMNS($AB$1006:AO1006),$AB$1006:$AQ$1006,0)), HYPERLINK("#",""), HYPERLINK(CONCATENATE("#Metadata!", ADDRESS(INDEX($W$2:$W$1001,MATCH(ROWS($U$2:U601),$U$2:$U$1001,0),0), INDEX($AB$1004:$AQ$1004,1,MATCH(COLUMNS($AB$1006:AO1006),$AB$1006:$AQ$1006,0)))),"Fix")))</f>
        <v>0</v>
      </c>
      <c r="P601" s="5">
        <f>IF(OR(INDEX($V$2:$V$1001,MATCH(ROWS($U$2:U601),$U$2:$U$1001,0),1)&gt;=100000,INDEX($AB$1005:$AQ$1005,1,MATCH(COLUMNS($AB$1006:AP1006),$AB$1006:$AQ$1006,0))&gt;=100000), " ",IF(INDEX($AB$2:$AQ$1001,MATCH(ROWS($U$2:U601),$U$2:$U$1001,0),MATCH(COLUMNS($AB$1006:AP1006),$AB$1006:$AQ$1006,0)), HYPERLINK("#",""), HYPERLINK(CONCATENATE("#Metadata!", ADDRESS(INDEX($W$2:$W$1001,MATCH(ROWS($U$2:U601),$U$2:$U$1001,0),0), INDEX($AB$1004:$AQ$1004,1,MATCH(COLUMNS($AB$1006:AP1006),$AB$1006:$AQ$1006,0)))),"Fix")))</f>
        <v>0</v>
      </c>
      <c r="Q601" s="5">
        <f>IF(OR(INDEX($V$2:$V$1001,MATCH(ROWS($U$2:U601),$U$2:$U$1001,0),1)&gt;=100000,INDEX($AB$1005:$AQ$1005,1,MATCH(COLUMNS($AB$1006:AQ1006),$AB$1006:$AQ$1006,0))&gt;=100000), " ",IF(INDEX($AB$2:$AQ$1001,MATCH(ROWS($U$2:U601),$U$2:$U$1001,0),MATCH(COLUMNS($AB$1006:AQ1006),$AB$1006:$AQ$1006,0)), HYPERLINK("#",""), HYPERLINK(CONCATENATE("#Metadata!", ADDRESS(INDEX($W$2:$W$1001,MATCH(ROWS($U$2:U601),$U$2:$U$1001,0),0), INDEX($AB$1004:$AQ$1004,1,MATCH(COLUMNS($AB$1006:AQ1006),$AB$1006:$AQ$1006,0)))),"Fix")))</f>
        <v>0</v>
      </c>
      <c r="U601">
        <v>0</v>
      </c>
      <c r="V601">
        <v>0</v>
      </c>
      <c r="W601">
        <v>0</v>
      </c>
      <c r="X601">
        <f>IF(Y601,TRUE,AND(AB601:AQ601))</f>
        <v>0</v>
      </c>
      <c r="Y601">
        <f>COUNTBLANK(Metadata!B601:Q601)=COLUMNS(Metadata!B601:Q601)</f>
        <v>0</v>
      </c>
      <c r="Z601">
        <v>0</v>
      </c>
      <c r="AB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AC601">
        <f>AND(IF(Metadata!C601="",FALSE,TRUE),exact(Metadata!C601,"urban biome"))</f>
        <v>0</v>
      </c>
      <c r="AD601">
        <f>AND(IF(Metadata!D601="",FALSE,TRUE),exact(Metadata!D601,"human-associated habitat"))</f>
        <v>0</v>
      </c>
      <c r="AE601">
        <f>AND(IF(Metadata!E601="",FALSE,TRUE),OR(exact(Metadata!E601,"human-associated"),exact(Metadata!E601,"human-skin"),exact(Metadata!E601,"human-oral"),exact(Metadata!E601,"human-gut"),exact(Metadata!E601,"human-vaginal")))</f>
        <v>0</v>
      </c>
      <c r="AF601">
        <f>AND(IF(Metadata!F601="",FALSE,ISNUMBER(VALUE(Metadata!F601))),Metadata!F601&gt;0)</f>
        <v>0</v>
      </c>
      <c r="AG601">
        <f>AND(IF(Metadata!G601="",FALSE,TRUE),exact(Metadata!G601,"years"))</f>
        <v>0</v>
      </c>
      <c r="AH601">
        <f>OR(AND(IF(Metadata!H601="",FALSE,TRUE),OR(exact(Metadata!H601,"not applicable"),exact(Metadata!H601,"not collected"),exact(Metadata!H601,"not provided"),exact(Metadata!H601,"restricted access"))),AND(IF(Metadata!H601="",FALSE,ISNUMBER(VALUE(Metadata!H601))),Metadata!H601&gt;0))</f>
        <v>0</v>
      </c>
      <c r="AI601">
        <f>AND(IF(Metadata!I601="",FALSE,TRUE),exact(Metadata!I601,"human"))</f>
        <v>0</v>
      </c>
      <c r="AJ601">
        <f>AND(IF(Metadata!J601="",FALSE,ISNUMBER(VALUE(Metadata!J601))),Metadata!J601&gt;0)</f>
        <v>0</v>
      </c>
      <c r="AK601">
        <f>AND(IF(Metadata!K601="",FALSE,TRUE),exact(Metadata!K601,"cm"))</f>
        <v>0</v>
      </c>
      <c r="AL601">
        <f>AND(IF(Metadata!L601="",FALSE,TRUE),exact(Metadata!L601,"Homo sapiens"))</f>
        <v>0</v>
      </c>
      <c r="AM601">
        <f>AND(IF(Metadata!M601="",FALSE,TRUE),exact(Metadata!M601,"9606"))</f>
        <v>0</v>
      </c>
      <c r="AN601">
        <f>AND(IF(Metadata!N601="",FALSE,ISNUMBER(VALUE(Metadata!N601))),Metadata!N601&gt;0)</f>
        <v>0</v>
      </c>
      <c r="AO601">
        <f>AND(IF(Metadata!O601="",FALSE,TRUE),exact(Metadata!O601,"kg"))</f>
        <v>0</v>
      </c>
      <c r="AP601">
        <f>OR(AND(IF(Metadata!P601="",FALSE,TRUE),exact(Metadata!P601,"not provided")),IF(Metadata!P601="",FALSE,TRUE))</f>
        <v>0</v>
      </c>
      <c r="AQ601">
        <f>OR(AND(IF(Metadata!Q601="",FALSE,TRUE),exact(Metadata!Q601,"not provided")),IF(Metadata!Q601="",FALSE,TRUE))</f>
        <v>0</v>
      </c>
    </row>
    <row r="602" spans="1:43">
      <c r="A602" s="4">
        <f>IF(B602=" "," ",HYPERLINK(CONCATENATE("#metadata!",ADDRESS(INDEX($W$2:$W$1001,MATCH(ROWS($U$2:U602),$U$2:$U$1001,0),0),2)),INDEX($Z$2:$Z$1001,MATCH(ROWS($U$2:U602),$U$2:$U$1001,0),0)))</f>
        <v>0</v>
      </c>
      <c r="B602" s="5">
        <f>IF(OR(INDEX($V$2:$V$1001,MATCH(ROWS($U$2:U602),$U$2:$U$1001,0),1)&gt;=100000,INDEX($AB$1005:$AQ$1005,1,MATCH(COLUMNS($AB$1006:AB1006),$AB$1006:$AQ$1006,0))&gt;=100000), " ",IF(INDEX($AB$2:$AQ$1001,MATCH(ROWS($U$2:U602),$U$2:$U$1001,0),MATCH(COLUMNS($AB$1006:AB1006),$AB$1006:$AQ$1006,0)), HYPERLINK("#",""), HYPERLINK(CONCATENATE("#Metadata!", ADDRESS(INDEX($W$2:$W$1001,MATCH(ROWS($U$2:U602),$U$2:$U$1001,0),0), INDEX($AB$1004:$AQ$1004,1,MATCH(COLUMNS($AB$1006:AB1006),$AB$1006:$AQ$1006,0)))),"Fix")))</f>
        <v>0</v>
      </c>
      <c r="C602" s="5">
        <f>IF(OR(INDEX($V$2:$V$1001,MATCH(ROWS($U$2:U602),$U$2:$U$1001,0),1)&gt;=100000,INDEX($AB$1005:$AQ$1005,1,MATCH(COLUMNS($AB$1006:AC1006),$AB$1006:$AQ$1006,0))&gt;=100000), " ",IF(INDEX($AB$2:$AQ$1001,MATCH(ROWS($U$2:U602),$U$2:$U$1001,0),MATCH(COLUMNS($AB$1006:AC1006),$AB$1006:$AQ$1006,0)), HYPERLINK("#",""), HYPERLINK(CONCATENATE("#Metadata!", ADDRESS(INDEX($W$2:$W$1001,MATCH(ROWS($U$2:U602),$U$2:$U$1001,0),0), INDEX($AB$1004:$AQ$1004,1,MATCH(COLUMNS($AB$1006:AC1006),$AB$1006:$AQ$1006,0)))),"Fix")))</f>
        <v>0</v>
      </c>
      <c r="D602" s="5">
        <f>IF(OR(INDEX($V$2:$V$1001,MATCH(ROWS($U$2:U602),$U$2:$U$1001,0),1)&gt;=100000,INDEX($AB$1005:$AQ$1005,1,MATCH(COLUMNS($AB$1006:AD1006),$AB$1006:$AQ$1006,0))&gt;=100000), " ",IF(INDEX($AB$2:$AQ$1001,MATCH(ROWS($U$2:U602),$U$2:$U$1001,0),MATCH(COLUMNS($AB$1006:AD1006),$AB$1006:$AQ$1006,0)), HYPERLINK("#",""), HYPERLINK(CONCATENATE("#Metadata!", ADDRESS(INDEX($W$2:$W$1001,MATCH(ROWS($U$2:U602),$U$2:$U$1001,0),0), INDEX($AB$1004:$AQ$1004,1,MATCH(COLUMNS($AB$1006:AD1006),$AB$1006:$AQ$1006,0)))),"Fix")))</f>
        <v>0</v>
      </c>
      <c r="E602" s="5">
        <f>IF(OR(INDEX($V$2:$V$1001,MATCH(ROWS($U$2:U602),$U$2:$U$1001,0),1)&gt;=100000,INDEX($AB$1005:$AQ$1005,1,MATCH(COLUMNS($AB$1006:AE1006),$AB$1006:$AQ$1006,0))&gt;=100000), " ",IF(INDEX($AB$2:$AQ$1001,MATCH(ROWS($U$2:U602),$U$2:$U$1001,0),MATCH(COLUMNS($AB$1006:AE1006),$AB$1006:$AQ$1006,0)), HYPERLINK("#",""), HYPERLINK(CONCATENATE("#Metadata!", ADDRESS(INDEX($W$2:$W$1001,MATCH(ROWS($U$2:U602),$U$2:$U$1001,0),0), INDEX($AB$1004:$AQ$1004,1,MATCH(COLUMNS($AB$1006:AE1006),$AB$1006:$AQ$1006,0)))),"Fix")))</f>
        <v>0</v>
      </c>
      <c r="F602" s="5">
        <f>IF(OR(INDEX($V$2:$V$1001,MATCH(ROWS($U$2:U602),$U$2:$U$1001,0),1)&gt;=100000,INDEX($AB$1005:$AQ$1005,1,MATCH(COLUMNS($AB$1006:AF1006),$AB$1006:$AQ$1006,0))&gt;=100000), " ",IF(INDEX($AB$2:$AQ$1001,MATCH(ROWS($U$2:U602),$U$2:$U$1001,0),MATCH(COLUMNS($AB$1006:AF1006),$AB$1006:$AQ$1006,0)), HYPERLINK("#",""), HYPERLINK(CONCATENATE("#Metadata!", ADDRESS(INDEX($W$2:$W$1001,MATCH(ROWS($U$2:U602),$U$2:$U$1001,0),0), INDEX($AB$1004:$AQ$1004,1,MATCH(COLUMNS($AB$1006:AF1006),$AB$1006:$AQ$1006,0)))),"Fix")))</f>
        <v>0</v>
      </c>
      <c r="G602" s="5">
        <f>IF(OR(INDEX($V$2:$V$1001,MATCH(ROWS($U$2:U602),$U$2:$U$1001,0),1)&gt;=100000,INDEX($AB$1005:$AQ$1005,1,MATCH(COLUMNS($AB$1006:AG1006),$AB$1006:$AQ$1006,0))&gt;=100000), " ",IF(INDEX($AB$2:$AQ$1001,MATCH(ROWS($U$2:U602),$U$2:$U$1001,0),MATCH(COLUMNS($AB$1006:AG1006),$AB$1006:$AQ$1006,0)), HYPERLINK("#",""), HYPERLINK(CONCATENATE("#Metadata!", ADDRESS(INDEX($W$2:$W$1001,MATCH(ROWS($U$2:U602),$U$2:$U$1001,0),0), INDEX($AB$1004:$AQ$1004,1,MATCH(COLUMNS($AB$1006:AG1006),$AB$1006:$AQ$1006,0)))),"Fix")))</f>
        <v>0</v>
      </c>
      <c r="H602" s="5">
        <f>IF(OR(INDEX($V$2:$V$1001,MATCH(ROWS($U$2:U602),$U$2:$U$1001,0),1)&gt;=100000,INDEX($AB$1005:$AQ$1005,1,MATCH(COLUMNS($AB$1006:AH1006),$AB$1006:$AQ$1006,0))&gt;=100000), " ",IF(INDEX($AB$2:$AQ$1001,MATCH(ROWS($U$2:U602),$U$2:$U$1001,0),MATCH(COLUMNS($AB$1006:AH1006),$AB$1006:$AQ$1006,0)), HYPERLINK("#",""), HYPERLINK(CONCATENATE("#Metadata!", ADDRESS(INDEX($W$2:$W$1001,MATCH(ROWS($U$2:U602),$U$2:$U$1001,0),0), INDEX($AB$1004:$AQ$1004,1,MATCH(COLUMNS($AB$1006:AH1006),$AB$1006:$AQ$1006,0)))),"Fix")))</f>
        <v>0</v>
      </c>
      <c r="I602" s="5">
        <f>IF(OR(INDEX($V$2:$V$1001,MATCH(ROWS($U$2:U602),$U$2:$U$1001,0),1)&gt;=100000,INDEX($AB$1005:$AQ$1005,1,MATCH(COLUMNS($AB$1006:AI1006),$AB$1006:$AQ$1006,0))&gt;=100000), " ",IF(INDEX($AB$2:$AQ$1001,MATCH(ROWS($U$2:U602),$U$2:$U$1001,0),MATCH(COLUMNS($AB$1006:AI1006),$AB$1006:$AQ$1006,0)), HYPERLINK("#",""), HYPERLINK(CONCATENATE("#Metadata!", ADDRESS(INDEX($W$2:$W$1001,MATCH(ROWS($U$2:U602),$U$2:$U$1001,0),0), INDEX($AB$1004:$AQ$1004,1,MATCH(COLUMNS($AB$1006:AI1006),$AB$1006:$AQ$1006,0)))),"Fix")))</f>
        <v>0</v>
      </c>
      <c r="J602" s="5">
        <f>IF(OR(INDEX($V$2:$V$1001,MATCH(ROWS($U$2:U602),$U$2:$U$1001,0),1)&gt;=100000,INDEX($AB$1005:$AQ$1005,1,MATCH(COLUMNS($AB$1006:AJ1006),$AB$1006:$AQ$1006,0))&gt;=100000), " ",IF(INDEX($AB$2:$AQ$1001,MATCH(ROWS($U$2:U602),$U$2:$U$1001,0),MATCH(COLUMNS($AB$1006:AJ1006),$AB$1006:$AQ$1006,0)), HYPERLINK("#",""), HYPERLINK(CONCATENATE("#Metadata!", ADDRESS(INDEX($W$2:$W$1001,MATCH(ROWS($U$2:U602),$U$2:$U$1001,0),0), INDEX($AB$1004:$AQ$1004,1,MATCH(COLUMNS($AB$1006:AJ1006),$AB$1006:$AQ$1006,0)))),"Fix")))</f>
        <v>0</v>
      </c>
      <c r="K602" s="5">
        <f>IF(OR(INDEX($V$2:$V$1001,MATCH(ROWS($U$2:U602),$U$2:$U$1001,0),1)&gt;=100000,INDEX($AB$1005:$AQ$1005,1,MATCH(COLUMNS($AB$1006:AK1006),$AB$1006:$AQ$1006,0))&gt;=100000), " ",IF(INDEX($AB$2:$AQ$1001,MATCH(ROWS($U$2:U602),$U$2:$U$1001,0),MATCH(COLUMNS($AB$1006:AK1006),$AB$1006:$AQ$1006,0)), HYPERLINK("#",""), HYPERLINK(CONCATENATE("#Metadata!", ADDRESS(INDEX($W$2:$W$1001,MATCH(ROWS($U$2:U602),$U$2:$U$1001,0),0), INDEX($AB$1004:$AQ$1004,1,MATCH(COLUMNS($AB$1006:AK1006),$AB$1006:$AQ$1006,0)))),"Fix")))</f>
        <v>0</v>
      </c>
      <c r="L602" s="5">
        <f>IF(OR(INDEX($V$2:$V$1001,MATCH(ROWS($U$2:U602),$U$2:$U$1001,0),1)&gt;=100000,INDEX($AB$1005:$AQ$1005,1,MATCH(COLUMNS($AB$1006:AL1006),$AB$1006:$AQ$1006,0))&gt;=100000), " ",IF(INDEX($AB$2:$AQ$1001,MATCH(ROWS($U$2:U602),$U$2:$U$1001,0),MATCH(COLUMNS($AB$1006:AL1006),$AB$1006:$AQ$1006,0)), HYPERLINK("#",""), HYPERLINK(CONCATENATE("#Metadata!", ADDRESS(INDEX($W$2:$W$1001,MATCH(ROWS($U$2:U602),$U$2:$U$1001,0),0), INDEX($AB$1004:$AQ$1004,1,MATCH(COLUMNS($AB$1006:AL1006),$AB$1006:$AQ$1006,0)))),"Fix")))</f>
        <v>0</v>
      </c>
      <c r="M602" s="5">
        <f>IF(OR(INDEX($V$2:$V$1001,MATCH(ROWS($U$2:U602),$U$2:$U$1001,0),1)&gt;=100000,INDEX($AB$1005:$AQ$1005,1,MATCH(COLUMNS($AB$1006:AM1006),$AB$1006:$AQ$1006,0))&gt;=100000), " ",IF(INDEX($AB$2:$AQ$1001,MATCH(ROWS($U$2:U602),$U$2:$U$1001,0),MATCH(COLUMNS($AB$1006:AM1006),$AB$1006:$AQ$1006,0)), HYPERLINK("#",""), HYPERLINK(CONCATENATE("#Metadata!", ADDRESS(INDEX($W$2:$W$1001,MATCH(ROWS($U$2:U602),$U$2:$U$1001,0),0), INDEX($AB$1004:$AQ$1004,1,MATCH(COLUMNS($AB$1006:AM1006),$AB$1006:$AQ$1006,0)))),"Fix")))</f>
        <v>0</v>
      </c>
      <c r="N602" s="5">
        <f>IF(OR(INDEX($V$2:$V$1001,MATCH(ROWS($U$2:U602),$U$2:$U$1001,0),1)&gt;=100000,INDEX($AB$1005:$AQ$1005,1,MATCH(COLUMNS($AB$1006:AN1006),$AB$1006:$AQ$1006,0))&gt;=100000), " ",IF(INDEX($AB$2:$AQ$1001,MATCH(ROWS($U$2:U602),$U$2:$U$1001,0),MATCH(COLUMNS($AB$1006:AN1006),$AB$1006:$AQ$1006,0)), HYPERLINK("#",""), HYPERLINK(CONCATENATE("#Metadata!", ADDRESS(INDEX($W$2:$W$1001,MATCH(ROWS($U$2:U602),$U$2:$U$1001,0),0), INDEX($AB$1004:$AQ$1004,1,MATCH(COLUMNS($AB$1006:AN1006),$AB$1006:$AQ$1006,0)))),"Fix")))</f>
        <v>0</v>
      </c>
      <c r="O602" s="5">
        <f>IF(OR(INDEX($V$2:$V$1001,MATCH(ROWS($U$2:U602),$U$2:$U$1001,0),1)&gt;=100000,INDEX($AB$1005:$AQ$1005,1,MATCH(COLUMNS($AB$1006:AO1006),$AB$1006:$AQ$1006,0))&gt;=100000), " ",IF(INDEX($AB$2:$AQ$1001,MATCH(ROWS($U$2:U602),$U$2:$U$1001,0),MATCH(COLUMNS($AB$1006:AO1006),$AB$1006:$AQ$1006,0)), HYPERLINK("#",""), HYPERLINK(CONCATENATE("#Metadata!", ADDRESS(INDEX($W$2:$W$1001,MATCH(ROWS($U$2:U602),$U$2:$U$1001,0),0), INDEX($AB$1004:$AQ$1004,1,MATCH(COLUMNS($AB$1006:AO1006),$AB$1006:$AQ$1006,0)))),"Fix")))</f>
        <v>0</v>
      </c>
      <c r="P602" s="5">
        <f>IF(OR(INDEX($V$2:$V$1001,MATCH(ROWS($U$2:U602),$U$2:$U$1001,0),1)&gt;=100000,INDEX($AB$1005:$AQ$1005,1,MATCH(COLUMNS($AB$1006:AP1006),$AB$1006:$AQ$1006,0))&gt;=100000), " ",IF(INDEX($AB$2:$AQ$1001,MATCH(ROWS($U$2:U602),$U$2:$U$1001,0),MATCH(COLUMNS($AB$1006:AP1006),$AB$1006:$AQ$1006,0)), HYPERLINK("#",""), HYPERLINK(CONCATENATE("#Metadata!", ADDRESS(INDEX($W$2:$W$1001,MATCH(ROWS($U$2:U602),$U$2:$U$1001,0),0), INDEX($AB$1004:$AQ$1004,1,MATCH(COLUMNS($AB$1006:AP1006),$AB$1006:$AQ$1006,0)))),"Fix")))</f>
        <v>0</v>
      </c>
      <c r="Q602" s="5">
        <f>IF(OR(INDEX($V$2:$V$1001,MATCH(ROWS($U$2:U602),$U$2:$U$1001,0),1)&gt;=100000,INDEX($AB$1005:$AQ$1005,1,MATCH(COLUMNS($AB$1006:AQ1006),$AB$1006:$AQ$1006,0))&gt;=100000), " ",IF(INDEX($AB$2:$AQ$1001,MATCH(ROWS($U$2:U602),$U$2:$U$1001,0),MATCH(COLUMNS($AB$1006:AQ1006),$AB$1006:$AQ$1006,0)), HYPERLINK("#",""), HYPERLINK(CONCATENATE("#Metadata!", ADDRESS(INDEX($W$2:$W$1001,MATCH(ROWS($U$2:U602),$U$2:$U$1001,0),0), INDEX($AB$1004:$AQ$1004,1,MATCH(COLUMNS($AB$1006:AQ1006),$AB$1006:$AQ$1006,0)))),"Fix")))</f>
        <v>0</v>
      </c>
      <c r="U602">
        <v>0</v>
      </c>
      <c r="V602">
        <v>0</v>
      </c>
      <c r="W602">
        <v>0</v>
      </c>
      <c r="X602">
        <f>IF(Y602,TRUE,AND(AB602:AQ602))</f>
        <v>0</v>
      </c>
      <c r="Y602">
        <f>COUNTBLANK(Metadata!B602:Q602)=COLUMNS(Metadata!B602:Q602)</f>
        <v>0</v>
      </c>
      <c r="Z602">
        <v>0</v>
      </c>
      <c r="AB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AC602">
        <f>AND(IF(Metadata!C602="",FALSE,TRUE),exact(Metadata!C602,"urban biome"))</f>
        <v>0</v>
      </c>
      <c r="AD602">
        <f>AND(IF(Metadata!D602="",FALSE,TRUE),exact(Metadata!D602,"human-associated habitat"))</f>
        <v>0</v>
      </c>
      <c r="AE602">
        <f>AND(IF(Metadata!E602="",FALSE,TRUE),OR(exact(Metadata!E602,"human-associated"),exact(Metadata!E602,"human-skin"),exact(Metadata!E602,"human-oral"),exact(Metadata!E602,"human-gut"),exact(Metadata!E602,"human-vaginal")))</f>
        <v>0</v>
      </c>
      <c r="AF602">
        <f>AND(IF(Metadata!F602="",FALSE,ISNUMBER(VALUE(Metadata!F602))),Metadata!F602&gt;0)</f>
        <v>0</v>
      </c>
      <c r="AG602">
        <f>AND(IF(Metadata!G602="",FALSE,TRUE),exact(Metadata!G602,"years"))</f>
        <v>0</v>
      </c>
      <c r="AH602">
        <f>OR(AND(IF(Metadata!H602="",FALSE,TRUE),OR(exact(Metadata!H602,"not applicable"),exact(Metadata!H602,"not collected"),exact(Metadata!H602,"not provided"),exact(Metadata!H602,"restricted access"))),AND(IF(Metadata!H602="",FALSE,ISNUMBER(VALUE(Metadata!H602))),Metadata!H602&gt;0))</f>
        <v>0</v>
      </c>
      <c r="AI602">
        <f>AND(IF(Metadata!I602="",FALSE,TRUE),exact(Metadata!I602,"human"))</f>
        <v>0</v>
      </c>
      <c r="AJ602">
        <f>AND(IF(Metadata!J602="",FALSE,ISNUMBER(VALUE(Metadata!J602))),Metadata!J602&gt;0)</f>
        <v>0</v>
      </c>
      <c r="AK602">
        <f>AND(IF(Metadata!K602="",FALSE,TRUE),exact(Metadata!K602,"cm"))</f>
        <v>0</v>
      </c>
      <c r="AL602">
        <f>AND(IF(Metadata!L602="",FALSE,TRUE),exact(Metadata!L602,"Homo sapiens"))</f>
        <v>0</v>
      </c>
      <c r="AM602">
        <f>AND(IF(Metadata!M602="",FALSE,TRUE),exact(Metadata!M602,"9606"))</f>
        <v>0</v>
      </c>
      <c r="AN602">
        <f>AND(IF(Metadata!N602="",FALSE,ISNUMBER(VALUE(Metadata!N602))),Metadata!N602&gt;0)</f>
        <v>0</v>
      </c>
      <c r="AO602">
        <f>AND(IF(Metadata!O602="",FALSE,TRUE),exact(Metadata!O602,"kg"))</f>
        <v>0</v>
      </c>
      <c r="AP602">
        <f>OR(AND(IF(Metadata!P602="",FALSE,TRUE),exact(Metadata!P602,"not provided")),IF(Metadata!P602="",FALSE,TRUE))</f>
        <v>0</v>
      </c>
      <c r="AQ602">
        <f>OR(AND(IF(Metadata!Q602="",FALSE,TRUE),exact(Metadata!Q602,"not provided")),IF(Metadata!Q602="",FALSE,TRUE))</f>
        <v>0</v>
      </c>
    </row>
    <row r="603" spans="1:43">
      <c r="A603" s="4">
        <f>IF(B603=" "," ",HYPERLINK(CONCATENATE("#metadata!",ADDRESS(INDEX($W$2:$W$1001,MATCH(ROWS($U$2:U603),$U$2:$U$1001,0),0),2)),INDEX($Z$2:$Z$1001,MATCH(ROWS($U$2:U603),$U$2:$U$1001,0),0)))</f>
        <v>0</v>
      </c>
      <c r="B603" s="5">
        <f>IF(OR(INDEX($V$2:$V$1001,MATCH(ROWS($U$2:U603),$U$2:$U$1001,0),1)&gt;=100000,INDEX($AB$1005:$AQ$1005,1,MATCH(COLUMNS($AB$1006:AB1006),$AB$1006:$AQ$1006,0))&gt;=100000), " ",IF(INDEX($AB$2:$AQ$1001,MATCH(ROWS($U$2:U603),$U$2:$U$1001,0),MATCH(COLUMNS($AB$1006:AB1006),$AB$1006:$AQ$1006,0)), HYPERLINK("#",""), HYPERLINK(CONCATENATE("#Metadata!", ADDRESS(INDEX($W$2:$W$1001,MATCH(ROWS($U$2:U603),$U$2:$U$1001,0),0), INDEX($AB$1004:$AQ$1004,1,MATCH(COLUMNS($AB$1006:AB1006),$AB$1006:$AQ$1006,0)))),"Fix")))</f>
        <v>0</v>
      </c>
      <c r="C603" s="5">
        <f>IF(OR(INDEX($V$2:$V$1001,MATCH(ROWS($U$2:U603),$U$2:$U$1001,0),1)&gt;=100000,INDEX($AB$1005:$AQ$1005,1,MATCH(COLUMNS($AB$1006:AC1006),$AB$1006:$AQ$1006,0))&gt;=100000), " ",IF(INDEX($AB$2:$AQ$1001,MATCH(ROWS($U$2:U603),$U$2:$U$1001,0),MATCH(COLUMNS($AB$1006:AC1006),$AB$1006:$AQ$1006,0)), HYPERLINK("#",""), HYPERLINK(CONCATENATE("#Metadata!", ADDRESS(INDEX($W$2:$W$1001,MATCH(ROWS($U$2:U603),$U$2:$U$1001,0),0), INDEX($AB$1004:$AQ$1004,1,MATCH(COLUMNS($AB$1006:AC1006),$AB$1006:$AQ$1006,0)))),"Fix")))</f>
        <v>0</v>
      </c>
      <c r="D603" s="5">
        <f>IF(OR(INDEX($V$2:$V$1001,MATCH(ROWS($U$2:U603),$U$2:$U$1001,0),1)&gt;=100000,INDEX($AB$1005:$AQ$1005,1,MATCH(COLUMNS($AB$1006:AD1006),$AB$1006:$AQ$1006,0))&gt;=100000), " ",IF(INDEX($AB$2:$AQ$1001,MATCH(ROWS($U$2:U603),$U$2:$U$1001,0),MATCH(COLUMNS($AB$1006:AD1006),$AB$1006:$AQ$1006,0)), HYPERLINK("#",""), HYPERLINK(CONCATENATE("#Metadata!", ADDRESS(INDEX($W$2:$W$1001,MATCH(ROWS($U$2:U603),$U$2:$U$1001,0),0), INDEX($AB$1004:$AQ$1004,1,MATCH(COLUMNS($AB$1006:AD1006),$AB$1006:$AQ$1006,0)))),"Fix")))</f>
        <v>0</v>
      </c>
      <c r="E603" s="5">
        <f>IF(OR(INDEX($V$2:$V$1001,MATCH(ROWS($U$2:U603),$U$2:$U$1001,0),1)&gt;=100000,INDEX($AB$1005:$AQ$1005,1,MATCH(COLUMNS($AB$1006:AE1006),$AB$1006:$AQ$1006,0))&gt;=100000), " ",IF(INDEX($AB$2:$AQ$1001,MATCH(ROWS($U$2:U603),$U$2:$U$1001,0),MATCH(COLUMNS($AB$1006:AE1006),$AB$1006:$AQ$1006,0)), HYPERLINK("#",""), HYPERLINK(CONCATENATE("#Metadata!", ADDRESS(INDEX($W$2:$W$1001,MATCH(ROWS($U$2:U603),$U$2:$U$1001,0),0), INDEX($AB$1004:$AQ$1004,1,MATCH(COLUMNS($AB$1006:AE1006),$AB$1006:$AQ$1006,0)))),"Fix")))</f>
        <v>0</v>
      </c>
      <c r="F603" s="5">
        <f>IF(OR(INDEX($V$2:$V$1001,MATCH(ROWS($U$2:U603),$U$2:$U$1001,0),1)&gt;=100000,INDEX($AB$1005:$AQ$1005,1,MATCH(COLUMNS($AB$1006:AF1006),$AB$1006:$AQ$1006,0))&gt;=100000), " ",IF(INDEX($AB$2:$AQ$1001,MATCH(ROWS($U$2:U603),$U$2:$U$1001,0),MATCH(COLUMNS($AB$1006:AF1006),$AB$1006:$AQ$1006,0)), HYPERLINK("#",""), HYPERLINK(CONCATENATE("#Metadata!", ADDRESS(INDEX($W$2:$W$1001,MATCH(ROWS($U$2:U603),$U$2:$U$1001,0),0), INDEX($AB$1004:$AQ$1004,1,MATCH(COLUMNS($AB$1006:AF1006),$AB$1006:$AQ$1006,0)))),"Fix")))</f>
        <v>0</v>
      </c>
      <c r="G603" s="5">
        <f>IF(OR(INDEX($V$2:$V$1001,MATCH(ROWS($U$2:U603),$U$2:$U$1001,0),1)&gt;=100000,INDEX($AB$1005:$AQ$1005,1,MATCH(COLUMNS($AB$1006:AG1006),$AB$1006:$AQ$1006,0))&gt;=100000), " ",IF(INDEX($AB$2:$AQ$1001,MATCH(ROWS($U$2:U603),$U$2:$U$1001,0),MATCH(COLUMNS($AB$1006:AG1006),$AB$1006:$AQ$1006,0)), HYPERLINK("#",""), HYPERLINK(CONCATENATE("#Metadata!", ADDRESS(INDEX($W$2:$W$1001,MATCH(ROWS($U$2:U603),$U$2:$U$1001,0),0), INDEX($AB$1004:$AQ$1004,1,MATCH(COLUMNS($AB$1006:AG1006),$AB$1006:$AQ$1006,0)))),"Fix")))</f>
        <v>0</v>
      </c>
      <c r="H603" s="5">
        <f>IF(OR(INDEX($V$2:$V$1001,MATCH(ROWS($U$2:U603),$U$2:$U$1001,0),1)&gt;=100000,INDEX($AB$1005:$AQ$1005,1,MATCH(COLUMNS($AB$1006:AH1006),$AB$1006:$AQ$1006,0))&gt;=100000), " ",IF(INDEX($AB$2:$AQ$1001,MATCH(ROWS($U$2:U603),$U$2:$U$1001,0),MATCH(COLUMNS($AB$1006:AH1006),$AB$1006:$AQ$1006,0)), HYPERLINK("#",""), HYPERLINK(CONCATENATE("#Metadata!", ADDRESS(INDEX($W$2:$W$1001,MATCH(ROWS($U$2:U603),$U$2:$U$1001,0),0), INDEX($AB$1004:$AQ$1004,1,MATCH(COLUMNS($AB$1006:AH1006),$AB$1006:$AQ$1006,0)))),"Fix")))</f>
        <v>0</v>
      </c>
      <c r="I603" s="5">
        <f>IF(OR(INDEX($V$2:$V$1001,MATCH(ROWS($U$2:U603),$U$2:$U$1001,0),1)&gt;=100000,INDEX($AB$1005:$AQ$1005,1,MATCH(COLUMNS($AB$1006:AI1006),$AB$1006:$AQ$1006,0))&gt;=100000), " ",IF(INDEX($AB$2:$AQ$1001,MATCH(ROWS($U$2:U603),$U$2:$U$1001,0),MATCH(COLUMNS($AB$1006:AI1006),$AB$1006:$AQ$1006,0)), HYPERLINK("#",""), HYPERLINK(CONCATENATE("#Metadata!", ADDRESS(INDEX($W$2:$W$1001,MATCH(ROWS($U$2:U603),$U$2:$U$1001,0),0), INDEX($AB$1004:$AQ$1004,1,MATCH(COLUMNS($AB$1006:AI1006),$AB$1006:$AQ$1006,0)))),"Fix")))</f>
        <v>0</v>
      </c>
      <c r="J603" s="5">
        <f>IF(OR(INDEX($V$2:$V$1001,MATCH(ROWS($U$2:U603),$U$2:$U$1001,0),1)&gt;=100000,INDEX($AB$1005:$AQ$1005,1,MATCH(COLUMNS($AB$1006:AJ1006),$AB$1006:$AQ$1006,0))&gt;=100000), " ",IF(INDEX($AB$2:$AQ$1001,MATCH(ROWS($U$2:U603),$U$2:$U$1001,0),MATCH(COLUMNS($AB$1006:AJ1006),$AB$1006:$AQ$1006,0)), HYPERLINK("#",""), HYPERLINK(CONCATENATE("#Metadata!", ADDRESS(INDEX($W$2:$W$1001,MATCH(ROWS($U$2:U603),$U$2:$U$1001,0),0), INDEX($AB$1004:$AQ$1004,1,MATCH(COLUMNS($AB$1006:AJ1006),$AB$1006:$AQ$1006,0)))),"Fix")))</f>
        <v>0</v>
      </c>
      <c r="K603" s="5">
        <f>IF(OR(INDEX($V$2:$V$1001,MATCH(ROWS($U$2:U603),$U$2:$U$1001,0),1)&gt;=100000,INDEX($AB$1005:$AQ$1005,1,MATCH(COLUMNS($AB$1006:AK1006),$AB$1006:$AQ$1006,0))&gt;=100000), " ",IF(INDEX($AB$2:$AQ$1001,MATCH(ROWS($U$2:U603),$U$2:$U$1001,0),MATCH(COLUMNS($AB$1006:AK1006),$AB$1006:$AQ$1006,0)), HYPERLINK("#",""), HYPERLINK(CONCATENATE("#Metadata!", ADDRESS(INDEX($W$2:$W$1001,MATCH(ROWS($U$2:U603),$U$2:$U$1001,0),0), INDEX($AB$1004:$AQ$1004,1,MATCH(COLUMNS($AB$1006:AK1006),$AB$1006:$AQ$1006,0)))),"Fix")))</f>
        <v>0</v>
      </c>
      <c r="L603" s="5">
        <f>IF(OR(INDEX($V$2:$V$1001,MATCH(ROWS($U$2:U603),$U$2:$U$1001,0),1)&gt;=100000,INDEX($AB$1005:$AQ$1005,1,MATCH(COLUMNS($AB$1006:AL1006),$AB$1006:$AQ$1006,0))&gt;=100000), " ",IF(INDEX($AB$2:$AQ$1001,MATCH(ROWS($U$2:U603),$U$2:$U$1001,0),MATCH(COLUMNS($AB$1006:AL1006),$AB$1006:$AQ$1006,0)), HYPERLINK("#",""), HYPERLINK(CONCATENATE("#Metadata!", ADDRESS(INDEX($W$2:$W$1001,MATCH(ROWS($U$2:U603),$U$2:$U$1001,0),0), INDEX($AB$1004:$AQ$1004,1,MATCH(COLUMNS($AB$1006:AL1006),$AB$1006:$AQ$1006,0)))),"Fix")))</f>
        <v>0</v>
      </c>
      <c r="M603" s="5">
        <f>IF(OR(INDEX($V$2:$V$1001,MATCH(ROWS($U$2:U603),$U$2:$U$1001,0),1)&gt;=100000,INDEX($AB$1005:$AQ$1005,1,MATCH(COLUMNS($AB$1006:AM1006),$AB$1006:$AQ$1006,0))&gt;=100000), " ",IF(INDEX($AB$2:$AQ$1001,MATCH(ROWS($U$2:U603),$U$2:$U$1001,0),MATCH(COLUMNS($AB$1006:AM1006),$AB$1006:$AQ$1006,0)), HYPERLINK("#",""), HYPERLINK(CONCATENATE("#Metadata!", ADDRESS(INDEX($W$2:$W$1001,MATCH(ROWS($U$2:U603),$U$2:$U$1001,0),0), INDEX($AB$1004:$AQ$1004,1,MATCH(COLUMNS($AB$1006:AM1006),$AB$1006:$AQ$1006,0)))),"Fix")))</f>
        <v>0</v>
      </c>
      <c r="N603" s="5">
        <f>IF(OR(INDEX($V$2:$V$1001,MATCH(ROWS($U$2:U603),$U$2:$U$1001,0),1)&gt;=100000,INDEX($AB$1005:$AQ$1005,1,MATCH(COLUMNS($AB$1006:AN1006),$AB$1006:$AQ$1006,0))&gt;=100000), " ",IF(INDEX($AB$2:$AQ$1001,MATCH(ROWS($U$2:U603),$U$2:$U$1001,0),MATCH(COLUMNS($AB$1006:AN1006),$AB$1006:$AQ$1006,0)), HYPERLINK("#",""), HYPERLINK(CONCATENATE("#Metadata!", ADDRESS(INDEX($W$2:$W$1001,MATCH(ROWS($U$2:U603),$U$2:$U$1001,0),0), INDEX($AB$1004:$AQ$1004,1,MATCH(COLUMNS($AB$1006:AN1006),$AB$1006:$AQ$1006,0)))),"Fix")))</f>
        <v>0</v>
      </c>
      <c r="O603" s="5">
        <f>IF(OR(INDEX($V$2:$V$1001,MATCH(ROWS($U$2:U603),$U$2:$U$1001,0),1)&gt;=100000,INDEX($AB$1005:$AQ$1005,1,MATCH(COLUMNS($AB$1006:AO1006),$AB$1006:$AQ$1006,0))&gt;=100000), " ",IF(INDEX($AB$2:$AQ$1001,MATCH(ROWS($U$2:U603),$U$2:$U$1001,0),MATCH(COLUMNS($AB$1006:AO1006),$AB$1006:$AQ$1006,0)), HYPERLINK("#",""), HYPERLINK(CONCATENATE("#Metadata!", ADDRESS(INDEX($W$2:$W$1001,MATCH(ROWS($U$2:U603),$U$2:$U$1001,0),0), INDEX($AB$1004:$AQ$1004,1,MATCH(COLUMNS($AB$1006:AO1006),$AB$1006:$AQ$1006,0)))),"Fix")))</f>
        <v>0</v>
      </c>
      <c r="P603" s="5">
        <f>IF(OR(INDEX($V$2:$V$1001,MATCH(ROWS($U$2:U603),$U$2:$U$1001,0),1)&gt;=100000,INDEX($AB$1005:$AQ$1005,1,MATCH(COLUMNS($AB$1006:AP1006),$AB$1006:$AQ$1006,0))&gt;=100000), " ",IF(INDEX($AB$2:$AQ$1001,MATCH(ROWS($U$2:U603),$U$2:$U$1001,0),MATCH(COLUMNS($AB$1006:AP1006),$AB$1006:$AQ$1006,0)), HYPERLINK("#",""), HYPERLINK(CONCATENATE("#Metadata!", ADDRESS(INDEX($W$2:$W$1001,MATCH(ROWS($U$2:U603),$U$2:$U$1001,0),0), INDEX($AB$1004:$AQ$1004,1,MATCH(COLUMNS($AB$1006:AP1006),$AB$1006:$AQ$1006,0)))),"Fix")))</f>
        <v>0</v>
      </c>
      <c r="Q603" s="5">
        <f>IF(OR(INDEX($V$2:$V$1001,MATCH(ROWS($U$2:U603),$U$2:$U$1001,0),1)&gt;=100000,INDEX($AB$1005:$AQ$1005,1,MATCH(COLUMNS($AB$1006:AQ1006),$AB$1006:$AQ$1006,0))&gt;=100000), " ",IF(INDEX($AB$2:$AQ$1001,MATCH(ROWS($U$2:U603),$U$2:$U$1001,0),MATCH(COLUMNS($AB$1006:AQ1006),$AB$1006:$AQ$1006,0)), HYPERLINK("#",""), HYPERLINK(CONCATENATE("#Metadata!", ADDRESS(INDEX($W$2:$W$1001,MATCH(ROWS($U$2:U603),$U$2:$U$1001,0),0), INDEX($AB$1004:$AQ$1004,1,MATCH(COLUMNS($AB$1006:AQ1006),$AB$1006:$AQ$1006,0)))),"Fix")))</f>
        <v>0</v>
      </c>
      <c r="U603">
        <v>0</v>
      </c>
      <c r="V603">
        <v>0</v>
      </c>
      <c r="W603">
        <v>0</v>
      </c>
      <c r="X603">
        <f>IF(Y603,TRUE,AND(AB603:AQ603))</f>
        <v>0</v>
      </c>
      <c r="Y603">
        <f>COUNTBLANK(Metadata!B603:Q603)=COLUMNS(Metadata!B603:Q603)</f>
        <v>0</v>
      </c>
      <c r="Z603">
        <v>0</v>
      </c>
      <c r="AB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AC603">
        <f>AND(IF(Metadata!C603="",FALSE,TRUE),exact(Metadata!C603,"urban biome"))</f>
        <v>0</v>
      </c>
      <c r="AD603">
        <f>AND(IF(Metadata!D603="",FALSE,TRUE),exact(Metadata!D603,"human-associated habitat"))</f>
        <v>0</v>
      </c>
      <c r="AE603">
        <f>AND(IF(Metadata!E603="",FALSE,TRUE),OR(exact(Metadata!E603,"human-associated"),exact(Metadata!E603,"human-skin"),exact(Metadata!E603,"human-oral"),exact(Metadata!E603,"human-gut"),exact(Metadata!E603,"human-vaginal")))</f>
        <v>0</v>
      </c>
      <c r="AF603">
        <f>AND(IF(Metadata!F603="",FALSE,ISNUMBER(VALUE(Metadata!F603))),Metadata!F603&gt;0)</f>
        <v>0</v>
      </c>
      <c r="AG603">
        <f>AND(IF(Metadata!G603="",FALSE,TRUE),exact(Metadata!G603,"years"))</f>
        <v>0</v>
      </c>
      <c r="AH603">
        <f>OR(AND(IF(Metadata!H603="",FALSE,TRUE),OR(exact(Metadata!H603,"not applicable"),exact(Metadata!H603,"not collected"),exact(Metadata!H603,"not provided"),exact(Metadata!H603,"restricted access"))),AND(IF(Metadata!H603="",FALSE,ISNUMBER(VALUE(Metadata!H603))),Metadata!H603&gt;0))</f>
        <v>0</v>
      </c>
      <c r="AI603">
        <f>AND(IF(Metadata!I603="",FALSE,TRUE),exact(Metadata!I603,"human"))</f>
        <v>0</v>
      </c>
      <c r="AJ603">
        <f>AND(IF(Metadata!J603="",FALSE,ISNUMBER(VALUE(Metadata!J603))),Metadata!J603&gt;0)</f>
        <v>0</v>
      </c>
      <c r="AK603">
        <f>AND(IF(Metadata!K603="",FALSE,TRUE),exact(Metadata!K603,"cm"))</f>
        <v>0</v>
      </c>
      <c r="AL603">
        <f>AND(IF(Metadata!L603="",FALSE,TRUE),exact(Metadata!L603,"Homo sapiens"))</f>
        <v>0</v>
      </c>
      <c r="AM603">
        <f>AND(IF(Metadata!M603="",FALSE,TRUE),exact(Metadata!M603,"9606"))</f>
        <v>0</v>
      </c>
      <c r="AN603">
        <f>AND(IF(Metadata!N603="",FALSE,ISNUMBER(VALUE(Metadata!N603))),Metadata!N603&gt;0)</f>
        <v>0</v>
      </c>
      <c r="AO603">
        <f>AND(IF(Metadata!O603="",FALSE,TRUE),exact(Metadata!O603,"kg"))</f>
        <v>0</v>
      </c>
      <c r="AP603">
        <f>OR(AND(IF(Metadata!P603="",FALSE,TRUE),exact(Metadata!P603,"not provided")),IF(Metadata!P603="",FALSE,TRUE))</f>
        <v>0</v>
      </c>
      <c r="AQ603">
        <f>OR(AND(IF(Metadata!Q603="",FALSE,TRUE),exact(Metadata!Q603,"not provided")),IF(Metadata!Q603="",FALSE,TRUE))</f>
        <v>0</v>
      </c>
    </row>
    <row r="604" spans="1:43">
      <c r="A604" s="4">
        <f>IF(B604=" "," ",HYPERLINK(CONCATENATE("#metadata!",ADDRESS(INDEX($W$2:$W$1001,MATCH(ROWS($U$2:U604),$U$2:$U$1001,0),0),2)),INDEX($Z$2:$Z$1001,MATCH(ROWS($U$2:U604),$U$2:$U$1001,0),0)))</f>
        <v>0</v>
      </c>
      <c r="B604" s="5">
        <f>IF(OR(INDEX($V$2:$V$1001,MATCH(ROWS($U$2:U604),$U$2:$U$1001,0),1)&gt;=100000,INDEX($AB$1005:$AQ$1005,1,MATCH(COLUMNS($AB$1006:AB1006),$AB$1006:$AQ$1006,0))&gt;=100000), " ",IF(INDEX($AB$2:$AQ$1001,MATCH(ROWS($U$2:U604),$U$2:$U$1001,0),MATCH(COLUMNS($AB$1006:AB1006),$AB$1006:$AQ$1006,0)), HYPERLINK("#",""), HYPERLINK(CONCATENATE("#Metadata!", ADDRESS(INDEX($W$2:$W$1001,MATCH(ROWS($U$2:U604),$U$2:$U$1001,0),0), INDEX($AB$1004:$AQ$1004,1,MATCH(COLUMNS($AB$1006:AB1006),$AB$1006:$AQ$1006,0)))),"Fix")))</f>
        <v>0</v>
      </c>
      <c r="C604" s="5">
        <f>IF(OR(INDEX($V$2:$V$1001,MATCH(ROWS($U$2:U604),$U$2:$U$1001,0),1)&gt;=100000,INDEX($AB$1005:$AQ$1005,1,MATCH(COLUMNS($AB$1006:AC1006),$AB$1006:$AQ$1006,0))&gt;=100000), " ",IF(INDEX($AB$2:$AQ$1001,MATCH(ROWS($U$2:U604),$U$2:$U$1001,0),MATCH(COLUMNS($AB$1006:AC1006),$AB$1006:$AQ$1006,0)), HYPERLINK("#",""), HYPERLINK(CONCATENATE("#Metadata!", ADDRESS(INDEX($W$2:$W$1001,MATCH(ROWS($U$2:U604),$U$2:$U$1001,0),0), INDEX($AB$1004:$AQ$1004,1,MATCH(COLUMNS($AB$1006:AC1006),$AB$1006:$AQ$1006,0)))),"Fix")))</f>
        <v>0</v>
      </c>
      <c r="D604" s="5">
        <f>IF(OR(INDEX($V$2:$V$1001,MATCH(ROWS($U$2:U604),$U$2:$U$1001,0),1)&gt;=100000,INDEX($AB$1005:$AQ$1005,1,MATCH(COLUMNS($AB$1006:AD1006),$AB$1006:$AQ$1006,0))&gt;=100000), " ",IF(INDEX($AB$2:$AQ$1001,MATCH(ROWS($U$2:U604),$U$2:$U$1001,0),MATCH(COLUMNS($AB$1006:AD1006),$AB$1006:$AQ$1006,0)), HYPERLINK("#",""), HYPERLINK(CONCATENATE("#Metadata!", ADDRESS(INDEX($W$2:$W$1001,MATCH(ROWS($U$2:U604),$U$2:$U$1001,0),0), INDEX($AB$1004:$AQ$1004,1,MATCH(COLUMNS($AB$1006:AD1006),$AB$1006:$AQ$1006,0)))),"Fix")))</f>
        <v>0</v>
      </c>
      <c r="E604" s="5">
        <f>IF(OR(INDEX($V$2:$V$1001,MATCH(ROWS($U$2:U604),$U$2:$U$1001,0),1)&gt;=100000,INDEX($AB$1005:$AQ$1005,1,MATCH(COLUMNS($AB$1006:AE1006),$AB$1006:$AQ$1006,0))&gt;=100000), " ",IF(INDEX($AB$2:$AQ$1001,MATCH(ROWS($U$2:U604),$U$2:$U$1001,0),MATCH(COLUMNS($AB$1006:AE1006),$AB$1006:$AQ$1006,0)), HYPERLINK("#",""), HYPERLINK(CONCATENATE("#Metadata!", ADDRESS(INDEX($W$2:$W$1001,MATCH(ROWS($U$2:U604),$U$2:$U$1001,0),0), INDEX($AB$1004:$AQ$1004,1,MATCH(COLUMNS($AB$1006:AE1006),$AB$1006:$AQ$1006,0)))),"Fix")))</f>
        <v>0</v>
      </c>
      <c r="F604" s="5">
        <f>IF(OR(INDEX($V$2:$V$1001,MATCH(ROWS($U$2:U604),$U$2:$U$1001,0),1)&gt;=100000,INDEX($AB$1005:$AQ$1005,1,MATCH(COLUMNS($AB$1006:AF1006),$AB$1006:$AQ$1006,0))&gt;=100000), " ",IF(INDEX($AB$2:$AQ$1001,MATCH(ROWS($U$2:U604),$U$2:$U$1001,0),MATCH(COLUMNS($AB$1006:AF1006),$AB$1006:$AQ$1006,0)), HYPERLINK("#",""), HYPERLINK(CONCATENATE("#Metadata!", ADDRESS(INDEX($W$2:$W$1001,MATCH(ROWS($U$2:U604),$U$2:$U$1001,0),0), INDEX($AB$1004:$AQ$1004,1,MATCH(COLUMNS($AB$1006:AF1006),$AB$1006:$AQ$1006,0)))),"Fix")))</f>
        <v>0</v>
      </c>
      <c r="G604" s="5">
        <f>IF(OR(INDEX($V$2:$V$1001,MATCH(ROWS($U$2:U604),$U$2:$U$1001,0),1)&gt;=100000,INDEX($AB$1005:$AQ$1005,1,MATCH(COLUMNS($AB$1006:AG1006),$AB$1006:$AQ$1006,0))&gt;=100000), " ",IF(INDEX($AB$2:$AQ$1001,MATCH(ROWS($U$2:U604),$U$2:$U$1001,0),MATCH(COLUMNS($AB$1006:AG1006),$AB$1006:$AQ$1006,0)), HYPERLINK("#",""), HYPERLINK(CONCATENATE("#Metadata!", ADDRESS(INDEX($W$2:$W$1001,MATCH(ROWS($U$2:U604),$U$2:$U$1001,0),0), INDEX($AB$1004:$AQ$1004,1,MATCH(COLUMNS($AB$1006:AG1006),$AB$1006:$AQ$1006,0)))),"Fix")))</f>
        <v>0</v>
      </c>
      <c r="H604" s="5">
        <f>IF(OR(INDEX($V$2:$V$1001,MATCH(ROWS($U$2:U604),$U$2:$U$1001,0),1)&gt;=100000,INDEX($AB$1005:$AQ$1005,1,MATCH(COLUMNS($AB$1006:AH1006),$AB$1006:$AQ$1006,0))&gt;=100000), " ",IF(INDEX($AB$2:$AQ$1001,MATCH(ROWS($U$2:U604),$U$2:$U$1001,0),MATCH(COLUMNS($AB$1006:AH1006),$AB$1006:$AQ$1006,0)), HYPERLINK("#",""), HYPERLINK(CONCATENATE("#Metadata!", ADDRESS(INDEX($W$2:$W$1001,MATCH(ROWS($U$2:U604),$U$2:$U$1001,0),0), INDEX($AB$1004:$AQ$1004,1,MATCH(COLUMNS($AB$1006:AH1006),$AB$1006:$AQ$1006,0)))),"Fix")))</f>
        <v>0</v>
      </c>
      <c r="I604" s="5">
        <f>IF(OR(INDEX($V$2:$V$1001,MATCH(ROWS($U$2:U604),$U$2:$U$1001,0),1)&gt;=100000,INDEX($AB$1005:$AQ$1005,1,MATCH(COLUMNS($AB$1006:AI1006),$AB$1006:$AQ$1006,0))&gt;=100000), " ",IF(INDEX($AB$2:$AQ$1001,MATCH(ROWS($U$2:U604),$U$2:$U$1001,0),MATCH(COLUMNS($AB$1006:AI1006),$AB$1006:$AQ$1006,0)), HYPERLINK("#",""), HYPERLINK(CONCATENATE("#Metadata!", ADDRESS(INDEX($W$2:$W$1001,MATCH(ROWS($U$2:U604),$U$2:$U$1001,0),0), INDEX($AB$1004:$AQ$1004,1,MATCH(COLUMNS($AB$1006:AI1006),$AB$1006:$AQ$1006,0)))),"Fix")))</f>
        <v>0</v>
      </c>
      <c r="J604" s="5">
        <f>IF(OR(INDEX($V$2:$V$1001,MATCH(ROWS($U$2:U604),$U$2:$U$1001,0),1)&gt;=100000,INDEX($AB$1005:$AQ$1005,1,MATCH(COLUMNS($AB$1006:AJ1006),$AB$1006:$AQ$1006,0))&gt;=100000), " ",IF(INDEX($AB$2:$AQ$1001,MATCH(ROWS($U$2:U604),$U$2:$U$1001,0),MATCH(COLUMNS($AB$1006:AJ1006),$AB$1006:$AQ$1006,0)), HYPERLINK("#",""), HYPERLINK(CONCATENATE("#Metadata!", ADDRESS(INDEX($W$2:$W$1001,MATCH(ROWS($U$2:U604),$U$2:$U$1001,0),0), INDEX($AB$1004:$AQ$1004,1,MATCH(COLUMNS($AB$1006:AJ1006),$AB$1006:$AQ$1006,0)))),"Fix")))</f>
        <v>0</v>
      </c>
      <c r="K604" s="5">
        <f>IF(OR(INDEX($V$2:$V$1001,MATCH(ROWS($U$2:U604),$U$2:$U$1001,0),1)&gt;=100000,INDEX($AB$1005:$AQ$1005,1,MATCH(COLUMNS($AB$1006:AK1006),$AB$1006:$AQ$1006,0))&gt;=100000), " ",IF(INDEX($AB$2:$AQ$1001,MATCH(ROWS($U$2:U604),$U$2:$U$1001,0),MATCH(COLUMNS($AB$1006:AK1006),$AB$1006:$AQ$1006,0)), HYPERLINK("#",""), HYPERLINK(CONCATENATE("#Metadata!", ADDRESS(INDEX($W$2:$W$1001,MATCH(ROWS($U$2:U604),$U$2:$U$1001,0),0), INDEX($AB$1004:$AQ$1004,1,MATCH(COLUMNS($AB$1006:AK1006),$AB$1006:$AQ$1006,0)))),"Fix")))</f>
        <v>0</v>
      </c>
      <c r="L604" s="5">
        <f>IF(OR(INDEX($V$2:$V$1001,MATCH(ROWS($U$2:U604),$U$2:$U$1001,0),1)&gt;=100000,INDEX($AB$1005:$AQ$1005,1,MATCH(COLUMNS($AB$1006:AL1006),$AB$1006:$AQ$1006,0))&gt;=100000), " ",IF(INDEX($AB$2:$AQ$1001,MATCH(ROWS($U$2:U604),$U$2:$U$1001,0),MATCH(COLUMNS($AB$1006:AL1006),$AB$1006:$AQ$1006,0)), HYPERLINK("#",""), HYPERLINK(CONCATENATE("#Metadata!", ADDRESS(INDEX($W$2:$W$1001,MATCH(ROWS($U$2:U604),$U$2:$U$1001,0),0), INDEX($AB$1004:$AQ$1004,1,MATCH(COLUMNS($AB$1006:AL1006),$AB$1006:$AQ$1006,0)))),"Fix")))</f>
        <v>0</v>
      </c>
      <c r="M604" s="5">
        <f>IF(OR(INDEX($V$2:$V$1001,MATCH(ROWS($U$2:U604),$U$2:$U$1001,0),1)&gt;=100000,INDEX($AB$1005:$AQ$1005,1,MATCH(COLUMNS($AB$1006:AM1006),$AB$1006:$AQ$1006,0))&gt;=100000), " ",IF(INDEX($AB$2:$AQ$1001,MATCH(ROWS($U$2:U604),$U$2:$U$1001,0),MATCH(COLUMNS($AB$1006:AM1006),$AB$1006:$AQ$1006,0)), HYPERLINK("#",""), HYPERLINK(CONCATENATE("#Metadata!", ADDRESS(INDEX($W$2:$W$1001,MATCH(ROWS($U$2:U604),$U$2:$U$1001,0),0), INDEX($AB$1004:$AQ$1004,1,MATCH(COLUMNS($AB$1006:AM1006),$AB$1006:$AQ$1006,0)))),"Fix")))</f>
        <v>0</v>
      </c>
      <c r="N604" s="5">
        <f>IF(OR(INDEX($V$2:$V$1001,MATCH(ROWS($U$2:U604),$U$2:$U$1001,0),1)&gt;=100000,INDEX($AB$1005:$AQ$1005,1,MATCH(COLUMNS($AB$1006:AN1006),$AB$1006:$AQ$1006,0))&gt;=100000), " ",IF(INDEX($AB$2:$AQ$1001,MATCH(ROWS($U$2:U604),$U$2:$U$1001,0),MATCH(COLUMNS($AB$1006:AN1006),$AB$1006:$AQ$1006,0)), HYPERLINK("#",""), HYPERLINK(CONCATENATE("#Metadata!", ADDRESS(INDEX($W$2:$W$1001,MATCH(ROWS($U$2:U604),$U$2:$U$1001,0),0), INDEX($AB$1004:$AQ$1004,1,MATCH(COLUMNS($AB$1006:AN1006),$AB$1006:$AQ$1006,0)))),"Fix")))</f>
        <v>0</v>
      </c>
      <c r="O604" s="5">
        <f>IF(OR(INDEX($V$2:$V$1001,MATCH(ROWS($U$2:U604),$U$2:$U$1001,0),1)&gt;=100000,INDEX($AB$1005:$AQ$1005,1,MATCH(COLUMNS($AB$1006:AO1006),$AB$1006:$AQ$1006,0))&gt;=100000), " ",IF(INDEX($AB$2:$AQ$1001,MATCH(ROWS($U$2:U604),$U$2:$U$1001,0),MATCH(COLUMNS($AB$1006:AO1006),$AB$1006:$AQ$1006,0)), HYPERLINK("#",""), HYPERLINK(CONCATENATE("#Metadata!", ADDRESS(INDEX($W$2:$W$1001,MATCH(ROWS($U$2:U604),$U$2:$U$1001,0),0), INDEX($AB$1004:$AQ$1004,1,MATCH(COLUMNS($AB$1006:AO1006),$AB$1006:$AQ$1006,0)))),"Fix")))</f>
        <v>0</v>
      </c>
      <c r="P604" s="5">
        <f>IF(OR(INDEX($V$2:$V$1001,MATCH(ROWS($U$2:U604),$U$2:$U$1001,0),1)&gt;=100000,INDEX($AB$1005:$AQ$1005,1,MATCH(COLUMNS($AB$1006:AP1006),$AB$1006:$AQ$1006,0))&gt;=100000), " ",IF(INDEX($AB$2:$AQ$1001,MATCH(ROWS($U$2:U604),$U$2:$U$1001,0),MATCH(COLUMNS($AB$1006:AP1006),$AB$1006:$AQ$1006,0)), HYPERLINK("#",""), HYPERLINK(CONCATENATE("#Metadata!", ADDRESS(INDEX($W$2:$W$1001,MATCH(ROWS($U$2:U604),$U$2:$U$1001,0),0), INDEX($AB$1004:$AQ$1004,1,MATCH(COLUMNS($AB$1006:AP1006),$AB$1006:$AQ$1006,0)))),"Fix")))</f>
        <v>0</v>
      </c>
      <c r="Q604" s="5">
        <f>IF(OR(INDEX($V$2:$V$1001,MATCH(ROWS($U$2:U604),$U$2:$U$1001,0),1)&gt;=100000,INDEX($AB$1005:$AQ$1005,1,MATCH(COLUMNS($AB$1006:AQ1006),$AB$1006:$AQ$1006,0))&gt;=100000), " ",IF(INDEX($AB$2:$AQ$1001,MATCH(ROWS($U$2:U604),$U$2:$U$1001,0),MATCH(COLUMNS($AB$1006:AQ1006),$AB$1006:$AQ$1006,0)), HYPERLINK("#",""), HYPERLINK(CONCATENATE("#Metadata!", ADDRESS(INDEX($W$2:$W$1001,MATCH(ROWS($U$2:U604),$U$2:$U$1001,0),0), INDEX($AB$1004:$AQ$1004,1,MATCH(COLUMNS($AB$1006:AQ1006),$AB$1006:$AQ$1006,0)))),"Fix")))</f>
        <v>0</v>
      </c>
      <c r="U604">
        <v>0</v>
      </c>
      <c r="V604">
        <v>0</v>
      </c>
      <c r="W604">
        <v>0</v>
      </c>
      <c r="X604">
        <f>IF(Y604,TRUE,AND(AB604:AQ604))</f>
        <v>0</v>
      </c>
      <c r="Y604">
        <f>COUNTBLANK(Metadata!B604:Q604)=COLUMNS(Metadata!B604:Q604)</f>
        <v>0</v>
      </c>
      <c r="Z604">
        <v>0</v>
      </c>
      <c r="AB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AC604">
        <f>AND(IF(Metadata!C604="",FALSE,TRUE),exact(Metadata!C604,"urban biome"))</f>
        <v>0</v>
      </c>
      <c r="AD604">
        <f>AND(IF(Metadata!D604="",FALSE,TRUE),exact(Metadata!D604,"human-associated habitat"))</f>
        <v>0</v>
      </c>
      <c r="AE604">
        <f>AND(IF(Metadata!E604="",FALSE,TRUE),OR(exact(Metadata!E604,"human-associated"),exact(Metadata!E604,"human-skin"),exact(Metadata!E604,"human-oral"),exact(Metadata!E604,"human-gut"),exact(Metadata!E604,"human-vaginal")))</f>
        <v>0</v>
      </c>
      <c r="AF604">
        <f>AND(IF(Metadata!F604="",FALSE,ISNUMBER(VALUE(Metadata!F604))),Metadata!F604&gt;0)</f>
        <v>0</v>
      </c>
      <c r="AG604">
        <f>AND(IF(Metadata!G604="",FALSE,TRUE),exact(Metadata!G604,"years"))</f>
        <v>0</v>
      </c>
      <c r="AH604">
        <f>OR(AND(IF(Metadata!H604="",FALSE,TRUE),OR(exact(Metadata!H604,"not applicable"),exact(Metadata!H604,"not collected"),exact(Metadata!H604,"not provided"),exact(Metadata!H604,"restricted access"))),AND(IF(Metadata!H604="",FALSE,ISNUMBER(VALUE(Metadata!H604))),Metadata!H604&gt;0))</f>
        <v>0</v>
      </c>
      <c r="AI604">
        <f>AND(IF(Metadata!I604="",FALSE,TRUE),exact(Metadata!I604,"human"))</f>
        <v>0</v>
      </c>
      <c r="AJ604">
        <f>AND(IF(Metadata!J604="",FALSE,ISNUMBER(VALUE(Metadata!J604))),Metadata!J604&gt;0)</f>
        <v>0</v>
      </c>
      <c r="AK604">
        <f>AND(IF(Metadata!K604="",FALSE,TRUE),exact(Metadata!K604,"cm"))</f>
        <v>0</v>
      </c>
      <c r="AL604">
        <f>AND(IF(Metadata!L604="",FALSE,TRUE),exact(Metadata!L604,"Homo sapiens"))</f>
        <v>0</v>
      </c>
      <c r="AM604">
        <f>AND(IF(Metadata!M604="",FALSE,TRUE),exact(Metadata!M604,"9606"))</f>
        <v>0</v>
      </c>
      <c r="AN604">
        <f>AND(IF(Metadata!N604="",FALSE,ISNUMBER(VALUE(Metadata!N604))),Metadata!N604&gt;0)</f>
        <v>0</v>
      </c>
      <c r="AO604">
        <f>AND(IF(Metadata!O604="",FALSE,TRUE),exact(Metadata!O604,"kg"))</f>
        <v>0</v>
      </c>
      <c r="AP604">
        <f>OR(AND(IF(Metadata!P604="",FALSE,TRUE),exact(Metadata!P604,"not provided")),IF(Metadata!P604="",FALSE,TRUE))</f>
        <v>0</v>
      </c>
      <c r="AQ604">
        <f>OR(AND(IF(Metadata!Q604="",FALSE,TRUE),exact(Metadata!Q604,"not provided")),IF(Metadata!Q604="",FALSE,TRUE))</f>
        <v>0</v>
      </c>
    </row>
    <row r="605" spans="1:43">
      <c r="A605" s="4">
        <f>IF(B605=" "," ",HYPERLINK(CONCATENATE("#metadata!",ADDRESS(INDEX($W$2:$W$1001,MATCH(ROWS($U$2:U605),$U$2:$U$1001,0),0),2)),INDEX($Z$2:$Z$1001,MATCH(ROWS($U$2:U605),$U$2:$U$1001,0),0)))</f>
        <v>0</v>
      </c>
      <c r="B605" s="5">
        <f>IF(OR(INDEX($V$2:$V$1001,MATCH(ROWS($U$2:U605),$U$2:$U$1001,0),1)&gt;=100000,INDEX($AB$1005:$AQ$1005,1,MATCH(COLUMNS($AB$1006:AB1006),$AB$1006:$AQ$1006,0))&gt;=100000), " ",IF(INDEX($AB$2:$AQ$1001,MATCH(ROWS($U$2:U605),$U$2:$U$1001,0),MATCH(COLUMNS($AB$1006:AB1006),$AB$1006:$AQ$1006,0)), HYPERLINK("#",""), HYPERLINK(CONCATENATE("#Metadata!", ADDRESS(INDEX($W$2:$W$1001,MATCH(ROWS($U$2:U605),$U$2:$U$1001,0),0), INDEX($AB$1004:$AQ$1004,1,MATCH(COLUMNS($AB$1006:AB1006),$AB$1006:$AQ$1006,0)))),"Fix")))</f>
        <v>0</v>
      </c>
      <c r="C605" s="5">
        <f>IF(OR(INDEX($V$2:$V$1001,MATCH(ROWS($U$2:U605),$U$2:$U$1001,0),1)&gt;=100000,INDEX($AB$1005:$AQ$1005,1,MATCH(COLUMNS($AB$1006:AC1006),$AB$1006:$AQ$1006,0))&gt;=100000), " ",IF(INDEX($AB$2:$AQ$1001,MATCH(ROWS($U$2:U605),$U$2:$U$1001,0),MATCH(COLUMNS($AB$1006:AC1006),$AB$1006:$AQ$1006,0)), HYPERLINK("#",""), HYPERLINK(CONCATENATE("#Metadata!", ADDRESS(INDEX($W$2:$W$1001,MATCH(ROWS($U$2:U605),$U$2:$U$1001,0),0), INDEX($AB$1004:$AQ$1004,1,MATCH(COLUMNS($AB$1006:AC1006),$AB$1006:$AQ$1006,0)))),"Fix")))</f>
        <v>0</v>
      </c>
      <c r="D605" s="5">
        <f>IF(OR(INDEX($V$2:$V$1001,MATCH(ROWS($U$2:U605),$U$2:$U$1001,0),1)&gt;=100000,INDEX($AB$1005:$AQ$1005,1,MATCH(COLUMNS($AB$1006:AD1006),$AB$1006:$AQ$1006,0))&gt;=100000), " ",IF(INDEX($AB$2:$AQ$1001,MATCH(ROWS($U$2:U605),$U$2:$U$1001,0),MATCH(COLUMNS($AB$1006:AD1006),$AB$1006:$AQ$1006,0)), HYPERLINK("#",""), HYPERLINK(CONCATENATE("#Metadata!", ADDRESS(INDEX($W$2:$W$1001,MATCH(ROWS($U$2:U605),$U$2:$U$1001,0),0), INDEX($AB$1004:$AQ$1004,1,MATCH(COLUMNS($AB$1006:AD1006),$AB$1006:$AQ$1006,0)))),"Fix")))</f>
        <v>0</v>
      </c>
      <c r="E605" s="5">
        <f>IF(OR(INDEX($V$2:$V$1001,MATCH(ROWS($U$2:U605),$U$2:$U$1001,0),1)&gt;=100000,INDEX($AB$1005:$AQ$1005,1,MATCH(COLUMNS($AB$1006:AE1006),$AB$1006:$AQ$1006,0))&gt;=100000), " ",IF(INDEX($AB$2:$AQ$1001,MATCH(ROWS($U$2:U605),$U$2:$U$1001,0),MATCH(COLUMNS($AB$1006:AE1006),$AB$1006:$AQ$1006,0)), HYPERLINK("#",""), HYPERLINK(CONCATENATE("#Metadata!", ADDRESS(INDEX($W$2:$W$1001,MATCH(ROWS($U$2:U605),$U$2:$U$1001,0),0), INDEX($AB$1004:$AQ$1004,1,MATCH(COLUMNS($AB$1006:AE1006),$AB$1006:$AQ$1006,0)))),"Fix")))</f>
        <v>0</v>
      </c>
      <c r="F605" s="5">
        <f>IF(OR(INDEX($V$2:$V$1001,MATCH(ROWS($U$2:U605),$U$2:$U$1001,0),1)&gt;=100000,INDEX($AB$1005:$AQ$1005,1,MATCH(COLUMNS($AB$1006:AF1006),$AB$1006:$AQ$1006,0))&gt;=100000), " ",IF(INDEX($AB$2:$AQ$1001,MATCH(ROWS($U$2:U605),$U$2:$U$1001,0),MATCH(COLUMNS($AB$1006:AF1006),$AB$1006:$AQ$1006,0)), HYPERLINK("#",""), HYPERLINK(CONCATENATE("#Metadata!", ADDRESS(INDEX($W$2:$W$1001,MATCH(ROWS($U$2:U605),$U$2:$U$1001,0),0), INDEX($AB$1004:$AQ$1004,1,MATCH(COLUMNS($AB$1006:AF1006),$AB$1006:$AQ$1006,0)))),"Fix")))</f>
        <v>0</v>
      </c>
      <c r="G605" s="5">
        <f>IF(OR(INDEX($V$2:$V$1001,MATCH(ROWS($U$2:U605),$U$2:$U$1001,0),1)&gt;=100000,INDEX($AB$1005:$AQ$1005,1,MATCH(COLUMNS($AB$1006:AG1006),$AB$1006:$AQ$1006,0))&gt;=100000), " ",IF(INDEX($AB$2:$AQ$1001,MATCH(ROWS($U$2:U605),$U$2:$U$1001,0),MATCH(COLUMNS($AB$1006:AG1006),$AB$1006:$AQ$1006,0)), HYPERLINK("#",""), HYPERLINK(CONCATENATE("#Metadata!", ADDRESS(INDEX($W$2:$W$1001,MATCH(ROWS($U$2:U605),$U$2:$U$1001,0),0), INDEX($AB$1004:$AQ$1004,1,MATCH(COLUMNS($AB$1006:AG1006),$AB$1006:$AQ$1006,0)))),"Fix")))</f>
        <v>0</v>
      </c>
      <c r="H605" s="5">
        <f>IF(OR(INDEX($V$2:$V$1001,MATCH(ROWS($U$2:U605),$U$2:$U$1001,0),1)&gt;=100000,INDEX($AB$1005:$AQ$1005,1,MATCH(COLUMNS($AB$1006:AH1006),$AB$1006:$AQ$1006,0))&gt;=100000), " ",IF(INDEX($AB$2:$AQ$1001,MATCH(ROWS($U$2:U605),$U$2:$U$1001,0),MATCH(COLUMNS($AB$1006:AH1006),$AB$1006:$AQ$1006,0)), HYPERLINK("#",""), HYPERLINK(CONCATENATE("#Metadata!", ADDRESS(INDEX($W$2:$W$1001,MATCH(ROWS($U$2:U605),$U$2:$U$1001,0),0), INDEX($AB$1004:$AQ$1004,1,MATCH(COLUMNS($AB$1006:AH1006),$AB$1006:$AQ$1006,0)))),"Fix")))</f>
        <v>0</v>
      </c>
      <c r="I605" s="5">
        <f>IF(OR(INDEX($V$2:$V$1001,MATCH(ROWS($U$2:U605),$U$2:$U$1001,0),1)&gt;=100000,INDEX($AB$1005:$AQ$1005,1,MATCH(COLUMNS($AB$1006:AI1006),$AB$1006:$AQ$1006,0))&gt;=100000), " ",IF(INDEX($AB$2:$AQ$1001,MATCH(ROWS($U$2:U605),$U$2:$U$1001,0),MATCH(COLUMNS($AB$1006:AI1006),$AB$1006:$AQ$1006,0)), HYPERLINK("#",""), HYPERLINK(CONCATENATE("#Metadata!", ADDRESS(INDEX($W$2:$W$1001,MATCH(ROWS($U$2:U605),$U$2:$U$1001,0),0), INDEX($AB$1004:$AQ$1004,1,MATCH(COLUMNS($AB$1006:AI1006),$AB$1006:$AQ$1006,0)))),"Fix")))</f>
        <v>0</v>
      </c>
      <c r="J605" s="5">
        <f>IF(OR(INDEX($V$2:$V$1001,MATCH(ROWS($U$2:U605),$U$2:$U$1001,0),1)&gt;=100000,INDEX($AB$1005:$AQ$1005,1,MATCH(COLUMNS($AB$1006:AJ1006),$AB$1006:$AQ$1006,0))&gt;=100000), " ",IF(INDEX($AB$2:$AQ$1001,MATCH(ROWS($U$2:U605),$U$2:$U$1001,0),MATCH(COLUMNS($AB$1006:AJ1006),$AB$1006:$AQ$1006,0)), HYPERLINK("#",""), HYPERLINK(CONCATENATE("#Metadata!", ADDRESS(INDEX($W$2:$W$1001,MATCH(ROWS($U$2:U605),$U$2:$U$1001,0),0), INDEX($AB$1004:$AQ$1004,1,MATCH(COLUMNS($AB$1006:AJ1006),$AB$1006:$AQ$1006,0)))),"Fix")))</f>
        <v>0</v>
      </c>
      <c r="K605" s="5">
        <f>IF(OR(INDEX($V$2:$V$1001,MATCH(ROWS($U$2:U605),$U$2:$U$1001,0),1)&gt;=100000,INDEX($AB$1005:$AQ$1005,1,MATCH(COLUMNS($AB$1006:AK1006),$AB$1006:$AQ$1006,0))&gt;=100000), " ",IF(INDEX($AB$2:$AQ$1001,MATCH(ROWS($U$2:U605),$U$2:$U$1001,0),MATCH(COLUMNS($AB$1006:AK1006),$AB$1006:$AQ$1006,0)), HYPERLINK("#",""), HYPERLINK(CONCATENATE("#Metadata!", ADDRESS(INDEX($W$2:$W$1001,MATCH(ROWS($U$2:U605),$U$2:$U$1001,0),0), INDEX($AB$1004:$AQ$1004,1,MATCH(COLUMNS($AB$1006:AK1006),$AB$1006:$AQ$1006,0)))),"Fix")))</f>
        <v>0</v>
      </c>
      <c r="L605" s="5">
        <f>IF(OR(INDEX($V$2:$V$1001,MATCH(ROWS($U$2:U605),$U$2:$U$1001,0),1)&gt;=100000,INDEX($AB$1005:$AQ$1005,1,MATCH(COLUMNS($AB$1006:AL1006),$AB$1006:$AQ$1006,0))&gt;=100000), " ",IF(INDEX($AB$2:$AQ$1001,MATCH(ROWS($U$2:U605),$U$2:$U$1001,0),MATCH(COLUMNS($AB$1006:AL1006),$AB$1006:$AQ$1006,0)), HYPERLINK("#",""), HYPERLINK(CONCATENATE("#Metadata!", ADDRESS(INDEX($W$2:$W$1001,MATCH(ROWS($U$2:U605),$U$2:$U$1001,0),0), INDEX($AB$1004:$AQ$1004,1,MATCH(COLUMNS($AB$1006:AL1006),$AB$1006:$AQ$1006,0)))),"Fix")))</f>
        <v>0</v>
      </c>
      <c r="M605" s="5">
        <f>IF(OR(INDEX($V$2:$V$1001,MATCH(ROWS($U$2:U605),$U$2:$U$1001,0),1)&gt;=100000,INDEX($AB$1005:$AQ$1005,1,MATCH(COLUMNS($AB$1006:AM1006),$AB$1006:$AQ$1006,0))&gt;=100000), " ",IF(INDEX($AB$2:$AQ$1001,MATCH(ROWS($U$2:U605),$U$2:$U$1001,0),MATCH(COLUMNS($AB$1006:AM1006),$AB$1006:$AQ$1006,0)), HYPERLINK("#",""), HYPERLINK(CONCATENATE("#Metadata!", ADDRESS(INDEX($W$2:$W$1001,MATCH(ROWS($U$2:U605),$U$2:$U$1001,0),0), INDEX($AB$1004:$AQ$1004,1,MATCH(COLUMNS($AB$1006:AM1006),$AB$1006:$AQ$1006,0)))),"Fix")))</f>
        <v>0</v>
      </c>
      <c r="N605" s="5">
        <f>IF(OR(INDEX($V$2:$V$1001,MATCH(ROWS($U$2:U605),$U$2:$U$1001,0),1)&gt;=100000,INDEX($AB$1005:$AQ$1005,1,MATCH(COLUMNS($AB$1006:AN1006),$AB$1006:$AQ$1006,0))&gt;=100000), " ",IF(INDEX($AB$2:$AQ$1001,MATCH(ROWS($U$2:U605),$U$2:$U$1001,0),MATCH(COLUMNS($AB$1006:AN1006),$AB$1006:$AQ$1006,0)), HYPERLINK("#",""), HYPERLINK(CONCATENATE("#Metadata!", ADDRESS(INDEX($W$2:$W$1001,MATCH(ROWS($U$2:U605),$U$2:$U$1001,0),0), INDEX($AB$1004:$AQ$1004,1,MATCH(COLUMNS($AB$1006:AN1006),$AB$1006:$AQ$1006,0)))),"Fix")))</f>
        <v>0</v>
      </c>
      <c r="O605" s="5">
        <f>IF(OR(INDEX($V$2:$V$1001,MATCH(ROWS($U$2:U605),$U$2:$U$1001,0),1)&gt;=100000,INDEX($AB$1005:$AQ$1005,1,MATCH(COLUMNS($AB$1006:AO1006),$AB$1006:$AQ$1006,0))&gt;=100000), " ",IF(INDEX($AB$2:$AQ$1001,MATCH(ROWS($U$2:U605),$U$2:$U$1001,0),MATCH(COLUMNS($AB$1006:AO1006),$AB$1006:$AQ$1006,0)), HYPERLINK("#",""), HYPERLINK(CONCATENATE("#Metadata!", ADDRESS(INDEX($W$2:$W$1001,MATCH(ROWS($U$2:U605),$U$2:$U$1001,0),0), INDEX($AB$1004:$AQ$1004,1,MATCH(COLUMNS($AB$1006:AO1006),$AB$1006:$AQ$1006,0)))),"Fix")))</f>
        <v>0</v>
      </c>
      <c r="P605" s="5">
        <f>IF(OR(INDEX($V$2:$V$1001,MATCH(ROWS($U$2:U605),$U$2:$U$1001,0),1)&gt;=100000,INDEX($AB$1005:$AQ$1005,1,MATCH(COLUMNS($AB$1006:AP1006),$AB$1006:$AQ$1006,0))&gt;=100000), " ",IF(INDEX($AB$2:$AQ$1001,MATCH(ROWS($U$2:U605),$U$2:$U$1001,0),MATCH(COLUMNS($AB$1006:AP1006),$AB$1006:$AQ$1006,0)), HYPERLINK("#",""), HYPERLINK(CONCATENATE("#Metadata!", ADDRESS(INDEX($W$2:$W$1001,MATCH(ROWS($U$2:U605),$U$2:$U$1001,0),0), INDEX($AB$1004:$AQ$1004,1,MATCH(COLUMNS($AB$1006:AP1006),$AB$1006:$AQ$1006,0)))),"Fix")))</f>
        <v>0</v>
      </c>
      <c r="Q605" s="5">
        <f>IF(OR(INDEX($V$2:$V$1001,MATCH(ROWS($U$2:U605),$U$2:$U$1001,0),1)&gt;=100000,INDEX($AB$1005:$AQ$1005,1,MATCH(COLUMNS($AB$1006:AQ1006),$AB$1006:$AQ$1006,0))&gt;=100000), " ",IF(INDEX($AB$2:$AQ$1001,MATCH(ROWS($U$2:U605),$U$2:$U$1001,0),MATCH(COLUMNS($AB$1006:AQ1006),$AB$1006:$AQ$1006,0)), HYPERLINK("#",""), HYPERLINK(CONCATENATE("#Metadata!", ADDRESS(INDEX($W$2:$W$1001,MATCH(ROWS($U$2:U605),$U$2:$U$1001,0),0), INDEX($AB$1004:$AQ$1004,1,MATCH(COLUMNS($AB$1006:AQ1006),$AB$1006:$AQ$1006,0)))),"Fix")))</f>
        <v>0</v>
      </c>
      <c r="U605">
        <v>0</v>
      </c>
      <c r="V605">
        <v>0</v>
      </c>
      <c r="W605">
        <v>0</v>
      </c>
      <c r="X605">
        <f>IF(Y605,TRUE,AND(AB605:AQ605))</f>
        <v>0</v>
      </c>
      <c r="Y605">
        <f>COUNTBLANK(Metadata!B605:Q605)=COLUMNS(Metadata!B605:Q605)</f>
        <v>0</v>
      </c>
      <c r="Z605">
        <v>0</v>
      </c>
      <c r="AB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AC605">
        <f>AND(IF(Metadata!C605="",FALSE,TRUE),exact(Metadata!C605,"urban biome"))</f>
        <v>0</v>
      </c>
      <c r="AD605">
        <f>AND(IF(Metadata!D605="",FALSE,TRUE),exact(Metadata!D605,"human-associated habitat"))</f>
        <v>0</v>
      </c>
      <c r="AE605">
        <f>AND(IF(Metadata!E605="",FALSE,TRUE),OR(exact(Metadata!E605,"human-associated"),exact(Metadata!E605,"human-skin"),exact(Metadata!E605,"human-oral"),exact(Metadata!E605,"human-gut"),exact(Metadata!E605,"human-vaginal")))</f>
        <v>0</v>
      </c>
      <c r="AF605">
        <f>AND(IF(Metadata!F605="",FALSE,ISNUMBER(VALUE(Metadata!F605))),Metadata!F605&gt;0)</f>
        <v>0</v>
      </c>
      <c r="AG605">
        <f>AND(IF(Metadata!G605="",FALSE,TRUE),exact(Metadata!G605,"years"))</f>
        <v>0</v>
      </c>
      <c r="AH605">
        <f>OR(AND(IF(Metadata!H605="",FALSE,TRUE),OR(exact(Metadata!H605,"not applicable"),exact(Metadata!H605,"not collected"),exact(Metadata!H605,"not provided"),exact(Metadata!H605,"restricted access"))),AND(IF(Metadata!H605="",FALSE,ISNUMBER(VALUE(Metadata!H605))),Metadata!H605&gt;0))</f>
        <v>0</v>
      </c>
      <c r="AI605">
        <f>AND(IF(Metadata!I605="",FALSE,TRUE),exact(Metadata!I605,"human"))</f>
        <v>0</v>
      </c>
      <c r="AJ605">
        <f>AND(IF(Metadata!J605="",FALSE,ISNUMBER(VALUE(Metadata!J605))),Metadata!J605&gt;0)</f>
        <v>0</v>
      </c>
      <c r="AK605">
        <f>AND(IF(Metadata!K605="",FALSE,TRUE),exact(Metadata!K605,"cm"))</f>
        <v>0</v>
      </c>
      <c r="AL605">
        <f>AND(IF(Metadata!L605="",FALSE,TRUE),exact(Metadata!L605,"Homo sapiens"))</f>
        <v>0</v>
      </c>
      <c r="AM605">
        <f>AND(IF(Metadata!M605="",FALSE,TRUE),exact(Metadata!M605,"9606"))</f>
        <v>0</v>
      </c>
      <c r="AN605">
        <f>AND(IF(Metadata!N605="",FALSE,ISNUMBER(VALUE(Metadata!N605))),Metadata!N605&gt;0)</f>
        <v>0</v>
      </c>
      <c r="AO605">
        <f>AND(IF(Metadata!O605="",FALSE,TRUE),exact(Metadata!O605,"kg"))</f>
        <v>0</v>
      </c>
      <c r="AP605">
        <f>OR(AND(IF(Metadata!P605="",FALSE,TRUE),exact(Metadata!P605,"not provided")),IF(Metadata!P605="",FALSE,TRUE))</f>
        <v>0</v>
      </c>
      <c r="AQ605">
        <f>OR(AND(IF(Metadata!Q605="",FALSE,TRUE),exact(Metadata!Q605,"not provided")),IF(Metadata!Q605="",FALSE,TRUE))</f>
        <v>0</v>
      </c>
    </row>
    <row r="606" spans="1:43">
      <c r="A606" s="4">
        <f>IF(B606=" "," ",HYPERLINK(CONCATENATE("#metadata!",ADDRESS(INDEX($W$2:$W$1001,MATCH(ROWS($U$2:U606),$U$2:$U$1001,0),0),2)),INDEX($Z$2:$Z$1001,MATCH(ROWS($U$2:U606),$U$2:$U$1001,0),0)))</f>
        <v>0</v>
      </c>
      <c r="B606" s="5">
        <f>IF(OR(INDEX($V$2:$V$1001,MATCH(ROWS($U$2:U606),$U$2:$U$1001,0),1)&gt;=100000,INDEX($AB$1005:$AQ$1005,1,MATCH(COLUMNS($AB$1006:AB1006),$AB$1006:$AQ$1006,0))&gt;=100000), " ",IF(INDEX($AB$2:$AQ$1001,MATCH(ROWS($U$2:U606),$U$2:$U$1001,0),MATCH(COLUMNS($AB$1006:AB1006),$AB$1006:$AQ$1006,0)), HYPERLINK("#",""), HYPERLINK(CONCATENATE("#Metadata!", ADDRESS(INDEX($W$2:$W$1001,MATCH(ROWS($U$2:U606),$U$2:$U$1001,0),0), INDEX($AB$1004:$AQ$1004,1,MATCH(COLUMNS($AB$1006:AB1006),$AB$1006:$AQ$1006,0)))),"Fix")))</f>
        <v>0</v>
      </c>
      <c r="C606" s="5">
        <f>IF(OR(INDEX($V$2:$V$1001,MATCH(ROWS($U$2:U606),$U$2:$U$1001,0),1)&gt;=100000,INDEX($AB$1005:$AQ$1005,1,MATCH(COLUMNS($AB$1006:AC1006),$AB$1006:$AQ$1006,0))&gt;=100000), " ",IF(INDEX($AB$2:$AQ$1001,MATCH(ROWS($U$2:U606),$U$2:$U$1001,0),MATCH(COLUMNS($AB$1006:AC1006),$AB$1006:$AQ$1006,0)), HYPERLINK("#",""), HYPERLINK(CONCATENATE("#Metadata!", ADDRESS(INDEX($W$2:$W$1001,MATCH(ROWS($U$2:U606),$U$2:$U$1001,0),0), INDEX($AB$1004:$AQ$1004,1,MATCH(COLUMNS($AB$1006:AC1006),$AB$1006:$AQ$1006,0)))),"Fix")))</f>
        <v>0</v>
      </c>
      <c r="D606" s="5">
        <f>IF(OR(INDEX($V$2:$V$1001,MATCH(ROWS($U$2:U606),$U$2:$U$1001,0),1)&gt;=100000,INDEX($AB$1005:$AQ$1005,1,MATCH(COLUMNS($AB$1006:AD1006),$AB$1006:$AQ$1006,0))&gt;=100000), " ",IF(INDEX($AB$2:$AQ$1001,MATCH(ROWS($U$2:U606),$U$2:$U$1001,0),MATCH(COLUMNS($AB$1006:AD1006),$AB$1006:$AQ$1006,0)), HYPERLINK("#",""), HYPERLINK(CONCATENATE("#Metadata!", ADDRESS(INDEX($W$2:$W$1001,MATCH(ROWS($U$2:U606),$U$2:$U$1001,0),0), INDEX($AB$1004:$AQ$1004,1,MATCH(COLUMNS($AB$1006:AD1006),$AB$1006:$AQ$1006,0)))),"Fix")))</f>
        <v>0</v>
      </c>
      <c r="E606" s="5">
        <f>IF(OR(INDEX($V$2:$V$1001,MATCH(ROWS($U$2:U606),$U$2:$U$1001,0),1)&gt;=100000,INDEX($AB$1005:$AQ$1005,1,MATCH(COLUMNS($AB$1006:AE1006),$AB$1006:$AQ$1006,0))&gt;=100000), " ",IF(INDEX($AB$2:$AQ$1001,MATCH(ROWS($U$2:U606),$U$2:$U$1001,0),MATCH(COLUMNS($AB$1006:AE1006),$AB$1006:$AQ$1006,0)), HYPERLINK("#",""), HYPERLINK(CONCATENATE("#Metadata!", ADDRESS(INDEX($W$2:$W$1001,MATCH(ROWS($U$2:U606),$U$2:$U$1001,0),0), INDEX($AB$1004:$AQ$1004,1,MATCH(COLUMNS($AB$1006:AE1006),$AB$1006:$AQ$1006,0)))),"Fix")))</f>
        <v>0</v>
      </c>
      <c r="F606" s="5">
        <f>IF(OR(INDEX($V$2:$V$1001,MATCH(ROWS($U$2:U606),$U$2:$U$1001,0),1)&gt;=100000,INDEX($AB$1005:$AQ$1005,1,MATCH(COLUMNS($AB$1006:AF1006),$AB$1006:$AQ$1006,0))&gt;=100000), " ",IF(INDEX($AB$2:$AQ$1001,MATCH(ROWS($U$2:U606),$U$2:$U$1001,0),MATCH(COLUMNS($AB$1006:AF1006),$AB$1006:$AQ$1006,0)), HYPERLINK("#",""), HYPERLINK(CONCATENATE("#Metadata!", ADDRESS(INDEX($W$2:$W$1001,MATCH(ROWS($U$2:U606),$U$2:$U$1001,0),0), INDEX($AB$1004:$AQ$1004,1,MATCH(COLUMNS($AB$1006:AF1006),$AB$1006:$AQ$1006,0)))),"Fix")))</f>
        <v>0</v>
      </c>
      <c r="G606" s="5">
        <f>IF(OR(INDEX($V$2:$V$1001,MATCH(ROWS($U$2:U606),$U$2:$U$1001,0),1)&gt;=100000,INDEX($AB$1005:$AQ$1005,1,MATCH(COLUMNS($AB$1006:AG1006),$AB$1006:$AQ$1006,0))&gt;=100000), " ",IF(INDEX($AB$2:$AQ$1001,MATCH(ROWS($U$2:U606),$U$2:$U$1001,0),MATCH(COLUMNS($AB$1006:AG1006),$AB$1006:$AQ$1006,0)), HYPERLINK("#",""), HYPERLINK(CONCATENATE("#Metadata!", ADDRESS(INDEX($W$2:$W$1001,MATCH(ROWS($U$2:U606),$U$2:$U$1001,0),0), INDEX($AB$1004:$AQ$1004,1,MATCH(COLUMNS($AB$1006:AG1006),$AB$1006:$AQ$1006,0)))),"Fix")))</f>
        <v>0</v>
      </c>
      <c r="H606" s="5">
        <f>IF(OR(INDEX($V$2:$V$1001,MATCH(ROWS($U$2:U606),$U$2:$U$1001,0),1)&gt;=100000,INDEX($AB$1005:$AQ$1005,1,MATCH(COLUMNS($AB$1006:AH1006),$AB$1006:$AQ$1006,0))&gt;=100000), " ",IF(INDEX($AB$2:$AQ$1001,MATCH(ROWS($U$2:U606),$U$2:$U$1001,0),MATCH(COLUMNS($AB$1006:AH1006),$AB$1006:$AQ$1006,0)), HYPERLINK("#",""), HYPERLINK(CONCATENATE("#Metadata!", ADDRESS(INDEX($W$2:$W$1001,MATCH(ROWS($U$2:U606),$U$2:$U$1001,0),0), INDEX($AB$1004:$AQ$1004,1,MATCH(COLUMNS($AB$1006:AH1006),$AB$1006:$AQ$1006,0)))),"Fix")))</f>
        <v>0</v>
      </c>
      <c r="I606" s="5">
        <f>IF(OR(INDEX($V$2:$V$1001,MATCH(ROWS($U$2:U606),$U$2:$U$1001,0),1)&gt;=100000,INDEX($AB$1005:$AQ$1005,1,MATCH(COLUMNS($AB$1006:AI1006),$AB$1006:$AQ$1006,0))&gt;=100000), " ",IF(INDEX($AB$2:$AQ$1001,MATCH(ROWS($U$2:U606),$U$2:$U$1001,0),MATCH(COLUMNS($AB$1006:AI1006),$AB$1006:$AQ$1006,0)), HYPERLINK("#",""), HYPERLINK(CONCATENATE("#Metadata!", ADDRESS(INDEX($W$2:$W$1001,MATCH(ROWS($U$2:U606),$U$2:$U$1001,0),0), INDEX($AB$1004:$AQ$1004,1,MATCH(COLUMNS($AB$1006:AI1006),$AB$1006:$AQ$1006,0)))),"Fix")))</f>
        <v>0</v>
      </c>
      <c r="J606" s="5">
        <f>IF(OR(INDEX($V$2:$V$1001,MATCH(ROWS($U$2:U606),$U$2:$U$1001,0),1)&gt;=100000,INDEX($AB$1005:$AQ$1005,1,MATCH(COLUMNS($AB$1006:AJ1006),$AB$1006:$AQ$1006,0))&gt;=100000), " ",IF(INDEX($AB$2:$AQ$1001,MATCH(ROWS($U$2:U606),$U$2:$U$1001,0),MATCH(COLUMNS($AB$1006:AJ1006),$AB$1006:$AQ$1006,0)), HYPERLINK("#",""), HYPERLINK(CONCATENATE("#Metadata!", ADDRESS(INDEX($W$2:$W$1001,MATCH(ROWS($U$2:U606),$U$2:$U$1001,0),0), INDEX($AB$1004:$AQ$1004,1,MATCH(COLUMNS($AB$1006:AJ1006),$AB$1006:$AQ$1006,0)))),"Fix")))</f>
        <v>0</v>
      </c>
      <c r="K606" s="5">
        <f>IF(OR(INDEX($V$2:$V$1001,MATCH(ROWS($U$2:U606),$U$2:$U$1001,0),1)&gt;=100000,INDEX($AB$1005:$AQ$1005,1,MATCH(COLUMNS($AB$1006:AK1006),$AB$1006:$AQ$1006,0))&gt;=100000), " ",IF(INDEX($AB$2:$AQ$1001,MATCH(ROWS($U$2:U606),$U$2:$U$1001,0),MATCH(COLUMNS($AB$1006:AK1006),$AB$1006:$AQ$1006,0)), HYPERLINK("#",""), HYPERLINK(CONCATENATE("#Metadata!", ADDRESS(INDEX($W$2:$W$1001,MATCH(ROWS($U$2:U606),$U$2:$U$1001,0),0), INDEX($AB$1004:$AQ$1004,1,MATCH(COLUMNS($AB$1006:AK1006),$AB$1006:$AQ$1006,0)))),"Fix")))</f>
        <v>0</v>
      </c>
      <c r="L606" s="5">
        <f>IF(OR(INDEX($V$2:$V$1001,MATCH(ROWS($U$2:U606),$U$2:$U$1001,0),1)&gt;=100000,INDEX($AB$1005:$AQ$1005,1,MATCH(COLUMNS($AB$1006:AL1006),$AB$1006:$AQ$1006,0))&gt;=100000), " ",IF(INDEX($AB$2:$AQ$1001,MATCH(ROWS($U$2:U606),$U$2:$U$1001,0),MATCH(COLUMNS($AB$1006:AL1006),$AB$1006:$AQ$1006,0)), HYPERLINK("#",""), HYPERLINK(CONCATENATE("#Metadata!", ADDRESS(INDEX($W$2:$W$1001,MATCH(ROWS($U$2:U606),$U$2:$U$1001,0),0), INDEX($AB$1004:$AQ$1004,1,MATCH(COLUMNS($AB$1006:AL1006),$AB$1006:$AQ$1006,0)))),"Fix")))</f>
        <v>0</v>
      </c>
      <c r="M606" s="5">
        <f>IF(OR(INDEX($V$2:$V$1001,MATCH(ROWS($U$2:U606),$U$2:$U$1001,0),1)&gt;=100000,INDEX($AB$1005:$AQ$1005,1,MATCH(COLUMNS($AB$1006:AM1006),$AB$1006:$AQ$1006,0))&gt;=100000), " ",IF(INDEX($AB$2:$AQ$1001,MATCH(ROWS($U$2:U606),$U$2:$U$1001,0),MATCH(COLUMNS($AB$1006:AM1006),$AB$1006:$AQ$1006,0)), HYPERLINK("#",""), HYPERLINK(CONCATENATE("#Metadata!", ADDRESS(INDEX($W$2:$W$1001,MATCH(ROWS($U$2:U606),$U$2:$U$1001,0),0), INDEX($AB$1004:$AQ$1004,1,MATCH(COLUMNS($AB$1006:AM1006),$AB$1006:$AQ$1006,0)))),"Fix")))</f>
        <v>0</v>
      </c>
      <c r="N606" s="5">
        <f>IF(OR(INDEX($V$2:$V$1001,MATCH(ROWS($U$2:U606),$U$2:$U$1001,0),1)&gt;=100000,INDEX($AB$1005:$AQ$1005,1,MATCH(COLUMNS($AB$1006:AN1006),$AB$1006:$AQ$1006,0))&gt;=100000), " ",IF(INDEX($AB$2:$AQ$1001,MATCH(ROWS($U$2:U606),$U$2:$U$1001,0),MATCH(COLUMNS($AB$1006:AN1006),$AB$1006:$AQ$1006,0)), HYPERLINK("#",""), HYPERLINK(CONCATENATE("#Metadata!", ADDRESS(INDEX($W$2:$W$1001,MATCH(ROWS($U$2:U606),$U$2:$U$1001,0),0), INDEX($AB$1004:$AQ$1004,1,MATCH(COLUMNS($AB$1006:AN1006),$AB$1006:$AQ$1006,0)))),"Fix")))</f>
        <v>0</v>
      </c>
      <c r="O606" s="5">
        <f>IF(OR(INDEX($V$2:$V$1001,MATCH(ROWS($U$2:U606),$U$2:$U$1001,0),1)&gt;=100000,INDEX($AB$1005:$AQ$1005,1,MATCH(COLUMNS($AB$1006:AO1006),$AB$1006:$AQ$1006,0))&gt;=100000), " ",IF(INDEX($AB$2:$AQ$1001,MATCH(ROWS($U$2:U606),$U$2:$U$1001,0),MATCH(COLUMNS($AB$1006:AO1006),$AB$1006:$AQ$1006,0)), HYPERLINK("#",""), HYPERLINK(CONCATENATE("#Metadata!", ADDRESS(INDEX($W$2:$W$1001,MATCH(ROWS($U$2:U606),$U$2:$U$1001,0),0), INDEX($AB$1004:$AQ$1004,1,MATCH(COLUMNS($AB$1006:AO1006),$AB$1006:$AQ$1006,0)))),"Fix")))</f>
        <v>0</v>
      </c>
      <c r="P606" s="5">
        <f>IF(OR(INDEX($V$2:$V$1001,MATCH(ROWS($U$2:U606),$U$2:$U$1001,0),1)&gt;=100000,INDEX($AB$1005:$AQ$1005,1,MATCH(COLUMNS($AB$1006:AP1006),$AB$1006:$AQ$1006,0))&gt;=100000), " ",IF(INDEX($AB$2:$AQ$1001,MATCH(ROWS($U$2:U606),$U$2:$U$1001,0),MATCH(COLUMNS($AB$1006:AP1006),$AB$1006:$AQ$1006,0)), HYPERLINK("#",""), HYPERLINK(CONCATENATE("#Metadata!", ADDRESS(INDEX($W$2:$W$1001,MATCH(ROWS($U$2:U606),$U$2:$U$1001,0),0), INDEX($AB$1004:$AQ$1004,1,MATCH(COLUMNS($AB$1006:AP1006),$AB$1006:$AQ$1006,0)))),"Fix")))</f>
        <v>0</v>
      </c>
      <c r="Q606" s="5">
        <f>IF(OR(INDEX($V$2:$V$1001,MATCH(ROWS($U$2:U606),$U$2:$U$1001,0),1)&gt;=100000,INDEX($AB$1005:$AQ$1005,1,MATCH(COLUMNS($AB$1006:AQ1006),$AB$1006:$AQ$1006,0))&gt;=100000), " ",IF(INDEX($AB$2:$AQ$1001,MATCH(ROWS($U$2:U606),$U$2:$U$1001,0),MATCH(COLUMNS($AB$1006:AQ1006),$AB$1006:$AQ$1006,0)), HYPERLINK("#",""), HYPERLINK(CONCATENATE("#Metadata!", ADDRESS(INDEX($W$2:$W$1001,MATCH(ROWS($U$2:U606),$U$2:$U$1001,0),0), INDEX($AB$1004:$AQ$1004,1,MATCH(COLUMNS($AB$1006:AQ1006),$AB$1006:$AQ$1006,0)))),"Fix")))</f>
        <v>0</v>
      </c>
      <c r="U606">
        <v>0</v>
      </c>
      <c r="V606">
        <v>0</v>
      </c>
      <c r="W606">
        <v>0</v>
      </c>
      <c r="X606">
        <f>IF(Y606,TRUE,AND(AB606:AQ606))</f>
        <v>0</v>
      </c>
      <c r="Y606">
        <f>COUNTBLANK(Metadata!B606:Q606)=COLUMNS(Metadata!B606:Q606)</f>
        <v>0</v>
      </c>
      <c r="Z606">
        <v>0</v>
      </c>
      <c r="AB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AC606">
        <f>AND(IF(Metadata!C606="",FALSE,TRUE),exact(Metadata!C606,"urban biome"))</f>
        <v>0</v>
      </c>
      <c r="AD606">
        <f>AND(IF(Metadata!D606="",FALSE,TRUE),exact(Metadata!D606,"human-associated habitat"))</f>
        <v>0</v>
      </c>
      <c r="AE606">
        <f>AND(IF(Metadata!E606="",FALSE,TRUE),OR(exact(Metadata!E606,"human-associated"),exact(Metadata!E606,"human-skin"),exact(Metadata!E606,"human-oral"),exact(Metadata!E606,"human-gut"),exact(Metadata!E606,"human-vaginal")))</f>
        <v>0</v>
      </c>
      <c r="AF606">
        <f>AND(IF(Metadata!F606="",FALSE,ISNUMBER(VALUE(Metadata!F606))),Metadata!F606&gt;0)</f>
        <v>0</v>
      </c>
      <c r="AG606">
        <f>AND(IF(Metadata!G606="",FALSE,TRUE),exact(Metadata!G606,"years"))</f>
        <v>0</v>
      </c>
      <c r="AH606">
        <f>OR(AND(IF(Metadata!H606="",FALSE,TRUE),OR(exact(Metadata!H606,"not applicable"),exact(Metadata!H606,"not collected"),exact(Metadata!H606,"not provided"),exact(Metadata!H606,"restricted access"))),AND(IF(Metadata!H606="",FALSE,ISNUMBER(VALUE(Metadata!H606))),Metadata!H606&gt;0))</f>
        <v>0</v>
      </c>
      <c r="AI606">
        <f>AND(IF(Metadata!I606="",FALSE,TRUE),exact(Metadata!I606,"human"))</f>
        <v>0</v>
      </c>
      <c r="AJ606">
        <f>AND(IF(Metadata!J606="",FALSE,ISNUMBER(VALUE(Metadata!J606))),Metadata!J606&gt;0)</f>
        <v>0</v>
      </c>
      <c r="AK606">
        <f>AND(IF(Metadata!K606="",FALSE,TRUE),exact(Metadata!K606,"cm"))</f>
        <v>0</v>
      </c>
      <c r="AL606">
        <f>AND(IF(Metadata!L606="",FALSE,TRUE),exact(Metadata!L606,"Homo sapiens"))</f>
        <v>0</v>
      </c>
      <c r="AM606">
        <f>AND(IF(Metadata!M606="",FALSE,TRUE),exact(Metadata!M606,"9606"))</f>
        <v>0</v>
      </c>
      <c r="AN606">
        <f>AND(IF(Metadata!N606="",FALSE,ISNUMBER(VALUE(Metadata!N606))),Metadata!N606&gt;0)</f>
        <v>0</v>
      </c>
      <c r="AO606">
        <f>AND(IF(Metadata!O606="",FALSE,TRUE),exact(Metadata!O606,"kg"))</f>
        <v>0</v>
      </c>
      <c r="AP606">
        <f>OR(AND(IF(Metadata!P606="",FALSE,TRUE),exact(Metadata!P606,"not provided")),IF(Metadata!P606="",FALSE,TRUE))</f>
        <v>0</v>
      </c>
      <c r="AQ606">
        <f>OR(AND(IF(Metadata!Q606="",FALSE,TRUE),exact(Metadata!Q606,"not provided")),IF(Metadata!Q606="",FALSE,TRUE))</f>
        <v>0</v>
      </c>
    </row>
    <row r="607" spans="1:43">
      <c r="A607" s="4">
        <f>IF(B607=" "," ",HYPERLINK(CONCATENATE("#metadata!",ADDRESS(INDEX($W$2:$W$1001,MATCH(ROWS($U$2:U607),$U$2:$U$1001,0),0),2)),INDEX($Z$2:$Z$1001,MATCH(ROWS($U$2:U607),$U$2:$U$1001,0),0)))</f>
        <v>0</v>
      </c>
      <c r="B607" s="5">
        <f>IF(OR(INDEX($V$2:$V$1001,MATCH(ROWS($U$2:U607),$U$2:$U$1001,0),1)&gt;=100000,INDEX($AB$1005:$AQ$1005,1,MATCH(COLUMNS($AB$1006:AB1006),$AB$1006:$AQ$1006,0))&gt;=100000), " ",IF(INDEX($AB$2:$AQ$1001,MATCH(ROWS($U$2:U607),$U$2:$U$1001,0),MATCH(COLUMNS($AB$1006:AB1006),$AB$1006:$AQ$1006,0)), HYPERLINK("#",""), HYPERLINK(CONCATENATE("#Metadata!", ADDRESS(INDEX($W$2:$W$1001,MATCH(ROWS($U$2:U607),$U$2:$U$1001,0),0), INDEX($AB$1004:$AQ$1004,1,MATCH(COLUMNS($AB$1006:AB1006),$AB$1006:$AQ$1006,0)))),"Fix")))</f>
        <v>0</v>
      </c>
      <c r="C607" s="5">
        <f>IF(OR(INDEX($V$2:$V$1001,MATCH(ROWS($U$2:U607),$U$2:$U$1001,0),1)&gt;=100000,INDEX($AB$1005:$AQ$1005,1,MATCH(COLUMNS($AB$1006:AC1006),$AB$1006:$AQ$1006,0))&gt;=100000), " ",IF(INDEX($AB$2:$AQ$1001,MATCH(ROWS($U$2:U607),$U$2:$U$1001,0),MATCH(COLUMNS($AB$1006:AC1006),$AB$1006:$AQ$1006,0)), HYPERLINK("#",""), HYPERLINK(CONCATENATE("#Metadata!", ADDRESS(INDEX($W$2:$W$1001,MATCH(ROWS($U$2:U607),$U$2:$U$1001,0),0), INDEX($AB$1004:$AQ$1004,1,MATCH(COLUMNS($AB$1006:AC1006),$AB$1006:$AQ$1006,0)))),"Fix")))</f>
        <v>0</v>
      </c>
      <c r="D607" s="5">
        <f>IF(OR(INDEX($V$2:$V$1001,MATCH(ROWS($U$2:U607),$U$2:$U$1001,0),1)&gt;=100000,INDEX($AB$1005:$AQ$1005,1,MATCH(COLUMNS($AB$1006:AD1006),$AB$1006:$AQ$1006,0))&gt;=100000), " ",IF(INDEX($AB$2:$AQ$1001,MATCH(ROWS($U$2:U607),$U$2:$U$1001,0),MATCH(COLUMNS($AB$1006:AD1006),$AB$1006:$AQ$1006,0)), HYPERLINK("#",""), HYPERLINK(CONCATENATE("#Metadata!", ADDRESS(INDEX($W$2:$W$1001,MATCH(ROWS($U$2:U607),$U$2:$U$1001,0),0), INDEX($AB$1004:$AQ$1004,1,MATCH(COLUMNS($AB$1006:AD1006),$AB$1006:$AQ$1006,0)))),"Fix")))</f>
        <v>0</v>
      </c>
      <c r="E607" s="5">
        <f>IF(OR(INDEX($V$2:$V$1001,MATCH(ROWS($U$2:U607),$U$2:$U$1001,0),1)&gt;=100000,INDEX($AB$1005:$AQ$1005,1,MATCH(COLUMNS($AB$1006:AE1006),$AB$1006:$AQ$1006,0))&gt;=100000), " ",IF(INDEX($AB$2:$AQ$1001,MATCH(ROWS($U$2:U607),$U$2:$U$1001,0),MATCH(COLUMNS($AB$1006:AE1006),$AB$1006:$AQ$1006,0)), HYPERLINK("#",""), HYPERLINK(CONCATENATE("#Metadata!", ADDRESS(INDEX($W$2:$W$1001,MATCH(ROWS($U$2:U607),$U$2:$U$1001,0),0), INDEX($AB$1004:$AQ$1004,1,MATCH(COLUMNS($AB$1006:AE1006),$AB$1006:$AQ$1006,0)))),"Fix")))</f>
        <v>0</v>
      </c>
      <c r="F607" s="5">
        <f>IF(OR(INDEX($V$2:$V$1001,MATCH(ROWS($U$2:U607),$U$2:$U$1001,0),1)&gt;=100000,INDEX($AB$1005:$AQ$1005,1,MATCH(COLUMNS($AB$1006:AF1006),$AB$1006:$AQ$1006,0))&gt;=100000), " ",IF(INDEX($AB$2:$AQ$1001,MATCH(ROWS($U$2:U607),$U$2:$U$1001,0),MATCH(COLUMNS($AB$1006:AF1006),$AB$1006:$AQ$1006,0)), HYPERLINK("#",""), HYPERLINK(CONCATENATE("#Metadata!", ADDRESS(INDEX($W$2:$W$1001,MATCH(ROWS($U$2:U607),$U$2:$U$1001,0),0), INDEX($AB$1004:$AQ$1004,1,MATCH(COLUMNS($AB$1006:AF1006),$AB$1006:$AQ$1006,0)))),"Fix")))</f>
        <v>0</v>
      </c>
      <c r="G607" s="5">
        <f>IF(OR(INDEX($V$2:$V$1001,MATCH(ROWS($U$2:U607),$U$2:$U$1001,0),1)&gt;=100000,INDEX($AB$1005:$AQ$1005,1,MATCH(COLUMNS($AB$1006:AG1006),$AB$1006:$AQ$1006,0))&gt;=100000), " ",IF(INDEX($AB$2:$AQ$1001,MATCH(ROWS($U$2:U607),$U$2:$U$1001,0),MATCH(COLUMNS($AB$1006:AG1006),$AB$1006:$AQ$1006,0)), HYPERLINK("#",""), HYPERLINK(CONCATENATE("#Metadata!", ADDRESS(INDEX($W$2:$W$1001,MATCH(ROWS($U$2:U607),$U$2:$U$1001,0),0), INDEX($AB$1004:$AQ$1004,1,MATCH(COLUMNS($AB$1006:AG1006),$AB$1006:$AQ$1006,0)))),"Fix")))</f>
        <v>0</v>
      </c>
      <c r="H607" s="5">
        <f>IF(OR(INDEX($V$2:$V$1001,MATCH(ROWS($U$2:U607),$U$2:$U$1001,0),1)&gt;=100000,INDEX($AB$1005:$AQ$1005,1,MATCH(COLUMNS($AB$1006:AH1006),$AB$1006:$AQ$1006,0))&gt;=100000), " ",IF(INDEX($AB$2:$AQ$1001,MATCH(ROWS($U$2:U607),$U$2:$U$1001,0),MATCH(COLUMNS($AB$1006:AH1006),$AB$1006:$AQ$1006,0)), HYPERLINK("#",""), HYPERLINK(CONCATENATE("#Metadata!", ADDRESS(INDEX($W$2:$W$1001,MATCH(ROWS($U$2:U607),$U$2:$U$1001,0),0), INDEX($AB$1004:$AQ$1004,1,MATCH(COLUMNS($AB$1006:AH1006),$AB$1006:$AQ$1006,0)))),"Fix")))</f>
        <v>0</v>
      </c>
      <c r="I607" s="5">
        <f>IF(OR(INDEX($V$2:$V$1001,MATCH(ROWS($U$2:U607),$U$2:$U$1001,0),1)&gt;=100000,INDEX($AB$1005:$AQ$1005,1,MATCH(COLUMNS($AB$1006:AI1006),$AB$1006:$AQ$1006,0))&gt;=100000), " ",IF(INDEX($AB$2:$AQ$1001,MATCH(ROWS($U$2:U607),$U$2:$U$1001,0),MATCH(COLUMNS($AB$1006:AI1006),$AB$1006:$AQ$1006,0)), HYPERLINK("#",""), HYPERLINK(CONCATENATE("#Metadata!", ADDRESS(INDEX($W$2:$W$1001,MATCH(ROWS($U$2:U607),$U$2:$U$1001,0),0), INDEX($AB$1004:$AQ$1004,1,MATCH(COLUMNS($AB$1006:AI1006),$AB$1006:$AQ$1006,0)))),"Fix")))</f>
        <v>0</v>
      </c>
      <c r="J607" s="5">
        <f>IF(OR(INDEX($V$2:$V$1001,MATCH(ROWS($U$2:U607),$U$2:$U$1001,0),1)&gt;=100000,INDEX($AB$1005:$AQ$1005,1,MATCH(COLUMNS($AB$1006:AJ1006),$AB$1006:$AQ$1006,0))&gt;=100000), " ",IF(INDEX($AB$2:$AQ$1001,MATCH(ROWS($U$2:U607),$U$2:$U$1001,0),MATCH(COLUMNS($AB$1006:AJ1006),$AB$1006:$AQ$1006,0)), HYPERLINK("#",""), HYPERLINK(CONCATENATE("#Metadata!", ADDRESS(INDEX($W$2:$W$1001,MATCH(ROWS($U$2:U607),$U$2:$U$1001,0),0), INDEX($AB$1004:$AQ$1004,1,MATCH(COLUMNS($AB$1006:AJ1006),$AB$1006:$AQ$1006,0)))),"Fix")))</f>
        <v>0</v>
      </c>
      <c r="K607" s="5">
        <f>IF(OR(INDEX($V$2:$V$1001,MATCH(ROWS($U$2:U607),$U$2:$U$1001,0),1)&gt;=100000,INDEX($AB$1005:$AQ$1005,1,MATCH(COLUMNS($AB$1006:AK1006),$AB$1006:$AQ$1006,0))&gt;=100000), " ",IF(INDEX($AB$2:$AQ$1001,MATCH(ROWS($U$2:U607),$U$2:$U$1001,0),MATCH(COLUMNS($AB$1006:AK1006),$AB$1006:$AQ$1006,0)), HYPERLINK("#",""), HYPERLINK(CONCATENATE("#Metadata!", ADDRESS(INDEX($W$2:$W$1001,MATCH(ROWS($U$2:U607),$U$2:$U$1001,0),0), INDEX($AB$1004:$AQ$1004,1,MATCH(COLUMNS($AB$1006:AK1006),$AB$1006:$AQ$1006,0)))),"Fix")))</f>
        <v>0</v>
      </c>
      <c r="L607" s="5">
        <f>IF(OR(INDEX($V$2:$V$1001,MATCH(ROWS($U$2:U607),$U$2:$U$1001,0),1)&gt;=100000,INDEX($AB$1005:$AQ$1005,1,MATCH(COLUMNS($AB$1006:AL1006),$AB$1006:$AQ$1006,0))&gt;=100000), " ",IF(INDEX($AB$2:$AQ$1001,MATCH(ROWS($U$2:U607),$U$2:$U$1001,0),MATCH(COLUMNS($AB$1006:AL1006),$AB$1006:$AQ$1006,0)), HYPERLINK("#",""), HYPERLINK(CONCATENATE("#Metadata!", ADDRESS(INDEX($W$2:$W$1001,MATCH(ROWS($U$2:U607),$U$2:$U$1001,0),0), INDEX($AB$1004:$AQ$1004,1,MATCH(COLUMNS($AB$1006:AL1006),$AB$1006:$AQ$1006,0)))),"Fix")))</f>
        <v>0</v>
      </c>
      <c r="M607" s="5">
        <f>IF(OR(INDEX($V$2:$V$1001,MATCH(ROWS($U$2:U607),$U$2:$U$1001,0),1)&gt;=100000,INDEX($AB$1005:$AQ$1005,1,MATCH(COLUMNS($AB$1006:AM1006),$AB$1006:$AQ$1006,0))&gt;=100000), " ",IF(INDEX($AB$2:$AQ$1001,MATCH(ROWS($U$2:U607),$U$2:$U$1001,0),MATCH(COLUMNS($AB$1006:AM1006),$AB$1006:$AQ$1006,0)), HYPERLINK("#",""), HYPERLINK(CONCATENATE("#Metadata!", ADDRESS(INDEX($W$2:$W$1001,MATCH(ROWS($U$2:U607),$U$2:$U$1001,0),0), INDEX($AB$1004:$AQ$1004,1,MATCH(COLUMNS($AB$1006:AM1006),$AB$1006:$AQ$1006,0)))),"Fix")))</f>
        <v>0</v>
      </c>
      <c r="N607" s="5">
        <f>IF(OR(INDEX($V$2:$V$1001,MATCH(ROWS($U$2:U607),$U$2:$U$1001,0),1)&gt;=100000,INDEX($AB$1005:$AQ$1005,1,MATCH(COLUMNS($AB$1006:AN1006),$AB$1006:$AQ$1006,0))&gt;=100000), " ",IF(INDEX($AB$2:$AQ$1001,MATCH(ROWS($U$2:U607),$U$2:$U$1001,0),MATCH(COLUMNS($AB$1006:AN1006),$AB$1006:$AQ$1006,0)), HYPERLINK("#",""), HYPERLINK(CONCATENATE("#Metadata!", ADDRESS(INDEX($W$2:$W$1001,MATCH(ROWS($U$2:U607),$U$2:$U$1001,0),0), INDEX($AB$1004:$AQ$1004,1,MATCH(COLUMNS($AB$1006:AN1006),$AB$1006:$AQ$1006,0)))),"Fix")))</f>
        <v>0</v>
      </c>
      <c r="O607" s="5">
        <f>IF(OR(INDEX($V$2:$V$1001,MATCH(ROWS($U$2:U607),$U$2:$U$1001,0),1)&gt;=100000,INDEX($AB$1005:$AQ$1005,1,MATCH(COLUMNS($AB$1006:AO1006),$AB$1006:$AQ$1006,0))&gt;=100000), " ",IF(INDEX($AB$2:$AQ$1001,MATCH(ROWS($U$2:U607),$U$2:$U$1001,0),MATCH(COLUMNS($AB$1006:AO1006),$AB$1006:$AQ$1006,0)), HYPERLINK("#",""), HYPERLINK(CONCATENATE("#Metadata!", ADDRESS(INDEX($W$2:$W$1001,MATCH(ROWS($U$2:U607),$U$2:$U$1001,0),0), INDEX($AB$1004:$AQ$1004,1,MATCH(COLUMNS($AB$1006:AO1006),$AB$1006:$AQ$1006,0)))),"Fix")))</f>
        <v>0</v>
      </c>
      <c r="P607" s="5">
        <f>IF(OR(INDEX($V$2:$V$1001,MATCH(ROWS($U$2:U607),$U$2:$U$1001,0),1)&gt;=100000,INDEX($AB$1005:$AQ$1005,1,MATCH(COLUMNS($AB$1006:AP1006),$AB$1006:$AQ$1006,0))&gt;=100000), " ",IF(INDEX($AB$2:$AQ$1001,MATCH(ROWS($U$2:U607),$U$2:$U$1001,0),MATCH(COLUMNS($AB$1006:AP1006),$AB$1006:$AQ$1006,0)), HYPERLINK("#",""), HYPERLINK(CONCATENATE("#Metadata!", ADDRESS(INDEX($W$2:$W$1001,MATCH(ROWS($U$2:U607),$U$2:$U$1001,0),0), INDEX($AB$1004:$AQ$1004,1,MATCH(COLUMNS($AB$1006:AP1006),$AB$1006:$AQ$1006,0)))),"Fix")))</f>
        <v>0</v>
      </c>
      <c r="Q607" s="5">
        <f>IF(OR(INDEX($V$2:$V$1001,MATCH(ROWS($U$2:U607),$U$2:$U$1001,0),1)&gt;=100000,INDEX($AB$1005:$AQ$1005,1,MATCH(COLUMNS($AB$1006:AQ1006),$AB$1006:$AQ$1006,0))&gt;=100000), " ",IF(INDEX($AB$2:$AQ$1001,MATCH(ROWS($U$2:U607),$U$2:$U$1001,0),MATCH(COLUMNS($AB$1006:AQ1006),$AB$1006:$AQ$1006,0)), HYPERLINK("#",""), HYPERLINK(CONCATENATE("#Metadata!", ADDRESS(INDEX($W$2:$W$1001,MATCH(ROWS($U$2:U607),$U$2:$U$1001,0),0), INDEX($AB$1004:$AQ$1004,1,MATCH(COLUMNS($AB$1006:AQ1006),$AB$1006:$AQ$1006,0)))),"Fix")))</f>
        <v>0</v>
      </c>
      <c r="U607">
        <v>0</v>
      </c>
      <c r="V607">
        <v>0</v>
      </c>
      <c r="W607">
        <v>0</v>
      </c>
      <c r="X607">
        <f>IF(Y607,TRUE,AND(AB607:AQ607))</f>
        <v>0</v>
      </c>
      <c r="Y607">
        <f>COUNTBLANK(Metadata!B607:Q607)=COLUMNS(Metadata!B607:Q607)</f>
        <v>0</v>
      </c>
      <c r="Z607">
        <v>0</v>
      </c>
      <c r="AB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AC607">
        <f>AND(IF(Metadata!C607="",FALSE,TRUE),exact(Metadata!C607,"urban biome"))</f>
        <v>0</v>
      </c>
      <c r="AD607">
        <f>AND(IF(Metadata!D607="",FALSE,TRUE),exact(Metadata!D607,"human-associated habitat"))</f>
        <v>0</v>
      </c>
      <c r="AE607">
        <f>AND(IF(Metadata!E607="",FALSE,TRUE),OR(exact(Metadata!E607,"human-associated"),exact(Metadata!E607,"human-skin"),exact(Metadata!E607,"human-oral"),exact(Metadata!E607,"human-gut"),exact(Metadata!E607,"human-vaginal")))</f>
        <v>0</v>
      </c>
      <c r="AF607">
        <f>AND(IF(Metadata!F607="",FALSE,ISNUMBER(VALUE(Metadata!F607))),Metadata!F607&gt;0)</f>
        <v>0</v>
      </c>
      <c r="AG607">
        <f>AND(IF(Metadata!G607="",FALSE,TRUE),exact(Metadata!G607,"years"))</f>
        <v>0</v>
      </c>
      <c r="AH607">
        <f>OR(AND(IF(Metadata!H607="",FALSE,TRUE),OR(exact(Metadata!H607,"not applicable"),exact(Metadata!H607,"not collected"),exact(Metadata!H607,"not provided"),exact(Metadata!H607,"restricted access"))),AND(IF(Metadata!H607="",FALSE,ISNUMBER(VALUE(Metadata!H607))),Metadata!H607&gt;0))</f>
        <v>0</v>
      </c>
      <c r="AI607">
        <f>AND(IF(Metadata!I607="",FALSE,TRUE),exact(Metadata!I607,"human"))</f>
        <v>0</v>
      </c>
      <c r="AJ607">
        <f>AND(IF(Metadata!J607="",FALSE,ISNUMBER(VALUE(Metadata!J607))),Metadata!J607&gt;0)</f>
        <v>0</v>
      </c>
      <c r="AK607">
        <f>AND(IF(Metadata!K607="",FALSE,TRUE),exact(Metadata!K607,"cm"))</f>
        <v>0</v>
      </c>
      <c r="AL607">
        <f>AND(IF(Metadata!L607="",FALSE,TRUE),exact(Metadata!L607,"Homo sapiens"))</f>
        <v>0</v>
      </c>
      <c r="AM607">
        <f>AND(IF(Metadata!M607="",FALSE,TRUE),exact(Metadata!M607,"9606"))</f>
        <v>0</v>
      </c>
      <c r="AN607">
        <f>AND(IF(Metadata!N607="",FALSE,ISNUMBER(VALUE(Metadata!N607))),Metadata!N607&gt;0)</f>
        <v>0</v>
      </c>
      <c r="AO607">
        <f>AND(IF(Metadata!O607="",FALSE,TRUE),exact(Metadata!O607,"kg"))</f>
        <v>0</v>
      </c>
      <c r="AP607">
        <f>OR(AND(IF(Metadata!P607="",FALSE,TRUE),exact(Metadata!P607,"not provided")),IF(Metadata!P607="",FALSE,TRUE))</f>
        <v>0</v>
      </c>
      <c r="AQ607">
        <f>OR(AND(IF(Metadata!Q607="",FALSE,TRUE),exact(Metadata!Q607,"not provided")),IF(Metadata!Q607="",FALSE,TRUE))</f>
        <v>0</v>
      </c>
    </row>
    <row r="608" spans="1:43">
      <c r="A608" s="4">
        <f>IF(B608=" "," ",HYPERLINK(CONCATENATE("#metadata!",ADDRESS(INDEX($W$2:$W$1001,MATCH(ROWS($U$2:U608),$U$2:$U$1001,0),0),2)),INDEX($Z$2:$Z$1001,MATCH(ROWS($U$2:U608),$U$2:$U$1001,0),0)))</f>
        <v>0</v>
      </c>
      <c r="B608" s="5">
        <f>IF(OR(INDEX($V$2:$V$1001,MATCH(ROWS($U$2:U608),$U$2:$U$1001,0),1)&gt;=100000,INDEX($AB$1005:$AQ$1005,1,MATCH(COLUMNS($AB$1006:AB1006),$AB$1006:$AQ$1006,0))&gt;=100000), " ",IF(INDEX($AB$2:$AQ$1001,MATCH(ROWS($U$2:U608),$U$2:$U$1001,0),MATCH(COLUMNS($AB$1006:AB1006),$AB$1006:$AQ$1006,0)), HYPERLINK("#",""), HYPERLINK(CONCATENATE("#Metadata!", ADDRESS(INDEX($W$2:$W$1001,MATCH(ROWS($U$2:U608),$U$2:$U$1001,0),0), INDEX($AB$1004:$AQ$1004,1,MATCH(COLUMNS($AB$1006:AB1006),$AB$1006:$AQ$1006,0)))),"Fix")))</f>
        <v>0</v>
      </c>
      <c r="C608" s="5">
        <f>IF(OR(INDEX($V$2:$V$1001,MATCH(ROWS($U$2:U608),$U$2:$U$1001,0),1)&gt;=100000,INDEX($AB$1005:$AQ$1005,1,MATCH(COLUMNS($AB$1006:AC1006),$AB$1006:$AQ$1006,0))&gt;=100000), " ",IF(INDEX($AB$2:$AQ$1001,MATCH(ROWS($U$2:U608),$U$2:$U$1001,0),MATCH(COLUMNS($AB$1006:AC1006),$AB$1006:$AQ$1006,0)), HYPERLINK("#",""), HYPERLINK(CONCATENATE("#Metadata!", ADDRESS(INDEX($W$2:$W$1001,MATCH(ROWS($U$2:U608),$U$2:$U$1001,0),0), INDEX($AB$1004:$AQ$1004,1,MATCH(COLUMNS($AB$1006:AC1006),$AB$1006:$AQ$1006,0)))),"Fix")))</f>
        <v>0</v>
      </c>
      <c r="D608" s="5">
        <f>IF(OR(INDEX($V$2:$V$1001,MATCH(ROWS($U$2:U608),$U$2:$U$1001,0),1)&gt;=100000,INDEX($AB$1005:$AQ$1005,1,MATCH(COLUMNS($AB$1006:AD1006),$AB$1006:$AQ$1006,0))&gt;=100000), " ",IF(INDEX($AB$2:$AQ$1001,MATCH(ROWS($U$2:U608),$U$2:$U$1001,0),MATCH(COLUMNS($AB$1006:AD1006),$AB$1006:$AQ$1006,0)), HYPERLINK("#",""), HYPERLINK(CONCATENATE("#Metadata!", ADDRESS(INDEX($W$2:$W$1001,MATCH(ROWS($U$2:U608),$U$2:$U$1001,0),0), INDEX($AB$1004:$AQ$1004,1,MATCH(COLUMNS($AB$1006:AD1006),$AB$1006:$AQ$1006,0)))),"Fix")))</f>
        <v>0</v>
      </c>
      <c r="E608" s="5">
        <f>IF(OR(INDEX($V$2:$V$1001,MATCH(ROWS($U$2:U608),$U$2:$U$1001,0),1)&gt;=100000,INDEX($AB$1005:$AQ$1005,1,MATCH(COLUMNS($AB$1006:AE1006),$AB$1006:$AQ$1006,0))&gt;=100000), " ",IF(INDEX($AB$2:$AQ$1001,MATCH(ROWS($U$2:U608),$U$2:$U$1001,0),MATCH(COLUMNS($AB$1006:AE1006),$AB$1006:$AQ$1006,0)), HYPERLINK("#",""), HYPERLINK(CONCATENATE("#Metadata!", ADDRESS(INDEX($W$2:$W$1001,MATCH(ROWS($U$2:U608),$U$2:$U$1001,0),0), INDEX($AB$1004:$AQ$1004,1,MATCH(COLUMNS($AB$1006:AE1006),$AB$1006:$AQ$1006,0)))),"Fix")))</f>
        <v>0</v>
      </c>
      <c r="F608" s="5">
        <f>IF(OR(INDEX($V$2:$V$1001,MATCH(ROWS($U$2:U608),$U$2:$U$1001,0),1)&gt;=100000,INDEX($AB$1005:$AQ$1005,1,MATCH(COLUMNS($AB$1006:AF1006),$AB$1006:$AQ$1006,0))&gt;=100000), " ",IF(INDEX($AB$2:$AQ$1001,MATCH(ROWS($U$2:U608),$U$2:$U$1001,0),MATCH(COLUMNS($AB$1006:AF1006),$AB$1006:$AQ$1006,0)), HYPERLINK("#",""), HYPERLINK(CONCATENATE("#Metadata!", ADDRESS(INDEX($W$2:$W$1001,MATCH(ROWS($U$2:U608),$U$2:$U$1001,0),0), INDEX($AB$1004:$AQ$1004,1,MATCH(COLUMNS($AB$1006:AF1006),$AB$1006:$AQ$1006,0)))),"Fix")))</f>
        <v>0</v>
      </c>
      <c r="G608" s="5">
        <f>IF(OR(INDEX($V$2:$V$1001,MATCH(ROWS($U$2:U608),$U$2:$U$1001,0),1)&gt;=100000,INDEX($AB$1005:$AQ$1005,1,MATCH(COLUMNS($AB$1006:AG1006),$AB$1006:$AQ$1006,0))&gt;=100000), " ",IF(INDEX($AB$2:$AQ$1001,MATCH(ROWS($U$2:U608),$U$2:$U$1001,0),MATCH(COLUMNS($AB$1006:AG1006),$AB$1006:$AQ$1006,0)), HYPERLINK("#",""), HYPERLINK(CONCATENATE("#Metadata!", ADDRESS(INDEX($W$2:$W$1001,MATCH(ROWS($U$2:U608),$U$2:$U$1001,0),0), INDEX($AB$1004:$AQ$1004,1,MATCH(COLUMNS($AB$1006:AG1006),$AB$1006:$AQ$1006,0)))),"Fix")))</f>
        <v>0</v>
      </c>
      <c r="H608" s="5">
        <f>IF(OR(INDEX($V$2:$V$1001,MATCH(ROWS($U$2:U608),$U$2:$U$1001,0),1)&gt;=100000,INDEX($AB$1005:$AQ$1005,1,MATCH(COLUMNS($AB$1006:AH1006),$AB$1006:$AQ$1006,0))&gt;=100000), " ",IF(INDEX($AB$2:$AQ$1001,MATCH(ROWS($U$2:U608),$U$2:$U$1001,0),MATCH(COLUMNS($AB$1006:AH1006),$AB$1006:$AQ$1006,0)), HYPERLINK("#",""), HYPERLINK(CONCATENATE("#Metadata!", ADDRESS(INDEX($W$2:$W$1001,MATCH(ROWS($U$2:U608),$U$2:$U$1001,0),0), INDEX($AB$1004:$AQ$1004,1,MATCH(COLUMNS($AB$1006:AH1006),$AB$1006:$AQ$1006,0)))),"Fix")))</f>
        <v>0</v>
      </c>
      <c r="I608" s="5">
        <f>IF(OR(INDEX($V$2:$V$1001,MATCH(ROWS($U$2:U608),$U$2:$U$1001,0),1)&gt;=100000,INDEX($AB$1005:$AQ$1005,1,MATCH(COLUMNS($AB$1006:AI1006),$AB$1006:$AQ$1006,0))&gt;=100000), " ",IF(INDEX($AB$2:$AQ$1001,MATCH(ROWS($U$2:U608),$U$2:$U$1001,0),MATCH(COLUMNS($AB$1006:AI1006),$AB$1006:$AQ$1006,0)), HYPERLINK("#",""), HYPERLINK(CONCATENATE("#Metadata!", ADDRESS(INDEX($W$2:$W$1001,MATCH(ROWS($U$2:U608),$U$2:$U$1001,0),0), INDEX($AB$1004:$AQ$1004,1,MATCH(COLUMNS($AB$1006:AI1006),$AB$1006:$AQ$1006,0)))),"Fix")))</f>
        <v>0</v>
      </c>
      <c r="J608" s="5">
        <f>IF(OR(INDEX($V$2:$V$1001,MATCH(ROWS($U$2:U608),$U$2:$U$1001,0),1)&gt;=100000,INDEX($AB$1005:$AQ$1005,1,MATCH(COLUMNS($AB$1006:AJ1006),$AB$1006:$AQ$1006,0))&gt;=100000), " ",IF(INDEX($AB$2:$AQ$1001,MATCH(ROWS($U$2:U608),$U$2:$U$1001,0),MATCH(COLUMNS($AB$1006:AJ1006),$AB$1006:$AQ$1006,0)), HYPERLINK("#",""), HYPERLINK(CONCATENATE("#Metadata!", ADDRESS(INDEX($W$2:$W$1001,MATCH(ROWS($U$2:U608),$U$2:$U$1001,0),0), INDEX($AB$1004:$AQ$1004,1,MATCH(COLUMNS($AB$1006:AJ1006),$AB$1006:$AQ$1006,0)))),"Fix")))</f>
        <v>0</v>
      </c>
      <c r="K608" s="5">
        <f>IF(OR(INDEX($V$2:$V$1001,MATCH(ROWS($U$2:U608),$U$2:$U$1001,0),1)&gt;=100000,INDEX($AB$1005:$AQ$1005,1,MATCH(COLUMNS($AB$1006:AK1006),$AB$1006:$AQ$1006,0))&gt;=100000), " ",IF(INDEX($AB$2:$AQ$1001,MATCH(ROWS($U$2:U608),$U$2:$U$1001,0),MATCH(COLUMNS($AB$1006:AK1006),$AB$1006:$AQ$1006,0)), HYPERLINK("#",""), HYPERLINK(CONCATENATE("#Metadata!", ADDRESS(INDEX($W$2:$W$1001,MATCH(ROWS($U$2:U608),$U$2:$U$1001,0),0), INDEX($AB$1004:$AQ$1004,1,MATCH(COLUMNS($AB$1006:AK1006),$AB$1006:$AQ$1006,0)))),"Fix")))</f>
        <v>0</v>
      </c>
      <c r="L608" s="5">
        <f>IF(OR(INDEX($V$2:$V$1001,MATCH(ROWS($U$2:U608),$U$2:$U$1001,0),1)&gt;=100000,INDEX($AB$1005:$AQ$1005,1,MATCH(COLUMNS($AB$1006:AL1006),$AB$1006:$AQ$1006,0))&gt;=100000), " ",IF(INDEX($AB$2:$AQ$1001,MATCH(ROWS($U$2:U608),$U$2:$U$1001,0),MATCH(COLUMNS($AB$1006:AL1006),$AB$1006:$AQ$1006,0)), HYPERLINK("#",""), HYPERLINK(CONCATENATE("#Metadata!", ADDRESS(INDEX($W$2:$W$1001,MATCH(ROWS($U$2:U608),$U$2:$U$1001,0),0), INDEX($AB$1004:$AQ$1004,1,MATCH(COLUMNS($AB$1006:AL1006),$AB$1006:$AQ$1006,0)))),"Fix")))</f>
        <v>0</v>
      </c>
      <c r="M608" s="5">
        <f>IF(OR(INDEX($V$2:$V$1001,MATCH(ROWS($U$2:U608),$U$2:$U$1001,0),1)&gt;=100000,INDEX($AB$1005:$AQ$1005,1,MATCH(COLUMNS($AB$1006:AM1006),$AB$1006:$AQ$1006,0))&gt;=100000), " ",IF(INDEX($AB$2:$AQ$1001,MATCH(ROWS($U$2:U608),$U$2:$U$1001,0),MATCH(COLUMNS($AB$1006:AM1006),$AB$1006:$AQ$1006,0)), HYPERLINK("#",""), HYPERLINK(CONCATENATE("#Metadata!", ADDRESS(INDEX($W$2:$W$1001,MATCH(ROWS($U$2:U608),$U$2:$U$1001,0),0), INDEX($AB$1004:$AQ$1004,1,MATCH(COLUMNS($AB$1006:AM1006),$AB$1006:$AQ$1006,0)))),"Fix")))</f>
        <v>0</v>
      </c>
      <c r="N608" s="5">
        <f>IF(OR(INDEX($V$2:$V$1001,MATCH(ROWS($U$2:U608),$U$2:$U$1001,0),1)&gt;=100000,INDEX($AB$1005:$AQ$1005,1,MATCH(COLUMNS($AB$1006:AN1006),$AB$1006:$AQ$1006,0))&gt;=100000), " ",IF(INDEX($AB$2:$AQ$1001,MATCH(ROWS($U$2:U608),$U$2:$U$1001,0),MATCH(COLUMNS($AB$1006:AN1006),$AB$1006:$AQ$1006,0)), HYPERLINK("#",""), HYPERLINK(CONCATENATE("#Metadata!", ADDRESS(INDEX($W$2:$W$1001,MATCH(ROWS($U$2:U608),$U$2:$U$1001,0),0), INDEX($AB$1004:$AQ$1004,1,MATCH(COLUMNS($AB$1006:AN1006),$AB$1006:$AQ$1006,0)))),"Fix")))</f>
        <v>0</v>
      </c>
      <c r="O608" s="5">
        <f>IF(OR(INDEX($V$2:$V$1001,MATCH(ROWS($U$2:U608),$U$2:$U$1001,0),1)&gt;=100000,INDEX($AB$1005:$AQ$1005,1,MATCH(COLUMNS($AB$1006:AO1006),$AB$1006:$AQ$1006,0))&gt;=100000), " ",IF(INDEX($AB$2:$AQ$1001,MATCH(ROWS($U$2:U608),$U$2:$U$1001,0),MATCH(COLUMNS($AB$1006:AO1006),$AB$1006:$AQ$1006,0)), HYPERLINK("#",""), HYPERLINK(CONCATENATE("#Metadata!", ADDRESS(INDEX($W$2:$W$1001,MATCH(ROWS($U$2:U608),$U$2:$U$1001,0),0), INDEX($AB$1004:$AQ$1004,1,MATCH(COLUMNS($AB$1006:AO1006),$AB$1006:$AQ$1006,0)))),"Fix")))</f>
        <v>0</v>
      </c>
      <c r="P608" s="5">
        <f>IF(OR(INDEX($V$2:$V$1001,MATCH(ROWS($U$2:U608),$U$2:$U$1001,0),1)&gt;=100000,INDEX($AB$1005:$AQ$1005,1,MATCH(COLUMNS($AB$1006:AP1006),$AB$1006:$AQ$1006,0))&gt;=100000), " ",IF(INDEX($AB$2:$AQ$1001,MATCH(ROWS($U$2:U608),$U$2:$U$1001,0),MATCH(COLUMNS($AB$1006:AP1006),$AB$1006:$AQ$1006,0)), HYPERLINK("#",""), HYPERLINK(CONCATENATE("#Metadata!", ADDRESS(INDEX($W$2:$W$1001,MATCH(ROWS($U$2:U608),$U$2:$U$1001,0),0), INDEX($AB$1004:$AQ$1004,1,MATCH(COLUMNS($AB$1006:AP1006),$AB$1006:$AQ$1006,0)))),"Fix")))</f>
        <v>0</v>
      </c>
      <c r="Q608" s="5">
        <f>IF(OR(INDEX($V$2:$V$1001,MATCH(ROWS($U$2:U608),$U$2:$U$1001,0),1)&gt;=100000,INDEX($AB$1005:$AQ$1005,1,MATCH(COLUMNS($AB$1006:AQ1006),$AB$1006:$AQ$1006,0))&gt;=100000), " ",IF(INDEX($AB$2:$AQ$1001,MATCH(ROWS($U$2:U608),$U$2:$U$1001,0),MATCH(COLUMNS($AB$1006:AQ1006),$AB$1006:$AQ$1006,0)), HYPERLINK("#",""), HYPERLINK(CONCATENATE("#Metadata!", ADDRESS(INDEX($W$2:$W$1001,MATCH(ROWS($U$2:U608),$U$2:$U$1001,0),0), INDEX($AB$1004:$AQ$1004,1,MATCH(COLUMNS($AB$1006:AQ1006),$AB$1006:$AQ$1006,0)))),"Fix")))</f>
        <v>0</v>
      </c>
      <c r="U608">
        <v>0</v>
      </c>
      <c r="V608">
        <v>0</v>
      </c>
      <c r="W608">
        <v>0</v>
      </c>
      <c r="X608">
        <f>IF(Y608,TRUE,AND(AB608:AQ608))</f>
        <v>0</v>
      </c>
      <c r="Y608">
        <f>COUNTBLANK(Metadata!B608:Q608)=COLUMNS(Metadata!B608:Q608)</f>
        <v>0</v>
      </c>
      <c r="Z608">
        <v>0</v>
      </c>
      <c r="AB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AC608">
        <f>AND(IF(Metadata!C608="",FALSE,TRUE),exact(Metadata!C608,"urban biome"))</f>
        <v>0</v>
      </c>
      <c r="AD608">
        <f>AND(IF(Metadata!D608="",FALSE,TRUE),exact(Metadata!D608,"human-associated habitat"))</f>
        <v>0</v>
      </c>
      <c r="AE608">
        <f>AND(IF(Metadata!E608="",FALSE,TRUE),OR(exact(Metadata!E608,"human-associated"),exact(Metadata!E608,"human-skin"),exact(Metadata!E608,"human-oral"),exact(Metadata!E608,"human-gut"),exact(Metadata!E608,"human-vaginal")))</f>
        <v>0</v>
      </c>
      <c r="AF608">
        <f>AND(IF(Metadata!F608="",FALSE,ISNUMBER(VALUE(Metadata!F608))),Metadata!F608&gt;0)</f>
        <v>0</v>
      </c>
      <c r="AG608">
        <f>AND(IF(Metadata!G608="",FALSE,TRUE),exact(Metadata!G608,"years"))</f>
        <v>0</v>
      </c>
      <c r="AH608">
        <f>OR(AND(IF(Metadata!H608="",FALSE,TRUE),OR(exact(Metadata!H608,"not applicable"),exact(Metadata!H608,"not collected"),exact(Metadata!H608,"not provided"),exact(Metadata!H608,"restricted access"))),AND(IF(Metadata!H608="",FALSE,ISNUMBER(VALUE(Metadata!H608))),Metadata!H608&gt;0))</f>
        <v>0</v>
      </c>
      <c r="AI608">
        <f>AND(IF(Metadata!I608="",FALSE,TRUE),exact(Metadata!I608,"human"))</f>
        <v>0</v>
      </c>
      <c r="AJ608">
        <f>AND(IF(Metadata!J608="",FALSE,ISNUMBER(VALUE(Metadata!J608))),Metadata!J608&gt;0)</f>
        <v>0</v>
      </c>
      <c r="AK608">
        <f>AND(IF(Metadata!K608="",FALSE,TRUE),exact(Metadata!K608,"cm"))</f>
        <v>0</v>
      </c>
      <c r="AL608">
        <f>AND(IF(Metadata!L608="",FALSE,TRUE),exact(Metadata!L608,"Homo sapiens"))</f>
        <v>0</v>
      </c>
      <c r="AM608">
        <f>AND(IF(Metadata!M608="",FALSE,TRUE),exact(Metadata!M608,"9606"))</f>
        <v>0</v>
      </c>
      <c r="AN608">
        <f>AND(IF(Metadata!N608="",FALSE,ISNUMBER(VALUE(Metadata!N608))),Metadata!N608&gt;0)</f>
        <v>0</v>
      </c>
      <c r="AO608">
        <f>AND(IF(Metadata!O608="",FALSE,TRUE),exact(Metadata!O608,"kg"))</f>
        <v>0</v>
      </c>
      <c r="AP608">
        <f>OR(AND(IF(Metadata!P608="",FALSE,TRUE),exact(Metadata!P608,"not provided")),IF(Metadata!P608="",FALSE,TRUE))</f>
        <v>0</v>
      </c>
      <c r="AQ608">
        <f>OR(AND(IF(Metadata!Q608="",FALSE,TRUE),exact(Metadata!Q608,"not provided")),IF(Metadata!Q608="",FALSE,TRUE))</f>
        <v>0</v>
      </c>
    </row>
    <row r="609" spans="1:43">
      <c r="A609" s="4">
        <f>IF(B609=" "," ",HYPERLINK(CONCATENATE("#metadata!",ADDRESS(INDEX($W$2:$W$1001,MATCH(ROWS($U$2:U609),$U$2:$U$1001,0),0),2)),INDEX($Z$2:$Z$1001,MATCH(ROWS($U$2:U609),$U$2:$U$1001,0),0)))</f>
        <v>0</v>
      </c>
      <c r="B609" s="5">
        <f>IF(OR(INDEX($V$2:$V$1001,MATCH(ROWS($U$2:U609),$U$2:$U$1001,0),1)&gt;=100000,INDEX($AB$1005:$AQ$1005,1,MATCH(COLUMNS($AB$1006:AB1006),$AB$1006:$AQ$1006,0))&gt;=100000), " ",IF(INDEX($AB$2:$AQ$1001,MATCH(ROWS($U$2:U609),$U$2:$U$1001,0),MATCH(COLUMNS($AB$1006:AB1006),$AB$1006:$AQ$1006,0)), HYPERLINK("#",""), HYPERLINK(CONCATENATE("#Metadata!", ADDRESS(INDEX($W$2:$W$1001,MATCH(ROWS($U$2:U609),$U$2:$U$1001,0),0), INDEX($AB$1004:$AQ$1004,1,MATCH(COLUMNS($AB$1006:AB1006),$AB$1006:$AQ$1006,0)))),"Fix")))</f>
        <v>0</v>
      </c>
      <c r="C609" s="5">
        <f>IF(OR(INDEX($V$2:$V$1001,MATCH(ROWS($U$2:U609),$U$2:$U$1001,0),1)&gt;=100000,INDEX($AB$1005:$AQ$1005,1,MATCH(COLUMNS($AB$1006:AC1006),$AB$1006:$AQ$1006,0))&gt;=100000), " ",IF(INDEX($AB$2:$AQ$1001,MATCH(ROWS($U$2:U609),$U$2:$U$1001,0),MATCH(COLUMNS($AB$1006:AC1006),$AB$1006:$AQ$1006,0)), HYPERLINK("#",""), HYPERLINK(CONCATENATE("#Metadata!", ADDRESS(INDEX($W$2:$W$1001,MATCH(ROWS($U$2:U609),$U$2:$U$1001,0),0), INDEX($AB$1004:$AQ$1004,1,MATCH(COLUMNS($AB$1006:AC1006),$AB$1006:$AQ$1006,0)))),"Fix")))</f>
        <v>0</v>
      </c>
      <c r="D609" s="5">
        <f>IF(OR(INDEX($V$2:$V$1001,MATCH(ROWS($U$2:U609),$U$2:$U$1001,0),1)&gt;=100000,INDEX($AB$1005:$AQ$1005,1,MATCH(COLUMNS($AB$1006:AD1006),$AB$1006:$AQ$1006,0))&gt;=100000), " ",IF(INDEX($AB$2:$AQ$1001,MATCH(ROWS($U$2:U609),$U$2:$U$1001,0),MATCH(COLUMNS($AB$1006:AD1006),$AB$1006:$AQ$1006,0)), HYPERLINK("#",""), HYPERLINK(CONCATENATE("#Metadata!", ADDRESS(INDEX($W$2:$W$1001,MATCH(ROWS($U$2:U609),$U$2:$U$1001,0),0), INDEX($AB$1004:$AQ$1004,1,MATCH(COLUMNS($AB$1006:AD1006),$AB$1006:$AQ$1006,0)))),"Fix")))</f>
        <v>0</v>
      </c>
      <c r="E609" s="5">
        <f>IF(OR(INDEX($V$2:$V$1001,MATCH(ROWS($U$2:U609),$U$2:$U$1001,0),1)&gt;=100000,INDEX($AB$1005:$AQ$1005,1,MATCH(COLUMNS($AB$1006:AE1006),$AB$1006:$AQ$1006,0))&gt;=100000), " ",IF(INDEX($AB$2:$AQ$1001,MATCH(ROWS($U$2:U609),$U$2:$U$1001,0),MATCH(COLUMNS($AB$1006:AE1006),$AB$1006:$AQ$1006,0)), HYPERLINK("#",""), HYPERLINK(CONCATENATE("#Metadata!", ADDRESS(INDEX($W$2:$W$1001,MATCH(ROWS($U$2:U609),$U$2:$U$1001,0),0), INDEX($AB$1004:$AQ$1004,1,MATCH(COLUMNS($AB$1006:AE1006),$AB$1006:$AQ$1006,0)))),"Fix")))</f>
        <v>0</v>
      </c>
      <c r="F609" s="5">
        <f>IF(OR(INDEX($V$2:$V$1001,MATCH(ROWS($U$2:U609),$U$2:$U$1001,0),1)&gt;=100000,INDEX($AB$1005:$AQ$1005,1,MATCH(COLUMNS($AB$1006:AF1006),$AB$1006:$AQ$1006,0))&gt;=100000), " ",IF(INDEX($AB$2:$AQ$1001,MATCH(ROWS($U$2:U609),$U$2:$U$1001,0),MATCH(COLUMNS($AB$1006:AF1006),$AB$1006:$AQ$1006,0)), HYPERLINK("#",""), HYPERLINK(CONCATENATE("#Metadata!", ADDRESS(INDEX($W$2:$W$1001,MATCH(ROWS($U$2:U609),$U$2:$U$1001,0),0), INDEX($AB$1004:$AQ$1004,1,MATCH(COLUMNS($AB$1006:AF1006),$AB$1006:$AQ$1006,0)))),"Fix")))</f>
        <v>0</v>
      </c>
      <c r="G609" s="5">
        <f>IF(OR(INDEX($V$2:$V$1001,MATCH(ROWS($U$2:U609),$U$2:$U$1001,0),1)&gt;=100000,INDEX($AB$1005:$AQ$1005,1,MATCH(COLUMNS($AB$1006:AG1006),$AB$1006:$AQ$1006,0))&gt;=100000), " ",IF(INDEX($AB$2:$AQ$1001,MATCH(ROWS($U$2:U609),$U$2:$U$1001,0),MATCH(COLUMNS($AB$1006:AG1006),$AB$1006:$AQ$1006,0)), HYPERLINK("#",""), HYPERLINK(CONCATENATE("#Metadata!", ADDRESS(INDEX($W$2:$W$1001,MATCH(ROWS($U$2:U609),$U$2:$U$1001,0),0), INDEX($AB$1004:$AQ$1004,1,MATCH(COLUMNS($AB$1006:AG1006),$AB$1006:$AQ$1006,0)))),"Fix")))</f>
        <v>0</v>
      </c>
      <c r="H609" s="5">
        <f>IF(OR(INDEX($V$2:$V$1001,MATCH(ROWS($U$2:U609),$U$2:$U$1001,0),1)&gt;=100000,INDEX($AB$1005:$AQ$1005,1,MATCH(COLUMNS($AB$1006:AH1006),$AB$1006:$AQ$1006,0))&gt;=100000), " ",IF(INDEX($AB$2:$AQ$1001,MATCH(ROWS($U$2:U609),$U$2:$U$1001,0),MATCH(COLUMNS($AB$1006:AH1006),$AB$1006:$AQ$1006,0)), HYPERLINK("#",""), HYPERLINK(CONCATENATE("#Metadata!", ADDRESS(INDEX($W$2:$W$1001,MATCH(ROWS($U$2:U609),$U$2:$U$1001,0),0), INDEX($AB$1004:$AQ$1004,1,MATCH(COLUMNS($AB$1006:AH1006),$AB$1006:$AQ$1006,0)))),"Fix")))</f>
        <v>0</v>
      </c>
      <c r="I609" s="5">
        <f>IF(OR(INDEX($V$2:$V$1001,MATCH(ROWS($U$2:U609),$U$2:$U$1001,0),1)&gt;=100000,INDEX($AB$1005:$AQ$1005,1,MATCH(COLUMNS($AB$1006:AI1006),$AB$1006:$AQ$1006,0))&gt;=100000), " ",IF(INDEX($AB$2:$AQ$1001,MATCH(ROWS($U$2:U609),$U$2:$U$1001,0),MATCH(COLUMNS($AB$1006:AI1006),$AB$1006:$AQ$1006,0)), HYPERLINK("#",""), HYPERLINK(CONCATENATE("#Metadata!", ADDRESS(INDEX($W$2:$W$1001,MATCH(ROWS($U$2:U609),$U$2:$U$1001,0),0), INDEX($AB$1004:$AQ$1004,1,MATCH(COLUMNS($AB$1006:AI1006),$AB$1006:$AQ$1006,0)))),"Fix")))</f>
        <v>0</v>
      </c>
      <c r="J609" s="5">
        <f>IF(OR(INDEX($V$2:$V$1001,MATCH(ROWS($U$2:U609),$U$2:$U$1001,0),1)&gt;=100000,INDEX($AB$1005:$AQ$1005,1,MATCH(COLUMNS($AB$1006:AJ1006),$AB$1006:$AQ$1006,0))&gt;=100000), " ",IF(INDEX($AB$2:$AQ$1001,MATCH(ROWS($U$2:U609),$U$2:$U$1001,0),MATCH(COLUMNS($AB$1006:AJ1006),$AB$1006:$AQ$1006,0)), HYPERLINK("#",""), HYPERLINK(CONCATENATE("#Metadata!", ADDRESS(INDEX($W$2:$W$1001,MATCH(ROWS($U$2:U609),$U$2:$U$1001,0),0), INDEX($AB$1004:$AQ$1004,1,MATCH(COLUMNS($AB$1006:AJ1006),$AB$1006:$AQ$1006,0)))),"Fix")))</f>
        <v>0</v>
      </c>
      <c r="K609" s="5">
        <f>IF(OR(INDEX($V$2:$V$1001,MATCH(ROWS($U$2:U609),$U$2:$U$1001,0),1)&gt;=100000,INDEX($AB$1005:$AQ$1005,1,MATCH(COLUMNS($AB$1006:AK1006),$AB$1006:$AQ$1006,0))&gt;=100000), " ",IF(INDEX($AB$2:$AQ$1001,MATCH(ROWS($U$2:U609),$U$2:$U$1001,0),MATCH(COLUMNS($AB$1006:AK1006),$AB$1006:$AQ$1006,0)), HYPERLINK("#",""), HYPERLINK(CONCATENATE("#Metadata!", ADDRESS(INDEX($W$2:$W$1001,MATCH(ROWS($U$2:U609),$U$2:$U$1001,0),0), INDEX($AB$1004:$AQ$1004,1,MATCH(COLUMNS($AB$1006:AK1006),$AB$1006:$AQ$1006,0)))),"Fix")))</f>
        <v>0</v>
      </c>
      <c r="L609" s="5">
        <f>IF(OR(INDEX($V$2:$V$1001,MATCH(ROWS($U$2:U609),$U$2:$U$1001,0),1)&gt;=100000,INDEX($AB$1005:$AQ$1005,1,MATCH(COLUMNS($AB$1006:AL1006),$AB$1006:$AQ$1006,0))&gt;=100000), " ",IF(INDEX($AB$2:$AQ$1001,MATCH(ROWS($U$2:U609),$U$2:$U$1001,0),MATCH(COLUMNS($AB$1006:AL1006),$AB$1006:$AQ$1006,0)), HYPERLINK("#",""), HYPERLINK(CONCATENATE("#Metadata!", ADDRESS(INDEX($W$2:$W$1001,MATCH(ROWS($U$2:U609),$U$2:$U$1001,0),0), INDEX($AB$1004:$AQ$1004,1,MATCH(COLUMNS($AB$1006:AL1006),$AB$1006:$AQ$1006,0)))),"Fix")))</f>
        <v>0</v>
      </c>
      <c r="M609" s="5">
        <f>IF(OR(INDEX($V$2:$V$1001,MATCH(ROWS($U$2:U609),$U$2:$U$1001,0),1)&gt;=100000,INDEX($AB$1005:$AQ$1005,1,MATCH(COLUMNS($AB$1006:AM1006),$AB$1006:$AQ$1006,0))&gt;=100000), " ",IF(INDEX($AB$2:$AQ$1001,MATCH(ROWS($U$2:U609),$U$2:$U$1001,0),MATCH(COLUMNS($AB$1006:AM1006),$AB$1006:$AQ$1006,0)), HYPERLINK("#",""), HYPERLINK(CONCATENATE("#Metadata!", ADDRESS(INDEX($W$2:$W$1001,MATCH(ROWS($U$2:U609),$U$2:$U$1001,0),0), INDEX($AB$1004:$AQ$1004,1,MATCH(COLUMNS($AB$1006:AM1006),$AB$1006:$AQ$1006,0)))),"Fix")))</f>
        <v>0</v>
      </c>
      <c r="N609" s="5">
        <f>IF(OR(INDEX($V$2:$V$1001,MATCH(ROWS($U$2:U609),$U$2:$U$1001,0),1)&gt;=100000,INDEX($AB$1005:$AQ$1005,1,MATCH(COLUMNS($AB$1006:AN1006),$AB$1006:$AQ$1006,0))&gt;=100000), " ",IF(INDEX($AB$2:$AQ$1001,MATCH(ROWS($U$2:U609),$U$2:$U$1001,0),MATCH(COLUMNS($AB$1006:AN1006),$AB$1006:$AQ$1006,0)), HYPERLINK("#",""), HYPERLINK(CONCATENATE("#Metadata!", ADDRESS(INDEX($W$2:$W$1001,MATCH(ROWS($U$2:U609),$U$2:$U$1001,0),0), INDEX($AB$1004:$AQ$1004,1,MATCH(COLUMNS($AB$1006:AN1006),$AB$1006:$AQ$1006,0)))),"Fix")))</f>
        <v>0</v>
      </c>
      <c r="O609" s="5">
        <f>IF(OR(INDEX($V$2:$V$1001,MATCH(ROWS($U$2:U609),$U$2:$U$1001,0),1)&gt;=100000,INDEX($AB$1005:$AQ$1005,1,MATCH(COLUMNS($AB$1006:AO1006),$AB$1006:$AQ$1006,0))&gt;=100000), " ",IF(INDEX($AB$2:$AQ$1001,MATCH(ROWS($U$2:U609),$U$2:$U$1001,0),MATCH(COLUMNS($AB$1006:AO1006),$AB$1006:$AQ$1006,0)), HYPERLINK("#",""), HYPERLINK(CONCATENATE("#Metadata!", ADDRESS(INDEX($W$2:$W$1001,MATCH(ROWS($U$2:U609),$U$2:$U$1001,0),0), INDEX($AB$1004:$AQ$1004,1,MATCH(COLUMNS($AB$1006:AO1006),$AB$1006:$AQ$1006,0)))),"Fix")))</f>
        <v>0</v>
      </c>
      <c r="P609" s="5">
        <f>IF(OR(INDEX($V$2:$V$1001,MATCH(ROWS($U$2:U609),$U$2:$U$1001,0),1)&gt;=100000,INDEX($AB$1005:$AQ$1005,1,MATCH(COLUMNS($AB$1006:AP1006),$AB$1006:$AQ$1006,0))&gt;=100000), " ",IF(INDEX($AB$2:$AQ$1001,MATCH(ROWS($U$2:U609),$U$2:$U$1001,0),MATCH(COLUMNS($AB$1006:AP1006),$AB$1006:$AQ$1006,0)), HYPERLINK("#",""), HYPERLINK(CONCATENATE("#Metadata!", ADDRESS(INDEX($W$2:$W$1001,MATCH(ROWS($U$2:U609),$U$2:$U$1001,0),0), INDEX($AB$1004:$AQ$1004,1,MATCH(COLUMNS($AB$1006:AP1006),$AB$1006:$AQ$1006,0)))),"Fix")))</f>
        <v>0</v>
      </c>
      <c r="Q609" s="5">
        <f>IF(OR(INDEX($V$2:$V$1001,MATCH(ROWS($U$2:U609),$U$2:$U$1001,0),1)&gt;=100000,INDEX($AB$1005:$AQ$1005,1,MATCH(COLUMNS($AB$1006:AQ1006),$AB$1006:$AQ$1006,0))&gt;=100000), " ",IF(INDEX($AB$2:$AQ$1001,MATCH(ROWS($U$2:U609),$U$2:$U$1001,0),MATCH(COLUMNS($AB$1006:AQ1006),$AB$1006:$AQ$1006,0)), HYPERLINK("#",""), HYPERLINK(CONCATENATE("#Metadata!", ADDRESS(INDEX($W$2:$W$1001,MATCH(ROWS($U$2:U609),$U$2:$U$1001,0),0), INDEX($AB$1004:$AQ$1004,1,MATCH(COLUMNS($AB$1006:AQ1006),$AB$1006:$AQ$1006,0)))),"Fix")))</f>
        <v>0</v>
      </c>
      <c r="U609">
        <v>0</v>
      </c>
      <c r="V609">
        <v>0</v>
      </c>
      <c r="W609">
        <v>0</v>
      </c>
      <c r="X609">
        <f>IF(Y609,TRUE,AND(AB609:AQ609))</f>
        <v>0</v>
      </c>
      <c r="Y609">
        <f>COUNTBLANK(Metadata!B609:Q609)=COLUMNS(Metadata!B609:Q609)</f>
        <v>0</v>
      </c>
      <c r="Z609">
        <v>0</v>
      </c>
      <c r="AB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AC609">
        <f>AND(IF(Metadata!C609="",FALSE,TRUE),exact(Metadata!C609,"urban biome"))</f>
        <v>0</v>
      </c>
      <c r="AD609">
        <f>AND(IF(Metadata!D609="",FALSE,TRUE),exact(Metadata!D609,"human-associated habitat"))</f>
        <v>0</v>
      </c>
      <c r="AE609">
        <f>AND(IF(Metadata!E609="",FALSE,TRUE),OR(exact(Metadata!E609,"human-associated"),exact(Metadata!E609,"human-skin"),exact(Metadata!E609,"human-oral"),exact(Metadata!E609,"human-gut"),exact(Metadata!E609,"human-vaginal")))</f>
        <v>0</v>
      </c>
      <c r="AF609">
        <f>AND(IF(Metadata!F609="",FALSE,ISNUMBER(VALUE(Metadata!F609))),Metadata!F609&gt;0)</f>
        <v>0</v>
      </c>
      <c r="AG609">
        <f>AND(IF(Metadata!G609="",FALSE,TRUE),exact(Metadata!G609,"years"))</f>
        <v>0</v>
      </c>
      <c r="AH609">
        <f>OR(AND(IF(Metadata!H609="",FALSE,TRUE),OR(exact(Metadata!H609,"not applicable"),exact(Metadata!H609,"not collected"),exact(Metadata!H609,"not provided"),exact(Metadata!H609,"restricted access"))),AND(IF(Metadata!H609="",FALSE,ISNUMBER(VALUE(Metadata!H609))),Metadata!H609&gt;0))</f>
        <v>0</v>
      </c>
      <c r="AI609">
        <f>AND(IF(Metadata!I609="",FALSE,TRUE),exact(Metadata!I609,"human"))</f>
        <v>0</v>
      </c>
      <c r="AJ609">
        <f>AND(IF(Metadata!J609="",FALSE,ISNUMBER(VALUE(Metadata!J609))),Metadata!J609&gt;0)</f>
        <v>0</v>
      </c>
      <c r="AK609">
        <f>AND(IF(Metadata!K609="",FALSE,TRUE),exact(Metadata!K609,"cm"))</f>
        <v>0</v>
      </c>
      <c r="AL609">
        <f>AND(IF(Metadata!L609="",FALSE,TRUE),exact(Metadata!L609,"Homo sapiens"))</f>
        <v>0</v>
      </c>
      <c r="AM609">
        <f>AND(IF(Metadata!M609="",FALSE,TRUE),exact(Metadata!M609,"9606"))</f>
        <v>0</v>
      </c>
      <c r="AN609">
        <f>AND(IF(Metadata!N609="",FALSE,ISNUMBER(VALUE(Metadata!N609))),Metadata!N609&gt;0)</f>
        <v>0</v>
      </c>
      <c r="AO609">
        <f>AND(IF(Metadata!O609="",FALSE,TRUE),exact(Metadata!O609,"kg"))</f>
        <v>0</v>
      </c>
      <c r="AP609">
        <f>OR(AND(IF(Metadata!P609="",FALSE,TRUE),exact(Metadata!P609,"not provided")),IF(Metadata!P609="",FALSE,TRUE))</f>
        <v>0</v>
      </c>
      <c r="AQ609">
        <f>OR(AND(IF(Metadata!Q609="",FALSE,TRUE),exact(Metadata!Q609,"not provided")),IF(Metadata!Q609="",FALSE,TRUE))</f>
        <v>0</v>
      </c>
    </row>
    <row r="610" spans="1:43">
      <c r="A610" s="4">
        <f>IF(B610=" "," ",HYPERLINK(CONCATENATE("#metadata!",ADDRESS(INDEX($W$2:$W$1001,MATCH(ROWS($U$2:U610),$U$2:$U$1001,0),0),2)),INDEX($Z$2:$Z$1001,MATCH(ROWS($U$2:U610),$U$2:$U$1001,0),0)))</f>
        <v>0</v>
      </c>
      <c r="B610" s="5">
        <f>IF(OR(INDEX($V$2:$V$1001,MATCH(ROWS($U$2:U610),$U$2:$U$1001,0),1)&gt;=100000,INDEX($AB$1005:$AQ$1005,1,MATCH(COLUMNS($AB$1006:AB1006),$AB$1006:$AQ$1006,0))&gt;=100000), " ",IF(INDEX($AB$2:$AQ$1001,MATCH(ROWS($U$2:U610),$U$2:$U$1001,0),MATCH(COLUMNS($AB$1006:AB1006),$AB$1006:$AQ$1006,0)), HYPERLINK("#",""), HYPERLINK(CONCATENATE("#Metadata!", ADDRESS(INDEX($W$2:$W$1001,MATCH(ROWS($U$2:U610),$U$2:$U$1001,0),0), INDEX($AB$1004:$AQ$1004,1,MATCH(COLUMNS($AB$1006:AB1006),$AB$1006:$AQ$1006,0)))),"Fix")))</f>
        <v>0</v>
      </c>
      <c r="C610" s="5">
        <f>IF(OR(INDEX($V$2:$V$1001,MATCH(ROWS($U$2:U610),$U$2:$U$1001,0),1)&gt;=100000,INDEX($AB$1005:$AQ$1005,1,MATCH(COLUMNS($AB$1006:AC1006),$AB$1006:$AQ$1006,0))&gt;=100000), " ",IF(INDEX($AB$2:$AQ$1001,MATCH(ROWS($U$2:U610),$U$2:$U$1001,0),MATCH(COLUMNS($AB$1006:AC1006),$AB$1006:$AQ$1006,0)), HYPERLINK("#",""), HYPERLINK(CONCATENATE("#Metadata!", ADDRESS(INDEX($W$2:$W$1001,MATCH(ROWS($U$2:U610),$U$2:$U$1001,0),0), INDEX($AB$1004:$AQ$1004,1,MATCH(COLUMNS($AB$1006:AC1006),$AB$1006:$AQ$1006,0)))),"Fix")))</f>
        <v>0</v>
      </c>
      <c r="D610" s="5">
        <f>IF(OR(INDEX($V$2:$V$1001,MATCH(ROWS($U$2:U610),$U$2:$U$1001,0),1)&gt;=100000,INDEX($AB$1005:$AQ$1005,1,MATCH(COLUMNS($AB$1006:AD1006),$AB$1006:$AQ$1006,0))&gt;=100000), " ",IF(INDEX($AB$2:$AQ$1001,MATCH(ROWS($U$2:U610),$U$2:$U$1001,0),MATCH(COLUMNS($AB$1006:AD1006),$AB$1006:$AQ$1006,0)), HYPERLINK("#",""), HYPERLINK(CONCATENATE("#Metadata!", ADDRESS(INDEX($W$2:$W$1001,MATCH(ROWS($U$2:U610),$U$2:$U$1001,0),0), INDEX($AB$1004:$AQ$1004,1,MATCH(COLUMNS($AB$1006:AD1006),$AB$1006:$AQ$1006,0)))),"Fix")))</f>
        <v>0</v>
      </c>
      <c r="E610" s="5">
        <f>IF(OR(INDEX($V$2:$V$1001,MATCH(ROWS($U$2:U610),$U$2:$U$1001,0),1)&gt;=100000,INDEX($AB$1005:$AQ$1005,1,MATCH(COLUMNS($AB$1006:AE1006),$AB$1006:$AQ$1006,0))&gt;=100000), " ",IF(INDEX($AB$2:$AQ$1001,MATCH(ROWS($U$2:U610),$U$2:$U$1001,0),MATCH(COLUMNS($AB$1006:AE1006),$AB$1006:$AQ$1006,0)), HYPERLINK("#",""), HYPERLINK(CONCATENATE("#Metadata!", ADDRESS(INDEX($W$2:$W$1001,MATCH(ROWS($U$2:U610),$U$2:$U$1001,0),0), INDEX($AB$1004:$AQ$1004,1,MATCH(COLUMNS($AB$1006:AE1006),$AB$1006:$AQ$1006,0)))),"Fix")))</f>
        <v>0</v>
      </c>
      <c r="F610" s="5">
        <f>IF(OR(INDEX($V$2:$V$1001,MATCH(ROWS($U$2:U610),$U$2:$U$1001,0),1)&gt;=100000,INDEX($AB$1005:$AQ$1005,1,MATCH(COLUMNS($AB$1006:AF1006),$AB$1006:$AQ$1006,0))&gt;=100000), " ",IF(INDEX($AB$2:$AQ$1001,MATCH(ROWS($U$2:U610),$U$2:$U$1001,0),MATCH(COLUMNS($AB$1006:AF1006),$AB$1006:$AQ$1006,0)), HYPERLINK("#",""), HYPERLINK(CONCATENATE("#Metadata!", ADDRESS(INDEX($W$2:$W$1001,MATCH(ROWS($U$2:U610),$U$2:$U$1001,0),0), INDEX($AB$1004:$AQ$1004,1,MATCH(COLUMNS($AB$1006:AF1006),$AB$1006:$AQ$1006,0)))),"Fix")))</f>
        <v>0</v>
      </c>
      <c r="G610" s="5">
        <f>IF(OR(INDEX($V$2:$V$1001,MATCH(ROWS($U$2:U610),$U$2:$U$1001,0),1)&gt;=100000,INDEX($AB$1005:$AQ$1005,1,MATCH(COLUMNS($AB$1006:AG1006),$AB$1006:$AQ$1006,0))&gt;=100000), " ",IF(INDEX($AB$2:$AQ$1001,MATCH(ROWS($U$2:U610),$U$2:$U$1001,0),MATCH(COLUMNS($AB$1006:AG1006),$AB$1006:$AQ$1006,0)), HYPERLINK("#",""), HYPERLINK(CONCATENATE("#Metadata!", ADDRESS(INDEX($W$2:$W$1001,MATCH(ROWS($U$2:U610),$U$2:$U$1001,0),0), INDEX($AB$1004:$AQ$1004,1,MATCH(COLUMNS($AB$1006:AG1006),$AB$1006:$AQ$1006,0)))),"Fix")))</f>
        <v>0</v>
      </c>
      <c r="H610" s="5">
        <f>IF(OR(INDEX($V$2:$V$1001,MATCH(ROWS($U$2:U610),$U$2:$U$1001,0),1)&gt;=100000,INDEX($AB$1005:$AQ$1005,1,MATCH(COLUMNS($AB$1006:AH1006),$AB$1006:$AQ$1006,0))&gt;=100000), " ",IF(INDEX($AB$2:$AQ$1001,MATCH(ROWS($U$2:U610),$U$2:$U$1001,0),MATCH(COLUMNS($AB$1006:AH1006),$AB$1006:$AQ$1006,0)), HYPERLINK("#",""), HYPERLINK(CONCATENATE("#Metadata!", ADDRESS(INDEX($W$2:$W$1001,MATCH(ROWS($U$2:U610),$U$2:$U$1001,0),0), INDEX($AB$1004:$AQ$1004,1,MATCH(COLUMNS($AB$1006:AH1006),$AB$1006:$AQ$1006,0)))),"Fix")))</f>
        <v>0</v>
      </c>
      <c r="I610" s="5">
        <f>IF(OR(INDEX($V$2:$V$1001,MATCH(ROWS($U$2:U610),$U$2:$U$1001,0),1)&gt;=100000,INDEX($AB$1005:$AQ$1005,1,MATCH(COLUMNS($AB$1006:AI1006),$AB$1006:$AQ$1006,0))&gt;=100000), " ",IF(INDEX($AB$2:$AQ$1001,MATCH(ROWS($U$2:U610),$U$2:$U$1001,0),MATCH(COLUMNS($AB$1006:AI1006),$AB$1006:$AQ$1006,0)), HYPERLINK("#",""), HYPERLINK(CONCATENATE("#Metadata!", ADDRESS(INDEX($W$2:$W$1001,MATCH(ROWS($U$2:U610),$U$2:$U$1001,0),0), INDEX($AB$1004:$AQ$1004,1,MATCH(COLUMNS($AB$1006:AI1006),$AB$1006:$AQ$1006,0)))),"Fix")))</f>
        <v>0</v>
      </c>
      <c r="J610" s="5">
        <f>IF(OR(INDEX($V$2:$V$1001,MATCH(ROWS($U$2:U610),$U$2:$U$1001,0),1)&gt;=100000,INDEX($AB$1005:$AQ$1005,1,MATCH(COLUMNS($AB$1006:AJ1006),$AB$1006:$AQ$1006,0))&gt;=100000), " ",IF(INDEX($AB$2:$AQ$1001,MATCH(ROWS($U$2:U610),$U$2:$U$1001,0),MATCH(COLUMNS($AB$1006:AJ1006),$AB$1006:$AQ$1006,0)), HYPERLINK("#",""), HYPERLINK(CONCATENATE("#Metadata!", ADDRESS(INDEX($W$2:$W$1001,MATCH(ROWS($U$2:U610),$U$2:$U$1001,0),0), INDEX($AB$1004:$AQ$1004,1,MATCH(COLUMNS($AB$1006:AJ1006),$AB$1006:$AQ$1006,0)))),"Fix")))</f>
        <v>0</v>
      </c>
      <c r="K610" s="5">
        <f>IF(OR(INDEX($V$2:$V$1001,MATCH(ROWS($U$2:U610),$U$2:$U$1001,0),1)&gt;=100000,INDEX($AB$1005:$AQ$1005,1,MATCH(COLUMNS($AB$1006:AK1006),$AB$1006:$AQ$1006,0))&gt;=100000), " ",IF(INDEX($AB$2:$AQ$1001,MATCH(ROWS($U$2:U610),$U$2:$U$1001,0),MATCH(COLUMNS($AB$1006:AK1006),$AB$1006:$AQ$1006,0)), HYPERLINK("#",""), HYPERLINK(CONCATENATE("#Metadata!", ADDRESS(INDEX($W$2:$W$1001,MATCH(ROWS($U$2:U610),$U$2:$U$1001,0),0), INDEX($AB$1004:$AQ$1004,1,MATCH(COLUMNS($AB$1006:AK1006),$AB$1006:$AQ$1006,0)))),"Fix")))</f>
        <v>0</v>
      </c>
      <c r="L610" s="5">
        <f>IF(OR(INDEX($V$2:$V$1001,MATCH(ROWS($U$2:U610),$U$2:$U$1001,0),1)&gt;=100000,INDEX($AB$1005:$AQ$1005,1,MATCH(COLUMNS($AB$1006:AL1006),$AB$1006:$AQ$1006,0))&gt;=100000), " ",IF(INDEX($AB$2:$AQ$1001,MATCH(ROWS($U$2:U610),$U$2:$U$1001,0),MATCH(COLUMNS($AB$1006:AL1006),$AB$1006:$AQ$1006,0)), HYPERLINK("#",""), HYPERLINK(CONCATENATE("#Metadata!", ADDRESS(INDEX($W$2:$W$1001,MATCH(ROWS($U$2:U610),$U$2:$U$1001,0),0), INDEX($AB$1004:$AQ$1004,1,MATCH(COLUMNS($AB$1006:AL1006),$AB$1006:$AQ$1006,0)))),"Fix")))</f>
        <v>0</v>
      </c>
      <c r="M610" s="5">
        <f>IF(OR(INDEX($V$2:$V$1001,MATCH(ROWS($U$2:U610),$U$2:$U$1001,0),1)&gt;=100000,INDEX($AB$1005:$AQ$1005,1,MATCH(COLUMNS($AB$1006:AM1006),$AB$1006:$AQ$1006,0))&gt;=100000), " ",IF(INDEX($AB$2:$AQ$1001,MATCH(ROWS($U$2:U610),$U$2:$U$1001,0),MATCH(COLUMNS($AB$1006:AM1006),$AB$1006:$AQ$1006,0)), HYPERLINK("#",""), HYPERLINK(CONCATENATE("#Metadata!", ADDRESS(INDEX($W$2:$W$1001,MATCH(ROWS($U$2:U610),$U$2:$U$1001,0),0), INDEX($AB$1004:$AQ$1004,1,MATCH(COLUMNS($AB$1006:AM1006),$AB$1006:$AQ$1006,0)))),"Fix")))</f>
        <v>0</v>
      </c>
      <c r="N610" s="5">
        <f>IF(OR(INDEX($V$2:$V$1001,MATCH(ROWS($U$2:U610),$U$2:$U$1001,0),1)&gt;=100000,INDEX($AB$1005:$AQ$1005,1,MATCH(COLUMNS($AB$1006:AN1006),$AB$1006:$AQ$1006,0))&gt;=100000), " ",IF(INDEX($AB$2:$AQ$1001,MATCH(ROWS($U$2:U610),$U$2:$U$1001,0),MATCH(COLUMNS($AB$1006:AN1006),$AB$1006:$AQ$1006,0)), HYPERLINK("#",""), HYPERLINK(CONCATENATE("#Metadata!", ADDRESS(INDEX($W$2:$W$1001,MATCH(ROWS($U$2:U610),$U$2:$U$1001,0),0), INDEX($AB$1004:$AQ$1004,1,MATCH(COLUMNS($AB$1006:AN1006),$AB$1006:$AQ$1006,0)))),"Fix")))</f>
        <v>0</v>
      </c>
      <c r="O610" s="5">
        <f>IF(OR(INDEX($V$2:$V$1001,MATCH(ROWS($U$2:U610),$U$2:$U$1001,0),1)&gt;=100000,INDEX($AB$1005:$AQ$1005,1,MATCH(COLUMNS($AB$1006:AO1006),$AB$1006:$AQ$1006,0))&gt;=100000), " ",IF(INDEX($AB$2:$AQ$1001,MATCH(ROWS($U$2:U610),$U$2:$U$1001,0),MATCH(COLUMNS($AB$1006:AO1006),$AB$1006:$AQ$1006,0)), HYPERLINK("#",""), HYPERLINK(CONCATENATE("#Metadata!", ADDRESS(INDEX($W$2:$W$1001,MATCH(ROWS($U$2:U610),$U$2:$U$1001,0),0), INDEX($AB$1004:$AQ$1004,1,MATCH(COLUMNS($AB$1006:AO1006),$AB$1006:$AQ$1006,0)))),"Fix")))</f>
        <v>0</v>
      </c>
      <c r="P610" s="5">
        <f>IF(OR(INDEX($V$2:$V$1001,MATCH(ROWS($U$2:U610),$U$2:$U$1001,0),1)&gt;=100000,INDEX($AB$1005:$AQ$1005,1,MATCH(COLUMNS($AB$1006:AP1006),$AB$1006:$AQ$1006,0))&gt;=100000), " ",IF(INDEX($AB$2:$AQ$1001,MATCH(ROWS($U$2:U610),$U$2:$U$1001,0),MATCH(COLUMNS($AB$1006:AP1006),$AB$1006:$AQ$1006,0)), HYPERLINK("#",""), HYPERLINK(CONCATENATE("#Metadata!", ADDRESS(INDEX($W$2:$W$1001,MATCH(ROWS($U$2:U610),$U$2:$U$1001,0),0), INDEX($AB$1004:$AQ$1004,1,MATCH(COLUMNS($AB$1006:AP1006),$AB$1006:$AQ$1006,0)))),"Fix")))</f>
        <v>0</v>
      </c>
      <c r="Q610" s="5">
        <f>IF(OR(INDEX($V$2:$V$1001,MATCH(ROWS($U$2:U610),$U$2:$U$1001,0),1)&gt;=100000,INDEX($AB$1005:$AQ$1005,1,MATCH(COLUMNS($AB$1006:AQ1006),$AB$1006:$AQ$1006,0))&gt;=100000), " ",IF(INDEX($AB$2:$AQ$1001,MATCH(ROWS($U$2:U610),$U$2:$U$1001,0),MATCH(COLUMNS($AB$1006:AQ1006),$AB$1006:$AQ$1006,0)), HYPERLINK("#",""), HYPERLINK(CONCATENATE("#Metadata!", ADDRESS(INDEX($W$2:$W$1001,MATCH(ROWS($U$2:U610),$U$2:$U$1001,0),0), INDEX($AB$1004:$AQ$1004,1,MATCH(COLUMNS($AB$1006:AQ1006),$AB$1006:$AQ$1006,0)))),"Fix")))</f>
        <v>0</v>
      </c>
      <c r="U610">
        <v>0</v>
      </c>
      <c r="V610">
        <v>0</v>
      </c>
      <c r="W610">
        <v>0</v>
      </c>
      <c r="X610">
        <f>IF(Y610,TRUE,AND(AB610:AQ610))</f>
        <v>0</v>
      </c>
      <c r="Y610">
        <f>COUNTBLANK(Metadata!B610:Q610)=COLUMNS(Metadata!B610:Q610)</f>
        <v>0</v>
      </c>
      <c r="Z610">
        <v>0</v>
      </c>
      <c r="AB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AC610">
        <f>AND(IF(Metadata!C610="",FALSE,TRUE),exact(Metadata!C610,"urban biome"))</f>
        <v>0</v>
      </c>
      <c r="AD610">
        <f>AND(IF(Metadata!D610="",FALSE,TRUE),exact(Metadata!D610,"human-associated habitat"))</f>
        <v>0</v>
      </c>
      <c r="AE610">
        <f>AND(IF(Metadata!E610="",FALSE,TRUE),OR(exact(Metadata!E610,"human-associated"),exact(Metadata!E610,"human-skin"),exact(Metadata!E610,"human-oral"),exact(Metadata!E610,"human-gut"),exact(Metadata!E610,"human-vaginal")))</f>
        <v>0</v>
      </c>
      <c r="AF610">
        <f>AND(IF(Metadata!F610="",FALSE,ISNUMBER(VALUE(Metadata!F610))),Metadata!F610&gt;0)</f>
        <v>0</v>
      </c>
      <c r="AG610">
        <f>AND(IF(Metadata!G610="",FALSE,TRUE),exact(Metadata!G610,"years"))</f>
        <v>0</v>
      </c>
      <c r="AH610">
        <f>OR(AND(IF(Metadata!H610="",FALSE,TRUE),OR(exact(Metadata!H610,"not applicable"),exact(Metadata!H610,"not collected"),exact(Metadata!H610,"not provided"),exact(Metadata!H610,"restricted access"))),AND(IF(Metadata!H610="",FALSE,ISNUMBER(VALUE(Metadata!H610))),Metadata!H610&gt;0))</f>
        <v>0</v>
      </c>
      <c r="AI610">
        <f>AND(IF(Metadata!I610="",FALSE,TRUE),exact(Metadata!I610,"human"))</f>
        <v>0</v>
      </c>
      <c r="AJ610">
        <f>AND(IF(Metadata!J610="",FALSE,ISNUMBER(VALUE(Metadata!J610))),Metadata!J610&gt;0)</f>
        <v>0</v>
      </c>
      <c r="AK610">
        <f>AND(IF(Metadata!K610="",FALSE,TRUE),exact(Metadata!K610,"cm"))</f>
        <v>0</v>
      </c>
      <c r="AL610">
        <f>AND(IF(Metadata!L610="",FALSE,TRUE),exact(Metadata!L610,"Homo sapiens"))</f>
        <v>0</v>
      </c>
      <c r="AM610">
        <f>AND(IF(Metadata!M610="",FALSE,TRUE),exact(Metadata!M610,"9606"))</f>
        <v>0</v>
      </c>
      <c r="AN610">
        <f>AND(IF(Metadata!N610="",FALSE,ISNUMBER(VALUE(Metadata!N610))),Metadata!N610&gt;0)</f>
        <v>0</v>
      </c>
      <c r="AO610">
        <f>AND(IF(Metadata!O610="",FALSE,TRUE),exact(Metadata!O610,"kg"))</f>
        <v>0</v>
      </c>
      <c r="AP610">
        <f>OR(AND(IF(Metadata!P610="",FALSE,TRUE),exact(Metadata!P610,"not provided")),IF(Metadata!P610="",FALSE,TRUE))</f>
        <v>0</v>
      </c>
      <c r="AQ610">
        <f>OR(AND(IF(Metadata!Q610="",FALSE,TRUE),exact(Metadata!Q610,"not provided")),IF(Metadata!Q610="",FALSE,TRUE))</f>
        <v>0</v>
      </c>
    </row>
    <row r="611" spans="1:43">
      <c r="A611" s="4">
        <f>IF(B611=" "," ",HYPERLINK(CONCATENATE("#metadata!",ADDRESS(INDEX($W$2:$W$1001,MATCH(ROWS($U$2:U611),$U$2:$U$1001,0),0),2)),INDEX($Z$2:$Z$1001,MATCH(ROWS($U$2:U611),$U$2:$U$1001,0),0)))</f>
        <v>0</v>
      </c>
      <c r="B611" s="5">
        <f>IF(OR(INDEX($V$2:$V$1001,MATCH(ROWS($U$2:U611),$U$2:$U$1001,0),1)&gt;=100000,INDEX($AB$1005:$AQ$1005,1,MATCH(COLUMNS($AB$1006:AB1006),$AB$1006:$AQ$1006,0))&gt;=100000), " ",IF(INDEX($AB$2:$AQ$1001,MATCH(ROWS($U$2:U611),$U$2:$U$1001,0),MATCH(COLUMNS($AB$1006:AB1006),$AB$1006:$AQ$1006,0)), HYPERLINK("#",""), HYPERLINK(CONCATENATE("#Metadata!", ADDRESS(INDEX($W$2:$W$1001,MATCH(ROWS($U$2:U611),$U$2:$U$1001,0),0), INDEX($AB$1004:$AQ$1004,1,MATCH(COLUMNS($AB$1006:AB1006),$AB$1006:$AQ$1006,0)))),"Fix")))</f>
        <v>0</v>
      </c>
      <c r="C611" s="5">
        <f>IF(OR(INDEX($V$2:$V$1001,MATCH(ROWS($U$2:U611),$U$2:$U$1001,0),1)&gt;=100000,INDEX($AB$1005:$AQ$1005,1,MATCH(COLUMNS($AB$1006:AC1006),$AB$1006:$AQ$1006,0))&gt;=100000), " ",IF(INDEX($AB$2:$AQ$1001,MATCH(ROWS($U$2:U611),$U$2:$U$1001,0),MATCH(COLUMNS($AB$1006:AC1006),$AB$1006:$AQ$1006,0)), HYPERLINK("#",""), HYPERLINK(CONCATENATE("#Metadata!", ADDRESS(INDEX($W$2:$W$1001,MATCH(ROWS($U$2:U611),$U$2:$U$1001,0),0), INDEX($AB$1004:$AQ$1004,1,MATCH(COLUMNS($AB$1006:AC1006),$AB$1006:$AQ$1006,0)))),"Fix")))</f>
        <v>0</v>
      </c>
      <c r="D611" s="5">
        <f>IF(OR(INDEX($V$2:$V$1001,MATCH(ROWS($U$2:U611),$U$2:$U$1001,0),1)&gt;=100000,INDEX($AB$1005:$AQ$1005,1,MATCH(COLUMNS($AB$1006:AD1006),$AB$1006:$AQ$1006,0))&gt;=100000), " ",IF(INDEX($AB$2:$AQ$1001,MATCH(ROWS($U$2:U611),$U$2:$U$1001,0),MATCH(COLUMNS($AB$1006:AD1006),$AB$1006:$AQ$1006,0)), HYPERLINK("#",""), HYPERLINK(CONCATENATE("#Metadata!", ADDRESS(INDEX($W$2:$W$1001,MATCH(ROWS($U$2:U611),$U$2:$U$1001,0),0), INDEX($AB$1004:$AQ$1004,1,MATCH(COLUMNS($AB$1006:AD1006),$AB$1006:$AQ$1006,0)))),"Fix")))</f>
        <v>0</v>
      </c>
      <c r="E611" s="5">
        <f>IF(OR(INDEX($V$2:$V$1001,MATCH(ROWS($U$2:U611),$U$2:$U$1001,0),1)&gt;=100000,INDEX($AB$1005:$AQ$1005,1,MATCH(COLUMNS($AB$1006:AE1006),$AB$1006:$AQ$1006,0))&gt;=100000), " ",IF(INDEX($AB$2:$AQ$1001,MATCH(ROWS($U$2:U611),$U$2:$U$1001,0),MATCH(COLUMNS($AB$1006:AE1006),$AB$1006:$AQ$1006,0)), HYPERLINK("#",""), HYPERLINK(CONCATENATE("#Metadata!", ADDRESS(INDEX($W$2:$W$1001,MATCH(ROWS($U$2:U611),$U$2:$U$1001,0),0), INDEX($AB$1004:$AQ$1004,1,MATCH(COLUMNS($AB$1006:AE1006),$AB$1006:$AQ$1006,0)))),"Fix")))</f>
        <v>0</v>
      </c>
      <c r="F611" s="5">
        <f>IF(OR(INDEX($V$2:$V$1001,MATCH(ROWS($U$2:U611),$U$2:$U$1001,0),1)&gt;=100000,INDEX($AB$1005:$AQ$1005,1,MATCH(COLUMNS($AB$1006:AF1006),$AB$1006:$AQ$1006,0))&gt;=100000), " ",IF(INDEX($AB$2:$AQ$1001,MATCH(ROWS($U$2:U611),$U$2:$U$1001,0),MATCH(COLUMNS($AB$1006:AF1006),$AB$1006:$AQ$1006,0)), HYPERLINK("#",""), HYPERLINK(CONCATENATE("#Metadata!", ADDRESS(INDEX($W$2:$W$1001,MATCH(ROWS($U$2:U611),$U$2:$U$1001,0),0), INDEX($AB$1004:$AQ$1004,1,MATCH(COLUMNS($AB$1006:AF1006),$AB$1006:$AQ$1006,0)))),"Fix")))</f>
        <v>0</v>
      </c>
      <c r="G611" s="5">
        <f>IF(OR(INDEX($V$2:$V$1001,MATCH(ROWS($U$2:U611),$U$2:$U$1001,0),1)&gt;=100000,INDEX($AB$1005:$AQ$1005,1,MATCH(COLUMNS($AB$1006:AG1006),$AB$1006:$AQ$1006,0))&gt;=100000), " ",IF(INDEX($AB$2:$AQ$1001,MATCH(ROWS($U$2:U611),$U$2:$U$1001,0),MATCH(COLUMNS($AB$1006:AG1006),$AB$1006:$AQ$1006,0)), HYPERLINK("#",""), HYPERLINK(CONCATENATE("#Metadata!", ADDRESS(INDEX($W$2:$W$1001,MATCH(ROWS($U$2:U611),$U$2:$U$1001,0),0), INDEX($AB$1004:$AQ$1004,1,MATCH(COLUMNS($AB$1006:AG1006),$AB$1006:$AQ$1006,0)))),"Fix")))</f>
        <v>0</v>
      </c>
      <c r="H611" s="5">
        <f>IF(OR(INDEX($V$2:$V$1001,MATCH(ROWS($U$2:U611),$U$2:$U$1001,0),1)&gt;=100000,INDEX($AB$1005:$AQ$1005,1,MATCH(COLUMNS($AB$1006:AH1006),$AB$1006:$AQ$1006,0))&gt;=100000), " ",IF(INDEX($AB$2:$AQ$1001,MATCH(ROWS($U$2:U611),$U$2:$U$1001,0),MATCH(COLUMNS($AB$1006:AH1006),$AB$1006:$AQ$1006,0)), HYPERLINK("#",""), HYPERLINK(CONCATENATE("#Metadata!", ADDRESS(INDEX($W$2:$W$1001,MATCH(ROWS($U$2:U611),$U$2:$U$1001,0),0), INDEX($AB$1004:$AQ$1004,1,MATCH(COLUMNS($AB$1006:AH1006),$AB$1006:$AQ$1006,0)))),"Fix")))</f>
        <v>0</v>
      </c>
      <c r="I611" s="5">
        <f>IF(OR(INDEX($V$2:$V$1001,MATCH(ROWS($U$2:U611),$U$2:$U$1001,0),1)&gt;=100000,INDEX($AB$1005:$AQ$1005,1,MATCH(COLUMNS($AB$1006:AI1006),$AB$1006:$AQ$1006,0))&gt;=100000), " ",IF(INDEX($AB$2:$AQ$1001,MATCH(ROWS($U$2:U611),$U$2:$U$1001,0),MATCH(COLUMNS($AB$1006:AI1006),$AB$1006:$AQ$1006,0)), HYPERLINK("#",""), HYPERLINK(CONCATENATE("#Metadata!", ADDRESS(INDEX($W$2:$W$1001,MATCH(ROWS($U$2:U611),$U$2:$U$1001,0),0), INDEX($AB$1004:$AQ$1004,1,MATCH(COLUMNS($AB$1006:AI1006),$AB$1006:$AQ$1006,0)))),"Fix")))</f>
        <v>0</v>
      </c>
      <c r="J611" s="5">
        <f>IF(OR(INDEX($V$2:$V$1001,MATCH(ROWS($U$2:U611),$U$2:$U$1001,0),1)&gt;=100000,INDEX($AB$1005:$AQ$1005,1,MATCH(COLUMNS($AB$1006:AJ1006),$AB$1006:$AQ$1006,0))&gt;=100000), " ",IF(INDEX($AB$2:$AQ$1001,MATCH(ROWS($U$2:U611),$U$2:$U$1001,0),MATCH(COLUMNS($AB$1006:AJ1006),$AB$1006:$AQ$1006,0)), HYPERLINK("#",""), HYPERLINK(CONCATENATE("#Metadata!", ADDRESS(INDEX($W$2:$W$1001,MATCH(ROWS($U$2:U611),$U$2:$U$1001,0),0), INDEX($AB$1004:$AQ$1004,1,MATCH(COLUMNS($AB$1006:AJ1006),$AB$1006:$AQ$1006,0)))),"Fix")))</f>
        <v>0</v>
      </c>
      <c r="K611" s="5">
        <f>IF(OR(INDEX($V$2:$V$1001,MATCH(ROWS($U$2:U611),$U$2:$U$1001,0),1)&gt;=100000,INDEX($AB$1005:$AQ$1005,1,MATCH(COLUMNS($AB$1006:AK1006),$AB$1006:$AQ$1006,0))&gt;=100000), " ",IF(INDEX($AB$2:$AQ$1001,MATCH(ROWS($U$2:U611),$U$2:$U$1001,0),MATCH(COLUMNS($AB$1006:AK1006),$AB$1006:$AQ$1006,0)), HYPERLINK("#",""), HYPERLINK(CONCATENATE("#Metadata!", ADDRESS(INDEX($W$2:$W$1001,MATCH(ROWS($U$2:U611),$U$2:$U$1001,0),0), INDEX($AB$1004:$AQ$1004,1,MATCH(COLUMNS($AB$1006:AK1006),$AB$1006:$AQ$1006,0)))),"Fix")))</f>
        <v>0</v>
      </c>
      <c r="L611" s="5">
        <f>IF(OR(INDEX($V$2:$V$1001,MATCH(ROWS($U$2:U611),$U$2:$U$1001,0),1)&gt;=100000,INDEX($AB$1005:$AQ$1005,1,MATCH(COLUMNS($AB$1006:AL1006),$AB$1006:$AQ$1006,0))&gt;=100000), " ",IF(INDEX($AB$2:$AQ$1001,MATCH(ROWS($U$2:U611),$U$2:$U$1001,0),MATCH(COLUMNS($AB$1006:AL1006),$AB$1006:$AQ$1006,0)), HYPERLINK("#",""), HYPERLINK(CONCATENATE("#Metadata!", ADDRESS(INDEX($W$2:$W$1001,MATCH(ROWS($U$2:U611),$U$2:$U$1001,0),0), INDEX($AB$1004:$AQ$1004,1,MATCH(COLUMNS($AB$1006:AL1006),$AB$1006:$AQ$1006,0)))),"Fix")))</f>
        <v>0</v>
      </c>
      <c r="M611" s="5">
        <f>IF(OR(INDEX($V$2:$V$1001,MATCH(ROWS($U$2:U611),$U$2:$U$1001,0),1)&gt;=100000,INDEX($AB$1005:$AQ$1005,1,MATCH(COLUMNS($AB$1006:AM1006),$AB$1006:$AQ$1006,0))&gt;=100000), " ",IF(INDEX($AB$2:$AQ$1001,MATCH(ROWS($U$2:U611),$U$2:$U$1001,0),MATCH(COLUMNS($AB$1006:AM1006),$AB$1006:$AQ$1006,0)), HYPERLINK("#",""), HYPERLINK(CONCATENATE("#Metadata!", ADDRESS(INDEX($W$2:$W$1001,MATCH(ROWS($U$2:U611),$U$2:$U$1001,0),0), INDEX($AB$1004:$AQ$1004,1,MATCH(COLUMNS($AB$1006:AM1006),$AB$1006:$AQ$1006,0)))),"Fix")))</f>
        <v>0</v>
      </c>
      <c r="N611" s="5">
        <f>IF(OR(INDEX($V$2:$V$1001,MATCH(ROWS($U$2:U611),$U$2:$U$1001,0),1)&gt;=100000,INDEX($AB$1005:$AQ$1005,1,MATCH(COLUMNS($AB$1006:AN1006),$AB$1006:$AQ$1006,0))&gt;=100000), " ",IF(INDEX($AB$2:$AQ$1001,MATCH(ROWS($U$2:U611),$U$2:$U$1001,0),MATCH(COLUMNS($AB$1006:AN1006),$AB$1006:$AQ$1006,0)), HYPERLINK("#",""), HYPERLINK(CONCATENATE("#Metadata!", ADDRESS(INDEX($W$2:$W$1001,MATCH(ROWS($U$2:U611),$U$2:$U$1001,0),0), INDEX($AB$1004:$AQ$1004,1,MATCH(COLUMNS($AB$1006:AN1006),$AB$1006:$AQ$1006,0)))),"Fix")))</f>
        <v>0</v>
      </c>
      <c r="O611" s="5">
        <f>IF(OR(INDEX($V$2:$V$1001,MATCH(ROWS($U$2:U611),$U$2:$U$1001,0),1)&gt;=100000,INDEX($AB$1005:$AQ$1005,1,MATCH(COLUMNS($AB$1006:AO1006),$AB$1006:$AQ$1006,0))&gt;=100000), " ",IF(INDEX($AB$2:$AQ$1001,MATCH(ROWS($U$2:U611),$U$2:$U$1001,0),MATCH(COLUMNS($AB$1006:AO1006),$AB$1006:$AQ$1006,0)), HYPERLINK("#",""), HYPERLINK(CONCATENATE("#Metadata!", ADDRESS(INDEX($W$2:$W$1001,MATCH(ROWS($U$2:U611),$U$2:$U$1001,0),0), INDEX($AB$1004:$AQ$1004,1,MATCH(COLUMNS($AB$1006:AO1006),$AB$1006:$AQ$1006,0)))),"Fix")))</f>
        <v>0</v>
      </c>
      <c r="P611" s="5">
        <f>IF(OR(INDEX($V$2:$V$1001,MATCH(ROWS($U$2:U611),$U$2:$U$1001,0),1)&gt;=100000,INDEX($AB$1005:$AQ$1005,1,MATCH(COLUMNS($AB$1006:AP1006),$AB$1006:$AQ$1006,0))&gt;=100000), " ",IF(INDEX($AB$2:$AQ$1001,MATCH(ROWS($U$2:U611),$U$2:$U$1001,0),MATCH(COLUMNS($AB$1006:AP1006),$AB$1006:$AQ$1006,0)), HYPERLINK("#",""), HYPERLINK(CONCATENATE("#Metadata!", ADDRESS(INDEX($W$2:$W$1001,MATCH(ROWS($U$2:U611),$U$2:$U$1001,0),0), INDEX($AB$1004:$AQ$1004,1,MATCH(COLUMNS($AB$1006:AP1006),$AB$1006:$AQ$1006,0)))),"Fix")))</f>
        <v>0</v>
      </c>
      <c r="Q611" s="5">
        <f>IF(OR(INDEX($V$2:$V$1001,MATCH(ROWS($U$2:U611),$U$2:$U$1001,0),1)&gt;=100000,INDEX($AB$1005:$AQ$1005,1,MATCH(COLUMNS($AB$1006:AQ1006),$AB$1006:$AQ$1006,0))&gt;=100000), " ",IF(INDEX($AB$2:$AQ$1001,MATCH(ROWS($U$2:U611),$U$2:$U$1001,0),MATCH(COLUMNS($AB$1006:AQ1006),$AB$1006:$AQ$1006,0)), HYPERLINK("#",""), HYPERLINK(CONCATENATE("#Metadata!", ADDRESS(INDEX($W$2:$W$1001,MATCH(ROWS($U$2:U611),$U$2:$U$1001,0),0), INDEX($AB$1004:$AQ$1004,1,MATCH(COLUMNS($AB$1006:AQ1006),$AB$1006:$AQ$1006,0)))),"Fix")))</f>
        <v>0</v>
      </c>
      <c r="U611">
        <v>0</v>
      </c>
      <c r="V611">
        <v>0</v>
      </c>
      <c r="W611">
        <v>0</v>
      </c>
      <c r="X611">
        <f>IF(Y611,TRUE,AND(AB611:AQ611))</f>
        <v>0</v>
      </c>
      <c r="Y611">
        <f>COUNTBLANK(Metadata!B611:Q611)=COLUMNS(Metadata!B611:Q611)</f>
        <v>0</v>
      </c>
      <c r="Z611">
        <v>0</v>
      </c>
      <c r="AB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AC611">
        <f>AND(IF(Metadata!C611="",FALSE,TRUE),exact(Metadata!C611,"urban biome"))</f>
        <v>0</v>
      </c>
      <c r="AD611">
        <f>AND(IF(Metadata!D611="",FALSE,TRUE),exact(Metadata!D611,"human-associated habitat"))</f>
        <v>0</v>
      </c>
      <c r="AE611">
        <f>AND(IF(Metadata!E611="",FALSE,TRUE),OR(exact(Metadata!E611,"human-associated"),exact(Metadata!E611,"human-skin"),exact(Metadata!E611,"human-oral"),exact(Metadata!E611,"human-gut"),exact(Metadata!E611,"human-vaginal")))</f>
        <v>0</v>
      </c>
      <c r="AF611">
        <f>AND(IF(Metadata!F611="",FALSE,ISNUMBER(VALUE(Metadata!F611))),Metadata!F611&gt;0)</f>
        <v>0</v>
      </c>
      <c r="AG611">
        <f>AND(IF(Metadata!G611="",FALSE,TRUE),exact(Metadata!G611,"years"))</f>
        <v>0</v>
      </c>
      <c r="AH611">
        <f>OR(AND(IF(Metadata!H611="",FALSE,TRUE),OR(exact(Metadata!H611,"not applicable"),exact(Metadata!H611,"not collected"),exact(Metadata!H611,"not provided"),exact(Metadata!H611,"restricted access"))),AND(IF(Metadata!H611="",FALSE,ISNUMBER(VALUE(Metadata!H611))),Metadata!H611&gt;0))</f>
        <v>0</v>
      </c>
      <c r="AI611">
        <f>AND(IF(Metadata!I611="",FALSE,TRUE),exact(Metadata!I611,"human"))</f>
        <v>0</v>
      </c>
      <c r="AJ611">
        <f>AND(IF(Metadata!J611="",FALSE,ISNUMBER(VALUE(Metadata!J611))),Metadata!J611&gt;0)</f>
        <v>0</v>
      </c>
      <c r="AK611">
        <f>AND(IF(Metadata!K611="",FALSE,TRUE),exact(Metadata!K611,"cm"))</f>
        <v>0</v>
      </c>
      <c r="AL611">
        <f>AND(IF(Metadata!L611="",FALSE,TRUE),exact(Metadata!L611,"Homo sapiens"))</f>
        <v>0</v>
      </c>
      <c r="AM611">
        <f>AND(IF(Metadata!M611="",FALSE,TRUE),exact(Metadata!M611,"9606"))</f>
        <v>0</v>
      </c>
      <c r="AN611">
        <f>AND(IF(Metadata!N611="",FALSE,ISNUMBER(VALUE(Metadata!N611))),Metadata!N611&gt;0)</f>
        <v>0</v>
      </c>
      <c r="AO611">
        <f>AND(IF(Metadata!O611="",FALSE,TRUE),exact(Metadata!O611,"kg"))</f>
        <v>0</v>
      </c>
      <c r="AP611">
        <f>OR(AND(IF(Metadata!P611="",FALSE,TRUE),exact(Metadata!P611,"not provided")),IF(Metadata!P611="",FALSE,TRUE))</f>
        <v>0</v>
      </c>
      <c r="AQ611">
        <f>OR(AND(IF(Metadata!Q611="",FALSE,TRUE),exact(Metadata!Q611,"not provided")),IF(Metadata!Q611="",FALSE,TRUE))</f>
        <v>0</v>
      </c>
    </row>
    <row r="612" spans="1:43">
      <c r="A612" s="4">
        <f>IF(B612=" "," ",HYPERLINK(CONCATENATE("#metadata!",ADDRESS(INDEX($W$2:$W$1001,MATCH(ROWS($U$2:U612),$U$2:$U$1001,0),0),2)),INDEX($Z$2:$Z$1001,MATCH(ROWS($U$2:U612),$U$2:$U$1001,0),0)))</f>
        <v>0</v>
      </c>
      <c r="B612" s="5">
        <f>IF(OR(INDEX($V$2:$V$1001,MATCH(ROWS($U$2:U612),$U$2:$U$1001,0),1)&gt;=100000,INDEX($AB$1005:$AQ$1005,1,MATCH(COLUMNS($AB$1006:AB1006),$AB$1006:$AQ$1006,0))&gt;=100000), " ",IF(INDEX($AB$2:$AQ$1001,MATCH(ROWS($U$2:U612),$U$2:$U$1001,0),MATCH(COLUMNS($AB$1006:AB1006),$AB$1006:$AQ$1006,0)), HYPERLINK("#",""), HYPERLINK(CONCATENATE("#Metadata!", ADDRESS(INDEX($W$2:$W$1001,MATCH(ROWS($U$2:U612),$U$2:$U$1001,0),0), INDEX($AB$1004:$AQ$1004,1,MATCH(COLUMNS($AB$1006:AB1006),$AB$1006:$AQ$1006,0)))),"Fix")))</f>
        <v>0</v>
      </c>
      <c r="C612" s="5">
        <f>IF(OR(INDEX($V$2:$V$1001,MATCH(ROWS($U$2:U612),$U$2:$U$1001,0),1)&gt;=100000,INDEX($AB$1005:$AQ$1005,1,MATCH(COLUMNS($AB$1006:AC1006),$AB$1006:$AQ$1006,0))&gt;=100000), " ",IF(INDEX($AB$2:$AQ$1001,MATCH(ROWS($U$2:U612),$U$2:$U$1001,0),MATCH(COLUMNS($AB$1006:AC1006),$AB$1006:$AQ$1006,0)), HYPERLINK("#",""), HYPERLINK(CONCATENATE("#Metadata!", ADDRESS(INDEX($W$2:$W$1001,MATCH(ROWS($U$2:U612),$U$2:$U$1001,0),0), INDEX($AB$1004:$AQ$1004,1,MATCH(COLUMNS($AB$1006:AC1006),$AB$1006:$AQ$1006,0)))),"Fix")))</f>
        <v>0</v>
      </c>
      <c r="D612" s="5">
        <f>IF(OR(INDEX($V$2:$V$1001,MATCH(ROWS($U$2:U612),$U$2:$U$1001,0),1)&gt;=100000,INDEX($AB$1005:$AQ$1005,1,MATCH(COLUMNS($AB$1006:AD1006),$AB$1006:$AQ$1006,0))&gt;=100000), " ",IF(INDEX($AB$2:$AQ$1001,MATCH(ROWS($U$2:U612),$U$2:$U$1001,0),MATCH(COLUMNS($AB$1006:AD1006),$AB$1006:$AQ$1006,0)), HYPERLINK("#",""), HYPERLINK(CONCATENATE("#Metadata!", ADDRESS(INDEX($W$2:$W$1001,MATCH(ROWS($U$2:U612),$U$2:$U$1001,0),0), INDEX($AB$1004:$AQ$1004,1,MATCH(COLUMNS($AB$1006:AD1006),$AB$1006:$AQ$1006,0)))),"Fix")))</f>
        <v>0</v>
      </c>
      <c r="E612" s="5">
        <f>IF(OR(INDEX($V$2:$V$1001,MATCH(ROWS($U$2:U612),$U$2:$U$1001,0),1)&gt;=100000,INDEX($AB$1005:$AQ$1005,1,MATCH(COLUMNS($AB$1006:AE1006),$AB$1006:$AQ$1006,0))&gt;=100000), " ",IF(INDEX($AB$2:$AQ$1001,MATCH(ROWS($U$2:U612),$U$2:$U$1001,0),MATCH(COLUMNS($AB$1006:AE1006),$AB$1006:$AQ$1006,0)), HYPERLINK("#",""), HYPERLINK(CONCATENATE("#Metadata!", ADDRESS(INDEX($W$2:$W$1001,MATCH(ROWS($U$2:U612),$U$2:$U$1001,0),0), INDEX($AB$1004:$AQ$1004,1,MATCH(COLUMNS($AB$1006:AE1006),$AB$1006:$AQ$1006,0)))),"Fix")))</f>
        <v>0</v>
      </c>
      <c r="F612" s="5">
        <f>IF(OR(INDEX($V$2:$V$1001,MATCH(ROWS($U$2:U612),$U$2:$U$1001,0),1)&gt;=100000,INDEX($AB$1005:$AQ$1005,1,MATCH(COLUMNS($AB$1006:AF1006),$AB$1006:$AQ$1006,0))&gt;=100000), " ",IF(INDEX($AB$2:$AQ$1001,MATCH(ROWS($U$2:U612),$U$2:$U$1001,0),MATCH(COLUMNS($AB$1006:AF1006),$AB$1006:$AQ$1006,0)), HYPERLINK("#",""), HYPERLINK(CONCATENATE("#Metadata!", ADDRESS(INDEX($W$2:$W$1001,MATCH(ROWS($U$2:U612),$U$2:$U$1001,0),0), INDEX($AB$1004:$AQ$1004,1,MATCH(COLUMNS($AB$1006:AF1006),$AB$1006:$AQ$1006,0)))),"Fix")))</f>
        <v>0</v>
      </c>
      <c r="G612" s="5">
        <f>IF(OR(INDEX($V$2:$V$1001,MATCH(ROWS($U$2:U612),$U$2:$U$1001,0),1)&gt;=100000,INDEX($AB$1005:$AQ$1005,1,MATCH(COLUMNS($AB$1006:AG1006),$AB$1006:$AQ$1006,0))&gt;=100000), " ",IF(INDEX($AB$2:$AQ$1001,MATCH(ROWS($U$2:U612),$U$2:$U$1001,0),MATCH(COLUMNS($AB$1006:AG1006),$AB$1006:$AQ$1006,0)), HYPERLINK("#",""), HYPERLINK(CONCATENATE("#Metadata!", ADDRESS(INDEX($W$2:$W$1001,MATCH(ROWS($U$2:U612),$U$2:$U$1001,0),0), INDEX($AB$1004:$AQ$1004,1,MATCH(COLUMNS($AB$1006:AG1006),$AB$1006:$AQ$1006,0)))),"Fix")))</f>
        <v>0</v>
      </c>
      <c r="H612" s="5">
        <f>IF(OR(INDEX($V$2:$V$1001,MATCH(ROWS($U$2:U612),$U$2:$U$1001,0),1)&gt;=100000,INDEX($AB$1005:$AQ$1005,1,MATCH(COLUMNS($AB$1006:AH1006),$AB$1006:$AQ$1006,0))&gt;=100000), " ",IF(INDEX($AB$2:$AQ$1001,MATCH(ROWS($U$2:U612),$U$2:$U$1001,0),MATCH(COLUMNS($AB$1006:AH1006),$AB$1006:$AQ$1006,0)), HYPERLINK("#",""), HYPERLINK(CONCATENATE("#Metadata!", ADDRESS(INDEX($W$2:$W$1001,MATCH(ROWS($U$2:U612),$U$2:$U$1001,0),0), INDEX($AB$1004:$AQ$1004,1,MATCH(COLUMNS($AB$1006:AH1006),$AB$1006:$AQ$1006,0)))),"Fix")))</f>
        <v>0</v>
      </c>
      <c r="I612" s="5">
        <f>IF(OR(INDEX($V$2:$V$1001,MATCH(ROWS($U$2:U612),$U$2:$U$1001,0),1)&gt;=100000,INDEX($AB$1005:$AQ$1005,1,MATCH(COLUMNS($AB$1006:AI1006),$AB$1006:$AQ$1006,0))&gt;=100000), " ",IF(INDEX($AB$2:$AQ$1001,MATCH(ROWS($U$2:U612),$U$2:$U$1001,0),MATCH(COLUMNS($AB$1006:AI1006),$AB$1006:$AQ$1006,0)), HYPERLINK("#",""), HYPERLINK(CONCATENATE("#Metadata!", ADDRESS(INDEX($W$2:$W$1001,MATCH(ROWS($U$2:U612),$U$2:$U$1001,0),0), INDEX($AB$1004:$AQ$1004,1,MATCH(COLUMNS($AB$1006:AI1006),$AB$1006:$AQ$1006,0)))),"Fix")))</f>
        <v>0</v>
      </c>
      <c r="J612" s="5">
        <f>IF(OR(INDEX($V$2:$V$1001,MATCH(ROWS($U$2:U612),$U$2:$U$1001,0),1)&gt;=100000,INDEX($AB$1005:$AQ$1005,1,MATCH(COLUMNS($AB$1006:AJ1006),$AB$1006:$AQ$1006,0))&gt;=100000), " ",IF(INDEX($AB$2:$AQ$1001,MATCH(ROWS($U$2:U612),$U$2:$U$1001,0),MATCH(COLUMNS($AB$1006:AJ1006),$AB$1006:$AQ$1006,0)), HYPERLINK("#",""), HYPERLINK(CONCATENATE("#Metadata!", ADDRESS(INDEX($W$2:$W$1001,MATCH(ROWS($U$2:U612),$U$2:$U$1001,0),0), INDEX($AB$1004:$AQ$1004,1,MATCH(COLUMNS($AB$1006:AJ1006),$AB$1006:$AQ$1006,0)))),"Fix")))</f>
        <v>0</v>
      </c>
      <c r="K612" s="5">
        <f>IF(OR(INDEX($V$2:$V$1001,MATCH(ROWS($U$2:U612),$U$2:$U$1001,0),1)&gt;=100000,INDEX($AB$1005:$AQ$1005,1,MATCH(COLUMNS($AB$1006:AK1006),$AB$1006:$AQ$1006,0))&gt;=100000), " ",IF(INDEX($AB$2:$AQ$1001,MATCH(ROWS($U$2:U612),$U$2:$U$1001,0),MATCH(COLUMNS($AB$1006:AK1006),$AB$1006:$AQ$1006,0)), HYPERLINK("#",""), HYPERLINK(CONCATENATE("#Metadata!", ADDRESS(INDEX($W$2:$W$1001,MATCH(ROWS($U$2:U612),$U$2:$U$1001,0),0), INDEX($AB$1004:$AQ$1004,1,MATCH(COLUMNS($AB$1006:AK1006),$AB$1006:$AQ$1006,0)))),"Fix")))</f>
        <v>0</v>
      </c>
      <c r="L612" s="5">
        <f>IF(OR(INDEX($V$2:$V$1001,MATCH(ROWS($U$2:U612),$U$2:$U$1001,0),1)&gt;=100000,INDEX($AB$1005:$AQ$1005,1,MATCH(COLUMNS($AB$1006:AL1006),$AB$1006:$AQ$1006,0))&gt;=100000), " ",IF(INDEX($AB$2:$AQ$1001,MATCH(ROWS($U$2:U612),$U$2:$U$1001,0),MATCH(COLUMNS($AB$1006:AL1006),$AB$1006:$AQ$1006,0)), HYPERLINK("#",""), HYPERLINK(CONCATENATE("#Metadata!", ADDRESS(INDEX($W$2:$W$1001,MATCH(ROWS($U$2:U612),$U$2:$U$1001,0),0), INDEX($AB$1004:$AQ$1004,1,MATCH(COLUMNS($AB$1006:AL1006),$AB$1006:$AQ$1006,0)))),"Fix")))</f>
        <v>0</v>
      </c>
      <c r="M612" s="5">
        <f>IF(OR(INDEX($V$2:$V$1001,MATCH(ROWS($U$2:U612),$U$2:$U$1001,0),1)&gt;=100000,INDEX($AB$1005:$AQ$1005,1,MATCH(COLUMNS($AB$1006:AM1006),$AB$1006:$AQ$1006,0))&gt;=100000), " ",IF(INDEX($AB$2:$AQ$1001,MATCH(ROWS($U$2:U612),$U$2:$U$1001,0),MATCH(COLUMNS($AB$1006:AM1006),$AB$1006:$AQ$1006,0)), HYPERLINK("#",""), HYPERLINK(CONCATENATE("#Metadata!", ADDRESS(INDEX($W$2:$W$1001,MATCH(ROWS($U$2:U612),$U$2:$U$1001,0),0), INDEX($AB$1004:$AQ$1004,1,MATCH(COLUMNS($AB$1006:AM1006),$AB$1006:$AQ$1006,0)))),"Fix")))</f>
        <v>0</v>
      </c>
      <c r="N612" s="5">
        <f>IF(OR(INDEX($V$2:$V$1001,MATCH(ROWS($U$2:U612),$U$2:$U$1001,0),1)&gt;=100000,INDEX($AB$1005:$AQ$1005,1,MATCH(COLUMNS($AB$1006:AN1006),$AB$1006:$AQ$1006,0))&gt;=100000), " ",IF(INDEX($AB$2:$AQ$1001,MATCH(ROWS($U$2:U612),$U$2:$U$1001,0),MATCH(COLUMNS($AB$1006:AN1006),$AB$1006:$AQ$1006,0)), HYPERLINK("#",""), HYPERLINK(CONCATENATE("#Metadata!", ADDRESS(INDEX($W$2:$W$1001,MATCH(ROWS($U$2:U612),$U$2:$U$1001,0),0), INDEX($AB$1004:$AQ$1004,1,MATCH(COLUMNS($AB$1006:AN1006),$AB$1006:$AQ$1006,0)))),"Fix")))</f>
        <v>0</v>
      </c>
      <c r="O612" s="5">
        <f>IF(OR(INDEX($V$2:$V$1001,MATCH(ROWS($U$2:U612),$U$2:$U$1001,0),1)&gt;=100000,INDEX($AB$1005:$AQ$1005,1,MATCH(COLUMNS($AB$1006:AO1006),$AB$1006:$AQ$1006,0))&gt;=100000), " ",IF(INDEX($AB$2:$AQ$1001,MATCH(ROWS($U$2:U612),$U$2:$U$1001,0),MATCH(COLUMNS($AB$1006:AO1006),$AB$1006:$AQ$1006,0)), HYPERLINK("#",""), HYPERLINK(CONCATENATE("#Metadata!", ADDRESS(INDEX($W$2:$W$1001,MATCH(ROWS($U$2:U612),$U$2:$U$1001,0),0), INDEX($AB$1004:$AQ$1004,1,MATCH(COLUMNS($AB$1006:AO1006),$AB$1006:$AQ$1006,0)))),"Fix")))</f>
        <v>0</v>
      </c>
      <c r="P612" s="5">
        <f>IF(OR(INDEX($V$2:$V$1001,MATCH(ROWS($U$2:U612),$U$2:$U$1001,0),1)&gt;=100000,INDEX($AB$1005:$AQ$1005,1,MATCH(COLUMNS($AB$1006:AP1006),$AB$1006:$AQ$1006,0))&gt;=100000), " ",IF(INDEX($AB$2:$AQ$1001,MATCH(ROWS($U$2:U612),$U$2:$U$1001,0),MATCH(COLUMNS($AB$1006:AP1006),$AB$1006:$AQ$1006,0)), HYPERLINK("#",""), HYPERLINK(CONCATENATE("#Metadata!", ADDRESS(INDEX($W$2:$W$1001,MATCH(ROWS($U$2:U612),$U$2:$U$1001,0),0), INDEX($AB$1004:$AQ$1004,1,MATCH(COLUMNS($AB$1006:AP1006),$AB$1006:$AQ$1006,0)))),"Fix")))</f>
        <v>0</v>
      </c>
      <c r="Q612" s="5">
        <f>IF(OR(INDEX($V$2:$V$1001,MATCH(ROWS($U$2:U612),$U$2:$U$1001,0),1)&gt;=100000,INDEX($AB$1005:$AQ$1005,1,MATCH(COLUMNS($AB$1006:AQ1006),$AB$1006:$AQ$1006,0))&gt;=100000), " ",IF(INDEX($AB$2:$AQ$1001,MATCH(ROWS($U$2:U612),$U$2:$U$1001,0),MATCH(COLUMNS($AB$1006:AQ1006),$AB$1006:$AQ$1006,0)), HYPERLINK("#",""), HYPERLINK(CONCATENATE("#Metadata!", ADDRESS(INDEX($W$2:$W$1001,MATCH(ROWS($U$2:U612),$U$2:$U$1001,0),0), INDEX($AB$1004:$AQ$1004,1,MATCH(COLUMNS($AB$1006:AQ1006),$AB$1006:$AQ$1006,0)))),"Fix")))</f>
        <v>0</v>
      </c>
      <c r="U612">
        <v>0</v>
      </c>
      <c r="V612">
        <v>0</v>
      </c>
      <c r="W612">
        <v>0</v>
      </c>
      <c r="X612">
        <f>IF(Y612,TRUE,AND(AB612:AQ612))</f>
        <v>0</v>
      </c>
      <c r="Y612">
        <f>COUNTBLANK(Metadata!B612:Q612)=COLUMNS(Metadata!B612:Q612)</f>
        <v>0</v>
      </c>
      <c r="Z612">
        <v>0</v>
      </c>
      <c r="AB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AC612">
        <f>AND(IF(Metadata!C612="",FALSE,TRUE),exact(Metadata!C612,"urban biome"))</f>
        <v>0</v>
      </c>
      <c r="AD612">
        <f>AND(IF(Metadata!D612="",FALSE,TRUE),exact(Metadata!D612,"human-associated habitat"))</f>
        <v>0</v>
      </c>
      <c r="AE612">
        <f>AND(IF(Metadata!E612="",FALSE,TRUE),OR(exact(Metadata!E612,"human-associated"),exact(Metadata!E612,"human-skin"),exact(Metadata!E612,"human-oral"),exact(Metadata!E612,"human-gut"),exact(Metadata!E612,"human-vaginal")))</f>
        <v>0</v>
      </c>
      <c r="AF612">
        <f>AND(IF(Metadata!F612="",FALSE,ISNUMBER(VALUE(Metadata!F612))),Metadata!F612&gt;0)</f>
        <v>0</v>
      </c>
      <c r="AG612">
        <f>AND(IF(Metadata!G612="",FALSE,TRUE),exact(Metadata!G612,"years"))</f>
        <v>0</v>
      </c>
      <c r="AH612">
        <f>OR(AND(IF(Metadata!H612="",FALSE,TRUE),OR(exact(Metadata!H612,"not applicable"),exact(Metadata!H612,"not collected"),exact(Metadata!H612,"not provided"),exact(Metadata!H612,"restricted access"))),AND(IF(Metadata!H612="",FALSE,ISNUMBER(VALUE(Metadata!H612))),Metadata!H612&gt;0))</f>
        <v>0</v>
      </c>
      <c r="AI612">
        <f>AND(IF(Metadata!I612="",FALSE,TRUE),exact(Metadata!I612,"human"))</f>
        <v>0</v>
      </c>
      <c r="AJ612">
        <f>AND(IF(Metadata!J612="",FALSE,ISNUMBER(VALUE(Metadata!J612))),Metadata!J612&gt;0)</f>
        <v>0</v>
      </c>
      <c r="AK612">
        <f>AND(IF(Metadata!K612="",FALSE,TRUE),exact(Metadata!K612,"cm"))</f>
        <v>0</v>
      </c>
      <c r="AL612">
        <f>AND(IF(Metadata!L612="",FALSE,TRUE),exact(Metadata!L612,"Homo sapiens"))</f>
        <v>0</v>
      </c>
      <c r="AM612">
        <f>AND(IF(Metadata!M612="",FALSE,TRUE),exact(Metadata!M612,"9606"))</f>
        <v>0</v>
      </c>
      <c r="AN612">
        <f>AND(IF(Metadata!N612="",FALSE,ISNUMBER(VALUE(Metadata!N612))),Metadata!N612&gt;0)</f>
        <v>0</v>
      </c>
      <c r="AO612">
        <f>AND(IF(Metadata!O612="",FALSE,TRUE),exact(Metadata!O612,"kg"))</f>
        <v>0</v>
      </c>
      <c r="AP612">
        <f>OR(AND(IF(Metadata!P612="",FALSE,TRUE),exact(Metadata!P612,"not provided")),IF(Metadata!P612="",FALSE,TRUE))</f>
        <v>0</v>
      </c>
      <c r="AQ612">
        <f>OR(AND(IF(Metadata!Q612="",FALSE,TRUE),exact(Metadata!Q612,"not provided")),IF(Metadata!Q612="",FALSE,TRUE))</f>
        <v>0</v>
      </c>
    </row>
    <row r="613" spans="1:43">
      <c r="A613" s="4">
        <f>IF(B613=" "," ",HYPERLINK(CONCATENATE("#metadata!",ADDRESS(INDEX($W$2:$W$1001,MATCH(ROWS($U$2:U613),$U$2:$U$1001,0),0),2)),INDEX($Z$2:$Z$1001,MATCH(ROWS($U$2:U613),$U$2:$U$1001,0),0)))</f>
        <v>0</v>
      </c>
      <c r="B613" s="5">
        <f>IF(OR(INDEX($V$2:$V$1001,MATCH(ROWS($U$2:U613),$U$2:$U$1001,0),1)&gt;=100000,INDEX($AB$1005:$AQ$1005,1,MATCH(COLUMNS($AB$1006:AB1006),$AB$1006:$AQ$1006,0))&gt;=100000), " ",IF(INDEX($AB$2:$AQ$1001,MATCH(ROWS($U$2:U613),$U$2:$U$1001,0),MATCH(COLUMNS($AB$1006:AB1006),$AB$1006:$AQ$1006,0)), HYPERLINK("#",""), HYPERLINK(CONCATENATE("#Metadata!", ADDRESS(INDEX($W$2:$W$1001,MATCH(ROWS($U$2:U613),$U$2:$U$1001,0),0), INDEX($AB$1004:$AQ$1004,1,MATCH(COLUMNS($AB$1006:AB1006),$AB$1006:$AQ$1006,0)))),"Fix")))</f>
        <v>0</v>
      </c>
      <c r="C613" s="5">
        <f>IF(OR(INDEX($V$2:$V$1001,MATCH(ROWS($U$2:U613),$U$2:$U$1001,0),1)&gt;=100000,INDEX($AB$1005:$AQ$1005,1,MATCH(COLUMNS($AB$1006:AC1006),$AB$1006:$AQ$1006,0))&gt;=100000), " ",IF(INDEX($AB$2:$AQ$1001,MATCH(ROWS($U$2:U613),$U$2:$U$1001,0),MATCH(COLUMNS($AB$1006:AC1006),$AB$1006:$AQ$1006,0)), HYPERLINK("#",""), HYPERLINK(CONCATENATE("#Metadata!", ADDRESS(INDEX($W$2:$W$1001,MATCH(ROWS($U$2:U613),$U$2:$U$1001,0),0), INDEX($AB$1004:$AQ$1004,1,MATCH(COLUMNS($AB$1006:AC1006),$AB$1006:$AQ$1006,0)))),"Fix")))</f>
        <v>0</v>
      </c>
      <c r="D613" s="5">
        <f>IF(OR(INDEX($V$2:$V$1001,MATCH(ROWS($U$2:U613),$U$2:$U$1001,0),1)&gt;=100000,INDEX($AB$1005:$AQ$1005,1,MATCH(COLUMNS($AB$1006:AD1006),$AB$1006:$AQ$1006,0))&gt;=100000), " ",IF(INDEX($AB$2:$AQ$1001,MATCH(ROWS($U$2:U613),$U$2:$U$1001,0),MATCH(COLUMNS($AB$1006:AD1006),$AB$1006:$AQ$1006,0)), HYPERLINK("#",""), HYPERLINK(CONCATENATE("#Metadata!", ADDRESS(INDEX($W$2:$W$1001,MATCH(ROWS($U$2:U613),$U$2:$U$1001,0),0), INDEX($AB$1004:$AQ$1004,1,MATCH(COLUMNS($AB$1006:AD1006),$AB$1006:$AQ$1006,0)))),"Fix")))</f>
        <v>0</v>
      </c>
      <c r="E613" s="5">
        <f>IF(OR(INDEX($V$2:$V$1001,MATCH(ROWS($U$2:U613),$U$2:$U$1001,0),1)&gt;=100000,INDEX($AB$1005:$AQ$1005,1,MATCH(COLUMNS($AB$1006:AE1006),$AB$1006:$AQ$1006,0))&gt;=100000), " ",IF(INDEX($AB$2:$AQ$1001,MATCH(ROWS($U$2:U613),$U$2:$U$1001,0),MATCH(COLUMNS($AB$1006:AE1006),$AB$1006:$AQ$1006,0)), HYPERLINK("#",""), HYPERLINK(CONCATENATE("#Metadata!", ADDRESS(INDEX($W$2:$W$1001,MATCH(ROWS($U$2:U613),$U$2:$U$1001,0),0), INDEX($AB$1004:$AQ$1004,1,MATCH(COLUMNS($AB$1006:AE1006),$AB$1006:$AQ$1006,0)))),"Fix")))</f>
        <v>0</v>
      </c>
      <c r="F613" s="5">
        <f>IF(OR(INDEX($V$2:$V$1001,MATCH(ROWS($U$2:U613),$U$2:$U$1001,0),1)&gt;=100000,INDEX($AB$1005:$AQ$1005,1,MATCH(COLUMNS($AB$1006:AF1006),$AB$1006:$AQ$1006,0))&gt;=100000), " ",IF(INDEX($AB$2:$AQ$1001,MATCH(ROWS($U$2:U613),$U$2:$U$1001,0),MATCH(COLUMNS($AB$1006:AF1006),$AB$1006:$AQ$1006,0)), HYPERLINK("#",""), HYPERLINK(CONCATENATE("#Metadata!", ADDRESS(INDEX($W$2:$W$1001,MATCH(ROWS($U$2:U613),$U$2:$U$1001,0),0), INDEX($AB$1004:$AQ$1004,1,MATCH(COLUMNS($AB$1006:AF1006),$AB$1006:$AQ$1006,0)))),"Fix")))</f>
        <v>0</v>
      </c>
      <c r="G613" s="5">
        <f>IF(OR(INDEX($V$2:$V$1001,MATCH(ROWS($U$2:U613),$U$2:$U$1001,0),1)&gt;=100000,INDEX($AB$1005:$AQ$1005,1,MATCH(COLUMNS($AB$1006:AG1006),$AB$1006:$AQ$1006,0))&gt;=100000), " ",IF(INDEX($AB$2:$AQ$1001,MATCH(ROWS($U$2:U613),$U$2:$U$1001,0),MATCH(COLUMNS($AB$1006:AG1006),$AB$1006:$AQ$1006,0)), HYPERLINK("#",""), HYPERLINK(CONCATENATE("#Metadata!", ADDRESS(INDEX($W$2:$W$1001,MATCH(ROWS($U$2:U613),$U$2:$U$1001,0),0), INDEX($AB$1004:$AQ$1004,1,MATCH(COLUMNS($AB$1006:AG1006),$AB$1006:$AQ$1006,0)))),"Fix")))</f>
        <v>0</v>
      </c>
      <c r="H613" s="5">
        <f>IF(OR(INDEX($V$2:$V$1001,MATCH(ROWS($U$2:U613),$U$2:$U$1001,0),1)&gt;=100000,INDEX($AB$1005:$AQ$1005,1,MATCH(COLUMNS($AB$1006:AH1006),$AB$1006:$AQ$1006,0))&gt;=100000), " ",IF(INDEX($AB$2:$AQ$1001,MATCH(ROWS($U$2:U613),$U$2:$U$1001,0),MATCH(COLUMNS($AB$1006:AH1006),$AB$1006:$AQ$1006,0)), HYPERLINK("#",""), HYPERLINK(CONCATENATE("#Metadata!", ADDRESS(INDEX($W$2:$W$1001,MATCH(ROWS($U$2:U613),$U$2:$U$1001,0),0), INDEX($AB$1004:$AQ$1004,1,MATCH(COLUMNS($AB$1006:AH1006),$AB$1006:$AQ$1006,0)))),"Fix")))</f>
        <v>0</v>
      </c>
      <c r="I613" s="5">
        <f>IF(OR(INDEX($V$2:$V$1001,MATCH(ROWS($U$2:U613),$U$2:$U$1001,0),1)&gt;=100000,INDEX($AB$1005:$AQ$1005,1,MATCH(COLUMNS($AB$1006:AI1006),$AB$1006:$AQ$1006,0))&gt;=100000), " ",IF(INDEX($AB$2:$AQ$1001,MATCH(ROWS($U$2:U613),$U$2:$U$1001,0),MATCH(COLUMNS($AB$1006:AI1006),$AB$1006:$AQ$1006,0)), HYPERLINK("#",""), HYPERLINK(CONCATENATE("#Metadata!", ADDRESS(INDEX($W$2:$W$1001,MATCH(ROWS($U$2:U613),$U$2:$U$1001,0),0), INDEX($AB$1004:$AQ$1004,1,MATCH(COLUMNS($AB$1006:AI1006),$AB$1006:$AQ$1006,0)))),"Fix")))</f>
        <v>0</v>
      </c>
      <c r="J613" s="5">
        <f>IF(OR(INDEX($V$2:$V$1001,MATCH(ROWS($U$2:U613),$U$2:$U$1001,0),1)&gt;=100000,INDEX($AB$1005:$AQ$1005,1,MATCH(COLUMNS($AB$1006:AJ1006),$AB$1006:$AQ$1006,0))&gt;=100000), " ",IF(INDEX($AB$2:$AQ$1001,MATCH(ROWS($U$2:U613),$U$2:$U$1001,0),MATCH(COLUMNS($AB$1006:AJ1006),$AB$1006:$AQ$1006,0)), HYPERLINK("#",""), HYPERLINK(CONCATENATE("#Metadata!", ADDRESS(INDEX($W$2:$W$1001,MATCH(ROWS($U$2:U613),$U$2:$U$1001,0),0), INDEX($AB$1004:$AQ$1004,1,MATCH(COLUMNS($AB$1006:AJ1006),$AB$1006:$AQ$1006,0)))),"Fix")))</f>
        <v>0</v>
      </c>
      <c r="K613" s="5">
        <f>IF(OR(INDEX($V$2:$V$1001,MATCH(ROWS($U$2:U613),$U$2:$U$1001,0),1)&gt;=100000,INDEX($AB$1005:$AQ$1005,1,MATCH(COLUMNS($AB$1006:AK1006),$AB$1006:$AQ$1006,0))&gt;=100000), " ",IF(INDEX($AB$2:$AQ$1001,MATCH(ROWS($U$2:U613),$U$2:$U$1001,0),MATCH(COLUMNS($AB$1006:AK1006),$AB$1006:$AQ$1006,0)), HYPERLINK("#",""), HYPERLINK(CONCATENATE("#Metadata!", ADDRESS(INDEX($W$2:$W$1001,MATCH(ROWS($U$2:U613),$U$2:$U$1001,0),0), INDEX($AB$1004:$AQ$1004,1,MATCH(COLUMNS($AB$1006:AK1006),$AB$1006:$AQ$1006,0)))),"Fix")))</f>
        <v>0</v>
      </c>
      <c r="L613" s="5">
        <f>IF(OR(INDEX($V$2:$V$1001,MATCH(ROWS($U$2:U613),$U$2:$U$1001,0),1)&gt;=100000,INDEX($AB$1005:$AQ$1005,1,MATCH(COLUMNS($AB$1006:AL1006),$AB$1006:$AQ$1006,0))&gt;=100000), " ",IF(INDEX($AB$2:$AQ$1001,MATCH(ROWS($U$2:U613),$U$2:$U$1001,0),MATCH(COLUMNS($AB$1006:AL1006),$AB$1006:$AQ$1006,0)), HYPERLINK("#",""), HYPERLINK(CONCATENATE("#Metadata!", ADDRESS(INDEX($W$2:$W$1001,MATCH(ROWS($U$2:U613),$U$2:$U$1001,0),0), INDEX($AB$1004:$AQ$1004,1,MATCH(COLUMNS($AB$1006:AL1006),$AB$1006:$AQ$1006,0)))),"Fix")))</f>
        <v>0</v>
      </c>
      <c r="M613" s="5">
        <f>IF(OR(INDEX($V$2:$V$1001,MATCH(ROWS($U$2:U613),$U$2:$U$1001,0),1)&gt;=100000,INDEX($AB$1005:$AQ$1005,1,MATCH(COLUMNS($AB$1006:AM1006),$AB$1006:$AQ$1006,0))&gt;=100000), " ",IF(INDEX($AB$2:$AQ$1001,MATCH(ROWS($U$2:U613),$U$2:$U$1001,0),MATCH(COLUMNS($AB$1006:AM1006),$AB$1006:$AQ$1006,0)), HYPERLINK("#",""), HYPERLINK(CONCATENATE("#Metadata!", ADDRESS(INDEX($W$2:$W$1001,MATCH(ROWS($U$2:U613),$U$2:$U$1001,0),0), INDEX($AB$1004:$AQ$1004,1,MATCH(COLUMNS($AB$1006:AM1006),$AB$1006:$AQ$1006,0)))),"Fix")))</f>
        <v>0</v>
      </c>
      <c r="N613" s="5">
        <f>IF(OR(INDEX($V$2:$V$1001,MATCH(ROWS($U$2:U613),$U$2:$U$1001,0),1)&gt;=100000,INDEX($AB$1005:$AQ$1005,1,MATCH(COLUMNS($AB$1006:AN1006),$AB$1006:$AQ$1006,0))&gt;=100000), " ",IF(INDEX($AB$2:$AQ$1001,MATCH(ROWS($U$2:U613),$U$2:$U$1001,0),MATCH(COLUMNS($AB$1006:AN1006),$AB$1006:$AQ$1006,0)), HYPERLINK("#",""), HYPERLINK(CONCATENATE("#Metadata!", ADDRESS(INDEX($W$2:$W$1001,MATCH(ROWS($U$2:U613),$U$2:$U$1001,0),0), INDEX($AB$1004:$AQ$1004,1,MATCH(COLUMNS($AB$1006:AN1006),$AB$1006:$AQ$1006,0)))),"Fix")))</f>
        <v>0</v>
      </c>
      <c r="O613" s="5">
        <f>IF(OR(INDEX($V$2:$V$1001,MATCH(ROWS($U$2:U613),$U$2:$U$1001,0),1)&gt;=100000,INDEX($AB$1005:$AQ$1005,1,MATCH(COLUMNS($AB$1006:AO1006),$AB$1006:$AQ$1006,0))&gt;=100000), " ",IF(INDEX($AB$2:$AQ$1001,MATCH(ROWS($U$2:U613),$U$2:$U$1001,0),MATCH(COLUMNS($AB$1006:AO1006),$AB$1006:$AQ$1006,0)), HYPERLINK("#",""), HYPERLINK(CONCATENATE("#Metadata!", ADDRESS(INDEX($W$2:$W$1001,MATCH(ROWS($U$2:U613),$U$2:$U$1001,0),0), INDEX($AB$1004:$AQ$1004,1,MATCH(COLUMNS($AB$1006:AO1006),$AB$1006:$AQ$1006,0)))),"Fix")))</f>
        <v>0</v>
      </c>
      <c r="P613" s="5">
        <f>IF(OR(INDEX($V$2:$V$1001,MATCH(ROWS($U$2:U613),$U$2:$U$1001,0),1)&gt;=100000,INDEX($AB$1005:$AQ$1005,1,MATCH(COLUMNS($AB$1006:AP1006),$AB$1006:$AQ$1006,0))&gt;=100000), " ",IF(INDEX($AB$2:$AQ$1001,MATCH(ROWS($U$2:U613),$U$2:$U$1001,0),MATCH(COLUMNS($AB$1006:AP1006),$AB$1006:$AQ$1006,0)), HYPERLINK("#",""), HYPERLINK(CONCATENATE("#Metadata!", ADDRESS(INDEX($W$2:$W$1001,MATCH(ROWS($U$2:U613),$U$2:$U$1001,0),0), INDEX($AB$1004:$AQ$1004,1,MATCH(COLUMNS($AB$1006:AP1006),$AB$1006:$AQ$1006,0)))),"Fix")))</f>
        <v>0</v>
      </c>
      <c r="Q613" s="5">
        <f>IF(OR(INDEX($V$2:$V$1001,MATCH(ROWS($U$2:U613),$U$2:$U$1001,0),1)&gt;=100000,INDEX($AB$1005:$AQ$1005,1,MATCH(COLUMNS($AB$1006:AQ1006),$AB$1006:$AQ$1006,0))&gt;=100000), " ",IF(INDEX($AB$2:$AQ$1001,MATCH(ROWS($U$2:U613),$U$2:$U$1001,0),MATCH(COLUMNS($AB$1006:AQ1006),$AB$1006:$AQ$1006,0)), HYPERLINK("#",""), HYPERLINK(CONCATENATE("#Metadata!", ADDRESS(INDEX($W$2:$W$1001,MATCH(ROWS($U$2:U613),$U$2:$U$1001,0),0), INDEX($AB$1004:$AQ$1004,1,MATCH(COLUMNS($AB$1006:AQ1006),$AB$1006:$AQ$1006,0)))),"Fix")))</f>
        <v>0</v>
      </c>
      <c r="U613">
        <v>0</v>
      </c>
      <c r="V613">
        <v>0</v>
      </c>
      <c r="W613">
        <v>0</v>
      </c>
      <c r="X613">
        <f>IF(Y613,TRUE,AND(AB613:AQ613))</f>
        <v>0</v>
      </c>
      <c r="Y613">
        <f>COUNTBLANK(Metadata!B613:Q613)=COLUMNS(Metadata!B613:Q613)</f>
        <v>0</v>
      </c>
      <c r="Z613">
        <v>0</v>
      </c>
      <c r="AB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AC613">
        <f>AND(IF(Metadata!C613="",FALSE,TRUE),exact(Metadata!C613,"urban biome"))</f>
        <v>0</v>
      </c>
      <c r="AD613">
        <f>AND(IF(Metadata!D613="",FALSE,TRUE),exact(Metadata!D613,"human-associated habitat"))</f>
        <v>0</v>
      </c>
      <c r="AE613">
        <f>AND(IF(Metadata!E613="",FALSE,TRUE),OR(exact(Metadata!E613,"human-associated"),exact(Metadata!E613,"human-skin"),exact(Metadata!E613,"human-oral"),exact(Metadata!E613,"human-gut"),exact(Metadata!E613,"human-vaginal")))</f>
        <v>0</v>
      </c>
      <c r="AF613">
        <f>AND(IF(Metadata!F613="",FALSE,ISNUMBER(VALUE(Metadata!F613))),Metadata!F613&gt;0)</f>
        <v>0</v>
      </c>
      <c r="AG613">
        <f>AND(IF(Metadata!G613="",FALSE,TRUE),exact(Metadata!G613,"years"))</f>
        <v>0</v>
      </c>
      <c r="AH613">
        <f>OR(AND(IF(Metadata!H613="",FALSE,TRUE),OR(exact(Metadata!H613,"not applicable"),exact(Metadata!H613,"not collected"),exact(Metadata!H613,"not provided"),exact(Metadata!H613,"restricted access"))),AND(IF(Metadata!H613="",FALSE,ISNUMBER(VALUE(Metadata!H613))),Metadata!H613&gt;0))</f>
        <v>0</v>
      </c>
      <c r="AI613">
        <f>AND(IF(Metadata!I613="",FALSE,TRUE),exact(Metadata!I613,"human"))</f>
        <v>0</v>
      </c>
      <c r="AJ613">
        <f>AND(IF(Metadata!J613="",FALSE,ISNUMBER(VALUE(Metadata!J613))),Metadata!J613&gt;0)</f>
        <v>0</v>
      </c>
      <c r="AK613">
        <f>AND(IF(Metadata!K613="",FALSE,TRUE),exact(Metadata!K613,"cm"))</f>
        <v>0</v>
      </c>
      <c r="AL613">
        <f>AND(IF(Metadata!L613="",FALSE,TRUE),exact(Metadata!L613,"Homo sapiens"))</f>
        <v>0</v>
      </c>
      <c r="AM613">
        <f>AND(IF(Metadata!M613="",FALSE,TRUE),exact(Metadata!M613,"9606"))</f>
        <v>0</v>
      </c>
      <c r="AN613">
        <f>AND(IF(Metadata!N613="",FALSE,ISNUMBER(VALUE(Metadata!N613))),Metadata!N613&gt;0)</f>
        <v>0</v>
      </c>
      <c r="AO613">
        <f>AND(IF(Metadata!O613="",FALSE,TRUE),exact(Metadata!O613,"kg"))</f>
        <v>0</v>
      </c>
      <c r="AP613">
        <f>OR(AND(IF(Metadata!P613="",FALSE,TRUE),exact(Metadata!P613,"not provided")),IF(Metadata!P613="",FALSE,TRUE))</f>
        <v>0</v>
      </c>
      <c r="AQ613">
        <f>OR(AND(IF(Metadata!Q613="",FALSE,TRUE),exact(Metadata!Q613,"not provided")),IF(Metadata!Q613="",FALSE,TRUE))</f>
        <v>0</v>
      </c>
    </row>
    <row r="614" spans="1:43">
      <c r="A614" s="4">
        <f>IF(B614=" "," ",HYPERLINK(CONCATENATE("#metadata!",ADDRESS(INDEX($W$2:$W$1001,MATCH(ROWS($U$2:U614),$U$2:$U$1001,0),0),2)),INDEX($Z$2:$Z$1001,MATCH(ROWS($U$2:U614),$U$2:$U$1001,0),0)))</f>
        <v>0</v>
      </c>
      <c r="B614" s="5">
        <f>IF(OR(INDEX($V$2:$V$1001,MATCH(ROWS($U$2:U614),$U$2:$U$1001,0),1)&gt;=100000,INDEX($AB$1005:$AQ$1005,1,MATCH(COLUMNS($AB$1006:AB1006),$AB$1006:$AQ$1006,0))&gt;=100000), " ",IF(INDEX($AB$2:$AQ$1001,MATCH(ROWS($U$2:U614),$U$2:$U$1001,0),MATCH(COLUMNS($AB$1006:AB1006),$AB$1006:$AQ$1006,0)), HYPERLINK("#",""), HYPERLINK(CONCATENATE("#Metadata!", ADDRESS(INDEX($W$2:$W$1001,MATCH(ROWS($U$2:U614),$U$2:$U$1001,0),0), INDEX($AB$1004:$AQ$1004,1,MATCH(COLUMNS($AB$1006:AB1006),$AB$1006:$AQ$1006,0)))),"Fix")))</f>
        <v>0</v>
      </c>
      <c r="C614" s="5">
        <f>IF(OR(INDEX($V$2:$V$1001,MATCH(ROWS($U$2:U614),$U$2:$U$1001,0),1)&gt;=100000,INDEX($AB$1005:$AQ$1005,1,MATCH(COLUMNS($AB$1006:AC1006),$AB$1006:$AQ$1006,0))&gt;=100000), " ",IF(INDEX($AB$2:$AQ$1001,MATCH(ROWS($U$2:U614),$U$2:$U$1001,0),MATCH(COLUMNS($AB$1006:AC1006),$AB$1006:$AQ$1006,0)), HYPERLINK("#",""), HYPERLINK(CONCATENATE("#Metadata!", ADDRESS(INDEX($W$2:$W$1001,MATCH(ROWS($U$2:U614),$U$2:$U$1001,0),0), INDEX($AB$1004:$AQ$1004,1,MATCH(COLUMNS($AB$1006:AC1006),$AB$1006:$AQ$1006,0)))),"Fix")))</f>
        <v>0</v>
      </c>
      <c r="D614" s="5">
        <f>IF(OR(INDEX($V$2:$V$1001,MATCH(ROWS($U$2:U614),$U$2:$U$1001,0),1)&gt;=100000,INDEX($AB$1005:$AQ$1005,1,MATCH(COLUMNS($AB$1006:AD1006),$AB$1006:$AQ$1006,0))&gt;=100000), " ",IF(INDEX($AB$2:$AQ$1001,MATCH(ROWS($U$2:U614),$U$2:$U$1001,0),MATCH(COLUMNS($AB$1006:AD1006),$AB$1006:$AQ$1006,0)), HYPERLINK("#",""), HYPERLINK(CONCATENATE("#Metadata!", ADDRESS(INDEX($W$2:$W$1001,MATCH(ROWS($U$2:U614),$U$2:$U$1001,0),0), INDEX($AB$1004:$AQ$1004,1,MATCH(COLUMNS($AB$1006:AD1006),$AB$1006:$AQ$1006,0)))),"Fix")))</f>
        <v>0</v>
      </c>
      <c r="E614" s="5">
        <f>IF(OR(INDEX($V$2:$V$1001,MATCH(ROWS($U$2:U614),$U$2:$U$1001,0),1)&gt;=100000,INDEX($AB$1005:$AQ$1005,1,MATCH(COLUMNS($AB$1006:AE1006),$AB$1006:$AQ$1006,0))&gt;=100000), " ",IF(INDEX($AB$2:$AQ$1001,MATCH(ROWS($U$2:U614),$U$2:$U$1001,0),MATCH(COLUMNS($AB$1006:AE1006),$AB$1006:$AQ$1006,0)), HYPERLINK("#",""), HYPERLINK(CONCATENATE("#Metadata!", ADDRESS(INDEX($W$2:$W$1001,MATCH(ROWS($U$2:U614),$U$2:$U$1001,0),0), INDEX($AB$1004:$AQ$1004,1,MATCH(COLUMNS($AB$1006:AE1006),$AB$1006:$AQ$1006,0)))),"Fix")))</f>
        <v>0</v>
      </c>
      <c r="F614" s="5">
        <f>IF(OR(INDEX($V$2:$V$1001,MATCH(ROWS($U$2:U614),$U$2:$U$1001,0),1)&gt;=100000,INDEX($AB$1005:$AQ$1005,1,MATCH(COLUMNS($AB$1006:AF1006),$AB$1006:$AQ$1006,0))&gt;=100000), " ",IF(INDEX($AB$2:$AQ$1001,MATCH(ROWS($U$2:U614),$U$2:$U$1001,0),MATCH(COLUMNS($AB$1006:AF1006),$AB$1006:$AQ$1006,0)), HYPERLINK("#",""), HYPERLINK(CONCATENATE("#Metadata!", ADDRESS(INDEX($W$2:$W$1001,MATCH(ROWS($U$2:U614),$U$2:$U$1001,0),0), INDEX($AB$1004:$AQ$1004,1,MATCH(COLUMNS($AB$1006:AF1006),$AB$1006:$AQ$1006,0)))),"Fix")))</f>
        <v>0</v>
      </c>
      <c r="G614" s="5">
        <f>IF(OR(INDEX($V$2:$V$1001,MATCH(ROWS($U$2:U614),$U$2:$U$1001,0),1)&gt;=100000,INDEX($AB$1005:$AQ$1005,1,MATCH(COLUMNS($AB$1006:AG1006),$AB$1006:$AQ$1006,0))&gt;=100000), " ",IF(INDEX($AB$2:$AQ$1001,MATCH(ROWS($U$2:U614),$U$2:$U$1001,0),MATCH(COLUMNS($AB$1006:AG1006),$AB$1006:$AQ$1006,0)), HYPERLINK("#",""), HYPERLINK(CONCATENATE("#Metadata!", ADDRESS(INDEX($W$2:$W$1001,MATCH(ROWS($U$2:U614),$U$2:$U$1001,0),0), INDEX($AB$1004:$AQ$1004,1,MATCH(COLUMNS($AB$1006:AG1006),$AB$1006:$AQ$1006,0)))),"Fix")))</f>
        <v>0</v>
      </c>
      <c r="H614" s="5">
        <f>IF(OR(INDEX($V$2:$V$1001,MATCH(ROWS($U$2:U614),$U$2:$U$1001,0),1)&gt;=100000,INDEX($AB$1005:$AQ$1005,1,MATCH(COLUMNS($AB$1006:AH1006),$AB$1006:$AQ$1006,0))&gt;=100000), " ",IF(INDEX($AB$2:$AQ$1001,MATCH(ROWS($U$2:U614),$U$2:$U$1001,0),MATCH(COLUMNS($AB$1006:AH1006),$AB$1006:$AQ$1006,0)), HYPERLINK("#",""), HYPERLINK(CONCATENATE("#Metadata!", ADDRESS(INDEX($W$2:$W$1001,MATCH(ROWS($U$2:U614),$U$2:$U$1001,0),0), INDEX($AB$1004:$AQ$1004,1,MATCH(COLUMNS($AB$1006:AH1006),$AB$1006:$AQ$1006,0)))),"Fix")))</f>
        <v>0</v>
      </c>
      <c r="I614" s="5">
        <f>IF(OR(INDEX($V$2:$V$1001,MATCH(ROWS($U$2:U614),$U$2:$U$1001,0),1)&gt;=100000,INDEX($AB$1005:$AQ$1005,1,MATCH(COLUMNS($AB$1006:AI1006),$AB$1006:$AQ$1006,0))&gt;=100000), " ",IF(INDEX($AB$2:$AQ$1001,MATCH(ROWS($U$2:U614),$U$2:$U$1001,0),MATCH(COLUMNS($AB$1006:AI1006),$AB$1006:$AQ$1006,0)), HYPERLINK("#",""), HYPERLINK(CONCATENATE("#Metadata!", ADDRESS(INDEX($W$2:$W$1001,MATCH(ROWS($U$2:U614),$U$2:$U$1001,0),0), INDEX($AB$1004:$AQ$1004,1,MATCH(COLUMNS($AB$1006:AI1006),$AB$1006:$AQ$1006,0)))),"Fix")))</f>
        <v>0</v>
      </c>
      <c r="J614" s="5">
        <f>IF(OR(INDEX($V$2:$V$1001,MATCH(ROWS($U$2:U614),$U$2:$U$1001,0),1)&gt;=100000,INDEX($AB$1005:$AQ$1005,1,MATCH(COLUMNS($AB$1006:AJ1006),$AB$1006:$AQ$1006,0))&gt;=100000), " ",IF(INDEX($AB$2:$AQ$1001,MATCH(ROWS($U$2:U614),$U$2:$U$1001,0),MATCH(COLUMNS($AB$1006:AJ1006),$AB$1006:$AQ$1006,0)), HYPERLINK("#",""), HYPERLINK(CONCATENATE("#Metadata!", ADDRESS(INDEX($W$2:$W$1001,MATCH(ROWS($U$2:U614),$U$2:$U$1001,0),0), INDEX($AB$1004:$AQ$1004,1,MATCH(COLUMNS($AB$1006:AJ1006),$AB$1006:$AQ$1006,0)))),"Fix")))</f>
        <v>0</v>
      </c>
      <c r="K614" s="5">
        <f>IF(OR(INDEX($V$2:$V$1001,MATCH(ROWS($U$2:U614),$U$2:$U$1001,0),1)&gt;=100000,INDEX($AB$1005:$AQ$1005,1,MATCH(COLUMNS($AB$1006:AK1006),$AB$1006:$AQ$1006,0))&gt;=100000), " ",IF(INDEX($AB$2:$AQ$1001,MATCH(ROWS($U$2:U614),$U$2:$U$1001,0),MATCH(COLUMNS($AB$1006:AK1006),$AB$1006:$AQ$1006,0)), HYPERLINK("#",""), HYPERLINK(CONCATENATE("#Metadata!", ADDRESS(INDEX($W$2:$W$1001,MATCH(ROWS($U$2:U614),$U$2:$U$1001,0),0), INDEX($AB$1004:$AQ$1004,1,MATCH(COLUMNS($AB$1006:AK1006),$AB$1006:$AQ$1006,0)))),"Fix")))</f>
        <v>0</v>
      </c>
      <c r="L614" s="5">
        <f>IF(OR(INDEX($V$2:$V$1001,MATCH(ROWS($U$2:U614),$U$2:$U$1001,0),1)&gt;=100000,INDEX($AB$1005:$AQ$1005,1,MATCH(COLUMNS($AB$1006:AL1006),$AB$1006:$AQ$1006,0))&gt;=100000), " ",IF(INDEX($AB$2:$AQ$1001,MATCH(ROWS($U$2:U614),$U$2:$U$1001,0),MATCH(COLUMNS($AB$1006:AL1006),$AB$1006:$AQ$1006,0)), HYPERLINK("#",""), HYPERLINK(CONCATENATE("#Metadata!", ADDRESS(INDEX($W$2:$W$1001,MATCH(ROWS($U$2:U614),$U$2:$U$1001,0),0), INDEX($AB$1004:$AQ$1004,1,MATCH(COLUMNS($AB$1006:AL1006),$AB$1006:$AQ$1006,0)))),"Fix")))</f>
        <v>0</v>
      </c>
      <c r="M614" s="5">
        <f>IF(OR(INDEX($V$2:$V$1001,MATCH(ROWS($U$2:U614),$U$2:$U$1001,0),1)&gt;=100000,INDEX($AB$1005:$AQ$1005,1,MATCH(COLUMNS($AB$1006:AM1006),$AB$1006:$AQ$1006,0))&gt;=100000), " ",IF(INDEX($AB$2:$AQ$1001,MATCH(ROWS($U$2:U614),$U$2:$U$1001,0),MATCH(COLUMNS($AB$1006:AM1006),$AB$1006:$AQ$1006,0)), HYPERLINK("#",""), HYPERLINK(CONCATENATE("#Metadata!", ADDRESS(INDEX($W$2:$W$1001,MATCH(ROWS($U$2:U614),$U$2:$U$1001,0),0), INDEX($AB$1004:$AQ$1004,1,MATCH(COLUMNS($AB$1006:AM1006),$AB$1006:$AQ$1006,0)))),"Fix")))</f>
        <v>0</v>
      </c>
      <c r="N614" s="5">
        <f>IF(OR(INDEX($V$2:$V$1001,MATCH(ROWS($U$2:U614),$U$2:$U$1001,0),1)&gt;=100000,INDEX($AB$1005:$AQ$1005,1,MATCH(COLUMNS($AB$1006:AN1006),$AB$1006:$AQ$1006,0))&gt;=100000), " ",IF(INDEX($AB$2:$AQ$1001,MATCH(ROWS($U$2:U614),$U$2:$U$1001,0),MATCH(COLUMNS($AB$1006:AN1006),$AB$1006:$AQ$1006,0)), HYPERLINK("#",""), HYPERLINK(CONCATENATE("#Metadata!", ADDRESS(INDEX($W$2:$W$1001,MATCH(ROWS($U$2:U614),$U$2:$U$1001,0),0), INDEX($AB$1004:$AQ$1004,1,MATCH(COLUMNS($AB$1006:AN1006),$AB$1006:$AQ$1006,0)))),"Fix")))</f>
        <v>0</v>
      </c>
      <c r="O614" s="5">
        <f>IF(OR(INDEX($V$2:$V$1001,MATCH(ROWS($U$2:U614),$U$2:$U$1001,0),1)&gt;=100000,INDEX($AB$1005:$AQ$1005,1,MATCH(COLUMNS($AB$1006:AO1006),$AB$1006:$AQ$1006,0))&gt;=100000), " ",IF(INDEX($AB$2:$AQ$1001,MATCH(ROWS($U$2:U614),$U$2:$U$1001,0),MATCH(COLUMNS($AB$1006:AO1006),$AB$1006:$AQ$1006,0)), HYPERLINK("#",""), HYPERLINK(CONCATENATE("#Metadata!", ADDRESS(INDEX($W$2:$W$1001,MATCH(ROWS($U$2:U614),$U$2:$U$1001,0),0), INDEX($AB$1004:$AQ$1004,1,MATCH(COLUMNS($AB$1006:AO1006),$AB$1006:$AQ$1006,0)))),"Fix")))</f>
        <v>0</v>
      </c>
      <c r="P614" s="5">
        <f>IF(OR(INDEX($V$2:$V$1001,MATCH(ROWS($U$2:U614),$U$2:$U$1001,0),1)&gt;=100000,INDEX($AB$1005:$AQ$1005,1,MATCH(COLUMNS($AB$1006:AP1006),$AB$1006:$AQ$1006,0))&gt;=100000), " ",IF(INDEX($AB$2:$AQ$1001,MATCH(ROWS($U$2:U614),$U$2:$U$1001,0),MATCH(COLUMNS($AB$1006:AP1006),$AB$1006:$AQ$1006,0)), HYPERLINK("#",""), HYPERLINK(CONCATENATE("#Metadata!", ADDRESS(INDEX($W$2:$W$1001,MATCH(ROWS($U$2:U614),$U$2:$U$1001,0),0), INDEX($AB$1004:$AQ$1004,1,MATCH(COLUMNS($AB$1006:AP1006),$AB$1006:$AQ$1006,0)))),"Fix")))</f>
        <v>0</v>
      </c>
      <c r="Q614" s="5">
        <f>IF(OR(INDEX($V$2:$V$1001,MATCH(ROWS($U$2:U614),$U$2:$U$1001,0),1)&gt;=100000,INDEX($AB$1005:$AQ$1005,1,MATCH(COLUMNS($AB$1006:AQ1006),$AB$1006:$AQ$1006,0))&gt;=100000), " ",IF(INDEX($AB$2:$AQ$1001,MATCH(ROWS($U$2:U614),$U$2:$U$1001,0),MATCH(COLUMNS($AB$1006:AQ1006),$AB$1006:$AQ$1006,0)), HYPERLINK("#",""), HYPERLINK(CONCATENATE("#Metadata!", ADDRESS(INDEX($W$2:$W$1001,MATCH(ROWS($U$2:U614),$U$2:$U$1001,0),0), INDEX($AB$1004:$AQ$1004,1,MATCH(COLUMNS($AB$1006:AQ1006),$AB$1006:$AQ$1006,0)))),"Fix")))</f>
        <v>0</v>
      </c>
      <c r="U614">
        <v>0</v>
      </c>
      <c r="V614">
        <v>0</v>
      </c>
      <c r="W614">
        <v>0</v>
      </c>
      <c r="X614">
        <f>IF(Y614,TRUE,AND(AB614:AQ614))</f>
        <v>0</v>
      </c>
      <c r="Y614">
        <f>COUNTBLANK(Metadata!B614:Q614)=COLUMNS(Metadata!B614:Q614)</f>
        <v>0</v>
      </c>
      <c r="Z614">
        <v>0</v>
      </c>
      <c r="AB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AC614">
        <f>AND(IF(Metadata!C614="",FALSE,TRUE),exact(Metadata!C614,"urban biome"))</f>
        <v>0</v>
      </c>
      <c r="AD614">
        <f>AND(IF(Metadata!D614="",FALSE,TRUE),exact(Metadata!D614,"human-associated habitat"))</f>
        <v>0</v>
      </c>
      <c r="AE614">
        <f>AND(IF(Metadata!E614="",FALSE,TRUE),OR(exact(Metadata!E614,"human-associated"),exact(Metadata!E614,"human-skin"),exact(Metadata!E614,"human-oral"),exact(Metadata!E614,"human-gut"),exact(Metadata!E614,"human-vaginal")))</f>
        <v>0</v>
      </c>
      <c r="AF614">
        <f>AND(IF(Metadata!F614="",FALSE,ISNUMBER(VALUE(Metadata!F614))),Metadata!F614&gt;0)</f>
        <v>0</v>
      </c>
      <c r="AG614">
        <f>AND(IF(Metadata!G614="",FALSE,TRUE),exact(Metadata!G614,"years"))</f>
        <v>0</v>
      </c>
      <c r="AH614">
        <f>OR(AND(IF(Metadata!H614="",FALSE,TRUE),OR(exact(Metadata!H614,"not applicable"),exact(Metadata!H614,"not collected"),exact(Metadata!H614,"not provided"),exact(Metadata!H614,"restricted access"))),AND(IF(Metadata!H614="",FALSE,ISNUMBER(VALUE(Metadata!H614))),Metadata!H614&gt;0))</f>
        <v>0</v>
      </c>
      <c r="AI614">
        <f>AND(IF(Metadata!I614="",FALSE,TRUE),exact(Metadata!I614,"human"))</f>
        <v>0</v>
      </c>
      <c r="AJ614">
        <f>AND(IF(Metadata!J614="",FALSE,ISNUMBER(VALUE(Metadata!J614))),Metadata!J614&gt;0)</f>
        <v>0</v>
      </c>
      <c r="AK614">
        <f>AND(IF(Metadata!K614="",FALSE,TRUE),exact(Metadata!K614,"cm"))</f>
        <v>0</v>
      </c>
      <c r="AL614">
        <f>AND(IF(Metadata!L614="",FALSE,TRUE),exact(Metadata!L614,"Homo sapiens"))</f>
        <v>0</v>
      </c>
      <c r="AM614">
        <f>AND(IF(Metadata!M614="",FALSE,TRUE),exact(Metadata!M614,"9606"))</f>
        <v>0</v>
      </c>
      <c r="AN614">
        <f>AND(IF(Metadata!N614="",FALSE,ISNUMBER(VALUE(Metadata!N614))),Metadata!N614&gt;0)</f>
        <v>0</v>
      </c>
      <c r="AO614">
        <f>AND(IF(Metadata!O614="",FALSE,TRUE),exact(Metadata!O614,"kg"))</f>
        <v>0</v>
      </c>
      <c r="AP614">
        <f>OR(AND(IF(Metadata!P614="",FALSE,TRUE),exact(Metadata!P614,"not provided")),IF(Metadata!P614="",FALSE,TRUE))</f>
        <v>0</v>
      </c>
      <c r="AQ614">
        <f>OR(AND(IF(Metadata!Q614="",FALSE,TRUE),exact(Metadata!Q614,"not provided")),IF(Metadata!Q614="",FALSE,TRUE))</f>
        <v>0</v>
      </c>
    </row>
    <row r="615" spans="1:43">
      <c r="A615" s="4">
        <f>IF(B615=" "," ",HYPERLINK(CONCATENATE("#metadata!",ADDRESS(INDEX($W$2:$W$1001,MATCH(ROWS($U$2:U615),$U$2:$U$1001,0),0),2)),INDEX($Z$2:$Z$1001,MATCH(ROWS($U$2:U615),$U$2:$U$1001,0),0)))</f>
        <v>0</v>
      </c>
      <c r="B615" s="5">
        <f>IF(OR(INDEX($V$2:$V$1001,MATCH(ROWS($U$2:U615),$U$2:$U$1001,0),1)&gt;=100000,INDEX($AB$1005:$AQ$1005,1,MATCH(COLUMNS($AB$1006:AB1006),$AB$1006:$AQ$1006,0))&gt;=100000), " ",IF(INDEX($AB$2:$AQ$1001,MATCH(ROWS($U$2:U615),$U$2:$U$1001,0),MATCH(COLUMNS($AB$1006:AB1006),$AB$1006:$AQ$1006,0)), HYPERLINK("#",""), HYPERLINK(CONCATENATE("#Metadata!", ADDRESS(INDEX($W$2:$W$1001,MATCH(ROWS($U$2:U615),$U$2:$U$1001,0),0), INDEX($AB$1004:$AQ$1004,1,MATCH(COLUMNS($AB$1006:AB1006),$AB$1006:$AQ$1006,0)))),"Fix")))</f>
        <v>0</v>
      </c>
      <c r="C615" s="5">
        <f>IF(OR(INDEX($V$2:$V$1001,MATCH(ROWS($U$2:U615),$U$2:$U$1001,0),1)&gt;=100000,INDEX($AB$1005:$AQ$1005,1,MATCH(COLUMNS($AB$1006:AC1006),$AB$1006:$AQ$1006,0))&gt;=100000), " ",IF(INDEX($AB$2:$AQ$1001,MATCH(ROWS($U$2:U615),$U$2:$U$1001,0),MATCH(COLUMNS($AB$1006:AC1006),$AB$1006:$AQ$1006,0)), HYPERLINK("#",""), HYPERLINK(CONCATENATE("#Metadata!", ADDRESS(INDEX($W$2:$W$1001,MATCH(ROWS($U$2:U615),$U$2:$U$1001,0),0), INDEX($AB$1004:$AQ$1004,1,MATCH(COLUMNS($AB$1006:AC1006),$AB$1006:$AQ$1006,0)))),"Fix")))</f>
        <v>0</v>
      </c>
      <c r="D615" s="5">
        <f>IF(OR(INDEX($V$2:$V$1001,MATCH(ROWS($U$2:U615),$U$2:$U$1001,0),1)&gt;=100000,INDEX($AB$1005:$AQ$1005,1,MATCH(COLUMNS($AB$1006:AD1006),$AB$1006:$AQ$1006,0))&gt;=100000), " ",IF(INDEX($AB$2:$AQ$1001,MATCH(ROWS($U$2:U615),$U$2:$U$1001,0),MATCH(COLUMNS($AB$1006:AD1006),$AB$1006:$AQ$1006,0)), HYPERLINK("#",""), HYPERLINK(CONCATENATE("#Metadata!", ADDRESS(INDEX($W$2:$W$1001,MATCH(ROWS($U$2:U615),$U$2:$U$1001,0),0), INDEX($AB$1004:$AQ$1004,1,MATCH(COLUMNS($AB$1006:AD1006),$AB$1006:$AQ$1006,0)))),"Fix")))</f>
        <v>0</v>
      </c>
      <c r="E615" s="5">
        <f>IF(OR(INDEX($V$2:$V$1001,MATCH(ROWS($U$2:U615),$U$2:$U$1001,0),1)&gt;=100000,INDEX($AB$1005:$AQ$1005,1,MATCH(COLUMNS($AB$1006:AE1006),$AB$1006:$AQ$1006,0))&gt;=100000), " ",IF(INDEX($AB$2:$AQ$1001,MATCH(ROWS($U$2:U615),$U$2:$U$1001,0),MATCH(COLUMNS($AB$1006:AE1006),$AB$1006:$AQ$1006,0)), HYPERLINK("#",""), HYPERLINK(CONCATENATE("#Metadata!", ADDRESS(INDEX($W$2:$W$1001,MATCH(ROWS($U$2:U615),$U$2:$U$1001,0),0), INDEX($AB$1004:$AQ$1004,1,MATCH(COLUMNS($AB$1006:AE1006),$AB$1006:$AQ$1006,0)))),"Fix")))</f>
        <v>0</v>
      </c>
      <c r="F615" s="5">
        <f>IF(OR(INDEX($V$2:$V$1001,MATCH(ROWS($U$2:U615),$U$2:$U$1001,0),1)&gt;=100000,INDEX($AB$1005:$AQ$1005,1,MATCH(COLUMNS($AB$1006:AF1006),$AB$1006:$AQ$1006,0))&gt;=100000), " ",IF(INDEX($AB$2:$AQ$1001,MATCH(ROWS($U$2:U615),$U$2:$U$1001,0),MATCH(COLUMNS($AB$1006:AF1006),$AB$1006:$AQ$1006,0)), HYPERLINK("#",""), HYPERLINK(CONCATENATE("#Metadata!", ADDRESS(INDEX($W$2:$W$1001,MATCH(ROWS($U$2:U615),$U$2:$U$1001,0),0), INDEX($AB$1004:$AQ$1004,1,MATCH(COLUMNS($AB$1006:AF1006),$AB$1006:$AQ$1006,0)))),"Fix")))</f>
        <v>0</v>
      </c>
      <c r="G615" s="5">
        <f>IF(OR(INDEX($V$2:$V$1001,MATCH(ROWS($U$2:U615),$U$2:$U$1001,0),1)&gt;=100000,INDEX($AB$1005:$AQ$1005,1,MATCH(COLUMNS($AB$1006:AG1006),$AB$1006:$AQ$1006,0))&gt;=100000), " ",IF(INDEX($AB$2:$AQ$1001,MATCH(ROWS($U$2:U615),$U$2:$U$1001,0),MATCH(COLUMNS($AB$1006:AG1006),$AB$1006:$AQ$1006,0)), HYPERLINK("#",""), HYPERLINK(CONCATENATE("#Metadata!", ADDRESS(INDEX($W$2:$W$1001,MATCH(ROWS($U$2:U615),$U$2:$U$1001,0),0), INDEX($AB$1004:$AQ$1004,1,MATCH(COLUMNS($AB$1006:AG1006),$AB$1006:$AQ$1006,0)))),"Fix")))</f>
        <v>0</v>
      </c>
      <c r="H615" s="5">
        <f>IF(OR(INDEX($V$2:$V$1001,MATCH(ROWS($U$2:U615),$U$2:$U$1001,0),1)&gt;=100000,INDEX($AB$1005:$AQ$1005,1,MATCH(COLUMNS($AB$1006:AH1006),$AB$1006:$AQ$1006,0))&gt;=100000), " ",IF(INDEX($AB$2:$AQ$1001,MATCH(ROWS($U$2:U615),$U$2:$U$1001,0),MATCH(COLUMNS($AB$1006:AH1006),$AB$1006:$AQ$1006,0)), HYPERLINK("#",""), HYPERLINK(CONCATENATE("#Metadata!", ADDRESS(INDEX($W$2:$W$1001,MATCH(ROWS($U$2:U615),$U$2:$U$1001,0),0), INDEX($AB$1004:$AQ$1004,1,MATCH(COLUMNS($AB$1006:AH1006),$AB$1006:$AQ$1006,0)))),"Fix")))</f>
        <v>0</v>
      </c>
      <c r="I615" s="5">
        <f>IF(OR(INDEX($V$2:$V$1001,MATCH(ROWS($U$2:U615),$U$2:$U$1001,0),1)&gt;=100000,INDEX($AB$1005:$AQ$1005,1,MATCH(COLUMNS($AB$1006:AI1006),$AB$1006:$AQ$1006,0))&gt;=100000), " ",IF(INDEX($AB$2:$AQ$1001,MATCH(ROWS($U$2:U615),$U$2:$U$1001,0),MATCH(COLUMNS($AB$1006:AI1006),$AB$1006:$AQ$1006,0)), HYPERLINK("#",""), HYPERLINK(CONCATENATE("#Metadata!", ADDRESS(INDEX($W$2:$W$1001,MATCH(ROWS($U$2:U615),$U$2:$U$1001,0),0), INDEX($AB$1004:$AQ$1004,1,MATCH(COLUMNS($AB$1006:AI1006),$AB$1006:$AQ$1006,0)))),"Fix")))</f>
        <v>0</v>
      </c>
      <c r="J615" s="5">
        <f>IF(OR(INDEX($V$2:$V$1001,MATCH(ROWS($U$2:U615),$U$2:$U$1001,0),1)&gt;=100000,INDEX($AB$1005:$AQ$1005,1,MATCH(COLUMNS($AB$1006:AJ1006),$AB$1006:$AQ$1006,0))&gt;=100000), " ",IF(INDEX($AB$2:$AQ$1001,MATCH(ROWS($U$2:U615),$U$2:$U$1001,0),MATCH(COLUMNS($AB$1006:AJ1006),$AB$1006:$AQ$1006,0)), HYPERLINK("#",""), HYPERLINK(CONCATENATE("#Metadata!", ADDRESS(INDEX($W$2:$W$1001,MATCH(ROWS($U$2:U615),$U$2:$U$1001,0),0), INDEX($AB$1004:$AQ$1004,1,MATCH(COLUMNS($AB$1006:AJ1006),$AB$1006:$AQ$1006,0)))),"Fix")))</f>
        <v>0</v>
      </c>
      <c r="K615" s="5">
        <f>IF(OR(INDEX($V$2:$V$1001,MATCH(ROWS($U$2:U615),$U$2:$U$1001,0),1)&gt;=100000,INDEX($AB$1005:$AQ$1005,1,MATCH(COLUMNS($AB$1006:AK1006),$AB$1006:$AQ$1006,0))&gt;=100000), " ",IF(INDEX($AB$2:$AQ$1001,MATCH(ROWS($U$2:U615),$U$2:$U$1001,0),MATCH(COLUMNS($AB$1006:AK1006),$AB$1006:$AQ$1006,0)), HYPERLINK("#",""), HYPERLINK(CONCATENATE("#Metadata!", ADDRESS(INDEX($W$2:$W$1001,MATCH(ROWS($U$2:U615),$U$2:$U$1001,0),0), INDEX($AB$1004:$AQ$1004,1,MATCH(COLUMNS($AB$1006:AK1006),$AB$1006:$AQ$1006,0)))),"Fix")))</f>
        <v>0</v>
      </c>
      <c r="L615" s="5">
        <f>IF(OR(INDEX($V$2:$V$1001,MATCH(ROWS($U$2:U615),$U$2:$U$1001,0),1)&gt;=100000,INDEX($AB$1005:$AQ$1005,1,MATCH(COLUMNS($AB$1006:AL1006),$AB$1006:$AQ$1006,0))&gt;=100000), " ",IF(INDEX($AB$2:$AQ$1001,MATCH(ROWS($U$2:U615),$U$2:$U$1001,0),MATCH(COLUMNS($AB$1006:AL1006),$AB$1006:$AQ$1006,0)), HYPERLINK("#",""), HYPERLINK(CONCATENATE("#Metadata!", ADDRESS(INDEX($W$2:$W$1001,MATCH(ROWS($U$2:U615),$U$2:$U$1001,0),0), INDEX($AB$1004:$AQ$1004,1,MATCH(COLUMNS($AB$1006:AL1006),$AB$1006:$AQ$1006,0)))),"Fix")))</f>
        <v>0</v>
      </c>
      <c r="M615" s="5">
        <f>IF(OR(INDEX($V$2:$V$1001,MATCH(ROWS($U$2:U615),$U$2:$U$1001,0),1)&gt;=100000,INDEX($AB$1005:$AQ$1005,1,MATCH(COLUMNS($AB$1006:AM1006),$AB$1006:$AQ$1006,0))&gt;=100000), " ",IF(INDEX($AB$2:$AQ$1001,MATCH(ROWS($U$2:U615),$U$2:$U$1001,0),MATCH(COLUMNS($AB$1006:AM1006),$AB$1006:$AQ$1006,0)), HYPERLINK("#",""), HYPERLINK(CONCATENATE("#Metadata!", ADDRESS(INDEX($W$2:$W$1001,MATCH(ROWS($U$2:U615),$U$2:$U$1001,0),0), INDEX($AB$1004:$AQ$1004,1,MATCH(COLUMNS($AB$1006:AM1006),$AB$1006:$AQ$1006,0)))),"Fix")))</f>
        <v>0</v>
      </c>
      <c r="N615" s="5">
        <f>IF(OR(INDEX($V$2:$V$1001,MATCH(ROWS($U$2:U615),$U$2:$U$1001,0),1)&gt;=100000,INDEX($AB$1005:$AQ$1005,1,MATCH(COLUMNS($AB$1006:AN1006),$AB$1006:$AQ$1006,0))&gt;=100000), " ",IF(INDEX($AB$2:$AQ$1001,MATCH(ROWS($U$2:U615),$U$2:$U$1001,0),MATCH(COLUMNS($AB$1006:AN1006),$AB$1006:$AQ$1006,0)), HYPERLINK("#",""), HYPERLINK(CONCATENATE("#Metadata!", ADDRESS(INDEX($W$2:$W$1001,MATCH(ROWS($U$2:U615),$U$2:$U$1001,0),0), INDEX($AB$1004:$AQ$1004,1,MATCH(COLUMNS($AB$1006:AN1006),$AB$1006:$AQ$1006,0)))),"Fix")))</f>
        <v>0</v>
      </c>
      <c r="O615" s="5">
        <f>IF(OR(INDEX($V$2:$V$1001,MATCH(ROWS($U$2:U615),$U$2:$U$1001,0),1)&gt;=100000,INDEX($AB$1005:$AQ$1005,1,MATCH(COLUMNS($AB$1006:AO1006),$AB$1006:$AQ$1006,0))&gt;=100000), " ",IF(INDEX($AB$2:$AQ$1001,MATCH(ROWS($U$2:U615),$U$2:$U$1001,0),MATCH(COLUMNS($AB$1006:AO1006),$AB$1006:$AQ$1006,0)), HYPERLINK("#",""), HYPERLINK(CONCATENATE("#Metadata!", ADDRESS(INDEX($W$2:$W$1001,MATCH(ROWS($U$2:U615),$U$2:$U$1001,0),0), INDEX($AB$1004:$AQ$1004,1,MATCH(COLUMNS($AB$1006:AO1006),$AB$1006:$AQ$1006,0)))),"Fix")))</f>
        <v>0</v>
      </c>
      <c r="P615" s="5">
        <f>IF(OR(INDEX($V$2:$V$1001,MATCH(ROWS($U$2:U615),$U$2:$U$1001,0),1)&gt;=100000,INDEX($AB$1005:$AQ$1005,1,MATCH(COLUMNS($AB$1006:AP1006),$AB$1006:$AQ$1006,0))&gt;=100000), " ",IF(INDEX($AB$2:$AQ$1001,MATCH(ROWS($U$2:U615),$U$2:$U$1001,0),MATCH(COLUMNS($AB$1006:AP1006),$AB$1006:$AQ$1006,0)), HYPERLINK("#",""), HYPERLINK(CONCATENATE("#Metadata!", ADDRESS(INDEX($W$2:$W$1001,MATCH(ROWS($U$2:U615),$U$2:$U$1001,0),0), INDEX($AB$1004:$AQ$1004,1,MATCH(COLUMNS($AB$1006:AP1006),$AB$1006:$AQ$1006,0)))),"Fix")))</f>
        <v>0</v>
      </c>
      <c r="Q615" s="5">
        <f>IF(OR(INDEX($V$2:$V$1001,MATCH(ROWS($U$2:U615),$U$2:$U$1001,0),1)&gt;=100000,INDEX($AB$1005:$AQ$1005,1,MATCH(COLUMNS($AB$1006:AQ1006),$AB$1006:$AQ$1006,0))&gt;=100000), " ",IF(INDEX($AB$2:$AQ$1001,MATCH(ROWS($U$2:U615),$U$2:$U$1001,0),MATCH(COLUMNS($AB$1006:AQ1006),$AB$1006:$AQ$1006,0)), HYPERLINK("#",""), HYPERLINK(CONCATENATE("#Metadata!", ADDRESS(INDEX($W$2:$W$1001,MATCH(ROWS($U$2:U615),$U$2:$U$1001,0),0), INDEX($AB$1004:$AQ$1004,1,MATCH(COLUMNS($AB$1006:AQ1006),$AB$1006:$AQ$1006,0)))),"Fix")))</f>
        <v>0</v>
      </c>
      <c r="U615">
        <v>0</v>
      </c>
      <c r="V615">
        <v>0</v>
      </c>
      <c r="W615">
        <v>0</v>
      </c>
      <c r="X615">
        <f>IF(Y615,TRUE,AND(AB615:AQ615))</f>
        <v>0</v>
      </c>
      <c r="Y615">
        <f>COUNTBLANK(Metadata!B615:Q615)=COLUMNS(Metadata!B615:Q615)</f>
        <v>0</v>
      </c>
      <c r="Z615">
        <v>0</v>
      </c>
      <c r="AB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AC615">
        <f>AND(IF(Metadata!C615="",FALSE,TRUE),exact(Metadata!C615,"urban biome"))</f>
        <v>0</v>
      </c>
      <c r="AD615">
        <f>AND(IF(Metadata!D615="",FALSE,TRUE),exact(Metadata!D615,"human-associated habitat"))</f>
        <v>0</v>
      </c>
      <c r="AE615">
        <f>AND(IF(Metadata!E615="",FALSE,TRUE),OR(exact(Metadata!E615,"human-associated"),exact(Metadata!E615,"human-skin"),exact(Metadata!E615,"human-oral"),exact(Metadata!E615,"human-gut"),exact(Metadata!E615,"human-vaginal")))</f>
        <v>0</v>
      </c>
      <c r="AF615">
        <f>AND(IF(Metadata!F615="",FALSE,ISNUMBER(VALUE(Metadata!F615))),Metadata!F615&gt;0)</f>
        <v>0</v>
      </c>
      <c r="AG615">
        <f>AND(IF(Metadata!G615="",FALSE,TRUE),exact(Metadata!G615,"years"))</f>
        <v>0</v>
      </c>
      <c r="AH615">
        <f>OR(AND(IF(Metadata!H615="",FALSE,TRUE),OR(exact(Metadata!H615,"not applicable"),exact(Metadata!H615,"not collected"),exact(Metadata!H615,"not provided"),exact(Metadata!H615,"restricted access"))),AND(IF(Metadata!H615="",FALSE,ISNUMBER(VALUE(Metadata!H615))),Metadata!H615&gt;0))</f>
        <v>0</v>
      </c>
      <c r="AI615">
        <f>AND(IF(Metadata!I615="",FALSE,TRUE),exact(Metadata!I615,"human"))</f>
        <v>0</v>
      </c>
      <c r="AJ615">
        <f>AND(IF(Metadata!J615="",FALSE,ISNUMBER(VALUE(Metadata!J615))),Metadata!J615&gt;0)</f>
        <v>0</v>
      </c>
      <c r="AK615">
        <f>AND(IF(Metadata!K615="",FALSE,TRUE),exact(Metadata!K615,"cm"))</f>
        <v>0</v>
      </c>
      <c r="AL615">
        <f>AND(IF(Metadata!L615="",FALSE,TRUE),exact(Metadata!L615,"Homo sapiens"))</f>
        <v>0</v>
      </c>
      <c r="AM615">
        <f>AND(IF(Metadata!M615="",FALSE,TRUE),exact(Metadata!M615,"9606"))</f>
        <v>0</v>
      </c>
      <c r="AN615">
        <f>AND(IF(Metadata!N615="",FALSE,ISNUMBER(VALUE(Metadata!N615))),Metadata!N615&gt;0)</f>
        <v>0</v>
      </c>
      <c r="AO615">
        <f>AND(IF(Metadata!O615="",FALSE,TRUE),exact(Metadata!O615,"kg"))</f>
        <v>0</v>
      </c>
      <c r="AP615">
        <f>OR(AND(IF(Metadata!P615="",FALSE,TRUE),exact(Metadata!P615,"not provided")),IF(Metadata!P615="",FALSE,TRUE))</f>
        <v>0</v>
      </c>
      <c r="AQ615">
        <f>OR(AND(IF(Metadata!Q615="",FALSE,TRUE),exact(Metadata!Q615,"not provided")),IF(Metadata!Q615="",FALSE,TRUE))</f>
        <v>0</v>
      </c>
    </row>
    <row r="616" spans="1:43">
      <c r="A616" s="4">
        <f>IF(B616=" "," ",HYPERLINK(CONCATENATE("#metadata!",ADDRESS(INDEX($W$2:$W$1001,MATCH(ROWS($U$2:U616),$U$2:$U$1001,0),0),2)),INDEX($Z$2:$Z$1001,MATCH(ROWS($U$2:U616),$U$2:$U$1001,0),0)))</f>
        <v>0</v>
      </c>
      <c r="B616" s="5">
        <f>IF(OR(INDEX($V$2:$V$1001,MATCH(ROWS($U$2:U616),$U$2:$U$1001,0),1)&gt;=100000,INDEX($AB$1005:$AQ$1005,1,MATCH(COLUMNS($AB$1006:AB1006),$AB$1006:$AQ$1006,0))&gt;=100000), " ",IF(INDEX($AB$2:$AQ$1001,MATCH(ROWS($U$2:U616),$U$2:$U$1001,0),MATCH(COLUMNS($AB$1006:AB1006),$AB$1006:$AQ$1006,0)), HYPERLINK("#",""), HYPERLINK(CONCATENATE("#Metadata!", ADDRESS(INDEX($W$2:$W$1001,MATCH(ROWS($U$2:U616),$U$2:$U$1001,0),0), INDEX($AB$1004:$AQ$1004,1,MATCH(COLUMNS($AB$1006:AB1006),$AB$1006:$AQ$1006,0)))),"Fix")))</f>
        <v>0</v>
      </c>
      <c r="C616" s="5">
        <f>IF(OR(INDEX($V$2:$V$1001,MATCH(ROWS($U$2:U616),$U$2:$U$1001,0),1)&gt;=100000,INDEX($AB$1005:$AQ$1005,1,MATCH(COLUMNS($AB$1006:AC1006),$AB$1006:$AQ$1006,0))&gt;=100000), " ",IF(INDEX($AB$2:$AQ$1001,MATCH(ROWS($U$2:U616),$U$2:$U$1001,0),MATCH(COLUMNS($AB$1006:AC1006),$AB$1006:$AQ$1006,0)), HYPERLINK("#",""), HYPERLINK(CONCATENATE("#Metadata!", ADDRESS(INDEX($W$2:$W$1001,MATCH(ROWS($U$2:U616),$U$2:$U$1001,0),0), INDEX($AB$1004:$AQ$1004,1,MATCH(COLUMNS($AB$1006:AC1006),$AB$1006:$AQ$1006,0)))),"Fix")))</f>
        <v>0</v>
      </c>
      <c r="D616" s="5">
        <f>IF(OR(INDEX($V$2:$V$1001,MATCH(ROWS($U$2:U616),$U$2:$U$1001,0),1)&gt;=100000,INDEX($AB$1005:$AQ$1005,1,MATCH(COLUMNS($AB$1006:AD1006),$AB$1006:$AQ$1006,0))&gt;=100000), " ",IF(INDEX($AB$2:$AQ$1001,MATCH(ROWS($U$2:U616),$U$2:$U$1001,0),MATCH(COLUMNS($AB$1006:AD1006),$AB$1006:$AQ$1006,0)), HYPERLINK("#",""), HYPERLINK(CONCATENATE("#Metadata!", ADDRESS(INDEX($W$2:$W$1001,MATCH(ROWS($U$2:U616),$U$2:$U$1001,0),0), INDEX($AB$1004:$AQ$1004,1,MATCH(COLUMNS($AB$1006:AD1006),$AB$1006:$AQ$1006,0)))),"Fix")))</f>
        <v>0</v>
      </c>
      <c r="E616" s="5">
        <f>IF(OR(INDEX($V$2:$V$1001,MATCH(ROWS($U$2:U616),$U$2:$U$1001,0),1)&gt;=100000,INDEX($AB$1005:$AQ$1005,1,MATCH(COLUMNS($AB$1006:AE1006),$AB$1006:$AQ$1006,0))&gt;=100000), " ",IF(INDEX($AB$2:$AQ$1001,MATCH(ROWS($U$2:U616),$U$2:$U$1001,0),MATCH(COLUMNS($AB$1006:AE1006),$AB$1006:$AQ$1006,0)), HYPERLINK("#",""), HYPERLINK(CONCATENATE("#Metadata!", ADDRESS(INDEX($W$2:$W$1001,MATCH(ROWS($U$2:U616),$U$2:$U$1001,0),0), INDEX($AB$1004:$AQ$1004,1,MATCH(COLUMNS($AB$1006:AE1006),$AB$1006:$AQ$1006,0)))),"Fix")))</f>
        <v>0</v>
      </c>
      <c r="F616" s="5">
        <f>IF(OR(INDEX($V$2:$V$1001,MATCH(ROWS($U$2:U616),$U$2:$U$1001,0),1)&gt;=100000,INDEX($AB$1005:$AQ$1005,1,MATCH(COLUMNS($AB$1006:AF1006),$AB$1006:$AQ$1006,0))&gt;=100000), " ",IF(INDEX($AB$2:$AQ$1001,MATCH(ROWS($U$2:U616),$U$2:$U$1001,0),MATCH(COLUMNS($AB$1006:AF1006),$AB$1006:$AQ$1006,0)), HYPERLINK("#",""), HYPERLINK(CONCATENATE("#Metadata!", ADDRESS(INDEX($W$2:$W$1001,MATCH(ROWS($U$2:U616),$U$2:$U$1001,0),0), INDEX($AB$1004:$AQ$1004,1,MATCH(COLUMNS($AB$1006:AF1006),$AB$1006:$AQ$1006,0)))),"Fix")))</f>
        <v>0</v>
      </c>
      <c r="G616" s="5">
        <f>IF(OR(INDEX($V$2:$V$1001,MATCH(ROWS($U$2:U616),$U$2:$U$1001,0),1)&gt;=100000,INDEX($AB$1005:$AQ$1005,1,MATCH(COLUMNS($AB$1006:AG1006),$AB$1006:$AQ$1006,0))&gt;=100000), " ",IF(INDEX($AB$2:$AQ$1001,MATCH(ROWS($U$2:U616),$U$2:$U$1001,0),MATCH(COLUMNS($AB$1006:AG1006),$AB$1006:$AQ$1006,0)), HYPERLINK("#",""), HYPERLINK(CONCATENATE("#Metadata!", ADDRESS(INDEX($W$2:$W$1001,MATCH(ROWS($U$2:U616),$U$2:$U$1001,0),0), INDEX($AB$1004:$AQ$1004,1,MATCH(COLUMNS($AB$1006:AG1006),$AB$1006:$AQ$1006,0)))),"Fix")))</f>
        <v>0</v>
      </c>
      <c r="H616" s="5">
        <f>IF(OR(INDEX($V$2:$V$1001,MATCH(ROWS($U$2:U616),$U$2:$U$1001,0),1)&gt;=100000,INDEX($AB$1005:$AQ$1005,1,MATCH(COLUMNS($AB$1006:AH1006),$AB$1006:$AQ$1006,0))&gt;=100000), " ",IF(INDEX($AB$2:$AQ$1001,MATCH(ROWS($U$2:U616),$U$2:$U$1001,0),MATCH(COLUMNS($AB$1006:AH1006),$AB$1006:$AQ$1006,0)), HYPERLINK("#",""), HYPERLINK(CONCATENATE("#Metadata!", ADDRESS(INDEX($W$2:$W$1001,MATCH(ROWS($U$2:U616),$U$2:$U$1001,0),0), INDEX($AB$1004:$AQ$1004,1,MATCH(COLUMNS($AB$1006:AH1006),$AB$1006:$AQ$1006,0)))),"Fix")))</f>
        <v>0</v>
      </c>
      <c r="I616" s="5">
        <f>IF(OR(INDEX($V$2:$V$1001,MATCH(ROWS($U$2:U616),$U$2:$U$1001,0),1)&gt;=100000,INDEX($AB$1005:$AQ$1005,1,MATCH(COLUMNS($AB$1006:AI1006),$AB$1006:$AQ$1006,0))&gt;=100000), " ",IF(INDEX($AB$2:$AQ$1001,MATCH(ROWS($U$2:U616),$U$2:$U$1001,0),MATCH(COLUMNS($AB$1006:AI1006),$AB$1006:$AQ$1006,0)), HYPERLINK("#",""), HYPERLINK(CONCATENATE("#Metadata!", ADDRESS(INDEX($W$2:$W$1001,MATCH(ROWS($U$2:U616),$U$2:$U$1001,0),0), INDEX($AB$1004:$AQ$1004,1,MATCH(COLUMNS($AB$1006:AI1006),$AB$1006:$AQ$1006,0)))),"Fix")))</f>
        <v>0</v>
      </c>
      <c r="J616" s="5">
        <f>IF(OR(INDEX($V$2:$V$1001,MATCH(ROWS($U$2:U616),$U$2:$U$1001,0),1)&gt;=100000,INDEX($AB$1005:$AQ$1005,1,MATCH(COLUMNS($AB$1006:AJ1006),$AB$1006:$AQ$1006,0))&gt;=100000), " ",IF(INDEX($AB$2:$AQ$1001,MATCH(ROWS($U$2:U616),$U$2:$U$1001,0),MATCH(COLUMNS($AB$1006:AJ1006),$AB$1006:$AQ$1006,0)), HYPERLINK("#",""), HYPERLINK(CONCATENATE("#Metadata!", ADDRESS(INDEX($W$2:$W$1001,MATCH(ROWS($U$2:U616),$U$2:$U$1001,0),0), INDEX($AB$1004:$AQ$1004,1,MATCH(COLUMNS($AB$1006:AJ1006),$AB$1006:$AQ$1006,0)))),"Fix")))</f>
        <v>0</v>
      </c>
      <c r="K616" s="5">
        <f>IF(OR(INDEX($V$2:$V$1001,MATCH(ROWS($U$2:U616),$U$2:$U$1001,0),1)&gt;=100000,INDEX($AB$1005:$AQ$1005,1,MATCH(COLUMNS($AB$1006:AK1006),$AB$1006:$AQ$1006,0))&gt;=100000), " ",IF(INDEX($AB$2:$AQ$1001,MATCH(ROWS($U$2:U616),$U$2:$U$1001,0),MATCH(COLUMNS($AB$1006:AK1006),$AB$1006:$AQ$1006,0)), HYPERLINK("#",""), HYPERLINK(CONCATENATE("#Metadata!", ADDRESS(INDEX($W$2:$W$1001,MATCH(ROWS($U$2:U616),$U$2:$U$1001,0),0), INDEX($AB$1004:$AQ$1004,1,MATCH(COLUMNS($AB$1006:AK1006),$AB$1006:$AQ$1006,0)))),"Fix")))</f>
        <v>0</v>
      </c>
      <c r="L616" s="5">
        <f>IF(OR(INDEX($V$2:$V$1001,MATCH(ROWS($U$2:U616),$U$2:$U$1001,0),1)&gt;=100000,INDEX($AB$1005:$AQ$1005,1,MATCH(COLUMNS($AB$1006:AL1006),$AB$1006:$AQ$1006,0))&gt;=100000), " ",IF(INDEX($AB$2:$AQ$1001,MATCH(ROWS($U$2:U616),$U$2:$U$1001,0),MATCH(COLUMNS($AB$1006:AL1006),$AB$1006:$AQ$1006,0)), HYPERLINK("#",""), HYPERLINK(CONCATENATE("#Metadata!", ADDRESS(INDEX($W$2:$W$1001,MATCH(ROWS($U$2:U616),$U$2:$U$1001,0),0), INDEX($AB$1004:$AQ$1004,1,MATCH(COLUMNS($AB$1006:AL1006),$AB$1006:$AQ$1006,0)))),"Fix")))</f>
        <v>0</v>
      </c>
      <c r="M616" s="5">
        <f>IF(OR(INDEX($V$2:$V$1001,MATCH(ROWS($U$2:U616),$U$2:$U$1001,0),1)&gt;=100000,INDEX($AB$1005:$AQ$1005,1,MATCH(COLUMNS($AB$1006:AM1006),$AB$1006:$AQ$1006,0))&gt;=100000), " ",IF(INDEX($AB$2:$AQ$1001,MATCH(ROWS($U$2:U616),$U$2:$U$1001,0),MATCH(COLUMNS($AB$1006:AM1006),$AB$1006:$AQ$1006,0)), HYPERLINK("#",""), HYPERLINK(CONCATENATE("#Metadata!", ADDRESS(INDEX($W$2:$W$1001,MATCH(ROWS($U$2:U616),$U$2:$U$1001,0),0), INDEX($AB$1004:$AQ$1004,1,MATCH(COLUMNS($AB$1006:AM1006),$AB$1006:$AQ$1006,0)))),"Fix")))</f>
        <v>0</v>
      </c>
      <c r="N616" s="5">
        <f>IF(OR(INDEX($V$2:$V$1001,MATCH(ROWS($U$2:U616),$U$2:$U$1001,0),1)&gt;=100000,INDEX($AB$1005:$AQ$1005,1,MATCH(COLUMNS($AB$1006:AN1006),$AB$1006:$AQ$1006,0))&gt;=100000), " ",IF(INDEX($AB$2:$AQ$1001,MATCH(ROWS($U$2:U616),$U$2:$U$1001,0),MATCH(COLUMNS($AB$1006:AN1006),$AB$1006:$AQ$1006,0)), HYPERLINK("#",""), HYPERLINK(CONCATENATE("#Metadata!", ADDRESS(INDEX($W$2:$W$1001,MATCH(ROWS($U$2:U616),$U$2:$U$1001,0),0), INDEX($AB$1004:$AQ$1004,1,MATCH(COLUMNS($AB$1006:AN1006),$AB$1006:$AQ$1006,0)))),"Fix")))</f>
        <v>0</v>
      </c>
      <c r="O616" s="5">
        <f>IF(OR(INDEX($V$2:$V$1001,MATCH(ROWS($U$2:U616),$U$2:$U$1001,0),1)&gt;=100000,INDEX($AB$1005:$AQ$1005,1,MATCH(COLUMNS($AB$1006:AO1006),$AB$1006:$AQ$1006,0))&gt;=100000), " ",IF(INDEX($AB$2:$AQ$1001,MATCH(ROWS($U$2:U616),$U$2:$U$1001,0),MATCH(COLUMNS($AB$1006:AO1006),$AB$1006:$AQ$1006,0)), HYPERLINK("#",""), HYPERLINK(CONCATENATE("#Metadata!", ADDRESS(INDEX($W$2:$W$1001,MATCH(ROWS($U$2:U616),$U$2:$U$1001,0),0), INDEX($AB$1004:$AQ$1004,1,MATCH(COLUMNS($AB$1006:AO1006),$AB$1006:$AQ$1006,0)))),"Fix")))</f>
        <v>0</v>
      </c>
      <c r="P616" s="5">
        <f>IF(OR(INDEX($V$2:$V$1001,MATCH(ROWS($U$2:U616),$U$2:$U$1001,0),1)&gt;=100000,INDEX($AB$1005:$AQ$1005,1,MATCH(COLUMNS($AB$1006:AP1006),$AB$1006:$AQ$1006,0))&gt;=100000), " ",IF(INDEX($AB$2:$AQ$1001,MATCH(ROWS($U$2:U616),$U$2:$U$1001,0),MATCH(COLUMNS($AB$1006:AP1006),$AB$1006:$AQ$1006,0)), HYPERLINK("#",""), HYPERLINK(CONCATENATE("#Metadata!", ADDRESS(INDEX($W$2:$W$1001,MATCH(ROWS($U$2:U616),$U$2:$U$1001,0),0), INDEX($AB$1004:$AQ$1004,1,MATCH(COLUMNS($AB$1006:AP1006),$AB$1006:$AQ$1006,0)))),"Fix")))</f>
        <v>0</v>
      </c>
      <c r="Q616" s="5">
        <f>IF(OR(INDEX($V$2:$V$1001,MATCH(ROWS($U$2:U616),$U$2:$U$1001,0),1)&gt;=100000,INDEX($AB$1005:$AQ$1005,1,MATCH(COLUMNS($AB$1006:AQ1006),$AB$1006:$AQ$1006,0))&gt;=100000), " ",IF(INDEX($AB$2:$AQ$1001,MATCH(ROWS($U$2:U616),$U$2:$U$1001,0),MATCH(COLUMNS($AB$1006:AQ1006),$AB$1006:$AQ$1006,0)), HYPERLINK("#",""), HYPERLINK(CONCATENATE("#Metadata!", ADDRESS(INDEX($W$2:$W$1001,MATCH(ROWS($U$2:U616),$U$2:$U$1001,0),0), INDEX($AB$1004:$AQ$1004,1,MATCH(COLUMNS($AB$1006:AQ1006),$AB$1006:$AQ$1006,0)))),"Fix")))</f>
        <v>0</v>
      </c>
      <c r="U616">
        <v>0</v>
      </c>
      <c r="V616">
        <v>0</v>
      </c>
      <c r="W616">
        <v>0</v>
      </c>
      <c r="X616">
        <f>IF(Y616,TRUE,AND(AB616:AQ616))</f>
        <v>0</v>
      </c>
      <c r="Y616">
        <f>COUNTBLANK(Metadata!B616:Q616)=COLUMNS(Metadata!B616:Q616)</f>
        <v>0</v>
      </c>
      <c r="Z616">
        <v>0</v>
      </c>
      <c r="AB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AC616">
        <f>AND(IF(Metadata!C616="",FALSE,TRUE),exact(Metadata!C616,"urban biome"))</f>
        <v>0</v>
      </c>
      <c r="AD616">
        <f>AND(IF(Metadata!D616="",FALSE,TRUE),exact(Metadata!D616,"human-associated habitat"))</f>
        <v>0</v>
      </c>
      <c r="AE616">
        <f>AND(IF(Metadata!E616="",FALSE,TRUE),OR(exact(Metadata!E616,"human-associated"),exact(Metadata!E616,"human-skin"),exact(Metadata!E616,"human-oral"),exact(Metadata!E616,"human-gut"),exact(Metadata!E616,"human-vaginal")))</f>
        <v>0</v>
      </c>
      <c r="AF616">
        <f>AND(IF(Metadata!F616="",FALSE,ISNUMBER(VALUE(Metadata!F616))),Metadata!F616&gt;0)</f>
        <v>0</v>
      </c>
      <c r="AG616">
        <f>AND(IF(Metadata!G616="",FALSE,TRUE),exact(Metadata!G616,"years"))</f>
        <v>0</v>
      </c>
      <c r="AH616">
        <f>OR(AND(IF(Metadata!H616="",FALSE,TRUE),OR(exact(Metadata!H616,"not applicable"),exact(Metadata!H616,"not collected"),exact(Metadata!H616,"not provided"),exact(Metadata!H616,"restricted access"))),AND(IF(Metadata!H616="",FALSE,ISNUMBER(VALUE(Metadata!H616))),Metadata!H616&gt;0))</f>
        <v>0</v>
      </c>
      <c r="AI616">
        <f>AND(IF(Metadata!I616="",FALSE,TRUE),exact(Metadata!I616,"human"))</f>
        <v>0</v>
      </c>
      <c r="AJ616">
        <f>AND(IF(Metadata!J616="",FALSE,ISNUMBER(VALUE(Metadata!J616))),Metadata!J616&gt;0)</f>
        <v>0</v>
      </c>
      <c r="AK616">
        <f>AND(IF(Metadata!K616="",FALSE,TRUE),exact(Metadata!K616,"cm"))</f>
        <v>0</v>
      </c>
      <c r="AL616">
        <f>AND(IF(Metadata!L616="",FALSE,TRUE),exact(Metadata!L616,"Homo sapiens"))</f>
        <v>0</v>
      </c>
      <c r="AM616">
        <f>AND(IF(Metadata!M616="",FALSE,TRUE),exact(Metadata!M616,"9606"))</f>
        <v>0</v>
      </c>
      <c r="AN616">
        <f>AND(IF(Metadata!N616="",FALSE,ISNUMBER(VALUE(Metadata!N616))),Metadata!N616&gt;0)</f>
        <v>0</v>
      </c>
      <c r="AO616">
        <f>AND(IF(Metadata!O616="",FALSE,TRUE),exact(Metadata!O616,"kg"))</f>
        <v>0</v>
      </c>
      <c r="AP616">
        <f>OR(AND(IF(Metadata!P616="",FALSE,TRUE),exact(Metadata!P616,"not provided")),IF(Metadata!P616="",FALSE,TRUE))</f>
        <v>0</v>
      </c>
      <c r="AQ616">
        <f>OR(AND(IF(Metadata!Q616="",FALSE,TRUE),exact(Metadata!Q616,"not provided")),IF(Metadata!Q616="",FALSE,TRUE))</f>
        <v>0</v>
      </c>
    </row>
    <row r="617" spans="1:43">
      <c r="A617" s="4">
        <f>IF(B617=" "," ",HYPERLINK(CONCATENATE("#metadata!",ADDRESS(INDEX($W$2:$W$1001,MATCH(ROWS($U$2:U617),$U$2:$U$1001,0),0),2)),INDEX($Z$2:$Z$1001,MATCH(ROWS($U$2:U617),$U$2:$U$1001,0),0)))</f>
        <v>0</v>
      </c>
      <c r="B617" s="5">
        <f>IF(OR(INDEX($V$2:$V$1001,MATCH(ROWS($U$2:U617),$U$2:$U$1001,0),1)&gt;=100000,INDEX($AB$1005:$AQ$1005,1,MATCH(COLUMNS($AB$1006:AB1006),$AB$1006:$AQ$1006,0))&gt;=100000), " ",IF(INDEX($AB$2:$AQ$1001,MATCH(ROWS($U$2:U617),$U$2:$U$1001,0),MATCH(COLUMNS($AB$1006:AB1006),$AB$1006:$AQ$1006,0)), HYPERLINK("#",""), HYPERLINK(CONCATENATE("#Metadata!", ADDRESS(INDEX($W$2:$W$1001,MATCH(ROWS($U$2:U617),$U$2:$U$1001,0),0), INDEX($AB$1004:$AQ$1004,1,MATCH(COLUMNS($AB$1006:AB1006),$AB$1006:$AQ$1006,0)))),"Fix")))</f>
        <v>0</v>
      </c>
      <c r="C617" s="5">
        <f>IF(OR(INDEX($V$2:$V$1001,MATCH(ROWS($U$2:U617),$U$2:$U$1001,0),1)&gt;=100000,INDEX($AB$1005:$AQ$1005,1,MATCH(COLUMNS($AB$1006:AC1006),$AB$1006:$AQ$1006,0))&gt;=100000), " ",IF(INDEX($AB$2:$AQ$1001,MATCH(ROWS($U$2:U617),$U$2:$U$1001,0),MATCH(COLUMNS($AB$1006:AC1006),$AB$1006:$AQ$1006,0)), HYPERLINK("#",""), HYPERLINK(CONCATENATE("#Metadata!", ADDRESS(INDEX($W$2:$W$1001,MATCH(ROWS($U$2:U617),$U$2:$U$1001,0),0), INDEX($AB$1004:$AQ$1004,1,MATCH(COLUMNS($AB$1006:AC1006),$AB$1006:$AQ$1006,0)))),"Fix")))</f>
        <v>0</v>
      </c>
      <c r="D617" s="5">
        <f>IF(OR(INDEX($V$2:$V$1001,MATCH(ROWS($U$2:U617),$U$2:$U$1001,0),1)&gt;=100000,INDEX($AB$1005:$AQ$1005,1,MATCH(COLUMNS($AB$1006:AD1006),$AB$1006:$AQ$1006,0))&gt;=100000), " ",IF(INDEX($AB$2:$AQ$1001,MATCH(ROWS($U$2:U617),$U$2:$U$1001,0),MATCH(COLUMNS($AB$1006:AD1006),$AB$1006:$AQ$1006,0)), HYPERLINK("#",""), HYPERLINK(CONCATENATE("#Metadata!", ADDRESS(INDEX($W$2:$W$1001,MATCH(ROWS($U$2:U617),$U$2:$U$1001,0),0), INDEX($AB$1004:$AQ$1004,1,MATCH(COLUMNS($AB$1006:AD1006),$AB$1006:$AQ$1006,0)))),"Fix")))</f>
        <v>0</v>
      </c>
      <c r="E617" s="5">
        <f>IF(OR(INDEX($V$2:$V$1001,MATCH(ROWS($U$2:U617),$U$2:$U$1001,0),1)&gt;=100000,INDEX($AB$1005:$AQ$1005,1,MATCH(COLUMNS($AB$1006:AE1006),$AB$1006:$AQ$1006,0))&gt;=100000), " ",IF(INDEX($AB$2:$AQ$1001,MATCH(ROWS($U$2:U617),$U$2:$U$1001,0),MATCH(COLUMNS($AB$1006:AE1006),$AB$1006:$AQ$1006,0)), HYPERLINK("#",""), HYPERLINK(CONCATENATE("#Metadata!", ADDRESS(INDEX($W$2:$W$1001,MATCH(ROWS($U$2:U617),$U$2:$U$1001,0),0), INDEX($AB$1004:$AQ$1004,1,MATCH(COLUMNS($AB$1006:AE1006),$AB$1006:$AQ$1006,0)))),"Fix")))</f>
        <v>0</v>
      </c>
      <c r="F617" s="5">
        <f>IF(OR(INDEX($V$2:$V$1001,MATCH(ROWS($U$2:U617),$U$2:$U$1001,0),1)&gt;=100000,INDEX($AB$1005:$AQ$1005,1,MATCH(COLUMNS($AB$1006:AF1006),$AB$1006:$AQ$1006,0))&gt;=100000), " ",IF(INDEX($AB$2:$AQ$1001,MATCH(ROWS($U$2:U617),$U$2:$U$1001,0),MATCH(COLUMNS($AB$1006:AF1006),$AB$1006:$AQ$1006,0)), HYPERLINK("#",""), HYPERLINK(CONCATENATE("#Metadata!", ADDRESS(INDEX($W$2:$W$1001,MATCH(ROWS($U$2:U617),$U$2:$U$1001,0),0), INDEX($AB$1004:$AQ$1004,1,MATCH(COLUMNS($AB$1006:AF1006),$AB$1006:$AQ$1006,0)))),"Fix")))</f>
        <v>0</v>
      </c>
      <c r="G617" s="5">
        <f>IF(OR(INDEX($V$2:$V$1001,MATCH(ROWS($U$2:U617),$U$2:$U$1001,0),1)&gt;=100000,INDEX($AB$1005:$AQ$1005,1,MATCH(COLUMNS($AB$1006:AG1006),$AB$1006:$AQ$1006,0))&gt;=100000), " ",IF(INDEX($AB$2:$AQ$1001,MATCH(ROWS($U$2:U617),$U$2:$U$1001,0),MATCH(COLUMNS($AB$1006:AG1006),$AB$1006:$AQ$1006,0)), HYPERLINK("#",""), HYPERLINK(CONCATENATE("#Metadata!", ADDRESS(INDEX($W$2:$W$1001,MATCH(ROWS($U$2:U617),$U$2:$U$1001,0),0), INDEX($AB$1004:$AQ$1004,1,MATCH(COLUMNS($AB$1006:AG1006),$AB$1006:$AQ$1006,0)))),"Fix")))</f>
        <v>0</v>
      </c>
      <c r="H617" s="5">
        <f>IF(OR(INDEX($V$2:$V$1001,MATCH(ROWS($U$2:U617),$U$2:$U$1001,0),1)&gt;=100000,INDEX($AB$1005:$AQ$1005,1,MATCH(COLUMNS($AB$1006:AH1006),$AB$1006:$AQ$1006,0))&gt;=100000), " ",IF(INDEX($AB$2:$AQ$1001,MATCH(ROWS($U$2:U617),$U$2:$U$1001,0),MATCH(COLUMNS($AB$1006:AH1006),$AB$1006:$AQ$1006,0)), HYPERLINK("#",""), HYPERLINK(CONCATENATE("#Metadata!", ADDRESS(INDEX($W$2:$W$1001,MATCH(ROWS($U$2:U617),$U$2:$U$1001,0),0), INDEX($AB$1004:$AQ$1004,1,MATCH(COLUMNS($AB$1006:AH1006),$AB$1006:$AQ$1006,0)))),"Fix")))</f>
        <v>0</v>
      </c>
      <c r="I617" s="5">
        <f>IF(OR(INDEX($V$2:$V$1001,MATCH(ROWS($U$2:U617),$U$2:$U$1001,0),1)&gt;=100000,INDEX($AB$1005:$AQ$1005,1,MATCH(COLUMNS($AB$1006:AI1006),$AB$1006:$AQ$1006,0))&gt;=100000), " ",IF(INDEX($AB$2:$AQ$1001,MATCH(ROWS($U$2:U617),$U$2:$U$1001,0),MATCH(COLUMNS($AB$1006:AI1006),$AB$1006:$AQ$1006,0)), HYPERLINK("#",""), HYPERLINK(CONCATENATE("#Metadata!", ADDRESS(INDEX($W$2:$W$1001,MATCH(ROWS($U$2:U617),$U$2:$U$1001,0),0), INDEX($AB$1004:$AQ$1004,1,MATCH(COLUMNS($AB$1006:AI1006),$AB$1006:$AQ$1006,0)))),"Fix")))</f>
        <v>0</v>
      </c>
      <c r="J617" s="5">
        <f>IF(OR(INDEX($V$2:$V$1001,MATCH(ROWS($U$2:U617),$U$2:$U$1001,0),1)&gt;=100000,INDEX($AB$1005:$AQ$1005,1,MATCH(COLUMNS($AB$1006:AJ1006),$AB$1006:$AQ$1006,0))&gt;=100000), " ",IF(INDEX($AB$2:$AQ$1001,MATCH(ROWS($U$2:U617),$U$2:$U$1001,0),MATCH(COLUMNS($AB$1006:AJ1006),$AB$1006:$AQ$1006,0)), HYPERLINK("#",""), HYPERLINK(CONCATENATE("#Metadata!", ADDRESS(INDEX($W$2:$W$1001,MATCH(ROWS($U$2:U617),$U$2:$U$1001,0),0), INDEX($AB$1004:$AQ$1004,1,MATCH(COLUMNS($AB$1006:AJ1006),$AB$1006:$AQ$1006,0)))),"Fix")))</f>
        <v>0</v>
      </c>
      <c r="K617" s="5">
        <f>IF(OR(INDEX($V$2:$V$1001,MATCH(ROWS($U$2:U617),$U$2:$U$1001,0),1)&gt;=100000,INDEX($AB$1005:$AQ$1005,1,MATCH(COLUMNS($AB$1006:AK1006),$AB$1006:$AQ$1006,0))&gt;=100000), " ",IF(INDEX($AB$2:$AQ$1001,MATCH(ROWS($U$2:U617),$U$2:$U$1001,0),MATCH(COLUMNS($AB$1006:AK1006),$AB$1006:$AQ$1006,0)), HYPERLINK("#",""), HYPERLINK(CONCATENATE("#Metadata!", ADDRESS(INDEX($W$2:$W$1001,MATCH(ROWS($U$2:U617),$U$2:$U$1001,0),0), INDEX($AB$1004:$AQ$1004,1,MATCH(COLUMNS($AB$1006:AK1006),$AB$1006:$AQ$1006,0)))),"Fix")))</f>
        <v>0</v>
      </c>
      <c r="L617" s="5">
        <f>IF(OR(INDEX($V$2:$V$1001,MATCH(ROWS($U$2:U617),$U$2:$U$1001,0),1)&gt;=100000,INDEX($AB$1005:$AQ$1005,1,MATCH(COLUMNS($AB$1006:AL1006),$AB$1006:$AQ$1006,0))&gt;=100000), " ",IF(INDEX($AB$2:$AQ$1001,MATCH(ROWS($U$2:U617),$U$2:$U$1001,0),MATCH(COLUMNS($AB$1006:AL1006),$AB$1006:$AQ$1006,0)), HYPERLINK("#",""), HYPERLINK(CONCATENATE("#Metadata!", ADDRESS(INDEX($W$2:$W$1001,MATCH(ROWS($U$2:U617),$U$2:$U$1001,0),0), INDEX($AB$1004:$AQ$1004,1,MATCH(COLUMNS($AB$1006:AL1006),$AB$1006:$AQ$1006,0)))),"Fix")))</f>
        <v>0</v>
      </c>
      <c r="M617" s="5">
        <f>IF(OR(INDEX($V$2:$V$1001,MATCH(ROWS($U$2:U617),$U$2:$U$1001,0),1)&gt;=100000,INDEX($AB$1005:$AQ$1005,1,MATCH(COLUMNS($AB$1006:AM1006),$AB$1006:$AQ$1006,0))&gt;=100000), " ",IF(INDEX($AB$2:$AQ$1001,MATCH(ROWS($U$2:U617),$U$2:$U$1001,0),MATCH(COLUMNS($AB$1006:AM1006),$AB$1006:$AQ$1006,0)), HYPERLINK("#",""), HYPERLINK(CONCATENATE("#Metadata!", ADDRESS(INDEX($W$2:$W$1001,MATCH(ROWS($U$2:U617),$U$2:$U$1001,0),0), INDEX($AB$1004:$AQ$1004,1,MATCH(COLUMNS($AB$1006:AM1006),$AB$1006:$AQ$1006,0)))),"Fix")))</f>
        <v>0</v>
      </c>
      <c r="N617" s="5">
        <f>IF(OR(INDEX($V$2:$V$1001,MATCH(ROWS($U$2:U617),$U$2:$U$1001,0),1)&gt;=100000,INDEX($AB$1005:$AQ$1005,1,MATCH(COLUMNS($AB$1006:AN1006),$AB$1006:$AQ$1006,0))&gt;=100000), " ",IF(INDEX($AB$2:$AQ$1001,MATCH(ROWS($U$2:U617),$U$2:$U$1001,0),MATCH(COLUMNS($AB$1006:AN1006),$AB$1006:$AQ$1006,0)), HYPERLINK("#",""), HYPERLINK(CONCATENATE("#Metadata!", ADDRESS(INDEX($W$2:$W$1001,MATCH(ROWS($U$2:U617),$U$2:$U$1001,0),0), INDEX($AB$1004:$AQ$1004,1,MATCH(COLUMNS($AB$1006:AN1006),$AB$1006:$AQ$1006,0)))),"Fix")))</f>
        <v>0</v>
      </c>
      <c r="O617" s="5">
        <f>IF(OR(INDEX($V$2:$V$1001,MATCH(ROWS($U$2:U617),$U$2:$U$1001,0),1)&gt;=100000,INDEX($AB$1005:$AQ$1005,1,MATCH(COLUMNS($AB$1006:AO1006),$AB$1006:$AQ$1006,0))&gt;=100000), " ",IF(INDEX($AB$2:$AQ$1001,MATCH(ROWS($U$2:U617),$U$2:$U$1001,0),MATCH(COLUMNS($AB$1006:AO1006),$AB$1006:$AQ$1006,0)), HYPERLINK("#",""), HYPERLINK(CONCATENATE("#Metadata!", ADDRESS(INDEX($W$2:$W$1001,MATCH(ROWS($U$2:U617),$U$2:$U$1001,0),0), INDEX($AB$1004:$AQ$1004,1,MATCH(COLUMNS($AB$1006:AO1006),$AB$1006:$AQ$1006,0)))),"Fix")))</f>
        <v>0</v>
      </c>
      <c r="P617" s="5">
        <f>IF(OR(INDEX($V$2:$V$1001,MATCH(ROWS($U$2:U617),$U$2:$U$1001,0),1)&gt;=100000,INDEX($AB$1005:$AQ$1005,1,MATCH(COLUMNS($AB$1006:AP1006),$AB$1006:$AQ$1006,0))&gt;=100000), " ",IF(INDEX($AB$2:$AQ$1001,MATCH(ROWS($U$2:U617),$U$2:$U$1001,0),MATCH(COLUMNS($AB$1006:AP1006),$AB$1006:$AQ$1006,0)), HYPERLINK("#",""), HYPERLINK(CONCATENATE("#Metadata!", ADDRESS(INDEX($W$2:$W$1001,MATCH(ROWS($U$2:U617),$U$2:$U$1001,0),0), INDEX($AB$1004:$AQ$1004,1,MATCH(COLUMNS($AB$1006:AP1006),$AB$1006:$AQ$1006,0)))),"Fix")))</f>
        <v>0</v>
      </c>
      <c r="Q617" s="5">
        <f>IF(OR(INDEX($V$2:$V$1001,MATCH(ROWS($U$2:U617),$U$2:$U$1001,0),1)&gt;=100000,INDEX($AB$1005:$AQ$1005,1,MATCH(COLUMNS($AB$1006:AQ1006),$AB$1006:$AQ$1006,0))&gt;=100000), " ",IF(INDEX($AB$2:$AQ$1001,MATCH(ROWS($U$2:U617),$U$2:$U$1001,0),MATCH(COLUMNS($AB$1006:AQ1006),$AB$1006:$AQ$1006,0)), HYPERLINK("#",""), HYPERLINK(CONCATENATE("#Metadata!", ADDRESS(INDEX($W$2:$W$1001,MATCH(ROWS($U$2:U617),$U$2:$U$1001,0),0), INDEX($AB$1004:$AQ$1004,1,MATCH(COLUMNS($AB$1006:AQ1006),$AB$1006:$AQ$1006,0)))),"Fix")))</f>
        <v>0</v>
      </c>
      <c r="U617">
        <v>0</v>
      </c>
      <c r="V617">
        <v>0</v>
      </c>
      <c r="W617">
        <v>0</v>
      </c>
      <c r="X617">
        <f>IF(Y617,TRUE,AND(AB617:AQ617))</f>
        <v>0</v>
      </c>
      <c r="Y617">
        <f>COUNTBLANK(Metadata!B617:Q617)=COLUMNS(Metadata!B617:Q617)</f>
        <v>0</v>
      </c>
      <c r="Z617">
        <v>0</v>
      </c>
      <c r="AB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AC617">
        <f>AND(IF(Metadata!C617="",FALSE,TRUE),exact(Metadata!C617,"urban biome"))</f>
        <v>0</v>
      </c>
      <c r="AD617">
        <f>AND(IF(Metadata!D617="",FALSE,TRUE),exact(Metadata!D617,"human-associated habitat"))</f>
        <v>0</v>
      </c>
      <c r="AE617">
        <f>AND(IF(Metadata!E617="",FALSE,TRUE),OR(exact(Metadata!E617,"human-associated"),exact(Metadata!E617,"human-skin"),exact(Metadata!E617,"human-oral"),exact(Metadata!E617,"human-gut"),exact(Metadata!E617,"human-vaginal")))</f>
        <v>0</v>
      </c>
      <c r="AF617">
        <f>AND(IF(Metadata!F617="",FALSE,ISNUMBER(VALUE(Metadata!F617))),Metadata!F617&gt;0)</f>
        <v>0</v>
      </c>
      <c r="AG617">
        <f>AND(IF(Metadata!G617="",FALSE,TRUE),exact(Metadata!G617,"years"))</f>
        <v>0</v>
      </c>
      <c r="AH617">
        <f>OR(AND(IF(Metadata!H617="",FALSE,TRUE),OR(exact(Metadata!H617,"not applicable"),exact(Metadata!H617,"not collected"),exact(Metadata!H617,"not provided"),exact(Metadata!H617,"restricted access"))),AND(IF(Metadata!H617="",FALSE,ISNUMBER(VALUE(Metadata!H617))),Metadata!H617&gt;0))</f>
        <v>0</v>
      </c>
      <c r="AI617">
        <f>AND(IF(Metadata!I617="",FALSE,TRUE),exact(Metadata!I617,"human"))</f>
        <v>0</v>
      </c>
      <c r="AJ617">
        <f>AND(IF(Metadata!J617="",FALSE,ISNUMBER(VALUE(Metadata!J617))),Metadata!J617&gt;0)</f>
        <v>0</v>
      </c>
      <c r="AK617">
        <f>AND(IF(Metadata!K617="",FALSE,TRUE),exact(Metadata!K617,"cm"))</f>
        <v>0</v>
      </c>
      <c r="AL617">
        <f>AND(IF(Metadata!L617="",FALSE,TRUE),exact(Metadata!L617,"Homo sapiens"))</f>
        <v>0</v>
      </c>
      <c r="AM617">
        <f>AND(IF(Metadata!M617="",FALSE,TRUE),exact(Metadata!M617,"9606"))</f>
        <v>0</v>
      </c>
      <c r="AN617">
        <f>AND(IF(Metadata!N617="",FALSE,ISNUMBER(VALUE(Metadata!N617))),Metadata!N617&gt;0)</f>
        <v>0</v>
      </c>
      <c r="AO617">
        <f>AND(IF(Metadata!O617="",FALSE,TRUE),exact(Metadata!O617,"kg"))</f>
        <v>0</v>
      </c>
      <c r="AP617">
        <f>OR(AND(IF(Metadata!P617="",FALSE,TRUE),exact(Metadata!P617,"not provided")),IF(Metadata!P617="",FALSE,TRUE))</f>
        <v>0</v>
      </c>
      <c r="AQ617">
        <f>OR(AND(IF(Metadata!Q617="",FALSE,TRUE),exact(Metadata!Q617,"not provided")),IF(Metadata!Q617="",FALSE,TRUE))</f>
        <v>0</v>
      </c>
    </row>
    <row r="618" spans="1:43">
      <c r="A618" s="4">
        <f>IF(B618=" "," ",HYPERLINK(CONCATENATE("#metadata!",ADDRESS(INDEX($W$2:$W$1001,MATCH(ROWS($U$2:U618),$U$2:$U$1001,0),0),2)),INDEX($Z$2:$Z$1001,MATCH(ROWS($U$2:U618),$U$2:$U$1001,0),0)))</f>
        <v>0</v>
      </c>
      <c r="B618" s="5">
        <f>IF(OR(INDEX($V$2:$V$1001,MATCH(ROWS($U$2:U618),$U$2:$U$1001,0),1)&gt;=100000,INDEX($AB$1005:$AQ$1005,1,MATCH(COLUMNS($AB$1006:AB1006),$AB$1006:$AQ$1006,0))&gt;=100000), " ",IF(INDEX($AB$2:$AQ$1001,MATCH(ROWS($U$2:U618),$U$2:$U$1001,0),MATCH(COLUMNS($AB$1006:AB1006),$AB$1006:$AQ$1006,0)), HYPERLINK("#",""), HYPERLINK(CONCATENATE("#Metadata!", ADDRESS(INDEX($W$2:$W$1001,MATCH(ROWS($U$2:U618),$U$2:$U$1001,0),0), INDEX($AB$1004:$AQ$1004,1,MATCH(COLUMNS($AB$1006:AB1006),$AB$1006:$AQ$1006,0)))),"Fix")))</f>
        <v>0</v>
      </c>
      <c r="C618" s="5">
        <f>IF(OR(INDEX($V$2:$V$1001,MATCH(ROWS($U$2:U618),$U$2:$U$1001,0),1)&gt;=100000,INDEX($AB$1005:$AQ$1005,1,MATCH(COLUMNS($AB$1006:AC1006),$AB$1006:$AQ$1006,0))&gt;=100000), " ",IF(INDEX($AB$2:$AQ$1001,MATCH(ROWS($U$2:U618),$U$2:$U$1001,0),MATCH(COLUMNS($AB$1006:AC1006),$AB$1006:$AQ$1006,0)), HYPERLINK("#",""), HYPERLINK(CONCATENATE("#Metadata!", ADDRESS(INDEX($W$2:$W$1001,MATCH(ROWS($U$2:U618),$U$2:$U$1001,0),0), INDEX($AB$1004:$AQ$1004,1,MATCH(COLUMNS($AB$1006:AC1006),$AB$1006:$AQ$1006,0)))),"Fix")))</f>
        <v>0</v>
      </c>
      <c r="D618" s="5">
        <f>IF(OR(INDEX($V$2:$V$1001,MATCH(ROWS($U$2:U618),$U$2:$U$1001,0),1)&gt;=100000,INDEX($AB$1005:$AQ$1005,1,MATCH(COLUMNS($AB$1006:AD1006),$AB$1006:$AQ$1006,0))&gt;=100000), " ",IF(INDEX($AB$2:$AQ$1001,MATCH(ROWS($U$2:U618),$U$2:$U$1001,0),MATCH(COLUMNS($AB$1006:AD1006),$AB$1006:$AQ$1006,0)), HYPERLINK("#",""), HYPERLINK(CONCATENATE("#Metadata!", ADDRESS(INDEX($W$2:$W$1001,MATCH(ROWS($U$2:U618),$U$2:$U$1001,0),0), INDEX($AB$1004:$AQ$1004,1,MATCH(COLUMNS($AB$1006:AD1006),$AB$1006:$AQ$1006,0)))),"Fix")))</f>
        <v>0</v>
      </c>
      <c r="E618" s="5">
        <f>IF(OR(INDEX($V$2:$V$1001,MATCH(ROWS($U$2:U618),$U$2:$U$1001,0),1)&gt;=100000,INDEX($AB$1005:$AQ$1005,1,MATCH(COLUMNS($AB$1006:AE1006),$AB$1006:$AQ$1006,0))&gt;=100000), " ",IF(INDEX($AB$2:$AQ$1001,MATCH(ROWS($U$2:U618),$U$2:$U$1001,0),MATCH(COLUMNS($AB$1006:AE1006),$AB$1006:$AQ$1006,0)), HYPERLINK("#",""), HYPERLINK(CONCATENATE("#Metadata!", ADDRESS(INDEX($W$2:$W$1001,MATCH(ROWS($U$2:U618),$U$2:$U$1001,0),0), INDEX($AB$1004:$AQ$1004,1,MATCH(COLUMNS($AB$1006:AE1006),$AB$1006:$AQ$1006,0)))),"Fix")))</f>
        <v>0</v>
      </c>
      <c r="F618" s="5">
        <f>IF(OR(INDEX($V$2:$V$1001,MATCH(ROWS($U$2:U618),$U$2:$U$1001,0),1)&gt;=100000,INDEX($AB$1005:$AQ$1005,1,MATCH(COLUMNS($AB$1006:AF1006),$AB$1006:$AQ$1006,0))&gt;=100000), " ",IF(INDEX($AB$2:$AQ$1001,MATCH(ROWS($U$2:U618),$U$2:$U$1001,0),MATCH(COLUMNS($AB$1006:AF1006),$AB$1006:$AQ$1006,0)), HYPERLINK("#",""), HYPERLINK(CONCATENATE("#Metadata!", ADDRESS(INDEX($W$2:$W$1001,MATCH(ROWS($U$2:U618),$U$2:$U$1001,0),0), INDEX($AB$1004:$AQ$1004,1,MATCH(COLUMNS($AB$1006:AF1006),$AB$1006:$AQ$1006,0)))),"Fix")))</f>
        <v>0</v>
      </c>
      <c r="G618" s="5">
        <f>IF(OR(INDEX($V$2:$V$1001,MATCH(ROWS($U$2:U618),$U$2:$U$1001,0),1)&gt;=100000,INDEX($AB$1005:$AQ$1005,1,MATCH(COLUMNS($AB$1006:AG1006),$AB$1006:$AQ$1006,0))&gt;=100000), " ",IF(INDEX($AB$2:$AQ$1001,MATCH(ROWS($U$2:U618),$U$2:$U$1001,0),MATCH(COLUMNS($AB$1006:AG1006),$AB$1006:$AQ$1006,0)), HYPERLINK("#",""), HYPERLINK(CONCATENATE("#Metadata!", ADDRESS(INDEX($W$2:$W$1001,MATCH(ROWS($U$2:U618),$U$2:$U$1001,0),0), INDEX($AB$1004:$AQ$1004,1,MATCH(COLUMNS($AB$1006:AG1006),$AB$1006:$AQ$1006,0)))),"Fix")))</f>
        <v>0</v>
      </c>
      <c r="H618" s="5">
        <f>IF(OR(INDEX($V$2:$V$1001,MATCH(ROWS($U$2:U618),$U$2:$U$1001,0),1)&gt;=100000,INDEX($AB$1005:$AQ$1005,1,MATCH(COLUMNS($AB$1006:AH1006),$AB$1006:$AQ$1006,0))&gt;=100000), " ",IF(INDEX($AB$2:$AQ$1001,MATCH(ROWS($U$2:U618),$U$2:$U$1001,0),MATCH(COLUMNS($AB$1006:AH1006),$AB$1006:$AQ$1006,0)), HYPERLINK("#",""), HYPERLINK(CONCATENATE("#Metadata!", ADDRESS(INDEX($W$2:$W$1001,MATCH(ROWS($U$2:U618),$U$2:$U$1001,0),0), INDEX($AB$1004:$AQ$1004,1,MATCH(COLUMNS($AB$1006:AH1006),$AB$1006:$AQ$1006,0)))),"Fix")))</f>
        <v>0</v>
      </c>
      <c r="I618" s="5">
        <f>IF(OR(INDEX($V$2:$V$1001,MATCH(ROWS($U$2:U618),$U$2:$U$1001,0),1)&gt;=100000,INDEX($AB$1005:$AQ$1005,1,MATCH(COLUMNS($AB$1006:AI1006),$AB$1006:$AQ$1006,0))&gt;=100000), " ",IF(INDEX($AB$2:$AQ$1001,MATCH(ROWS($U$2:U618),$U$2:$U$1001,0),MATCH(COLUMNS($AB$1006:AI1006),$AB$1006:$AQ$1006,0)), HYPERLINK("#",""), HYPERLINK(CONCATENATE("#Metadata!", ADDRESS(INDEX($W$2:$W$1001,MATCH(ROWS($U$2:U618),$U$2:$U$1001,0),0), INDEX($AB$1004:$AQ$1004,1,MATCH(COLUMNS($AB$1006:AI1006),$AB$1006:$AQ$1006,0)))),"Fix")))</f>
        <v>0</v>
      </c>
      <c r="J618" s="5">
        <f>IF(OR(INDEX($V$2:$V$1001,MATCH(ROWS($U$2:U618),$U$2:$U$1001,0),1)&gt;=100000,INDEX($AB$1005:$AQ$1005,1,MATCH(COLUMNS($AB$1006:AJ1006),$AB$1006:$AQ$1006,0))&gt;=100000), " ",IF(INDEX($AB$2:$AQ$1001,MATCH(ROWS($U$2:U618),$U$2:$U$1001,0),MATCH(COLUMNS($AB$1006:AJ1006),$AB$1006:$AQ$1006,0)), HYPERLINK("#",""), HYPERLINK(CONCATENATE("#Metadata!", ADDRESS(INDEX($W$2:$W$1001,MATCH(ROWS($U$2:U618),$U$2:$U$1001,0),0), INDEX($AB$1004:$AQ$1004,1,MATCH(COLUMNS($AB$1006:AJ1006),$AB$1006:$AQ$1006,0)))),"Fix")))</f>
        <v>0</v>
      </c>
      <c r="K618" s="5">
        <f>IF(OR(INDEX($V$2:$V$1001,MATCH(ROWS($U$2:U618),$U$2:$U$1001,0),1)&gt;=100000,INDEX($AB$1005:$AQ$1005,1,MATCH(COLUMNS($AB$1006:AK1006),$AB$1006:$AQ$1006,0))&gt;=100000), " ",IF(INDEX($AB$2:$AQ$1001,MATCH(ROWS($U$2:U618),$U$2:$U$1001,0),MATCH(COLUMNS($AB$1006:AK1006),$AB$1006:$AQ$1006,0)), HYPERLINK("#",""), HYPERLINK(CONCATENATE("#Metadata!", ADDRESS(INDEX($W$2:$W$1001,MATCH(ROWS($U$2:U618),$U$2:$U$1001,0),0), INDEX($AB$1004:$AQ$1004,1,MATCH(COLUMNS($AB$1006:AK1006),$AB$1006:$AQ$1006,0)))),"Fix")))</f>
        <v>0</v>
      </c>
      <c r="L618" s="5">
        <f>IF(OR(INDEX($V$2:$V$1001,MATCH(ROWS($U$2:U618),$U$2:$U$1001,0),1)&gt;=100000,INDEX($AB$1005:$AQ$1005,1,MATCH(COLUMNS($AB$1006:AL1006),$AB$1006:$AQ$1006,0))&gt;=100000), " ",IF(INDEX($AB$2:$AQ$1001,MATCH(ROWS($U$2:U618),$U$2:$U$1001,0),MATCH(COLUMNS($AB$1006:AL1006),$AB$1006:$AQ$1006,0)), HYPERLINK("#",""), HYPERLINK(CONCATENATE("#Metadata!", ADDRESS(INDEX($W$2:$W$1001,MATCH(ROWS($U$2:U618),$U$2:$U$1001,0),0), INDEX($AB$1004:$AQ$1004,1,MATCH(COLUMNS($AB$1006:AL1006),$AB$1006:$AQ$1006,0)))),"Fix")))</f>
        <v>0</v>
      </c>
      <c r="M618" s="5">
        <f>IF(OR(INDEX($V$2:$V$1001,MATCH(ROWS($U$2:U618),$U$2:$U$1001,0),1)&gt;=100000,INDEX($AB$1005:$AQ$1005,1,MATCH(COLUMNS($AB$1006:AM1006),$AB$1006:$AQ$1006,0))&gt;=100000), " ",IF(INDEX($AB$2:$AQ$1001,MATCH(ROWS($U$2:U618),$U$2:$U$1001,0),MATCH(COLUMNS($AB$1006:AM1006),$AB$1006:$AQ$1006,0)), HYPERLINK("#",""), HYPERLINK(CONCATENATE("#Metadata!", ADDRESS(INDEX($W$2:$W$1001,MATCH(ROWS($U$2:U618),$U$2:$U$1001,0),0), INDEX($AB$1004:$AQ$1004,1,MATCH(COLUMNS($AB$1006:AM1006),$AB$1006:$AQ$1006,0)))),"Fix")))</f>
        <v>0</v>
      </c>
      <c r="N618" s="5">
        <f>IF(OR(INDEX($V$2:$V$1001,MATCH(ROWS($U$2:U618),$U$2:$U$1001,0),1)&gt;=100000,INDEX($AB$1005:$AQ$1005,1,MATCH(COLUMNS($AB$1006:AN1006),$AB$1006:$AQ$1006,0))&gt;=100000), " ",IF(INDEX($AB$2:$AQ$1001,MATCH(ROWS($U$2:U618),$U$2:$U$1001,0),MATCH(COLUMNS($AB$1006:AN1006),$AB$1006:$AQ$1006,0)), HYPERLINK("#",""), HYPERLINK(CONCATENATE("#Metadata!", ADDRESS(INDEX($W$2:$W$1001,MATCH(ROWS($U$2:U618),$U$2:$U$1001,0),0), INDEX($AB$1004:$AQ$1004,1,MATCH(COLUMNS($AB$1006:AN1006),$AB$1006:$AQ$1006,0)))),"Fix")))</f>
        <v>0</v>
      </c>
      <c r="O618" s="5">
        <f>IF(OR(INDEX($V$2:$V$1001,MATCH(ROWS($U$2:U618),$U$2:$U$1001,0),1)&gt;=100000,INDEX($AB$1005:$AQ$1005,1,MATCH(COLUMNS($AB$1006:AO1006),$AB$1006:$AQ$1006,0))&gt;=100000), " ",IF(INDEX($AB$2:$AQ$1001,MATCH(ROWS($U$2:U618),$U$2:$U$1001,0),MATCH(COLUMNS($AB$1006:AO1006),$AB$1006:$AQ$1006,0)), HYPERLINK("#",""), HYPERLINK(CONCATENATE("#Metadata!", ADDRESS(INDEX($W$2:$W$1001,MATCH(ROWS($U$2:U618),$U$2:$U$1001,0),0), INDEX($AB$1004:$AQ$1004,1,MATCH(COLUMNS($AB$1006:AO1006),$AB$1006:$AQ$1006,0)))),"Fix")))</f>
        <v>0</v>
      </c>
      <c r="P618" s="5">
        <f>IF(OR(INDEX($V$2:$V$1001,MATCH(ROWS($U$2:U618),$U$2:$U$1001,0),1)&gt;=100000,INDEX($AB$1005:$AQ$1005,1,MATCH(COLUMNS($AB$1006:AP1006),$AB$1006:$AQ$1006,0))&gt;=100000), " ",IF(INDEX($AB$2:$AQ$1001,MATCH(ROWS($U$2:U618),$U$2:$U$1001,0),MATCH(COLUMNS($AB$1006:AP1006),$AB$1006:$AQ$1006,0)), HYPERLINK("#",""), HYPERLINK(CONCATENATE("#Metadata!", ADDRESS(INDEX($W$2:$W$1001,MATCH(ROWS($U$2:U618),$U$2:$U$1001,0),0), INDEX($AB$1004:$AQ$1004,1,MATCH(COLUMNS($AB$1006:AP1006),$AB$1006:$AQ$1006,0)))),"Fix")))</f>
        <v>0</v>
      </c>
      <c r="Q618" s="5">
        <f>IF(OR(INDEX($V$2:$V$1001,MATCH(ROWS($U$2:U618),$U$2:$U$1001,0),1)&gt;=100000,INDEX($AB$1005:$AQ$1005,1,MATCH(COLUMNS($AB$1006:AQ1006),$AB$1006:$AQ$1006,0))&gt;=100000), " ",IF(INDEX($AB$2:$AQ$1001,MATCH(ROWS($U$2:U618),$U$2:$U$1001,0),MATCH(COLUMNS($AB$1006:AQ1006),$AB$1006:$AQ$1006,0)), HYPERLINK("#",""), HYPERLINK(CONCATENATE("#Metadata!", ADDRESS(INDEX($W$2:$W$1001,MATCH(ROWS($U$2:U618),$U$2:$U$1001,0),0), INDEX($AB$1004:$AQ$1004,1,MATCH(COLUMNS($AB$1006:AQ1006),$AB$1006:$AQ$1006,0)))),"Fix")))</f>
        <v>0</v>
      </c>
      <c r="U618">
        <v>0</v>
      </c>
      <c r="V618">
        <v>0</v>
      </c>
      <c r="W618">
        <v>0</v>
      </c>
      <c r="X618">
        <f>IF(Y618,TRUE,AND(AB618:AQ618))</f>
        <v>0</v>
      </c>
      <c r="Y618">
        <f>COUNTBLANK(Metadata!B618:Q618)=COLUMNS(Metadata!B618:Q618)</f>
        <v>0</v>
      </c>
      <c r="Z618">
        <v>0</v>
      </c>
      <c r="AB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AC618">
        <f>AND(IF(Metadata!C618="",FALSE,TRUE),exact(Metadata!C618,"urban biome"))</f>
        <v>0</v>
      </c>
      <c r="AD618">
        <f>AND(IF(Metadata!D618="",FALSE,TRUE),exact(Metadata!D618,"human-associated habitat"))</f>
        <v>0</v>
      </c>
      <c r="AE618">
        <f>AND(IF(Metadata!E618="",FALSE,TRUE),OR(exact(Metadata!E618,"human-associated"),exact(Metadata!E618,"human-skin"),exact(Metadata!E618,"human-oral"),exact(Metadata!E618,"human-gut"),exact(Metadata!E618,"human-vaginal")))</f>
        <v>0</v>
      </c>
      <c r="AF618">
        <f>AND(IF(Metadata!F618="",FALSE,ISNUMBER(VALUE(Metadata!F618))),Metadata!F618&gt;0)</f>
        <v>0</v>
      </c>
      <c r="AG618">
        <f>AND(IF(Metadata!G618="",FALSE,TRUE),exact(Metadata!G618,"years"))</f>
        <v>0</v>
      </c>
      <c r="AH618">
        <f>OR(AND(IF(Metadata!H618="",FALSE,TRUE),OR(exact(Metadata!H618,"not applicable"),exact(Metadata!H618,"not collected"),exact(Metadata!H618,"not provided"),exact(Metadata!H618,"restricted access"))),AND(IF(Metadata!H618="",FALSE,ISNUMBER(VALUE(Metadata!H618))),Metadata!H618&gt;0))</f>
        <v>0</v>
      </c>
      <c r="AI618">
        <f>AND(IF(Metadata!I618="",FALSE,TRUE),exact(Metadata!I618,"human"))</f>
        <v>0</v>
      </c>
      <c r="AJ618">
        <f>AND(IF(Metadata!J618="",FALSE,ISNUMBER(VALUE(Metadata!J618))),Metadata!J618&gt;0)</f>
        <v>0</v>
      </c>
      <c r="AK618">
        <f>AND(IF(Metadata!K618="",FALSE,TRUE),exact(Metadata!K618,"cm"))</f>
        <v>0</v>
      </c>
      <c r="AL618">
        <f>AND(IF(Metadata!L618="",FALSE,TRUE),exact(Metadata!L618,"Homo sapiens"))</f>
        <v>0</v>
      </c>
      <c r="AM618">
        <f>AND(IF(Metadata!M618="",FALSE,TRUE),exact(Metadata!M618,"9606"))</f>
        <v>0</v>
      </c>
      <c r="AN618">
        <f>AND(IF(Metadata!N618="",FALSE,ISNUMBER(VALUE(Metadata!N618))),Metadata!N618&gt;0)</f>
        <v>0</v>
      </c>
      <c r="AO618">
        <f>AND(IF(Metadata!O618="",FALSE,TRUE),exact(Metadata!O618,"kg"))</f>
        <v>0</v>
      </c>
      <c r="AP618">
        <f>OR(AND(IF(Metadata!P618="",FALSE,TRUE),exact(Metadata!P618,"not provided")),IF(Metadata!P618="",FALSE,TRUE))</f>
        <v>0</v>
      </c>
      <c r="AQ618">
        <f>OR(AND(IF(Metadata!Q618="",FALSE,TRUE),exact(Metadata!Q618,"not provided")),IF(Metadata!Q618="",FALSE,TRUE))</f>
        <v>0</v>
      </c>
    </row>
    <row r="619" spans="1:43">
      <c r="A619" s="4">
        <f>IF(B619=" "," ",HYPERLINK(CONCATENATE("#metadata!",ADDRESS(INDEX($W$2:$W$1001,MATCH(ROWS($U$2:U619),$U$2:$U$1001,0),0),2)),INDEX($Z$2:$Z$1001,MATCH(ROWS($U$2:U619),$U$2:$U$1001,0),0)))</f>
        <v>0</v>
      </c>
      <c r="B619" s="5">
        <f>IF(OR(INDEX($V$2:$V$1001,MATCH(ROWS($U$2:U619),$U$2:$U$1001,0),1)&gt;=100000,INDEX($AB$1005:$AQ$1005,1,MATCH(COLUMNS($AB$1006:AB1006),$AB$1006:$AQ$1006,0))&gt;=100000), " ",IF(INDEX($AB$2:$AQ$1001,MATCH(ROWS($U$2:U619),$U$2:$U$1001,0),MATCH(COLUMNS($AB$1006:AB1006),$AB$1006:$AQ$1006,0)), HYPERLINK("#",""), HYPERLINK(CONCATENATE("#Metadata!", ADDRESS(INDEX($W$2:$W$1001,MATCH(ROWS($U$2:U619),$U$2:$U$1001,0),0), INDEX($AB$1004:$AQ$1004,1,MATCH(COLUMNS($AB$1006:AB1006),$AB$1006:$AQ$1006,0)))),"Fix")))</f>
        <v>0</v>
      </c>
      <c r="C619" s="5">
        <f>IF(OR(INDEX($V$2:$V$1001,MATCH(ROWS($U$2:U619),$U$2:$U$1001,0),1)&gt;=100000,INDEX($AB$1005:$AQ$1005,1,MATCH(COLUMNS($AB$1006:AC1006),$AB$1006:$AQ$1006,0))&gt;=100000), " ",IF(INDEX($AB$2:$AQ$1001,MATCH(ROWS($U$2:U619),$U$2:$U$1001,0),MATCH(COLUMNS($AB$1006:AC1006),$AB$1006:$AQ$1006,0)), HYPERLINK("#",""), HYPERLINK(CONCATENATE("#Metadata!", ADDRESS(INDEX($W$2:$W$1001,MATCH(ROWS($U$2:U619),$U$2:$U$1001,0),0), INDEX($AB$1004:$AQ$1004,1,MATCH(COLUMNS($AB$1006:AC1006),$AB$1006:$AQ$1006,0)))),"Fix")))</f>
        <v>0</v>
      </c>
      <c r="D619" s="5">
        <f>IF(OR(INDEX($V$2:$V$1001,MATCH(ROWS($U$2:U619),$U$2:$U$1001,0),1)&gt;=100000,INDEX($AB$1005:$AQ$1005,1,MATCH(COLUMNS($AB$1006:AD1006),$AB$1006:$AQ$1006,0))&gt;=100000), " ",IF(INDEX($AB$2:$AQ$1001,MATCH(ROWS($U$2:U619),$U$2:$U$1001,0),MATCH(COLUMNS($AB$1006:AD1006),$AB$1006:$AQ$1006,0)), HYPERLINK("#",""), HYPERLINK(CONCATENATE("#Metadata!", ADDRESS(INDEX($W$2:$W$1001,MATCH(ROWS($U$2:U619),$U$2:$U$1001,0),0), INDEX($AB$1004:$AQ$1004,1,MATCH(COLUMNS($AB$1006:AD1006),$AB$1006:$AQ$1006,0)))),"Fix")))</f>
        <v>0</v>
      </c>
      <c r="E619" s="5">
        <f>IF(OR(INDEX($V$2:$V$1001,MATCH(ROWS($U$2:U619),$U$2:$U$1001,0),1)&gt;=100000,INDEX($AB$1005:$AQ$1005,1,MATCH(COLUMNS($AB$1006:AE1006),$AB$1006:$AQ$1006,0))&gt;=100000), " ",IF(INDEX($AB$2:$AQ$1001,MATCH(ROWS($U$2:U619),$U$2:$U$1001,0),MATCH(COLUMNS($AB$1006:AE1006),$AB$1006:$AQ$1006,0)), HYPERLINK("#",""), HYPERLINK(CONCATENATE("#Metadata!", ADDRESS(INDEX($W$2:$W$1001,MATCH(ROWS($U$2:U619),$U$2:$U$1001,0),0), INDEX($AB$1004:$AQ$1004,1,MATCH(COLUMNS($AB$1006:AE1006),$AB$1006:$AQ$1006,0)))),"Fix")))</f>
        <v>0</v>
      </c>
      <c r="F619" s="5">
        <f>IF(OR(INDEX($V$2:$V$1001,MATCH(ROWS($U$2:U619),$U$2:$U$1001,0),1)&gt;=100000,INDEX($AB$1005:$AQ$1005,1,MATCH(COLUMNS($AB$1006:AF1006),$AB$1006:$AQ$1006,0))&gt;=100000), " ",IF(INDEX($AB$2:$AQ$1001,MATCH(ROWS($U$2:U619),$U$2:$U$1001,0),MATCH(COLUMNS($AB$1006:AF1006),$AB$1006:$AQ$1006,0)), HYPERLINK("#",""), HYPERLINK(CONCATENATE("#Metadata!", ADDRESS(INDEX($W$2:$W$1001,MATCH(ROWS($U$2:U619),$U$2:$U$1001,0),0), INDEX($AB$1004:$AQ$1004,1,MATCH(COLUMNS($AB$1006:AF1006),$AB$1006:$AQ$1006,0)))),"Fix")))</f>
        <v>0</v>
      </c>
      <c r="G619" s="5">
        <f>IF(OR(INDEX($V$2:$V$1001,MATCH(ROWS($U$2:U619),$U$2:$U$1001,0),1)&gt;=100000,INDEX($AB$1005:$AQ$1005,1,MATCH(COLUMNS($AB$1006:AG1006),$AB$1006:$AQ$1006,0))&gt;=100000), " ",IF(INDEX($AB$2:$AQ$1001,MATCH(ROWS($U$2:U619),$U$2:$U$1001,0),MATCH(COLUMNS($AB$1006:AG1006),$AB$1006:$AQ$1006,0)), HYPERLINK("#",""), HYPERLINK(CONCATENATE("#Metadata!", ADDRESS(INDEX($W$2:$W$1001,MATCH(ROWS($U$2:U619),$U$2:$U$1001,0),0), INDEX($AB$1004:$AQ$1004,1,MATCH(COLUMNS($AB$1006:AG1006),$AB$1006:$AQ$1006,0)))),"Fix")))</f>
        <v>0</v>
      </c>
      <c r="H619" s="5">
        <f>IF(OR(INDEX($V$2:$V$1001,MATCH(ROWS($U$2:U619),$U$2:$U$1001,0),1)&gt;=100000,INDEX($AB$1005:$AQ$1005,1,MATCH(COLUMNS($AB$1006:AH1006),$AB$1006:$AQ$1006,0))&gt;=100000), " ",IF(INDEX($AB$2:$AQ$1001,MATCH(ROWS($U$2:U619),$U$2:$U$1001,0),MATCH(COLUMNS($AB$1006:AH1006),$AB$1006:$AQ$1006,0)), HYPERLINK("#",""), HYPERLINK(CONCATENATE("#Metadata!", ADDRESS(INDEX($W$2:$W$1001,MATCH(ROWS($U$2:U619),$U$2:$U$1001,0),0), INDEX($AB$1004:$AQ$1004,1,MATCH(COLUMNS($AB$1006:AH1006),$AB$1006:$AQ$1006,0)))),"Fix")))</f>
        <v>0</v>
      </c>
      <c r="I619" s="5">
        <f>IF(OR(INDEX($V$2:$V$1001,MATCH(ROWS($U$2:U619),$U$2:$U$1001,0),1)&gt;=100000,INDEX($AB$1005:$AQ$1005,1,MATCH(COLUMNS($AB$1006:AI1006),$AB$1006:$AQ$1006,0))&gt;=100000), " ",IF(INDEX($AB$2:$AQ$1001,MATCH(ROWS($U$2:U619),$U$2:$U$1001,0),MATCH(COLUMNS($AB$1006:AI1006),$AB$1006:$AQ$1006,0)), HYPERLINK("#",""), HYPERLINK(CONCATENATE("#Metadata!", ADDRESS(INDEX($W$2:$W$1001,MATCH(ROWS($U$2:U619),$U$2:$U$1001,0),0), INDEX($AB$1004:$AQ$1004,1,MATCH(COLUMNS($AB$1006:AI1006),$AB$1006:$AQ$1006,0)))),"Fix")))</f>
        <v>0</v>
      </c>
      <c r="J619" s="5">
        <f>IF(OR(INDEX($V$2:$V$1001,MATCH(ROWS($U$2:U619),$U$2:$U$1001,0),1)&gt;=100000,INDEX($AB$1005:$AQ$1005,1,MATCH(COLUMNS($AB$1006:AJ1006),$AB$1006:$AQ$1006,0))&gt;=100000), " ",IF(INDEX($AB$2:$AQ$1001,MATCH(ROWS($U$2:U619),$U$2:$U$1001,0),MATCH(COLUMNS($AB$1006:AJ1006),$AB$1006:$AQ$1006,0)), HYPERLINK("#",""), HYPERLINK(CONCATENATE("#Metadata!", ADDRESS(INDEX($W$2:$W$1001,MATCH(ROWS($U$2:U619),$U$2:$U$1001,0),0), INDEX($AB$1004:$AQ$1004,1,MATCH(COLUMNS($AB$1006:AJ1006),$AB$1006:$AQ$1006,0)))),"Fix")))</f>
        <v>0</v>
      </c>
      <c r="K619" s="5">
        <f>IF(OR(INDEX($V$2:$V$1001,MATCH(ROWS($U$2:U619),$U$2:$U$1001,0),1)&gt;=100000,INDEX($AB$1005:$AQ$1005,1,MATCH(COLUMNS($AB$1006:AK1006),$AB$1006:$AQ$1006,0))&gt;=100000), " ",IF(INDEX($AB$2:$AQ$1001,MATCH(ROWS($U$2:U619),$U$2:$U$1001,0),MATCH(COLUMNS($AB$1006:AK1006),$AB$1006:$AQ$1006,0)), HYPERLINK("#",""), HYPERLINK(CONCATENATE("#Metadata!", ADDRESS(INDEX($W$2:$W$1001,MATCH(ROWS($U$2:U619),$U$2:$U$1001,0),0), INDEX($AB$1004:$AQ$1004,1,MATCH(COLUMNS($AB$1006:AK1006),$AB$1006:$AQ$1006,0)))),"Fix")))</f>
        <v>0</v>
      </c>
      <c r="L619" s="5">
        <f>IF(OR(INDEX($V$2:$V$1001,MATCH(ROWS($U$2:U619),$U$2:$U$1001,0),1)&gt;=100000,INDEX($AB$1005:$AQ$1005,1,MATCH(COLUMNS($AB$1006:AL1006),$AB$1006:$AQ$1006,0))&gt;=100000), " ",IF(INDEX($AB$2:$AQ$1001,MATCH(ROWS($U$2:U619),$U$2:$U$1001,0),MATCH(COLUMNS($AB$1006:AL1006),$AB$1006:$AQ$1006,0)), HYPERLINK("#",""), HYPERLINK(CONCATENATE("#Metadata!", ADDRESS(INDEX($W$2:$W$1001,MATCH(ROWS($U$2:U619),$U$2:$U$1001,0),0), INDEX($AB$1004:$AQ$1004,1,MATCH(COLUMNS($AB$1006:AL1006),$AB$1006:$AQ$1006,0)))),"Fix")))</f>
        <v>0</v>
      </c>
      <c r="M619" s="5">
        <f>IF(OR(INDEX($V$2:$V$1001,MATCH(ROWS($U$2:U619),$U$2:$U$1001,0),1)&gt;=100000,INDEX($AB$1005:$AQ$1005,1,MATCH(COLUMNS($AB$1006:AM1006),$AB$1006:$AQ$1006,0))&gt;=100000), " ",IF(INDEX($AB$2:$AQ$1001,MATCH(ROWS($U$2:U619),$U$2:$U$1001,0),MATCH(COLUMNS($AB$1006:AM1006),$AB$1006:$AQ$1006,0)), HYPERLINK("#",""), HYPERLINK(CONCATENATE("#Metadata!", ADDRESS(INDEX($W$2:$W$1001,MATCH(ROWS($U$2:U619),$U$2:$U$1001,0),0), INDEX($AB$1004:$AQ$1004,1,MATCH(COLUMNS($AB$1006:AM1006),$AB$1006:$AQ$1006,0)))),"Fix")))</f>
        <v>0</v>
      </c>
      <c r="N619" s="5">
        <f>IF(OR(INDEX($V$2:$V$1001,MATCH(ROWS($U$2:U619),$U$2:$U$1001,0),1)&gt;=100000,INDEX($AB$1005:$AQ$1005,1,MATCH(COLUMNS($AB$1006:AN1006),$AB$1006:$AQ$1006,0))&gt;=100000), " ",IF(INDEX($AB$2:$AQ$1001,MATCH(ROWS($U$2:U619),$U$2:$U$1001,0),MATCH(COLUMNS($AB$1006:AN1006),$AB$1006:$AQ$1006,0)), HYPERLINK("#",""), HYPERLINK(CONCATENATE("#Metadata!", ADDRESS(INDEX($W$2:$W$1001,MATCH(ROWS($U$2:U619),$U$2:$U$1001,0),0), INDEX($AB$1004:$AQ$1004,1,MATCH(COLUMNS($AB$1006:AN1006),$AB$1006:$AQ$1006,0)))),"Fix")))</f>
        <v>0</v>
      </c>
      <c r="O619" s="5">
        <f>IF(OR(INDEX($V$2:$V$1001,MATCH(ROWS($U$2:U619),$U$2:$U$1001,0),1)&gt;=100000,INDEX($AB$1005:$AQ$1005,1,MATCH(COLUMNS($AB$1006:AO1006),$AB$1006:$AQ$1006,0))&gt;=100000), " ",IF(INDEX($AB$2:$AQ$1001,MATCH(ROWS($U$2:U619),$U$2:$U$1001,0),MATCH(COLUMNS($AB$1006:AO1006),$AB$1006:$AQ$1006,0)), HYPERLINK("#",""), HYPERLINK(CONCATENATE("#Metadata!", ADDRESS(INDEX($W$2:$W$1001,MATCH(ROWS($U$2:U619),$U$2:$U$1001,0),0), INDEX($AB$1004:$AQ$1004,1,MATCH(COLUMNS($AB$1006:AO1006),$AB$1006:$AQ$1006,0)))),"Fix")))</f>
        <v>0</v>
      </c>
      <c r="P619" s="5">
        <f>IF(OR(INDEX($V$2:$V$1001,MATCH(ROWS($U$2:U619),$U$2:$U$1001,0),1)&gt;=100000,INDEX($AB$1005:$AQ$1005,1,MATCH(COLUMNS($AB$1006:AP1006),$AB$1006:$AQ$1006,0))&gt;=100000), " ",IF(INDEX($AB$2:$AQ$1001,MATCH(ROWS($U$2:U619),$U$2:$U$1001,0),MATCH(COLUMNS($AB$1006:AP1006),$AB$1006:$AQ$1006,0)), HYPERLINK("#",""), HYPERLINK(CONCATENATE("#Metadata!", ADDRESS(INDEX($W$2:$W$1001,MATCH(ROWS($U$2:U619),$U$2:$U$1001,0),0), INDEX($AB$1004:$AQ$1004,1,MATCH(COLUMNS($AB$1006:AP1006),$AB$1006:$AQ$1006,0)))),"Fix")))</f>
        <v>0</v>
      </c>
      <c r="Q619" s="5">
        <f>IF(OR(INDEX($V$2:$V$1001,MATCH(ROWS($U$2:U619),$U$2:$U$1001,0),1)&gt;=100000,INDEX($AB$1005:$AQ$1005,1,MATCH(COLUMNS($AB$1006:AQ1006),$AB$1006:$AQ$1006,0))&gt;=100000), " ",IF(INDEX($AB$2:$AQ$1001,MATCH(ROWS($U$2:U619),$U$2:$U$1001,0),MATCH(COLUMNS($AB$1006:AQ1006),$AB$1006:$AQ$1006,0)), HYPERLINK("#",""), HYPERLINK(CONCATENATE("#Metadata!", ADDRESS(INDEX($W$2:$W$1001,MATCH(ROWS($U$2:U619),$U$2:$U$1001,0),0), INDEX($AB$1004:$AQ$1004,1,MATCH(COLUMNS($AB$1006:AQ1006),$AB$1006:$AQ$1006,0)))),"Fix")))</f>
        <v>0</v>
      </c>
      <c r="U619">
        <v>0</v>
      </c>
      <c r="V619">
        <v>0</v>
      </c>
      <c r="W619">
        <v>0</v>
      </c>
      <c r="X619">
        <f>IF(Y619,TRUE,AND(AB619:AQ619))</f>
        <v>0</v>
      </c>
      <c r="Y619">
        <f>COUNTBLANK(Metadata!B619:Q619)=COLUMNS(Metadata!B619:Q619)</f>
        <v>0</v>
      </c>
      <c r="Z619">
        <v>0</v>
      </c>
      <c r="AB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AC619">
        <f>AND(IF(Metadata!C619="",FALSE,TRUE),exact(Metadata!C619,"urban biome"))</f>
        <v>0</v>
      </c>
      <c r="AD619">
        <f>AND(IF(Metadata!D619="",FALSE,TRUE),exact(Metadata!D619,"human-associated habitat"))</f>
        <v>0</v>
      </c>
      <c r="AE619">
        <f>AND(IF(Metadata!E619="",FALSE,TRUE),OR(exact(Metadata!E619,"human-associated"),exact(Metadata!E619,"human-skin"),exact(Metadata!E619,"human-oral"),exact(Metadata!E619,"human-gut"),exact(Metadata!E619,"human-vaginal")))</f>
        <v>0</v>
      </c>
      <c r="AF619">
        <f>AND(IF(Metadata!F619="",FALSE,ISNUMBER(VALUE(Metadata!F619))),Metadata!F619&gt;0)</f>
        <v>0</v>
      </c>
      <c r="AG619">
        <f>AND(IF(Metadata!G619="",FALSE,TRUE),exact(Metadata!G619,"years"))</f>
        <v>0</v>
      </c>
      <c r="AH619">
        <f>OR(AND(IF(Metadata!H619="",FALSE,TRUE),OR(exact(Metadata!H619,"not applicable"),exact(Metadata!H619,"not collected"),exact(Metadata!H619,"not provided"),exact(Metadata!H619,"restricted access"))),AND(IF(Metadata!H619="",FALSE,ISNUMBER(VALUE(Metadata!H619))),Metadata!H619&gt;0))</f>
        <v>0</v>
      </c>
      <c r="AI619">
        <f>AND(IF(Metadata!I619="",FALSE,TRUE),exact(Metadata!I619,"human"))</f>
        <v>0</v>
      </c>
      <c r="AJ619">
        <f>AND(IF(Metadata!J619="",FALSE,ISNUMBER(VALUE(Metadata!J619))),Metadata!J619&gt;0)</f>
        <v>0</v>
      </c>
      <c r="AK619">
        <f>AND(IF(Metadata!K619="",FALSE,TRUE),exact(Metadata!K619,"cm"))</f>
        <v>0</v>
      </c>
      <c r="AL619">
        <f>AND(IF(Metadata!L619="",FALSE,TRUE),exact(Metadata!L619,"Homo sapiens"))</f>
        <v>0</v>
      </c>
      <c r="AM619">
        <f>AND(IF(Metadata!M619="",FALSE,TRUE),exact(Metadata!M619,"9606"))</f>
        <v>0</v>
      </c>
      <c r="AN619">
        <f>AND(IF(Metadata!N619="",FALSE,ISNUMBER(VALUE(Metadata!N619))),Metadata!N619&gt;0)</f>
        <v>0</v>
      </c>
      <c r="AO619">
        <f>AND(IF(Metadata!O619="",FALSE,TRUE),exact(Metadata!O619,"kg"))</f>
        <v>0</v>
      </c>
      <c r="AP619">
        <f>OR(AND(IF(Metadata!P619="",FALSE,TRUE),exact(Metadata!P619,"not provided")),IF(Metadata!P619="",FALSE,TRUE))</f>
        <v>0</v>
      </c>
      <c r="AQ619">
        <f>OR(AND(IF(Metadata!Q619="",FALSE,TRUE),exact(Metadata!Q619,"not provided")),IF(Metadata!Q619="",FALSE,TRUE))</f>
        <v>0</v>
      </c>
    </row>
    <row r="620" spans="1:43">
      <c r="A620" s="4">
        <f>IF(B620=" "," ",HYPERLINK(CONCATENATE("#metadata!",ADDRESS(INDEX($W$2:$W$1001,MATCH(ROWS($U$2:U620),$U$2:$U$1001,0),0),2)),INDEX($Z$2:$Z$1001,MATCH(ROWS($U$2:U620),$U$2:$U$1001,0),0)))</f>
        <v>0</v>
      </c>
      <c r="B620" s="5">
        <f>IF(OR(INDEX($V$2:$V$1001,MATCH(ROWS($U$2:U620),$U$2:$U$1001,0),1)&gt;=100000,INDEX($AB$1005:$AQ$1005,1,MATCH(COLUMNS($AB$1006:AB1006),$AB$1006:$AQ$1006,0))&gt;=100000), " ",IF(INDEX($AB$2:$AQ$1001,MATCH(ROWS($U$2:U620),$U$2:$U$1001,0),MATCH(COLUMNS($AB$1006:AB1006),$AB$1006:$AQ$1006,0)), HYPERLINK("#",""), HYPERLINK(CONCATENATE("#Metadata!", ADDRESS(INDEX($W$2:$W$1001,MATCH(ROWS($U$2:U620),$U$2:$U$1001,0),0), INDEX($AB$1004:$AQ$1004,1,MATCH(COLUMNS($AB$1006:AB1006),$AB$1006:$AQ$1006,0)))),"Fix")))</f>
        <v>0</v>
      </c>
      <c r="C620" s="5">
        <f>IF(OR(INDEX($V$2:$V$1001,MATCH(ROWS($U$2:U620),$U$2:$U$1001,0),1)&gt;=100000,INDEX($AB$1005:$AQ$1005,1,MATCH(COLUMNS($AB$1006:AC1006),$AB$1006:$AQ$1006,0))&gt;=100000), " ",IF(INDEX($AB$2:$AQ$1001,MATCH(ROWS($U$2:U620),$U$2:$U$1001,0),MATCH(COLUMNS($AB$1006:AC1006),$AB$1006:$AQ$1006,0)), HYPERLINK("#",""), HYPERLINK(CONCATENATE("#Metadata!", ADDRESS(INDEX($W$2:$W$1001,MATCH(ROWS($U$2:U620),$U$2:$U$1001,0),0), INDEX($AB$1004:$AQ$1004,1,MATCH(COLUMNS($AB$1006:AC1006),$AB$1006:$AQ$1006,0)))),"Fix")))</f>
        <v>0</v>
      </c>
      <c r="D620" s="5">
        <f>IF(OR(INDEX($V$2:$V$1001,MATCH(ROWS($U$2:U620),$U$2:$U$1001,0),1)&gt;=100000,INDEX($AB$1005:$AQ$1005,1,MATCH(COLUMNS($AB$1006:AD1006),$AB$1006:$AQ$1006,0))&gt;=100000), " ",IF(INDEX($AB$2:$AQ$1001,MATCH(ROWS($U$2:U620),$U$2:$U$1001,0),MATCH(COLUMNS($AB$1006:AD1006),$AB$1006:$AQ$1006,0)), HYPERLINK("#",""), HYPERLINK(CONCATENATE("#Metadata!", ADDRESS(INDEX($W$2:$W$1001,MATCH(ROWS($U$2:U620),$U$2:$U$1001,0),0), INDEX($AB$1004:$AQ$1004,1,MATCH(COLUMNS($AB$1006:AD1006),$AB$1006:$AQ$1006,0)))),"Fix")))</f>
        <v>0</v>
      </c>
      <c r="E620" s="5">
        <f>IF(OR(INDEX($V$2:$V$1001,MATCH(ROWS($U$2:U620),$U$2:$U$1001,0),1)&gt;=100000,INDEX($AB$1005:$AQ$1005,1,MATCH(COLUMNS($AB$1006:AE1006),$AB$1006:$AQ$1006,0))&gt;=100000), " ",IF(INDEX($AB$2:$AQ$1001,MATCH(ROWS($U$2:U620),$U$2:$U$1001,0),MATCH(COLUMNS($AB$1006:AE1006),$AB$1006:$AQ$1006,0)), HYPERLINK("#",""), HYPERLINK(CONCATENATE("#Metadata!", ADDRESS(INDEX($W$2:$W$1001,MATCH(ROWS($U$2:U620),$U$2:$U$1001,0),0), INDEX($AB$1004:$AQ$1004,1,MATCH(COLUMNS($AB$1006:AE1006),$AB$1006:$AQ$1006,0)))),"Fix")))</f>
        <v>0</v>
      </c>
      <c r="F620" s="5">
        <f>IF(OR(INDEX($V$2:$V$1001,MATCH(ROWS($U$2:U620),$U$2:$U$1001,0),1)&gt;=100000,INDEX($AB$1005:$AQ$1005,1,MATCH(COLUMNS($AB$1006:AF1006),$AB$1006:$AQ$1006,0))&gt;=100000), " ",IF(INDEX($AB$2:$AQ$1001,MATCH(ROWS($U$2:U620),$U$2:$U$1001,0),MATCH(COLUMNS($AB$1006:AF1006),$AB$1006:$AQ$1006,0)), HYPERLINK("#",""), HYPERLINK(CONCATENATE("#Metadata!", ADDRESS(INDEX($W$2:$W$1001,MATCH(ROWS($U$2:U620),$U$2:$U$1001,0),0), INDEX($AB$1004:$AQ$1004,1,MATCH(COLUMNS($AB$1006:AF1006),$AB$1006:$AQ$1006,0)))),"Fix")))</f>
        <v>0</v>
      </c>
      <c r="G620" s="5">
        <f>IF(OR(INDEX($V$2:$V$1001,MATCH(ROWS($U$2:U620),$U$2:$U$1001,0),1)&gt;=100000,INDEX($AB$1005:$AQ$1005,1,MATCH(COLUMNS($AB$1006:AG1006),$AB$1006:$AQ$1006,0))&gt;=100000), " ",IF(INDEX($AB$2:$AQ$1001,MATCH(ROWS($U$2:U620),$U$2:$U$1001,0),MATCH(COLUMNS($AB$1006:AG1006),$AB$1006:$AQ$1006,0)), HYPERLINK("#",""), HYPERLINK(CONCATENATE("#Metadata!", ADDRESS(INDEX($W$2:$W$1001,MATCH(ROWS($U$2:U620),$U$2:$U$1001,0),0), INDEX($AB$1004:$AQ$1004,1,MATCH(COLUMNS($AB$1006:AG1006),$AB$1006:$AQ$1006,0)))),"Fix")))</f>
        <v>0</v>
      </c>
      <c r="H620" s="5">
        <f>IF(OR(INDEX($V$2:$V$1001,MATCH(ROWS($U$2:U620),$U$2:$U$1001,0),1)&gt;=100000,INDEX($AB$1005:$AQ$1005,1,MATCH(COLUMNS($AB$1006:AH1006),$AB$1006:$AQ$1006,0))&gt;=100000), " ",IF(INDEX($AB$2:$AQ$1001,MATCH(ROWS($U$2:U620),$U$2:$U$1001,0),MATCH(COLUMNS($AB$1006:AH1006),$AB$1006:$AQ$1006,0)), HYPERLINK("#",""), HYPERLINK(CONCATENATE("#Metadata!", ADDRESS(INDEX($W$2:$W$1001,MATCH(ROWS($U$2:U620),$U$2:$U$1001,0),0), INDEX($AB$1004:$AQ$1004,1,MATCH(COLUMNS($AB$1006:AH1006),$AB$1006:$AQ$1006,0)))),"Fix")))</f>
        <v>0</v>
      </c>
      <c r="I620" s="5">
        <f>IF(OR(INDEX($V$2:$V$1001,MATCH(ROWS($U$2:U620),$U$2:$U$1001,0),1)&gt;=100000,INDEX($AB$1005:$AQ$1005,1,MATCH(COLUMNS($AB$1006:AI1006),$AB$1006:$AQ$1006,0))&gt;=100000), " ",IF(INDEX($AB$2:$AQ$1001,MATCH(ROWS($U$2:U620),$U$2:$U$1001,0),MATCH(COLUMNS($AB$1006:AI1006),$AB$1006:$AQ$1006,0)), HYPERLINK("#",""), HYPERLINK(CONCATENATE("#Metadata!", ADDRESS(INDEX($W$2:$W$1001,MATCH(ROWS($U$2:U620),$U$2:$U$1001,0),0), INDEX($AB$1004:$AQ$1004,1,MATCH(COLUMNS($AB$1006:AI1006),$AB$1006:$AQ$1006,0)))),"Fix")))</f>
        <v>0</v>
      </c>
      <c r="J620" s="5">
        <f>IF(OR(INDEX($V$2:$V$1001,MATCH(ROWS($U$2:U620),$U$2:$U$1001,0),1)&gt;=100000,INDEX($AB$1005:$AQ$1005,1,MATCH(COLUMNS($AB$1006:AJ1006),$AB$1006:$AQ$1006,0))&gt;=100000), " ",IF(INDEX($AB$2:$AQ$1001,MATCH(ROWS($U$2:U620),$U$2:$U$1001,0),MATCH(COLUMNS($AB$1006:AJ1006),$AB$1006:$AQ$1006,0)), HYPERLINK("#",""), HYPERLINK(CONCATENATE("#Metadata!", ADDRESS(INDEX($W$2:$W$1001,MATCH(ROWS($U$2:U620),$U$2:$U$1001,0),0), INDEX($AB$1004:$AQ$1004,1,MATCH(COLUMNS($AB$1006:AJ1006),$AB$1006:$AQ$1006,0)))),"Fix")))</f>
        <v>0</v>
      </c>
      <c r="K620" s="5">
        <f>IF(OR(INDEX($V$2:$V$1001,MATCH(ROWS($U$2:U620),$U$2:$U$1001,0),1)&gt;=100000,INDEX($AB$1005:$AQ$1005,1,MATCH(COLUMNS($AB$1006:AK1006),$AB$1006:$AQ$1006,0))&gt;=100000), " ",IF(INDEX($AB$2:$AQ$1001,MATCH(ROWS($U$2:U620),$U$2:$U$1001,0),MATCH(COLUMNS($AB$1006:AK1006),$AB$1006:$AQ$1006,0)), HYPERLINK("#",""), HYPERLINK(CONCATENATE("#Metadata!", ADDRESS(INDEX($W$2:$W$1001,MATCH(ROWS($U$2:U620),$U$2:$U$1001,0),0), INDEX($AB$1004:$AQ$1004,1,MATCH(COLUMNS($AB$1006:AK1006),$AB$1006:$AQ$1006,0)))),"Fix")))</f>
        <v>0</v>
      </c>
      <c r="L620" s="5">
        <f>IF(OR(INDEX($V$2:$V$1001,MATCH(ROWS($U$2:U620),$U$2:$U$1001,0),1)&gt;=100000,INDEX($AB$1005:$AQ$1005,1,MATCH(COLUMNS($AB$1006:AL1006),$AB$1006:$AQ$1006,0))&gt;=100000), " ",IF(INDEX($AB$2:$AQ$1001,MATCH(ROWS($U$2:U620),$U$2:$U$1001,0),MATCH(COLUMNS($AB$1006:AL1006),$AB$1006:$AQ$1006,0)), HYPERLINK("#",""), HYPERLINK(CONCATENATE("#Metadata!", ADDRESS(INDEX($W$2:$W$1001,MATCH(ROWS($U$2:U620),$U$2:$U$1001,0),0), INDEX($AB$1004:$AQ$1004,1,MATCH(COLUMNS($AB$1006:AL1006),$AB$1006:$AQ$1006,0)))),"Fix")))</f>
        <v>0</v>
      </c>
      <c r="M620" s="5">
        <f>IF(OR(INDEX($V$2:$V$1001,MATCH(ROWS($U$2:U620),$U$2:$U$1001,0),1)&gt;=100000,INDEX($AB$1005:$AQ$1005,1,MATCH(COLUMNS($AB$1006:AM1006),$AB$1006:$AQ$1006,0))&gt;=100000), " ",IF(INDEX($AB$2:$AQ$1001,MATCH(ROWS($U$2:U620),$U$2:$U$1001,0),MATCH(COLUMNS($AB$1006:AM1006),$AB$1006:$AQ$1006,0)), HYPERLINK("#",""), HYPERLINK(CONCATENATE("#Metadata!", ADDRESS(INDEX($W$2:$W$1001,MATCH(ROWS($U$2:U620),$U$2:$U$1001,0),0), INDEX($AB$1004:$AQ$1004,1,MATCH(COLUMNS($AB$1006:AM1006),$AB$1006:$AQ$1006,0)))),"Fix")))</f>
        <v>0</v>
      </c>
      <c r="N620" s="5">
        <f>IF(OR(INDEX($V$2:$V$1001,MATCH(ROWS($U$2:U620),$U$2:$U$1001,0),1)&gt;=100000,INDEX($AB$1005:$AQ$1005,1,MATCH(COLUMNS($AB$1006:AN1006),$AB$1006:$AQ$1006,0))&gt;=100000), " ",IF(INDEX($AB$2:$AQ$1001,MATCH(ROWS($U$2:U620),$U$2:$U$1001,0),MATCH(COLUMNS($AB$1006:AN1006),$AB$1006:$AQ$1006,0)), HYPERLINK("#",""), HYPERLINK(CONCATENATE("#Metadata!", ADDRESS(INDEX($W$2:$W$1001,MATCH(ROWS($U$2:U620),$U$2:$U$1001,0),0), INDEX($AB$1004:$AQ$1004,1,MATCH(COLUMNS($AB$1006:AN1006),$AB$1006:$AQ$1006,0)))),"Fix")))</f>
        <v>0</v>
      </c>
      <c r="O620" s="5">
        <f>IF(OR(INDEX($V$2:$V$1001,MATCH(ROWS($U$2:U620),$U$2:$U$1001,0),1)&gt;=100000,INDEX($AB$1005:$AQ$1005,1,MATCH(COLUMNS($AB$1006:AO1006),$AB$1006:$AQ$1006,0))&gt;=100000), " ",IF(INDEX($AB$2:$AQ$1001,MATCH(ROWS($U$2:U620),$U$2:$U$1001,0),MATCH(COLUMNS($AB$1006:AO1006),$AB$1006:$AQ$1006,0)), HYPERLINK("#",""), HYPERLINK(CONCATENATE("#Metadata!", ADDRESS(INDEX($W$2:$W$1001,MATCH(ROWS($U$2:U620),$U$2:$U$1001,0),0), INDEX($AB$1004:$AQ$1004,1,MATCH(COLUMNS($AB$1006:AO1006),$AB$1006:$AQ$1006,0)))),"Fix")))</f>
        <v>0</v>
      </c>
      <c r="P620" s="5">
        <f>IF(OR(INDEX($V$2:$V$1001,MATCH(ROWS($U$2:U620),$U$2:$U$1001,0),1)&gt;=100000,INDEX($AB$1005:$AQ$1005,1,MATCH(COLUMNS($AB$1006:AP1006),$AB$1006:$AQ$1006,0))&gt;=100000), " ",IF(INDEX($AB$2:$AQ$1001,MATCH(ROWS($U$2:U620),$U$2:$U$1001,0),MATCH(COLUMNS($AB$1006:AP1006),$AB$1006:$AQ$1006,0)), HYPERLINK("#",""), HYPERLINK(CONCATENATE("#Metadata!", ADDRESS(INDEX($W$2:$W$1001,MATCH(ROWS($U$2:U620),$U$2:$U$1001,0),0), INDEX($AB$1004:$AQ$1004,1,MATCH(COLUMNS($AB$1006:AP1006),$AB$1006:$AQ$1006,0)))),"Fix")))</f>
        <v>0</v>
      </c>
      <c r="Q620" s="5">
        <f>IF(OR(INDEX($V$2:$V$1001,MATCH(ROWS($U$2:U620),$U$2:$U$1001,0),1)&gt;=100000,INDEX($AB$1005:$AQ$1005,1,MATCH(COLUMNS($AB$1006:AQ1006),$AB$1006:$AQ$1006,0))&gt;=100000), " ",IF(INDEX($AB$2:$AQ$1001,MATCH(ROWS($U$2:U620),$U$2:$U$1001,0),MATCH(COLUMNS($AB$1006:AQ1006),$AB$1006:$AQ$1006,0)), HYPERLINK("#",""), HYPERLINK(CONCATENATE("#Metadata!", ADDRESS(INDEX($W$2:$W$1001,MATCH(ROWS($U$2:U620),$U$2:$U$1001,0),0), INDEX($AB$1004:$AQ$1004,1,MATCH(COLUMNS($AB$1006:AQ1006),$AB$1006:$AQ$1006,0)))),"Fix")))</f>
        <v>0</v>
      </c>
      <c r="U620">
        <v>0</v>
      </c>
      <c r="V620">
        <v>0</v>
      </c>
      <c r="W620">
        <v>0</v>
      </c>
      <c r="X620">
        <f>IF(Y620,TRUE,AND(AB620:AQ620))</f>
        <v>0</v>
      </c>
      <c r="Y620">
        <f>COUNTBLANK(Metadata!B620:Q620)=COLUMNS(Metadata!B620:Q620)</f>
        <v>0</v>
      </c>
      <c r="Z620">
        <v>0</v>
      </c>
      <c r="AB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AC620">
        <f>AND(IF(Metadata!C620="",FALSE,TRUE),exact(Metadata!C620,"urban biome"))</f>
        <v>0</v>
      </c>
      <c r="AD620">
        <f>AND(IF(Metadata!D620="",FALSE,TRUE),exact(Metadata!D620,"human-associated habitat"))</f>
        <v>0</v>
      </c>
      <c r="AE620">
        <f>AND(IF(Metadata!E620="",FALSE,TRUE),OR(exact(Metadata!E620,"human-associated"),exact(Metadata!E620,"human-skin"),exact(Metadata!E620,"human-oral"),exact(Metadata!E620,"human-gut"),exact(Metadata!E620,"human-vaginal")))</f>
        <v>0</v>
      </c>
      <c r="AF620">
        <f>AND(IF(Metadata!F620="",FALSE,ISNUMBER(VALUE(Metadata!F620))),Metadata!F620&gt;0)</f>
        <v>0</v>
      </c>
      <c r="AG620">
        <f>AND(IF(Metadata!G620="",FALSE,TRUE),exact(Metadata!G620,"years"))</f>
        <v>0</v>
      </c>
      <c r="AH620">
        <f>OR(AND(IF(Metadata!H620="",FALSE,TRUE),OR(exact(Metadata!H620,"not applicable"),exact(Metadata!H620,"not collected"),exact(Metadata!H620,"not provided"),exact(Metadata!H620,"restricted access"))),AND(IF(Metadata!H620="",FALSE,ISNUMBER(VALUE(Metadata!H620))),Metadata!H620&gt;0))</f>
        <v>0</v>
      </c>
      <c r="AI620">
        <f>AND(IF(Metadata!I620="",FALSE,TRUE),exact(Metadata!I620,"human"))</f>
        <v>0</v>
      </c>
      <c r="AJ620">
        <f>AND(IF(Metadata!J620="",FALSE,ISNUMBER(VALUE(Metadata!J620))),Metadata!J620&gt;0)</f>
        <v>0</v>
      </c>
      <c r="AK620">
        <f>AND(IF(Metadata!K620="",FALSE,TRUE),exact(Metadata!K620,"cm"))</f>
        <v>0</v>
      </c>
      <c r="AL620">
        <f>AND(IF(Metadata!L620="",FALSE,TRUE),exact(Metadata!L620,"Homo sapiens"))</f>
        <v>0</v>
      </c>
      <c r="AM620">
        <f>AND(IF(Metadata!M620="",FALSE,TRUE),exact(Metadata!M620,"9606"))</f>
        <v>0</v>
      </c>
      <c r="AN620">
        <f>AND(IF(Metadata!N620="",FALSE,ISNUMBER(VALUE(Metadata!N620))),Metadata!N620&gt;0)</f>
        <v>0</v>
      </c>
      <c r="AO620">
        <f>AND(IF(Metadata!O620="",FALSE,TRUE),exact(Metadata!O620,"kg"))</f>
        <v>0</v>
      </c>
      <c r="AP620">
        <f>OR(AND(IF(Metadata!P620="",FALSE,TRUE),exact(Metadata!P620,"not provided")),IF(Metadata!P620="",FALSE,TRUE))</f>
        <v>0</v>
      </c>
      <c r="AQ620">
        <f>OR(AND(IF(Metadata!Q620="",FALSE,TRUE),exact(Metadata!Q620,"not provided")),IF(Metadata!Q620="",FALSE,TRUE))</f>
        <v>0</v>
      </c>
    </row>
    <row r="621" spans="1:43">
      <c r="A621" s="4">
        <f>IF(B621=" "," ",HYPERLINK(CONCATENATE("#metadata!",ADDRESS(INDEX($W$2:$W$1001,MATCH(ROWS($U$2:U621),$U$2:$U$1001,0),0),2)),INDEX($Z$2:$Z$1001,MATCH(ROWS($U$2:U621),$U$2:$U$1001,0),0)))</f>
        <v>0</v>
      </c>
      <c r="B621" s="5">
        <f>IF(OR(INDEX($V$2:$V$1001,MATCH(ROWS($U$2:U621),$U$2:$U$1001,0),1)&gt;=100000,INDEX($AB$1005:$AQ$1005,1,MATCH(COLUMNS($AB$1006:AB1006),$AB$1006:$AQ$1006,0))&gt;=100000), " ",IF(INDEX($AB$2:$AQ$1001,MATCH(ROWS($U$2:U621),$U$2:$U$1001,0),MATCH(COLUMNS($AB$1006:AB1006),$AB$1006:$AQ$1006,0)), HYPERLINK("#",""), HYPERLINK(CONCATENATE("#Metadata!", ADDRESS(INDEX($W$2:$W$1001,MATCH(ROWS($U$2:U621),$U$2:$U$1001,0),0), INDEX($AB$1004:$AQ$1004,1,MATCH(COLUMNS($AB$1006:AB1006),$AB$1006:$AQ$1006,0)))),"Fix")))</f>
        <v>0</v>
      </c>
      <c r="C621" s="5">
        <f>IF(OR(INDEX($V$2:$V$1001,MATCH(ROWS($U$2:U621),$U$2:$U$1001,0),1)&gt;=100000,INDEX($AB$1005:$AQ$1005,1,MATCH(COLUMNS($AB$1006:AC1006),$AB$1006:$AQ$1006,0))&gt;=100000), " ",IF(INDEX($AB$2:$AQ$1001,MATCH(ROWS($U$2:U621),$U$2:$U$1001,0),MATCH(COLUMNS($AB$1006:AC1006),$AB$1006:$AQ$1006,0)), HYPERLINK("#",""), HYPERLINK(CONCATENATE("#Metadata!", ADDRESS(INDEX($W$2:$W$1001,MATCH(ROWS($U$2:U621),$U$2:$U$1001,0),0), INDEX($AB$1004:$AQ$1004,1,MATCH(COLUMNS($AB$1006:AC1006),$AB$1006:$AQ$1006,0)))),"Fix")))</f>
        <v>0</v>
      </c>
      <c r="D621" s="5">
        <f>IF(OR(INDEX($V$2:$V$1001,MATCH(ROWS($U$2:U621),$U$2:$U$1001,0),1)&gt;=100000,INDEX($AB$1005:$AQ$1005,1,MATCH(COLUMNS($AB$1006:AD1006),$AB$1006:$AQ$1006,0))&gt;=100000), " ",IF(INDEX($AB$2:$AQ$1001,MATCH(ROWS($U$2:U621),$U$2:$U$1001,0),MATCH(COLUMNS($AB$1006:AD1006),$AB$1006:$AQ$1006,0)), HYPERLINK("#",""), HYPERLINK(CONCATENATE("#Metadata!", ADDRESS(INDEX($W$2:$W$1001,MATCH(ROWS($U$2:U621),$U$2:$U$1001,0),0), INDEX($AB$1004:$AQ$1004,1,MATCH(COLUMNS($AB$1006:AD1006),$AB$1006:$AQ$1006,0)))),"Fix")))</f>
        <v>0</v>
      </c>
      <c r="E621" s="5">
        <f>IF(OR(INDEX($V$2:$V$1001,MATCH(ROWS($U$2:U621),$U$2:$U$1001,0),1)&gt;=100000,INDEX($AB$1005:$AQ$1005,1,MATCH(COLUMNS($AB$1006:AE1006),$AB$1006:$AQ$1006,0))&gt;=100000), " ",IF(INDEX($AB$2:$AQ$1001,MATCH(ROWS($U$2:U621),$U$2:$U$1001,0),MATCH(COLUMNS($AB$1006:AE1006),$AB$1006:$AQ$1006,0)), HYPERLINK("#",""), HYPERLINK(CONCATENATE("#Metadata!", ADDRESS(INDEX($W$2:$W$1001,MATCH(ROWS($U$2:U621),$U$2:$U$1001,0),0), INDEX($AB$1004:$AQ$1004,1,MATCH(COLUMNS($AB$1006:AE1006),$AB$1006:$AQ$1006,0)))),"Fix")))</f>
        <v>0</v>
      </c>
      <c r="F621" s="5">
        <f>IF(OR(INDEX($V$2:$V$1001,MATCH(ROWS($U$2:U621),$U$2:$U$1001,0),1)&gt;=100000,INDEX($AB$1005:$AQ$1005,1,MATCH(COLUMNS($AB$1006:AF1006),$AB$1006:$AQ$1006,0))&gt;=100000), " ",IF(INDEX($AB$2:$AQ$1001,MATCH(ROWS($U$2:U621),$U$2:$U$1001,0),MATCH(COLUMNS($AB$1006:AF1006),$AB$1006:$AQ$1006,0)), HYPERLINK("#",""), HYPERLINK(CONCATENATE("#Metadata!", ADDRESS(INDEX($W$2:$W$1001,MATCH(ROWS($U$2:U621),$U$2:$U$1001,0),0), INDEX($AB$1004:$AQ$1004,1,MATCH(COLUMNS($AB$1006:AF1006),$AB$1006:$AQ$1006,0)))),"Fix")))</f>
        <v>0</v>
      </c>
      <c r="G621" s="5">
        <f>IF(OR(INDEX($V$2:$V$1001,MATCH(ROWS($U$2:U621),$U$2:$U$1001,0),1)&gt;=100000,INDEX($AB$1005:$AQ$1005,1,MATCH(COLUMNS($AB$1006:AG1006),$AB$1006:$AQ$1006,0))&gt;=100000), " ",IF(INDEX($AB$2:$AQ$1001,MATCH(ROWS($U$2:U621),$U$2:$U$1001,0),MATCH(COLUMNS($AB$1006:AG1006),$AB$1006:$AQ$1006,0)), HYPERLINK("#",""), HYPERLINK(CONCATENATE("#Metadata!", ADDRESS(INDEX($W$2:$W$1001,MATCH(ROWS($U$2:U621),$U$2:$U$1001,0),0), INDEX($AB$1004:$AQ$1004,1,MATCH(COLUMNS($AB$1006:AG1006),$AB$1006:$AQ$1006,0)))),"Fix")))</f>
        <v>0</v>
      </c>
      <c r="H621" s="5">
        <f>IF(OR(INDEX($V$2:$V$1001,MATCH(ROWS($U$2:U621),$U$2:$U$1001,0),1)&gt;=100000,INDEX($AB$1005:$AQ$1005,1,MATCH(COLUMNS($AB$1006:AH1006),$AB$1006:$AQ$1006,0))&gt;=100000), " ",IF(INDEX($AB$2:$AQ$1001,MATCH(ROWS($U$2:U621),$U$2:$U$1001,0),MATCH(COLUMNS($AB$1006:AH1006),$AB$1006:$AQ$1006,0)), HYPERLINK("#",""), HYPERLINK(CONCATENATE("#Metadata!", ADDRESS(INDEX($W$2:$W$1001,MATCH(ROWS($U$2:U621),$U$2:$U$1001,0),0), INDEX($AB$1004:$AQ$1004,1,MATCH(COLUMNS($AB$1006:AH1006),$AB$1006:$AQ$1006,0)))),"Fix")))</f>
        <v>0</v>
      </c>
      <c r="I621" s="5">
        <f>IF(OR(INDEX($V$2:$V$1001,MATCH(ROWS($U$2:U621),$U$2:$U$1001,0),1)&gt;=100000,INDEX($AB$1005:$AQ$1005,1,MATCH(COLUMNS($AB$1006:AI1006),$AB$1006:$AQ$1006,0))&gt;=100000), " ",IF(INDEX($AB$2:$AQ$1001,MATCH(ROWS($U$2:U621),$U$2:$U$1001,0),MATCH(COLUMNS($AB$1006:AI1006),$AB$1006:$AQ$1006,0)), HYPERLINK("#",""), HYPERLINK(CONCATENATE("#Metadata!", ADDRESS(INDEX($W$2:$W$1001,MATCH(ROWS($U$2:U621),$U$2:$U$1001,0),0), INDEX($AB$1004:$AQ$1004,1,MATCH(COLUMNS($AB$1006:AI1006),$AB$1006:$AQ$1006,0)))),"Fix")))</f>
        <v>0</v>
      </c>
      <c r="J621" s="5">
        <f>IF(OR(INDEX($V$2:$V$1001,MATCH(ROWS($U$2:U621),$U$2:$U$1001,0),1)&gt;=100000,INDEX($AB$1005:$AQ$1005,1,MATCH(COLUMNS($AB$1006:AJ1006),$AB$1006:$AQ$1006,0))&gt;=100000), " ",IF(INDEX($AB$2:$AQ$1001,MATCH(ROWS($U$2:U621),$U$2:$U$1001,0),MATCH(COLUMNS($AB$1006:AJ1006),$AB$1006:$AQ$1006,0)), HYPERLINK("#",""), HYPERLINK(CONCATENATE("#Metadata!", ADDRESS(INDEX($W$2:$W$1001,MATCH(ROWS($U$2:U621),$U$2:$U$1001,0),0), INDEX($AB$1004:$AQ$1004,1,MATCH(COLUMNS($AB$1006:AJ1006),$AB$1006:$AQ$1006,0)))),"Fix")))</f>
        <v>0</v>
      </c>
      <c r="K621" s="5">
        <f>IF(OR(INDEX($V$2:$V$1001,MATCH(ROWS($U$2:U621),$U$2:$U$1001,0),1)&gt;=100000,INDEX($AB$1005:$AQ$1005,1,MATCH(COLUMNS($AB$1006:AK1006),$AB$1006:$AQ$1006,0))&gt;=100000), " ",IF(INDEX($AB$2:$AQ$1001,MATCH(ROWS($U$2:U621),$U$2:$U$1001,0),MATCH(COLUMNS($AB$1006:AK1006),$AB$1006:$AQ$1006,0)), HYPERLINK("#",""), HYPERLINK(CONCATENATE("#Metadata!", ADDRESS(INDEX($W$2:$W$1001,MATCH(ROWS($U$2:U621),$U$2:$U$1001,0),0), INDEX($AB$1004:$AQ$1004,1,MATCH(COLUMNS($AB$1006:AK1006),$AB$1006:$AQ$1006,0)))),"Fix")))</f>
        <v>0</v>
      </c>
      <c r="L621" s="5">
        <f>IF(OR(INDEX($V$2:$V$1001,MATCH(ROWS($U$2:U621),$U$2:$U$1001,0),1)&gt;=100000,INDEX($AB$1005:$AQ$1005,1,MATCH(COLUMNS($AB$1006:AL1006),$AB$1006:$AQ$1006,0))&gt;=100000), " ",IF(INDEX($AB$2:$AQ$1001,MATCH(ROWS($U$2:U621),$U$2:$U$1001,0),MATCH(COLUMNS($AB$1006:AL1006),$AB$1006:$AQ$1006,0)), HYPERLINK("#",""), HYPERLINK(CONCATENATE("#Metadata!", ADDRESS(INDEX($W$2:$W$1001,MATCH(ROWS($U$2:U621),$U$2:$U$1001,0),0), INDEX($AB$1004:$AQ$1004,1,MATCH(COLUMNS($AB$1006:AL1006),$AB$1006:$AQ$1006,0)))),"Fix")))</f>
        <v>0</v>
      </c>
      <c r="M621" s="5">
        <f>IF(OR(INDEX($V$2:$V$1001,MATCH(ROWS($U$2:U621),$U$2:$U$1001,0),1)&gt;=100000,INDEX($AB$1005:$AQ$1005,1,MATCH(COLUMNS($AB$1006:AM1006),$AB$1006:$AQ$1006,0))&gt;=100000), " ",IF(INDEX($AB$2:$AQ$1001,MATCH(ROWS($U$2:U621),$U$2:$U$1001,0),MATCH(COLUMNS($AB$1006:AM1006),$AB$1006:$AQ$1006,0)), HYPERLINK("#",""), HYPERLINK(CONCATENATE("#Metadata!", ADDRESS(INDEX($W$2:$W$1001,MATCH(ROWS($U$2:U621),$U$2:$U$1001,0),0), INDEX($AB$1004:$AQ$1004,1,MATCH(COLUMNS($AB$1006:AM1006),$AB$1006:$AQ$1006,0)))),"Fix")))</f>
        <v>0</v>
      </c>
      <c r="N621" s="5">
        <f>IF(OR(INDEX($V$2:$V$1001,MATCH(ROWS($U$2:U621),$U$2:$U$1001,0),1)&gt;=100000,INDEX($AB$1005:$AQ$1005,1,MATCH(COLUMNS($AB$1006:AN1006),$AB$1006:$AQ$1006,0))&gt;=100000), " ",IF(INDEX($AB$2:$AQ$1001,MATCH(ROWS($U$2:U621),$U$2:$U$1001,0),MATCH(COLUMNS($AB$1006:AN1006),$AB$1006:$AQ$1006,0)), HYPERLINK("#",""), HYPERLINK(CONCATENATE("#Metadata!", ADDRESS(INDEX($W$2:$W$1001,MATCH(ROWS($U$2:U621),$U$2:$U$1001,0),0), INDEX($AB$1004:$AQ$1004,1,MATCH(COLUMNS($AB$1006:AN1006),$AB$1006:$AQ$1006,0)))),"Fix")))</f>
        <v>0</v>
      </c>
      <c r="O621" s="5">
        <f>IF(OR(INDEX($V$2:$V$1001,MATCH(ROWS($U$2:U621),$U$2:$U$1001,0),1)&gt;=100000,INDEX($AB$1005:$AQ$1005,1,MATCH(COLUMNS($AB$1006:AO1006),$AB$1006:$AQ$1006,0))&gt;=100000), " ",IF(INDEX($AB$2:$AQ$1001,MATCH(ROWS($U$2:U621),$U$2:$U$1001,0),MATCH(COLUMNS($AB$1006:AO1006),$AB$1006:$AQ$1006,0)), HYPERLINK("#",""), HYPERLINK(CONCATENATE("#Metadata!", ADDRESS(INDEX($W$2:$W$1001,MATCH(ROWS($U$2:U621),$U$2:$U$1001,0),0), INDEX($AB$1004:$AQ$1004,1,MATCH(COLUMNS($AB$1006:AO1006),$AB$1006:$AQ$1006,0)))),"Fix")))</f>
        <v>0</v>
      </c>
      <c r="P621" s="5">
        <f>IF(OR(INDEX($V$2:$V$1001,MATCH(ROWS($U$2:U621),$U$2:$U$1001,0),1)&gt;=100000,INDEX($AB$1005:$AQ$1005,1,MATCH(COLUMNS($AB$1006:AP1006),$AB$1006:$AQ$1006,0))&gt;=100000), " ",IF(INDEX($AB$2:$AQ$1001,MATCH(ROWS($U$2:U621),$U$2:$U$1001,0),MATCH(COLUMNS($AB$1006:AP1006),$AB$1006:$AQ$1006,0)), HYPERLINK("#",""), HYPERLINK(CONCATENATE("#Metadata!", ADDRESS(INDEX($W$2:$W$1001,MATCH(ROWS($U$2:U621),$U$2:$U$1001,0),0), INDEX($AB$1004:$AQ$1004,1,MATCH(COLUMNS($AB$1006:AP1006),$AB$1006:$AQ$1006,0)))),"Fix")))</f>
        <v>0</v>
      </c>
      <c r="Q621" s="5">
        <f>IF(OR(INDEX($V$2:$V$1001,MATCH(ROWS($U$2:U621),$U$2:$U$1001,0),1)&gt;=100000,INDEX($AB$1005:$AQ$1005,1,MATCH(COLUMNS($AB$1006:AQ1006),$AB$1006:$AQ$1006,0))&gt;=100000), " ",IF(INDEX($AB$2:$AQ$1001,MATCH(ROWS($U$2:U621),$U$2:$U$1001,0),MATCH(COLUMNS($AB$1006:AQ1006),$AB$1006:$AQ$1006,0)), HYPERLINK("#",""), HYPERLINK(CONCATENATE("#Metadata!", ADDRESS(INDEX($W$2:$W$1001,MATCH(ROWS($U$2:U621),$U$2:$U$1001,0),0), INDEX($AB$1004:$AQ$1004,1,MATCH(COLUMNS($AB$1006:AQ1006),$AB$1006:$AQ$1006,0)))),"Fix")))</f>
        <v>0</v>
      </c>
      <c r="U621">
        <v>0</v>
      </c>
      <c r="V621">
        <v>0</v>
      </c>
      <c r="W621">
        <v>0</v>
      </c>
      <c r="X621">
        <f>IF(Y621,TRUE,AND(AB621:AQ621))</f>
        <v>0</v>
      </c>
      <c r="Y621">
        <f>COUNTBLANK(Metadata!B621:Q621)=COLUMNS(Metadata!B621:Q621)</f>
        <v>0</v>
      </c>
      <c r="Z621">
        <v>0</v>
      </c>
      <c r="AB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AC621">
        <f>AND(IF(Metadata!C621="",FALSE,TRUE),exact(Metadata!C621,"urban biome"))</f>
        <v>0</v>
      </c>
      <c r="AD621">
        <f>AND(IF(Metadata!D621="",FALSE,TRUE),exact(Metadata!D621,"human-associated habitat"))</f>
        <v>0</v>
      </c>
      <c r="AE621">
        <f>AND(IF(Metadata!E621="",FALSE,TRUE),OR(exact(Metadata!E621,"human-associated"),exact(Metadata!E621,"human-skin"),exact(Metadata!E621,"human-oral"),exact(Metadata!E621,"human-gut"),exact(Metadata!E621,"human-vaginal")))</f>
        <v>0</v>
      </c>
      <c r="AF621">
        <f>AND(IF(Metadata!F621="",FALSE,ISNUMBER(VALUE(Metadata!F621))),Metadata!F621&gt;0)</f>
        <v>0</v>
      </c>
      <c r="AG621">
        <f>AND(IF(Metadata!G621="",FALSE,TRUE),exact(Metadata!G621,"years"))</f>
        <v>0</v>
      </c>
      <c r="AH621">
        <f>OR(AND(IF(Metadata!H621="",FALSE,TRUE),OR(exact(Metadata!H621,"not applicable"),exact(Metadata!H621,"not collected"),exact(Metadata!H621,"not provided"),exact(Metadata!H621,"restricted access"))),AND(IF(Metadata!H621="",FALSE,ISNUMBER(VALUE(Metadata!H621))),Metadata!H621&gt;0))</f>
        <v>0</v>
      </c>
      <c r="AI621">
        <f>AND(IF(Metadata!I621="",FALSE,TRUE),exact(Metadata!I621,"human"))</f>
        <v>0</v>
      </c>
      <c r="AJ621">
        <f>AND(IF(Metadata!J621="",FALSE,ISNUMBER(VALUE(Metadata!J621))),Metadata!J621&gt;0)</f>
        <v>0</v>
      </c>
      <c r="AK621">
        <f>AND(IF(Metadata!K621="",FALSE,TRUE),exact(Metadata!K621,"cm"))</f>
        <v>0</v>
      </c>
      <c r="AL621">
        <f>AND(IF(Metadata!L621="",FALSE,TRUE),exact(Metadata!L621,"Homo sapiens"))</f>
        <v>0</v>
      </c>
      <c r="AM621">
        <f>AND(IF(Metadata!M621="",FALSE,TRUE),exact(Metadata!M621,"9606"))</f>
        <v>0</v>
      </c>
      <c r="AN621">
        <f>AND(IF(Metadata!N621="",FALSE,ISNUMBER(VALUE(Metadata!N621))),Metadata!N621&gt;0)</f>
        <v>0</v>
      </c>
      <c r="AO621">
        <f>AND(IF(Metadata!O621="",FALSE,TRUE),exact(Metadata!O621,"kg"))</f>
        <v>0</v>
      </c>
      <c r="AP621">
        <f>OR(AND(IF(Metadata!P621="",FALSE,TRUE),exact(Metadata!P621,"not provided")),IF(Metadata!P621="",FALSE,TRUE))</f>
        <v>0</v>
      </c>
      <c r="AQ621">
        <f>OR(AND(IF(Metadata!Q621="",FALSE,TRUE),exact(Metadata!Q621,"not provided")),IF(Metadata!Q621="",FALSE,TRUE))</f>
        <v>0</v>
      </c>
    </row>
    <row r="622" spans="1:43">
      <c r="A622" s="4">
        <f>IF(B622=" "," ",HYPERLINK(CONCATENATE("#metadata!",ADDRESS(INDEX($W$2:$W$1001,MATCH(ROWS($U$2:U622),$U$2:$U$1001,0),0),2)),INDEX($Z$2:$Z$1001,MATCH(ROWS($U$2:U622),$U$2:$U$1001,0),0)))</f>
        <v>0</v>
      </c>
      <c r="B622" s="5">
        <f>IF(OR(INDEX($V$2:$V$1001,MATCH(ROWS($U$2:U622),$U$2:$U$1001,0),1)&gt;=100000,INDEX($AB$1005:$AQ$1005,1,MATCH(COLUMNS($AB$1006:AB1006),$AB$1006:$AQ$1006,0))&gt;=100000), " ",IF(INDEX($AB$2:$AQ$1001,MATCH(ROWS($U$2:U622),$U$2:$U$1001,0),MATCH(COLUMNS($AB$1006:AB1006),$AB$1006:$AQ$1006,0)), HYPERLINK("#",""), HYPERLINK(CONCATENATE("#Metadata!", ADDRESS(INDEX($W$2:$W$1001,MATCH(ROWS($U$2:U622),$U$2:$U$1001,0),0), INDEX($AB$1004:$AQ$1004,1,MATCH(COLUMNS($AB$1006:AB1006),$AB$1006:$AQ$1006,0)))),"Fix")))</f>
        <v>0</v>
      </c>
      <c r="C622" s="5">
        <f>IF(OR(INDEX($V$2:$V$1001,MATCH(ROWS($U$2:U622),$U$2:$U$1001,0),1)&gt;=100000,INDEX($AB$1005:$AQ$1005,1,MATCH(COLUMNS($AB$1006:AC1006),$AB$1006:$AQ$1006,0))&gt;=100000), " ",IF(INDEX($AB$2:$AQ$1001,MATCH(ROWS($U$2:U622),$U$2:$U$1001,0),MATCH(COLUMNS($AB$1006:AC1006),$AB$1006:$AQ$1006,0)), HYPERLINK("#",""), HYPERLINK(CONCATENATE("#Metadata!", ADDRESS(INDEX($W$2:$W$1001,MATCH(ROWS($U$2:U622),$U$2:$U$1001,0),0), INDEX($AB$1004:$AQ$1004,1,MATCH(COLUMNS($AB$1006:AC1006),$AB$1006:$AQ$1006,0)))),"Fix")))</f>
        <v>0</v>
      </c>
      <c r="D622" s="5">
        <f>IF(OR(INDEX($V$2:$V$1001,MATCH(ROWS($U$2:U622),$U$2:$U$1001,0),1)&gt;=100000,INDEX($AB$1005:$AQ$1005,1,MATCH(COLUMNS($AB$1006:AD1006),$AB$1006:$AQ$1006,0))&gt;=100000), " ",IF(INDEX($AB$2:$AQ$1001,MATCH(ROWS($U$2:U622),$U$2:$U$1001,0),MATCH(COLUMNS($AB$1006:AD1006),$AB$1006:$AQ$1006,0)), HYPERLINK("#",""), HYPERLINK(CONCATENATE("#Metadata!", ADDRESS(INDEX($W$2:$W$1001,MATCH(ROWS($U$2:U622),$U$2:$U$1001,0),0), INDEX($AB$1004:$AQ$1004,1,MATCH(COLUMNS($AB$1006:AD1006),$AB$1006:$AQ$1006,0)))),"Fix")))</f>
        <v>0</v>
      </c>
      <c r="E622" s="5">
        <f>IF(OR(INDEX($V$2:$V$1001,MATCH(ROWS($U$2:U622),$U$2:$U$1001,0),1)&gt;=100000,INDEX($AB$1005:$AQ$1005,1,MATCH(COLUMNS($AB$1006:AE1006),$AB$1006:$AQ$1006,0))&gt;=100000), " ",IF(INDEX($AB$2:$AQ$1001,MATCH(ROWS($U$2:U622),$U$2:$U$1001,0),MATCH(COLUMNS($AB$1006:AE1006),$AB$1006:$AQ$1006,0)), HYPERLINK("#",""), HYPERLINK(CONCATENATE("#Metadata!", ADDRESS(INDEX($W$2:$W$1001,MATCH(ROWS($U$2:U622),$U$2:$U$1001,0),0), INDEX($AB$1004:$AQ$1004,1,MATCH(COLUMNS($AB$1006:AE1006),$AB$1006:$AQ$1006,0)))),"Fix")))</f>
        <v>0</v>
      </c>
      <c r="F622" s="5">
        <f>IF(OR(INDEX($V$2:$V$1001,MATCH(ROWS($U$2:U622),$U$2:$U$1001,0),1)&gt;=100000,INDEX($AB$1005:$AQ$1005,1,MATCH(COLUMNS($AB$1006:AF1006),$AB$1006:$AQ$1006,0))&gt;=100000), " ",IF(INDEX($AB$2:$AQ$1001,MATCH(ROWS($U$2:U622),$U$2:$U$1001,0),MATCH(COLUMNS($AB$1006:AF1006),$AB$1006:$AQ$1006,0)), HYPERLINK("#",""), HYPERLINK(CONCATENATE("#Metadata!", ADDRESS(INDEX($W$2:$W$1001,MATCH(ROWS($U$2:U622),$U$2:$U$1001,0),0), INDEX($AB$1004:$AQ$1004,1,MATCH(COLUMNS($AB$1006:AF1006),$AB$1006:$AQ$1006,0)))),"Fix")))</f>
        <v>0</v>
      </c>
      <c r="G622" s="5">
        <f>IF(OR(INDEX($V$2:$V$1001,MATCH(ROWS($U$2:U622),$U$2:$U$1001,0),1)&gt;=100000,INDEX($AB$1005:$AQ$1005,1,MATCH(COLUMNS($AB$1006:AG1006),$AB$1006:$AQ$1006,0))&gt;=100000), " ",IF(INDEX($AB$2:$AQ$1001,MATCH(ROWS($U$2:U622),$U$2:$U$1001,0),MATCH(COLUMNS($AB$1006:AG1006),$AB$1006:$AQ$1006,0)), HYPERLINK("#",""), HYPERLINK(CONCATENATE("#Metadata!", ADDRESS(INDEX($W$2:$W$1001,MATCH(ROWS($U$2:U622),$U$2:$U$1001,0),0), INDEX($AB$1004:$AQ$1004,1,MATCH(COLUMNS($AB$1006:AG1006),$AB$1006:$AQ$1006,0)))),"Fix")))</f>
        <v>0</v>
      </c>
      <c r="H622" s="5">
        <f>IF(OR(INDEX($V$2:$V$1001,MATCH(ROWS($U$2:U622),$U$2:$U$1001,0),1)&gt;=100000,INDEX($AB$1005:$AQ$1005,1,MATCH(COLUMNS($AB$1006:AH1006),$AB$1006:$AQ$1006,0))&gt;=100000), " ",IF(INDEX($AB$2:$AQ$1001,MATCH(ROWS($U$2:U622),$U$2:$U$1001,0),MATCH(COLUMNS($AB$1006:AH1006),$AB$1006:$AQ$1006,0)), HYPERLINK("#",""), HYPERLINK(CONCATENATE("#Metadata!", ADDRESS(INDEX($W$2:$W$1001,MATCH(ROWS($U$2:U622),$U$2:$U$1001,0),0), INDEX($AB$1004:$AQ$1004,1,MATCH(COLUMNS($AB$1006:AH1006),$AB$1006:$AQ$1006,0)))),"Fix")))</f>
        <v>0</v>
      </c>
      <c r="I622" s="5">
        <f>IF(OR(INDEX($V$2:$V$1001,MATCH(ROWS($U$2:U622),$U$2:$U$1001,0),1)&gt;=100000,INDEX($AB$1005:$AQ$1005,1,MATCH(COLUMNS($AB$1006:AI1006),$AB$1006:$AQ$1006,0))&gt;=100000), " ",IF(INDEX($AB$2:$AQ$1001,MATCH(ROWS($U$2:U622),$U$2:$U$1001,0),MATCH(COLUMNS($AB$1006:AI1006),$AB$1006:$AQ$1006,0)), HYPERLINK("#",""), HYPERLINK(CONCATENATE("#Metadata!", ADDRESS(INDEX($W$2:$W$1001,MATCH(ROWS($U$2:U622),$U$2:$U$1001,0),0), INDEX($AB$1004:$AQ$1004,1,MATCH(COLUMNS($AB$1006:AI1006),$AB$1006:$AQ$1006,0)))),"Fix")))</f>
        <v>0</v>
      </c>
      <c r="J622" s="5">
        <f>IF(OR(INDEX($V$2:$V$1001,MATCH(ROWS($U$2:U622),$U$2:$U$1001,0),1)&gt;=100000,INDEX($AB$1005:$AQ$1005,1,MATCH(COLUMNS($AB$1006:AJ1006),$AB$1006:$AQ$1006,0))&gt;=100000), " ",IF(INDEX($AB$2:$AQ$1001,MATCH(ROWS($U$2:U622),$U$2:$U$1001,0),MATCH(COLUMNS($AB$1006:AJ1006),$AB$1006:$AQ$1006,0)), HYPERLINK("#",""), HYPERLINK(CONCATENATE("#Metadata!", ADDRESS(INDEX($W$2:$W$1001,MATCH(ROWS($U$2:U622),$U$2:$U$1001,0),0), INDEX($AB$1004:$AQ$1004,1,MATCH(COLUMNS($AB$1006:AJ1006),$AB$1006:$AQ$1006,0)))),"Fix")))</f>
        <v>0</v>
      </c>
      <c r="K622" s="5">
        <f>IF(OR(INDEX($V$2:$V$1001,MATCH(ROWS($U$2:U622),$U$2:$U$1001,0),1)&gt;=100000,INDEX($AB$1005:$AQ$1005,1,MATCH(COLUMNS($AB$1006:AK1006),$AB$1006:$AQ$1006,0))&gt;=100000), " ",IF(INDEX($AB$2:$AQ$1001,MATCH(ROWS($U$2:U622),$U$2:$U$1001,0),MATCH(COLUMNS($AB$1006:AK1006),$AB$1006:$AQ$1006,0)), HYPERLINK("#",""), HYPERLINK(CONCATENATE("#Metadata!", ADDRESS(INDEX($W$2:$W$1001,MATCH(ROWS($U$2:U622),$U$2:$U$1001,0),0), INDEX($AB$1004:$AQ$1004,1,MATCH(COLUMNS($AB$1006:AK1006),$AB$1006:$AQ$1006,0)))),"Fix")))</f>
        <v>0</v>
      </c>
      <c r="L622" s="5">
        <f>IF(OR(INDEX($V$2:$V$1001,MATCH(ROWS($U$2:U622),$U$2:$U$1001,0),1)&gt;=100000,INDEX($AB$1005:$AQ$1005,1,MATCH(COLUMNS($AB$1006:AL1006),$AB$1006:$AQ$1006,0))&gt;=100000), " ",IF(INDEX($AB$2:$AQ$1001,MATCH(ROWS($U$2:U622),$U$2:$U$1001,0),MATCH(COLUMNS($AB$1006:AL1006),$AB$1006:$AQ$1006,0)), HYPERLINK("#",""), HYPERLINK(CONCATENATE("#Metadata!", ADDRESS(INDEX($W$2:$W$1001,MATCH(ROWS($U$2:U622),$U$2:$U$1001,0),0), INDEX($AB$1004:$AQ$1004,1,MATCH(COLUMNS($AB$1006:AL1006),$AB$1006:$AQ$1006,0)))),"Fix")))</f>
        <v>0</v>
      </c>
      <c r="M622" s="5">
        <f>IF(OR(INDEX($V$2:$V$1001,MATCH(ROWS($U$2:U622),$U$2:$U$1001,0),1)&gt;=100000,INDEX($AB$1005:$AQ$1005,1,MATCH(COLUMNS($AB$1006:AM1006),$AB$1006:$AQ$1006,0))&gt;=100000), " ",IF(INDEX($AB$2:$AQ$1001,MATCH(ROWS($U$2:U622),$U$2:$U$1001,0),MATCH(COLUMNS($AB$1006:AM1006),$AB$1006:$AQ$1006,0)), HYPERLINK("#",""), HYPERLINK(CONCATENATE("#Metadata!", ADDRESS(INDEX($W$2:$W$1001,MATCH(ROWS($U$2:U622),$U$2:$U$1001,0),0), INDEX($AB$1004:$AQ$1004,1,MATCH(COLUMNS($AB$1006:AM1006),$AB$1006:$AQ$1006,0)))),"Fix")))</f>
        <v>0</v>
      </c>
      <c r="N622" s="5">
        <f>IF(OR(INDEX($V$2:$V$1001,MATCH(ROWS($U$2:U622),$U$2:$U$1001,0),1)&gt;=100000,INDEX($AB$1005:$AQ$1005,1,MATCH(COLUMNS($AB$1006:AN1006),$AB$1006:$AQ$1006,0))&gt;=100000), " ",IF(INDEX($AB$2:$AQ$1001,MATCH(ROWS($U$2:U622),$U$2:$U$1001,0),MATCH(COLUMNS($AB$1006:AN1006),$AB$1006:$AQ$1006,0)), HYPERLINK("#",""), HYPERLINK(CONCATENATE("#Metadata!", ADDRESS(INDEX($W$2:$W$1001,MATCH(ROWS($U$2:U622),$U$2:$U$1001,0),0), INDEX($AB$1004:$AQ$1004,1,MATCH(COLUMNS($AB$1006:AN1006),$AB$1006:$AQ$1006,0)))),"Fix")))</f>
        <v>0</v>
      </c>
      <c r="O622" s="5">
        <f>IF(OR(INDEX($V$2:$V$1001,MATCH(ROWS($U$2:U622),$U$2:$U$1001,0),1)&gt;=100000,INDEX($AB$1005:$AQ$1005,1,MATCH(COLUMNS($AB$1006:AO1006),$AB$1006:$AQ$1006,0))&gt;=100000), " ",IF(INDEX($AB$2:$AQ$1001,MATCH(ROWS($U$2:U622),$U$2:$U$1001,0),MATCH(COLUMNS($AB$1006:AO1006),$AB$1006:$AQ$1006,0)), HYPERLINK("#",""), HYPERLINK(CONCATENATE("#Metadata!", ADDRESS(INDEX($W$2:$W$1001,MATCH(ROWS($U$2:U622),$U$2:$U$1001,0),0), INDEX($AB$1004:$AQ$1004,1,MATCH(COLUMNS($AB$1006:AO1006),$AB$1006:$AQ$1006,0)))),"Fix")))</f>
        <v>0</v>
      </c>
      <c r="P622" s="5">
        <f>IF(OR(INDEX($V$2:$V$1001,MATCH(ROWS($U$2:U622),$U$2:$U$1001,0),1)&gt;=100000,INDEX($AB$1005:$AQ$1005,1,MATCH(COLUMNS($AB$1006:AP1006),$AB$1006:$AQ$1006,0))&gt;=100000), " ",IF(INDEX($AB$2:$AQ$1001,MATCH(ROWS($U$2:U622),$U$2:$U$1001,0),MATCH(COLUMNS($AB$1006:AP1006),$AB$1006:$AQ$1006,0)), HYPERLINK("#",""), HYPERLINK(CONCATENATE("#Metadata!", ADDRESS(INDEX($W$2:$W$1001,MATCH(ROWS($U$2:U622),$U$2:$U$1001,0),0), INDEX($AB$1004:$AQ$1004,1,MATCH(COLUMNS($AB$1006:AP1006),$AB$1006:$AQ$1006,0)))),"Fix")))</f>
        <v>0</v>
      </c>
      <c r="Q622" s="5">
        <f>IF(OR(INDEX($V$2:$V$1001,MATCH(ROWS($U$2:U622),$U$2:$U$1001,0),1)&gt;=100000,INDEX($AB$1005:$AQ$1005,1,MATCH(COLUMNS($AB$1006:AQ1006),$AB$1006:$AQ$1006,0))&gt;=100000), " ",IF(INDEX($AB$2:$AQ$1001,MATCH(ROWS($U$2:U622),$U$2:$U$1001,0),MATCH(COLUMNS($AB$1006:AQ1006),$AB$1006:$AQ$1006,0)), HYPERLINK("#",""), HYPERLINK(CONCATENATE("#Metadata!", ADDRESS(INDEX($W$2:$W$1001,MATCH(ROWS($U$2:U622),$U$2:$U$1001,0),0), INDEX($AB$1004:$AQ$1004,1,MATCH(COLUMNS($AB$1006:AQ1006),$AB$1006:$AQ$1006,0)))),"Fix")))</f>
        <v>0</v>
      </c>
      <c r="U622">
        <v>0</v>
      </c>
      <c r="V622">
        <v>0</v>
      </c>
      <c r="W622">
        <v>0</v>
      </c>
      <c r="X622">
        <f>IF(Y622,TRUE,AND(AB622:AQ622))</f>
        <v>0</v>
      </c>
      <c r="Y622">
        <f>COUNTBLANK(Metadata!B622:Q622)=COLUMNS(Metadata!B622:Q622)</f>
        <v>0</v>
      </c>
      <c r="Z622">
        <v>0</v>
      </c>
      <c r="AB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AC622">
        <f>AND(IF(Metadata!C622="",FALSE,TRUE),exact(Metadata!C622,"urban biome"))</f>
        <v>0</v>
      </c>
      <c r="AD622">
        <f>AND(IF(Metadata!D622="",FALSE,TRUE),exact(Metadata!D622,"human-associated habitat"))</f>
        <v>0</v>
      </c>
      <c r="AE622">
        <f>AND(IF(Metadata!E622="",FALSE,TRUE),OR(exact(Metadata!E622,"human-associated"),exact(Metadata!E622,"human-skin"),exact(Metadata!E622,"human-oral"),exact(Metadata!E622,"human-gut"),exact(Metadata!E622,"human-vaginal")))</f>
        <v>0</v>
      </c>
      <c r="AF622">
        <f>AND(IF(Metadata!F622="",FALSE,ISNUMBER(VALUE(Metadata!F622))),Metadata!F622&gt;0)</f>
        <v>0</v>
      </c>
      <c r="AG622">
        <f>AND(IF(Metadata!G622="",FALSE,TRUE),exact(Metadata!G622,"years"))</f>
        <v>0</v>
      </c>
      <c r="AH622">
        <f>OR(AND(IF(Metadata!H622="",FALSE,TRUE),OR(exact(Metadata!H622,"not applicable"),exact(Metadata!H622,"not collected"),exact(Metadata!H622,"not provided"),exact(Metadata!H622,"restricted access"))),AND(IF(Metadata!H622="",FALSE,ISNUMBER(VALUE(Metadata!H622))),Metadata!H622&gt;0))</f>
        <v>0</v>
      </c>
      <c r="AI622">
        <f>AND(IF(Metadata!I622="",FALSE,TRUE),exact(Metadata!I622,"human"))</f>
        <v>0</v>
      </c>
      <c r="AJ622">
        <f>AND(IF(Metadata!J622="",FALSE,ISNUMBER(VALUE(Metadata!J622))),Metadata!J622&gt;0)</f>
        <v>0</v>
      </c>
      <c r="AK622">
        <f>AND(IF(Metadata!K622="",FALSE,TRUE),exact(Metadata!K622,"cm"))</f>
        <v>0</v>
      </c>
      <c r="AL622">
        <f>AND(IF(Metadata!L622="",FALSE,TRUE),exact(Metadata!L622,"Homo sapiens"))</f>
        <v>0</v>
      </c>
      <c r="AM622">
        <f>AND(IF(Metadata!M622="",FALSE,TRUE),exact(Metadata!M622,"9606"))</f>
        <v>0</v>
      </c>
      <c r="AN622">
        <f>AND(IF(Metadata!N622="",FALSE,ISNUMBER(VALUE(Metadata!N622))),Metadata!N622&gt;0)</f>
        <v>0</v>
      </c>
      <c r="AO622">
        <f>AND(IF(Metadata!O622="",FALSE,TRUE),exact(Metadata!O622,"kg"))</f>
        <v>0</v>
      </c>
      <c r="AP622">
        <f>OR(AND(IF(Metadata!P622="",FALSE,TRUE),exact(Metadata!P622,"not provided")),IF(Metadata!P622="",FALSE,TRUE))</f>
        <v>0</v>
      </c>
      <c r="AQ622">
        <f>OR(AND(IF(Metadata!Q622="",FALSE,TRUE),exact(Metadata!Q622,"not provided")),IF(Metadata!Q622="",FALSE,TRUE))</f>
        <v>0</v>
      </c>
    </row>
    <row r="623" spans="1:43">
      <c r="A623" s="4">
        <f>IF(B623=" "," ",HYPERLINK(CONCATENATE("#metadata!",ADDRESS(INDEX($W$2:$W$1001,MATCH(ROWS($U$2:U623),$U$2:$U$1001,0),0),2)),INDEX($Z$2:$Z$1001,MATCH(ROWS($U$2:U623),$U$2:$U$1001,0),0)))</f>
        <v>0</v>
      </c>
      <c r="B623" s="5">
        <f>IF(OR(INDEX($V$2:$V$1001,MATCH(ROWS($U$2:U623),$U$2:$U$1001,0),1)&gt;=100000,INDEX($AB$1005:$AQ$1005,1,MATCH(COLUMNS($AB$1006:AB1006),$AB$1006:$AQ$1006,0))&gt;=100000), " ",IF(INDEX($AB$2:$AQ$1001,MATCH(ROWS($U$2:U623),$U$2:$U$1001,0),MATCH(COLUMNS($AB$1006:AB1006),$AB$1006:$AQ$1006,0)), HYPERLINK("#",""), HYPERLINK(CONCATENATE("#Metadata!", ADDRESS(INDEX($W$2:$W$1001,MATCH(ROWS($U$2:U623),$U$2:$U$1001,0),0), INDEX($AB$1004:$AQ$1004,1,MATCH(COLUMNS($AB$1006:AB1006),$AB$1006:$AQ$1006,0)))),"Fix")))</f>
        <v>0</v>
      </c>
      <c r="C623" s="5">
        <f>IF(OR(INDEX($V$2:$V$1001,MATCH(ROWS($U$2:U623),$U$2:$U$1001,0),1)&gt;=100000,INDEX($AB$1005:$AQ$1005,1,MATCH(COLUMNS($AB$1006:AC1006),$AB$1006:$AQ$1006,0))&gt;=100000), " ",IF(INDEX($AB$2:$AQ$1001,MATCH(ROWS($U$2:U623),$U$2:$U$1001,0),MATCH(COLUMNS($AB$1006:AC1006),$AB$1006:$AQ$1006,0)), HYPERLINK("#",""), HYPERLINK(CONCATENATE("#Metadata!", ADDRESS(INDEX($W$2:$W$1001,MATCH(ROWS($U$2:U623),$U$2:$U$1001,0),0), INDEX($AB$1004:$AQ$1004,1,MATCH(COLUMNS($AB$1006:AC1006),$AB$1006:$AQ$1006,0)))),"Fix")))</f>
        <v>0</v>
      </c>
      <c r="D623" s="5">
        <f>IF(OR(INDEX($V$2:$V$1001,MATCH(ROWS($U$2:U623),$U$2:$U$1001,0),1)&gt;=100000,INDEX($AB$1005:$AQ$1005,1,MATCH(COLUMNS($AB$1006:AD1006),$AB$1006:$AQ$1006,0))&gt;=100000), " ",IF(INDEX($AB$2:$AQ$1001,MATCH(ROWS($U$2:U623),$U$2:$U$1001,0),MATCH(COLUMNS($AB$1006:AD1006),$AB$1006:$AQ$1006,0)), HYPERLINK("#",""), HYPERLINK(CONCATENATE("#Metadata!", ADDRESS(INDEX($W$2:$W$1001,MATCH(ROWS($U$2:U623),$U$2:$U$1001,0),0), INDEX($AB$1004:$AQ$1004,1,MATCH(COLUMNS($AB$1006:AD1006),$AB$1006:$AQ$1006,0)))),"Fix")))</f>
        <v>0</v>
      </c>
      <c r="E623" s="5">
        <f>IF(OR(INDEX($V$2:$V$1001,MATCH(ROWS($U$2:U623),$U$2:$U$1001,0),1)&gt;=100000,INDEX($AB$1005:$AQ$1005,1,MATCH(COLUMNS($AB$1006:AE1006),$AB$1006:$AQ$1006,0))&gt;=100000), " ",IF(INDEX($AB$2:$AQ$1001,MATCH(ROWS($U$2:U623),$U$2:$U$1001,0),MATCH(COLUMNS($AB$1006:AE1006),$AB$1006:$AQ$1006,0)), HYPERLINK("#",""), HYPERLINK(CONCATENATE("#Metadata!", ADDRESS(INDEX($W$2:$W$1001,MATCH(ROWS($U$2:U623),$U$2:$U$1001,0),0), INDEX($AB$1004:$AQ$1004,1,MATCH(COLUMNS($AB$1006:AE1006),$AB$1006:$AQ$1006,0)))),"Fix")))</f>
        <v>0</v>
      </c>
      <c r="F623" s="5">
        <f>IF(OR(INDEX($V$2:$V$1001,MATCH(ROWS($U$2:U623),$U$2:$U$1001,0),1)&gt;=100000,INDEX($AB$1005:$AQ$1005,1,MATCH(COLUMNS($AB$1006:AF1006),$AB$1006:$AQ$1006,0))&gt;=100000), " ",IF(INDEX($AB$2:$AQ$1001,MATCH(ROWS($U$2:U623),$U$2:$U$1001,0),MATCH(COLUMNS($AB$1006:AF1006),$AB$1006:$AQ$1006,0)), HYPERLINK("#",""), HYPERLINK(CONCATENATE("#Metadata!", ADDRESS(INDEX($W$2:$W$1001,MATCH(ROWS($U$2:U623),$U$2:$U$1001,0),0), INDEX($AB$1004:$AQ$1004,1,MATCH(COLUMNS($AB$1006:AF1006),$AB$1006:$AQ$1006,0)))),"Fix")))</f>
        <v>0</v>
      </c>
      <c r="G623" s="5">
        <f>IF(OR(INDEX($V$2:$V$1001,MATCH(ROWS($U$2:U623),$U$2:$U$1001,0),1)&gt;=100000,INDEX($AB$1005:$AQ$1005,1,MATCH(COLUMNS($AB$1006:AG1006),$AB$1006:$AQ$1006,0))&gt;=100000), " ",IF(INDEX($AB$2:$AQ$1001,MATCH(ROWS($U$2:U623),$U$2:$U$1001,0),MATCH(COLUMNS($AB$1006:AG1006),$AB$1006:$AQ$1006,0)), HYPERLINK("#",""), HYPERLINK(CONCATENATE("#Metadata!", ADDRESS(INDEX($W$2:$W$1001,MATCH(ROWS($U$2:U623),$U$2:$U$1001,0),0), INDEX($AB$1004:$AQ$1004,1,MATCH(COLUMNS($AB$1006:AG1006),$AB$1006:$AQ$1006,0)))),"Fix")))</f>
        <v>0</v>
      </c>
      <c r="H623" s="5">
        <f>IF(OR(INDEX($V$2:$V$1001,MATCH(ROWS($U$2:U623),$U$2:$U$1001,0),1)&gt;=100000,INDEX($AB$1005:$AQ$1005,1,MATCH(COLUMNS($AB$1006:AH1006),$AB$1006:$AQ$1006,0))&gt;=100000), " ",IF(INDEX($AB$2:$AQ$1001,MATCH(ROWS($U$2:U623),$U$2:$U$1001,0),MATCH(COLUMNS($AB$1006:AH1006),$AB$1006:$AQ$1006,0)), HYPERLINK("#",""), HYPERLINK(CONCATENATE("#Metadata!", ADDRESS(INDEX($W$2:$W$1001,MATCH(ROWS($U$2:U623),$U$2:$U$1001,0),0), INDEX($AB$1004:$AQ$1004,1,MATCH(COLUMNS($AB$1006:AH1006),$AB$1006:$AQ$1006,0)))),"Fix")))</f>
        <v>0</v>
      </c>
      <c r="I623" s="5">
        <f>IF(OR(INDEX($V$2:$V$1001,MATCH(ROWS($U$2:U623),$U$2:$U$1001,0),1)&gt;=100000,INDEX($AB$1005:$AQ$1005,1,MATCH(COLUMNS($AB$1006:AI1006),$AB$1006:$AQ$1006,0))&gt;=100000), " ",IF(INDEX($AB$2:$AQ$1001,MATCH(ROWS($U$2:U623),$U$2:$U$1001,0),MATCH(COLUMNS($AB$1006:AI1006),$AB$1006:$AQ$1006,0)), HYPERLINK("#",""), HYPERLINK(CONCATENATE("#Metadata!", ADDRESS(INDEX($W$2:$W$1001,MATCH(ROWS($U$2:U623),$U$2:$U$1001,0),0), INDEX($AB$1004:$AQ$1004,1,MATCH(COLUMNS($AB$1006:AI1006),$AB$1006:$AQ$1006,0)))),"Fix")))</f>
        <v>0</v>
      </c>
      <c r="J623" s="5">
        <f>IF(OR(INDEX($V$2:$V$1001,MATCH(ROWS($U$2:U623),$U$2:$U$1001,0),1)&gt;=100000,INDEX($AB$1005:$AQ$1005,1,MATCH(COLUMNS($AB$1006:AJ1006),$AB$1006:$AQ$1006,0))&gt;=100000), " ",IF(INDEX($AB$2:$AQ$1001,MATCH(ROWS($U$2:U623),$U$2:$U$1001,0),MATCH(COLUMNS($AB$1006:AJ1006),$AB$1006:$AQ$1006,0)), HYPERLINK("#",""), HYPERLINK(CONCATENATE("#Metadata!", ADDRESS(INDEX($W$2:$W$1001,MATCH(ROWS($U$2:U623),$U$2:$U$1001,0),0), INDEX($AB$1004:$AQ$1004,1,MATCH(COLUMNS($AB$1006:AJ1006),$AB$1006:$AQ$1006,0)))),"Fix")))</f>
        <v>0</v>
      </c>
      <c r="K623" s="5">
        <f>IF(OR(INDEX($V$2:$V$1001,MATCH(ROWS($U$2:U623),$U$2:$U$1001,0),1)&gt;=100000,INDEX($AB$1005:$AQ$1005,1,MATCH(COLUMNS($AB$1006:AK1006),$AB$1006:$AQ$1006,0))&gt;=100000), " ",IF(INDEX($AB$2:$AQ$1001,MATCH(ROWS($U$2:U623),$U$2:$U$1001,0),MATCH(COLUMNS($AB$1006:AK1006),$AB$1006:$AQ$1006,0)), HYPERLINK("#",""), HYPERLINK(CONCATENATE("#Metadata!", ADDRESS(INDEX($W$2:$W$1001,MATCH(ROWS($U$2:U623),$U$2:$U$1001,0),0), INDEX($AB$1004:$AQ$1004,1,MATCH(COLUMNS($AB$1006:AK1006),$AB$1006:$AQ$1006,0)))),"Fix")))</f>
        <v>0</v>
      </c>
      <c r="L623" s="5">
        <f>IF(OR(INDEX($V$2:$V$1001,MATCH(ROWS($U$2:U623),$U$2:$U$1001,0),1)&gt;=100000,INDEX($AB$1005:$AQ$1005,1,MATCH(COLUMNS($AB$1006:AL1006),$AB$1006:$AQ$1006,0))&gt;=100000), " ",IF(INDEX($AB$2:$AQ$1001,MATCH(ROWS($U$2:U623),$U$2:$U$1001,0),MATCH(COLUMNS($AB$1006:AL1006),$AB$1006:$AQ$1006,0)), HYPERLINK("#",""), HYPERLINK(CONCATENATE("#Metadata!", ADDRESS(INDEX($W$2:$W$1001,MATCH(ROWS($U$2:U623),$U$2:$U$1001,0),0), INDEX($AB$1004:$AQ$1004,1,MATCH(COLUMNS($AB$1006:AL1006),$AB$1006:$AQ$1006,0)))),"Fix")))</f>
        <v>0</v>
      </c>
      <c r="M623" s="5">
        <f>IF(OR(INDEX($V$2:$V$1001,MATCH(ROWS($U$2:U623),$U$2:$U$1001,0),1)&gt;=100000,INDEX($AB$1005:$AQ$1005,1,MATCH(COLUMNS($AB$1006:AM1006),$AB$1006:$AQ$1006,0))&gt;=100000), " ",IF(INDEX($AB$2:$AQ$1001,MATCH(ROWS($U$2:U623),$U$2:$U$1001,0),MATCH(COLUMNS($AB$1006:AM1006),$AB$1006:$AQ$1006,0)), HYPERLINK("#",""), HYPERLINK(CONCATENATE("#Metadata!", ADDRESS(INDEX($W$2:$W$1001,MATCH(ROWS($U$2:U623),$U$2:$U$1001,0),0), INDEX($AB$1004:$AQ$1004,1,MATCH(COLUMNS($AB$1006:AM1006),$AB$1006:$AQ$1006,0)))),"Fix")))</f>
        <v>0</v>
      </c>
      <c r="N623" s="5">
        <f>IF(OR(INDEX($V$2:$V$1001,MATCH(ROWS($U$2:U623),$U$2:$U$1001,0),1)&gt;=100000,INDEX($AB$1005:$AQ$1005,1,MATCH(COLUMNS($AB$1006:AN1006),$AB$1006:$AQ$1006,0))&gt;=100000), " ",IF(INDEX($AB$2:$AQ$1001,MATCH(ROWS($U$2:U623),$U$2:$U$1001,0),MATCH(COLUMNS($AB$1006:AN1006),$AB$1006:$AQ$1006,0)), HYPERLINK("#",""), HYPERLINK(CONCATENATE("#Metadata!", ADDRESS(INDEX($W$2:$W$1001,MATCH(ROWS($U$2:U623),$U$2:$U$1001,0),0), INDEX($AB$1004:$AQ$1004,1,MATCH(COLUMNS($AB$1006:AN1006),$AB$1006:$AQ$1006,0)))),"Fix")))</f>
        <v>0</v>
      </c>
      <c r="O623" s="5">
        <f>IF(OR(INDEX($V$2:$V$1001,MATCH(ROWS($U$2:U623),$U$2:$U$1001,0),1)&gt;=100000,INDEX($AB$1005:$AQ$1005,1,MATCH(COLUMNS($AB$1006:AO1006),$AB$1006:$AQ$1006,0))&gt;=100000), " ",IF(INDEX($AB$2:$AQ$1001,MATCH(ROWS($U$2:U623),$U$2:$U$1001,0),MATCH(COLUMNS($AB$1006:AO1006),$AB$1006:$AQ$1006,0)), HYPERLINK("#",""), HYPERLINK(CONCATENATE("#Metadata!", ADDRESS(INDEX($W$2:$W$1001,MATCH(ROWS($U$2:U623),$U$2:$U$1001,0),0), INDEX($AB$1004:$AQ$1004,1,MATCH(COLUMNS($AB$1006:AO1006),$AB$1006:$AQ$1006,0)))),"Fix")))</f>
        <v>0</v>
      </c>
      <c r="P623" s="5">
        <f>IF(OR(INDEX($V$2:$V$1001,MATCH(ROWS($U$2:U623),$U$2:$U$1001,0),1)&gt;=100000,INDEX($AB$1005:$AQ$1005,1,MATCH(COLUMNS($AB$1006:AP1006),$AB$1006:$AQ$1006,0))&gt;=100000), " ",IF(INDEX($AB$2:$AQ$1001,MATCH(ROWS($U$2:U623),$U$2:$U$1001,0),MATCH(COLUMNS($AB$1006:AP1006),$AB$1006:$AQ$1006,0)), HYPERLINK("#",""), HYPERLINK(CONCATENATE("#Metadata!", ADDRESS(INDEX($W$2:$W$1001,MATCH(ROWS($U$2:U623),$U$2:$U$1001,0),0), INDEX($AB$1004:$AQ$1004,1,MATCH(COLUMNS($AB$1006:AP1006),$AB$1006:$AQ$1006,0)))),"Fix")))</f>
        <v>0</v>
      </c>
      <c r="Q623" s="5">
        <f>IF(OR(INDEX($V$2:$V$1001,MATCH(ROWS($U$2:U623),$U$2:$U$1001,0),1)&gt;=100000,INDEX($AB$1005:$AQ$1005,1,MATCH(COLUMNS($AB$1006:AQ1006),$AB$1006:$AQ$1006,0))&gt;=100000), " ",IF(INDEX($AB$2:$AQ$1001,MATCH(ROWS($U$2:U623),$U$2:$U$1001,0),MATCH(COLUMNS($AB$1006:AQ1006),$AB$1006:$AQ$1006,0)), HYPERLINK("#",""), HYPERLINK(CONCATENATE("#Metadata!", ADDRESS(INDEX($W$2:$W$1001,MATCH(ROWS($U$2:U623),$U$2:$U$1001,0),0), INDEX($AB$1004:$AQ$1004,1,MATCH(COLUMNS($AB$1006:AQ1006),$AB$1006:$AQ$1006,0)))),"Fix")))</f>
        <v>0</v>
      </c>
      <c r="U623">
        <v>0</v>
      </c>
      <c r="V623">
        <v>0</v>
      </c>
      <c r="W623">
        <v>0</v>
      </c>
      <c r="X623">
        <f>IF(Y623,TRUE,AND(AB623:AQ623))</f>
        <v>0</v>
      </c>
      <c r="Y623">
        <f>COUNTBLANK(Metadata!B623:Q623)=COLUMNS(Metadata!B623:Q623)</f>
        <v>0</v>
      </c>
      <c r="Z623">
        <v>0</v>
      </c>
      <c r="AB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AC623">
        <f>AND(IF(Metadata!C623="",FALSE,TRUE),exact(Metadata!C623,"urban biome"))</f>
        <v>0</v>
      </c>
      <c r="AD623">
        <f>AND(IF(Metadata!D623="",FALSE,TRUE),exact(Metadata!D623,"human-associated habitat"))</f>
        <v>0</v>
      </c>
      <c r="AE623">
        <f>AND(IF(Metadata!E623="",FALSE,TRUE),OR(exact(Metadata!E623,"human-associated"),exact(Metadata!E623,"human-skin"),exact(Metadata!E623,"human-oral"),exact(Metadata!E623,"human-gut"),exact(Metadata!E623,"human-vaginal")))</f>
        <v>0</v>
      </c>
      <c r="AF623">
        <f>AND(IF(Metadata!F623="",FALSE,ISNUMBER(VALUE(Metadata!F623))),Metadata!F623&gt;0)</f>
        <v>0</v>
      </c>
      <c r="AG623">
        <f>AND(IF(Metadata!G623="",FALSE,TRUE),exact(Metadata!G623,"years"))</f>
        <v>0</v>
      </c>
      <c r="AH623">
        <f>OR(AND(IF(Metadata!H623="",FALSE,TRUE),OR(exact(Metadata!H623,"not applicable"),exact(Metadata!H623,"not collected"),exact(Metadata!H623,"not provided"),exact(Metadata!H623,"restricted access"))),AND(IF(Metadata!H623="",FALSE,ISNUMBER(VALUE(Metadata!H623))),Metadata!H623&gt;0))</f>
        <v>0</v>
      </c>
      <c r="AI623">
        <f>AND(IF(Metadata!I623="",FALSE,TRUE),exact(Metadata!I623,"human"))</f>
        <v>0</v>
      </c>
      <c r="AJ623">
        <f>AND(IF(Metadata!J623="",FALSE,ISNUMBER(VALUE(Metadata!J623))),Metadata!J623&gt;0)</f>
        <v>0</v>
      </c>
      <c r="AK623">
        <f>AND(IF(Metadata!K623="",FALSE,TRUE),exact(Metadata!K623,"cm"))</f>
        <v>0</v>
      </c>
      <c r="AL623">
        <f>AND(IF(Metadata!L623="",FALSE,TRUE),exact(Metadata!L623,"Homo sapiens"))</f>
        <v>0</v>
      </c>
      <c r="AM623">
        <f>AND(IF(Metadata!M623="",FALSE,TRUE),exact(Metadata!M623,"9606"))</f>
        <v>0</v>
      </c>
      <c r="AN623">
        <f>AND(IF(Metadata!N623="",FALSE,ISNUMBER(VALUE(Metadata!N623))),Metadata!N623&gt;0)</f>
        <v>0</v>
      </c>
      <c r="AO623">
        <f>AND(IF(Metadata!O623="",FALSE,TRUE),exact(Metadata!O623,"kg"))</f>
        <v>0</v>
      </c>
      <c r="AP623">
        <f>OR(AND(IF(Metadata!P623="",FALSE,TRUE),exact(Metadata!P623,"not provided")),IF(Metadata!P623="",FALSE,TRUE))</f>
        <v>0</v>
      </c>
      <c r="AQ623">
        <f>OR(AND(IF(Metadata!Q623="",FALSE,TRUE),exact(Metadata!Q623,"not provided")),IF(Metadata!Q623="",FALSE,TRUE))</f>
        <v>0</v>
      </c>
    </row>
    <row r="624" spans="1:43">
      <c r="A624" s="4">
        <f>IF(B624=" "," ",HYPERLINK(CONCATENATE("#metadata!",ADDRESS(INDEX($W$2:$W$1001,MATCH(ROWS($U$2:U624),$U$2:$U$1001,0),0),2)),INDEX($Z$2:$Z$1001,MATCH(ROWS($U$2:U624),$U$2:$U$1001,0),0)))</f>
        <v>0</v>
      </c>
      <c r="B624" s="5">
        <f>IF(OR(INDEX($V$2:$V$1001,MATCH(ROWS($U$2:U624),$U$2:$U$1001,0),1)&gt;=100000,INDEX($AB$1005:$AQ$1005,1,MATCH(COLUMNS($AB$1006:AB1006),$AB$1006:$AQ$1006,0))&gt;=100000), " ",IF(INDEX($AB$2:$AQ$1001,MATCH(ROWS($U$2:U624),$U$2:$U$1001,0),MATCH(COLUMNS($AB$1006:AB1006),$AB$1006:$AQ$1006,0)), HYPERLINK("#",""), HYPERLINK(CONCATENATE("#Metadata!", ADDRESS(INDEX($W$2:$W$1001,MATCH(ROWS($U$2:U624),$U$2:$U$1001,0),0), INDEX($AB$1004:$AQ$1004,1,MATCH(COLUMNS($AB$1006:AB1006),$AB$1006:$AQ$1006,0)))),"Fix")))</f>
        <v>0</v>
      </c>
      <c r="C624" s="5">
        <f>IF(OR(INDEX($V$2:$V$1001,MATCH(ROWS($U$2:U624),$U$2:$U$1001,0),1)&gt;=100000,INDEX($AB$1005:$AQ$1005,1,MATCH(COLUMNS($AB$1006:AC1006),$AB$1006:$AQ$1006,0))&gt;=100000), " ",IF(INDEX($AB$2:$AQ$1001,MATCH(ROWS($U$2:U624),$U$2:$U$1001,0),MATCH(COLUMNS($AB$1006:AC1006),$AB$1006:$AQ$1006,0)), HYPERLINK("#",""), HYPERLINK(CONCATENATE("#Metadata!", ADDRESS(INDEX($W$2:$W$1001,MATCH(ROWS($U$2:U624),$U$2:$U$1001,0),0), INDEX($AB$1004:$AQ$1004,1,MATCH(COLUMNS($AB$1006:AC1006),$AB$1006:$AQ$1006,0)))),"Fix")))</f>
        <v>0</v>
      </c>
      <c r="D624" s="5">
        <f>IF(OR(INDEX($V$2:$V$1001,MATCH(ROWS($U$2:U624),$U$2:$U$1001,0),1)&gt;=100000,INDEX($AB$1005:$AQ$1005,1,MATCH(COLUMNS($AB$1006:AD1006),$AB$1006:$AQ$1006,0))&gt;=100000), " ",IF(INDEX($AB$2:$AQ$1001,MATCH(ROWS($U$2:U624),$U$2:$U$1001,0),MATCH(COLUMNS($AB$1006:AD1006),$AB$1006:$AQ$1006,0)), HYPERLINK("#",""), HYPERLINK(CONCATENATE("#Metadata!", ADDRESS(INDEX($W$2:$W$1001,MATCH(ROWS($U$2:U624),$U$2:$U$1001,0),0), INDEX($AB$1004:$AQ$1004,1,MATCH(COLUMNS($AB$1006:AD1006),$AB$1006:$AQ$1006,0)))),"Fix")))</f>
        <v>0</v>
      </c>
      <c r="E624" s="5">
        <f>IF(OR(INDEX($V$2:$V$1001,MATCH(ROWS($U$2:U624),$U$2:$U$1001,0),1)&gt;=100000,INDEX($AB$1005:$AQ$1005,1,MATCH(COLUMNS($AB$1006:AE1006),$AB$1006:$AQ$1006,0))&gt;=100000), " ",IF(INDEX($AB$2:$AQ$1001,MATCH(ROWS($U$2:U624),$U$2:$U$1001,0),MATCH(COLUMNS($AB$1006:AE1006),$AB$1006:$AQ$1006,0)), HYPERLINK("#",""), HYPERLINK(CONCATENATE("#Metadata!", ADDRESS(INDEX($W$2:$W$1001,MATCH(ROWS($U$2:U624),$U$2:$U$1001,0),0), INDEX($AB$1004:$AQ$1004,1,MATCH(COLUMNS($AB$1006:AE1006),$AB$1006:$AQ$1006,0)))),"Fix")))</f>
        <v>0</v>
      </c>
      <c r="F624" s="5">
        <f>IF(OR(INDEX($V$2:$V$1001,MATCH(ROWS($U$2:U624),$U$2:$U$1001,0),1)&gt;=100000,INDEX($AB$1005:$AQ$1005,1,MATCH(COLUMNS($AB$1006:AF1006),$AB$1006:$AQ$1006,0))&gt;=100000), " ",IF(INDEX($AB$2:$AQ$1001,MATCH(ROWS($U$2:U624),$U$2:$U$1001,0),MATCH(COLUMNS($AB$1006:AF1006),$AB$1006:$AQ$1006,0)), HYPERLINK("#",""), HYPERLINK(CONCATENATE("#Metadata!", ADDRESS(INDEX($W$2:$W$1001,MATCH(ROWS($U$2:U624),$U$2:$U$1001,0),0), INDEX($AB$1004:$AQ$1004,1,MATCH(COLUMNS($AB$1006:AF1006),$AB$1006:$AQ$1006,0)))),"Fix")))</f>
        <v>0</v>
      </c>
      <c r="G624" s="5">
        <f>IF(OR(INDEX($V$2:$V$1001,MATCH(ROWS($U$2:U624),$U$2:$U$1001,0),1)&gt;=100000,INDEX($AB$1005:$AQ$1005,1,MATCH(COLUMNS($AB$1006:AG1006),$AB$1006:$AQ$1006,0))&gt;=100000), " ",IF(INDEX($AB$2:$AQ$1001,MATCH(ROWS($U$2:U624),$U$2:$U$1001,0),MATCH(COLUMNS($AB$1006:AG1006),$AB$1006:$AQ$1006,0)), HYPERLINK("#",""), HYPERLINK(CONCATENATE("#Metadata!", ADDRESS(INDEX($W$2:$W$1001,MATCH(ROWS($U$2:U624),$U$2:$U$1001,0),0), INDEX($AB$1004:$AQ$1004,1,MATCH(COLUMNS($AB$1006:AG1006),$AB$1006:$AQ$1006,0)))),"Fix")))</f>
        <v>0</v>
      </c>
      <c r="H624" s="5">
        <f>IF(OR(INDEX($V$2:$V$1001,MATCH(ROWS($U$2:U624),$U$2:$U$1001,0),1)&gt;=100000,INDEX($AB$1005:$AQ$1005,1,MATCH(COLUMNS($AB$1006:AH1006),$AB$1006:$AQ$1006,0))&gt;=100000), " ",IF(INDEX($AB$2:$AQ$1001,MATCH(ROWS($U$2:U624),$U$2:$U$1001,0),MATCH(COLUMNS($AB$1006:AH1006),$AB$1006:$AQ$1006,0)), HYPERLINK("#",""), HYPERLINK(CONCATENATE("#Metadata!", ADDRESS(INDEX($W$2:$W$1001,MATCH(ROWS($U$2:U624),$U$2:$U$1001,0),0), INDEX($AB$1004:$AQ$1004,1,MATCH(COLUMNS($AB$1006:AH1006),$AB$1006:$AQ$1006,0)))),"Fix")))</f>
        <v>0</v>
      </c>
      <c r="I624" s="5">
        <f>IF(OR(INDEX($V$2:$V$1001,MATCH(ROWS($U$2:U624),$U$2:$U$1001,0),1)&gt;=100000,INDEX($AB$1005:$AQ$1005,1,MATCH(COLUMNS($AB$1006:AI1006),$AB$1006:$AQ$1006,0))&gt;=100000), " ",IF(INDEX($AB$2:$AQ$1001,MATCH(ROWS($U$2:U624),$U$2:$U$1001,0),MATCH(COLUMNS($AB$1006:AI1006),$AB$1006:$AQ$1006,0)), HYPERLINK("#",""), HYPERLINK(CONCATENATE("#Metadata!", ADDRESS(INDEX($W$2:$W$1001,MATCH(ROWS($U$2:U624),$U$2:$U$1001,0),0), INDEX($AB$1004:$AQ$1004,1,MATCH(COLUMNS($AB$1006:AI1006),$AB$1006:$AQ$1006,0)))),"Fix")))</f>
        <v>0</v>
      </c>
      <c r="J624" s="5">
        <f>IF(OR(INDEX($V$2:$V$1001,MATCH(ROWS($U$2:U624),$U$2:$U$1001,0),1)&gt;=100000,INDEX($AB$1005:$AQ$1005,1,MATCH(COLUMNS($AB$1006:AJ1006),$AB$1006:$AQ$1006,0))&gt;=100000), " ",IF(INDEX($AB$2:$AQ$1001,MATCH(ROWS($U$2:U624),$U$2:$U$1001,0),MATCH(COLUMNS($AB$1006:AJ1006),$AB$1006:$AQ$1006,0)), HYPERLINK("#",""), HYPERLINK(CONCATENATE("#Metadata!", ADDRESS(INDEX($W$2:$W$1001,MATCH(ROWS($U$2:U624),$U$2:$U$1001,0),0), INDEX($AB$1004:$AQ$1004,1,MATCH(COLUMNS($AB$1006:AJ1006),$AB$1006:$AQ$1006,0)))),"Fix")))</f>
        <v>0</v>
      </c>
      <c r="K624" s="5">
        <f>IF(OR(INDEX($V$2:$V$1001,MATCH(ROWS($U$2:U624),$U$2:$U$1001,0),1)&gt;=100000,INDEX($AB$1005:$AQ$1005,1,MATCH(COLUMNS($AB$1006:AK1006),$AB$1006:$AQ$1006,0))&gt;=100000), " ",IF(INDEX($AB$2:$AQ$1001,MATCH(ROWS($U$2:U624),$U$2:$U$1001,0),MATCH(COLUMNS($AB$1006:AK1006),$AB$1006:$AQ$1006,0)), HYPERLINK("#",""), HYPERLINK(CONCATENATE("#Metadata!", ADDRESS(INDEX($W$2:$W$1001,MATCH(ROWS($U$2:U624),$U$2:$U$1001,0),0), INDEX($AB$1004:$AQ$1004,1,MATCH(COLUMNS($AB$1006:AK1006),$AB$1006:$AQ$1006,0)))),"Fix")))</f>
        <v>0</v>
      </c>
      <c r="L624" s="5">
        <f>IF(OR(INDEX($V$2:$V$1001,MATCH(ROWS($U$2:U624),$U$2:$U$1001,0),1)&gt;=100000,INDEX($AB$1005:$AQ$1005,1,MATCH(COLUMNS($AB$1006:AL1006),$AB$1006:$AQ$1006,0))&gt;=100000), " ",IF(INDEX($AB$2:$AQ$1001,MATCH(ROWS($U$2:U624),$U$2:$U$1001,0),MATCH(COLUMNS($AB$1006:AL1006),$AB$1006:$AQ$1006,0)), HYPERLINK("#",""), HYPERLINK(CONCATENATE("#Metadata!", ADDRESS(INDEX($W$2:$W$1001,MATCH(ROWS($U$2:U624),$U$2:$U$1001,0),0), INDEX($AB$1004:$AQ$1004,1,MATCH(COLUMNS($AB$1006:AL1006),$AB$1006:$AQ$1006,0)))),"Fix")))</f>
        <v>0</v>
      </c>
      <c r="M624" s="5">
        <f>IF(OR(INDEX($V$2:$V$1001,MATCH(ROWS($U$2:U624),$U$2:$U$1001,0),1)&gt;=100000,INDEX($AB$1005:$AQ$1005,1,MATCH(COLUMNS($AB$1006:AM1006),$AB$1006:$AQ$1006,0))&gt;=100000), " ",IF(INDEX($AB$2:$AQ$1001,MATCH(ROWS($U$2:U624),$U$2:$U$1001,0),MATCH(COLUMNS($AB$1006:AM1006),$AB$1006:$AQ$1006,0)), HYPERLINK("#",""), HYPERLINK(CONCATENATE("#Metadata!", ADDRESS(INDEX($W$2:$W$1001,MATCH(ROWS($U$2:U624),$U$2:$U$1001,0),0), INDEX($AB$1004:$AQ$1004,1,MATCH(COLUMNS($AB$1006:AM1006),$AB$1006:$AQ$1006,0)))),"Fix")))</f>
        <v>0</v>
      </c>
      <c r="N624" s="5">
        <f>IF(OR(INDEX($V$2:$V$1001,MATCH(ROWS($U$2:U624),$U$2:$U$1001,0),1)&gt;=100000,INDEX($AB$1005:$AQ$1005,1,MATCH(COLUMNS($AB$1006:AN1006),$AB$1006:$AQ$1006,0))&gt;=100000), " ",IF(INDEX($AB$2:$AQ$1001,MATCH(ROWS($U$2:U624),$U$2:$U$1001,0),MATCH(COLUMNS($AB$1006:AN1006),$AB$1006:$AQ$1006,0)), HYPERLINK("#",""), HYPERLINK(CONCATENATE("#Metadata!", ADDRESS(INDEX($W$2:$W$1001,MATCH(ROWS($U$2:U624),$U$2:$U$1001,0),0), INDEX($AB$1004:$AQ$1004,1,MATCH(COLUMNS($AB$1006:AN1006),$AB$1006:$AQ$1006,0)))),"Fix")))</f>
        <v>0</v>
      </c>
      <c r="O624" s="5">
        <f>IF(OR(INDEX($V$2:$V$1001,MATCH(ROWS($U$2:U624),$U$2:$U$1001,0),1)&gt;=100000,INDEX($AB$1005:$AQ$1005,1,MATCH(COLUMNS($AB$1006:AO1006),$AB$1006:$AQ$1006,0))&gt;=100000), " ",IF(INDEX($AB$2:$AQ$1001,MATCH(ROWS($U$2:U624),$U$2:$U$1001,0),MATCH(COLUMNS($AB$1006:AO1006),$AB$1006:$AQ$1006,0)), HYPERLINK("#",""), HYPERLINK(CONCATENATE("#Metadata!", ADDRESS(INDEX($W$2:$W$1001,MATCH(ROWS($U$2:U624),$U$2:$U$1001,0),0), INDEX($AB$1004:$AQ$1004,1,MATCH(COLUMNS($AB$1006:AO1006),$AB$1006:$AQ$1006,0)))),"Fix")))</f>
        <v>0</v>
      </c>
      <c r="P624" s="5">
        <f>IF(OR(INDEX($V$2:$V$1001,MATCH(ROWS($U$2:U624),$U$2:$U$1001,0),1)&gt;=100000,INDEX($AB$1005:$AQ$1005,1,MATCH(COLUMNS($AB$1006:AP1006),$AB$1006:$AQ$1006,0))&gt;=100000), " ",IF(INDEX($AB$2:$AQ$1001,MATCH(ROWS($U$2:U624),$U$2:$U$1001,0),MATCH(COLUMNS($AB$1006:AP1006),$AB$1006:$AQ$1006,0)), HYPERLINK("#",""), HYPERLINK(CONCATENATE("#Metadata!", ADDRESS(INDEX($W$2:$W$1001,MATCH(ROWS($U$2:U624),$U$2:$U$1001,0),0), INDEX($AB$1004:$AQ$1004,1,MATCH(COLUMNS($AB$1006:AP1006),$AB$1006:$AQ$1006,0)))),"Fix")))</f>
        <v>0</v>
      </c>
      <c r="Q624" s="5">
        <f>IF(OR(INDEX($V$2:$V$1001,MATCH(ROWS($U$2:U624),$U$2:$U$1001,0),1)&gt;=100000,INDEX($AB$1005:$AQ$1005,1,MATCH(COLUMNS($AB$1006:AQ1006),$AB$1006:$AQ$1006,0))&gt;=100000), " ",IF(INDEX($AB$2:$AQ$1001,MATCH(ROWS($U$2:U624),$U$2:$U$1001,0),MATCH(COLUMNS($AB$1006:AQ1006),$AB$1006:$AQ$1006,0)), HYPERLINK("#",""), HYPERLINK(CONCATENATE("#Metadata!", ADDRESS(INDEX($W$2:$W$1001,MATCH(ROWS($U$2:U624),$U$2:$U$1001,0),0), INDEX($AB$1004:$AQ$1004,1,MATCH(COLUMNS($AB$1006:AQ1006),$AB$1006:$AQ$1006,0)))),"Fix")))</f>
        <v>0</v>
      </c>
      <c r="U624">
        <v>0</v>
      </c>
      <c r="V624">
        <v>0</v>
      </c>
      <c r="W624">
        <v>0</v>
      </c>
      <c r="X624">
        <f>IF(Y624,TRUE,AND(AB624:AQ624))</f>
        <v>0</v>
      </c>
      <c r="Y624">
        <f>COUNTBLANK(Metadata!B624:Q624)=COLUMNS(Metadata!B624:Q624)</f>
        <v>0</v>
      </c>
      <c r="Z624">
        <v>0</v>
      </c>
      <c r="AB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AC624">
        <f>AND(IF(Metadata!C624="",FALSE,TRUE),exact(Metadata!C624,"urban biome"))</f>
        <v>0</v>
      </c>
      <c r="AD624">
        <f>AND(IF(Metadata!D624="",FALSE,TRUE),exact(Metadata!D624,"human-associated habitat"))</f>
        <v>0</v>
      </c>
      <c r="AE624">
        <f>AND(IF(Metadata!E624="",FALSE,TRUE),OR(exact(Metadata!E624,"human-associated"),exact(Metadata!E624,"human-skin"),exact(Metadata!E624,"human-oral"),exact(Metadata!E624,"human-gut"),exact(Metadata!E624,"human-vaginal")))</f>
        <v>0</v>
      </c>
      <c r="AF624">
        <f>AND(IF(Metadata!F624="",FALSE,ISNUMBER(VALUE(Metadata!F624))),Metadata!F624&gt;0)</f>
        <v>0</v>
      </c>
      <c r="AG624">
        <f>AND(IF(Metadata!G624="",FALSE,TRUE),exact(Metadata!G624,"years"))</f>
        <v>0</v>
      </c>
      <c r="AH624">
        <f>OR(AND(IF(Metadata!H624="",FALSE,TRUE),OR(exact(Metadata!H624,"not applicable"),exact(Metadata!H624,"not collected"),exact(Metadata!H624,"not provided"),exact(Metadata!H624,"restricted access"))),AND(IF(Metadata!H624="",FALSE,ISNUMBER(VALUE(Metadata!H624))),Metadata!H624&gt;0))</f>
        <v>0</v>
      </c>
      <c r="AI624">
        <f>AND(IF(Metadata!I624="",FALSE,TRUE),exact(Metadata!I624,"human"))</f>
        <v>0</v>
      </c>
      <c r="AJ624">
        <f>AND(IF(Metadata!J624="",FALSE,ISNUMBER(VALUE(Metadata!J624))),Metadata!J624&gt;0)</f>
        <v>0</v>
      </c>
      <c r="AK624">
        <f>AND(IF(Metadata!K624="",FALSE,TRUE),exact(Metadata!K624,"cm"))</f>
        <v>0</v>
      </c>
      <c r="AL624">
        <f>AND(IF(Metadata!L624="",FALSE,TRUE),exact(Metadata!L624,"Homo sapiens"))</f>
        <v>0</v>
      </c>
      <c r="AM624">
        <f>AND(IF(Metadata!M624="",FALSE,TRUE),exact(Metadata!M624,"9606"))</f>
        <v>0</v>
      </c>
      <c r="AN624">
        <f>AND(IF(Metadata!N624="",FALSE,ISNUMBER(VALUE(Metadata!N624))),Metadata!N624&gt;0)</f>
        <v>0</v>
      </c>
      <c r="AO624">
        <f>AND(IF(Metadata!O624="",FALSE,TRUE),exact(Metadata!O624,"kg"))</f>
        <v>0</v>
      </c>
      <c r="AP624">
        <f>OR(AND(IF(Metadata!P624="",FALSE,TRUE),exact(Metadata!P624,"not provided")),IF(Metadata!P624="",FALSE,TRUE))</f>
        <v>0</v>
      </c>
      <c r="AQ624">
        <f>OR(AND(IF(Metadata!Q624="",FALSE,TRUE),exact(Metadata!Q624,"not provided")),IF(Metadata!Q624="",FALSE,TRUE))</f>
        <v>0</v>
      </c>
    </row>
    <row r="625" spans="1:43">
      <c r="A625" s="4">
        <f>IF(B625=" "," ",HYPERLINK(CONCATENATE("#metadata!",ADDRESS(INDEX($W$2:$W$1001,MATCH(ROWS($U$2:U625),$U$2:$U$1001,0),0),2)),INDEX($Z$2:$Z$1001,MATCH(ROWS($U$2:U625),$U$2:$U$1001,0),0)))</f>
        <v>0</v>
      </c>
      <c r="B625" s="5">
        <f>IF(OR(INDEX($V$2:$V$1001,MATCH(ROWS($U$2:U625),$U$2:$U$1001,0),1)&gt;=100000,INDEX($AB$1005:$AQ$1005,1,MATCH(COLUMNS($AB$1006:AB1006),$AB$1006:$AQ$1006,0))&gt;=100000), " ",IF(INDEX($AB$2:$AQ$1001,MATCH(ROWS($U$2:U625),$U$2:$U$1001,0),MATCH(COLUMNS($AB$1006:AB1006),$AB$1006:$AQ$1006,0)), HYPERLINK("#",""), HYPERLINK(CONCATENATE("#Metadata!", ADDRESS(INDEX($W$2:$W$1001,MATCH(ROWS($U$2:U625),$U$2:$U$1001,0),0), INDEX($AB$1004:$AQ$1004,1,MATCH(COLUMNS($AB$1006:AB1006),$AB$1006:$AQ$1006,0)))),"Fix")))</f>
        <v>0</v>
      </c>
      <c r="C625" s="5">
        <f>IF(OR(INDEX($V$2:$V$1001,MATCH(ROWS($U$2:U625),$U$2:$U$1001,0),1)&gt;=100000,INDEX($AB$1005:$AQ$1005,1,MATCH(COLUMNS($AB$1006:AC1006),$AB$1006:$AQ$1006,0))&gt;=100000), " ",IF(INDEX($AB$2:$AQ$1001,MATCH(ROWS($U$2:U625),$U$2:$U$1001,0),MATCH(COLUMNS($AB$1006:AC1006),$AB$1006:$AQ$1006,0)), HYPERLINK("#",""), HYPERLINK(CONCATENATE("#Metadata!", ADDRESS(INDEX($W$2:$W$1001,MATCH(ROWS($U$2:U625),$U$2:$U$1001,0),0), INDEX($AB$1004:$AQ$1004,1,MATCH(COLUMNS($AB$1006:AC1006),$AB$1006:$AQ$1006,0)))),"Fix")))</f>
        <v>0</v>
      </c>
      <c r="D625" s="5">
        <f>IF(OR(INDEX($V$2:$V$1001,MATCH(ROWS($U$2:U625),$U$2:$U$1001,0),1)&gt;=100000,INDEX($AB$1005:$AQ$1005,1,MATCH(COLUMNS($AB$1006:AD1006),$AB$1006:$AQ$1006,0))&gt;=100000), " ",IF(INDEX($AB$2:$AQ$1001,MATCH(ROWS($U$2:U625),$U$2:$U$1001,0),MATCH(COLUMNS($AB$1006:AD1006),$AB$1006:$AQ$1006,0)), HYPERLINK("#",""), HYPERLINK(CONCATENATE("#Metadata!", ADDRESS(INDEX($W$2:$W$1001,MATCH(ROWS($U$2:U625),$U$2:$U$1001,0),0), INDEX($AB$1004:$AQ$1004,1,MATCH(COLUMNS($AB$1006:AD1006),$AB$1006:$AQ$1006,0)))),"Fix")))</f>
        <v>0</v>
      </c>
      <c r="E625" s="5">
        <f>IF(OR(INDEX($V$2:$V$1001,MATCH(ROWS($U$2:U625),$U$2:$U$1001,0),1)&gt;=100000,INDEX($AB$1005:$AQ$1005,1,MATCH(COLUMNS($AB$1006:AE1006),$AB$1006:$AQ$1006,0))&gt;=100000), " ",IF(INDEX($AB$2:$AQ$1001,MATCH(ROWS($U$2:U625),$U$2:$U$1001,0),MATCH(COLUMNS($AB$1006:AE1006),$AB$1006:$AQ$1006,0)), HYPERLINK("#",""), HYPERLINK(CONCATENATE("#Metadata!", ADDRESS(INDEX($W$2:$W$1001,MATCH(ROWS($U$2:U625),$U$2:$U$1001,0),0), INDEX($AB$1004:$AQ$1004,1,MATCH(COLUMNS($AB$1006:AE1006),$AB$1006:$AQ$1006,0)))),"Fix")))</f>
        <v>0</v>
      </c>
      <c r="F625" s="5">
        <f>IF(OR(INDEX($V$2:$V$1001,MATCH(ROWS($U$2:U625),$U$2:$U$1001,0),1)&gt;=100000,INDEX($AB$1005:$AQ$1005,1,MATCH(COLUMNS($AB$1006:AF1006),$AB$1006:$AQ$1006,0))&gt;=100000), " ",IF(INDEX($AB$2:$AQ$1001,MATCH(ROWS($U$2:U625),$U$2:$U$1001,0),MATCH(COLUMNS($AB$1006:AF1006),$AB$1006:$AQ$1006,0)), HYPERLINK("#",""), HYPERLINK(CONCATENATE("#Metadata!", ADDRESS(INDEX($W$2:$W$1001,MATCH(ROWS($U$2:U625),$U$2:$U$1001,0),0), INDEX($AB$1004:$AQ$1004,1,MATCH(COLUMNS($AB$1006:AF1006),$AB$1006:$AQ$1006,0)))),"Fix")))</f>
        <v>0</v>
      </c>
      <c r="G625" s="5">
        <f>IF(OR(INDEX($V$2:$V$1001,MATCH(ROWS($U$2:U625),$U$2:$U$1001,0),1)&gt;=100000,INDEX($AB$1005:$AQ$1005,1,MATCH(COLUMNS($AB$1006:AG1006),$AB$1006:$AQ$1006,0))&gt;=100000), " ",IF(INDEX($AB$2:$AQ$1001,MATCH(ROWS($U$2:U625),$U$2:$U$1001,0),MATCH(COLUMNS($AB$1006:AG1006),$AB$1006:$AQ$1006,0)), HYPERLINK("#",""), HYPERLINK(CONCATENATE("#Metadata!", ADDRESS(INDEX($W$2:$W$1001,MATCH(ROWS($U$2:U625),$U$2:$U$1001,0),0), INDEX($AB$1004:$AQ$1004,1,MATCH(COLUMNS($AB$1006:AG1006),$AB$1006:$AQ$1006,0)))),"Fix")))</f>
        <v>0</v>
      </c>
      <c r="H625" s="5">
        <f>IF(OR(INDEX($V$2:$V$1001,MATCH(ROWS($U$2:U625),$U$2:$U$1001,0),1)&gt;=100000,INDEX($AB$1005:$AQ$1005,1,MATCH(COLUMNS($AB$1006:AH1006),$AB$1006:$AQ$1006,0))&gt;=100000), " ",IF(INDEX($AB$2:$AQ$1001,MATCH(ROWS($U$2:U625),$U$2:$U$1001,0),MATCH(COLUMNS($AB$1006:AH1006),$AB$1006:$AQ$1006,0)), HYPERLINK("#",""), HYPERLINK(CONCATENATE("#Metadata!", ADDRESS(INDEX($W$2:$W$1001,MATCH(ROWS($U$2:U625),$U$2:$U$1001,0),0), INDEX($AB$1004:$AQ$1004,1,MATCH(COLUMNS($AB$1006:AH1006),$AB$1006:$AQ$1006,0)))),"Fix")))</f>
        <v>0</v>
      </c>
      <c r="I625" s="5">
        <f>IF(OR(INDEX($V$2:$V$1001,MATCH(ROWS($U$2:U625),$U$2:$U$1001,0),1)&gt;=100000,INDEX($AB$1005:$AQ$1005,1,MATCH(COLUMNS($AB$1006:AI1006),$AB$1006:$AQ$1006,0))&gt;=100000), " ",IF(INDEX($AB$2:$AQ$1001,MATCH(ROWS($U$2:U625),$U$2:$U$1001,0),MATCH(COLUMNS($AB$1006:AI1006),$AB$1006:$AQ$1006,0)), HYPERLINK("#",""), HYPERLINK(CONCATENATE("#Metadata!", ADDRESS(INDEX($W$2:$W$1001,MATCH(ROWS($U$2:U625),$U$2:$U$1001,0),0), INDEX($AB$1004:$AQ$1004,1,MATCH(COLUMNS($AB$1006:AI1006),$AB$1006:$AQ$1006,0)))),"Fix")))</f>
        <v>0</v>
      </c>
      <c r="J625" s="5">
        <f>IF(OR(INDEX($V$2:$V$1001,MATCH(ROWS($U$2:U625),$U$2:$U$1001,0),1)&gt;=100000,INDEX($AB$1005:$AQ$1005,1,MATCH(COLUMNS($AB$1006:AJ1006),$AB$1006:$AQ$1006,0))&gt;=100000), " ",IF(INDEX($AB$2:$AQ$1001,MATCH(ROWS($U$2:U625),$U$2:$U$1001,0),MATCH(COLUMNS($AB$1006:AJ1006),$AB$1006:$AQ$1006,0)), HYPERLINK("#",""), HYPERLINK(CONCATENATE("#Metadata!", ADDRESS(INDEX($W$2:$W$1001,MATCH(ROWS($U$2:U625),$U$2:$U$1001,0),0), INDEX($AB$1004:$AQ$1004,1,MATCH(COLUMNS($AB$1006:AJ1006),$AB$1006:$AQ$1006,0)))),"Fix")))</f>
        <v>0</v>
      </c>
      <c r="K625" s="5">
        <f>IF(OR(INDEX($V$2:$V$1001,MATCH(ROWS($U$2:U625),$U$2:$U$1001,0),1)&gt;=100000,INDEX($AB$1005:$AQ$1005,1,MATCH(COLUMNS($AB$1006:AK1006),$AB$1006:$AQ$1006,0))&gt;=100000), " ",IF(INDEX($AB$2:$AQ$1001,MATCH(ROWS($U$2:U625),$U$2:$U$1001,0),MATCH(COLUMNS($AB$1006:AK1006),$AB$1006:$AQ$1006,0)), HYPERLINK("#",""), HYPERLINK(CONCATENATE("#Metadata!", ADDRESS(INDEX($W$2:$W$1001,MATCH(ROWS($U$2:U625),$U$2:$U$1001,0),0), INDEX($AB$1004:$AQ$1004,1,MATCH(COLUMNS($AB$1006:AK1006),$AB$1006:$AQ$1006,0)))),"Fix")))</f>
        <v>0</v>
      </c>
      <c r="L625" s="5">
        <f>IF(OR(INDEX($V$2:$V$1001,MATCH(ROWS($U$2:U625),$U$2:$U$1001,0),1)&gt;=100000,INDEX($AB$1005:$AQ$1005,1,MATCH(COLUMNS($AB$1006:AL1006),$AB$1006:$AQ$1006,0))&gt;=100000), " ",IF(INDEX($AB$2:$AQ$1001,MATCH(ROWS($U$2:U625),$U$2:$U$1001,0),MATCH(COLUMNS($AB$1006:AL1006),$AB$1006:$AQ$1006,0)), HYPERLINK("#",""), HYPERLINK(CONCATENATE("#Metadata!", ADDRESS(INDEX($W$2:$W$1001,MATCH(ROWS($U$2:U625),$U$2:$U$1001,0),0), INDEX($AB$1004:$AQ$1004,1,MATCH(COLUMNS($AB$1006:AL1006),$AB$1006:$AQ$1006,0)))),"Fix")))</f>
        <v>0</v>
      </c>
      <c r="M625" s="5">
        <f>IF(OR(INDEX($V$2:$V$1001,MATCH(ROWS($U$2:U625),$U$2:$U$1001,0),1)&gt;=100000,INDEX($AB$1005:$AQ$1005,1,MATCH(COLUMNS($AB$1006:AM1006),$AB$1006:$AQ$1006,0))&gt;=100000), " ",IF(INDEX($AB$2:$AQ$1001,MATCH(ROWS($U$2:U625),$U$2:$U$1001,0),MATCH(COLUMNS($AB$1006:AM1006),$AB$1006:$AQ$1006,0)), HYPERLINK("#",""), HYPERLINK(CONCATENATE("#Metadata!", ADDRESS(INDEX($W$2:$W$1001,MATCH(ROWS($U$2:U625),$U$2:$U$1001,0),0), INDEX($AB$1004:$AQ$1004,1,MATCH(COLUMNS($AB$1006:AM1006),$AB$1006:$AQ$1006,0)))),"Fix")))</f>
        <v>0</v>
      </c>
      <c r="N625" s="5">
        <f>IF(OR(INDEX($V$2:$V$1001,MATCH(ROWS($U$2:U625),$U$2:$U$1001,0),1)&gt;=100000,INDEX($AB$1005:$AQ$1005,1,MATCH(COLUMNS($AB$1006:AN1006),$AB$1006:$AQ$1006,0))&gt;=100000), " ",IF(INDEX($AB$2:$AQ$1001,MATCH(ROWS($U$2:U625),$U$2:$U$1001,0),MATCH(COLUMNS($AB$1006:AN1006),$AB$1006:$AQ$1006,0)), HYPERLINK("#",""), HYPERLINK(CONCATENATE("#Metadata!", ADDRESS(INDEX($W$2:$W$1001,MATCH(ROWS($U$2:U625),$U$2:$U$1001,0),0), INDEX($AB$1004:$AQ$1004,1,MATCH(COLUMNS($AB$1006:AN1006),$AB$1006:$AQ$1006,0)))),"Fix")))</f>
        <v>0</v>
      </c>
      <c r="O625" s="5">
        <f>IF(OR(INDEX($V$2:$V$1001,MATCH(ROWS($U$2:U625),$U$2:$U$1001,0),1)&gt;=100000,INDEX($AB$1005:$AQ$1005,1,MATCH(COLUMNS($AB$1006:AO1006),$AB$1006:$AQ$1006,0))&gt;=100000), " ",IF(INDEX($AB$2:$AQ$1001,MATCH(ROWS($U$2:U625),$U$2:$U$1001,0),MATCH(COLUMNS($AB$1006:AO1006),$AB$1006:$AQ$1006,0)), HYPERLINK("#",""), HYPERLINK(CONCATENATE("#Metadata!", ADDRESS(INDEX($W$2:$W$1001,MATCH(ROWS($U$2:U625),$U$2:$U$1001,0),0), INDEX($AB$1004:$AQ$1004,1,MATCH(COLUMNS($AB$1006:AO1006),$AB$1006:$AQ$1006,0)))),"Fix")))</f>
        <v>0</v>
      </c>
      <c r="P625" s="5">
        <f>IF(OR(INDEX($V$2:$V$1001,MATCH(ROWS($U$2:U625),$U$2:$U$1001,0),1)&gt;=100000,INDEX($AB$1005:$AQ$1005,1,MATCH(COLUMNS($AB$1006:AP1006),$AB$1006:$AQ$1006,0))&gt;=100000), " ",IF(INDEX($AB$2:$AQ$1001,MATCH(ROWS($U$2:U625),$U$2:$U$1001,0),MATCH(COLUMNS($AB$1006:AP1006),$AB$1006:$AQ$1006,0)), HYPERLINK("#",""), HYPERLINK(CONCATENATE("#Metadata!", ADDRESS(INDEX($W$2:$W$1001,MATCH(ROWS($U$2:U625),$U$2:$U$1001,0),0), INDEX($AB$1004:$AQ$1004,1,MATCH(COLUMNS($AB$1006:AP1006),$AB$1006:$AQ$1006,0)))),"Fix")))</f>
        <v>0</v>
      </c>
      <c r="Q625" s="5">
        <f>IF(OR(INDEX($V$2:$V$1001,MATCH(ROWS($U$2:U625),$U$2:$U$1001,0),1)&gt;=100000,INDEX($AB$1005:$AQ$1005,1,MATCH(COLUMNS($AB$1006:AQ1006),$AB$1006:$AQ$1006,0))&gt;=100000), " ",IF(INDEX($AB$2:$AQ$1001,MATCH(ROWS($U$2:U625),$U$2:$U$1001,0),MATCH(COLUMNS($AB$1006:AQ1006),$AB$1006:$AQ$1006,0)), HYPERLINK("#",""), HYPERLINK(CONCATENATE("#Metadata!", ADDRESS(INDEX($W$2:$W$1001,MATCH(ROWS($U$2:U625),$U$2:$U$1001,0),0), INDEX($AB$1004:$AQ$1004,1,MATCH(COLUMNS($AB$1006:AQ1006),$AB$1006:$AQ$1006,0)))),"Fix")))</f>
        <v>0</v>
      </c>
      <c r="U625">
        <v>0</v>
      </c>
      <c r="V625">
        <v>0</v>
      </c>
      <c r="W625">
        <v>0</v>
      </c>
      <c r="X625">
        <f>IF(Y625,TRUE,AND(AB625:AQ625))</f>
        <v>0</v>
      </c>
      <c r="Y625">
        <f>COUNTBLANK(Metadata!B625:Q625)=COLUMNS(Metadata!B625:Q625)</f>
        <v>0</v>
      </c>
      <c r="Z625">
        <v>0</v>
      </c>
      <c r="AB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AC625">
        <f>AND(IF(Metadata!C625="",FALSE,TRUE),exact(Metadata!C625,"urban biome"))</f>
        <v>0</v>
      </c>
      <c r="AD625">
        <f>AND(IF(Metadata!D625="",FALSE,TRUE),exact(Metadata!D625,"human-associated habitat"))</f>
        <v>0</v>
      </c>
      <c r="AE625">
        <f>AND(IF(Metadata!E625="",FALSE,TRUE),OR(exact(Metadata!E625,"human-associated"),exact(Metadata!E625,"human-skin"),exact(Metadata!E625,"human-oral"),exact(Metadata!E625,"human-gut"),exact(Metadata!E625,"human-vaginal")))</f>
        <v>0</v>
      </c>
      <c r="AF625">
        <f>AND(IF(Metadata!F625="",FALSE,ISNUMBER(VALUE(Metadata!F625))),Metadata!F625&gt;0)</f>
        <v>0</v>
      </c>
      <c r="AG625">
        <f>AND(IF(Metadata!G625="",FALSE,TRUE),exact(Metadata!G625,"years"))</f>
        <v>0</v>
      </c>
      <c r="AH625">
        <f>OR(AND(IF(Metadata!H625="",FALSE,TRUE),OR(exact(Metadata!H625,"not applicable"),exact(Metadata!H625,"not collected"),exact(Metadata!H625,"not provided"),exact(Metadata!H625,"restricted access"))),AND(IF(Metadata!H625="",FALSE,ISNUMBER(VALUE(Metadata!H625))),Metadata!H625&gt;0))</f>
        <v>0</v>
      </c>
      <c r="AI625">
        <f>AND(IF(Metadata!I625="",FALSE,TRUE),exact(Metadata!I625,"human"))</f>
        <v>0</v>
      </c>
      <c r="AJ625">
        <f>AND(IF(Metadata!J625="",FALSE,ISNUMBER(VALUE(Metadata!J625))),Metadata!J625&gt;0)</f>
        <v>0</v>
      </c>
      <c r="AK625">
        <f>AND(IF(Metadata!K625="",FALSE,TRUE),exact(Metadata!K625,"cm"))</f>
        <v>0</v>
      </c>
      <c r="AL625">
        <f>AND(IF(Metadata!L625="",FALSE,TRUE),exact(Metadata!L625,"Homo sapiens"))</f>
        <v>0</v>
      </c>
      <c r="AM625">
        <f>AND(IF(Metadata!M625="",FALSE,TRUE),exact(Metadata!M625,"9606"))</f>
        <v>0</v>
      </c>
      <c r="AN625">
        <f>AND(IF(Metadata!N625="",FALSE,ISNUMBER(VALUE(Metadata!N625))),Metadata!N625&gt;0)</f>
        <v>0</v>
      </c>
      <c r="AO625">
        <f>AND(IF(Metadata!O625="",FALSE,TRUE),exact(Metadata!O625,"kg"))</f>
        <v>0</v>
      </c>
      <c r="AP625">
        <f>OR(AND(IF(Metadata!P625="",FALSE,TRUE),exact(Metadata!P625,"not provided")),IF(Metadata!P625="",FALSE,TRUE))</f>
        <v>0</v>
      </c>
      <c r="AQ625">
        <f>OR(AND(IF(Metadata!Q625="",FALSE,TRUE),exact(Metadata!Q625,"not provided")),IF(Metadata!Q625="",FALSE,TRUE))</f>
        <v>0</v>
      </c>
    </row>
    <row r="626" spans="1:43">
      <c r="A626" s="4">
        <f>IF(B626=" "," ",HYPERLINK(CONCATENATE("#metadata!",ADDRESS(INDEX($W$2:$W$1001,MATCH(ROWS($U$2:U626),$U$2:$U$1001,0),0),2)),INDEX($Z$2:$Z$1001,MATCH(ROWS($U$2:U626),$U$2:$U$1001,0),0)))</f>
        <v>0</v>
      </c>
      <c r="B626" s="5">
        <f>IF(OR(INDEX($V$2:$V$1001,MATCH(ROWS($U$2:U626),$U$2:$U$1001,0),1)&gt;=100000,INDEX($AB$1005:$AQ$1005,1,MATCH(COLUMNS($AB$1006:AB1006),$AB$1006:$AQ$1006,0))&gt;=100000), " ",IF(INDEX($AB$2:$AQ$1001,MATCH(ROWS($U$2:U626),$U$2:$U$1001,0),MATCH(COLUMNS($AB$1006:AB1006),$AB$1006:$AQ$1006,0)), HYPERLINK("#",""), HYPERLINK(CONCATENATE("#Metadata!", ADDRESS(INDEX($W$2:$W$1001,MATCH(ROWS($U$2:U626),$U$2:$U$1001,0),0), INDEX($AB$1004:$AQ$1004,1,MATCH(COLUMNS($AB$1006:AB1006),$AB$1006:$AQ$1006,0)))),"Fix")))</f>
        <v>0</v>
      </c>
      <c r="C626" s="5">
        <f>IF(OR(INDEX($V$2:$V$1001,MATCH(ROWS($U$2:U626),$U$2:$U$1001,0),1)&gt;=100000,INDEX($AB$1005:$AQ$1005,1,MATCH(COLUMNS($AB$1006:AC1006),$AB$1006:$AQ$1006,0))&gt;=100000), " ",IF(INDEX($AB$2:$AQ$1001,MATCH(ROWS($U$2:U626),$U$2:$U$1001,0),MATCH(COLUMNS($AB$1006:AC1006),$AB$1006:$AQ$1006,0)), HYPERLINK("#",""), HYPERLINK(CONCATENATE("#Metadata!", ADDRESS(INDEX($W$2:$W$1001,MATCH(ROWS($U$2:U626),$U$2:$U$1001,0),0), INDEX($AB$1004:$AQ$1004,1,MATCH(COLUMNS($AB$1006:AC1006),$AB$1006:$AQ$1006,0)))),"Fix")))</f>
        <v>0</v>
      </c>
      <c r="D626" s="5">
        <f>IF(OR(INDEX($V$2:$V$1001,MATCH(ROWS($U$2:U626),$U$2:$U$1001,0),1)&gt;=100000,INDEX($AB$1005:$AQ$1005,1,MATCH(COLUMNS($AB$1006:AD1006),$AB$1006:$AQ$1006,0))&gt;=100000), " ",IF(INDEX($AB$2:$AQ$1001,MATCH(ROWS($U$2:U626),$U$2:$U$1001,0),MATCH(COLUMNS($AB$1006:AD1006),$AB$1006:$AQ$1006,0)), HYPERLINK("#",""), HYPERLINK(CONCATENATE("#Metadata!", ADDRESS(INDEX($W$2:$W$1001,MATCH(ROWS($U$2:U626),$U$2:$U$1001,0),0), INDEX($AB$1004:$AQ$1004,1,MATCH(COLUMNS($AB$1006:AD1006),$AB$1006:$AQ$1006,0)))),"Fix")))</f>
        <v>0</v>
      </c>
      <c r="E626" s="5">
        <f>IF(OR(INDEX($V$2:$V$1001,MATCH(ROWS($U$2:U626),$U$2:$U$1001,0),1)&gt;=100000,INDEX($AB$1005:$AQ$1005,1,MATCH(COLUMNS($AB$1006:AE1006),$AB$1006:$AQ$1006,0))&gt;=100000), " ",IF(INDEX($AB$2:$AQ$1001,MATCH(ROWS($U$2:U626),$U$2:$U$1001,0),MATCH(COLUMNS($AB$1006:AE1006),$AB$1006:$AQ$1006,0)), HYPERLINK("#",""), HYPERLINK(CONCATENATE("#Metadata!", ADDRESS(INDEX($W$2:$W$1001,MATCH(ROWS($U$2:U626),$U$2:$U$1001,0),0), INDEX($AB$1004:$AQ$1004,1,MATCH(COLUMNS($AB$1006:AE1006),$AB$1006:$AQ$1006,0)))),"Fix")))</f>
        <v>0</v>
      </c>
      <c r="F626" s="5">
        <f>IF(OR(INDEX($V$2:$V$1001,MATCH(ROWS($U$2:U626),$U$2:$U$1001,0),1)&gt;=100000,INDEX($AB$1005:$AQ$1005,1,MATCH(COLUMNS($AB$1006:AF1006),$AB$1006:$AQ$1006,0))&gt;=100000), " ",IF(INDEX($AB$2:$AQ$1001,MATCH(ROWS($U$2:U626),$U$2:$U$1001,0),MATCH(COLUMNS($AB$1006:AF1006),$AB$1006:$AQ$1006,0)), HYPERLINK("#",""), HYPERLINK(CONCATENATE("#Metadata!", ADDRESS(INDEX($W$2:$W$1001,MATCH(ROWS($U$2:U626),$U$2:$U$1001,0),0), INDEX($AB$1004:$AQ$1004,1,MATCH(COLUMNS($AB$1006:AF1006),$AB$1006:$AQ$1006,0)))),"Fix")))</f>
        <v>0</v>
      </c>
      <c r="G626" s="5">
        <f>IF(OR(INDEX($V$2:$V$1001,MATCH(ROWS($U$2:U626),$U$2:$U$1001,0),1)&gt;=100000,INDEX($AB$1005:$AQ$1005,1,MATCH(COLUMNS($AB$1006:AG1006),$AB$1006:$AQ$1006,0))&gt;=100000), " ",IF(INDEX($AB$2:$AQ$1001,MATCH(ROWS($U$2:U626),$U$2:$U$1001,0),MATCH(COLUMNS($AB$1006:AG1006),$AB$1006:$AQ$1006,0)), HYPERLINK("#",""), HYPERLINK(CONCATENATE("#Metadata!", ADDRESS(INDEX($W$2:$W$1001,MATCH(ROWS($U$2:U626),$U$2:$U$1001,0),0), INDEX($AB$1004:$AQ$1004,1,MATCH(COLUMNS($AB$1006:AG1006),$AB$1006:$AQ$1006,0)))),"Fix")))</f>
        <v>0</v>
      </c>
      <c r="H626" s="5">
        <f>IF(OR(INDEX($V$2:$V$1001,MATCH(ROWS($U$2:U626),$U$2:$U$1001,0),1)&gt;=100000,INDEX($AB$1005:$AQ$1005,1,MATCH(COLUMNS($AB$1006:AH1006),$AB$1006:$AQ$1006,0))&gt;=100000), " ",IF(INDEX($AB$2:$AQ$1001,MATCH(ROWS($U$2:U626),$U$2:$U$1001,0),MATCH(COLUMNS($AB$1006:AH1006),$AB$1006:$AQ$1006,0)), HYPERLINK("#",""), HYPERLINK(CONCATENATE("#Metadata!", ADDRESS(INDEX($W$2:$W$1001,MATCH(ROWS($U$2:U626),$U$2:$U$1001,0),0), INDEX($AB$1004:$AQ$1004,1,MATCH(COLUMNS($AB$1006:AH1006),$AB$1006:$AQ$1006,0)))),"Fix")))</f>
        <v>0</v>
      </c>
      <c r="I626" s="5">
        <f>IF(OR(INDEX($V$2:$V$1001,MATCH(ROWS($U$2:U626),$U$2:$U$1001,0),1)&gt;=100000,INDEX($AB$1005:$AQ$1005,1,MATCH(COLUMNS($AB$1006:AI1006),$AB$1006:$AQ$1006,0))&gt;=100000), " ",IF(INDEX($AB$2:$AQ$1001,MATCH(ROWS($U$2:U626),$U$2:$U$1001,0),MATCH(COLUMNS($AB$1006:AI1006),$AB$1006:$AQ$1006,0)), HYPERLINK("#",""), HYPERLINK(CONCATENATE("#Metadata!", ADDRESS(INDEX($W$2:$W$1001,MATCH(ROWS($U$2:U626),$U$2:$U$1001,0),0), INDEX($AB$1004:$AQ$1004,1,MATCH(COLUMNS($AB$1006:AI1006),$AB$1006:$AQ$1006,0)))),"Fix")))</f>
        <v>0</v>
      </c>
      <c r="J626" s="5">
        <f>IF(OR(INDEX($V$2:$V$1001,MATCH(ROWS($U$2:U626),$U$2:$U$1001,0),1)&gt;=100000,INDEX($AB$1005:$AQ$1005,1,MATCH(COLUMNS($AB$1006:AJ1006),$AB$1006:$AQ$1006,0))&gt;=100000), " ",IF(INDEX($AB$2:$AQ$1001,MATCH(ROWS($U$2:U626),$U$2:$U$1001,0),MATCH(COLUMNS($AB$1006:AJ1006),$AB$1006:$AQ$1006,0)), HYPERLINK("#",""), HYPERLINK(CONCATENATE("#Metadata!", ADDRESS(INDEX($W$2:$W$1001,MATCH(ROWS($U$2:U626),$U$2:$U$1001,0),0), INDEX($AB$1004:$AQ$1004,1,MATCH(COLUMNS($AB$1006:AJ1006),$AB$1006:$AQ$1006,0)))),"Fix")))</f>
        <v>0</v>
      </c>
      <c r="K626" s="5">
        <f>IF(OR(INDEX($V$2:$V$1001,MATCH(ROWS($U$2:U626),$U$2:$U$1001,0),1)&gt;=100000,INDEX($AB$1005:$AQ$1005,1,MATCH(COLUMNS($AB$1006:AK1006),$AB$1006:$AQ$1006,0))&gt;=100000), " ",IF(INDEX($AB$2:$AQ$1001,MATCH(ROWS($U$2:U626),$U$2:$U$1001,0),MATCH(COLUMNS($AB$1006:AK1006),$AB$1006:$AQ$1006,0)), HYPERLINK("#",""), HYPERLINK(CONCATENATE("#Metadata!", ADDRESS(INDEX($W$2:$W$1001,MATCH(ROWS($U$2:U626),$U$2:$U$1001,0),0), INDEX($AB$1004:$AQ$1004,1,MATCH(COLUMNS($AB$1006:AK1006),$AB$1006:$AQ$1006,0)))),"Fix")))</f>
        <v>0</v>
      </c>
      <c r="L626" s="5">
        <f>IF(OR(INDEX($V$2:$V$1001,MATCH(ROWS($U$2:U626),$U$2:$U$1001,0),1)&gt;=100000,INDEX($AB$1005:$AQ$1005,1,MATCH(COLUMNS($AB$1006:AL1006),$AB$1006:$AQ$1006,0))&gt;=100000), " ",IF(INDEX($AB$2:$AQ$1001,MATCH(ROWS($U$2:U626),$U$2:$U$1001,0),MATCH(COLUMNS($AB$1006:AL1006),$AB$1006:$AQ$1006,0)), HYPERLINK("#",""), HYPERLINK(CONCATENATE("#Metadata!", ADDRESS(INDEX($W$2:$W$1001,MATCH(ROWS($U$2:U626),$U$2:$U$1001,0),0), INDEX($AB$1004:$AQ$1004,1,MATCH(COLUMNS($AB$1006:AL1006),$AB$1006:$AQ$1006,0)))),"Fix")))</f>
        <v>0</v>
      </c>
      <c r="M626" s="5">
        <f>IF(OR(INDEX($V$2:$V$1001,MATCH(ROWS($U$2:U626),$U$2:$U$1001,0),1)&gt;=100000,INDEX($AB$1005:$AQ$1005,1,MATCH(COLUMNS($AB$1006:AM1006),$AB$1006:$AQ$1006,0))&gt;=100000), " ",IF(INDEX($AB$2:$AQ$1001,MATCH(ROWS($U$2:U626),$U$2:$U$1001,0),MATCH(COLUMNS($AB$1006:AM1006),$AB$1006:$AQ$1006,0)), HYPERLINK("#",""), HYPERLINK(CONCATENATE("#Metadata!", ADDRESS(INDEX($W$2:$W$1001,MATCH(ROWS($U$2:U626),$U$2:$U$1001,0),0), INDEX($AB$1004:$AQ$1004,1,MATCH(COLUMNS($AB$1006:AM1006),$AB$1006:$AQ$1006,0)))),"Fix")))</f>
        <v>0</v>
      </c>
      <c r="N626" s="5">
        <f>IF(OR(INDEX($V$2:$V$1001,MATCH(ROWS($U$2:U626),$U$2:$U$1001,0),1)&gt;=100000,INDEX($AB$1005:$AQ$1005,1,MATCH(COLUMNS($AB$1006:AN1006),$AB$1006:$AQ$1006,0))&gt;=100000), " ",IF(INDEX($AB$2:$AQ$1001,MATCH(ROWS($U$2:U626),$U$2:$U$1001,0),MATCH(COLUMNS($AB$1006:AN1006),$AB$1006:$AQ$1006,0)), HYPERLINK("#",""), HYPERLINK(CONCATENATE("#Metadata!", ADDRESS(INDEX($W$2:$W$1001,MATCH(ROWS($U$2:U626),$U$2:$U$1001,0),0), INDEX($AB$1004:$AQ$1004,1,MATCH(COLUMNS($AB$1006:AN1006),$AB$1006:$AQ$1006,0)))),"Fix")))</f>
        <v>0</v>
      </c>
      <c r="O626" s="5">
        <f>IF(OR(INDEX($V$2:$V$1001,MATCH(ROWS($U$2:U626),$U$2:$U$1001,0),1)&gt;=100000,INDEX($AB$1005:$AQ$1005,1,MATCH(COLUMNS($AB$1006:AO1006),$AB$1006:$AQ$1006,0))&gt;=100000), " ",IF(INDEX($AB$2:$AQ$1001,MATCH(ROWS($U$2:U626),$U$2:$U$1001,0),MATCH(COLUMNS($AB$1006:AO1006),$AB$1006:$AQ$1006,0)), HYPERLINK("#",""), HYPERLINK(CONCATENATE("#Metadata!", ADDRESS(INDEX($W$2:$W$1001,MATCH(ROWS($U$2:U626),$U$2:$U$1001,0),0), INDEX($AB$1004:$AQ$1004,1,MATCH(COLUMNS($AB$1006:AO1006),$AB$1006:$AQ$1006,0)))),"Fix")))</f>
        <v>0</v>
      </c>
      <c r="P626" s="5">
        <f>IF(OR(INDEX($V$2:$V$1001,MATCH(ROWS($U$2:U626),$U$2:$U$1001,0),1)&gt;=100000,INDEX($AB$1005:$AQ$1005,1,MATCH(COLUMNS($AB$1006:AP1006),$AB$1006:$AQ$1006,0))&gt;=100000), " ",IF(INDEX($AB$2:$AQ$1001,MATCH(ROWS($U$2:U626),$U$2:$U$1001,0),MATCH(COLUMNS($AB$1006:AP1006),$AB$1006:$AQ$1006,0)), HYPERLINK("#",""), HYPERLINK(CONCATENATE("#Metadata!", ADDRESS(INDEX($W$2:$W$1001,MATCH(ROWS($U$2:U626),$U$2:$U$1001,0),0), INDEX($AB$1004:$AQ$1004,1,MATCH(COLUMNS($AB$1006:AP1006),$AB$1006:$AQ$1006,0)))),"Fix")))</f>
        <v>0</v>
      </c>
      <c r="Q626" s="5">
        <f>IF(OR(INDEX($V$2:$V$1001,MATCH(ROWS($U$2:U626),$U$2:$U$1001,0),1)&gt;=100000,INDEX($AB$1005:$AQ$1005,1,MATCH(COLUMNS($AB$1006:AQ1006),$AB$1006:$AQ$1006,0))&gt;=100000), " ",IF(INDEX($AB$2:$AQ$1001,MATCH(ROWS($U$2:U626),$U$2:$U$1001,0),MATCH(COLUMNS($AB$1006:AQ1006),$AB$1006:$AQ$1006,0)), HYPERLINK("#",""), HYPERLINK(CONCATENATE("#Metadata!", ADDRESS(INDEX($W$2:$W$1001,MATCH(ROWS($U$2:U626),$U$2:$U$1001,0),0), INDEX($AB$1004:$AQ$1004,1,MATCH(COLUMNS($AB$1006:AQ1006),$AB$1006:$AQ$1006,0)))),"Fix")))</f>
        <v>0</v>
      </c>
      <c r="U626">
        <v>0</v>
      </c>
      <c r="V626">
        <v>0</v>
      </c>
      <c r="W626">
        <v>0</v>
      </c>
      <c r="X626">
        <f>IF(Y626,TRUE,AND(AB626:AQ626))</f>
        <v>0</v>
      </c>
      <c r="Y626">
        <f>COUNTBLANK(Metadata!B626:Q626)=COLUMNS(Metadata!B626:Q626)</f>
        <v>0</v>
      </c>
      <c r="Z626">
        <v>0</v>
      </c>
      <c r="AB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AC626">
        <f>AND(IF(Metadata!C626="",FALSE,TRUE),exact(Metadata!C626,"urban biome"))</f>
        <v>0</v>
      </c>
      <c r="AD626">
        <f>AND(IF(Metadata!D626="",FALSE,TRUE),exact(Metadata!D626,"human-associated habitat"))</f>
        <v>0</v>
      </c>
      <c r="AE626">
        <f>AND(IF(Metadata!E626="",FALSE,TRUE),OR(exact(Metadata!E626,"human-associated"),exact(Metadata!E626,"human-skin"),exact(Metadata!E626,"human-oral"),exact(Metadata!E626,"human-gut"),exact(Metadata!E626,"human-vaginal")))</f>
        <v>0</v>
      </c>
      <c r="AF626">
        <f>AND(IF(Metadata!F626="",FALSE,ISNUMBER(VALUE(Metadata!F626))),Metadata!F626&gt;0)</f>
        <v>0</v>
      </c>
      <c r="AG626">
        <f>AND(IF(Metadata!G626="",FALSE,TRUE),exact(Metadata!G626,"years"))</f>
        <v>0</v>
      </c>
      <c r="AH626">
        <f>OR(AND(IF(Metadata!H626="",FALSE,TRUE),OR(exact(Metadata!H626,"not applicable"),exact(Metadata!H626,"not collected"),exact(Metadata!H626,"not provided"),exact(Metadata!H626,"restricted access"))),AND(IF(Metadata!H626="",FALSE,ISNUMBER(VALUE(Metadata!H626))),Metadata!H626&gt;0))</f>
        <v>0</v>
      </c>
      <c r="AI626">
        <f>AND(IF(Metadata!I626="",FALSE,TRUE),exact(Metadata!I626,"human"))</f>
        <v>0</v>
      </c>
      <c r="AJ626">
        <f>AND(IF(Metadata!J626="",FALSE,ISNUMBER(VALUE(Metadata!J626))),Metadata!J626&gt;0)</f>
        <v>0</v>
      </c>
      <c r="AK626">
        <f>AND(IF(Metadata!K626="",FALSE,TRUE),exact(Metadata!K626,"cm"))</f>
        <v>0</v>
      </c>
      <c r="AL626">
        <f>AND(IF(Metadata!L626="",FALSE,TRUE),exact(Metadata!L626,"Homo sapiens"))</f>
        <v>0</v>
      </c>
      <c r="AM626">
        <f>AND(IF(Metadata!M626="",FALSE,TRUE),exact(Metadata!M626,"9606"))</f>
        <v>0</v>
      </c>
      <c r="AN626">
        <f>AND(IF(Metadata!N626="",FALSE,ISNUMBER(VALUE(Metadata!N626))),Metadata!N626&gt;0)</f>
        <v>0</v>
      </c>
      <c r="AO626">
        <f>AND(IF(Metadata!O626="",FALSE,TRUE),exact(Metadata!O626,"kg"))</f>
        <v>0</v>
      </c>
      <c r="AP626">
        <f>OR(AND(IF(Metadata!P626="",FALSE,TRUE),exact(Metadata!P626,"not provided")),IF(Metadata!P626="",FALSE,TRUE))</f>
        <v>0</v>
      </c>
      <c r="AQ626">
        <f>OR(AND(IF(Metadata!Q626="",FALSE,TRUE),exact(Metadata!Q626,"not provided")),IF(Metadata!Q626="",FALSE,TRUE))</f>
        <v>0</v>
      </c>
    </row>
    <row r="627" spans="1:43">
      <c r="A627" s="4">
        <f>IF(B627=" "," ",HYPERLINK(CONCATENATE("#metadata!",ADDRESS(INDEX($W$2:$W$1001,MATCH(ROWS($U$2:U627),$U$2:$U$1001,0),0),2)),INDEX($Z$2:$Z$1001,MATCH(ROWS($U$2:U627),$U$2:$U$1001,0),0)))</f>
        <v>0</v>
      </c>
      <c r="B627" s="5">
        <f>IF(OR(INDEX($V$2:$V$1001,MATCH(ROWS($U$2:U627),$U$2:$U$1001,0),1)&gt;=100000,INDEX($AB$1005:$AQ$1005,1,MATCH(COLUMNS($AB$1006:AB1006),$AB$1006:$AQ$1006,0))&gt;=100000), " ",IF(INDEX($AB$2:$AQ$1001,MATCH(ROWS($U$2:U627),$U$2:$U$1001,0),MATCH(COLUMNS($AB$1006:AB1006),$AB$1006:$AQ$1006,0)), HYPERLINK("#",""), HYPERLINK(CONCATENATE("#Metadata!", ADDRESS(INDEX($W$2:$W$1001,MATCH(ROWS($U$2:U627),$U$2:$U$1001,0),0), INDEX($AB$1004:$AQ$1004,1,MATCH(COLUMNS($AB$1006:AB1006),$AB$1006:$AQ$1006,0)))),"Fix")))</f>
        <v>0</v>
      </c>
      <c r="C627" s="5">
        <f>IF(OR(INDEX($V$2:$V$1001,MATCH(ROWS($U$2:U627),$U$2:$U$1001,0),1)&gt;=100000,INDEX($AB$1005:$AQ$1005,1,MATCH(COLUMNS($AB$1006:AC1006),$AB$1006:$AQ$1006,0))&gt;=100000), " ",IF(INDEX($AB$2:$AQ$1001,MATCH(ROWS($U$2:U627),$U$2:$U$1001,0),MATCH(COLUMNS($AB$1006:AC1006),$AB$1006:$AQ$1006,0)), HYPERLINK("#",""), HYPERLINK(CONCATENATE("#Metadata!", ADDRESS(INDEX($W$2:$W$1001,MATCH(ROWS($U$2:U627),$U$2:$U$1001,0),0), INDEX($AB$1004:$AQ$1004,1,MATCH(COLUMNS($AB$1006:AC1006),$AB$1006:$AQ$1006,0)))),"Fix")))</f>
        <v>0</v>
      </c>
      <c r="D627" s="5">
        <f>IF(OR(INDEX($V$2:$V$1001,MATCH(ROWS($U$2:U627),$U$2:$U$1001,0),1)&gt;=100000,INDEX($AB$1005:$AQ$1005,1,MATCH(COLUMNS($AB$1006:AD1006),$AB$1006:$AQ$1006,0))&gt;=100000), " ",IF(INDEX($AB$2:$AQ$1001,MATCH(ROWS($U$2:U627),$U$2:$U$1001,0),MATCH(COLUMNS($AB$1006:AD1006),$AB$1006:$AQ$1006,0)), HYPERLINK("#",""), HYPERLINK(CONCATENATE("#Metadata!", ADDRESS(INDEX($W$2:$W$1001,MATCH(ROWS($U$2:U627),$U$2:$U$1001,0),0), INDEX($AB$1004:$AQ$1004,1,MATCH(COLUMNS($AB$1006:AD1006),$AB$1006:$AQ$1006,0)))),"Fix")))</f>
        <v>0</v>
      </c>
      <c r="E627" s="5">
        <f>IF(OR(INDEX($V$2:$V$1001,MATCH(ROWS($U$2:U627),$U$2:$U$1001,0),1)&gt;=100000,INDEX($AB$1005:$AQ$1005,1,MATCH(COLUMNS($AB$1006:AE1006),$AB$1006:$AQ$1006,0))&gt;=100000), " ",IF(INDEX($AB$2:$AQ$1001,MATCH(ROWS($U$2:U627),$U$2:$U$1001,0),MATCH(COLUMNS($AB$1006:AE1006),$AB$1006:$AQ$1006,0)), HYPERLINK("#",""), HYPERLINK(CONCATENATE("#Metadata!", ADDRESS(INDEX($W$2:$W$1001,MATCH(ROWS($U$2:U627),$U$2:$U$1001,0),0), INDEX($AB$1004:$AQ$1004,1,MATCH(COLUMNS($AB$1006:AE1006),$AB$1006:$AQ$1006,0)))),"Fix")))</f>
        <v>0</v>
      </c>
      <c r="F627" s="5">
        <f>IF(OR(INDEX($V$2:$V$1001,MATCH(ROWS($U$2:U627),$U$2:$U$1001,0),1)&gt;=100000,INDEX($AB$1005:$AQ$1005,1,MATCH(COLUMNS($AB$1006:AF1006),$AB$1006:$AQ$1006,0))&gt;=100000), " ",IF(INDEX($AB$2:$AQ$1001,MATCH(ROWS($U$2:U627),$U$2:$U$1001,0),MATCH(COLUMNS($AB$1006:AF1006),$AB$1006:$AQ$1006,0)), HYPERLINK("#",""), HYPERLINK(CONCATENATE("#Metadata!", ADDRESS(INDEX($W$2:$W$1001,MATCH(ROWS($U$2:U627),$U$2:$U$1001,0),0), INDEX($AB$1004:$AQ$1004,1,MATCH(COLUMNS($AB$1006:AF1006),$AB$1006:$AQ$1006,0)))),"Fix")))</f>
        <v>0</v>
      </c>
      <c r="G627" s="5">
        <f>IF(OR(INDEX($V$2:$V$1001,MATCH(ROWS($U$2:U627),$U$2:$U$1001,0),1)&gt;=100000,INDEX($AB$1005:$AQ$1005,1,MATCH(COLUMNS($AB$1006:AG1006),$AB$1006:$AQ$1006,0))&gt;=100000), " ",IF(INDEX($AB$2:$AQ$1001,MATCH(ROWS($U$2:U627),$U$2:$U$1001,0),MATCH(COLUMNS($AB$1006:AG1006),$AB$1006:$AQ$1006,0)), HYPERLINK("#",""), HYPERLINK(CONCATENATE("#Metadata!", ADDRESS(INDEX($W$2:$W$1001,MATCH(ROWS($U$2:U627),$U$2:$U$1001,0),0), INDEX($AB$1004:$AQ$1004,1,MATCH(COLUMNS($AB$1006:AG1006),$AB$1006:$AQ$1006,0)))),"Fix")))</f>
        <v>0</v>
      </c>
      <c r="H627" s="5">
        <f>IF(OR(INDEX($V$2:$V$1001,MATCH(ROWS($U$2:U627),$U$2:$U$1001,0),1)&gt;=100000,INDEX($AB$1005:$AQ$1005,1,MATCH(COLUMNS($AB$1006:AH1006),$AB$1006:$AQ$1006,0))&gt;=100000), " ",IF(INDEX($AB$2:$AQ$1001,MATCH(ROWS($U$2:U627),$U$2:$U$1001,0),MATCH(COLUMNS($AB$1006:AH1006),$AB$1006:$AQ$1006,0)), HYPERLINK("#",""), HYPERLINK(CONCATENATE("#Metadata!", ADDRESS(INDEX($W$2:$W$1001,MATCH(ROWS($U$2:U627),$U$2:$U$1001,0),0), INDEX($AB$1004:$AQ$1004,1,MATCH(COLUMNS($AB$1006:AH1006),$AB$1006:$AQ$1006,0)))),"Fix")))</f>
        <v>0</v>
      </c>
      <c r="I627" s="5">
        <f>IF(OR(INDEX($V$2:$V$1001,MATCH(ROWS($U$2:U627),$U$2:$U$1001,0),1)&gt;=100000,INDEX($AB$1005:$AQ$1005,1,MATCH(COLUMNS($AB$1006:AI1006),$AB$1006:$AQ$1006,0))&gt;=100000), " ",IF(INDEX($AB$2:$AQ$1001,MATCH(ROWS($U$2:U627),$U$2:$U$1001,0),MATCH(COLUMNS($AB$1006:AI1006),$AB$1006:$AQ$1006,0)), HYPERLINK("#",""), HYPERLINK(CONCATENATE("#Metadata!", ADDRESS(INDEX($W$2:$W$1001,MATCH(ROWS($U$2:U627),$U$2:$U$1001,0),0), INDEX($AB$1004:$AQ$1004,1,MATCH(COLUMNS($AB$1006:AI1006),$AB$1006:$AQ$1006,0)))),"Fix")))</f>
        <v>0</v>
      </c>
      <c r="J627" s="5">
        <f>IF(OR(INDEX($V$2:$V$1001,MATCH(ROWS($U$2:U627),$U$2:$U$1001,0),1)&gt;=100000,INDEX($AB$1005:$AQ$1005,1,MATCH(COLUMNS($AB$1006:AJ1006),$AB$1006:$AQ$1006,0))&gt;=100000), " ",IF(INDEX($AB$2:$AQ$1001,MATCH(ROWS($U$2:U627),$U$2:$U$1001,0),MATCH(COLUMNS($AB$1006:AJ1006),$AB$1006:$AQ$1006,0)), HYPERLINK("#",""), HYPERLINK(CONCATENATE("#Metadata!", ADDRESS(INDEX($W$2:$W$1001,MATCH(ROWS($U$2:U627),$U$2:$U$1001,0),0), INDEX($AB$1004:$AQ$1004,1,MATCH(COLUMNS($AB$1006:AJ1006),$AB$1006:$AQ$1006,0)))),"Fix")))</f>
        <v>0</v>
      </c>
      <c r="K627" s="5">
        <f>IF(OR(INDEX($V$2:$V$1001,MATCH(ROWS($U$2:U627),$U$2:$U$1001,0),1)&gt;=100000,INDEX($AB$1005:$AQ$1005,1,MATCH(COLUMNS($AB$1006:AK1006),$AB$1006:$AQ$1006,0))&gt;=100000), " ",IF(INDEX($AB$2:$AQ$1001,MATCH(ROWS($U$2:U627),$U$2:$U$1001,0),MATCH(COLUMNS($AB$1006:AK1006),$AB$1006:$AQ$1006,0)), HYPERLINK("#",""), HYPERLINK(CONCATENATE("#Metadata!", ADDRESS(INDEX($W$2:$W$1001,MATCH(ROWS($U$2:U627),$U$2:$U$1001,0),0), INDEX($AB$1004:$AQ$1004,1,MATCH(COLUMNS($AB$1006:AK1006),$AB$1006:$AQ$1006,0)))),"Fix")))</f>
        <v>0</v>
      </c>
      <c r="L627" s="5">
        <f>IF(OR(INDEX($V$2:$V$1001,MATCH(ROWS($U$2:U627),$U$2:$U$1001,0),1)&gt;=100000,INDEX($AB$1005:$AQ$1005,1,MATCH(COLUMNS($AB$1006:AL1006),$AB$1006:$AQ$1006,0))&gt;=100000), " ",IF(INDEX($AB$2:$AQ$1001,MATCH(ROWS($U$2:U627),$U$2:$U$1001,0),MATCH(COLUMNS($AB$1006:AL1006),$AB$1006:$AQ$1006,0)), HYPERLINK("#",""), HYPERLINK(CONCATENATE("#Metadata!", ADDRESS(INDEX($W$2:$W$1001,MATCH(ROWS($U$2:U627),$U$2:$U$1001,0),0), INDEX($AB$1004:$AQ$1004,1,MATCH(COLUMNS($AB$1006:AL1006),$AB$1006:$AQ$1006,0)))),"Fix")))</f>
        <v>0</v>
      </c>
      <c r="M627" s="5">
        <f>IF(OR(INDEX($V$2:$V$1001,MATCH(ROWS($U$2:U627),$U$2:$U$1001,0),1)&gt;=100000,INDEX($AB$1005:$AQ$1005,1,MATCH(COLUMNS($AB$1006:AM1006),$AB$1006:$AQ$1006,0))&gt;=100000), " ",IF(INDEX($AB$2:$AQ$1001,MATCH(ROWS($U$2:U627),$U$2:$U$1001,0),MATCH(COLUMNS($AB$1006:AM1006),$AB$1006:$AQ$1006,0)), HYPERLINK("#",""), HYPERLINK(CONCATENATE("#Metadata!", ADDRESS(INDEX($W$2:$W$1001,MATCH(ROWS($U$2:U627),$U$2:$U$1001,0),0), INDEX($AB$1004:$AQ$1004,1,MATCH(COLUMNS($AB$1006:AM1006),$AB$1006:$AQ$1006,0)))),"Fix")))</f>
        <v>0</v>
      </c>
      <c r="N627" s="5">
        <f>IF(OR(INDEX($V$2:$V$1001,MATCH(ROWS($U$2:U627),$U$2:$U$1001,0),1)&gt;=100000,INDEX($AB$1005:$AQ$1005,1,MATCH(COLUMNS($AB$1006:AN1006),$AB$1006:$AQ$1006,0))&gt;=100000), " ",IF(INDEX($AB$2:$AQ$1001,MATCH(ROWS($U$2:U627),$U$2:$U$1001,0),MATCH(COLUMNS($AB$1006:AN1006),$AB$1006:$AQ$1006,0)), HYPERLINK("#",""), HYPERLINK(CONCATENATE("#Metadata!", ADDRESS(INDEX($W$2:$W$1001,MATCH(ROWS($U$2:U627),$U$2:$U$1001,0),0), INDEX($AB$1004:$AQ$1004,1,MATCH(COLUMNS($AB$1006:AN1006),$AB$1006:$AQ$1006,0)))),"Fix")))</f>
        <v>0</v>
      </c>
      <c r="O627" s="5">
        <f>IF(OR(INDEX($V$2:$V$1001,MATCH(ROWS($U$2:U627),$U$2:$U$1001,0),1)&gt;=100000,INDEX($AB$1005:$AQ$1005,1,MATCH(COLUMNS($AB$1006:AO1006),$AB$1006:$AQ$1006,0))&gt;=100000), " ",IF(INDEX($AB$2:$AQ$1001,MATCH(ROWS($U$2:U627),$U$2:$U$1001,0),MATCH(COLUMNS($AB$1006:AO1006),$AB$1006:$AQ$1006,0)), HYPERLINK("#",""), HYPERLINK(CONCATENATE("#Metadata!", ADDRESS(INDEX($W$2:$W$1001,MATCH(ROWS($U$2:U627),$U$2:$U$1001,0),0), INDEX($AB$1004:$AQ$1004,1,MATCH(COLUMNS($AB$1006:AO1006),$AB$1006:$AQ$1006,0)))),"Fix")))</f>
        <v>0</v>
      </c>
      <c r="P627" s="5">
        <f>IF(OR(INDEX($V$2:$V$1001,MATCH(ROWS($U$2:U627),$U$2:$U$1001,0),1)&gt;=100000,INDEX($AB$1005:$AQ$1005,1,MATCH(COLUMNS($AB$1006:AP1006),$AB$1006:$AQ$1006,0))&gt;=100000), " ",IF(INDEX($AB$2:$AQ$1001,MATCH(ROWS($U$2:U627),$U$2:$U$1001,0),MATCH(COLUMNS($AB$1006:AP1006),$AB$1006:$AQ$1006,0)), HYPERLINK("#",""), HYPERLINK(CONCATENATE("#Metadata!", ADDRESS(INDEX($W$2:$W$1001,MATCH(ROWS($U$2:U627),$U$2:$U$1001,0),0), INDEX($AB$1004:$AQ$1004,1,MATCH(COLUMNS($AB$1006:AP1006),$AB$1006:$AQ$1006,0)))),"Fix")))</f>
        <v>0</v>
      </c>
      <c r="Q627" s="5">
        <f>IF(OR(INDEX($V$2:$V$1001,MATCH(ROWS($U$2:U627),$U$2:$U$1001,0),1)&gt;=100000,INDEX($AB$1005:$AQ$1005,1,MATCH(COLUMNS($AB$1006:AQ1006),$AB$1006:$AQ$1006,0))&gt;=100000), " ",IF(INDEX($AB$2:$AQ$1001,MATCH(ROWS($U$2:U627),$U$2:$U$1001,0),MATCH(COLUMNS($AB$1006:AQ1006),$AB$1006:$AQ$1006,0)), HYPERLINK("#",""), HYPERLINK(CONCATENATE("#Metadata!", ADDRESS(INDEX($W$2:$W$1001,MATCH(ROWS($U$2:U627),$U$2:$U$1001,0),0), INDEX($AB$1004:$AQ$1004,1,MATCH(COLUMNS($AB$1006:AQ1006),$AB$1006:$AQ$1006,0)))),"Fix")))</f>
        <v>0</v>
      </c>
      <c r="U627">
        <v>0</v>
      </c>
      <c r="V627">
        <v>0</v>
      </c>
      <c r="W627">
        <v>0</v>
      </c>
      <c r="X627">
        <f>IF(Y627,TRUE,AND(AB627:AQ627))</f>
        <v>0</v>
      </c>
      <c r="Y627">
        <f>COUNTBLANK(Metadata!B627:Q627)=COLUMNS(Metadata!B627:Q627)</f>
        <v>0</v>
      </c>
      <c r="Z627">
        <v>0</v>
      </c>
      <c r="AB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AC627">
        <f>AND(IF(Metadata!C627="",FALSE,TRUE),exact(Metadata!C627,"urban biome"))</f>
        <v>0</v>
      </c>
      <c r="AD627">
        <f>AND(IF(Metadata!D627="",FALSE,TRUE),exact(Metadata!D627,"human-associated habitat"))</f>
        <v>0</v>
      </c>
      <c r="AE627">
        <f>AND(IF(Metadata!E627="",FALSE,TRUE),OR(exact(Metadata!E627,"human-associated"),exact(Metadata!E627,"human-skin"),exact(Metadata!E627,"human-oral"),exact(Metadata!E627,"human-gut"),exact(Metadata!E627,"human-vaginal")))</f>
        <v>0</v>
      </c>
      <c r="AF627">
        <f>AND(IF(Metadata!F627="",FALSE,ISNUMBER(VALUE(Metadata!F627))),Metadata!F627&gt;0)</f>
        <v>0</v>
      </c>
      <c r="AG627">
        <f>AND(IF(Metadata!G627="",FALSE,TRUE),exact(Metadata!G627,"years"))</f>
        <v>0</v>
      </c>
      <c r="AH627">
        <f>OR(AND(IF(Metadata!H627="",FALSE,TRUE),OR(exact(Metadata!H627,"not applicable"),exact(Metadata!H627,"not collected"),exact(Metadata!H627,"not provided"),exact(Metadata!H627,"restricted access"))),AND(IF(Metadata!H627="",FALSE,ISNUMBER(VALUE(Metadata!H627))),Metadata!H627&gt;0))</f>
        <v>0</v>
      </c>
      <c r="AI627">
        <f>AND(IF(Metadata!I627="",FALSE,TRUE),exact(Metadata!I627,"human"))</f>
        <v>0</v>
      </c>
      <c r="AJ627">
        <f>AND(IF(Metadata!J627="",FALSE,ISNUMBER(VALUE(Metadata!J627))),Metadata!J627&gt;0)</f>
        <v>0</v>
      </c>
      <c r="AK627">
        <f>AND(IF(Metadata!K627="",FALSE,TRUE),exact(Metadata!K627,"cm"))</f>
        <v>0</v>
      </c>
      <c r="AL627">
        <f>AND(IF(Metadata!L627="",FALSE,TRUE),exact(Metadata!L627,"Homo sapiens"))</f>
        <v>0</v>
      </c>
      <c r="AM627">
        <f>AND(IF(Metadata!M627="",FALSE,TRUE),exact(Metadata!M627,"9606"))</f>
        <v>0</v>
      </c>
      <c r="AN627">
        <f>AND(IF(Metadata!N627="",FALSE,ISNUMBER(VALUE(Metadata!N627))),Metadata!N627&gt;0)</f>
        <v>0</v>
      </c>
      <c r="AO627">
        <f>AND(IF(Metadata!O627="",FALSE,TRUE),exact(Metadata!O627,"kg"))</f>
        <v>0</v>
      </c>
      <c r="AP627">
        <f>OR(AND(IF(Metadata!P627="",FALSE,TRUE),exact(Metadata!P627,"not provided")),IF(Metadata!P627="",FALSE,TRUE))</f>
        <v>0</v>
      </c>
      <c r="AQ627">
        <f>OR(AND(IF(Metadata!Q627="",FALSE,TRUE),exact(Metadata!Q627,"not provided")),IF(Metadata!Q627="",FALSE,TRUE))</f>
        <v>0</v>
      </c>
    </row>
    <row r="628" spans="1:43">
      <c r="A628" s="4">
        <f>IF(B628=" "," ",HYPERLINK(CONCATENATE("#metadata!",ADDRESS(INDEX($W$2:$W$1001,MATCH(ROWS($U$2:U628),$U$2:$U$1001,0),0),2)),INDEX($Z$2:$Z$1001,MATCH(ROWS($U$2:U628),$U$2:$U$1001,0),0)))</f>
        <v>0</v>
      </c>
      <c r="B628" s="5">
        <f>IF(OR(INDEX($V$2:$V$1001,MATCH(ROWS($U$2:U628),$U$2:$U$1001,0),1)&gt;=100000,INDEX($AB$1005:$AQ$1005,1,MATCH(COLUMNS($AB$1006:AB1006),$AB$1006:$AQ$1006,0))&gt;=100000), " ",IF(INDEX($AB$2:$AQ$1001,MATCH(ROWS($U$2:U628),$U$2:$U$1001,0),MATCH(COLUMNS($AB$1006:AB1006),$AB$1006:$AQ$1006,0)), HYPERLINK("#",""), HYPERLINK(CONCATENATE("#Metadata!", ADDRESS(INDEX($W$2:$W$1001,MATCH(ROWS($U$2:U628),$U$2:$U$1001,0),0), INDEX($AB$1004:$AQ$1004,1,MATCH(COLUMNS($AB$1006:AB1006),$AB$1006:$AQ$1006,0)))),"Fix")))</f>
        <v>0</v>
      </c>
      <c r="C628" s="5">
        <f>IF(OR(INDEX($V$2:$V$1001,MATCH(ROWS($U$2:U628),$U$2:$U$1001,0),1)&gt;=100000,INDEX($AB$1005:$AQ$1005,1,MATCH(COLUMNS($AB$1006:AC1006),$AB$1006:$AQ$1006,0))&gt;=100000), " ",IF(INDEX($AB$2:$AQ$1001,MATCH(ROWS($U$2:U628),$U$2:$U$1001,0),MATCH(COLUMNS($AB$1006:AC1006),$AB$1006:$AQ$1006,0)), HYPERLINK("#",""), HYPERLINK(CONCATENATE("#Metadata!", ADDRESS(INDEX($W$2:$W$1001,MATCH(ROWS($U$2:U628),$U$2:$U$1001,0),0), INDEX($AB$1004:$AQ$1004,1,MATCH(COLUMNS($AB$1006:AC1006),$AB$1006:$AQ$1006,0)))),"Fix")))</f>
        <v>0</v>
      </c>
      <c r="D628" s="5">
        <f>IF(OR(INDEX($V$2:$V$1001,MATCH(ROWS($U$2:U628),$U$2:$U$1001,0),1)&gt;=100000,INDEX($AB$1005:$AQ$1005,1,MATCH(COLUMNS($AB$1006:AD1006),$AB$1006:$AQ$1006,0))&gt;=100000), " ",IF(INDEX($AB$2:$AQ$1001,MATCH(ROWS($U$2:U628),$U$2:$U$1001,0),MATCH(COLUMNS($AB$1006:AD1006),$AB$1006:$AQ$1006,0)), HYPERLINK("#",""), HYPERLINK(CONCATENATE("#Metadata!", ADDRESS(INDEX($W$2:$W$1001,MATCH(ROWS($U$2:U628),$U$2:$U$1001,0),0), INDEX($AB$1004:$AQ$1004,1,MATCH(COLUMNS($AB$1006:AD1006),$AB$1006:$AQ$1006,0)))),"Fix")))</f>
        <v>0</v>
      </c>
      <c r="E628" s="5">
        <f>IF(OR(INDEX($V$2:$V$1001,MATCH(ROWS($U$2:U628),$U$2:$U$1001,0),1)&gt;=100000,INDEX($AB$1005:$AQ$1005,1,MATCH(COLUMNS($AB$1006:AE1006),$AB$1006:$AQ$1006,0))&gt;=100000), " ",IF(INDEX($AB$2:$AQ$1001,MATCH(ROWS($U$2:U628),$U$2:$U$1001,0),MATCH(COLUMNS($AB$1006:AE1006),$AB$1006:$AQ$1006,0)), HYPERLINK("#",""), HYPERLINK(CONCATENATE("#Metadata!", ADDRESS(INDEX($W$2:$W$1001,MATCH(ROWS($U$2:U628),$U$2:$U$1001,0),0), INDEX($AB$1004:$AQ$1004,1,MATCH(COLUMNS($AB$1006:AE1006),$AB$1006:$AQ$1006,0)))),"Fix")))</f>
        <v>0</v>
      </c>
      <c r="F628" s="5">
        <f>IF(OR(INDEX($V$2:$V$1001,MATCH(ROWS($U$2:U628),$U$2:$U$1001,0),1)&gt;=100000,INDEX($AB$1005:$AQ$1005,1,MATCH(COLUMNS($AB$1006:AF1006),$AB$1006:$AQ$1006,0))&gt;=100000), " ",IF(INDEX($AB$2:$AQ$1001,MATCH(ROWS($U$2:U628),$U$2:$U$1001,0),MATCH(COLUMNS($AB$1006:AF1006),$AB$1006:$AQ$1006,0)), HYPERLINK("#",""), HYPERLINK(CONCATENATE("#Metadata!", ADDRESS(INDEX($W$2:$W$1001,MATCH(ROWS($U$2:U628),$U$2:$U$1001,0),0), INDEX($AB$1004:$AQ$1004,1,MATCH(COLUMNS($AB$1006:AF1006),$AB$1006:$AQ$1006,0)))),"Fix")))</f>
        <v>0</v>
      </c>
      <c r="G628" s="5">
        <f>IF(OR(INDEX($V$2:$V$1001,MATCH(ROWS($U$2:U628),$U$2:$U$1001,0),1)&gt;=100000,INDEX($AB$1005:$AQ$1005,1,MATCH(COLUMNS($AB$1006:AG1006),$AB$1006:$AQ$1006,0))&gt;=100000), " ",IF(INDEX($AB$2:$AQ$1001,MATCH(ROWS($U$2:U628),$U$2:$U$1001,0),MATCH(COLUMNS($AB$1006:AG1006),$AB$1006:$AQ$1006,0)), HYPERLINK("#",""), HYPERLINK(CONCATENATE("#Metadata!", ADDRESS(INDEX($W$2:$W$1001,MATCH(ROWS($U$2:U628),$U$2:$U$1001,0),0), INDEX($AB$1004:$AQ$1004,1,MATCH(COLUMNS($AB$1006:AG1006),$AB$1006:$AQ$1006,0)))),"Fix")))</f>
        <v>0</v>
      </c>
      <c r="H628" s="5">
        <f>IF(OR(INDEX($V$2:$V$1001,MATCH(ROWS($U$2:U628),$U$2:$U$1001,0),1)&gt;=100000,INDEX($AB$1005:$AQ$1005,1,MATCH(COLUMNS($AB$1006:AH1006),$AB$1006:$AQ$1006,0))&gt;=100000), " ",IF(INDEX($AB$2:$AQ$1001,MATCH(ROWS($U$2:U628),$U$2:$U$1001,0),MATCH(COLUMNS($AB$1006:AH1006),$AB$1006:$AQ$1006,0)), HYPERLINK("#",""), HYPERLINK(CONCATENATE("#Metadata!", ADDRESS(INDEX($W$2:$W$1001,MATCH(ROWS($U$2:U628),$U$2:$U$1001,0),0), INDEX($AB$1004:$AQ$1004,1,MATCH(COLUMNS($AB$1006:AH1006),$AB$1006:$AQ$1006,0)))),"Fix")))</f>
        <v>0</v>
      </c>
      <c r="I628" s="5">
        <f>IF(OR(INDEX($V$2:$V$1001,MATCH(ROWS($U$2:U628),$U$2:$U$1001,0),1)&gt;=100000,INDEX($AB$1005:$AQ$1005,1,MATCH(COLUMNS($AB$1006:AI1006),$AB$1006:$AQ$1006,0))&gt;=100000), " ",IF(INDEX($AB$2:$AQ$1001,MATCH(ROWS($U$2:U628),$U$2:$U$1001,0),MATCH(COLUMNS($AB$1006:AI1006),$AB$1006:$AQ$1006,0)), HYPERLINK("#",""), HYPERLINK(CONCATENATE("#Metadata!", ADDRESS(INDEX($W$2:$W$1001,MATCH(ROWS($U$2:U628),$U$2:$U$1001,0),0), INDEX($AB$1004:$AQ$1004,1,MATCH(COLUMNS($AB$1006:AI1006),$AB$1006:$AQ$1006,0)))),"Fix")))</f>
        <v>0</v>
      </c>
      <c r="J628" s="5">
        <f>IF(OR(INDEX($V$2:$V$1001,MATCH(ROWS($U$2:U628),$U$2:$U$1001,0),1)&gt;=100000,INDEX($AB$1005:$AQ$1005,1,MATCH(COLUMNS($AB$1006:AJ1006),$AB$1006:$AQ$1006,0))&gt;=100000), " ",IF(INDEX($AB$2:$AQ$1001,MATCH(ROWS($U$2:U628),$U$2:$U$1001,0),MATCH(COLUMNS($AB$1006:AJ1006),$AB$1006:$AQ$1006,0)), HYPERLINK("#",""), HYPERLINK(CONCATENATE("#Metadata!", ADDRESS(INDEX($W$2:$W$1001,MATCH(ROWS($U$2:U628),$U$2:$U$1001,0),0), INDEX($AB$1004:$AQ$1004,1,MATCH(COLUMNS($AB$1006:AJ1006),$AB$1006:$AQ$1006,0)))),"Fix")))</f>
        <v>0</v>
      </c>
      <c r="K628" s="5">
        <f>IF(OR(INDEX($V$2:$V$1001,MATCH(ROWS($U$2:U628),$U$2:$U$1001,0),1)&gt;=100000,INDEX($AB$1005:$AQ$1005,1,MATCH(COLUMNS($AB$1006:AK1006),$AB$1006:$AQ$1006,0))&gt;=100000), " ",IF(INDEX($AB$2:$AQ$1001,MATCH(ROWS($U$2:U628),$U$2:$U$1001,0),MATCH(COLUMNS($AB$1006:AK1006),$AB$1006:$AQ$1006,0)), HYPERLINK("#",""), HYPERLINK(CONCATENATE("#Metadata!", ADDRESS(INDEX($W$2:$W$1001,MATCH(ROWS($U$2:U628),$U$2:$U$1001,0),0), INDEX($AB$1004:$AQ$1004,1,MATCH(COLUMNS($AB$1006:AK1006),$AB$1006:$AQ$1006,0)))),"Fix")))</f>
        <v>0</v>
      </c>
      <c r="L628" s="5">
        <f>IF(OR(INDEX($V$2:$V$1001,MATCH(ROWS($U$2:U628),$U$2:$U$1001,0),1)&gt;=100000,INDEX($AB$1005:$AQ$1005,1,MATCH(COLUMNS($AB$1006:AL1006),$AB$1006:$AQ$1006,0))&gt;=100000), " ",IF(INDEX($AB$2:$AQ$1001,MATCH(ROWS($U$2:U628),$U$2:$U$1001,0),MATCH(COLUMNS($AB$1006:AL1006),$AB$1006:$AQ$1006,0)), HYPERLINK("#",""), HYPERLINK(CONCATENATE("#Metadata!", ADDRESS(INDEX($W$2:$W$1001,MATCH(ROWS($U$2:U628),$U$2:$U$1001,0),0), INDEX($AB$1004:$AQ$1004,1,MATCH(COLUMNS($AB$1006:AL1006),$AB$1006:$AQ$1006,0)))),"Fix")))</f>
        <v>0</v>
      </c>
      <c r="M628" s="5">
        <f>IF(OR(INDEX($V$2:$V$1001,MATCH(ROWS($U$2:U628),$U$2:$U$1001,0),1)&gt;=100000,INDEX($AB$1005:$AQ$1005,1,MATCH(COLUMNS($AB$1006:AM1006),$AB$1006:$AQ$1006,0))&gt;=100000), " ",IF(INDEX($AB$2:$AQ$1001,MATCH(ROWS($U$2:U628),$U$2:$U$1001,0),MATCH(COLUMNS($AB$1006:AM1006),$AB$1006:$AQ$1006,0)), HYPERLINK("#",""), HYPERLINK(CONCATENATE("#Metadata!", ADDRESS(INDEX($W$2:$W$1001,MATCH(ROWS($U$2:U628),$U$2:$U$1001,0),0), INDEX($AB$1004:$AQ$1004,1,MATCH(COLUMNS($AB$1006:AM1006),$AB$1006:$AQ$1006,0)))),"Fix")))</f>
        <v>0</v>
      </c>
      <c r="N628" s="5">
        <f>IF(OR(INDEX($V$2:$V$1001,MATCH(ROWS($U$2:U628),$U$2:$U$1001,0),1)&gt;=100000,INDEX($AB$1005:$AQ$1005,1,MATCH(COLUMNS($AB$1006:AN1006),$AB$1006:$AQ$1006,0))&gt;=100000), " ",IF(INDEX($AB$2:$AQ$1001,MATCH(ROWS($U$2:U628),$U$2:$U$1001,0),MATCH(COLUMNS($AB$1006:AN1006),$AB$1006:$AQ$1006,0)), HYPERLINK("#",""), HYPERLINK(CONCATENATE("#Metadata!", ADDRESS(INDEX($W$2:$W$1001,MATCH(ROWS($U$2:U628),$U$2:$U$1001,0),0), INDEX($AB$1004:$AQ$1004,1,MATCH(COLUMNS($AB$1006:AN1006),$AB$1006:$AQ$1006,0)))),"Fix")))</f>
        <v>0</v>
      </c>
      <c r="O628" s="5">
        <f>IF(OR(INDEX($V$2:$V$1001,MATCH(ROWS($U$2:U628),$U$2:$U$1001,0),1)&gt;=100000,INDEX($AB$1005:$AQ$1005,1,MATCH(COLUMNS($AB$1006:AO1006),$AB$1006:$AQ$1006,0))&gt;=100000), " ",IF(INDEX($AB$2:$AQ$1001,MATCH(ROWS($U$2:U628),$U$2:$U$1001,0),MATCH(COLUMNS($AB$1006:AO1006),$AB$1006:$AQ$1006,0)), HYPERLINK("#",""), HYPERLINK(CONCATENATE("#Metadata!", ADDRESS(INDEX($W$2:$W$1001,MATCH(ROWS($U$2:U628),$U$2:$U$1001,0),0), INDEX($AB$1004:$AQ$1004,1,MATCH(COLUMNS($AB$1006:AO1006),$AB$1006:$AQ$1006,0)))),"Fix")))</f>
        <v>0</v>
      </c>
      <c r="P628" s="5">
        <f>IF(OR(INDEX($V$2:$V$1001,MATCH(ROWS($U$2:U628),$U$2:$U$1001,0),1)&gt;=100000,INDEX($AB$1005:$AQ$1005,1,MATCH(COLUMNS($AB$1006:AP1006),$AB$1006:$AQ$1006,0))&gt;=100000), " ",IF(INDEX($AB$2:$AQ$1001,MATCH(ROWS($U$2:U628),$U$2:$U$1001,0),MATCH(COLUMNS($AB$1006:AP1006),$AB$1006:$AQ$1006,0)), HYPERLINK("#",""), HYPERLINK(CONCATENATE("#Metadata!", ADDRESS(INDEX($W$2:$W$1001,MATCH(ROWS($U$2:U628),$U$2:$U$1001,0),0), INDEX($AB$1004:$AQ$1004,1,MATCH(COLUMNS($AB$1006:AP1006),$AB$1006:$AQ$1006,0)))),"Fix")))</f>
        <v>0</v>
      </c>
      <c r="Q628" s="5">
        <f>IF(OR(INDEX($V$2:$V$1001,MATCH(ROWS($U$2:U628),$U$2:$U$1001,0),1)&gt;=100000,INDEX($AB$1005:$AQ$1005,1,MATCH(COLUMNS($AB$1006:AQ1006),$AB$1006:$AQ$1006,0))&gt;=100000), " ",IF(INDEX($AB$2:$AQ$1001,MATCH(ROWS($U$2:U628),$U$2:$U$1001,0),MATCH(COLUMNS($AB$1006:AQ1006),$AB$1006:$AQ$1006,0)), HYPERLINK("#",""), HYPERLINK(CONCATENATE("#Metadata!", ADDRESS(INDEX($W$2:$W$1001,MATCH(ROWS($U$2:U628),$U$2:$U$1001,0),0), INDEX($AB$1004:$AQ$1004,1,MATCH(COLUMNS($AB$1006:AQ1006),$AB$1006:$AQ$1006,0)))),"Fix")))</f>
        <v>0</v>
      </c>
      <c r="U628">
        <v>0</v>
      </c>
      <c r="V628">
        <v>0</v>
      </c>
      <c r="W628">
        <v>0</v>
      </c>
      <c r="X628">
        <f>IF(Y628,TRUE,AND(AB628:AQ628))</f>
        <v>0</v>
      </c>
      <c r="Y628">
        <f>COUNTBLANK(Metadata!B628:Q628)=COLUMNS(Metadata!B628:Q628)</f>
        <v>0</v>
      </c>
      <c r="Z628">
        <v>0</v>
      </c>
      <c r="AB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AC628">
        <f>AND(IF(Metadata!C628="",FALSE,TRUE),exact(Metadata!C628,"urban biome"))</f>
        <v>0</v>
      </c>
      <c r="AD628">
        <f>AND(IF(Metadata!D628="",FALSE,TRUE),exact(Metadata!D628,"human-associated habitat"))</f>
        <v>0</v>
      </c>
      <c r="AE628">
        <f>AND(IF(Metadata!E628="",FALSE,TRUE),OR(exact(Metadata!E628,"human-associated"),exact(Metadata!E628,"human-skin"),exact(Metadata!E628,"human-oral"),exact(Metadata!E628,"human-gut"),exact(Metadata!E628,"human-vaginal")))</f>
        <v>0</v>
      </c>
      <c r="AF628">
        <f>AND(IF(Metadata!F628="",FALSE,ISNUMBER(VALUE(Metadata!F628))),Metadata!F628&gt;0)</f>
        <v>0</v>
      </c>
      <c r="AG628">
        <f>AND(IF(Metadata!G628="",FALSE,TRUE),exact(Metadata!G628,"years"))</f>
        <v>0</v>
      </c>
      <c r="AH628">
        <f>OR(AND(IF(Metadata!H628="",FALSE,TRUE),OR(exact(Metadata!H628,"not applicable"),exact(Metadata!H628,"not collected"),exact(Metadata!H628,"not provided"),exact(Metadata!H628,"restricted access"))),AND(IF(Metadata!H628="",FALSE,ISNUMBER(VALUE(Metadata!H628))),Metadata!H628&gt;0))</f>
        <v>0</v>
      </c>
      <c r="AI628">
        <f>AND(IF(Metadata!I628="",FALSE,TRUE),exact(Metadata!I628,"human"))</f>
        <v>0</v>
      </c>
      <c r="AJ628">
        <f>AND(IF(Metadata!J628="",FALSE,ISNUMBER(VALUE(Metadata!J628))),Metadata!J628&gt;0)</f>
        <v>0</v>
      </c>
      <c r="AK628">
        <f>AND(IF(Metadata!K628="",FALSE,TRUE),exact(Metadata!K628,"cm"))</f>
        <v>0</v>
      </c>
      <c r="AL628">
        <f>AND(IF(Metadata!L628="",FALSE,TRUE),exact(Metadata!L628,"Homo sapiens"))</f>
        <v>0</v>
      </c>
      <c r="AM628">
        <f>AND(IF(Metadata!M628="",FALSE,TRUE),exact(Metadata!M628,"9606"))</f>
        <v>0</v>
      </c>
      <c r="AN628">
        <f>AND(IF(Metadata!N628="",FALSE,ISNUMBER(VALUE(Metadata!N628))),Metadata!N628&gt;0)</f>
        <v>0</v>
      </c>
      <c r="AO628">
        <f>AND(IF(Metadata!O628="",FALSE,TRUE),exact(Metadata!O628,"kg"))</f>
        <v>0</v>
      </c>
      <c r="AP628">
        <f>OR(AND(IF(Metadata!P628="",FALSE,TRUE),exact(Metadata!P628,"not provided")),IF(Metadata!P628="",FALSE,TRUE))</f>
        <v>0</v>
      </c>
      <c r="AQ628">
        <f>OR(AND(IF(Metadata!Q628="",FALSE,TRUE),exact(Metadata!Q628,"not provided")),IF(Metadata!Q628="",FALSE,TRUE))</f>
        <v>0</v>
      </c>
    </row>
    <row r="629" spans="1:43">
      <c r="A629" s="4">
        <f>IF(B629=" "," ",HYPERLINK(CONCATENATE("#metadata!",ADDRESS(INDEX($W$2:$W$1001,MATCH(ROWS($U$2:U629),$U$2:$U$1001,0),0),2)),INDEX($Z$2:$Z$1001,MATCH(ROWS($U$2:U629),$U$2:$U$1001,0),0)))</f>
        <v>0</v>
      </c>
      <c r="B629" s="5">
        <f>IF(OR(INDEX($V$2:$V$1001,MATCH(ROWS($U$2:U629),$U$2:$U$1001,0),1)&gt;=100000,INDEX($AB$1005:$AQ$1005,1,MATCH(COLUMNS($AB$1006:AB1006),$AB$1006:$AQ$1006,0))&gt;=100000), " ",IF(INDEX($AB$2:$AQ$1001,MATCH(ROWS($U$2:U629),$U$2:$U$1001,0),MATCH(COLUMNS($AB$1006:AB1006),$AB$1006:$AQ$1006,0)), HYPERLINK("#",""), HYPERLINK(CONCATENATE("#Metadata!", ADDRESS(INDEX($W$2:$W$1001,MATCH(ROWS($U$2:U629),$U$2:$U$1001,0),0), INDEX($AB$1004:$AQ$1004,1,MATCH(COLUMNS($AB$1006:AB1006),$AB$1006:$AQ$1006,0)))),"Fix")))</f>
        <v>0</v>
      </c>
      <c r="C629" s="5">
        <f>IF(OR(INDEX($V$2:$V$1001,MATCH(ROWS($U$2:U629),$U$2:$U$1001,0),1)&gt;=100000,INDEX($AB$1005:$AQ$1005,1,MATCH(COLUMNS($AB$1006:AC1006),$AB$1006:$AQ$1006,0))&gt;=100000), " ",IF(INDEX($AB$2:$AQ$1001,MATCH(ROWS($U$2:U629),$U$2:$U$1001,0),MATCH(COLUMNS($AB$1006:AC1006),$AB$1006:$AQ$1006,0)), HYPERLINK("#",""), HYPERLINK(CONCATENATE("#Metadata!", ADDRESS(INDEX($W$2:$W$1001,MATCH(ROWS($U$2:U629),$U$2:$U$1001,0),0), INDEX($AB$1004:$AQ$1004,1,MATCH(COLUMNS($AB$1006:AC1006),$AB$1006:$AQ$1006,0)))),"Fix")))</f>
        <v>0</v>
      </c>
      <c r="D629" s="5">
        <f>IF(OR(INDEX($V$2:$V$1001,MATCH(ROWS($U$2:U629),$U$2:$U$1001,0),1)&gt;=100000,INDEX($AB$1005:$AQ$1005,1,MATCH(COLUMNS($AB$1006:AD1006),$AB$1006:$AQ$1006,0))&gt;=100000), " ",IF(INDEX($AB$2:$AQ$1001,MATCH(ROWS($U$2:U629),$U$2:$U$1001,0),MATCH(COLUMNS($AB$1006:AD1006),$AB$1006:$AQ$1006,0)), HYPERLINK("#",""), HYPERLINK(CONCATENATE("#Metadata!", ADDRESS(INDEX($W$2:$W$1001,MATCH(ROWS($U$2:U629),$U$2:$U$1001,0),0), INDEX($AB$1004:$AQ$1004,1,MATCH(COLUMNS($AB$1006:AD1006),$AB$1006:$AQ$1006,0)))),"Fix")))</f>
        <v>0</v>
      </c>
      <c r="E629" s="5">
        <f>IF(OR(INDEX($V$2:$V$1001,MATCH(ROWS($U$2:U629),$U$2:$U$1001,0),1)&gt;=100000,INDEX($AB$1005:$AQ$1005,1,MATCH(COLUMNS($AB$1006:AE1006),$AB$1006:$AQ$1006,0))&gt;=100000), " ",IF(INDEX($AB$2:$AQ$1001,MATCH(ROWS($U$2:U629),$U$2:$U$1001,0),MATCH(COLUMNS($AB$1006:AE1006),$AB$1006:$AQ$1006,0)), HYPERLINK("#",""), HYPERLINK(CONCATENATE("#Metadata!", ADDRESS(INDEX($W$2:$W$1001,MATCH(ROWS($U$2:U629),$U$2:$U$1001,0),0), INDEX($AB$1004:$AQ$1004,1,MATCH(COLUMNS($AB$1006:AE1006),$AB$1006:$AQ$1006,0)))),"Fix")))</f>
        <v>0</v>
      </c>
      <c r="F629" s="5">
        <f>IF(OR(INDEX($V$2:$V$1001,MATCH(ROWS($U$2:U629),$U$2:$U$1001,0),1)&gt;=100000,INDEX($AB$1005:$AQ$1005,1,MATCH(COLUMNS($AB$1006:AF1006),$AB$1006:$AQ$1006,0))&gt;=100000), " ",IF(INDEX($AB$2:$AQ$1001,MATCH(ROWS($U$2:U629),$U$2:$U$1001,0),MATCH(COLUMNS($AB$1006:AF1006),$AB$1006:$AQ$1006,0)), HYPERLINK("#",""), HYPERLINK(CONCATENATE("#Metadata!", ADDRESS(INDEX($W$2:$W$1001,MATCH(ROWS($U$2:U629),$U$2:$U$1001,0),0), INDEX($AB$1004:$AQ$1004,1,MATCH(COLUMNS($AB$1006:AF1006),$AB$1006:$AQ$1006,0)))),"Fix")))</f>
        <v>0</v>
      </c>
      <c r="G629" s="5">
        <f>IF(OR(INDEX($V$2:$V$1001,MATCH(ROWS($U$2:U629),$U$2:$U$1001,0),1)&gt;=100000,INDEX($AB$1005:$AQ$1005,1,MATCH(COLUMNS($AB$1006:AG1006),$AB$1006:$AQ$1006,0))&gt;=100000), " ",IF(INDEX($AB$2:$AQ$1001,MATCH(ROWS($U$2:U629),$U$2:$U$1001,0),MATCH(COLUMNS($AB$1006:AG1006),$AB$1006:$AQ$1006,0)), HYPERLINK("#",""), HYPERLINK(CONCATENATE("#Metadata!", ADDRESS(INDEX($W$2:$W$1001,MATCH(ROWS($U$2:U629),$U$2:$U$1001,0),0), INDEX($AB$1004:$AQ$1004,1,MATCH(COLUMNS($AB$1006:AG1006),$AB$1006:$AQ$1006,0)))),"Fix")))</f>
        <v>0</v>
      </c>
      <c r="H629" s="5">
        <f>IF(OR(INDEX($V$2:$V$1001,MATCH(ROWS($U$2:U629),$U$2:$U$1001,0),1)&gt;=100000,INDEX($AB$1005:$AQ$1005,1,MATCH(COLUMNS($AB$1006:AH1006),$AB$1006:$AQ$1006,0))&gt;=100000), " ",IF(INDEX($AB$2:$AQ$1001,MATCH(ROWS($U$2:U629),$U$2:$U$1001,0),MATCH(COLUMNS($AB$1006:AH1006),$AB$1006:$AQ$1006,0)), HYPERLINK("#",""), HYPERLINK(CONCATENATE("#Metadata!", ADDRESS(INDEX($W$2:$W$1001,MATCH(ROWS($U$2:U629),$U$2:$U$1001,0),0), INDEX($AB$1004:$AQ$1004,1,MATCH(COLUMNS($AB$1006:AH1006),$AB$1006:$AQ$1006,0)))),"Fix")))</f>
        <v>0</v>
      </c>
      <c r="I629" s="5">
        <f>IF(OR(INDEX($V$2:$V$1001,MATCH(ROWS($U$2:U629),$U$2:$U$1001,0),1)&gt;=100000,INDEX($AB$1005:$AQ$1005,1,MATCH(COLUMNS($AB$1006:AI1006),$AB$1006:$AQ$1006,0))&gt;=100000), " ",IF(INDEX($AB$2:$AQ$1001,MATCH(ROWS($U$2:U629),$U$2:$U$1001,0),MATCH(COLUMNS($AB$1006:AI1006),$AB$1006:$AQ$1006,0)), HYPERLINK("#",""), HYPERLINK(CONCATENATE("#Metadata!", ADDRESS(INDEX($W$2:$W$1001,MATCH(ROWS($U$2:U629),$U$2:$U$1001,0),0), INDEX($AB$1004:$AQ$1004,1,MATCH(COLUMNS($AB$1006:AI1006),$AB$1006:$AQ$1006,0)))),"Fix")))</f>
        <v>0</v>
      </c>
      <c r="J629" s="5">
        <f>IF(OR(INDEX($V$2:$V$1001,MATCH(ROWS($U$2:U629),$U$2:$U$1001,0),1)&gt;=100000,INDEX($AB$1005:$AQ$1005,1,MATCH(COLUMNS($AB$1006:AJ1006),$AB$1006:$AQ$1006,0))&gt;=100000), " ",IF(INDEX($AB$2:$AQ$1001,MATCH(ROWS($U$2:U629),$U$2:$U$1001,0),MATCH(COLUMNS($AB$1006:AJ1006),$AB$1006:$AQ$1006,0)), HYPERLINK("#",""), HYPERLINK(CONCATENATE("#Metadata!", ADDRESS(INDEX($W$2:$W$1001,MATCH(ROWS($U$2:U629),$U$2:$U$1001,0),0), INDEX($AB$1004:$AQ$1004,1,MATCH(COLUMNS($AB$1006:AJ1006),$AB$1006:$AQ$1006,0)))),"Fix")))</f>
        <v>0</v>
      </c>
      <c r="K629" s="5">
        <f>IF(OR(INDEX($V$2:$V$1001,MATCH(ROWS($U$2:U629),$U$2:$U$1001,0),1)&gt;=100000,INDEX($AB$1005:$AQ$1005,1,MATCH(COLUMNS($AB$1006:AK1006),$AB$1006:$AQ$1006,0))&gt;=100000), " ",IF(INDEX($AB$2:$AQ$1001,MATCH(ROWS($U$2:U629),$U$2:$U$1001,0),MATCH(COLUMNS($AB$1006:AK1006),$AB$1006:$AQ$1006,0)), HYPERLINK("#",""), HYPERLINK(CONCATENATE("#Metadata!", ADDRESS(INDEX($W$2:$W$1001,MATCH(ROWS($U$2:U629),$U$2:$U$1001,0),0), INDEX($AB$1004:$AQ$1004,1,MATCH(COLUMNS($AB$1006:AK1006),$AB$1006:$AQ$1006,0)))),"Fix")))</f>
        <v>0</v>
      </c>
      <c r="L629" s="5">
        <f>IF(OR(INDEX($V$2:$V$1001,MATCH(ROWS($U$2:U629),$U$2:$U$1001,0),1)&gt;=100000,INDEX($AB$1005:$AQ$1005,1,MATCH(COLUMNS($AB$1006:AL1006),$AB$1006:$AQ$1006,0))&gt;=100000), " ",IF(INDEX($AB$2:$AQ$1001,MATCH(ROWS($U$2:U629),$U$2:$U$1001,0),MATCH(COLUMNS($AB$1006:AL1006),$AB$1006:$AQ$1006,0)), HYPERLINK("#",""), HYPERLINK(CONCATENATE("#Metadata!", ADDRESS(INDEX($W$2:$W$1001,MATCH(ROWS($U$2:U629),$U$2:$U$1001,0),0), INDEX($AB$1004:$AQ$1004,1,MATCH(COLUMNS($AB$1006:AL1006),$AB$1006:$AQ$1006,0)))),"Fix")))</f>
        <v>0</v>
      </c>
      <c r="M629" s="5">
        <f>IF(OR(INDEX($V$2:$V$1001,MATCH(ROWS($U$2:U629),$U$2:$U$1001,0),1)&gt;=100000,INDEX($AB$1005:$AQ$1005,1,MATCH(COLUMNS($AB$1006:AM1006),$AB$1006:$AQ$1006,0))&gt;=100000), " ",IF(INDEX($AB$2:$AQ$1001,MATCH(ROWS($U$2:U629),$U$2:$U$1001,0),MATCH(COLUMNS($AB$1006:AM1006),$AB$1006:$AQ$1006,0)), HYPERLINK("#",""), HYPERLINK(CONCATENATE("#Metadata!", ADDRESS(INDEX($W$2:$W$1001,MATCH(ROWS($U$2:U629),$U$2:$U$1001,0),0), INDEX($AB$1004:$AQ$1004,1,MATCH(COLUMNS($AB$1006:AM1006),$AB$1006:$AQ$1006,0)))),"Fix")))</f>
        <v>0</v>
      </c>
      <c r="N629" s="5">
        <f>IF(OR(INDEX($V$2:$V$1001,MATCH(ROWS($U$2:U629),$U$2:$U$1001,0),1)&gt;=100000,INDEX($AB$1005:$AQ$1005,1,MATCH(COLUMNS($AB$1006:AN1006),$AB$1006:$AQ$1006,0))&gt;=100000), " ",IF(INDEX($AB$2:$AQ$1001,MATCH(ROWS($U$2:U629),$U$2:$U$1001,0),MATCH(COLUMNS($AB$1006:AN1006),$AB$1006:$AQ$1006,0)), HYPERLINK("#",""), HYPERLINK(CONCATENATE("#Metadata!", ADDRESS(INDEX($W$2:$W$1001,MATCH(ROWS($U$2:U629),$U$2:$U$1001,0),0), INDEX($AB$1004:$AQ$1004,1,MATCH(COLUMNS($AB$1006:AN1006),$AB$1006:$AQ$1006,0)))),"Fix")))</f>
        <v>0</v>
      </c>
      <c r="O629" s="5">
        <f>IF(OR(INDEX($V$2:$V$1001,MATCH(ROWS($U$2:U629),$U$2:$U$1001,0),1)&gt;=100000,INDEX($AB$1005:$AQ$1005,1,MATCH(COLUMNS($AB$1006:AO1006),$AB$1006:$AQ$1006,0))&gt;=100000), " ",IF(INDEX($AB$2:$AQ$1001,MATCH(ROWS($U$2:U629),$U$2:$U$1001,0),MATCH(COLUMNS($AB$1006:AO1006),$AB$1006:$AQ$1006,0)), HYPERLINK("#",""), HYPERLINK(CONCATENATE("#Metadata!", ADDRESS(INDEX($W$2:$W$1001,MATCH(ROWS($U$2:U629),$U$2:$U$1001,0),0), INDEX($AB$1004:$AQ$1004,1,MATCH(COLUMNS($AB$1006:AO1006),$AB$1006:$AQ$1006,0)))),"Fix")))</f>
        <v>0</v>
      </c>
      <c r="P629" s="5">
        <f>IF(OR(INDEX($V$2:$V$1001,MATCH(ROWS($U$2:U629),$U$2:$U$1001,0),1)&gt;=100000,INDEX($AB$1005:$AQ$1005,1,MATCH(COLUMNS($AB$1006:AP1006),$AB$1006:$AQ$1006,0))&gt;=100000), " ",IF(INDEX($AB$2:$AQ$1001,MATCH(ROWS($U$2:U629),$U$2:$U$1001,0),MATCH(COLUMNS($AB$1006:AP1006),$AB$1006:$AQ$1006,0)), HYPERLINK("#",""), HYPERLINK(CONCATENATE("#Metadata!", ADDRESS(INDEX($W$2:$W$1001,MATCH(ROWS($U$2:U629),$U$2:$U$1001,0),0), INDEX($AB$1004:$AQ$1004,1,MATCH(COLUMNS($AB$1006:AP1006),$AB$1006:$AQ$1006,0)))),"Fix")))</f>
        <v>0</v>
      </c>
      <c r="Q629" s="5">
        <f>IF(OR(INDEX($V$2:$V$1001,MATCH(ROWS($U$2:U629),$U$2:$U$1001,0),1)&gt;=100000,INDEX($AB$1005:$AQ$1005,1,MATCH(COLUMNS($AB$1006:AQ1006),$AB$1006:$AQ$1006,0))&gt;=100000), " ",IF(INDEX($AB$2:$AQ$1001,MATCH(ROWS($U$2:U629),$U$2:$U$1001,0),MATCH(COLUMNS($AB$1006:AQ1006),$AB$1006:$AQ$1006,0)), HYPERLINK("#",""), HYPERLINK(CONCATENATE("#Metadata!", ADDRESS(INDEX($W$2:$W$1001,MATCH(ROWS($U$2:U629),$U$2:$U$1001,0),0), INDEX($AB$1004:$AQ$1004,1,MATCH(COLUMNS($AB$1006:AQ1006),$AB$1006:$AQ$1006,0)))),"Fix")))</f>
        <v>0</v>
      </c>
      <c r="U629">
        <v>0</v>
      </c>
      <c r="V629">
        <v>0</v>
      </c>
      <c r="W629">
        <v>0</v>
      </c>
      <c r="X629">
        <f>IF(Y629,TRUE,AND(AB629:AQ629))</f>
        <v>0</v>
      </c>
      <c r="Y629">
        <f>COUNTBLANK(Metadata!B629:Q629)=COLUMNS(Metadata!B629:Q629)</f>
        <v>0</v>
      </c>
      <c r="Z629">
        <v>0</v>
      </c>
      <c r="AB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AC629">
        <f>AND(IF(Metadata!C629="",FALSE,TRUE),exact(Metadata!C629,"urban biome"))</f>
        <v>0</v>
      </c>
      <c r="AD629">
        <f>AND(IF(Metadata!D629="",FALSE,TRUE),exact(Metadata!D629,"human-associated habitat"))</f>
        <v>0</v>
      </c>
      <c r="AE629">
        <f>AND(IF(Metadata!E629="",FALSE,TRUE),OR(exact(Metadata!E629,"human-associated"),exact(Metadata!E629,"human-skin"),exact(Metadata!E629,"human-oral"),exact(Metadata!E629,"human-gut"),exact(Metadata!E629,"human-vaginal")))</f>
        <v>0</v>
      </c>
      <c r="AF629">
        <f>AND(IF(Metadata!F629="",FALSE,ISNUMBER(VALUE(Metadata!F629))),Metadata!F629&gt;0)</f>
        <v>0</v>
      </c>
      <c r="AG629">
        <f>AND(IF(Metadata!G629="",FALSE,TRUE),exact(Metadata!G629,"years"))</f>
        <v>0</v>
      </c>
      <c r="AH629">
        <f>OR(AND(IF(Metadata!H629="",FALSE,TRUE),OR(exact(Metadata!H629,"not applicable"),exact(Metadata!H629,"not collected"),exact(Metadata!H629,"not provided"),exact(Metadata!H629,"restricted access"))),AND(IF(Metadata!H629="",FALSE,ISNUMBER(VALUE(Metadata!H629))),Metadata!H629&gt;0))</f>
        <v>0</v>
      </c>
      <c r="AI629">
        <f>AND(IF(Metadata!I629="",FALSE,TRUE),exact(Metadata!I629,"human"))</f>
        <v>0</v>
      </c>
      <c r="AJ629">
        <f>AND(IF(Metadata!J629="",FALSE,ISNUMBER(VALUE(Metadata!J629))),Metadata!J629&gt;0)</f>
        <v>0</v>
      </c>
      <c r="AK629">
        <f>AND(IF(Metadata!K629="",FALSE,TRUE),exact(Metadata!K629,"cm"))</f>
        <v>0</v>
      </c>
      <c r="AL629">
        <f>AND(IF(Metadata!L629="",FALSE,TRUE),exact(Metadata!L629,"Homo sapiens"))</f>
        <v>0</v>
      </c>
      <c r="AM629">
        <f>AND(IF(Metadata!M629="",FALSE,TRUE),exact(Metadata!M629,"9606"))</f>
        <v>0</v>
      </c>
      <c r="AN629">
        <f>AND(IF(Metadata!N629="",FALSE,ISNUMBER(VALUE(Metadata!N629))),Metadata!N629&gt;0)</f>
        <v>0</v>
      </c>
      <c r="AO629">
        <f>AND(IF(Metadata!O629="",FALSE,TRUE),exact(Metadata!O629,"kg"))</f>
        <v>0</v>
      </c>
      <c r="AP629">
        <f>OR(AND(IF(Metadata!P629="",FALSE,TRUE),exact(Metadata!P629,"not provided")),IF(Metadata!P629="",FALSE,TRUE))</f>
        <v>0</v>
      </c>
      <c r="AQ629">
        <f>OR(AND(IF(Metadata!Q629="",FALSE,TRUE),exact(Metadata!Q629,"not provided")),IF(Metadata!Q629="",FALSE,TRUE))</f>
        <v>0</v>
      </c>
    </row>
    <row r="630" spans="1:43">
      <c r="A630" s="4">
        <f>IF(B630=" "," ",HYPERLINK(CONCATENATE("#metadata!",ADDRESS(INDEX($W$2:$W$1001,MATCH(ROWS($U$2:U630),$U$2:$U$1001,0),0),2)),INDEX($Z$2:$Z$1001,MATCH(ROWS($U$2:U630),$U$2:$U$1001,0),0)))</f>
        <v>0</v>
      </c>
      <c r="B630" s="5">
        <f>IF(OR(INDEX($V$2:$V$1001,MATCH(ROWS($U$2:U630),$U$2:$U$1001,0),1)&gt;=100000,INDEX($AB$1005:$AQ$1005,1,MATCH(COLUMNS($AB$1006:AB1006),$AB$1006:$AQ$1006,0))&gt;=100000), " ",IF(INDEX($AB$2:$AQ$1001,MATCH(ROWS($U$2:U630),$U$2:$U$1001,0),MATCH(COLUMNS($AB$1006:AB1006),$AB$1006:$AQ$1006,0)), HYPERLINK("#",""), HYPERLINK(CONCATENATE("#Metadata!", ADDRESS(INDEX($W$2:$W$1001,MATCH(ROWS($U$2:U630),$U$2:$U$1001,0),0), INDEX($AB$1004:$AQ$1004,1,MATCH(COLUMNS($AB$1006:AB1006),$AB$1006:$AQ$1006,0)))),"Fix")))</f>
        <v>0</v>
      </c>
      <c r="C630" s="5">
        <f>IF(OR(INDEX($V$2:$V$1001,MATCH(ROWS($U$2:U630),$U$2:$U$1001,0),1)&gt;=100000,INDEX($AB$1005:$AQ$1005,1,MATCH(COLUMNS($AB$1006:AC1006),$AB$1006:$AQ$1006,0))&gt;=100000), " ",IF(INDEX($AB$2:$AQ$1001,MATCH(ROWS($U$2:U630),$U$2:$U$1001,0),MATCH(COLUMNS($AB$1006:AC1006),$AB$1006:$AQ$1006,0)), HYPERLINK("#",""), HYPERLINK(CONCATENATE("#Metadata!", ADDRESS(INDEX($W$2:$W$1001,MATCH(ROWS($U$2:U630),$U$2:$U$1001,0),0), INDEX($AB$1004:$AQ$1004,1,MATCH(COLUMNS($AB$1006:AC1006),$AB$1006:$AQ$1006,0)))),"Fix")))</f>
        <v>0</v>
      </c>
      <c r="D630" s="5">
        <f>IF(OR(INDEX($V$2:$V$1001,MATCH(ROWS($U$2:U630),$U$2:$U$1001,0),1)&gt;=100000,INDEX($AB$1005:$AQ$1005,1,MATCH(COLUMNS($AB$1006:AD1006),$AB$1006:$AQ$1006,0))&gt;=100000), " ",IF(INDEX($AB$2:$AQ$1001,MATCH(ROWS($U$2:U630),$U$2:$U$1001,0),MATCH(COLUMNS($AB$1006:AD1006),$AB$1006:$AQ$1006,0)), HYPERLINK("#",""), HYPERLINK(CONCATENATE("#Metadata!", ADDRESS(INDEX($W$2:$W$1001,MATCH(ROWS($U$2:U630),$U$2:$U$1001,0),0), INDEX($AB$1004:$AQ$1004,1,MATCH(COLUMNS($AB$1006:AD1006),$AB$1006:$AQ$1006,0)))),"Fix")))</f>
        <v>0</v>
      </c>
      <c r="E630" s="5">
        <f>IF(OR(INDEX($V$2:$V$1001,MATCH(ROWS($U$2:U630),$U$2:$U$1001,0),1)&gt;=100000,INDEX($AB$1005:$AQ$1005,1,MATCH(COLUMNS($AB$1006:AE1006),$AB$1006:$AQ$1006,0))&gt;=100000), " ",IF(INDEX($AB$2:$AQ$1001,MATCH(ROWS($U$2:U630),$U$2:$U$1001,0),MATCH(COLUMNS($AB$1006:AE1006),$AB$1006:$AQ$1006,0)), HYPERLINK("#",""), HYPERLINK(CONCATENATE("#Metadata!", ADDRESS(INDEX($W$2:$W$1001,MATCH(ROWS($U$2:U630),$U$2:$U$1001,0),0), INDEX($AB$1004:$AQ$1004,1,MATCH(COLUMNS($AB$1006:AE1006),$AB$1006:$AQ$1006,0)))),"Fix")))</f>
        <v>0</v>
      </c>
      <c r="F630" s="5">
        <f>IF(OR(INDEX($V$2:$V$1001,MATCH(ROWS($U$2:U630),$U$2:$U$1001,0),1)&gt;=100000,INDEX($AB$1005:$AQ$1005,1,MATCH(COLUMNS($AB$1006:AF1006),$AB$1006:$AQ$1006,0))&gt;=100000), " ",IF(INDEX($AB$2:$AQ$1001,MATCH(ROWS($U$2:U630),$U$2:$U$1001,0),MATCH(COLUMNS($AB$1006:AF1006),$AB$1006:$AQ$1006,0)), HYPERLINK("#",""), HYPERLINK(CONCATENATE("#Metadata!", ADDRESS(INDEX($W$2:$W$1001,MATCH(ROWS($U$2:U630),$U$2:$U$1001,0),0), INDEX($AB$1004:$AQ$1004,1,MATCH(COLUMNS($AB$1006:AF1006),$AB$1006:$AQ$1006,0)))),"Fix")))</f>
        <v>0</v>
      </c>
      <c r="G630" s="5">
        <f>IF(OR(INDEX($V$2:$V$1001,MATCH(ROWS($U$2:U630),$U$2:$U$1001,0),1)&gt;=100000,INDEX($AB$1005:$AQ$1005,1,MATCH(COLUMNS($AB$1006:AG1006),$AB$1006:$AQ$1006,0))&gt;=100000), " ",IF(INDEX($AB$2:$AQ$1001,MATCH(ROWS($U$2:U630),$U$2:$U$1001,0),MATCH(COLUMNS($AB$1006:AG1006),$AB$1006:$AQ$1006,0)), HYPERLINK("#",""), HYPERLINK(CONCATENATE("#Metadata!", ADDRESS(INDEX($W$2:$W$1001,MATCH(ROWS($U$2:U630),$U$2:$U$1001,0),0), INDEX($AB$1004:$AQ$1004,1,MATCH(COLUMNS($AB$1006:AG1006),$AB$1006:$AQ$1006,0)))),"Fix")))</f>
        <v>0</v>
      </c>
      <c r="H630" s="5">
        <f>IF(OR(INDEX($V$2:$V$1001,MATCH(ROWS($U$2:U630),$U$2:$U$1001,0),1)&gt;=100000,INDEX($AB$1005:$AQ$1005,1,MATCH(COLUMNS($AB$1006:AH1006),$AB$1006:$AQ$1006,0))&gt;=100000), " ",IF(INDEX($AB$2:$AQ$1001,MATCH(ROWS($U$2:U630),$U$2:$U$1001,0),MATCH(COLUMNS($AB$1006:AH1006),$AB$1006:$AQ$1006,0)), HYPERLINK("#",""), HYPERLINK(CONCATENATE("#Metadata!", ADDRESS(INDEX($W$2:$W$1001,MATCH(ROWS($U$2:U630),$U$2:$U$1001,0),0), INDEX($AB$1004:$AQ$1004,1,MATCH(COLUMNS($AB$1006:AH1006),$AB$1006:$AQ$1006,0)))),"Fix")))</f>
        <v>0</v>
      </c>
      <c r="I630" s="5">
        <f>IF(OR(INDEX($V$2:$V$1001,MATCH(ROWS($U$2:U630),$U$2:$U$1001,0),1)&gt;=100000,INDEX($AB$1005:$AQ$1005,1,MATCH(COLUMNS($AB$1006:AI1006),$AB$1006:$AQ$1006,0))&gt;=100000), " ",IF(INDEX($AB$2:$AQ$1001,MATCH(ROWS($U$2:U630),$U$2:$U$1001,0),MATCH(COLUMNS($AB$1006:AI1006),$AB$1006:$AQ$1006,0)), HYPERLINK("#",""), HYPERLINK(CONCATENATE("#Metadata!", ADDRESS(INDEX($W$2:$W$1001,MATCH(ROWS($U$2:U630),$U$2:$U$1001,0),0), INDEX($AB$1004:$AQ$1004,1,MATCH(COLUMNS($AB$1006:AI1006),$AB$1006:$AQ$1006,0)))),"Fix")))</f>
        <v>0</v>
      </c>
      <c r="J630" s="5">
        <f>IF(OR(INDEX($V$2:$V$1001,MATCH(ROWS($U$2:U630),$U$2:$U$1001,0),1)&gt;=100000,INDEX($AB$1005:$AQ$1005,1,MATCH(COLUMNS($AB$1006:AJ1006),$AB$1006:$AQ$1006,0))&gt;=100000), " ",IF(INDEX($AB$2:$AQ$1001,MATCH(ROWS($U$2:U630),$U$2:$U$1001,0),MATCH(COLUMNS($AB$1006:AJ1006),$AB$1006:$AQ$1006,0)), HYPERLINK("#",""), HYPERLINK(CONCATENATE("#Metadata!", ADDRESS(INDEX($W$2:$W$1001,MATCH(ROWS($U$2:U630),$U$2:$U$1001,0),0), INDEX($AB$1004:$AQ$1004,1,MATCH(COLUMNS($AB$1006:AJ1006),$AB$1006:$AQ$1006,0)))),"Fix")))</f>
        <v>0</v>
      </c>
      <c r="K630" s="5">
        <f>IF(OR(INDEX($V$2:$V$1001,MATCH(ROWS($U$2:U630),$U$2:$U$1001,0),1)&gt;=100000,INDEX($AB$1005:$AQ$1005,1,MATCH(COLUMNS($AB$1006:AK1006),$AB$1006:$AQ$1006,0))&gt;=100000), " ",IF(INDEX($AB$2:$AQ$1001,MATCH(ROWS($U$2:U630),$U$2:$U$1001,0),MATCH(COLUMNS($AB$1006:AK1006),$AB$1006:$AQ$1006,0)), HYPERLINK("#",""), HYPERLINK(CONCATENATE("#Metadata!", ADDRESS(INDEX($W$2:$W$1001,MATCH(ROWS($U$2:U630),$U$2:$U$1001,0),0), INDEX($AB$1004:$AQ$1004,1,MATCH(COLUMNS($AB$1006:AK1006),$AB$1006:$AQ$1006,0)))),"Fix")))</f>
        <v>0</v>
      </c>
      <c r="L630" s="5">
        <f>IF(OR(INDEX($V$2:$V$1001,MATCH(ROWS($U$2:U630),$U$2:$U$1001,0),1)&gt;=100000,INDEX($AB$1005:$AQ$1005,1,MATCH(COLUMNS($AB$1006:AL1006),$AB$1006:$AQ$1006,0))&gt;=100000), " ",IF(INDEX($AB$2:$AQ$1001,MATCH(ROWS($U$2:U630),$U$2:$U$1001,0),MATCH(COLUMNS($AB$1006:AL1006),$AB$1006:$AQ$1006,0)), HYPERLINK("#",""), HYPERLINK(CONCATENATE("#Metadata!", ADDRESS(INDEX($W$2:$W$1001,MATCH(ROWS($U$2:U630),$U$2:$U$1001,0),0), INDEX($AB$1004:$AQ$1004,1,MATCH(COLUMNS($AB$1006:AL1006),$AB$1006:$AQ$1006,0)))),"Fix")))</f>
        <v>0</v>
      </c>
      <c r="M630" s="5">
        <f>IF(OR(INDEX($V$2:$V$1001,MATCH(ROWS($U$2:U630),$U$2:$U$1001,0),1)&gt;=100000,INDEX($AB$1005:$AQ$1005,1,MATCH(COLUMNS($AB$1006:AM1006),$AB$1006:$AQ$1006,0))&gt;=100000), " ",IF(INDEX($AB$2:$AQ$1001,MATCH(ROWS($U$2:U630),$U$2:$U$1001,0),MATCH(COLUMNS($AB$1006:AM1006),$AB$1006:$AQ$1006,0)), HYPERLINK("#",""), HYPERLINK(CONCATENATE("#Metadata!", ADDRESS(INDEX($W$2:$W$1001,MATCH(ROWS($U$2:U630),$U$2:$U$1001,0),0), INDEX($AB$1004:$AQ$1004,1,MATCH(COLUMNS($AB$1006:AM1006),$AB$1006:$AQ$1006,0)))),"Fix")))</f>
        <v>0</v>
      </c>
      <c r="N630" s="5">
        <f>IF(OR(INDEX($V$2:$V$1001,MATCH(ROWS($U$2:U630),$U$2:$U$1001,0),1)&gt;=100000,INDEX($AB$1005:$AQ$1005,1,MATCH(COLUMNS($AB$1006:AN1006),$AB$1006:$AQ$1006,0))&gt;=100000), " ",IF(INDEX($AB$2:$AQ$1001,MATCH(ROWS($U$2:U630),$U$2:$U$1001,0),MATCH(COLUMNS($AB$1006:AN1006),$AB$1006:$AQ$1006,0)), HYPERLINK("#",""), HYPERLINK(CONCATENATE("#Metadata!", ADDRESS(INDEX($W$2:$W$1001,MATCH(ROWS($U$2:U630),$U$2:$U$1001,0),0), INDEX($AB$1004:$AQ$1004,1,MATCH(COLUMNS($AB$1006:AN1006),$AB$1006:$AQ$1006,0)))),"Fix")))</f>
        <v>0</v>
      </c>
      <c r="O630" s="5">
        <f>IF(OR(INDEX($V$2:$V$1001,MATCH(ROWS($U$2:U630),$U$2:$U$1001,0),1)&gt;=100000,INDEX($AB$1005:$AQ$1005,1,MATCH(COLUMNS($AB$1006:AO1006),$AB$1006:$AQ$1006,0))&gt;=100000), " ",IF(INDEX($AB$2:$AQ$1001,MATCH(ROWS($U$2:U630),$U$2:$U$1001,0),MATCH(COLUMNS($AB$1006:AO1006),$AB$1006:$AQ$1006,0)), HYPERLINK("#",""), HYPERLINK(CONCATENATE("#Metadata!", ADDRESS(INDEX($W$2:$W$1001,MATCH(ROWS($U$2:U630),$U$2:$U$1001,0),0), INDEX($AB$1004:$AQ$1004,1,MATCH(COLUMNS($AB$1006:AO1006),$AB$1006:$AQ$1006,0)))),"Fix")))</f>
        <v>0</v>
      </c>
      <c r="P630" s="5">
        <f>IF(OR(INDEX($V$2:$V$1001,MATCH(ROWS($U$2:U630),$U$2:$U$1001,0),1)&gt;=100000,INDEX($AB$1005:$AQ$1005,1,MATCH(COLUMNS($AB$1006:AP1006),$AB$1006:$AQ$1006,0))&gt;=100000), " ",IF(INDEX($AB$2:$AQ$1001,MATCH(ROWS($U$2:U630),$U$2:$U$1001,0),MATCH(COLUMNS($AB$1006:AP1006),$AB$1006:$AQ$1006,0)), HYPERLINK("#",""), HYPERLINK(CONCATENATE("#Metadata!", ADDRESS(INDEX($W$2:$W$1001,MATCH(ROWS($U$2:U630),$U$2:$U$1001,0),0), INDEX($AB$1004:$AQ$1004,1,MATCH(COLUMNS($AB$1006:AP1006),$AB$1006:$AQ$1006,0)))),"Fix")))</f>
        <v>0</v>
      </c>
      <c r="Q630" s="5">
        <f>IF(OR(INDEX($V$2:$V$1001,MATCH(ROWS($U$2:U630),$U$2:$U$1001,0),1)&gt;=100000,INDEX($AB$1005:$AQ$1005,1,MATCH(COLUMNS($AB$1006:AQ1006),$AB$1006:$AQ$1006,0))&gt;=100000), " ",IF(INDEX($AB$2:$AQ$1001,MATCH(ROWS($U$2:U630),$U$2:$U$1001,0),MATCH(COLUMNS($AB$1006:AQ1006),$AB$1006:$AQ$1006,0)), HYPERLINK("#",""), HYPERLINK(CONCATENATE("#Metadata!", ADDRESS(INDEX($W$2:$W$1001,MATCH(ROWS($U$2:U630),$U$2:$U$1001,0),0), INDEX($AB$1004:$AQ$1004,1,MATCH(COLUMNS($AB$1006:AQ1006),$AB$1006:$AQ$1006,0)))),"Fix")))</f>
        <v>0</v>
      </c>
      <c r="U630">
        <v>0</v>
      </c>
      <c r="V630">
        <v>0</v>
      </c>
      <c r="W630">
        <v>0</v>
      </c>
      <c r="X630">
        <f>IF(Y630,TRUE,AND(AB630:AQ630))</f>
        <v>0</v>
      </c>
      <c r="Y630">
        <f>COUNTBLANK(Metadata!B630:Q630)=COLUMNS(Metadata!B630:Q630)</f>
        <v>0</v>
      </c>
      <c r="Z630">
        <v>0</v>
      </c>
      <c r="AB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AC630">
        <f>AND(IF(Metadata!C630="",FALSE,TRUE),exact(Metadata!C630,"urban biome"))</f>
        <v>0</v>
      </c>
      <c r="AD630">
        <f>AND(IF(Metadata!D630="",FALSE,TRUE),exact(Metadata!D630,"human-associated habitat"))</f>
        <v>0</v>
      </c>
      <c r="AE630">
        <f>AND(IF(Metadata!E630="",FALSE,TRUE),OR(exact(Metadata!E630,"human-associated"),exact(Metadata!E630,"human-skin"),exact(Metadata!E630,"human-oral"),exact(Metadata!E630,"human-gut"),exact(Metadata!E630,"human-vaginal")))</f>
        <v>0</v>
      </c>
      <c r="AF630">
        <f>AND(IF(Metadata!F630="",FALSE,ISNUMBER(VALUE(Metadata!F630))),Metadata!F630&gt;0)</f>
        <v>0</v>
      </c>
      <c r="AG630">
        <f>AND(IF(Metadata!G630="",FALSE,TRUE),exact(Metadata!G630,"years"))</f>
        <v>0</v>
      </c>
      <c r="AH630">
        <f>OR(AND(IF(Metadata!H630="",FALSE,TRUE),OR(exact(Metadata!H630,"not applicable"),exact(Metadata!H630,"not collected"),exact(Metadata!H630,"not provided"),exact(Metadata!H630,"restricted access"))),AND(IF(Metadata!H630="",FALSE,ISNUMBER(VALUE(Metadata!H630))),Metadata!H630&gt;0))</f>
        <v>0</v>
      </c>
      <c r="AI630">
        <f>AND(IF(Metadata!I630="",FALSE,TRUE),exact(Metadata!I630,"human"))</f>
        <v>0</v>
      </c>
      <c r="AJ630">
        <f>AND(IF(Metadata!J630="",FALSE,ISNUMBER(VALUE(Metadata!J630))),Metadata!J630&gt;0)</f>
        <v>0</v>
      </c>
      <c r="AK630">
        <f>AND(IF(Metadata!K630="",FALSE,TRUE),exact(Metadata!K630,"cm"))</f>
        <v>0</v>
      </c>
      <c r="AL630">
        <f>AND(IF(Metadata!L630="",FALSE,TRUE),exact(Metadata!L630,"Homo sapiens"))</f>
        <v>0</v>
      </c>
      <c r="AM630">
        <f>AND(IF(Metadata!M630="",FALSE,TRUE),exact(Metadata!M630,"9606"))</f>
        <v>0</v>
      </c>
      <c r="AN630">
        <f>AND(IF(Metadata!N630="",FALSE,ISNUMBER(VALUE(Metadata!N630))),Metadata!N630&gt;0)</f>
        <v>0</v>
      </c>
      <c r="AO630">
        <f>AND(IF(Metadata!O630="",FALSE,TRUE),exact(Metadata!O630,"kg"))</f>
        <v>0</v>
      </c>
      <c r="AP630">
        <f>OR(AND(IF(Metadata!P630="",FALSE,TRUE),exact(Metadata!P630,"not provided")),IF(Metadata!P630="",FALSE,TRUE))</f>
        <v>0</v>
      </c>
      <c r="AQ630">
        <f>OR(AND(IF(Metadata!Q630="",FALSE,TRUE),exact(Metadata!Q630,"not provided")),IF(Metadata!Q630="",FALSE,TRUE))</f>
        <v>0</v>
      </c>
    </row>
    <row r="631" spans="1:43">
      <c r="A631" s="4">
        <f>IF(B631=" "," ",HYPERLINK(CONCATENATE("#metadata!",ADDRESS(INDEX($W$2:$W$1001,MATCH(ROWS($U$2:U631),$U$2:$U$1001,0),0),2)),INDEX($Z$2:$Z$1001,MATCH(ROWS($U$2:U631),$U$2:$U$1001,0),0)))</f>
        <v>0</v>
      </c>
      <c r="B631" s="5">
        <f>IF(OR(INDEX($V$2:$V$1001,MATCH(ROWS($U$2:U631),$U$2:$U$1001,0),1)&gt;=100000,INDEX($AB$1005:$AQ$1005,1,MATCH(COLUMNS($AB$1006:AB1006),$AB$1006:$AQ$1006,0))&gt;=100000), " ",IF(INDEX($AB$2:$AQ$1001,MATCH(ROWS($U$2:U631),$U$2:$U$1001,0),MATCH(COLUMNS($AB$1006:AB1006),$AB$1006:$AQ$1006,0)), HYPERLINK("#",""), HYPERLINK(CONCATENATE("#Metadata!", ADDRESS(INDEX($W$2:$W$1001,MATCH(ROWS($U$2:U631),$U$2:$U$1001,0),0), INDEX($AB$1004:$AQ$1004,1,MATCH(COLUMNS($AB$1006:AB1006),$AB$1006:$AQ$1006,0)))),"Fix")))</f>
        <v>0</v>
      </c>
      <c r="C631" s="5">
        <f>IF(OR(INDEX($V$2:$V$1001,MATCH(ROWS($U$2:U631),$U$2:$U$1001,0),1)&gt;=100000,INDEX($AB$1005:$AQ$1005,1,MATCH(COLUMNS($AB$1006:AC1006),$AB$1006:$AQ$1006,0))&gt;=100000), " ",IF(INDEX($AB$2:$AQ$1001,MATCH(ROWS($U$2:U631),$U$2:$U$1001,0),MATCH(COLUMNS($AB$1006:AC1006),$AB$1006:$AQ$1006,0)), HYPERLINK("#",""), HYPERLINK(CONCATENATE("#Metadata!", ADDRESS(INDEX($W$2:$W$1001,MATCH(ROWS($U$2:U631),$U$2:$U$1001,0),0), INDEX($AB$1004:$AQ$1004,1,MATCH(COLUMNS($AB$1006:AC1006),$AB$1006:$AQ$1006,0)))),"Fix")))</f>
        <v>0</v>
      </c>
      <c r="D631" s="5">
        <f>IF(OR(INDEX($V$2:$V$1001,MATCH(ROWS($U$2:U631),$U$2:$U$1001,0),1)&gt;=100000,INDEX($AB$1005:$AQ$1005,1,MATCH(COLUMNS($AB$1006:AD1006),$AB$1006:$AQ$1006,0))&gt;=100000), " ",IF(INDEX($AB$2:$AQ$1001,MATCH(ROWS($U$2:U631),$U$2:$U$1001,0),MATCH(COLUMNS($AB$1006:AD1006),$AB$1006:$AQ$1006,0)), HYPERLINK("#",""), HYPERLINK(CONCATENATE("#Metadata!", ADDRESS(INDEX($W$2:$W$1001,MATCH(ROWS($U$2:U631),$U$2:$U$1001,0),0), INDEX($AB$1004:$AQ$1004,1,MATCH(COLUMNS($AB$1006:AD1006),$AB$1006:$AQ$1006,0)))),"Fix")))</f>
        <v>0</v>
      </c>
      <c r="E631" s="5">
        <f>IF(OR(INDEX($V$2:$V$1001,MATCH(ROWS($U$2:U631),$U$2:$U$1001,0),1)&gt;=100000,INDEX($AB$1005:$AQ$1005,1,MATCH(COLUMNS($AB$1006:AE1006),$AB$1006:$AQ$1006,0))&gt;=100000), " ",IF(INDEX($AB$2:$AQ$1001,MATCH(ROWS($U$2:U631),$U$2:$U$1001,0),MATCH(COLUMNS($AB$1006:AE1006),$AB$1006:$AQ$1006,0)), HYPERLINK("#",""), HYPERLINK(CONCATENATE("#Metadata!", ADDRESS(INDEX($W$2:$W$1001,MATCH(ROWS($U$2:U631),$U$2:$U$1001,0),0), INDEX($AB$1004:$AQ$1004,1,MATCH(COLUMNS($AB$1006:AE1006),$AB$1006:$AQ$1006,0)))),"Fix")))</f>
        <v>0</v>
      </c>
      <c r="F631" s="5">
        <f>IF(OR(INDEX($V$2:$V$1001,MATCH(ROWS($U$2:U631),$U$2:$U$1001,0),1)&gt;=100000,INDEX($AB$1005:$AQ$1005,1,MATCH(COLUMNS($AB$1006:AF1006),$AB$1006:$AQ$1006,0))&gt;=100000), " ",IF(INDEX($AB$2:$AQ$1001,MATCH(ROWS($U$2:U631),$U$2:$U$1001,0),MATCH(COLUMNS($AB$1006:AF1006),$AB$1006:$AQ$1006,0)), HYPERLINK("#",""), HYPERLINK(CONCATENATE("#Metadata!", ADDRESS(INDEX($W$2:$W$1001,MATCH(ROWS($U$2:U631),$U$2:$U$1001,0),0), INDEX($AB$1004:$AQ$1004,1,MATCH(COLUMNS($AB$1006:AF1006),$AB$1006:$AQ$1006,0)))),"Fix")))</f>
        <v>0</v>
      </c>
      <c r="G631" s="5">
        <f>IF(OR(INDEX($V$2:$V$1001,MATCH(ROWS($U$2:U631),$U$2:$U$1001,0),1)&gt;=100000,INDEX($AB$1005:$AQ$1005,1,MATCH(COLUMNS($AB$1006:AG1006),$AB$1006:$AQ$1006,0))&gt;=100000), " ",IF(INDEX($AB$2:$AQ$1001,MATCH(ROWS($U$2:U631),$U$2:$U$1001,0),MATCH(COLUMNS($AB$1006:AG1006),$AB$1006:$AQ$1006,0)), HYPERLINK("#",""), HYPERLINK(CONCATENATE("#Metadata!", ADDRESS(INDEX($W$2:$W$1001,MATCH(ROWS($U$2:U631),$U$2:$U$1001,0),0), INDEX($AB$1004:$AQ$1004,1,MATCH(COLUMNS($AB$1006:AG1006),$AB$1006:$AQ$1006,0)))),"Fix")))</f>
        <v>0</v>
      </c>
      <c r="H631" s="5">
        <f>IF(OR(INDEX($V$2:$V$1001,MATCH(ROWS($U$2:U631),$U$2:$U$1001,0),1)&gt;=100000,INDEX($AB$1005:$AQ$1005,1,MATCH(COLUMNS($AB$1006:AH1006),$AB$1006:$AQ$1006,0))&gt;=100000), " ",IF(INDEX($AB$2:$AQ$1001,MATCH(ROWS($U$2:U631),$U$2:$U$1001,0),MATCH(COLUMNS($AB$1006:AH1006),$AB$1006:$AQ$1006,0)), HYPERLINK("#",""), HYPERLINK(CONCATENATE("#Metadata!", ADDRESS(INDEX($W$2:$W$1001,MATCH(ROWS($U$2:U631),$U$2:$U$1001,0),0), INDEX($AB$1004:$AQ$1004,1,MATCH(COLUMNS($AB$1006:AH1006),$AB$1006:$AQ$1006,0)))),"Fix")))</f>
        <v>0</v>
      </c>
      <c r="I631" s="5">
        <f>IF(OR(INDEX($V$2:$V$1001,MATCH(ROWS($U$2:U631),$U$2:$U$1001,0),1)&gt;=100000,INDEX($AB$1005:$AQ$1005,1,MATCH(COLUMNS($AB$1006:AI1006),$AB$1006:$AQ$1006,0))&gt;=100000), " ",IF(INDEX($AB$2:$AQ$1001,MATCH(ROWS($U$2:U631),$U$2:$U$1001,0),MATCH(COLUMNS($AB$1006:AI1006),$AB$1006:$AQ$1006,0)), HYPERLINK("#",""), HYPERLINK(CONCATENATE("#Metadata!", ADDRESS(INDEX($W$2:$W$1001,MATCH(ROWS($U$2:U631),$U$2:$U$1001,0),0), INDEX($AB$1004:$AQ$1004,1,MATCH(COLUMNS($AB$1006:AI1006),$AB$1006:$AQ$1006,0)))),"Fix")))</f>
        <v>0</v>
      </c>
      <c r="J631" s="5">
        <f>IF(OR(INDEX($V$2:$V$1001,MATCH(ROWS($U$2:U631),$U$2:$U$1001,0),1)&gt;=100000,INDEX($AB$1005:$AQ$1005,1,MATCH(COLUMNS($AB$1006:AJ1006),$AB$1006:$AQ$1006,0))&gt;=100000), " ",IF(INDEX($AB$2:$AQ$1001,MATCH(ROWS($U$2:U631),$U$2:$U$1001,0),MATCH(COLUMNS($AB$1006:AJ1006),$AB$1006:$AQ$1006,0)), HYPERLINK("#",""), HYPERLINK(CONCATENATE("#Metadata!", ADDRESS(INDEX($W$2:$W$1001,MATCH(ROWS($U$2:U631),$U$2:$U$1001,0),0), INDEX($AB$1004:$AQ$1004,1,MATCH(COLUMNS($AB$1006:AJ1006),$AB$1006:$AQ$1006,0)))),"Fix")))</f>
        <v>0</v>
      </c>
      <c r="K631" s="5">
        <f>IF(OR(INDEX($V$2:$V$1001,MATCH(ROWS($U$2:U631),$U$2:$U$1001,0),1)&gt;=100000,INDEX($AB$1005:$AQ$1005,1,MATCH(COLUMNS($AB$1006:AK1006),$AB$1006:$AQ$1006,0))&gt;=100000), " ",IF(INDEX($AB$2:$AQ$1001,MATCH(ROWS($U$2:U631),$U$2:$U$1001,0),MATCH(COLUMNS($AB$1006:AK1006),$AB$1006:$AQ$1006,0)), HYPERLINK("#",""), HYPERLINK(CONCATENATE("#Metadata!", ADDRESS(INDEX($W$2:$W$1001,MATCH(ROWS($U$2:U631),$U$2:$U$1001,0),0), INDEX($AB$1004:$AQ$1004,1,MATCH(COLUMNS($AB$1006:AK1006),$AB$1006:$AQ$1006,0)))),"Fix")))</f>
        <v>0</v>
      </c>
      <c r="L631" s="5">
        <f>IF(OR(INDEX($V$2:$V$1001,MATCH(ROWS($U$2:U631),$U$2:$U$1001,0),1)&gt;=100000,INDEX($AB$1005:$AQ$1005,1,MATCH(COLUMNS($AB$1006:AL1006),$AB$1006:$AQ$1006,0))&gt;=100000), " ",IF(INDEX($AB$2:$AQ$1001,MATCH(ROWS($U$2:U631),$U$2:$U$1001,0),MATCH(COLUMNS($AB$1006:AL1006),$AB$1006:$AQ$1006,0)), HYPERLINK("#",""), HYPERLINK(CONCATENATE("#Metadata!", ADDRESS(INDEX($W$2:$W$1001,MATCH(ROWS($U$2:U631),$U$2:$U$1001,0),0), INDEX($AB$1004:$AQ$1004,1,MATCH(COLUMNS($AB$1006:AL1006),$AB$1006:$AQ$1006,0)))),"Fix")))</f>
        <v>0</v>
      </c>
      <c r="M631" s="5">
        <f>IF(OR(INDEX($V$2:$V$1001,MATCH(ROWS($U$2:U631),$U$2:$U$1001,0),1)&gt;=100000,INDEX($AB$1005:$AQ$1005,1,MATCH(COLUMNS($AB$1006:AM1006),$AB$1006:$AQ$1006,0))&gt;=100000), " ",IF(INDEX($AB$2:$AQ$1001,MATCH(ROWS($U$2:U631),$U$2:$U$1001,0),MATCH(COLUMNS($AB$1006:AM1006),$AB$1006:$AQ$1006,0)), HYPERLINK("#",""), HYPERLINK(CONCATENATE("#Metadata!", ADDRESS(INDEX($W$2:$W$1001,MATCH(ROWS($U$2:U631),$U$2:$U$1001,0),0), INDEX($AB$1004:$AQ$1004,1,MATCH(COLUMNS($AB$1006:AM1006),$AB$1006:$AQ$1006,0)))),"Fix")))</f>
        <v>0</v>
      </c>
      <c r="N631" s="5">
        <f>IF(OR(INDEX($V$2:$V$1001,MATCH(ROWS($U$2:U631),$U$2:$U$1001,0),1)&gt;=100000,INDEX($AB$1005:$AQ$1005,1,MATCH(COLUMNS($AB$1006:AN1006),$AB$1006:$AQ$1006,0))&gt;=100000), " ",IF(INDEX($AB$2:$AQ$1001,MATCH(ROWS($U$2:U631),$U$2:$U$1001,0),MATCH(COLUMNS($AB$1006:AN1006),$AB$1006:$AQ$1006,0)), HYPERLINK("#",""), HYPERLINK(CONCATENATE("#Metadata!", ADDRESS(INDEX($W$2:$W$1001,MATCH(ROWS($U$2:U631),$U$2:$U$1001,0),0), INDEX($AB$1004:$AQ$1004,1,MATCH(COLUMNS($AB$1006:AN1006),$AB$1006:$AQ$1006,0)))),"Fix")))</f>
        <v>0</v>
      </c>
      <c r="O631" s="5">
        <f>IF(OR(INDEX($V$2:$V$1001,MATCH(ROWS($U$2:U631),$U$2:$U$1001,0),1)&gt;=100000,INDEX($AB$1005:$AQ$1005,1,MATCH(COLUMNS($AB$1006:AO1006),$AB$1006:$AQ$1006,0))&gt;=100000), " ",IF(INDEX($AB$2:$AQ$1001,MATCH(ROWS($U$2:U631),$U$2:$U$1001,0),MATCH(COLUMNS($AB$1006:AO1006),$AB$1006:$AQ$1006,0)), HYPERLINK("#",""), HYPERLINK(CONCATENATE("#Metadata!", ADDRESS(INDEX($W$2:$W$1001,MATCH(ROWS($U$2:U631),$U$2:$U$1001,0),0), INDEX($AB$1004:$AQ$1004,1,MATCH(COLUMNS($AB$1006:AO1006),$AB$1006:$AQ$1006,0)))),"Fix")))</f>
        <v>0</v>
      </c>
      <c r="P631" s="5">
        <f>IF(OR(INDEX($V$2:$V$1001,MATCH(ROWS($U$2:U631),$U$2:$U$1001,0),1)&gt;=100000,INDEX($AB$1005:$AQ$1005,1,MATCH(COLUMNS($AB$1006:AP1006),$AB$1006:$AQ$1006,0))&gt;=100000), " ",IF(INDEX($AB$2:$AQ$1001,MATCH(ROWS($U$2:U631),$U$2:$U$1001,0),MATCH(COLUMNS($AB$1006:AP1006),$AB$1006:$AQ$1006,0)), HYPERLINK("#",""), HYPERLINK(CONCATENATE("#Metadata!", ADDRESS(INDEX($W$2:$W$1001,MATCH(ROWS($U$2:U631),$U$2:$U$1001,0),0), INDEX($AB$1004:$AQ$1004,1,MATCH(COLUMNS($AB$1006:AP1006),$AB$1006:$AQ$1006,0)))),"Fix")))</f>
        <v>0</v>
      </c>
      <c r="Q631" s="5">
        <f>IF(OR(INDEX($V$2:$V$1001,MATCH(ROWS($U$2:U631),$U$2:$U$1001,0),1)&gt;=100000,INDEX($AB$1005:$AQ$1005,1,MATCH(COLUMNS($AB$1006:AQ1006),$AB$1006:$AQ$1006,0))&gt;=100000), " ",IF(INDEX($AB$2:$AQ$1001,MATCH(ROWS($U$2:U631),$U$2:$U$1001,0),MATCH(COLUMNS($AB$1006:AQ1006),$AB$1006:$AQ$1006,0)), HYPERLINK("#",""), HYPERLINK(CONCATENATE("#Metadata!", ADDRESS(INDEX($W$2:$W$1001,MATCH(ROWS($U$2:U631),$U$2:$U$1001,0),0), INDEX($AB$1004:$AQ$1004,1,MATCH(COLUMNS($AB$1006:AQ1006),$AB$1006:$AQ$1006,0)))),"Fix")))</f>
        <v>0</v>
      </c>
      <c r="U631">
        <v>0</v>
      </c>
      <c r="V631">
        <v>0</v>
      </c>
      <c r="W631">
        <v>0</v>
      </c>
      <c r="X631">
        <f>IF(Y631,TRUE,AND(AB631:AQ631))</f>
        <v>0</v>
      </c>
      <c r="Y631">
        <f>COUNTBLANK(Metadata!B631:Q631)=COLUMNS(Metadata!B631:Q631)</f>
        <v>0</v>
      </c>
      <c r="Z631">
        <v>0</v>
      </c>
      <c r="AB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AC631">
        <f>AND(IF(Metadata!C631="",FALSE,TRUE),exact(Metadata!C631,"urban biome"))</f>
        <v>0</v>
      </c>
      <c r="AD631">
        <f>AND(IF(Metadata!D631="",FALSE,TRUE),exact(Metadata!D631,"human-associated habitat"))</f>
        <v>0</v>
      </c>
      <c r="AE631">
        <f>AND(IF(Metadata!E631="",FALSE,TRUE),OR(exact(Metadata!E631,"human-associated"),exact(Metadata!E631,"human-skin"),exact(Metadata!E631,"human-oral"),exact(Metadata!E631,"human-gut"),exact(Metadata!E631,"human-vaginal")))</f>
        <v>0</v>
      </c>
      <c r="AF631">
        <f>AND(IF(Metadata!F631="",FALSE,ISNUMBER(VALUE(Metadata!F631))),Metadata!F631&gt;0)</f>
        <v>0</v>
      </c>
      <c r="AG631">
        <f>AND(IF(Metadata!G631="",FALSE,TRUE),exact(Metadata!G631,"years"))</f>
        <v>0</v>
      </c>
      <c r="AH631">
        <f>OR(AND(IF(Metadata!H631="",FALSE,TRUE),OR(exact(Metadata!H631,"not applicable"),exact(Metadata!H631,"not collected"),exact(Metadata!H631,"not provided"),exact(Metadata!H631,"restricted access"))),AND(IF(Metadata!H631="",FALSE,ISNUMBER(VALUE(Metadata!H631))),Metadata!H631&gt;0))</f>
        <v>0</v>
      </c>
      <c r="AI631">
        <f>AND(IF(Metadata!I631="",FALSE,TRUE),exact(Metadata!I631,"human"))</f>
        <v>0</v>
      </c>
      <c r="AJ631">
        <f>AND(IF(Metadata!J631="",FALSE,ISNUMBER(VALUE(Metadata!J631))),Metadata!J631&gt;0)</f>
        <v>0</v>
      </c>
      <c r="AK631">
        <f>AND(IF(Metadata!K631="",FALSE,TRUE),exact(Metadata!K631,"cm"))</f>
        <v>0</v>
      </c>
      <c r="AL631">
        <f>AND(IF(Metadata!L631="",FALSE,TRUE),exact(Metadata!L631,"Homo sapiens"))</f>
        <v>0</v>
      </c>
      <c r="AM631">
        <f>AND(IF(Metadata!M631="",FALSE,TRUE),exact(Metadata!M631,"9606"))</f>
        <v>0</v>
      </c>
      <c r="AN631">
        <f>AND(IF(Metadata!N631="",FALSE,ISNUMBER(VALUE(Metadata!N631))),Metadata!N631&gt;0)</f>
        <v>0</v>
      </c>
      <c r="AO631">
        <f>AND(IF(Metadata!O631="",FALSE,TRUE),exact(Metadata!O631,"kg"))</f>
        <v>0</v>
      </c>
      <c r="AP631">
        <f>OR(AND(IF(Metadata!P631="",FALSE,TRUE),exact(Metadata!P631,"not provided")),IF(Metadata!P631="",FALSE,TRUE))</f>
        <v>0</v>
      </c>
      <c r="AQ631">
        <f>OR(AND(IF(Metadata!Q631="",FALSE,TRUE),exact(Metadata!Q631,"not provided")),IF(Metadata!Q631="",FALSE,TRUE))</f>
        <v>0</v>
      </c>
    </row>
    <row r="632" spans="1:43">
      <c r="A632" s="4">
        <f>IF(B632=" "," ",HYPERLINK(CONCATENATE("#metadata!",ADDRESS(INDEX($W$2:$W$1001,MATCH(ROWS($U$2:U632),$U$2:$U$1001,0),0),2)),INDEX($Z$2:$Z$1001,MATCH(ROWS($U$2:U632),$U$2:$U$1001,0),0)))</f>
        <v>0</v>
      </c>
      <c r="B632" s="5">
        <f>IF(OR(INDEX($V$2:$V$1001,MATCH(ROWS($U$2:U632),$U$2:$U$1001,0),1)&gt;=100000,INDEX($AB$1005:$AQ$1005,1,MATCH(COLUMNS($AB$1006:AB1006),$AB$1006:$AQ$1006,0))&gt;=100000), " ",IF(INDEX($AB$2:$AQ$1001,MATCH(ROWS($U$2:U632),$U$2:$U$1001,0),MATCH(COLUMNS($AB$1006:AB1006),$AB$1006:$AQ$1006,0)), HYPERLINK("#",""), HYPERLINK(CONCATENATE("#Metadata!", ADDRESS(INDEX($W$2:$W$1001,MATCH(ROWS($U$2:U632),$U$2:$U$1001,0),0), INDEX($AB$1004:$AQ$1004,1,MATCH(COLUMNS($AB$1006:AB1006),$AB$1006:$AQ$1006,0)))),"Fix")))</f>
        <v>0</v>
      </c>
      <c r="C632" s="5">
        <f>IF(OR(INDEX($V$2:$V$1001,MATCH(ROWS($U$2:U632),$U$2:$U$1001,0),1)&gt;=100000,INDEX($AB$1005:$AQ$1005,1,MATCH(COLUMNS($AB$1006:AC1006),$AB$1006:$AQ$1006,0))&gt;=100000), " ",IF(INDEX($AB$2:$AQ$1001,MATCH(ROWS($U$2:U632),$U$2:$U$1001,0),MATCH(COLUMNS($AB$1006:AC1006),$AB$1006:$AQ$1006,0)), HYPERLINK("#",""), HYPERLINK(CONCATENATE("#Metadata!", ADDRESS(INDEX($W$2:$W$1001,MATCH(ROWS($U$2:U632),$U$2:$U$1001,0),0), INDEX($AB$1004:$AQ$1004,1,MATCH(COLUMNS($AB$1006:AC1006),$AB$1006:$AQ$1006,0)))),"Fix")))</f>
        <v>0</v>
      </c>
      <c r="D632" s="5">
        <f>IF(OR(INDEX($V$2:$V$1001,MATCH(ROWS($U$2:U632),$U$2:$U$1001,0),1)&gt;=100000,INDEX($AB$1005:$AQ$1005,1,MATCH(COLUMNS($AB$1006:AD1006),$AB$1006:$AQ$1006,0))&gt;=100000), " ",IF(INDEX($AB$2:$AQ$1001,MATCH(ROWS($U$2:U632),$U$2:$U$1001,0),MATCH(COLUMNS($AB$1006:AD1006),$AB$1006:$AQ$1006,0)), HYPERLINK("#",""), HYPERLINK(CONCATENATE("#Metadata!", ADDRESS(INDEX($W$2:$W$1001,MATCH(ROWS($U$2:U632),$U$2:$U$1001,0),0), INDEX($AB$1004:$AQ$1004,1,MATCH(COLUMNS($AB$1006:AD1006),$AB$1006:$AQ$1006,0)))),"Fix")))</f>
        <v>0</v>
      </c>
      <c r="E632" s="5">
        <f>IF(OR(INDEX($V$2:$V$1001,MATCH(ROWS($U$2:U632),$U$2:$U$1001,0),1)&gt;=100000,INDEX($AB$1005:$AQ$1005,1,MATCH(COLUMNS($AB$1006:AE1006),$AB$1006:$AQ$1006,0))&gt;=100000), " ",IF(INDEX($AB$2:$AQ$1001,MATCH(ROWS($U$2:U632),$U$2:$U$1001,0),MATCH(COLUMNS($AB$1006:AE1006),$AB$1006:$AQ$1006,0)), HYPERLINK("#",""), HYPERLINK(CONCATENATE("#Metadata!", ADDRESS(INDEX($W$2:$W$1001,MATCH(ROWS($U$2:U632),$U$2:$U$1001,0),0), INDEX($AB$1004:$AQ$1004,1,MATCH(COLUMNS($AB$1006:AE1006),$AB$1006:$AQ$1006,0)))),"Fix")))</f>
        <v>0</v>
      </c>
      <c r="F632" s="5">
        <f>IF(OR(INDEX($V$2:$V$1001,MATCH(ROWS($U$2:U632),$U$2:$U$1001,0),1)&gt;=100000,INDEX($AB$1005:$AQ$1005,1,MATCH(COLUMNS($AB$1006:AF1006),$AB$1006:$AQ$1006,0))&gt;=100000), " ",IF(INDEX($AB$2:$AQ$1001,MATCH(ROWS($U$2:U632),$U$2:$U$1001,0),MATCH(COLUMNS($AB$1006:AF1006),$AB$1006:$AQ$1006,0)), HYPERLINK("#",""), HYPERLINK(CONCATENATE("#Metadata!", ADDRESS(INDEX($W$2:$W$1001,MATCH(ROWS($U$2:U632),$U$2:$U$1001,0),0), INDEX($AB$1004:$AQ$1004,1,MATCH(COLUMNS($AB$1006:AF1006),$AB$1006:$AQ$1006,0)))),"Fix")))</f>
        <v>0</v>
      </c>
      <c r="G632" s="5">
        <f>IF(OR(INDEX($V$2:$V$1001,MATCH(ROWS($U$2:U632),$U$2:$U$1001,0),1)&gt;=100000,INDEX($AB$1005:$AQ$1005,1,MATCH(COLUMNS($AB$1006:AG1006),$AB$1006:$AQ$1006,0))&gt;=100000), " ",IF(INDEX($AB$2:$AQ$1001,MATCH(ROWS($U$2:U632),$U$2:$U$1001,0),MATCH(COLUMNS($AB$1006:AG1006),$AB$1006:$AQ$1006,0)), HYPERLINK("#",""), HYPERLINK(CONCATENATE("#Metadata!", ADDRESS(INDEX($W$2:$W$1001,MATCH(ROWS($U$2:U632),$U$2:$U$1001,0),0), INDEX($AB$1004:$AQ$1004,1,MATCH(COLUMNS($AB$1006:AG1006),$AB$1006:$AQ$1006,0)))),"Fix")))</f>
        <v>0</v>
      </c>
      <c r="H632" s="5">
        <f>IF(OR(INDEX($V$2:$V$1001,MATCH(ROWS($U$2:U632),$U$2:$U$1001,0),1)&gt;=100000,INDEX($AB$1005:$AQ$1005,1,MATCH(COLUMNS($AB$1006:AH1006),$AB$1006:$AQ$1006,0))&gt;=100000), " ",IF(INDEX($AB$2:$AQ$1001,MATCH(ROWS($U$2:U632),$U$2:$U$1001,0),MATCH(COLUMNS($AB$1006:AH1006),$AB$1006:$AQ$1006,0)), HYPERLINK("#",""), HYPERLINK(CONCATENATE("#Metadata!", ADDRESS(INDEX($W$2:$W$1001,MATCH(ROWS($U$2:U632),$U$2:$U$1001,0),0), INDEX($AB$1004:$AQ$1004,1,MATCH(COLUMNS($AB$1006:AH1006),$AB$1006:$AQ$1006,0)))),"Fix")))</f>
        <v>0</v>
      </c>
      <c r="I632" s="5">
        <f>IF(OR(INDEX($V$2:$V$1001,MATCH(ROWS($U$2:U632),$U$2:$U$1001,0),1)&gt;=100000,INDEX($AB$1005:$AQ$1005,1,MATCH(COLUMNS($AB$1006:AI1006),$AB$1006:$AQ$1006,0))&gt;=100000), " ",IF(INDEX($AB$2:$AQ$1001,MATCH(ROWS($U$2:U632),$U$2:$U$1001,0),MATCH(COLUMNS($AB$1006:AI1006),$AB$1006:$AQ$1006,0)), HYPERLINK("#",""), HYPERLINK(CONCATENATE("#Metadata!", ADDRESS(INDEX($W$2:$W$1001,MATCH(ROWS($U$2:U632),$U$2:$U$1001,0),0), INDEX($AB$1004:$AQ$1004,1,MATCH(COLUMNS($AB$1006:AI1006),$AB$1006:$AQ$1006,0)))),"Fix")))</f>
        <v>0</v>
      </c>
      <c r="J632" s="5">
        <f>IF(OR(INDEX($V$2:$V$1001,MATCH(ROWS($U$2:U632),$U$2:$U$1001,0),1)&gt;=100000,INDEX($AB$1005:$AQ$1005,1,MATCH(COLUMNS($AB$1006:AJ1006),$AB$1006:$AQ$1006,0))&gt;=100000), " ",IF(INDEX($AB$2:$AQ$1001,MATCH(ROWS($U$2:U632),$U$2:$U$1001,0),MATCH(COLUMNS($AB$1006:AJ1006),$AB$1006:$AQ$1006,0)), HYPERLINK("#",""), HYPERLINK(CONCATENATE("#Metadata!", ADDRESS(INDEX($W$2:$W$1001,MATCH(ROWS($U$2:U632),$U$2:$U$1001,0),0), INDEX($AB$1004:$AQ$1004,1,MATCH(COLUMNS($AB$1006:AJ1006),$AB$1006:$AQ$1006,0)))),"Fix")))</f>
        <v>0</v>
      </c>
      <c r="K632" s="5">
        <f>IF(OR(INDEX($V$2:$V$1001,MATCH(ROWS($U$2:U632),$U$2:$U$1001,0),1)&gt;=100000,INDEX($AB$1005:$AQ$1005,1,MATCH(COLUMNS($AB$1006:AK1006),$AB$1006:$AQ$1006,0))&gt;=100000), " ",IF(INDEX($AB$2:$AQ$1001,MATCH(ROWS($U$2:U632),$U$2:$U$1001,0),MATCH(COLUMNS($AB$1006:AK1006),$AB$1006:$AQ$1006,0)), HYPERLINK("#",""), HYPERLINK(CONCATENATE("#Metadata!", ADDRESS(INDEX($W$2:$W$1001,MATCH(ROWS($U$2:U632),$U$2:$U$1001,0),0), INDEX($AB$1004:$AQ$1004,1,MATCH(COLUMNS($AB$1006:AK1006),$AB$1006:$AQ$1006,0)))),"Fix")))</f>
        <v>0</v>
      </c>
      <c r="L632" s="5">
        <f>IF(OR(INDEX($V$2:$V$1001,MATCH(ROWS($U$2:U632),$U$2:$U$1001,0),1)&gt;=100000,INDEX($AB$1005:$AQ$1005,1,MATCH(COLUMNS($AB$1006:AL1006),$AB$1006:$AQ$1006,0))&gt;=100000), " ",IF(INDEX($AB$2:$AQ$1001,MATCH(ROWS($U$2:U632),$U$2:$U$1001,0),MATCH(COLUMNS($AB$1006:AL1006),$AB$1006:$AQ$1006,0)), HYPERLINK("#",""), HYPERLINK(CONCATENATE("#Metadata!", ADDRESS(INDEX($W$2:$W$1001,MATCH(ROWS($U$2:U632),$U$2:$U$1001,0),0), INDEX($AB$1004:$AQ$1004,1,MATCH(COLUMNS($AB$1006:AL1006),$AB$1006:$AQ$1006,0)))),"Fix")))</f>
        <v>0</v>
      </c>
      <c r="M632" s="5">
        <f>IF(OR(INDEX($V$2:$V$1001,MATCH(ROWS($U$2:U632),$U$2:$U$1001,0),1)&gt;=100000,INDEX($AB$1005:$AQ$1005,1,MATCH(COLUMNS($AB$1006:AM1006),$AB$1006:$AQ$1006,0))&gt;=100000), " ",IF(INDEX($AB$2:$AQ$1001,MATCH(ROWS($U$2:U632),$U$2:$U$1001,0),MATCH(COLUMNS($AB$1006:AM1006),$AB$1006:$AQ$1006,0)), HYPERLINK("#",""), HYPERLINK(CONCATENATE("#Metadata!", ADDRESS(INDEX($W$2:$W$1001,MATCH(ROWS($U$2:U632),$U$2:$U$1001,0),0), INDEX($AB$1004:$AQ$1004,1,MATCH(COLUMNS($AB$1006:AM1006),$AB$1006:$AQ$1006,0)))),"Fix")))</f>
        <v>0</v>
      </c>
      <c r="N632" s="5">
        <f>IF(OR(INDEX($V$2:$V$1001,MATCH(ROWS($U$2:U632),$U$2:$U$1001,0),1)&gt;=100000,INDEX($AB$1005:$AQ$1005,1,MATCH(COLUMNS($AB$1006:AN1006),$AB$1006:$AQ$1006,0))&gt;=100000), " ",IF(INDEX($AB$2:$AQ$1001,MATCH(ROWS($U$2:U632),$U$2:$U$1001,0),MATCH(COLUMNS($AB$1006:AN1006),$AB$1006:$AQ$1006,0)), HYPERLINK("#",""), HYPERLINK(CONCATENATE("#Metadata!", ADDRESS(INDEX($W$2:$W$1001,MATCH(ROWS($U$2:U632),$U$2:$U$1001,0),0), INDEX($AB$1004:$AQ$1004,1,MATCH(COLUMNS($AB$1006:AN1006),$AB$1006:$AQ$1006,0)))),"Fix")))</f>
        <v>0</v>
      </c>
      <c r="O632" s="5">
        <f>IF(OR(INDEX($V$2:$V$1001,MATCH(ROWS($U$2:U632),$U$2:$U$1001,0),1)&gt;=100000,INDEX($AB$1005:$AQ$1005,1,MATCH(COLUMNS($AB$1006:AO1006),$AB$1006:$AQ$1006,0))&gt;=100000), " ",IF(INDEX($AB$2:$AQ$1001,MATCH(ROWS($U$2:U632),$U$2:$U$1001,0),MATCH(COLUMNS($AB$1006:AO1006),$AB$1006:$AQ$1006,0)), HYPERLINK("#",""), HYPERLINK(CONCATENATE("#Metadata!", ADDRESS(INDEX($W$2:$W$1001,MATCH(ROWS($U$2:U632),$U$2:$U$1001,0),0), INDEX($AB$1004:$AQ$1004,1,MATCH(COLUMNS($AB$1006:AO1006),$AB$1006:$AQ$1006,0)))),"Fix")))</f>
        <v>0</v>
      </c>
      <c r="P632" s="5">
        <f>IF(OR(INDEX($V$2:$V$1001,MATCH(ROWS($U$2:U632),$U$2:$U$1001,0),1)&gt;=100000,INDEX($AB$1005:$AQ$1005,1,MATCH(COLUMNS($AB$1006:AP1006),$AB$1006:$AQ$1006,0))&gt;=100000), " ",IF(INDEX($AB$2:$AQ$1001,MATCH(ROWS($U$2:U632),$U$2:$U$1001,0),MATCH(COLUMNS($AB$1006:AP1006),$AB$1006:$AQ$1006,0)), HYPERLINK("#",""), HYPERLINK(CONCATENATE("#Metadata!", ADDRESS(INDEX($W$2:$W$1001,MATCH(ROWS($U$2:U632),$U$2:$U$1001,0),0), INDEX($AB$1004:$AQ$1004,1,MATCH(COLUMNS($AB$1006:AP1006),$AB$1006:$AQ$1006,0)))),"Fix")))</f>
        <v>0</v>
      </c>
      <c r="Q632" s="5">
        <f>IF(OR(INDEX($V$2:$V$1001,MATCH(ROWS($U$2:U632),$U$2:$U$1001,0),1)&gt;=100000,INDEX($AB$1005:$AQ$1005,1,MATCH(COLUMNS($AB$1006:AQ1006),$AB$1006:$AQ$1006,0))&gt;=100000), " ",IF(INDEX($AB$2:$AQ$1001,MATCH(ROWS($U$2:U632),$U$2:$U$1001,0),MATCH(COLUMNS($AB$1006:AQ1006),$AB$1006:$AQ$1006,0)), HYPERLINK("#",""), HYPERLINK(CONCATENATE("#Metadata!", ADDRESS(INDEX($W$2:$W$1001,MATCH(ROWS($U$2:U632),$U$2:$U$1001,0),0), INDEX($AB$1004:$AQ$1004,1,MATCH(COLUMNS($AB$1006:AQ1006),$AB$1006:$AQ$1006,0)))),"Fix")))</f>
        <v>0</v>
      </c>
      <c r="U632">
        <v>0</v>
      </c>
      <c r="V632">
        <v>0</v>
      </c>
      <c r="W632">
        <v>0</v>
      </c>
      <c r="X632">
        <f>IF(Y632,TRUE,AND(AB632:AQ632))</f>
        <v>0</v>
      </c>
      <c r="Y632">
        <f>COUNTBLANK(Metadata!B632:Q632)=COLUMNS(Metadata!B632:Q632)</f>
        <v>0</v>
      </c>
      <c r="Z632">
        <v>0</v>
      </c>
      <c r="AB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AC632">
        <f>AND(IF(Metadata!C632="",FALSE,TRUE),exact(Metadata!C632,"urban biome"))</f>
        <v>0</v>
      </c>
      <c r="AD632">
        <f>AND(IF(Metadata!D632="",FALSE,TRUE),exact(Metadata!D632,"human-associated habitat"))</f>
        <v>0</v>
      </c>
      <c r="AE632">
        <f>AND(IF(Metadata!E632="",FALSE,TRUE),OR(exact(Metadata!E632,"human-associated"),exact(Metadata!E632,"human-skin"),exact(Metadata!E632,"human-oral"),exact(Metadata!E632,"human-gut"),exact(Metadata!E632,"human-vaginal")))</f>
        <v>0</v>
      </c>
      <c r="AF632">
        <f>AND(IF(Metadata!F632="",FALSE,ISNUMBER(VALUE(Metadata!F632))),Metadata!F632&gt;0)</f>
        <v>0</v>
      </c>
      <c r="AG632">
        <f>AND(IF(Metadata!G632="",FALSE,TRUE),exact(Metadata!G632,"years"))</f>
        <v>0</v>
      </c>
      <c r="AH632">
        <f>OR(AND(IF(Metadata!H632="",FALSE,TRUE),OR(exact(Metadata!H632,"not applicable"),exact(Metadata!H632,"not collected"),exact(Metadata!H632,"not provided"),exact(Metadata!H632,"restricted access"))),AND(IF(Metadata!H632="",FALSE,ISNUMBER(VALUE(Metadata!H632))),Metadata!H632&gt;0))</f>
        <v>0</v>
      </c>
      <c r="AI632">
        <f>AND(IF(Metadata!I632="",FALSE,TRUE),exact(Metadata!I632,"human"))</f>
        <v>0</v>
      </c>
      <c r="AJ632">
        <f>AND(IF(Metadata!J632="",FALSE,ISNUMBER(VALUE(Metadata!J632))),Metadata!J632&gt;0)</f>
        <v>0</v>
      </c>
      <c r="AK632">
        <f>AND(IF(Metadata!K632="",FALSE,TRUE),exact(Metadata!K632,"cm"))</f>
        <v>0</v>
      </c>
      <c r="AL632">
        <f>AND(IF(Metadata!L632="",FALSE,TRUE),exact(Metadata!L632,"Homo sapiens"))</f>
        <v>0</v>
      </c>
      <c r="AM632">
        <f>AND(IF(Metadata!M632="",FALSE,TRUE),exact(Metadata!M632,"9606"))</f>
        <v>0</v>
      </c>
      <c r="AN632">
        <f>AND(IF(Metadata!N632="",FALSE,ISNUMBER(VALUE(Metadata!N632))),Metadata!N632&gt;0)</f>
        <v>0</v>
      </c>
      <c r="AO632">
        <f>AND(IF(Metadata!O632="",FALSE,TRUE),exact(Metadata!O632,"kg"))</f>
        <v>0</v>
      </c>
      <c r="AP632">
        <f>OR(AND(IF(Metadata!P632="",FALSE,TRUE),exact(Metadata!P632,"not provided")),IF(Metadata!P632="",FALSE,TRUE))</f>
        <v>0</v>
      </c>
      <c r="AQ632">
        <f>OR(AND(IF(Metadata!Q632="",FALSE,TRUE),exact(Metadata!Q632,"not provided")),IF(Metadata!Q632="",FALSE,TRUE))</f>
        <v>0</v>
      </c>
    </row>
    <row r="633" spans="1:43">
      <c r="A633" s="4">
        <f>IF(B633=" "," ",HYPERLINK(CONCATENATE("#metadata!",ADDRESS(INDEX($W$2:$W$1001,MATCH(ROWS($U$2:U633),$U$2:$U$1001,0),0),2)),INDEX($Z$2:$Z$1001,MATCH(ROWS($U$2:U633),$U$2:$U$1001,0),0)))</f>
        <v>0</v>
      </c>
      <c r="B633" s="5">
        <f>IF(OR(INDEX($V$2:$V$1001,MATCH(ROWS($U$2:U633),$U$2:$U$1001,0),1)&gt;=100000,INDEX($AB$1005:$AQ$1005,1,MATCH(COLUMNS($AB$1006:AB1006),$AB$1006:$AQ$1006,0))&gt;=100000), " ",IF(INDEX($AB$2:$AQ$1001,MATCH(ROWS($U$2:U633),$U$2:$U$1001,0),MATCH(COLUMNS($AB$1006:AB1006),$AB$1006:$AQ$1006,0)), HYPERLINK("#",""), HYPERLINK(CONCATENATE("#Metadata!", ADDRESS(INDEX($W$2:$W$1001,MATCH(ROWS($U$2:U633),$U$2:$U$1001,0),0), INDEX($AB$1004:$AQ$1004,1,MATCH(COLUMNS($AB$1006:AB1006),$AB$1006:$AQ$1006,0)))),"Fix")))</f>
        <v>0</v>
      </c>
      <c r="C633" s="5">
        <f>IF(OR(INDEX($V$2:$V$1001,MATCH(ROWS($U$2:U633),$U$2:$U$1001,0),1)&gt;=100000,INDEX($AB$1005:$AQ$1005,1,MATCH(COLUMNS($AB$1006:AC1006),$AB$1006:$AQ$1006,0))&gt;=100000), " ",IF(INDEX($AB$2:$AQ$1001,MATCH(ROWS($U$2:U633),$U$2:$U$1001,0),MATCH(COLUMNS($AB$1006:AC1006),$AB$1006:$AQ$1006,0)), HYPERLINK("#",""), HYPERLINK(CONCATENATE("#Metadata!", ADDRESS(INDEX($W$2:$W$1001,MATCH(ROWS($U$2:U633),$U$2:$U$1001,0),0), INDEX($AB$1004:$AQ$1004,1,MATCH(COLUMNS($AB$1006:AC1006),$AB$1006:$AQ$1006,0)))),"Fix")))</f>
        <v>0</v>
      </c>
      <c r="D633" s="5">
        <f>IF(OR(INDEX($V$2:$V$1001,MATCH(ROWS($U$2:U633),$U$2:$U$1001,0),1)&gt;=100000,INDEX($AB$1005:$AQ$1005,1,MATCH(COLUMNS($AB$1006:AD1006),$AB$1006:$AQ$1006,0))&gt;=100000), " ",IF(INDEX($AB$2:$AQ$1001,MATCH(ROWS($U$2:U633),$U$2:$U$1001,0),MATCH(COLUMNS($AB$1006:AD1006),$AB$1006:$AQ$1006,0)), HYPERLINK("#",""), HYPERLINK(CONCATENATE("#Metadata!", ADDRESS(INDEX($W$2:$W$1001,MATCH(ROWS($U$2:U633),$U$2:$U$1001,0),0), INDEX($AB$1004:$AQ$1004,1,MATCH(COLUMNS($AB$1006:AD1006),$AB$1006:$AQ$1006,0)))),"Fix")))</f>
        <v>0</v>
      </c>
      <c r="E633" s="5">
        <f>IF(OR(INDEX($V$2:$V$1001,MATCH(ROWS($U$2:U633),$U$2:$U$1001,0),1)&gt;=100000,INDEX($AB$1005:$AQ$1005,1,MATCH(COLUMNS($AB$1006:AE1006),$AB$1006:$AQ$1006,0))&gt;=100000), " ",IF(INDEX($AB$2:$AQ$1001,MATCH(ROWS($U$2:U633),$U$2:$U$1001,0),MATCH(COLUMNS($AB$1006:AE1006),$AB$1006:$AQ$1006,0)), HYPERLINK("#",""), HYPERLINK(CONCATENATE("#Metadata!", ADDRESS(INDEX($W$2:$W$1001,MATCH(ROWS($U$2:U633),$U$2:$U$1001,0),0), INDEX($AB$1004:$AQ$1004,1,MATCH(COLUMNS($AB$1006:AE1006),$AB$1006:$AQ$1006,0)))),"Fix")))</f>
        <v>0</v>
      </c>
      <c r="F633" s="5">
        <f>IF(OR(INDEX($V$2:$V$1001,MATCH(ROWS($U$2:U633),$U$2:$U$1001,0),1)&gt;=100000,INDEX($AB$1005:$AQ$1005,1,MATCH(COLUMNS($AB$1006:AF1006),$AB$1006:$AQ$1006,0))&gt;=100000), " ",IF(INDEX($AB$2:$AQ$1001,MATCH(ROWS($U$2:U633),$U$2:$U$1001,0),MATCH(COLUMNS($AB$1006:AF1006),$AB$1006:$AQ$1006,0)), HYPERLINK("#",""), HYPERLINK(CONCATENATE("#Metadata!", ADDRESS(INDEX($W$2:$W$1001,MATCH(ROWS($U$2:U633),$U$2:$U$1001,0),0), INDEX($AB$1004:$AQ$1004,1,MATCH(COLUMNS($AB$1006:AF1006),$AB$1006:$AQ$1006,0)))),"Fix")))</f>
        <v>0</v>
      </c>
      <c r="G633" s="5">
        <f>IF(OR(INDEX($V$2:$V$1001,MATCH(ROWS($U$2:U633),$U$2:$U$1001,0),1)&gt;=100000,INDEX($AB$1005:$AQ$1005,1,MATCH(COLUMNS($AB$1006:AG1006),$AB$1006:$AQ$1006,0))&gt;=100000), " ",IF(INDEX($AB$2:$AQ$1001,MATCH(ROWS($U$2:U633),$U$2:$U$1001,0),MATCH(COLUMNS($AB$1006:AG1006),$AB$1006:$AQ$1006,0)), HYPERLINK("#",""), HYPERLINK(CONCATENATE("#Metadata!", ADDRESS(INDEX($W$2:$W$1001,MATCH(ROWS($U$2:U633),$U$2:$U$1001,0),0), INDEX($AB$1004:$AQ$1004,1,MATCH(COLUMNS($AB$1006:AG1006),$AB$1006:$AQ$1006,0)))),"Fix")))</f>
        <v>0</v>
      </c>
      <c r="H633" s="5">
        <f>IF(OR(INDEX($V$2:$V$1001,MATCH(ROWS($U$2:U633),$U$2:$U$1001,0),1)&gt;=100000,INDEX($AB$1005:$AQ$1005,1,MATCH(COLUMNS($AB$1006:AH1006),$AB$1006:$AQ$1006,0))&gt;=100000), " ",IF(INDEX($AB$2:$AQ$1001,MATCH(ROWS($U$2:U633),$U$2:$U$1001,0),MATCH(COLUMNS($AB$1006:AH1006),$AB$1006:$AQ$1006,0)), HYPERLINK("#",""), HYPERLINK(CONCATENATE("#Metadata!", ADDRESS(INDEX($W$2:$W$1001,MATCH(ROWS($U$2:U633),$U$2:$U$1001,0),0), INDEX($AB$1004:$AQ$1004,1,MATCH(COLUMNS($AB$1006:AH1006),$AB$1006:$AQ$1006,0)))),"Fix")))</f>
        <v>0</v>
      </c>
      <c r="I633" s="5">
        <f>IF(OR(INDEX($V$2:$V$1001,MATCH(ROWS($U$2:U633),$U$2:$U$1001,0),1)&gt;=100000,INDEX($AB$1005:$AQ$1005,1,MATCH(COLUMNS($AB$1006:AI1006),$AB$1006:$AQ$1006,0))&gt;=100000), " ",IF(INDEX($AB$2:$AQ$1001,MATCH(ROWS($U$2:U633),$U$2:$U$1001,0),MATCH(COLUMNS($AB$1006:AI1006),$AB$1006:$AQ$1006,0)), HYPERLINK("#",""), HYPERLINK(CONCATENATE("#Metadata!", ADDRESS(INDEX($W$2:$W$1001,MATCH(ROWS($U$2:U633),$U$2:$U$1001,0),0), INDEX($AB$1004:$AQ$1004,1,MATCH(COLUMNS($AB$1006:AI1006),$AB$1006:$AQ$1006,0)))),"Fix")))</f>
        <v>0</v>
      </c>
      <c r="J633" s="5">
        <f>IF(OR(INDEX($V$2:$V$1001,MATCH(ROWS($U$2:U633),$U$2:$U$1001,0),1)&gt;=100000,INDEX($AB$1005:$AQ$1005,1,MATCH(COLUMNS($AB$1006:AJ1006),$AB$1006:$AQ$1006,0))&gt;=100000), " ",IF(INDEX($AB$2:$AQ$1001,MATCH(ROWS($U$2:U633),$U$2:$U$1001,0),MATCH(COLUMNS($AB$1006:AJ1006),$AB$1006:$AQ$1006,0)), HYPERLINK("#",""), HYPERLINK(CONCATENATE("#Metadata!", ADDRESS(INDEX($W$2:$W$1001,MATCH(ROWS($U$2:U633),$U$2:$U$1001,0),0), INDEX($AB$1004:$AQ$1004,1,MATCH(COLUMNS($AB$1006:AJ1006),$AB$1006:$AQ$1006,0)))),"Fix")))</f>
        <v>0</v>
      </c>
      <c r="K633" s="5">
        <f>IF(OR(INDEX($V$2:$V$1001,MATCH(ROWS($U$2:U633),$U$2:$U$1001,0),1)&gt;=100000,INDEX($AB$1005:$AQ$1005,1,MATCH(COLUMNS($AB$1006:AK1006),$AB$1006:$AQ$1006,0))&gt;=100000), " ",IF(INDEX($AB$2:$AQ$1001,MATCH(ROWS($U$2:U633),$U$2:$U$1001,0),MATCH(COLUMNS($AB$1006:AK1006),$AB$1006:$AQ$1006,0)), HYPERLINK("#",""), HYPERLINK(CONCATENATE("#Metadata!", ADDRESS(INDEX($W$2:$W$1001,MATCH(ROWS($U$2:U633),$U$2:$U$1001,0),0), INDEX($AB$1004:$AQ$1004,1,MATCH(COLUMNS($AB$1006:AK1006),$AB$1006:$AQ$1006,0)))),"Fix")))</f>
        <v>0</v>
      </c>
      <c r="L633" s="5">
        <f>IF(OR(INDEX($V$2:$V$1001,MATCH(ROWS($U$2:U633),$U$2:$U$1001,0),1)&gt;=100000,INDEX($AB$1005:$AQ$1005,1,MATCH(COLUMNS($AB$1006:AL1006),$AB$1006:$AQ$1006,0))&gt;=100000), " ",IF(INDEX($AB$2:$AQ$1001,MATCH(ROWS($U$2:U633),$U$2:$U$1001,0),MATCH(COLUMNS($AB$1006:AL1006),$AB$1006:$AQ$1006,0)), HYPERLINK("#",""), HYPERLINK(CONCATENATE("#Metadata!", ADDRESS(INDEX($W$2:$W$1001,MATCH(ROWS($U$2:U633),$U$2:$U$1001,0),0), INDEX($AB$1004:$AQ$1004,1,MATCH(COLUMNS($AB$1006:AL1006),$AB$1006:$AQ$1006,0)))),"Fix")))</f>
        <v>0</v>
      </c>
      <c r="M633" s="5">
        <f>IF(OR(INDEX($V$2:$V$1001,MATCH(ROWS($U$2:U633),$U$2:$U$1001,0),1)&gt;=100000,INDEX($AB$1005:$AQ$1005,1,MATCH(COLUMNS($AB$1006:AM1006),$AB$1006:$AQ$1006,0))&gt;=100000), " ",IF(INDEX($AB$2:$AQ$1001,MATCH(ROWS($U$2:U633),$U$2:$U$1001,0),MATCH(COLUMNS($AB$1006:AM1006),$AB$1006:$AQ$1006,0)), HYPERLINK("#",""), HYPERLINK(CONCATENATE("#Metadata!", ADDRESS(INDEX($W$2:$W$1001,MATCH(ROWS($U$2:U633),$U$2:$U$1001,0),0), INDEX($AB$1004:$AQ$1004,1,MATCH(COLUMNS($AB$1006:AM1006),$AB$1006:$AQ$1006,0)))),"Fix")))</f>
        <v>0</v>
      </c>
      <c r="N633" s="5">
        <f>IF(OR(INDEX($V$2:$V$1001,MATCH(ROWS($U$2:U633),$U$2:$U$1001,0),1)&gt;=100000,INDEX($AB$1005:$AQ$1005,1,MATCH(COLUMNS($AB$1006:AN1006),$AB$1006:$AQ$1006,0))&gt;=100000), " ",IF(INDEX($AB$2:$AQ$1001,MATCH(ROWS($U$2:U633),$U$2:$U$1001,0),MATCH(COLUMNS($AB$1006:AN1006),$AB$1006:$AQ$1006,0)), HYPERLINK("#",""), HYPERLINK(CONCATENATE("#Metadata!", ADDRESS(INDEX($W$2:$W$1001,MATCH(ROWS($U$2:U633),$U$2:$U$1001,0),0), INDEX($AB$1004:$AQ$1004,1,MATCH(COLUMNS($AB$1006:AN1006),$AB$1006:$AQ$1006,0)))),"Fix")))</f>
        <v>0</v>
      </c>
      <c r="O633" s="5">
        <f>IF(OR(INDEX($V$2:$V$1001,MATCH(ROWS($U$2:U633),$U$2:$U$1001,0),1)&gt;=100000,INDEX($AB$1005:$AQ$1005,1,MATCH(COLUMNS($AB$1006:AO1006),$AB$1006:$AQ$1006,0))&gt;=100000), " ",IF(INDEX($AB$2:$AQ$1001,MATCH(ROWS($U$2:U633),$U$2:$U$1001,0),MATCH(COLUMNS($AB$1006:AO1006),$AB$1006:$AQ$1006,0)), HYPERLINK("#",""), HYPERLINK(CONCATENATE("#Metadata!", ADDRESS(INDEX($W$2:$W$1001,MATCH(ROWS($U$2:U633),$U$2:$U$1001,0),0), INDEX($AB$1004:$AQ$1004,1,MATCH(COLUMNS($AB$1006:AO1006),$AB$1006:$AQ$1006,0)))),"Fix")))</f>
        <v>0</v>
      </c>
      <c r="P633" s="5">
        <f>IF(OR(INDEX($V$2:$V$1001,MATCH(ROWS($U$2:U633),$U$2:$U$1001,0),1)&gt;=100000,INDEX($AB$1005:$AQ$1005,1,MATCH(COLUMNS($AB$1006:AP1006),$AB$1006:$AQ$1006,0))&gt;=100000), " ",IF(INDEX($AB$2:$AQ$1001,MATCH(ROWS($U$2:U633),$U$2:$U$1001,0),MATCH(COLUMNS($AB$1006:AP1006),$AB$1006:$AQ$1006,0)), HYPERLINK("#",""), HYPERLINK(CONCATENATE("#Metadata!", ADDRESS(INDEX($W$2:$W$1001,MATCH(ROWS($U$2:U633),$U$2:$U$1001,0),0), INDEX($AB$1004:$AQ$1004,1,MATCH(COLUMNS($AB$1006:AP1006),$AB$1006:$AQ$1006,0)))),"Fix")))</f>
        <v>0</v>
      </c>
      <c r="Q633" s="5">
        <f>IF(OR(INDEX($V$2:$V$1001,MATCH(ROWS($U$2:U633),$U$2:$U$1001,0),1)&gt;=100000,INDEX($AB$1005:$AQ$1005,1,MATCH(COLUMNS($AB$1006:AQ1006),$AB$1006:$AQ$1006,0))&gt;=100000), " ",IF(INDEX($AB$2:$AQ$1001,MATCH(ROWS($U$2:U633),$U$2:$U$1001,0),MATCH(COLUMNS($AB$1006:AQ1006),$AB$1006:$AQ$1006,0)), HYPERLINK("#",""), HYPERLINK(CONCATENATE("#Metadata!", ADDRESS(INDEX($W$2:$W$1001,MATCH(ROWS($U$2:U633),$U$2:$U$1001,0),0), INDEX($AB$1004:$AQ$1004,1,MATCH(COLUMNS($AB$1006:AQ1006),$AB$1006:$AQ$1006,0)))),"Fix")))</f>
        <v>0</v>
      </c>
      <c r="U633">
        <v>0</v>
      </c>
      <c r="V633">
        <v>0</v>
      </c>
      <c r="W633">
        <v>0</v>
      </c>
      <c r="X633">
        <f>IF(Y633,TRUE,AND(AB633:AQ633))</f>
        <v>0</v>
      </c>
      <c r="Y633">
        <f>COUNTBLANK(Metadata!B633:Q633)=COLUMNS(Metadata!B633:Q633)</f>
        <v>0</v>
      </c>
      <c r="Z633">
        <v>0</v>
      </c>
      <c r="AB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AC633">
        <f>AND(IF(Metadata!C633="",FALSE,TRUE),exact(Metadata!C633,"urban biome"))</f>
        <v>0</v>
      </c>
      <c r="AD633">
        <f>AND(IF(Metadata!D633="",FALSE,TRUE),exact(Metadata!D633,"human-associated habitat"))</f>
        <v>0</v>
      </c>
      <c r="AE633">
        <f>AND(IF(Metadata!E633="",FALSE,TRUE),OR(exact(Metadata!E633,"human-associated"),exact(Metadata!E633,"human-skin"),exact(Metadata!E633,"human-oral"),exact(Metadata!E633,"human-gut"),exact(Metadata!E633,"human-vaginal")))</f>
        <v>0</v>
      </c>
      <c r="AF633">
        <f>AND(IF(Metadata!F633="",FALSE,ISNUMBER(VALUE(Metadata!F633))),Metadata!F633&gt;0)</f>
        <v>0</v>
      </c>
      <c r="AG633">
        <f>AND(IF(Metadata!G633="",FALSE,TRUE),exact(Metadata!G633,"years"))</f>
        <v>0</v>
      </c>
      <c r="AH633">
        <f>OR(AND(IF(Metadata!H633="",FALSE,TRUE),OR(exact(Metadata!H633,"not applicable"),exact(Metadata!H633,"not collected"),exact(Metadata!H633,"not provided"),exact(Metadata!H633,"restricted access"))),AND(IF(Metadata!H633="",FALSE,ISNUMBER(VALUE(Metadata!H633))),Metadata!H633&gt;0))</f>
        <v>0</v>
      </c>
      <c r="AI633">
        <f>AND(IF(Metadata!I633="",FALSE,TRUE),exact(Metadata!I633,"human"))</f>
        <v>0</v>
      </c>
      <c r="AJ633">
        <f>AND(IF(Metadata!J633="",FALSE,ISNUMBER(VALUE(Metadata!J633))),Metadata!J633&gt;0)</f>
        <v>0</v>
      </c>
      <c r="AK633">
        <f>AND(IF(Metadata!K633="",FALSE,TRUE),exact(Metadata!K633,"cm"))</f>
        <v>0</v>
      </c>
      <c r="AL633">
        <f>AND(IF(Metadata!L633="",FALSE,TRUE),exact(Metadata!L633,"Homo sapiens"))</f>
        <v>0</v>
      </c>
      <c r="AM633">
        <f>AND(IF(Metadata!M633="",FALSE,TRUE),exact(Metadata!M633,"9606"))</f>
        <v>0</v>
      </c>
      <c r="AN633">
        <f>AND(IF(Metadata!N633="",FALSE,ISNUMBER(VALUE(Metadata!N633))),Metadata!N633&gt;0)</f>
        <v>0</v>
      </c>
      <c r="AO633">
        <f>AND(IF(Metadata!O633="",FALSE,TRUE),exact(Metadata!O633,"kg"))</f>
        <v>0</v>
      </c>
      <c r="AP633">
        <f>OR(AND(IF(Metadata!P633="",FALSE,TRUE),exact(Metadata!P633,"not provided")),IF(Metadata!P633="",FALSE,TRUE))</f>
        <v>0</v>
      </c>
      <c r="AQ633">
        <f>OR(AND(IF(Metadata!Q633="",FALSE,TRUE),exact(Metadata!Q633,"not provided")),IF(Metadata!Q633="",FALSE,TRUE))</f>
        <v>0</v>
      </c>
    </row>
    <row r="634" spans="1:43">
      <c r="A634" s="4">
        <f>IF(B634=" "," ",HYPERLINK(CONCATENATE("#metadata!",ADDRESS(INDEX($W$2:$W$1001,MATCH(ROWS($U$2:U634),$U$2:$U$1001,0),0),2)),INDEX($Z$2:$Z$1001,MATCH(ROWS($U$2:U634),$U$2:$U$1001,0),0)))</f>
        <v>0</v>
      </c>
      <c r="B634" s="5">
        <f>IF(OR(INDEX($V$2:$V$1001,MATCH(ROWS($U$2:U634),$U$2:$U$1001,0),1)&gt;=100000,INDEX($AB$1005:$AQ$1005,1,MATCH(COLUMNS($AB$1006:AB1006),$AB$1006:$AQ$1006,0))&gt;=100000), " ",IF(INDEX($AB$2:$AQ$1001,MATCH(ROWS($U$2:U634),$U$2:$U$1001,0),MATCH(COLUMNS($AB$1006:AB1006),$AB$1006:$AQ$1006,0)), HYPERLINK("#",""), HYPERLINK(CONCATENATE("#Metadata!", ADDRESS(INDEX($W$2:$W$1001,MATCH(ROWS($U$2:U634),$U$2:$U$1001,0),0), INDEX($AB$1004:$AQ$1004,1,MATCH(COLUMNS($AB$1006:AB1006),$AB$1006:$AQ$1006,0)))),"Fix")))</f>
        <v>0</v>
      </c>
      <c r="C634" s="5">
        <f>IF(OR(INDEX($V$2:$V$1001,MATCH(ROWS($U$2:U634),$U$2:$U$1001,0),1)&gt;=100000,INDEX($AB$1005:$AQ$1005,1,MATCH(COLUMNS($AB$1006:AC1006),$AB$1006:$AQ$1006,0))&gt;=100000), " ",IF(INDEX($AB$2:$AQ$1001,MATCH(ROWS($U$2:U634),$U$2:$U$1001,0),MATCH(COLUMNS($AB$1006:AC1006),$AB$1006:$AQ$1006,0)), HYPERLINK("#",""), HYPERLINK(CONCATENATE("#Metadata!", ADDRESS(INDEX($W$2:$W$1001,MATCH(ROWS($U$2:U634),$U$2:$U$1001,0),0), INDEX($AB$1004:$AQ$1004,1,MATCH(COLUMNS($AB$1006:AC1006),$AB$1006:$AQ$1006,0)))),"Fix")))</f>
        <v>0</v>
      </c>
      <c r="D634" s="5">
        <f>IF(OR(INDEX($V$2:$V$1001,MATCH(ROWS($U$2:U634),$U$2:$U$1001,0),1)&gt;=100000,INDEX($AB$1005:$AQ$1005,1,MATCH(COLUMNS($AB$1006:AD1006),$AB$1006:$AQ$1006,0))&gt;=100000), " ",IF(INDEX($AB$2:$AQ$1001,MATCH(ROWS($U$2:U634),$U$2:$U$1001,0),MATCH(COLUMNS($AB$1006:AD1006),$AB$1006:$AQ$1006,0)), HYPERLINK("#",""), HYPERLINK(CONCATENATE("#Metadata!", ADDRESS(INDEX($W$2:$W$1001,MATCH(ROWS($U$2:U634),$U$2:$U$1001,0),0), INDEX($AB$1004:$AQ$1004,1,MATCH(COLUMNS($AB$1006:AD1006),$AB$1006:$AQ$1006,0)))),"Fix")))</f>
        <v>0</v>
      </c>
      <c r="E634" s="5">
        <f>IF(OR(INDEX($V$2:$V$1001,MATCH(ROWS($U$2:U634),$U$2:$U$1001,0),1)&gt;=100000,INDEX($AB$1005:$AQ$1005,1,MATCH(COLUMNS($AB$1006:AE1006),$AB$1006:$AQ$1006,0))&gt;=100000), " ",IF(INDEX($AB$2:$AQ$1001,MATCH(ROWS($U$2:U634),$U$2:$U$1001,0),MATCH(COLUMNS($AB$1006:AE1006),$AB$1006:$AQ$1006,0)), HYPERLINK("#",""), HYPERLINK(CONCATENATE("#Metadata!", ADDRESS(INDEX($W$2:$W$1001,MATCH(ROWS($U$2:U634),$U$2:$U$1001,0),0), INDEX($AB$1004:$AQ$1004,1,MATCH(COLUMNS($AB$1006:AE1006),$AB$1006:$AQ$1006,0)))),"Fix")))</f>
        <v>0</v>
      </c>
      <c r="F634" s="5">
        <f>IF(OR(INDEX($V$2:$V$1001,MATCH(ROWS($U$2:U634),$U$2:$U$1001,0),1)&gt;=100000,INDEX($AB$1005:$AQ$1005,1,MATCH(COLUMNS($AB$1006:AF1006),$AB$1006:$AQ$1006,0))&gt;=100000), " ",IF(INDEX($AB$2:$AQ$1001,MATCH(ROWS($U$2:U634),$U$2:$U$1001,0),MATCH(COLUMNS($AB$1006:AF1006),$AB$1006:$AQ$1006,0)), HYPERLINK("#",""), HYPERLINK(CONCATENATE("#Metadata!", ADDRESS(INDEX($W$2:$W$1001,MATCH(ROWS($U$2:U634),$U$2:$U$1001,0),0), INDEX($AB$1004:$AQ$1004,1,MATCH(COLUMNS($AB$1006:AF1006),$AB$1006:$AQ$1006,0)))),"Fix")))</f>
        <v>0</v>
      </c>
      <c r="G634" s="5">
        <f>IF(OR(INDEX($V$2:$V$1001,MATCH(ROWS($U$2:U634),$U$2:$U$1001,0),1)&gt;=100000,INDEX($AB$1005:$AQ$1005,1,MATCH(COLUMNS($AB$1006:AG1006),$AB$1006:$AQ$1006,0))&gt;=100000), " ",IF(INDEX($AB$2:$AQ$1001,MATCH(ROWS($U$2:U634),$U$2:$U$1001,0),MATCH(COLUMNS($AB$1006:AG1006),$AB$1006:$AQ$1006,0)), HYPERLINK("#",""), HYPERLINK(CONCATENATE("#Metadata!", ADDRESS(INDEX($W$2:$W$1001,MATCH(ROWS($U$2:U634),$U$2:$U$1001,0),0), INDEX($AB$1004:$AQ$1004,1,MATCH(COLUMNS($AB$1006:AG1006),$AB$1006:$AQ$1006,0)))),"Fix")))</f>
        <v>0</v>
      </c>
      <c r="H634" s="5">
        <f>IF(OR(INDEX($V$2:$V$1001,MATCH(ROWS($U$2:U634),$U$2:$U$1001,0),1)&gt;=100000,INDEX($AB$1005:$AQ$1005,1,MATCH(COLUMNS($AB$1006:AH1006),$AB$1006:$AQ$1006,0))&gt;=100000), " ",IF(INDEX($AB$2:$AQ$1001,MATCH(ROWS($U$2:U634),$U$2:$U$1001,0),MATCH(COLUMNS($AB$1006:AH1006),$AB$1006:$AQ$1006,0)), HYPERLINK("#",""), HYPERLINK(CONCATENATE("#Metadata!", ADDRESS(INDEX($W$2:$W$1001,MATCH(ROWS($U$2:U634),$U$2:$U$1001,0),0), INDEX($AB$1004:$AQ$1004,1,MATCH(COLUMNS($AB$1006:AH1006),$AB$1006:$AQ$1006,0)))),"Fix")))</f>
        <v>0</v>
      </c>
      <c r="I634" s="5">
        <f>IF(OR(INDEX($V$2:$V$1001,MATCH(ROWS($U$2:U634),$U$2:$U$1001,0),1)&gt;=100000,INDEX($AB$1005:$AQ$1005,1,MATCH(COLUMNS($AB$1006:AI1006),$AB$1006:$AQ$1006,0))&gt;=100000), " ",IF(INDEX($AB$2:$AQ$1001,MATCH(ROWS($U$2:U634),$U$2:$U$1001,0),MATCH(COLUMNS($AB$1006:AI1006),$AB$1006:$AQ$1006,0)), HYPERLINK("#",""), HYPERLINK(CONCATENATE("#Metadata!", ADDRESS(INDEX($W$2:$W$1001,MATCH(ROWS($U$2:U634),$U$2:$U$1001,0),0), INDEX($AB$1004:$AQ$1004,1,MATCH(COLUMNS($AB$1006:AI1006),$AB$1006:$AQ$1006,0)))),"Fix")))</f>
        <v>0</v>
      </c>
      <c r="J634" s="5">
        <f>IF(OR(INDEX($V$2:$V$1001,MATCH(ROWS($U$2:U634),$U$2:$U$1001,0),1)&gt;=100000,INDEX($AB$1005:$AQ$1005,1,MATCH(COLUMNS($AB$1006:AJ1006),$AB$1006:$AQ$1006,0))&gt;=100000), " ",IF(INDEX($AB$2:$AQ$1001,MATCH(ROWS($U$2:U634),$U$2:$U$1001,0),MATCH(COLUMNS($AB$1006:AJ1006),$AB$1006:$AQ$1006,0)), HYPERLINK("#",""), HYPERLINK(CONCATENATE("#Metadata!", ADDRESS(INDEX($W$2:$W$1001,MATCH(ROWS($U$2:U634),$U$2:$U$1001,0),0), INDEX($AB$1004:$AQ$1004,1,MATCH(COLUMNS($AB$1006:AJ1006),$AB$1006:$AQ$1006,0)))),"Fix")))</f>
        <v>0</v>
      </c>
      <c r="K634" s="5">
        <f>IF(OR(INDEX($V$2:$V$1001,MATCH(ROWS($U$2:U634),$U$2:$U$1001,0),1)&gt;=100000,INDEX($AB$1005:$AQ$1005,1,MATCH(COLUMNS($AB$1006:AK1006),$AB$1006:$AQ$1006,0))&gt;=100000), " ",IF(INDEX($AB$2:$AQ$1001,MATCH(ROWS($U$2:U634),$U$2:$U$1001,0),MATCH(COLUMNS($AB$1006:AK1006),$AB$1006:$AQ$1006,0)), HYPERLINK("#",""), HYPERLINK(CONCATENATE("#Metadata!", ADDRESS(INDEX($W$2:$W$1001,MATCH(ROWS($U$2:U634),$U$2:$U$1001,0),0), INDEX($AB$1004:$AQ$1004,1,MATCH(COLUMNS($AB$1006:AK1006),$AB$1006:$AQ$1006,0)))),"Fix")))</f>
        <v>0</v>
      </c>
      <c r="L634" s="5">
        <f>IF(OR(INDEX($V$2:$V$1001,MATCH(ROWS($U$2:U634),$U$2:$U$1001,0),1)&gt;=100000,INDEX($AB$1005:$AQ$1005,1,MATCH(COLUMNS($AB$1006:AL1006),$AB$1006:$AQ$1006,0))&gt;=100000), " ",IF(INDEX($AB$2:$AQ$1001,MATCH(ROWS($U$2:U634),$U$2:$U$1001,0),MATCH(COLUMNS($AB$1006:AL1006),$AB$1006:$AQ$1006,0)), HYPERLINK("#",""), HYPERLINK(CONCATENATE("#Metadata!", ADDRESS(INDEX($W$2:$W$1001,MATCH(ROWS($U$2:U634),$U$2:$U$1001,0),0), INDEX($AB$1004:$AQ$1004,1,MATCH(COLUMNS($AB$1006:AL1006),$AB$1006:$AQ$1006,0)))),"Fix")))</f>
        <v>0</v>
      </c>
      <c r="M634" s="5">
        <f>IF(OR(INDEX($V$2:$V$1001,MATCH(ROWS($U$2:U634),$U$2:$U$1001,0),1)&gt;=100000,INDEX($AB$1005:$AQ$1005,1,MATCH(COLUMNS($AB$1006:AM1006),$AB$1006:$AQ$1006,0))&gt;=100000), " ",IF(INDEX($AB$2:$AQ$1001,MATCH(ROWS($U$2:U634),$U$2:$U$1001,0),MATCH(COLUMNS($AB$1006:AM1006),$AB$1006:$AQ$1006,0)), HYPERLINK("#",""), HYPERLINK(CONCATENATE("#Metadata!", ADDRESS(INDEX($W$2:$W$1001,MATCH(ROWS($U$2:U634),$U$2:$U$1001,0),0), INDEX($AB$1004:$AQ$1004,1,MATCH(COLUMNS($AB$1006:AM1006),$AB$1006:$AQ$1006,0)))),"Fix")))</f>
        <v>0</v>
      </c>
      <c r="N634" s="5">
        <f>IF(OR(INDEX($V$2:$V$1001,MATCH(ROWS($U$2:U634),$U$2:$U$1001,0),1)&gt;=100000,INDEX($AB$1005:$AQ$1005,1,MATCH(COLUMNS($AB$1006:AN1006),$AB$1006:$AQ$1006,0))&gt;=100000), " ",IF(INDEX($AB$2:$AQ$1001,MATCH(ROWS($U$2:U634),$U$2:$U$1001,0),MATCH(COLUMNS($AB$1006:AN1006),$AB$1006:$AQ$1006,0)), HYPERLINK("#",""), HYPERLINK(CONCATENATE("#Metadata!", ADDRESS(INDEX($W$2:$W$1001,MATCH(ROWS($U$2:U634),$U$2:$U$1001,0),0), INDEX($AB$1004:$AQ$1004,1,MATCH(COLUMNS($AB$1006:AN1006),$AB$1006:$AQ$1006,0)))),"Fix")))</f>
        <v>0</v>
      </c>
      <c r="O634" s="5">
        <f>IF(OR(INDEX($V$2:$V$1001,MATCH(ROWS($U$2:U634),$U$2:$U$1001,0),1)&gt;=100000,INDEX($AB$1005:$AQ$1005,1,MATCH(COLUMNS($AB$1006:AO1006),$AB$1006:$AQ$1006,0))&gt;=100000), " ",IF(INDEX($AB$2:$AQ$1001,MATCH(ROWS($U$2:U634),$U$2:$U$1001,0),MATCH(COLUMNS($AB$1006:AO1006),$AB$1006:$AQ$1006,0)), HYPERLINK("#",""), HYPERLINK(CONCATENATE("#Metadata!", ADDRESS(INDEX($W$2:$W$1001,MATCH(ROWS($U$2:U634),$U$2:$U$1001,0),0), INDEX($AB$1004:$AQ$1004,1,MATCH(COLUMNS($AB$1006:AO1006),$AB$1006:$AQ$1006,0)))),"Fix")))</f>
        <v>0</v>
      </c>
      <c r="P634" s="5">
        <f>IF(OR(INDEX($V$2:$V$1001,MATCH(ROWS($U$2:U634),$U$2:$U$1001,0),1)&gt;=100000,INDEX($AB$1005:$AQ$1005,1,MATCH(COLUMNS($AB$1006:AP1006),$AB$1006:$AQ$1006,0))&gt;=100000), " ",IF(INDEX($AB$2:$AQ$1001,MATCH(ROWS($U$2:U634),$U$2:$U$1001,0),MATCH(COLUMNS($AB$1006:AP1006),$AB$1006:$AQ$1006,0)), HYPERLINK("#",""), HYPERLINK(CONCATENATE("#Metadata!", ADDRESS(INDEX($W$2:$W$1001,MATCH(ROWS($U$2:U634),$U$2:$U$1001,0),0), INDEX($AB$1004:$AQ$1004,1,MATCH(COLUMNS($AB$1006:AP1006),$AB$1006:$AQ$1006,0)))),"Fix")))</f>
        <v>0</v>
      </c>
      <c r="Q634" s="5">
        <f>IF(OR(INDEX($V$2:$V$1001,MATCH(ROWS($U$2:U634),$U$2:$U$1001,0),1)&gt;=100000,INDEX($AB$1005:$AQ$1005,1,MATCH(COLUMNS($AB$1006:AQ1006),$AB$1006:$AQ$1006,0))&gt;=100000), " ",IF(INDEX($AB$2:$AQ$1001,MATCH(ROWS($U$2:U634),$U$2:$U$1001,0),MATCH(COLUMNS($AB$1006:AQ1006),$AB$1006:$AQ$1006,0)), HYPERLINK("#",""), HYPERLINK(CONCATENATE("#Metadata!", ADDRESS(INDEX($W$2:$W$1001,MATCH(ROWS($U$2:U634),$U$2:$U$1001,0),0), INDEX($AB$1004:$AQ$1004,1,MATCH(COLUMNS($AB$1006:AQ1006),$AB$1006:$AQ$1006,0)))),"Fix")))</f>
        <v>0</v>
      </c>
      <c r="U634">
        <v>0</v>
      </c>
      <c r="V634">
        <v>0</v>
      </c>
      <c r="W634">
        <v>0</v>
      </c>
      <c r="X634">
        <f>IF(Y634,TRUE,AND(AB634:AQ634))</f>
        <v>0</v>
      </c>
      <c r="Y634">
        <f>COUNTBLANK(Metadata!B634:Q634)=COLUMNS(Metadata!B634:Q634)</f>
        <v>0</v>
      </c>
      <c r="Z634">
        <v>0</v>
      </c>
      <c r="AB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AC634">
        <f>AND(IF(Metadata!C634="",FALSE,TRUE),exact(Metadata!C634,"urban biome"))</f>
        <v>0</v>
      </c>
      <c r="AD634">
        <f>AND(IF(Metadata!D634="",FALSE,TRUE),exact(Metadata!D634,"human-associated habitat"))</f>
        <v>0</v>
      </c>
      <c r="AE634">
        <f>AND(IF(Metadata!E634="",FALSE,TRUE),OR(exact(Metadata!E634,"human-associated"),exact(Metadata!E634,"human-skin"),exact(Metadata!E634,"human-oral"),exact(Metadata!E634,"human-gut"),exact(Metadata!E634,"human-vaginal")))</f>
        <v>0</v>
      </c>
      <c r="AF634">
        <f>AND(IF(Metadata!F634="",FALSE,ISNUMBER(VALUE(Metadata!F634))),Metadata!F634&gt;0)</f>
        <v>0</v>
      </c>
      <c r="AG634">
        <f>AND(IF(Metadata!G634="",FALSE,TRUE),exact(Metadata!G634,"years"))</f>
        <v>0</v>
      </c>
      <c r="AH634">
        <f>OR(AND(IF(Metadata!H634="",FALSE,TRUE),OR(exact(Metadata!H634,"not applicable"),exact(Metadata!H634,"not collected"),exact(Metadata!H634,"not provided"),exact(Metadata!H634,"restricted access"))),AND(IF(Metadata!H634="",FALSE,ISNUMBER(VALUE(Metadata!H634))),Metadata!H634&gt;0))</f>
        <v>0</v>
      </c>
      <c r="AI634">
        <f>AND(IF(Metadata!I634="",FALSE,TRUE),exact(Metadata!I634,"human"))</f>
        <v>0</v>
      </c>
      <c r="AJ634">
        <f>AND(IF(Metadata!J634="",FALSE,ISNUMBER(VALUE(Metadata!J634))),Metadata!J634&gt;0)</f>
        <v>0</v>
      </c>
      <c r="AK634">
        <f>AND(IF(Metadata!K634="",FALSE,TRUE),exact(Metadata!K634,"cm"))</f>
        <v>0</v>
      </c>
      <c r="AL634">
        <f>AND(IF(Metadata!L634="",FALSE,TRUE),exact(Metadata!L634,"Homo sapiens"))</f>
        <v>0</v>
      </c>
      <c r="AM634">
        <f>AND(IF(Metadata!M634="",FALSE,TRUE),exact(Metadata!M634,"9606"))</f>
        <v>0</v>
      </c>
      <c r="AN634">
        <f>AND(IF(Metadata!N634="",FALSE,ISNUMBER(VALUE(Metadata!N634))),Metadata!N634&gt;0)</f>
        <v>0</v>
      </c>
      <c r="AO634">
        <f>AND(IF(Metadata!O634="",FALSE,TRUE),exact(Metadata!O634,"kg"))</f>
        <v>0</v>
      </c>
      <c r="AP634">
        <f>OR(AND(IF(Metadata!P634="",FALSE,TRUE),exact(Metadata!P634,"not provided")),IF(Metadata!P634="",FALSE,TRUE))</f>
        <v>0</v>
      </c>
      <c r="AQ634">
        <f>OR(AND(IF(Metadata!Q634="",FALSE,TRUE),exact(Metadata!Q634,"not provided")),IF(Metadata!Q634="",FALSE,TRUE))</f>
        <v>0</v>
      </c>
    </row>
    <row r="635" spans="1:43">
      <c r="A635" s="4">
        <f>IF(B635=" "," ",HYPERLINK(CONCATENATE("#metadata!",ADDRESS(INDEX($W$2:$W$1001,MATCH(ROWS($U$2:U635),$U$2:$U$1001,0),0),2)),INDEX($Z$2:$Z$1001,MATCH(ROWS($U$2:U635),$U$2:$U$1001,0),0)))</f>
        <v>0</v>
      </c>
      <c r="B635" s="5">
        <f>IF(OR(INDEX($V$2:$V$1001,MATCH(ROWS($U$2:U635),$U$2:$U$1001,0),1)&gt;=100000,INDEX($AB$1005:$AQ$1005,1,MATCH(COLUMNS($AB$1006:AB1006),$AB$1006:$AQ$1006,0))&gt;=100000), " ",IF(INDEX($AB$2:$AQ$1001,MATCH(ROWS($U$2:U635),$U$2:$U$1001,0),MATCH(COLUMNS($AB$1006:AB1006),$AB$1006:$AQ$1006,0)), HYPERLINK("#",""), HYPERLINK(CONCATENATE("#Metadata!", ADDRESS(INDEX($W$2:$W$1001,MATCH(ROWS($U$2:U635),$U$2:$U$1001,0),0), INDEX($AB$1004:$AQ$1004,1,MATCH(COLUMNS($AB$1006:AB1006),$AB$1006:$AQ$1006,0)))),"Fix")))</f>
        <v>0</v>
      </c>
      <c r="C635" s="5">
        <f>IF(OR(INDEX($V$2:$V$1001,MATCH(ROWS($U$2:U635),$U$2:$U$1001,0),1)&gt;=100000,INDEX($AB$1005:$AQ$1005,1,MATCH(COLUMNS($AB$1006:AC1006),$AB$1006:$AQ$1006,0))&gt;=100000), " ",IF(INDEX($AB$2:$AQ$1001,MATCH(ROWS($U$2:U635),$U$2:$U$1001,0),MATCH(COLUMNS($AB$1006:AC1006),$AB$1006:$AQ$1006,0)), HYPERLINK("#",""), HYPERLINK(CONCATENATE("#Metadata!", ADDRESS(INDEX($W$2:$W$1001,MATCH(ROWS($U$2:U635),$U$2:$U$1001,0),0), INDEX($AB$1004:$AQ$1004,1,MATCH(COLUMNS($AB$1006:AC1006),$AB$1006:$AQ$1006,0)))),"Fix")))</f>
        <v>0</v>
      </c>
      <c r="D635" s="5">
        <f>IF(OR(INDEX($V$2:$V$1001,MATCH(ROWS($U$2:U635),$U$2:$U$1001,0),1)&gt;=100000,INDEX($AB$1005:$AQ$1005,1,MATCH(COLUMNS($AB$1006:AD1006),$AB$1006:$AQ$1006,0))&gt;=100000), " ",IF(INDEX($AB$2:$AQ$1001,MATCH(ROWS($U$2:U635),$U$2:$U$1001,0),MATCH(COLUMNS($AB$1006:AD1006),$AB$1006:$AQ$1006,0)), HYPERLINK("#",""), HYPERLINK(CONCATENATE("#Metadata!", ADDRESS(INDEX($W$2:$W$1001,MATCH(ROWS($U$2:U635),$U$2:$U$1001,0),0), INDEX($AB$1004:$AQ$1004,1,MATCH(COLUMNS($AB$1006:AD1006),$AB$1006:$AQ$1006,0)))),"Fix")))</f>
        <v>0</v>
      </c>
      <c r="E635" s="5">
        <f>IF(OR(INDEX($V$2:$V$1001,MATCH(ROWS($U$2:U635),$U$2:$U$1001,0),1)&gt;=100000,INDEX($AB$1005:$AQ$1005,1,MATCH(COLUMNS($AB$1006:AE1006),$AB$1006:$AQ$1006,0))&gt;=100000), " ",IF(INDEX($AB$2:$AQ$1001,MATCH(ROWS($U$2:U635),$U$2:$U$1001,0),MATCH(COLUMNS($AB$1006:AE1006),$AB$1006:$AQ$1006,0)), HYPERLINK("#",""), HYPERLINK(CONCATENATE("#Metadata!", ADDRESS(INDEX($W$2:$W$1001,MATCH(ROWS($U$2:U635),$U$2:$U$1001,0),0), INDEX($AB$1004:$AQ$1004,1,MATCH(COLUMNS($AB$1006:AE1006),$AB$1006:$AQ$1006,0)))),"Fix")))</f>
        <v>0</v>
      </c>
      <c r="F635" s="5">
        <f>IF(OR(INDEX($V$2:$V$1001,MATCH(ROWS($U$2:U635),$U$2:$U$1001,0),1)&gt;=100000,INDEX($AB$1005:$AQ$1005,1,MATCH(COLUMNS($AB$1006:AF1006),$AB$1006:$AQ$1006,0))&gt;=100000), " ",IF(INDEX($AB$2:$AQ$1001,MATCH(ROWS($U$2:U635),$U$2:$U$1001,0),MATCH(COLUMNS($AB$1006:AF1006),$AB$1006:$AQ$1006,0)), HYPERLINK("#",""), HYPERLINK(CONCATENATE("#Metadata!", ADDRESS(INDEX($W$2:$W$1001,MATCH(ROWS($U$2:U635),$U$2:$U$1001,0),0), INDEX($AB$1004:$AQ$1004,1,MATCH(COLUMNS($AB$1006:AF1006),$AB$1006:$AQ$1006,0)))),"Fix")))</f>
        <v>0</v>
      </c>
      <c r="G635" s="5">
        <f>IF(OR(INDEX($V$2:$V$1001,MATCH(ROWS($U$2:U635),$U$2:$U$1001,0),1)&gt;=100000,INDEX($AB$1005:$AQ$1005,1,MATCH(COLUMNS($AB$1006:AG1006),$AB$1006:$AQ$1006,0))&gt;=100000), " ",IF(INDEX($AB$2:$AQ$1001,MATCH(ROWS($U$2:U635),$U$2:$U$1001,0),MATCH(COLUMNS($AB$1006:AG1006),$AB$1006:$AQ$1006,0)), HYPERLINK("#",""), HYPERLINK(CONCATENATE("#Metadata!", ADDRESS(INDEX($W$2:$W$1001,MATCH(ROWS($U$2:U635),$U$2:$U$1001,0),0), INDEX($AB$1004:$AQ$1004,1,MATCH(COLUMNS($AB$1006:AG1006),$AB$1006:$AQ$1006,0)))),"Fix")))</f>
        <v>0</v>
      </c>
      <c r="H635" s="5">
        <f>IF(OR(INDEX($V$2:$V$1001,MATCH(ROWS($U$2:U635),$U$2:$U$1001,0),1)&gt;=100000,INDEX($AB$1005:$AQ$1005,1,MATCH(COLUMNS($AB$1006:AH1006),$AB$1006:$AQ$1006,0))&gt;=100000), " ",IF(INDEX($AB$2:$AQ$1001,MATCH(ROWS($U$2:U635),$U$2:$U$1001,0),MATCH(COLUMNS($AB$1006:AH1006),$AB$1006:$AQ$1006,0)), HYPERLINK("#",""), HYPERLINK(CONCATENATE("#Metadata!", ADDRESS(INDEX($W$2:$W$1001,MATCH(ROWS($U$2:U635),$U$2:$U$1001,0),0), INDEX($AB$1004:$AQ$1004,1,MATCH(COLUMNS($AB$1006:AH1006),$AB$1006:$AQ$1006,0)))),"Fix")))</f>
        <v>0</v>
      </c>
      <c r="I635" s="5">
        <f>IF(OR(INDEX($V$2:$V$1001,MATCH(ROWS($U$2:U635),$U$2:$U$1001,0),1)&gt;=100000,INDEX($AB$1005:$AQ$1005,1,MATCH(COLUMNS($AB$1006:AI1006),$AB$1006:$AQ$1006,0))&gt;=100000), " ",IF(INDEX($AB$2:$AQ$1001,MATCH(ROWS($U$2:U635),$U$2:$U$1001,0),MATCH(COLUMNS($AB$1006:AI1006),$AB$1006:$AQ$1006,0)), HYPERLINK("#",""), HYPERLINK(CONCATENATE("#Metadata!", ADDRESS(INDEX($W$2:$W$1001,MATCH(ROWS($U$2:U635),$U$2:$U$1001,0),0), INDEX($AB$1004:$AQ$1004,1,MATCH(COLUMNS($AB$1006:AI1006),$AB$1006:$AQ$1006,0)))),"Fix")))</f>
        <v>0</v>
      </c>
      <c r="J635" s="5">
        <f>IF(OR(INDEX($V$2:$V$1001,MATCH(ROWS($U$2:U635),$U$2:$U$1001,0),1)&gt;=100000,INDEX($AB$1005:$AQ$1005,1,MATCH(COLUMNS($AB$1006:AJ1006),$AB$1006:$AQ$1006,0))&gt;=100000), " ",IF(INDEX($AB$2:$AQ$1001,MATCH(ROWS($U$2:U635),$U$2:$U$1001,0),MATCH(COLUMNS($AB$1006:AJ1006),$AB$1006:$AQ$1006,0)), HYPERLINK("#",""), HYPERLINK(CONCATENATE("#Metadata!", ADDRESS(INDEX($W$2:$W$1001,MATCH(ROWS($U$2:U635),$U$2:$U$1001,0),0), INDEX($AB$1004:$AQ$1004,1,MATCH(COLUMNS($AB$1006:AJ1006),$AB$1006:$AQ$1006,0)))),"Fix")))</f>
        <v>0</v>
      </c>
      <c r="K635" s="5">
        <f>IF(OR(INDEX($V$2:$V$1001,MATCH(ROWS($U$2:U635),$U$2:$U$1001,0),1)&gt;=100000,INDEX($AB$1005:$AQ$1005,1,MATCH(COLUMNS($AB$1006:AK1006),$AB$1006:$AQ$1006,0))&gt;=100000), " ",IF(INDEX($AB$2:$AQ$1001,MATCH(ROWS($U$2:U635),$U$2:$U$1001,0),MATCH(COLUMNS($AB$1006:AK1006),$AB$1006:$AQ$1006,0)), HYPERLINK("#",""), HYPERLINK(CONCATENATE("#Metadata!", ADDRESS(INDEX($W$2:$W$1001,MATCH(ROWS($U$2:U635),$U$2:$U$1001,0),0), INDEX($AB$1004:$AQ$1004,1,MATCH(COLUMNS($AB$1006:AK1006),$AB$1006:$AQ$1006,0)))),"Fix")))</f>
        <v>0</v>
      </c>
      <c r="L635" s="5">
        <f>IF(OR(INDEX($V$2:$V$1001,MATCH(ROWS($U$2:U635),$U$2:$U$1001,0),1)&gt;=100000,INDEX($AB$1005:$AQ$1005,1,MATCH(COLUMNS($AB$1006:AL1006),$AB$1006:$AQ$1006,0))&gt;=100000), " ",IF(INDEX($AB$2:$AQ$1001,MATCH(ROWS($U$2:U635),$U$2:$U$1001,0),MATCH(COLUMNS($AB$1006:AL1006),$AB$1006:$AQ$1006,0)), HYPERLINK("#",""), HYPERLINK(CONCATENATE("#Metadata!", ADDRESS(INDEX($W$2:$W$1001,MATCH(ROWS($U$2:U635),$U$2:$U$1001,0),0), INDEX($AB$1004:$AQ$1004,1,MATCH(COLUMNS($AB$1006:AL1006),$AB$1006:$AQ$1006,0)))),"Fix")))</f>
        <v>0</v>
      </c>
      <c r="M635" s="5">
        <f>IF(OR(INDEX($V$2:$V$1001,MATCH(ROWS($U$2:U635),$U$2:$U$1001,0),1)&gt;=100000,INDEX($AB$1005:$AQ$1005,1,MATCH(COLUMNS($AB$1006:AM1006),$AB$1006:$AQ$1006,0))&gt;=100000), " ",IF(INDEX($AB$2:$AQ$1001,MATCH(ROWS($U$2:U635),$U$2:$U$1001,0),MATCH(COLUMNS($AB$1006:AM1006),$AB$1006:$AQ$1006,0)), HYPERLINK("#",""), HYPERLINK(CONCATENATE("#Metadata!", ADDRESS(INDEX($W$2:$W$1001,MATCH(ROWS($U$2:U635),$U$2:$U$1001,0),0), INDEX($AB$1004:$AQ$1004,1,MATCH(COLUMNS($AB$1006:AM1006),$AB$1006:$AQ$1006,0)))),"Fix")))</f>
        <v>0</v>
      </c>
      <c r="N635" s="5">
        <f>IF(OR(INDEX($V$2:$V$1001,MATCH(ROWS($U$2:U635),$U$2:$U$1001,0),1)&gt;=100000,INDEX($AB$1005:$AQ$1005,1,MATCH(COLUMNS($AB$1006:AN1006),$AB$1006:$AQ$1006,0))&gt;=100000), " ",IF(INDEX($AB$2:$AQ$1001,MATCH(ROWS($U$2:U635),$U$2:$U$1001,0),MATCH(COLUMNS($AB$1006:AN1006),$AB$1006:$AQ$1006,0)), HYPERLINK("#",""), HYPERLINK(CONCATENATE("#Metadata!", ADDRESS(INDEX($W$2:$W$1001,MATCH(ROWS($U$2:U635),$U$2:$U$1001,0),0), INDEX($AB$1004:$AQ$1004,1,MATCH(COLUMNS($AB$1006:AN1006),$AB$1006:$AQ$1006,0)))),"Fix")))</f>
        <v>0</v>
      </c>
      <c r="O635" s="5">
        <f>IF(OR(INDEX($V$2:$V$1001,MATCH(ROWS($U$2:U635),$U$2:$U$1001,0),1)&gt;=100000,INDEX($AB$1005:$AQ$1005,1,MATCH(COLUMNS($AB$1006:AO1006),$AB$1006:$AQ$1006,0))&gt;=100000), " ",IF(INDEX($AB$2:$AQ$1001,MATCH(ROWS($U$2:U635),$U$2:$U$1001,0),MATCH(COLUMNS($AB$1006:AO1006),$AB$1006:$AQ$1006,0)), HYPERLINK("#",""), HYPERLINK(CONCATENATE("#Metadata!", ADDRESS(INDEX($W$2:$W$1001,MATCH(ROWS($U$2:U635),$U$2:$U$1001,0),0), INDEX($AB$1004:$AQ$1004,1,MATCH(COLUMNS($AB$1006:AO1006),$AB$1006:$AQ$1006,0)))),"Fix")))</f>
        <v>0</v>
      </c>
      <c r="P635" s="5">
        <f>IF(OR(INDEX($V$2:$V$1001,MATCH(ROWS($U$2:U635),$U$2:$U$1001,0),1)&gt;=100000,INDEX($AB$1005:$AQ$1005,1,MATCH(COLUMNS($AB$1006:AP1006),$AB$1006:$AQ$1006,0))&gt;=100000), " ",IF(INDEX($AB$2:$AQ$1001,MATCH(ROWS($U$2:U635),$U$2:$U$1001,0),MATCH(COLUMNS($AB$1006:AP1006),$AB$1006:$AQ$1006,0)), HYPERLINK("#",""), HYPERLINK(CONCATENATE("#Metadata!", ADDRESS(INDEX($W$2:$W$1001,MATCH(ROWS($U$2:U635),$U$2:$U$1001,0),0), INDEX($AB$1004:$AQ$1004,1,MATCH(COLUMNS($AB$1006:AP1006),$AB$1006:$AQ$1006,0)))),"Fix")))</f>
        <v>0</v>
      </c>
      <c r="Q635" s="5">
        <f>IF(OR(INDEX($V$2:$V$1001,MATCH(ROWS($U$2:U635),$U$2:$U$1001,0),1)&gt;=100000,INDEX($AB$1005:$AQ$1005,1,MATCH(COLUMNS($AB$1006:AQ1006),$AB$1006:$AQ$1006,0))&gt;=100000), " ",IF(INDEX($AB$2:$AQ$1001,MATCH(ROWS($U$2:U635),$U$2:$U$1001,0),MATCH(COLUMNS($AB$1006:AQ1006),$AB$1006:$AQ$1006,0)), HYPERLINK("#",""), HYPERLINK(CONCATENATE("#Metadata!", ADDRESS(INDEX($W$2:$W$1001,MATCH(ROWS($U$2:U635),$U$2:$U$1001,0),0), INDEX($AB$1004:$AQ$1004,1,MATCH(COLUMNS($AB$1006:AQ1006),$AB$1006:$AQ$1006,0)))),"Fix")))</f>
        <v>0</v>
      </c>
      <c r="U635">
        <v>0</v>
      </c>
      <c r="V635">
        <v>0</v>
      </c>
      <c r="W635">
        <v>0</v>
      </c>
      <c r="X635">
        <f>IF(Y635,TRUE,AND(AB635:AQ635))</f>
        <v>0</v>
      </c>
      <c r="Y635">
        <f>COUNTBLANK(Metadata!B635:Q635)=COLUMNS(Metadata!B635:Q635)</f>
        <v>0</v>
      </c>
      <c r="Z635">
        <v>0</v>
      </c>
      <c r="AB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AC635">
        <f>AND(IF(Metadata!C635="",FALSE,TRUE),exact(Metadata!C635,"urban biome"))</f>
        <v>0</v>
      </c>
      <c r="AD635">
        <f>AND(IF(Metadata!D635="",FALSE,TRUE),exact(Metadata!D635,"human-associated habitat"))</f>
        <v>0</v>
      </c>
      <c r="AE635">
        <f>AND(IF(Metadata!E635="",FALSE,TRUE),OR(exact(Metadata!E635,"human-associated"),exact(Metadata!E635,"human-skin"),exact(Metadata!E635,"human-oral"),exact(Metadata!E635,"human-gut"),exact(Metadata!E635,"human-vaginal")))</f>
        <v>0</v>
      </c>
      <c r="AF635">
        <f>AND(IF(Metadata!F635="",FALSE,ISNUMBER(VALUE(Metadata!F635))),Metadata!F635&gt;0)</f>
        <v>0</v>
      </c>
      <c r="AG635">
        <f>AND(IF(Metadata!G635="",FALSE,TRUE),exact(Metadata!G635,"years"))</f>
        <v>0</v>
      </c>
      <c r="AH635">
        <f>OR(AND(IF(Metadata!H635="",FALSE,TRUE),OR(exact(Metadata!H635,"not applicable"),exact(Metadata!H635,"not collected"),exact(Metadata!H635,"not provided"),exact(Metadata!H635,"restricted access"))),AND(IF(Metadata!H635="",FALSE,ISNUMBER(VALUE(Metadata!H635))),Metadata!H635&gt;0))</f>
        <v>0</v>
      </c>
      <c r="AI635">
        <f>AND(IF(Metadata!I635="",FALSE,TRUE),exact(Metadata!I635,"human"))</f>
        <v>0</v>
      </c>
      <c r="AJ635">
        <f>AND(IF(Metadata!J635="",FALSE,ISNUMBER(VALUE(Metadata!J635))),Metadata!J635&gt;0)</f>
        <v>0</v>
      </c>
      <c r="AK635">
        <f>AND(IF(Metadata!K635="",FALSE,TRUE),exact(Metadata!K635,"cm"))</f>
        <v>0</v>
      </c>
      <c r="AL635">
        <f>AND(IF(Metadata!L635="",FALSE,TRUE),exact(Metadata!L635,"Homo sapiens"))</f>
        <v>0</v>
      </c>
      <c r="AM635">
        <f>AND(IF(Metadata!M635="",FALSE,TRUE),exact(Metadata!M635,"9606"))</f>
        <v>0</v>
      </c>
      <c r="AN635">
        <f>AND(IF(Metadata!N635="",FALSE,ISNUMBER(VALUE(Metadata!N635))),Metadata!N635&gt;0)</f>
        <v>0</v>
      </c>
      <c r="AO635">
        <f>AND(IF(Metadata!O635="",FALSE,TRUE),exact(Metadata!O635,"kg"))</f>
        <v>0</v>
      </c>
      <c r="AP635">
        <f>OR(AND(IF(Metadata!P635="",FALSE,TRUE),exact(Metadata!P635,"not provided")),IF(Metadata!P635="",FALSE,TRUE))</f>
        <v>0</v>
      </c>
      <c r="AQ635">
        <f>OR(AND(IF(Metadata!Q635="",FALSE,TRUE),exact(Metadata!Q635,"not provided")),IF(Metadata!Q635="",FALSE,TRUE))</f>
        <v>0</v>
      </c>
    </row>
    <row r="636" spans="1:43">
      <c r="A636" s="4">
        <f>IF(B636=" "," ",HYPERLINK(CONCATENATE("#metadata!",ADDRESS(INDEX($W$2:$W$1001,MATCH(ROWS($U$2:U636),$U$2:$U$1001,0),0),2)),INDEX($Z$2:$Z$1001,MATCH(ROWS($U$2:U636),$U$2:$U$1001,0),0)))</f>
        <v>0</v>
      </c>
      <c r="B636" s="5">
        <f>IF(OR(INDEX($V$2:$V$1001,MATCH(ROWS($U$2:U636),$U$2:$U$1001,0),1)&gt;=100000,INDEX($AB$1005:$AQ$1005,1,MATCH(COLUMNS($AB$1006:AB1006),$AB$1006:$AQ$1006,0))&gt;=100000), " ",IF(INDEX($AB$2:$AQ$1001,MATCH(ROWS($U$2:U636),$U$2:$U$1001,0),MATCH(COLUMNS($AB$1006:AB1006),$AB$1006:$AQ$1006,0)), HYPERLINK("#",""), HYPERLINK(CONCATENATE("#Metadata!", ADDRESS(INDEX($W$2:$W$1001,MATCH(ROWS($U$2:U636),$U$2:$U$1001,0),0), INDEX($AB$1004:$AQ$1004,1,MATCH(COLUMNS($AB$1006:AB1006),$AB$1006:$AQ$1006,0)))),"Fix")))</f>
        <v>0</v>
      </c>
      <c r="C636" s="5">
        <f>IF(OR(INDEX($V$2:$V$1001,MATCH(ROWS($U$2:U636),$U$2:$U$1001,0),1)&gt;=100000,INDEX($AB$1005:$AQ$1005,1,MATCH(COLUMNS($AB$1006:AC1006),$AB$1006:$AQ$1006,0))&gt;=100000), " ",IF(INDEX($AB$2:$AQ$1001,MATCH(ROWS($U$2:U636),$U$2:$U$1001,0),MATCH(COLUMNS($AB$1006:AC1006),$AB$1006:$AQ$1006,0)), HYPERLINK("#",""), HYPERLINK(CONCATENATE("#Metadata!", ADDRESS(INDEX($W$2:$W$1001,MATCH(ROWS($U$2:U636),$U$2:$U$1001,0),0), INDEX($AB$1004:$AQ$1004,1,MATCH(COLUMNS($AB$1006:AC1006),$AB$1006:$AQ$1006,0)))),"Fix")))</f>
        <v>0</v>
      </c>
      <c r="D636" s="5">
        <f>IF(OR(INDEX($V$2:$V$1001,MATCH(ROWS($U$2:U636),$U$2:$U$1001,0),1)&gt;=100000,INDEX($AB$1005:$AQ$1005,1,MATCH(COLUMNS($AB$1006:AD1006),$AB$1006:$AQ$1006,0))&gt;=100000), " ",IF(INDEX($AB$2:$AQ$1001,MATCH(ROWS($U$2:U636),$U$2:$U$1001,0),MATCH(COLUMNS($AB$1006:AD1006),$AB$1006:$AQ$1006,0)), HYPERLINK("#",""), HYPERLINK(CONCATENATE("#Metadata!", ADDRESS(INDEX($W$2:$W$1001,MATCH(ROWS($U$2:U636),$U$2:$U$1001,0),0), INDEX($AB$1004:$AQ$1004,1,MATCH(COLUMNS($AB$1006:AD1006),$AB$1006:$AQ$1006,0)))),"Fix")))</f>
        <v>0</v>
      </c>
      <c r="E636" s="5">
        <f>IF(OR(INDEX($V$2:$V$1001,MATCH(ROWS($U$2:U636),$U$2:$U$1001,0),1)&gt;=100000,INDEX($AB$1005:$AQ$1005,1,MATCH(COLUMNS($AB$1006:AE1006),$AB$1006:$AQ$1006,0))&gt;=100000), " ",IF(INDEX($AB$2:$AQ$1001,MATCH(ROWS($U$2:U636),$U$2:$U$1001,0),MATCH(COLUMNS($AB$1006:AE1006),$AB$1006:$AQ$1006,0)), HYPERLINK("#",""), HYPERLINK(CONCATENATE("#Metadata!", ADDRESS(INDEX($W$2:$W$1001,MATCH(ROWS($U$2:U636),$U$2:$U$1001,0),0), INDEX($AB$1004:$AQ$1004,1,MATCH(COLUMNS($AB$1006:AE1006),$AB$1006:$AQ$1006,0)))),"Fix")))</f>
        <v>0</v>
      </c>
      <c r="F636" s="5">
        <f>IF(OR(INDEX($V$2:$V$1001,MATCH(ROWS($U$2:U636),$U$2:$U$1001,0),1)&gt;=100000,INDEX($AB$1005:$AQ$1005,1,MATCH(COLUMNS($AB$1006:AF1006),$AB$1006:$AQ$1006,0))&gt;=100000), " ",IF(INDEX($AB$2:$AQ$1001,MATCH(ROWS($U$2:U636),$U$2:$U$1001,0),MATCH(COLUMNS($AB$1006:AF1006),$AB$1006:$AQ$1006,0)), HYPERLINK("#",""), HYPERLINK(CONCATENATE("#Metadata!", ADDRESS(INDEX($W$2:$W$1001,MATCH(ROWS($U$2:U636),$U$2:$U$1001,0),0), INDEX($AB$1004:$AQ$1004,1,MATCH(COLUMNS($AB$1006:AF1006),$AB$1006:$AQ$1006,0)))),"Fix")))</f>
        <v>0</v>
      </c>
      <c r="G636" s="5">
        <f>IF(OR(INDEX($V$2:$V$1001,MATCH(ROWS($U$2:U636),$U$2:$U$1001,0),1)&gt;=100000,INDEX($AB$1005:$AQ$1005,1,MATCH(COLUMNS($AB$1006:AG1006),$AB$1006:$AQ$1006,0))&gt;=100000), " ",IF(INDEX($AB$2:$AQ$1001,MATCH(ROWS($U$2:U636),$U$2:$U$1001,0),MATCH(COLUMNS($AB$1006:AG1006),$AB$1006:$AQ$1006,0)), HYPERLINK("#",""), HYPERLINK(CONCATENATE("#Metadata!", ADDRESS(INDEX($W$2:$W$1001,MATCH(ROWS($U$2:U636),$U$2:$U$1001,0),0), INDEX($AB$1004:$AQ$1004,1,MATCH(COLUMNS($AB$1006:AG1006),$AB$1006:$AQ$1006,0)))),"Fix")))</f>
        <v>0</v>
      </c>
      <c r="H636" s="5">
        <f>IF(OR(INDEX($V$2:$V$1001,MATCH(ROWS($U$2:U636),$U$2:$U$1001,0),1)&gt;=100000,INDEX($AB$1005:$AQ$1005,1,MATCH(COLUMNS($AB$1006:AH1006),$AB$1006:$AQ$1006,0))&gt;=100000), " ",IF(INDEX($AB$2:$AQ$1001,MATCH(ROWS($U$2:U636),$U$2:$U$1001,0),MATCH(COLUMNS($AB$1006:AH1006),$AB$1006:$AQ$1006,0)), HYPERLINK("#",""), HYPERLINK(CONCATENATE("#Metadata!", ADDRESS(INDEX($W$2:$W$1001,MATCH(ROWS($U$2:U636),$U$2:$U$1001,0),0), INDEX($AB$1004:$AQ$1004,1,MATCH(COLUMNS($AB$1006:AH1006),$AB$1006:$AQ$1006,0)))),"Fix")))</f>
        <v>0</v>
      </c>
      <c r="I636" s="5">
        <f>IF(OR(INDEX($V$2:$V$1001,MATCH(ROWS($U$2:U636),$U$2:$U$1001,0),1)&gt;=100000,INDEX($AB$1005:$AQ$1005,1,MATCH(COLUMNS($AB$1006:AI1006),$AB$1006:$AQ$1006,0))&gt;=100000), " ",IF(INDEX($AB$2:$AQ$1001,MATCH(ROWS($U$2:U636),$U$2:$U$1001,0),MATCH(COLUMNS($AB$1006:AI1006),$AB$1006:$AQ$1006,0)), HYPERLINK("#",""), HYPERLINK(CONCATENATE("#Metadata!", ADDRESS(INDEX($W$2:$W$1001,MATCH(ROWS($U$2:U636),$U$2:$U$1001,0),0), INDEX($AB$1004:$AQ$1004,1,MATCH(COLUMNS($AB$1006:AI1006),$AB$1006:$AQ$1006,0)))),"Fix")))</f>
        <v>0</v>
      </c>
      <c r="J636" s="5">
        <f>IF(OR(INDEX($V$2:$V$1001,MATCH(ROWS($U$2:U636),$U$2:$U$1001,0),1)&gt;=100000,INDEX($AB$1005:$AQ$1005,1,MATCH(COLUMNS($AB$1006:AJ1006),$AB$1006:$AQ$1006,0))&gt;=100000), " ",IF(INDEX($AB$2:$AQ$1001,MATCH(ROWS($U$2:U636),$U$2:$U$1001,0),MATCH(COLUMNS($AB$1006:AJ1006),$AB$1006:$AQ$1006,0)), HYPERLINK("#",""), HYPERLINK(CONCATENATE("#Metadata!", ADDRESS(INDEX($W$2:$W$1001,MATCH(ROWS($U$2:U636),$U$2:$U$1001,0),0), INDEX($AB$1004:$AQ$1004,1,MATCH(COLUMNS($AB$1006:AJ1006),$AB$1006:$AQ$1006,0)))),"Fix")))</f>
        <v>0</v>
      </c>
      <c r="K636" s="5">
        <f>IF(OR(INDEX($V$2:$V$1001,MATCH(ROWS($U$2:U636),$U$2:$U$1001,0),1)&gt;=100000,INDEX($AB$1005:$AQ$1005,1,MATCH(COLUMNS($AB$1006:AK1006),$AB$1006:$AQ$1006,0))&gt;=100000), " ",IF(INDEX($AB$2:$AQ$1001,MATCH(ROWS($U$2:U636),$U$2:$U$1001,0),MATCH(COLUMNS($AB$1006:AK1006),$AB$1006:$AQ$1006,0)), HYPERLINK("#",""), HYPERLINK(CONCATENATE("#Metadata!", ADDRESS(INDEX($W$2:$W$1001,MATCH(ROWS($U$2:U636),$U$2:$U$1001,0),0), INDEX($AB$1004:$AQ$1004,1,MATCH(COLUMNS($AB$1006:AK1006),$AB$1006:$AQ$1006,0)))),"Fix")))</f>
        <v>0</v>
      </c>
      <c r="L636" s="5">
        <f>IF(OR(INDEX($V$2:$V$1001,MATCH(ROWS($U$2:U636),$U$2:$U$1001,0),1)&gt;=100000,INDEX($AB$1005:$AQ$1005,1,MATCH(COLUMNS($AB$1006:AL1006),$AB$1006:$AQ$1006,0))&gt;=100000), " ",IF(INDEX($AB$2:$AQ$1001,MATCH(ROWS($U$2:U636),$U$2:$U$1001,0),MATCH(COLUMNS($AB$1006:AL1006),$AB$1006:$AQ$1006,0)), HYPERLINK("#",""), HYPERLINK(CONCATENATE("#Metadata!", ADDRESS(INDEX($W$2:$W$1001,MATCH(ROWS($U$2:U636),$U$2:$U$1001,0),0), INDEX($AB$1004:$AQ$1004,1,MATCH(COLUMNS($AB$1006:AL1006),$AB$1006:$AQ$1006,0)))),"Fix")))</f>
        <v>0</v>
      </c>
      <c r="M636" s="5">
        <f>IF(OR(INDEX($V$2:$V$1001,MATCH(ROWS($U$2:U636),$U$2:$U$1001,0),1)&gt;=100000,INDEX($AB$1005:$AQ$1005,1,MATCH(COLUMNS($AB$1006:AM1006),$AB$1006:$AQ$1006,0))&gt;=100000), " ",IF(INDEX($AB$2:$AQ$1001,MATCH(ROWS($U$2:U636),$U$2:$U$1001,0),MATCH(COLUMNS($AB$1006:AM1006),$AB$1006:$AQ$1006,0)), HYPERLINK("#",""), HYPERLINK(CONCATENATE("#Metadata!", ADDRESS(INDEX($W$2:$W$1001,MATCH(ROWS($U$2:U636),$U$2:$U$1001,0),0), INDEX($AB$1004:$AQ$1004,1,MATCH(COLUMNS($AB$1006:AM1006),$AB$1006:$AQ$1006,0)))),"Fix")))</f>
        <v>0</v>
      </c>
      <c r="N636" s="5">
        <f>IF(OR(INDEX($V$2:$V$1001,MATCH(ROWS($U$2:U636),$U$2:$U$1001,0),1)&gt;=100000,INDEX($AB$1005:$AQ$1005,1,MATCH(COLUMNS($AB$1006:AN1006),$AB$1006:$AQ$1006,0))&gt;=100000), " ",IF(INDEX($AB$2:$AQ$1001,MATCH(ROWS($U$2:U636),$U$2:$U$1001,0),MATCH(COLUMNS($AB$1006:AN1006),$AB$1006:$AQ$1006,0)), HYPERLINK("#",""), HYPERLINK(CONCATENATE("#Metadata!", ADDRESS(INDEX($W$2:$W$1001,MATCH(ROWS($U$2:U636),$U$2:$U$1001,0),0), INDEX($AB$1004:$AQ$1004,1,MATCH(COLUMNS($AB$1006:AN1006),$AB$1006:$AQ$1006,0)))),"Fix")))</f>
        <v>0</v>
      </c>
      <c r="O636" s="5">
        <f>IF(OR(INDEX($V$2:$V$1001,MATCH(ROWS($U$2:U636),$U$2:$U$1001,0),1)&gt;=100000,INDEX($AB$1005:$AQ$1005,1,MATCH(COLUMNS($AB$1006:AO1006),$AB$1006:$AQ$1006,0))&gt;=100000), " ",IF(INDEX($AB$2:$AQ$1001,MATCH(ROWS($U$2:U636),$U$2:$U$1001,0),MATCH(COLUMNS($AB$1006:AO1006),$AB$1006:$AQ$1006,0)), HYPERLINK("#",""), HYPERLINK(CONCATENATE("#Metadata!", ADDRESS(INDEX($W$2:$W$1001,MATCH(ROWS($U$2:U636),$U$2:$U$1001,0),0), INDEX($AB$1004:$AQ$1004,1,MATCH(COLUMNS($AB$1006:AO1006),$AB$1006:$AQ$1006,0)))),"Fix")))</f>
        <v>0</v>
      </c>
      <c r="P636" s="5">
        <f>IF(OR(INDEX($V$2:$V$1001,MATCH(ROWS($U$2:U636),$U$2:$U$1001,0),1)&gt;=100000,INDEX($AB$1005:$AQ$1005,1,MATCH(COLUMNS($AB$1006:AP1006),$AB$1006:$AQ$1006,0))&gt;=100000), " ",IF(INDEX($AB$2:$AQ$1001,MATCH(ROWS($U$2:U636),$U$2:$U$1001,0),MATCH(COLUMNS($AB$1006:AP1006),$AB$1006:$AQ$1006,0)), HYPERLINK("#",""), HYPERLINK(CONCATENATE("#Metadata!", ADDRESS(INDEX($W$2:$W$1001,MATCH(ROWS($U$2:U636),$U$2:$U$1001,0),0), INDEX($AB$1004:$AQ$1004,1,MATCH(COLUMNS($AB$1006:AP1006),$AB$1006:$AQ$1006,0)))),"Fix")))</f>
        <v>0</v>
      </c>
      <c r="Q636" s="5">
        <f>IF(OR(INDEX($V$2:$V$1001,MATCH(ROWS($U$2:U636),$U$2:$U$1001,0),1)&gt;=100000,INDEX($AB$1005:$AQ$1005,1,MATCH(COLUMNS($AB$1006:AQ1006),$AB$1006:$AQ$1006,0))&gt;=100000), " ",IF(INDEX($AB$2:$AQ$1001,MATCH(ROWS($U$2:U636),$U$2:$U$1001,0),MATCH(COLUMNS($AB$1006:AQ1006),$AB$1006:$AQ$1006,0)), HYPERLINK("#",""), HYPERLINK(CONCATENATE("#Metadata!", ADDRESS(INDEX($W$2:$W$1001,MATCH(ROWS($U$2:U636),$U$2:$U$1001,0),0), INDEX($AB$1004:$AQ$1004,1,MATCH(COLUMNS($AB$1006:AQ1006),$AB$1006:$AQ$1006,0)))),"Fix")))</f>
        <v>0</v>
      </c>
      <c r="U636">
        <v>0</v>
      </c>
      <c r="V636">
        <v>0</v>
      </c>
      <c r="W636">
        <v>0</v>
      </c>
      <c r="X636">
        <f>IF(Y636,TRUE,AND(AB636:AQ636))</f>
        <v>0</v>
      </c>
      <c r="Y636">
        <f>COUNTBLANK(Metadata!B636:Q636)=COLUMNS(Metadata!B636:Q636)</f>
        <v>0</v>
      </c>
      <c r="Z636">
        <v>0</v>
      </c>
      <c r="AB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AC636">
        <f>AND(IF(Metadata!C636="",FALSE,TRUE),exact(Metadata!C636,"urban biome"))</f>
        <v>0</v>
      </c>
      <c r="AD636">
        <f>AND(IF(Metadata!D636="",FALSE,TRUE),exact(Metadata!D636,"human-associated habitat"))</f>
        <v>0</v>
      </c>
      <c r="AE636">
        <f>AND(IF(Metadata!E636="",FALSE,TRUE),OR(exact(Metadata!E636,"human-associated"),exact(Metadata!E636,"human-skin"),exact(Metadata!E636,"human-oral"),exact(Metadata!E636,"human-gut"),exact(Metadata!E636,"human-vaginal")))</f>
        <v>0</v>
      </c>
      <c r="AF636">
        <f>AND(IF(Metadata!F636="",FALSE,ISNUMBER(VALUE(Metadata!F636))),Metadata!F636&gt;0)</f>
        <v>0</v>
      </c>
      <c r="AG636">
        <f>AND(IF(Metadata!G636="",FALSE,TRUE),exact(Metadata!G636,"years"))</f>
        <v>0</v>
      </c>
      <c r="AH636">
        <f>OR(AND(IF(Metadata!H636="",FALSE,TRUE),OR(exact(Metadata!H636,"not applicable"),exact(Metadata!H636,"not collected"),exact(Metadata!H636,"not provided"),exact(Metadata!H636,"restricted access"))),AND(IF(Metadata!H636="",FALSE,ISNUMBER(VALUE(Metadata!H636))),Metadata!H636&gt;0))</f>
        <v>0</v>
      </c>
      <c r="AI636">
        <f>AND(IF(Metadata!I636="",FALSE,TRUE),exact(Metadata!I636,"human"))</f>
        <v>0</v>
      </c>
      <c r="AJ636">
        <f>AND(IF(Metadata!J636="",FALSE,ISNUMBER(VALUE(Metadata!J636))),Metadata!J636&gt;0)</f>
        <v>0</v>
      </c>
      <c r="AK636">
        <f>AND(IF(Metadata!K636="",FALSE,TRUE),exact(Metadata!K636,"cm"))</f>
        <v>0</v>
      </c>
      <c r="AL636">
        <f>AND(IF(Metadata!L636="",FALSE,TRUE),exact(Metadata!L636,"Homo sapiens"))</f>
        <v>0</v>
      </c>
      <c r="AM636">
        <f>AND(IF(Metadata!M636="",FALSE,TRUE),exact(Metadata!M636,"9606"))</f>
        <v>0</v>
      </c>
      <c r="AN636">
        <f>AND(IF(Metadata!N636="",FALSE,ISNUMBER(VALUE(Metadata!N636))),Metadata!N636&gt;0)</f>
        <v>0</v>
      </c>
      <c r="AO636">
        <f>AND(IF(Metadata!O636="",FALSE,TRUE),exact(Metadata!O636,"kg"))</f>
        <v>0</v>
      </c>
      <c r="AP636">
        <f>OR(AND(IF(Metadata!P636="",FALSE,TRUE),exact(Metadata!P636,"not provided")),IF(Metadata!P636="",FALSE,TRUE))</f>
        <v>0</v>
      </c>
      <c r="AQ636">
        <f>OR(AND(IF(Metadata!Q636="",FALSE,TRUE),exact(Metadata!Q636,"not provided")),IF(Metadata!Q636="",FALSE,TRUE))</f>
        <v>0</v>
      </c>
    </row>
    <row r="637" spans="1:43">
      <c r="A637" s="4">
        <f>IF(B637=" "," ",HYPERLINK(CONCATENATE("#metadata!",ADDRESS(INDEX($W$2:$W$1001,MATCH(ROWS($U$2:U637),$U$2:$U$1001,0),0),2)),INDEX($Z$2:$Z$1001,MATCH(ROWS($U$2:U637),$U$2:$U$1001,0),0)))</f>
        <v>0</v>
      </c>
      <c r="B637" s="5">
        <f>IF(OR(INDEX($V$2:$V$1001,MATCH(ROWS($U$2:U637),$U$2:$U$1001,0),1)&gt;=100000,INDEX($AB$1005:$AQ$1005,1,MATCH(COLUMNS($AB$1006:AB1006),$AB$1006:$AQ$1006,0))&gt;=100000), " ",IF(INDEX($AB$2:$AQ$1001,MATCH(ROWS($U$2:U637),$U$2:$U$1001,0),MATCH(COLUMNS($AB$1006:AB1006),$AB$1006:$AQ$1006,0)), HYPERLINK("#",""), HYPERLINK(CONCATENATE("#Metadata!", ADDRESS(INDEX($W$2:$W$1001,MATCH(ROWS($U$2:U637),$U$2:$U$1001,0),0), INDEX($AB$1004:$AQ$1004,1,MATCH(COLUMNS($AB$1006:AB1006),$AB$1006:$AQ$1006,0)))),"Fix")))</f>
        <v>0</v>
      </c>
      <c r="C637" s="5">
        <f>IF(OR(INDEX($V$2:$V$1001,MATCH(ROWS($U$2:U637),$U$2:$U$1001,0),1)&gt;=100000,INDEX($AB$1005:$AQ$1005,1,MATCH(COLUMNS($AB$1006:AC1006),$AB$1006:$AQ$1006,0))&gt;=100000), " ",IF(INDEX($AB$2:$AQ$1001,MATCH(ROWS($U$2:U637),$U$2:$U$1001,0),MATCH(COLUMNS($AB$1006:AC1006),$AB$1006:$AQ$1006,0)), HYPERLINK("#",""), HYPERLINK(CONCATENATE("#Metadata!", ADDRESS(INDEX($W$2:$W$1001,MATCH(ROWS($U$2:U637),$U$2:$U$1001,0),0), INDEX($AB$1004:$AQ$1004,1,MATCH(COLUMNS($AB$1006:AC1006),$AB$1006:$AQ$1006,0)))),"Fix")))</f>
        <v>0</v>
      </c>
      <c r="D637" s="5">
        <f>IF(OR(INDEX($V$2:$V$1001,MATCH(ROWS($U$2:U637),$U$2:$U$1001,0),1)&gt;=100000,INDEX($AB$1005:$AQ$1005,1,MATCH(COLUMNS($AB$1006:AD1006),$AB$1006:$AQ$1006,0))&gt;=100000), " ",IF(INDEX($AB$2:$AQ$1001,MATCH(ROWS($U$2:U637),$U$2:$U$1001,0),MATCH(COLUMNS($AB$1006:AD1006),$AB$1006:$AQ$1006,0)), HYPERLINK("#",""), HYPERLINK(CONCATENATE("#Metadata!", ADDRESS(INDEX($W$2:$W$1001,MATCH(ROWS($U$2:U637),$U$2:$U$1001,0),0), INDEX($AB$1004:$AQ$1004,1,MATCH(COLUMNS($AB$1006:AD1006),$AB$1006:$AQ$1006,0)))),"Fix")))</f>
        <v>0</v>
      </c>
      <c r="E637" s="5">
        <f>IF(OR(INDEX($V$2:$V$1001,MATCH(ROWS($U$2:U637),$U$2:$U$1001,0),1)&gt;=100000,INDEX($AB$1005:$AQ$1005,1,MATCH(COLUMNS($AB$1006:AE1006),$AB$1006:$AQ$1006,0))&gt;=100000), " ",IF(INDEX($AB$2:$AQ$1001,MATCH(ROWS($U$2:U637),$U$2:$U$1001,0),MATCH(COLUMNS($AB$1006:AE1006),$AB$1006:$AQ$1006,0)), HYPERLINK("#",""), HYPERLINK(CONCATENATE("#Metadata!", ADDRESS(INDEX($W$2:$W$1001,MATCH(ROWS($U$2:U637),$U$2:$U$1001,0),0), INDEX($AB$1004:$AQ$1004,1,MATCH(COLUMNS($AB$1006:AE1006),$AB$1006:$AQ$1006,0)))),"Fix")))</f>
        <v>0</v>
      </c>
      <c r="F637" s="5">
        <f>IF(OR(INDEX($V$2:$V$1001,MATCH(ROWS($U$2:U637),$U$2:$U$1001,0),1)&gt;=100000,INDEX($AB$1005:$AQ$1005,1,MATCH(COLUMNS($AB$1006:AF1006),$AB$1006:$AQ$1006,0))&gt;=100000), " ",IF(INDEX($AB$2:$AQ$1001,MATCH(ROWS($U$2:U637),$U$2:$U$1001,0),MATCH(COLUMNS($AB$1006:AF1006),$AB$1006:$AQ$1006,0)), HYPERLINK("#",""), HYPERLINK(CONCATENATE("#Metadata!", ADDRESS(INDEX($W$2:$W$1001,MATCH(ROWS($U$2:U637),$U$2:$U$1001,0),0), INDEX($AB$1004:$AQ$1004,1,MATCH(COLUMNS($AB$1006:AF1006),$AB$1006:$AQ$1006,0)))),"Fix")))</f>
        <v>0</v>
      </c>
      <c r="G637" s="5">
        <f>IF(OR(INDEX($V$2:$V$1001,MATCH(ROWS($U$2:U637),$U$2:$U$1001,0),1)&gt;=100000,INDEX($AB$1005:$AQ$1005,1,MATCH(COLUMNS($AB$1006:AG1006),$AB$1006:$AQ$1006,0))&gt;=100000), " ",IF(INDEX($AB$2:$AQ$1001,MATCH(ROWS($U$2:U637),$U$2:$U$1001,0),MATCH(COLUMNS($AB$1006:AG1006),$AB$1006:$AQ$1006,0)), HYPERLINK("#",""), HYPERLINK(CONCATENATE("#Metadata!", ADDRESS(INDEX($W$2:$W$1001,MATCH(ROWS($U$2:U637),$U$2:$U$1001,0),0), INDEX($AB$1004:$AQ$1004,1,MATCH(COLUMNS($AB$1006:AG1006),$AB$1006:$AQ$1006,0)))),"Fix")))</f>
        <v>0</v>
      </c>
      <c r="H637" s="5">
        <f>IF(OR(INDEX($V$2:$V$1001,MATCH(ROWS($U$2:U637),$U$2:$U$1001,0),1)&gt;=100000,INDEX($AB$1005:$AQ$1005,1,MATCH(COLUMNS($AB$1006:AH1006),$AB$1006:$AQ$1006,0))&gt;=100000), " ",IF(INDEX($AB$2:$AQ$1001,MATCH(ROWS($U$2:U637),$U$2:$U$1001,0),MATCH(COLUMNS($AB$1006:AH1006),$AB$1006:$AQ$1006,0)), HYPERLINK("#",""), HYPERLINK(CONCATENATE("#Metadata!", ADDRESS(INDEX($W$2:$W$1001,MATCH(ROWS($U$2:U637),$U$2:$U$1001,0),0), INDEX($AB$1004:$AQ$1004,1,MATCH(COLUMNS($AB$1006:AH1006),$AB$1006:$AQ$1006,0)))),"Fix")))</f>
        <v>0</v>
      </c>
      <c r="I637" s="5">
        <f>IF(OR(INDEX($V$2:$V$1001,MATCH(ROWS($U$2:U637),$U$2:$U$1001,0),1)&gt;=100000,INDEX($AB$1005:$AQ$1005,1,MATCH(COLUMNS($AB$1006:AI1006),$AB$1006:$AQ$1006,0))&gt;=100000), " ",IF(INDEX($AB$2:$AQ$1001,MATCH(ROWS($U$2:U637),$U$2:$U$1001,0),MATCH(COLUMNS($AB$1006:AI1006),$AB$1006:$AQ$1006,0)), HYPERLINK("#",""), HYPERLINK(CONCATENATE("#Metadata!", ADDRESS(INDEX($W$2:$W$1001,MATCH(ROWS($U$2:U637),$U$2:$U$1001,0),0), INDEX($AB$1004:$AQ$1004,1,MATCH(COLUMNS($AB$1006:AI1006),$AB$1006:$AQ$1006,0)))),"Fix")))</f>
        <v>0</v>
      </c>
      <c r="J637" s="5">
        <f>IF(OR(INDEX($V$2:$V$1001,MATCH(ROWS($U$2:U637),$U$2:$U$1001,0),1)&gt;=100000,INDEX($AB$1005:$AQ$1005,1,MATCH(COLUMNS($AB$1006:AJ1006),$AB$1006:$AQ$1006,0))&gt;=100000), " ",IF(INDEX($AB$2:$AQ$1001,MATCH(ROWS($U$2:U637),$U$2:$U$1001,0),MATCH(COLUMNS($AB$1006:AJ1006),$AB$1006:$AQ$1006,0)), HYPERLINK("#",""), HYPERLINK(CONCATENATE("#Metadata!", ADDRESS(INDEX($W$2:$W$1001,MATCH(ROWS($U$2:U637),$U$2:$U$1001,0),0), INDEX($AB$1004:$AQ$1004,1,MATCH(COLUMNS($AB$1006:AJ1006),$AB$1006:$AQ$1006,0)))),"Fix")))</f>
        <v>0</v>
      </c>
      <c r="K637" s="5">
        <f>IF(OR(INDEX($V$2:$V$1001,MATCH(ROWS($U$2:U637),$U$2:$U$1001,0),1)&gt;=100000,INDEX($AB$1005:$AQ$1005,1,MATCH(COLUMNS($AB$1006:AK1006),$AB$1006:$AQ$1006,0))&gt;=100000), " ",IF(INDEX($AB$2:$AQ$1001,MATCH(ROWS($U$2:U637),$U$2:$U$1001,0),MATCH(COLUMNS($AB$1006:AK1006),$AB$1006:$AQ$1006,0)), HYPERLINK("#",""), HYPERLINK(CONCATENATE("#Metadata!", ADDRESS(INDEX($W$2:$W$1001,MATCH(ROWS($U$2:U637),$U$2:$U$1001,0),0), INDEX($AB$1004:$AQ$1004,1,MATCH(COLUMNS($AB$1006:AK1006),$AB$1006:$AQ$1006,0)))),"Fix")))</f>
        <v>0</v>
      </c>
      <c r="L637" s="5">
        <f>IF(OR(INDEX($V$2:$V$1001,MATCH(ROWS($U$2:U637),$U$2:$U$1001,0),1)&gt;=100000,INDEX($AB$1005:$AQ$1005,1,MATCH(COLUMNS($AB$1006:AL1006),$AB$1006:$AQ$1006,0))&gt;=100000), " ",IF(INDEX($AB$2:$AQ$1001,MATCH(ROWS($U$2:U637),$U$2:$U$1001,0),MATCH(COLUMNS($AB$1006:AL1006),$AB$1006:$AQ$1006,0)), HYPERLINK("#",""), HYPERLINK(CONCATENATE("#Metadata!", ADDRESS(INDEX($W$2:$W$1001,MATCH(ROWS($U$2:U637),$U$2:$U$1001,0),0), INDEX($AB$1004:$AQ$1004,1,MATCH(COLUMNS($AB$1006:AL1006),$AB$1006:$AQ$1006,0)))),"Fix")))</f>
        <v>0</v>
      </c>
      <c r="M637" s="5">
        <f>IF(OR(INDEX($V$2:$V$1001,MATCH(ROWS($U$2:U637),$U$2:$U$1001,0),1)&gt;=100000,INDEX($AB$1005:$AQ$1005,1,MATCH(COLUMNS($AB$1006:AM1006),$AB$1006:$AQ$1006,0))&gt;=100000), " ",IF(INDEX($AB$2:$AQ$1001,MATCH(ROWS($U$2:U637),$U$2:$U$1001,0),MATCH(COLUMNS($AB$1006:AM1006),$AB$1006:$AQ$1006,0)), HYPERLINK("#",""), HYPERLINK(CONCATENATE("#Metadata!", ADDRESS(INDEX($W$2:$W$1001,MATCH(ROWS($U$2:U637),$U$2:$U$1001,0),0), INDEX($AB$1004:$AQ$1004,1,MATCH(COLUMNS($AB$1006:AM1006),$AB$1006:$AQ$1006,0)))),"Fix")))</f>
        <v>0</v>
      </c>
      <c r="N637" s="5">
        <f>IF(OR(INDEX($V$2:$V$1001,MATCH(ROWS($U$2:U637),$U$2:$U$1001,0),1)&gt;=100000,INDEX($AB$1005:$AQ$1005,1,MATCH(COLUMNS($AB$1006:AN1006),$AB$1006:$AQ$1006,0))&gt;=100000), " ",IF(INDEX($AB$2:$AQ$1001,MATCH(ROWS($U$2:U637),$U$2:$U$1001,0),MATCH(COLUMNS($AB$1006:AN1006),$AB$1006:$AQ$1006,0)), HYPERLINK("#",""), HYPERLINK(CONCATENATE("#Metadata!", ADDRESS(INDEX($W$2:$W$1001,MATCH(ROWS($U$2:U637),$U$2:$U$1001,0),0), INDEX($AB$1004:$AQ$1004,1,MATCH(COLUMNS($AB$1006:AN1006),$AB$1006:$AQ$1006,0)))),"Fix")))</f>
        <v>0</v>
      </c>
      <c r="O637" s="5">
        <f>IF(OR(INDEX($V$2:$V$1001,MATCH(ROWS($U$2:U637),$U$2:$U$1001,0),1)&gt;=100000,INDEX($AB$1005:$AQ$1005,1,MATCH(COLUMNS($AB$1006:AO1006),$AB$1006:$AQ$1006,0))&gt;=100000), " ",IF(INDEX($AB$2:$AQ$1001,MATCH(ROWS($U$2:U637),$U$2:$U$1001,0),MATCH(COLUMNS($AB$1006:AO1006),$AB$1006:$AQ$1006,0)), HYPERLINK("#",""), HYPERLINK(CONCATENATE("#Metadata!", ADDRESS(INDEX($W$2:$W$1001,MATCH(ROWS($U$2:U637),$U$2:$U$1001,0),0), INDEX($AB$1004:$AQ$1004,1,MATCH(COLUMNS($AB$1006:AO1006),$AB$1006:$AQ$1006,0)))),"Fix")))</f>
        <v>0</v>
      </c>
      <c r="P637" s="5">
        <f>IF(OR(INDEX($V$2:$V$1001,MATCH(ROWS($U$2:U637),$U$2:$U$1001,0),1)&gt;=100000,INDEX($AB$1005:$AQ$1005,1,MATCH(COLUMNS($AB$1006:AP1006),$AB$1006:$AQ$1006,0))&gt;=100000), " ",IF(INDEX($AB$2:$AQ$1001,MATCH(ROWS($U$2:U637),$U$2:$U$1001,0),MATCH(COLUMNS($AB$1006:AP1006),$AB$1006:$AQ$1006,0)), HYPERLINK("#",""), HYPERLINK(CONCATENATE("#Metadata!", ADDRESS(INDEX($W$2:$W$1001,MATCH(ROWS($U$2:U637),$U$2:$U$1001,0),0), INDEX($AB$1004:$AQ$1004,1,MATCH(COLUMNS($AB$1006:AP1006),$AB$1006:$AQ$1006,0)))),"Fix")))</f>
        <v>0</v>
      </c>
      <c r="Q637" s="5">
        <f>IF(OR(INDEX($V$2:$V$1001,MATCH(ROWS($U$2:U637),$U$2:$U$1001,0),1)&gt;=100000,INDEX($AB$1005:$AQ$1005,1,MATCH(COLUMNS($AB$1006:AQ1006),$AB$1006:$AQ$1006,0))&gt;=100000), " ",IF(INDEX($AB$2:$AQ$1001,MATCH(ROWS($U$2:U637),$U$2:$U$1001,0),MATCH(COLUMNS($AB$1006:AQ1006),$AB$1006:$AQ$1006,0)), HYPERLINK("#",""), HYPERLINK(CONCATENATE("#Metadata!", ADDRESS(INDEX($W$2:$W$1001,MATCH(ROWS($U$2:U637),$U$2:$U$1001,0),0), INDEX($AB$1004:$AQ$1004,1,MATCH(COLUMNS($AB$1006:AQ1006),$AB$1006:$AQ$1006,0)))),"Fix")))</f>
        <v>0</v>
      </c>
      <c r="U637">
        <v>0</v>
      </c>
      <c r="V637">
        <v>0</v>
      </c>
      <c r="W637">
        <v>0</v>
      </c>
      <c r="X637">
        <f>IF(Y637,TRUE,AND(AB637:AQ637))</f>
        <v>0</v>
      </c>
      <c r="Y637">
        <f>COUNTBLANK(Metadata!B637:Q637)=COLUMNS(Metadata!B637:Q637)</f>
        <v>0</v>
      </c>
      <c r="Z637">
        <v>0</v>
      </c>
      <c r="AB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AC637">
        <f>AND(IF(Metadata!C637="",FALSE,TRUE),exact(Metadata!C637,"urban biome"))</f>
        <v>0</v>
      </c>
      <c r="AD637">
        <f>AND(IF(Metadata!D637="",FALSE,TRUE),exact(Metadata!D637,"human-associated habitat"))</f>
        <v>0</v>
      </c>
      <c r="AE637">
        <f>AND(IF(Metadata!E637="",FALSE,TRUE),OR(exact(Metadata!E637,"human-associated"),exact(Metadata!E637,"human-skin"),exact(Metadata!E637,"human-oral"),exact(Metadata!E637,"human-gut"),exact(Metadata!E637,"human-vaginal")))</f>
        <v>0</v>
      </c>
      <c r="AF637">
        <f>AND(IF(Metadata!F637="",FALSE,ISNUMBER(VALUE(Metadata!F637))),Metadata!F637&gt;0)</f>
        <v>0</v>
      </c>
      <c r="AG637">
        <f>AND(IF(Metadata!G637="",FALSE,TRUE),exact(Metadata!G637,"years"))</f>
        <v>0</v>
      </c>
      <c r="AH637">
        <f>OR(AND(IF(Metadata!H637="",FALSE,TRUE),OR(exact(Metadata!H637,"not applicable"),exact(Metadata!H637,"not collected"),exact(Metadata!H637,"not provided"),exact(Metadata!H637,"restricted access"))),AND(IF(Metadata!H637="",FALSE,ISNUMBER(VALUE(Metadata!H637))),Metadata!H637&gt;0))</f>
        <v>0</v>
      </c>
      <c r="AI637">
        <f>AND(IF(Metadata!I637="",FALSE,TRUE),exact(Metadata!I637,"human"))</f>
        <v>0</v>
      </c>
      <c r="AJ637">
        <f>AND(IF(Metadata!J637="",FALSE,ISNUMBER(VALUE(Metadata!J637))),Metadata!J637&gt;0)</f>
        <v>0</v>
      </c>
      <c r="AK637">
        <f>AND(IF(Metadata!K637="",FALSE,TRUE),exact(Metadata!K637,"cm"))</f>
        <v>0</v>
      </c>
      <c r="AL637">
        <f>AND(IF(Metadata!L637="",FALSE,TRUE),exact(Metadata!L637,"Homo sapiens"))</f>
        <v>0</v>
      </c>
      <c r="AM637">
        <f>AND(IF(Metadata!M637="",FALSE,TRUE),exact(Metadata!M637,"9606"))</f>
        <v>0</v>
      </c>
      <c r="AN637">
        <f>AND(IF(Metadata!N637="",FALSE,ISNUMBER(VALUE(Metadata!N637))),Metadata!N637&gt;0)</f>
        <v>0</v>
      </c>
      <c r="AO637">
        <f>AND(IF(Metadata!O637="",FALSE,TRUE),exact(Metadata!O637,"kg"))</f>
        <v>0</v>
      </c>
      <c r="AP637">
        <f>OR(AND(IF(Metadata!P637="",FALSE,TRUE),exact(Metadata!P637,"not provided")),IF(Metadata!P637="",FALSE,TRUE))</f>
        <v>0</v>
      </c>
      <c r="AQ637">
        <f>OR(AND(IF(Metadata!Q637="",FALSE,TRUE),exact(Metadata!Q637,"not provided")),IF(Metadata!Q637="",FALSE,TRUE))</f>
        <v>0</v>
      </c>
    </row>
    <row r="638" spans="1:43">
      <c r="A638" s="4">
        <f>IF(B638=" "," ",HYPERLINK(CONCATENATE("#metadata!",ADDRESS(INDEX($W$2:$W$1001,MATCH(ROWS($U$2:U638),$U$2:$U$1001,0),0),2)),INDEX($Z$2:$Z$1001,MATCH(ROWS($U$2:U638),$U$2:$U$1001,0),0)))</f>
        <v>0</v>
      </c>
      <c r="B638" s="5">
        <f>IF(OR(INDEX($V$2:$V$1001,MATCH(ROWS($U$2:U638),$U$2:$U$1001,0),1)&gt;=100000,INDEX($AB$1005:$AQ$1005,1,MATCH(COLUMNS($AB$1006:AB1006),$AB$1006:$AQ$1006,0))&gt;=100000), " ",IF(INDEX($AB$2:$AQ$1001,MATCH(ROWS($U$2:U638),$U$2:$U$1001,0),MATCH(COLUMNS($AB$1006:AB1006),$AB$1006:$AQ$1006,0)), HYPERLINK("#",""), HYPERLINK(CONCATENATE("#Metadata!", ADDRESS(INDEX($W$2:$W$1001,MATCH(ROWS($U$2:U638),$U$2:$U$1001,0),0), INDEX($AB$1004:$AQ$1004,1,MATCH(COLUMNS($AB$1006:AB1006),$AB$1006:$AQ$1006,0)))),"Fix")))</f>
        <v>0</v>
      </c>
      <c r="C638" s="5">
        <f>IF(OR(INDEX($V$2:$V$1001,MATCH(ROWS($U$2:U638),$U$2:$U$1001,0),1)&gt;=100000,INDEX($AB$1005:$AQ$1005,1,MATCH(COLUMNS($AB$1006:AC1006),$AB$1006:$AQ$1006,0))&gt;=100000), " ",IF(INDEX($AB$2:$AQ$1001,MATCH(ROWS($U$2:U638),$U$2:$U$1001,0),MATCH(COLUMNS($AB$1006:AC1006),$AB$1006:$AQ$1006,0)), HYPERLINK("#",""), HYPERLINK(CONCATENATE("#Metadata!", ADDRESS(INDEX($W$2:$W$1001,MATCH(ROWS($U$2:U638),$U$2:$U$1001,0),0), INDEX($AB$1004:$AQ$1004,1,MATCH(COLUMNS($AB$1006:AC1006),$AB$1006:$AQ$1006,0)))),"Fix")))</f>
        <v>0</v>
      </c>
      <c r="D638" s="5">
        <f>IF(OR(INDEX($V$2:$V$1001,MATCH(ROWS($U$2:U638),$U$2:$U$1001,0),1)&gt;=100000,INDEX($AB$1005:$AQ$1005,1,MATCH(COLUMNS($AB$1006:AD1006),$AB$1006:$AQ$1006,0))&gt;=100000), " ",IF(INDEX($AB$2:$AQ$1001,MATCH(ROWS($U$2:U638),$U$2:$U$1001,0),MATCH(COLUMNS($AB$1006:AD1006),$AB$1006:$AQ$1006,0)), HYPERLINK("#",""), HYPERLINK(CONCATENATE("#Metadata!", ADDRESS(INDEX($W$2:$W$1001,MATCH(ROWS($U$2:U638),$U$2:$U$1001,0),0), INDEX($AB$1004:$AQ$1004,1,MATCH(COLUMNS($AB$1006:AD1006),$AB$1006:$AQ$1006,0)))),"Fix")))</f>
        <v>0</v>
      </c>
      <c r="E638" s="5">
        <f>IF(OR(INDEX($V$2:$V$1001,MATCH(ROWS($U$2:U638),$U$2:$U$1001,0),1)&gt;=100000,INDEX($AB$1005:$AQ$1005,1,MATCH(COLUMNS($AB$1006:AE1006),$AB$1006:$AQ$1006,0))&gt;=100000), " ",IF(INDEX($AB$2:$AQ$1001,MATCH(ROWS($U$2:U638),$U$2:$U$1001,0),MATCH(COLUMNS($AB$1006:AE1006),$AB$1006:$AQ$1006,0)), HYPERLINK("#",""), HYPERLINK(CONCATENATE("#Metadata!", ADDRESS(INDEX($W$2:$W$1001,MATCH(ROWS($U$2:U638),$U$2:$U$1001,0),0), INDEX($AB$1004:$AQ$1004,1,MATCH(COLUMNS($AB$1006:AE1006),$AB$1006:$AQ$1006,0)))),"Fix")))</f>
        <v>0</v>
      </c>
      <c r="F638" s="5">
        <f>IF(OR(INDEX($V$2:$V$1001,MATCH(ROWS($U$2:U638),$U$2:$U$1001,0),1)&gt;=100000,INDEX($AB$1005:$AQ$1005,1,MATCH(COLUMNS($AB$1006:AF1006),$AB$1006:$AQ$1006,0))&gt;=100000), " ",IF(INDEX($AB$2:$AQ$1001,MATCH(ROWS($U$2:U638),$U$2:$U$1001,0),MATCH(COLUMNS($AB$1006:AF1006),$AB$1006:$AQ$1006,0)), HYPERLINK("#",""), HYPERLINK(CONCATENATE("#Metadata!", ADDRESS(INDEX($W$2:$W$1001,MATCH(ROWS($U$2:U638),$U$2:$U$1001,0),0), INDEX($AB$1004:$AQ$1004,1,MATCH(COLUMNS($AB$1006:AF1006),$AB$1006:$AQ$1006,0)))),"Fix")))</f>
        <v>0</v>
      </c>
      <c r="G638" s="5">
        <f>IF(OR(INDEX($V$2:$V$1001,MATCH(ROWS($U$2:U638),$U$2:$U$1001,0),1)&gt;=100000,INDEX($AB$1005:$AQ$1005,1,MATCH(COLUMNS($AB$1006:AG1006),$AB$1006:$AQ$1006,0))&gt;=100000), " ",IF(INDEX($AB$2:$AQ$1001,MATCH(ROWS($U$2:U638),$U$2:$U$1001,0),MATCH(COLUMNS($AB$1006:AG1006),$AB$1006:$AQ$1006,0)), HYPERLINK("#",""), HYPERLINK(CONCATENATE("#Metadata!", ADDRESS(INDEX($W$2:$W$1001,MATCH(ROWS($U$2:U638),$U$2:$U$1001,0),0), INDEX($AB$1004:$AQ$1004,1,MATCH(COLUMNS($AB$1006:AG1006),$AB$1006:$AQ$1006,0)))),"Fix")))</f>
        <v>0</v>
      </c>
      <c r="H638" s="5">
        <f>IF(OR(INDEX($V$2:$V$1001,MATCH(ROWS($U$2:U638),$U$2:$U$1001,0),1)&gt;=100000,INDEX($AB$1005:$AQ$1005,1,MATCH(COLUMNS($AB$1006:AH1006),$AB$1006:$AQ$1006,0))&gt;=100000), " ",IF(INDEX($AB$2:$AQ$1001,MATCH(ROWS($U$2:U638),$U$2:$U$1001,0),MATCH(COLUMNS($AB$1006:AH1006),$AB$1006:$AQ$1006,0)), HYPERLINK("#",""), HYPERLINK(CONCATENATE("#Metadata!", ADDRESS(INDEX($W$2:$W$1001,MATCH(ROWS($U$2:U638),$U$2:$U$1001,0),0), INDEX($AB$1004:$AQ$1004,1,MATCH(COLUMNS($AB$1006:AH1006),$AB$1006:$AQ$1006,0)))),"Fix")))</f>
        <v>0</v>
      </c>
      <c r="I638" s="5">
        <f>IF(OR(INDEX($V$2:$V$1001,MATCH(ROWS($U$2:U638),$U$2:$U$1001,0),1)&gt;=100000,INDEX($AB$1005:$AQ$1005,1,MATCH(COLUMNS($AB$1006:AI1006),$AB$1006:$AQ$1006,0))&gt;=100000), " ",IF(INDEX($AB$2:$AQ$1001,MATCH(ROWS($U$2:U638),$U$2:$U$1001,0),MATCH(COLUMNS($AB$1006:AI1006),$AB$1006:$AQ$1006,0)), HYPERLINK("#",""), HYPERLINK(CONCATENATE("#Metadata!", ADDRESS(INDEX($W$2:$W$1001,MATCH(ROWS($U$2:U638),$U$2:$U$1001,0),0), INDEX($AB$1004:$AQ$1004,1,MATCH(COLUMNS($AB$1006:AI1006),$AB$1006:$AQ$1006,0)))),"Fix")))</f>
        <v>0</v>
      </c>
      <c r="J638" s="5">
        <f>IF(OR(INDEX($V$2:$V$1001,MATCH(ROWS($U$2:U638),$U$2:$U$1001,0),1)&gt;=100000,INDEX($AB$1005:$AQ$1005,1,MATCH(COLUMNS($AB$1006:AJ1006),$AB$1006:$AQ$1006,0))&gt;=100000), " ",IF(INDEX($AB$2:$AQ$1001,MATCH(ROWS($U$2:U638),$U$2:$U$1001,0),MATCH(COLUMNS($AB$1006:AJ1006),$AB$1006:$AQ$1006,0)), HYPERLINK("#",""), HYPERLINK(CONCATENATE("#Metadata!", ADDRESS(INDEX($W$2:$W$1001,MATCH(ROWS($U$2:U638),$U$2:$U$1001,0),0), INDEX($AB$1004:$AQ$1004,1,MATCH(COLUMNS($AB$1006:AJ1006),$AB$1006:$AQ$1006,0)))),"Fix")))</f>
        <v>0</v>
      </c>
      <c r="K638" s="5">
        <f>IF(OR(INDEX($V$2:$V$1001,MATCH(ROWS($U$2:U638),$U$2:$U$1001,0),1)&gt;=100000,INDEX($AB$1005:$AQ$1005,1,MATCH(COLUMNS($AB$1006:AK1006),$AB$1006:$AQ$1006,0))&gt;=100000), " ",IF(INDEX($AB$2:$AQ$1001,MATCH(ROWS($U$2:U638),$U$2:$U$1001,0),MATCH(COLUMNS($AB$1006:AK1006),$AB$1006:$AQ$1006,0)), HYPERLINK("#",""), HYPERLINK(CONCATENATE("#Metadata!", ADDRESS(INDEX($W$2:$W$1001,MATCH(ROWS($U$2:U638),$U$2:$U$1001,0),0), INDEX($AB$1004:$AQ$1004,1,MATCH(COLUMNS($AB$1006:AK1006),$AB$1006:$AQ$1006,0)))),"Fix")))</f>
        <v>0</v>
      </c>
      <c r="L638" s="5">
        <f>IF(OR(INDEX($V$2:$V$1001,MATCH(ROWS($U$2:U638),$U$2:$U$1001,0),1)&gt;=100000,INDEX($AB$1005:$AQ$1005,1,MATCH(COLUMNS($AB$1006:AL1006),$AB$1006:$AQ$1006,0))&gt;=100000), " ",IF(INDEX($AB$2:$AQ$1001,MATCH(ROWS($U$2:U638),$U$2:$U$1001,0),MATCH(COLUMNS($AB$1006:AL1006),$AB$1006:$AQ$1006,0)), HYPERLINK("#",""), HYPERLINK(CONCATENATE("#Metadata!", ADDRESS(INDEX($W$2:$W$1001,MATCH(ROWS($U$2:U638),$U$2:$U$1001,0),0), INDEX($AB$1004:$AQ$1004,1,MATCH(COLUMNS($AB$1006:AL1006),$AB$1006:$AQ$1006,0)))),"Fix")))</f>
        <v>0</v>
      </c>
      <c r="M638" s="5">
        <f>IF(OR(INDEX($V$2:$V$1001,MATCH(ROWS($U$2:U638),$U$2:$U$1001,0),1)&gt;=100000,INDEX($AB$1005:$AQ$1005,1,MATCH(COLUMNS($AB$1006:AM1006),$AB$1006:$AQ$1006,0))&gt;=100000), " ",IF(INDEX($AB$2:$AQ$1001,MATCH(ROWS($U$2:U638),$U$2:$U$1001,0),MATCH(COLUMNS($AB$1006:AM1006),$AB$1006:$AQ$1006,0)), HYPERLINK("#",""), HYPERLINK(CONCATENATE("#Metadata!", ADDRESS(INDEX($W$2:$W$1001,MATCH(ROWS($U$2:U638),$U$2:$U$1001,0),0), INDEX($AB$1004:$AQ$1004,1,MATCH(COLUMNS($AB$1006:AM1006),$AB$1006:$AQ$1006,0)))),"Fix")))</f>
        <v>0</v>
      </c>
      <c r="N638" s="5">
        <f>IF(OR(INDEX($V$2:$V$1001,MATCH(ROWS($U$2:U638),$U$2:$U$1001,0),1)&gt;=100000,INDEX($AB$1005:$AQ$1005,1,MATCH(COLUMNS($AB$1006:AN1006),$AB$1006:$AQ$1006,0))&gt;=100000), " ",IF(INDEX($AB$2:$AQ$1001,MATCH(ROWS($U$2:U638),$U$2:$U$1001,0),MATCH(COLUMNS($AB$1006:AN1006),$AB$1006:$AQ$1006,0)), HYPERLINK("#",""), HYPERLINK(CONCATENATE("#Metadata!", ADDRESS(INDEX($W$2:$W$1001,MATCH(ROWS($U$2:U638),$U$2:$U$1001,0),0), INDEX($AB$1004:$AQ$1004,1,MATCH(COLUMNS($AB$1006:AN1006),$AB$1006:$AQ$1006,0)))),"Fix")))</f>
        <v>0</v>
      </c>
      <c r="O638" s="5">
        <f>IF(OR(INDEX($V$2:$V$1001,MATCH(ROWS($U$2:U638),$U$2:$U$1001,0),1)&gt;=100000,INDEX($AB$1005:$AQ$1005,1,MATCH(COLUMNS($AB$1006:AO1006),$AB$1006:$AQ$1006,0))&gt;=100000), " ",IF(INDEX($AB$2:$AQ$1001,MATCH(ROWS($U$2:U638),$U$2:$U$1001,0),MATCH(COLUMNS($AB$1006:AO1006),$AB$1006:$AQ$1006,0)), HYPERLINK("#",""), HYPERLINK(CONCATENATE("#Metadata!", ADDRESS(INDEX($W$2:$W$1001,MATCH(ROWS($U$2:U638),$U$2:$U$1001,0),0), INDEX($AB$1004:$AQ$1004,1,MATCH(COLUMNS($AB$1006:AO1006),$AB$1006:$AQ$1006,0)))),"Fix")))</f>
        <v>0</v>
      </c>
      <c r="P638" s="5">
        <f>IF(OR(INDEX($V$2:$V$1001,MATCH(ROWS($U$2:U638),$U$2:$U$1001,0),1)&gt;=100000,INDEX($AB$1005:$AQ$1005,1,MATCH(COLUMNS($AB$1006:AP1006),$AB$1006:$AQ$1006,0))&gt;=100000), " ",IF(INDEX($AB$2:$AQ$1001,MATCH(ROWS($U$2:U638),$U$2:$U$1001,0),MATCH(COLUMNS($AB$1006:AP1006),$AB$1006:$AQ$1006,0)), HYPERLINK("#",""), HYPERLINK(CONCATENATE("#Metadata!", ADDRESS(INDEX($W$2:$W$1001,MATCH(ROWS($U$2:U638),$U$2:$U$1001,0),0), INDEX($AB$1004:$AQ$1004,1,MATCH(COLUMNS($AB$1006:AP1006),$AB$1006:$AQ$1006,0)))),"Fix")))</f>
        <v>0</v>
      </c>
      <c r="Q638" s="5">
        <f>IF(OR(INDEX($V$2:$V$1001,MATCH(ROWS($U$2:U638),$U$2:$U$1001,0),1)&gt;=100000,INDEX($AB$1005:$AQ$1005,1,MATCH(COLUMNS($AB$1006:AQ1006),$AB$1006:$AQ$1006,0))&gt;=100000), " ",IF(INDEX($AB$2:$AQ$1001,MATCH(ROWS($U$2:U638),$U$2:$U$1001,0),MATCH(COLUMNS($AB$1006:AQ1006),$AB$1006:$AQ$1006,0)), HYPERLINK("#",""), HYPERLINK(CONCATENATE("#Metadata!", ADDRESS(INDEX($W$2:$W$1001,MATCH(ROWS($U$2:U638),$U$2:$U$1001,0),0), INDEX($AB$1004:$AQ$1004,1,MATCH(COLUMNS($AB$1006:AQ1006),$AB$1006:$AQ$1006,0)))),"Fix")))</f>
        <v>0</v>
      </c>
      <c r="U638">
        <v>0</v>
      </c>
      <c r="V638">
        <v>0</v>
      </c>
      <c r="W638">
        <v>0</v>
      </c>
      <c r="X638">
        <f>IF(Y638,TRUE,AND(AB638:AQ638))</f>
        <v>0</v>
      </c>
      <c r="Y638">
        <f>COUNTBLANK(Metadata!B638:Q638)=COLUMNS(Metadata!B638:Q638)</f>
        <v>0</v>
      </c>
      <c r="Z638">
        <v>0</v>
      </c>
      <c r="AB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AC638">
        <f>AND(IF(Metadata!C638="",FALSE,TRUE),exact(Metadata!C638,"urban biome"))</f>
        <v>0</v>
      </c>
      <c r="AD638">
        <f>AND(IF(Metadata!D638="",FALSE,TRUE),exact(Metadata!D638,"human-associated habitat"))</f>
        <v>0</v>
      </c>
      <c r="AE638">
        <f>AND(IF(Metadata!E638="",FALSE,TRUE),OR(exact(Metadata!E638,"human-associated"),exact(Metadata!E638,"human-skin"),exact(Metadata!E638,"human-oral"),exact(Metadata!E638,"human-gut"),exact(Metadata!E638,"human-vaginal")))</f>
        <v>0</v>
      </c>
      <c r="AF638">
        <f>AND(IF(Metadata!F638="",FALSE,ISNUMBER(VALUE(Metadata!F638))),Metadata!F638&gt;0)</f>
        <v>0</v>
      </c>
      <c r="AG638">
        <f>AND(IF(Metadata!G638="",FALSE,TRUE),exact(Metadata!G638,"years"))</f>
        <v>0</v>
      </c>
      <c r="AH638">
        <f>OR(AND(IF(Metadata!H638="",FALSE,TRUE),OR(exact(Metadata!H638,"not applicable"),exact(Metadata!H638,"not collected"),exact(Metadata!H638,"not provided"),exact(Metadata!H638,"restricted access"))),AND(IF(Metadata!H638="",FALSE,ISNUMBER(VALUE(Metadata!H638))),Metadata!H638&gt;0))</f>
        <v>0</v>
      </c>
      <c r="AI638">
        <f>AND(IF(Metadata!I638="",FALSE,TRUE),exact(Metadata!I638,"human"))</f>
        <v>0</v>
      </c>
      <c r="AJ638">
        <f>AND(IF(Metadata!J638="",FALSE,ISNUMBER(VALUE(Metadata!J638))),Metadata!J638&gt;0)</f>
        <v>0</v>
      </c>
      <c r="AK638">
        <f>AND(IF(Metadata!K638="",FALSE,TRUE),exact(Metadata!K638,"cm"))</f>
        <v>0</v>
      </c>
      <c r="AL638">
        <f>AND(IF(Metadata!L638="",FALSE,TRUE),exact(Metadata!L638,"Homo sapiens"))</f>
        <v>0</v>
      </c>
      <c r="AM638">
        <f>AND(IF(Metadata!M638="",FALSE,TRUE),exact(Metadata!M638,"9606"))</f>
        <v>0</v>
      </c>
      <c r="AN638">
        <f>AND(IF(Metadata!N638="",FALSE,ISNUMBER(VALUE(Metadata!N638))),Metadata!N638&gt;0)</f>
        <v>0</v>
      </c>
      <c r="AO638">
        <f>AND(IF(Metadata!O638="",FALSE,TRUE),exact(Metadata!O638,"kg"))</f>
        <v>0</v>
      </c>
      <c r="AP638">
        <f>OR(AND(IF(Metadata!P638="",FALSE,TRUE),exact(Metadata!P638,"not provided")),IF(Metadata!P638="",FALSE,TRUE))</f>
        <v>0</v>
      </c>
      <c r="AQ638">
        <f>OR(AND(IF(Metadata!Q638="",FALSE,TRUE),exact(Metadata!Q638,"not provided")),IF(Metadata!Q638="",FALSE,TRUE))</f>
        <v>0</v>
      </c>
    </row>
    <row r="639" spans="1:43">
      <c r="A639" s="4">
        <f>IF(B639=" "," ",HYPERLINK(CONCATENATE("#metadata!",ADDRESS(INDEX($W$2:$W$1001,MATCH(ROWS($U$2:U639),$U$2:$U$1001,0),0),2)),INDEX($Z$2:$Z$1001,MATCH(ROWS($U$2:U639),$U$2:$U$1001,0),0)))</f>
        <v>0</v>
      </c>
      <c r="B639" s="5">
        <f>IF(OR(INDEX($V$2:$V$1001,MATCH(ROWS($U$2:U639),$U$2:$U$1001,0),1)&gt;=100000,INDEX($AB$1005:$AQ$1005,1,MATCH(COLUMNS($AB$1006:AB1006),$AB$1006:$AQ$1006,0))&gt;=100000), " ",IF(INDEX($AB$2:$AQ$1001,MATCH(ROWS($U$2:U639),$U$2:$U$1001,0),MATCH(COLUMNS($AB$1006:AB1006),$AB$1006:$AQ$1006,0)), HYPERLINK("#",""), HYPERLINK(CONCATENATE("#Metadata!", ADDRESS(INDEX($W$2:$W$1001,MATCH(ROWS($U$2:U639),$U$2:$U$1001,0),0), INDEX($AB$1004:$AQ$1004,1,MATCH(COLUMNS($AB$1006:AB1006),$AB$1006:$AQ$1006,0)))),"Fix")))</f>
        <v>0</v>
      </c>
      <c r="C639" s="5">
        <f>IF(OR(INDEX($V$2:$V$1001,MATCH(ROWS($U$2:U639),$U$2:$U$1001,0),1)&gt;=100000,INDEX($AB$1005:$AQ$1005,1,MATCH(COLUMNS($AB$1006:AC1006),$AB$1006:$AQ$1006,0))&gt;=100000), " ",IF(INDEX($AB$2:$AQ$1001,MATCH(ROWS($U$2:U639),$U$2:$U$1001,0),MATCH(COLUMNS($AB$1006:AC1006),$AB$1006:$AQ$1006,0)), HYPERLINK("#",""), HYPERLINK(CONCATENATE("#Metadata!", ADDRESS(INDEX($W$2:$W$1001,MATCH(ROWS($U$2:U639),$U$2:$U$1001,0),0), INDEX($AB$1004:$AQ$1004,1,MATCH(COLUMNS($AB$1006:AC1006),$AB$1006:$AQ$1006,0)))),"Fix")))</f>
        <v>0</v>
      </c>
      <c r="D639" s="5">
        <f>IF(OR(INDEX($V$2:$V$1001,MATCH(ROWS($U$2:U639),$U$2:$U$1001,0),1)&gt;=100000,INDEX($AB$1005:$AQ$1005,1,MATCH(COLUMNS($AB$1006:AD1006),$AB$1006:$AQ$1006,0))&gt;=100000), " ",IF(INDEX($AB$2:$AQ$1001,MATCH(ROWS($U$2:U639),$U$2:$U$1001,0),MATCH(COLUMNS($AB$1006:AD1006),$AB$1006:$AQ$1006,0)), HYPERLINK("#",""), HYPERLINK(CONCATENATE("#Metadata!", ADDRESS(INDEX($W$2:$W$1001,MATCH(ROWS($U$2:U639),$U$2:$U$1001,0),0), INDEX($AB$1004:$AQ$1004,1,MATCH(COLUMNS($AB$1006:AD1006),$AB$1006:$AQ$1006,0)))),"Fix")))</f>
        <v>0</v>
      </c>
      <c r="E639" s="5">
        <f>IF(OR(INDEX($V$2:$V$1001,MATCH(ROWS($U$2:U639),$U$2:$U$1001,0),1)&gt;=100000,INDEX($AB$1005:$AQ$1005,1,MATCH(COLUMNS($AB$1006:AE1006),$AB$1006:$AQ$1006,0))&gt;=100000), " ",IF(INDEX($AB$2:$AQ$1001,MATCH(ROWS($U$2:U639),$U$2:$U$1001,0),MATCH(COLUMNS($AB$1006:AE1006),$AB$1006:$AQ$1006,0)), HYPERLINK("#",""), HYPERLINK(CONCATENATE("#Metadata!", ADDRESS(INDEX($W$2:$W$1001,MATCH(ROWS($U$2:U639),$U$2:$U$1001,0),0), INDEX($AB$1004:$AQ$1004,1,MATCH(COLUMNS($AB$1006:AE1006),$AB$1006:$AQ$1006,0)))),"Fix")))</f>
        <v>0</v>
      </c>
      <c r="F639" s="5">
        <f>IF(OR(INDEX($V$2:$V$1001,MATCH(ROWS($U$2:U639),$U$2:$U$1001,0),1)&gt;=100000,INDEX($AB$1005:$AQ$1005,1,MATCH(COLUMNS($AB$1006:AF1006),$AB$1006:$AQ$1006,0))&gt;=100000), " ",IF(INDEX($AB$2:$AQ$1001,MATCH(ROWS($U$2:U639),$U$2:$U$1001,0),MATCH(COLUMNS($AB$1006:AF1006),$AB$1006:$AQ$1006,0)), HYPERLINK("#",""), HYPERLINK(CONCATENATE("#Metadata!", ADDRESS(INDEX($W$2:$W$1001,MATCH(ROWS($U$2:U639),$U$2:$U$1001,0),0), INDEX($AB$1004:$AQ$1004,1,MATCH(COLUMNS($AB$1006:AF1006),$AB$1006:$AQ$1006,0)))),"Fix")))</f>
        <v>0</v>
      </c>
      <c r="G639" s="5">
        <f>IF(OR(INDEX($V$2:$V$1001,MATCH(ROWS($U$2:U639),$U$2:$U$1001,0),1)&gt;=100000,INDEX($AB$1005:$AQ$1005,1,MATCH(COLUMNS($AB$1006:AG1006),$AB$1006:$AQ$1006,0))&gt;=100000), " ",IF(INDEX($AB$2:$AQ$1001,MATCH(ROWS($U$2:U639),$U$2:$U$1001,0),MATCH(COLUMNS($AB$1006:AG1006),$AB$1006:$AQ$1006,0)), HYPERLINK("#",""), HYPERLINK(CONCATENATE("#Metadata!", ADDRESS(INDEX($W$2:$W$1001,MATCH(ROWS($U$2:U639),$U$2:$U$1001,0),0), INDEX($AB$1004:$AQ$1004,1,MATCH(COLUMNS($AB$1006:AG1006),$AB$1006:$AQ$1006,0)))),"Fix")))</f>
        <v>0</v>
      </c>
      <c r="H639" s="5">
        <f>IF(OR(INDEX($V$2:$V$1001,MATCH(ROWS($U$2:U639),$U$2:$U$1001,0),1)&gt;=100000,INDEX($AB$1005:$AQ$1005,1,MATCH(COLUMNS($AB$1006:AH1006),$AB$1006:$AQ$1006,0))&gt;=100000), " ",IF(INDEX($AB$2:$AQ$1001,MATCH(ROWS($U$2:U639),$U$2:$U$1001,0),MATCH(COLUMNS($AB$1006:AH1006),$AB$1006:$AQ$1006,0)), HYPERLINK("#",""), HYPERLINK(CONCATENATE("#Metadata!", ADDRESS(INDEX($W$2:$W$1001,MATCH(ROWS($U$2:U639),$U$2:$U$1001,0),0), INDEX($AB$1004:$AQ$1004,1,MATCH(COLUMNS($AB$1006:AH1006),$AB$1006:$AQ$1006,0)))),"Fix")))</f>
        <v>0</v>
      </c>
      <c r="I639" s="5">
        <f>IF(OR(INDEX($V$2:$V$1001,MATCH(ROWS($U$2:U639),$U$2:$U$1001,0),1)&gt;=100000,INDEX($AB$1005:$AQ$1005,1,MATCH(COLUMNS($AB$1006:AI1006),$AB$1006:$AQ$1006,0))&gt;=100000), " ",IF(INDEX($AB$2:$AQ$1001,MATCH(ROWS($U$2:U639),$U$2:$U$1001,0),MATCH(COLUMNS($AB$1006:AI1006),$AB$1006:$AQ$1006,0)), HYPERLINK("#",""), HYPERLINK(CONCATENATE("#Metadata!", ADDRESS(INDEX($W$2:$W$1001,MATCH(ROWS($U$2:U639),$U$2:$U$1001,0),0), INDEX($AB$1004:$AQ$1004,1,MATCH(COLUMNS($AB$1006:AI1006),$AB$1006:$AQ$1006,0)))),"Fix")))</f>
        <v>0</v>
      </c>
      <c r="J639" s="5">
        <f>IF(OR(INDEX($V$2:$V$1001,MATCH(ROWS($U$2:U639),$U$2:$U$1001,0),1)&gt;=100000,INDEX($AB$1005:$AQ$1005,1,MATCH(COLUMNS($AB$1006:AJ1006),$AB$1006:$AQ$1006,0))&gt;=100000), " ",IF(INDEX($AB$2:$AQ$1001,MATCH(ROWS($U$2:U639),$U$2:$U$1001,0),MATCH(COLUMNS($AB$1006:AJ1006),$AB$1006:$AQ$1006,0)), HYPERLINK("#",""), HYPERLINK(CONCATENATE("#Metadata!", ADDRESS(INDEX($W$2:$W$1001,MATCH(ROWS($U$2:U639),$U$2:$U$1001,0),0), INDEX($AB$1004:$AQ$1004,1,MATCH(COLUMNS($AB$1006:AJ1006),$AB$1006:$AQ$1006,0)))),"Fix")))</f>
        <v>0</v>
      </c>
      <c r="K639" s="5">
        <f>IF(OR(INDEX($V$2:$V$1001,MATCH(ROWS($U$2:U639),$U$2:$U$1001,0),1)&gt;=100000,INDEX($AB$1005:$AQ$1005,1,MATCH(COLUMNS($AB$1006:AK1006),$AB$1006:$AQ$1006,0))&gt;=100000), " ",IF(INDEX($AB$2:$AQ$1001,MATCH(ROWS($U$2:U639),$U$2:$U$1001,0),MATCH(COLUMNS($AB$1006:AK1006),$AB$1006:$AQ$1006,0)), HYPERLINK("#",""), HYPERLINK(CONCATENATE("#Metadata!", ADDRESS(INDEX($W$2:$W$1001,MATCH(ROWS($U$2:U639),$U$2:$U$1001,0),0), INDEX($AB$1004:$AQ$1004,1,MATCH(COLUMNS($AB$1006:AK1006),$AB$1006:$AQ$1006,0)))),"Fix")))</f>
        <v>0</v>
      </c>
      <c r="L639" s="5">
        <f>IF(OR(INDEX($V$2:$V$1001,MATCH(ROWS($U$2:U639),$U$2:$U$1001,0),1)&gt;=100000,INDEX($AB$1005:$AQ$1005,1,MATCH(COLUMNS($AB$1006:AL1006),$AB$1006:$AQ$1006,0))&gt;=100000), " ",IF(INDEX($AB$2:$AQ$1001,MATCH(ROWS($U$2:U639),$U$2:$U$1001,0),MATCH(COLUMNS($AB$1006:AL1006),$AB$1006:$AQ$1006,0)), HYPERLINK("#",""), HYPERLINK(CONCATENATE("#Metadata!", ADDRESS(INDEX($W$2:$W$1001,MATCH(ROWS($U$2:U639),$U$2:$U$1001,0),0), INDEX($AB$1004:$AQ$1004,1,MATCH(COLUMNS($AB$1006:AL1006),$AB$1006:$AQ$1006,0)))),"Fix")))</f>
        <v>0</v>
      </c>
      <c r="M639" s="5">
        <f>IF(OR(INDEX($V$2:$V$1001,MATCH(ROWS($U$2:U639),$U$2:$U$1001,0),1)&gt;=100000,INDEX($AB$1005:$AQ$1005,1,MATCH(COLUMNS($AB$1006:AM1006),$AB$1006:$AQ$1006,0))&gt;=100000), " ",IF(INDEX($AB$2:$AQ$1001,MATCH(ROWS($U$2:U639),$U$2:$U$1001,0),MATCH(COLUMNS($AB$1006:AM1006),$AB$1006:$AQ$1006,0)), HYPERLINK("#",""), HYPERLINK(CONCATENATE("#Metadata!", ADDRESS(INDEX($W$2:$W$1001,MATCH(ROWS($U$2:U639),$U$2:$U$1001,0),0), INDEX($AB$1004:$AQ$1004,1,MATCH(COLUMNS($AB$1006:AM1006),$AB$1006:$AQ$1006,0)))),"Fix")))</f>
        <v>0</v>
      </c>
      <c r="N639" s="5">
        <f>IF(OR(INDEX($V$2:$V$1001,MATCH(ROWS($U$2:U639),$U$2:$U$1001,0),1)&gt;=100000,INDEX($AB$1005:$AQ$1005,1,MATCH(COLUMNS($AB$1006:AN1006),$AB$1006:$AQ$1006,0))&gt;=100000), " ",IF(INDEX($AB$2:$AQ$1001,MATCH(ROWS($U$2:U639),$U$2:$U$1001,0),MATCH(COLUMNS($AB$1006:AN1006),$AB$1006:$AQ$1006,0)), HYPERLINK("#",""), HYPERLINK(CONCATENATE("#Metadata!", ADDRESS(INDEX($W$2:$W$1001,MATCH(ROWS($U$2:U639),$U$2:$U$1001,0),0), INDEX($AB$1004:$AQ$1004,1,MATCH(COLUMNS($AB$1006:AN1006),$AB$1006:$AQ$1006,0)))),"Fix")))</f>
        <v>0</v>
      </c>
      <c r="O639" s="5">
        <f>IF(OR(INDEX($V$2:$V$1001,MATCH(ROWS($U$2:U639),$U$2:$U$1001,0),1)&gt;=100000,INDEX($AB$1005:$AQ$1005,1,MATCH(COLUMNS($AB$1006:AO1006),$AB$1006:$AQ$1006,0))&gt;=100000), " ",IF(INDEX($AB$2:$AQ$1001,MATCH(ROWS($U$2:U639),$U$2:$U$1001,0),MATCH(COLUMNS($AB$1006:AO1006),$AB$1006:$AQ$1006,0)), HYPERLINK("#",""), HYPERLINK(CONCATENATE("#Metadata!", ADDRESS(INDEX($W$2:$W$1001,MATCH(ROWS($U$2:U639),$U$2:$U$1001,0),0), INDEX($AB$1004:$AQ$1004,1,MATCH(COLUMNS($AB$1006:AO1006),$AB$1006:$AQ$1006,0)))),"Fix")))</f>
        <v>0</v>
      </c>
      <c r="P639" s="5">
        <f>IF(OR(INDEX($V$2:$V$1001,MATCH(ROWS($U$2:U639),$U$2:$U$1001,0),1)&gt;=100000,INDEX($AB$1005:$AQ$1005,1,MATCH(COLUMNS($AB$1006:AP1006),$AB$1006:$AQ$1006,0))&gt;=100000), " ",IF(INDEX($AB$2:$AQ$1001,MATCH(ROWS($U$2:U639),$U$2:$U$1001,0),MATCH(COLUMNS($AB$1006:AP1006),$AB$1006:$AQ$1006,0)), HYPERLINK("#",""), HYPERLINK(CONCATENATE("#Metadata!", ADDRESS(INDEX($W$2:$W$1001,MATCH(ROWS($U$2:U639),$U$2:$U$1001,0),0), INDEX($AB$1004:$AQ$1004,1,MATCH(COLUMNS($AB$1006:AP1006),$AB$1006:$AQ$1006,0)))),"Fix")))</f>
        <v>0</v>
      </c>
      <c r="Q639" s="5">
        <f>IF(OR(INDEX($V$2:$V$1001,MATCH(ROWS($U$2:U639),$U$2:$U$1001,0),1)&gt;=100000,INDEX($AB$1005:$AQ$1005,1,MATCH(COLUMNS($AB$1006:AQ1006),$AB$1006:$AQ$1006,0))&gt;=100000), " ",IF(INDEX($AB$2:$AQ$1001,MATCH(ROWS($U$2:U639),$U$2:$U$1001,0),MATCH(COLUMNS($AB$1006:AQ1006),$AB$1006:$AQ$1006,0)), HYPERLINK("#",""), HYPERLINK(CONCATENATE("#Metadata!", ADDRESS(INDEX($W$2:$W$1001,MATCH(ROWS($U$2:U639),$U$2:$U$1001,0),0), INDEX($AB$1004:$AQ$1004,1,MATCH(COLUMNS($AB$1006:AQ1006),$AB$1006:$AQ$1006,0)))),"Fix")))</f>
        <v>0</v>
      </c>
      <c r="U639">
        <v>0</v>
      </c>
      <c r="V639">
        <v>0</v>
      </c>
      <c r="W639">
        <v>0</v>
      </c>
      <c r="X639">
        <f>IF(Y639,TRUE,AND(AB639:AQ639))</f>
        <v>0</v>
      </c>
      <c r="Y639">
        <f>COUNTBLANK(Metadata!B639:Q639)=COLUMNS(Metadata!B639:Q639)</f>
        <v>0</v>
      </c>
      <c r="Z639">
        <v>0</v>
      </c>
      <c r="AB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AC639">
        <f>AND(IF(Metadata!C639="",FALSE,TRUE),exact(Metadata!C639,"urban biome"))</f>
        <v>0</v>
      </c>
      <c r="AD639">
        <f>AND(IF(Metadata!D639="",FALSE,TRUE),exact(Metadata!D639,"human-associated habitat"))</f>
        <v>0</v>
      </c>
      <c r="AE639">
        <f>AND(IF(Metadata!E639="",FALSE,TRUE),OR(exact(Metadata!E639,"human-associated"),exact(Metadata!E639,"human-skin"),exact(Metadata!E639,"human-oral"),exact(Metadata!E639,"human-gut"),exact(Metadata!E639,"human-vaginal")))</f>
        <v>0</v>
      </c>
      <c r="AF639">
        <f>AND(IF(Metadata!F639="",FALSE,ISNUMBER(VALUE(Metadata!F639))),Metadata!F639&gt;0)</f>
        <v>0</v>
      </c>
      <c r="AG639">
        <f>AND(IF(Metadata!G639="",FALSE,TRUE),exact(Metadata!G639,"years"))</f>
        <v>0</v>
      </c>
      <c r="AH639">
        <f>OR(AND(IF(Metadata!H639="",FALSE,TRUE),OR(exact(Metadata!H639,"not applicable"),exact(Metadata!H639,"not collected"),exact(Metadata!H639,"not provided"),exact(Metadata!H639,"restricted access"))),AND(IF(Metadata!H639="",FALSE,ISNUMBER(VALUE(Metadata!H639))),Metadata!H639&gt;0))</f>
        <v>0</v>
      </c>
      <c r="AI639">
        <f>AND(IF(Metadata!I639="",FALSE,TRUE),exact(Metadata!I639,"human"))</f>
        <v>0</v>
      </c>
      <c r="AJ639">
        <f>AND(IF(Metadata!J639="",FALSE,ISNUMBER(VALUE(Metadata!J639))),Metadata!J639&gt;0)</f>
        <v>0</v>
      </c>
      <c r="AK639">
        <f>AND(IF(Metadata!K639="",FALSE,TRUE),exact(Metadata!K639,"cm"))</f>
        <v>0</v>
      </c>
      <c r="AL639">
        <f>AND(IF(Metadata!L639="",FALSE,TRUE),exact(Metadata!L639,"Homo sapiens"))</f>
        <v>0</v>
      </c>
      <c r="AM639">
        <f>AND(IF(Metadata!M639="",FALSE,TRUE),exact(Metadata!M639,"9606"))</f>
        <v>0</v>
      </c>
      <c r="AN639">
        <f>AND(IF(Metadata!N639="",FALSE,ISNUMBER(VALUE(Metadata!N639))),Metadata!N639&gt;0)</f>
        <v>0</v>
      </c>
      <c r="AO639">
        <f>AND(IF(Metadata!O639="",FALSE,TRUE),exact(Metadata!O639,"kg"))</f>
        <v>0</v>
      </c>
      <c r="AP639">
        <f>OR(AND(IF(Metadata!P639="",FALSE,TRUE),exact(Metadata!P639,"not provided")),IF(Metadata!P639="",FALSE,TRUE))</f>
        <v>0</v>
      </c>
      <c r="AQ639">
        <f>OR(AND(IF(Metadata!Q639="",FALSE,TRUE),exact(Metadata!Q639,"not provided")),IF(Metadata!Q639="",FALSE,TRUE))</f>
        <v>0</v>
      </c>
    </row>
    <row r="640" spans="1:43">
      <c r="A640" s="4">
        <f>IF(B640=" "," ",HYPERLINK(CONCATENATE("#metadata!",ADDRESS(INDEX($W$2:$W$1001,MATCH(ROWS($U$2:U640),$U$2:$U$1001,0),0),2)),INDEX($Z$2:$Z$1001,MATCH(ROWS($U$2:U640),$U$2:$U$1001,0),0)))</f>
        <v>0</v>
      </c>
      <c r="B640" s="5">
        <f>IF(OR(INDEX($V$2:$V$1001,MATCH(ROWS($U$2:U640),$U$2:$U$1001,0),1)&gt;=100000,INDEX($AB$1005:$AQ$1005,1,MATCH(COLUMNS($AB$1006:AB1006),$AB$1006:$AQ$1006,0))&gt;=100000), " ",IF(INDEX($AB$2:$AQ$1001,MATCH(ROWS($U$2:U640),$U$2:$U$1001,0),MATCH(COLUMNS($AB$1006:AB1006),$AB$1006:$AQ$1006,0)), HYPERLINK("#",""), HYPERLINK(CONCATENATE("#Metadata!", ADDRESS(INDEX($W$2:$W$1001,MATCH(ROWS($U$2:U640),$U$2:$U$1001,0),0), INDEX($AB$1004:$AQ$1004,1,MATCH(COLUMNS($AB$1006:AB1006),$AB$1006:$AQ$1006,0)))),"Fix")))</f>
        <v>0</v>
      </c>
      <c r="C640" s="5">
        <f>IF(OR(INDEX($V$2:$V$1001,MATCH(ROWS($U$2:U640),$U$2:$U$1001,0),1)&gt;=100000,INDEX($AB$1005:$AQ$1005,1,MATCH(COLUMNS($AB$1006:AC1006),$AB$1006:$AQ$1006,0))&gt;=100000), " ",IF(INDEX($AB$2:$AQ$1001,MATCH(ROWS($U$2:U640),$U$2:$U$1001,0),MATCH(COLUMNS($AB$1006:AC1006),$AB$1006:$AQ$1006,0)), HYPERLINK("#",""), HYPERLINK(CONCATENATE("#Metadata!", ADDRESS(INDEX($W$2:$W$1001,MATCH(ROWS($U$2:U640),$U$2:$U$1001,0),0), INDEX($AB$1004:$AQ$1004,1,MATCH(COLUMNS($AB$1006:AC1006),$AB$1006:$AQ$1006,0)))),"Fix")))</f>
        <v>0</v>
      </c>
      <c r="D640" s="5">
        <f>IF(OR(INDEX($V$2:$V$1001,MATCH(ROWS($U$2:U640),$U$2:$U$1001,0),1)&gt;=100000,INDEX($AB$1005:$AQ$1005,1,MATCH(COLUMNS($AB$1006:AD1006),$AB$1006:$AQ$1006,0))&gt;=100000), " ",IF(INDEX($AB$2:$AQ$1001,MATCH(ROWS($U$2:U640),$U$2:$U$1001,0),MATCH(COLUMNS($AB$1006:AD1006),$AB$1006:$AQ$1006,0)), HYPERLINK("#",""), HYPERLINK(CONCATENATE("#Metadata!", ADDRESS(INDEX($W$2:$W$1001,MATCH(ROWS($U$2:U640),$U$2:$U$1001,0),0), INDEX($AB$1004:$AQ$1004,1,MATCH(COLUMNS($AB$1006:AD1006),$AB$1006:$AQ$1006,0)))),"Fix")))</f>
        <v>0</v>
      </c>
      <c r="E640" s="5">
        <f>IF(OR(INDEX($V$2:$V$1001,MATCH(ROWS($U$2:U640),$U$2:$U$1001,0),1)&gt;=100000,INDEX($AB$1005:$AQ$1005,1,MATCH(COLUMNS($AB$1006:AE1006),$AB$1006:$AQ$1006,0))&gt;=100000), " ",IF(INDEX($AB$2:$AQ$1001,MATCH(ROWS($U$2:U640),$U$2:$U$1001,0),MATCH(COLUMNS($AB$1006:AE1006),$AB$1006:$AQ$1006,0)), HYPERLINK("#",""), HYPERLINK(CONCATENATE("#Metadata!", ADDRESS(INDEX($W$2:$W$1001,MATCH(ROWS($U$2:U640),$U$2:$U$1001,0),0), INDEX($AB$1004:$AQ$1004,1,MATCH(COLUMNS($AB$1006:AE1006),$AB$1006:$AQ$1006,0)))),"Fix")))</f>
        <v>0</v>
      </c>
      <c r="F640" s="5">
        <f>IF(OR(INDEX($V$2:$V$1001,MATCH(ROWS($U$2:U640),$U$2:$U$1001,0),1)&gt;=100000,INDEX($AB$1005:$AQ$1005,1,MATCH(COLUMNS($AB$1006:AF1006),$AB$1006:$AQ$1006,0))&gt;=100000), " ",IF(INDEX($AB$2:$AQ$1001,MATCH(ROWS($U$2:U640),$U$2:$U$1001,0),MATCH(COLUMNS($AB$1006:AF1006),$AB$1006:$AQ$1006,0)), HYPERLINK("#",""), HYPERLINK(CONCATENATE("#Metadata!", ADDRESS(INDEX($W$2:$W$1001,MATCH(ROWS($U$2:U640),$U$2:$U$1001,0),0), INDEX($AB$1004:$AQ$1004,1,MATCH(COLUMNS($AB$1006:AF1006),$AB$1006:$AQ$1006,0)))),"Fix")))</f>
        <v>0</v>
      </c>
      <c r="G640" s="5">
        <f>IF(OR(INDEX($V$2:$V$1001,MATCH(ROWS($U$2:U640),$U$2:$U$1001,0),1)&gt;=100000,INDEX($AB$1005:$AQ$1005,1,MATCH(COLUMNS($AB$1006:AG1006),$AB$1006:$AQ$1006,0))&gt;=100000), " ",IF(INDEX($AB$2:$AQ$1001,MATCH(ROWS($U$2:U640),$U$2:$U$1001,0),MATCH(COLUMNS($AB$1006:AG1006),$AB$1006:$AQ$1006,0)), HYPERLINK("#",""), HYPERLINK(CONCATENATE("#Metadata!", ADDRESS(INDEX($W$2:$W$1001,MATCH(ROWS($U$2:U640),$U$2:$U$1001,0),0), INDEX($AB$1004:$AQ$1004,1,MATCH(COLUMNS($AB$1006:AG1006),$AB$1006:$AQ$1006,0)))),"Fix")))</f>
        <v>0</v>
      </c>
      <c r="H640" s="5">
        <f>IF(OR(INDEX($V$2:$V$1001,MATCH(ROWS($U$2:U640),$U$2:$U$1001,0),1)&gt;=100000,INDEX($AB$1005:$AQ$1005,1,MATCH(COLUMNS($AB$1006:AH1006),$AB$1006:$AQ$1006,0))&gt;=100000), " ",IF(INDEX($AB$2:$AQ$1001,MATCH(ROWS($U$2:U640),$U$2:$U$1001,0),MATCH(COLUMNS($AB$1006:AH1006),$AB$1006:$AQ$1006,0)), HYPERLINK("#",""), HYPERLINK(CONCATENATE("#Metadata!", ADDRESS(INDEX($W$2:$W$1001,MATCH(ROWS($U$2:U640),$U$2:$U$1001,0),0), INDEX($AB$1004:$AQ$1004,1,MATCH(COLUMNS($AB$1006:AH1006),$AB$1006:$AQ$1006,0)))),"Fix")))</f>
        <v>0</v>
      </c>
      <c r="I640" s="5">
        <f>IF(OR(INDEX($V$2:$V$1001,MATCH(ROWS($U$2:U640),$U$2:$U$1001,0),1)&gt;=100000,INDEX($AB$1005:$AQ$1005,1,MATCH(COLUMNS($AB$1006:AI1006),$AB$1006:$AQ$1006,0))&gt;=100000), " ",IF(INDEX($AB$2:$AQ$1001,MATCH(ROWS($U$2:U640),$U$2:$U$1001,0),MATCH(COLUMNS($AB$1006:AI1006),$AB$1006:$AQ$1006,0)), HYPERLINK("#",""), HYPERLINK(CONCATENATE("#Metadata!", ADDRESS(INDEX($W$2:$W$1001,MATCH(ROWS($U$2:U640),$U$2:$U$1001,0),0), INDEX($AB$1004:$AQ$1004,1,MATCH(COLUMNS($AB$1006:AI1006),$AB$1006:$AQ$1006,0)))),"Fix")))</f>
        <v>0</v>
      </c>
      <c r="J640" s="5">
        <f>IF(OR(INDEX($V$2:$V$1001,MATCH(ROWS($U$2:U640),$U$2:$U$1001,0),1)&gt;=100000,INDEX($AB$1005:$AQ$1005,1,MATCH(COLUMNS($AB$1006:AJ1006),$AB$1006:$AQ$1006,0))&gt;=100000), " ",IF(INDEX($AB$2:$AQ$1001,MATCH(ROWS($U$2:U640),$U$2:$U$1001,0),MATCH(COLUMNS($AB$1006:AJ1006),$AB$1006:$AQ$1006,0)), HYPERLINK("#",""), HYPERLINK(CONCATENATE("#Metadata!", ADDRESS(INDEX($W$2:$W$1001,MATCH(ROWS($U$2:U640),$U$2:$U$1001,0),0), INDEX($AB$1004:$AQ$1004,1,MATCH(COLUMNS($AB$1006:AJ1006),$AB$1006:$AQ$1006,0)))),"Fix")))</f>
        <v>0</v>
      </c>
      <c r="K640" s="5">
        <f>IF(OR(INDEX($V$2:$V$1001,MATCH(ROWS($U$2:U640),$U$2:$U$1001,0),1)&gt;=100000,INDEX($AB$1005:$AQ$1005,1,MATCH(COLUMNS($AB$1006:AK1006),$AB$1006:$AQ$1006,0))&gt;=100000), " ",IF(INDEX($AB$2:$AQ$1001,MATCH(ROWS($U$2:U640),$U$2:$U$1001,0),MATCH(COLUMNS($AB$1006:AK1006),$AB$1006:$AQ$1006,0)), HYPERLINK("#",""), HYPERLINK(CONCATENATE("#Metadata!", ADDRESS(INDEX($W$2:$W$1001,MATCH(ROWS($U$2:U640),$U$2:$U$1001,0),0), INDEX($AB$1004:$AQ$1004,1,MATCH(COLUMNS($AB$1006:AK1006),$AB$1006:$AQ$1006,0)))),"Fix")))</f>
        <v>0</v>
      </c>
      <c r="L640" s="5">
        <f>IF(OR(INDEX($V$2:$V$1001,MATCH(ROWS($U$2:U640),$U$2:$U$1001,0),1)&gt;=100000,INDEX($AB$1005:$AQ$1005,1,MATCH(COLUMNS($AB$1006:AL1006),$AB$1006:$AQ$1006,0))&gt;=100000), " ",IF(INDEX($AB$2:$AQ$1001,MATCH(ROWS($U$2:U640),$U$2:$U$1001,0),MATCH(COLUMNS($AB$1006:AL1006),$AB$1006:$AQ$1006,0)), HYPERLINK("#",""), HYPERLINK(CONCATENATE("#Metadata!", ADDRESS(INDEX($W$2:$W$1001,MATCH(ROWS($U$2:U640),$U$2:$U$1001,0),0), INDEX($AB$1004:$AQ$1004,1,MATCH(COLUMNS($AB$1006:AL1006),$AB$1006:$AQ$1006,0)))),"Fix")))</f>
        <v>0</v>
      </c>
      <c r="M640" s="5">
        <f>IF(OR(INDEX($V$2:$V$1001,MATCH(ROWS($U$2:U640),$U$2:$U$1001,0),1)&gt;=100000,INDEX($AB$1005:$AQ$1005,1,MATCH(COLUMNS($AB$1006:AM1006),$AB$1006:$AQ$1006,0))&gt;=100000), " ",IF(INDEX($AB$2:$AQ$1001,MATCH(ROWS($U$2:U640),$U$2:$U$1001,0),MATCH(COLUMNS($AB$1006:AM1006),$AB$1006:$AQ$1006,0)), HYPERLINK("#",""), HYPERLINK(CONCATENATE("#Metadata!", ADDRESS(INDEX($W$2:$W$1001,MATCH(ROWS($U$2:U640),$U$2:$U$1001,0),0), INDEX($AB$1004:$AQ$1004,1,MATCH(COLUMNS($AB$1006:AM1006),$AB$1006:$AQ$1006,0)))),"Fix")))</f>
        <v>0</v>
      </c>
      <c r="N640" s="5">
        <f>IF(OR(INDEX($V$2:$V$1001,MATCH(ROWS($U$2:U640),$U$2:$U$1001,0),1)&gt;=100000,INDEX($AB$1005:$AQ$1005,1,MATCH(COLUMNS($AB$1006:AN1006),$AB$1006:$AQ$1006,0))&gt;=100000), " ",IF(INDEX($AB$2:$AQ$1001,MATCH(ROWS($U$2:U640),$U$2:$U$1001,0),MATCH(COLUMNS($AB$1006:AN1006),$AB$1006:$AQ$1006,0)), HYPERLINK("#",""), HYPERLINK(CONCATENATE("#Metadata!", ADDRESS(INDEX($W$2:$W$1001,MATCH(ROWS($U$2:U640),$U$2:$U$1001,0),0), INDEX($AB$1004:$AQ$1004,1,MATCH(COLUMNS($AB$1006:AN1006),$AB$1006:$AQ$1006,0)))),"Fix")))</f>
        <v>0</v>
      </c>
      <c r="O640" s="5">
        <f>IF(OR(INDEX($V$2:$V$1001,MATCH(ROWS($U$2:U640),$U$2:$U$1001,0),1)&gt;=100000,INDEX($AB$1005:$AQ$1005,1,MATCH(COLUMNS($AB$1006:AO1006),$AB$1006:$AQ$1006,0))&gt;=100000), " ",IF(INDEX($AB$2:$AQ$1001,MATCH(ROWS($U$2:U640),$U$2:$U$1001,0),MATCH(COLUMNS($AB$1006:AO1006),$AB$1006:$AQ$1006,0)), HYPERLINK("#",""), HYPERLINK(CONCATENATE("#Metadata!", ADDRESS(INDEX($W$2:$W$1001,MATCH(ROWS($U$2:U640),$U$2:$U$1001,0),0), INDEX($AB$1004:$AQ$1004,1,MATCH(COLUMNS($AB$1006:AO1006),$AB$1006:$AQ$1006,0)))),"Fix")))</f>
        <v>0</v>
      </c>
      <c r="P640" s="5">
        <f>IF(OR(INDEX($V$2:$V$1001,MATCH(ROWS($U$2:U640),$U$2:$U$1001,0),1)&gt;=100000,INDEX($AB$1005:$AQ$1005,1,MATCH(COLUMNS($AB$1006:AP1006),$AB$1006:$AQ$1006,0))&gt;=100000), " ",IF(INDEX($AB$2:$AQ$1001,MATCH(ROWS($U$2:U640),$U$2:$U$1001,0),MATCH(COLUMNS($AB$1006:AP1006),$AB$1006:$AQ$1006,0)), HYPERLINK("#",""), HYPERLINK(CONCATENATE("#Metadata!", ADDRESS(INDEX($W$2:$W$1001,MATCH(ROWS($U$2:U640),$U$2:$U$1001,0),0), INDEX($AB$1004:$AQ$1004,1,MATCH(COLUMNS($AB$1006:AP1006),$AB$1006:$AQ$1006,0)))),"Fix")))</f>
        <v>0</v>
      </c>
      <c r="Q640" s="5">
        <f>IF(OR(INDEX($V$2:$V$1001,MATCH(ROWS($U$2:U640),$U$2:$U$1001,0),1)&gt;=100000,INDEX($AB$1005:$AQ$1005,1,MATCH(COLUMNS($AB$1006:AQ1006),$AB$1006:$AQ$1006,0))&gt;=100000), " ",IF(INDEX($AB$2:$AQ$1001,MATCH(ROWS($U$2:U640),$U$2:$U$1001,0),MATCH(COLUMNS($AB$1006:AQ1006),$AB$1006:$AQ$1006,0)), HYPERLINK("#",""), HYPERLINK(CONCATENATE("#Metadata!", ADDRESS(INDEX($W$2:$W$1001,MATCH(ROWS($U$2:U640),$U$2:$U$1001,0),0), INDEX($AB$1004:$AQ$1004,1,MATCH(COLUMNS($AB$1006:AQ1006),$AB$1006:$AQ$1006,0)))),"Fix")))</f>
        <v>0</v>
      </c>
      <c r="U640">
        <v>0</v>
      </c>
      <c r="V640">
        <v>0</v>
      </c>
      <c r="W640">
        <v>0</v>
      </c>
      <c r="X640">
        <f>IF(Y640,TRUE,AND(AB640:AQ640))</f>
        <v>0</v>
      </c>
      <c r="Y640">
        <f>COUNTBLANK(Metadata!B640:Q640)=COLUMNS(Metadata!B640:Q640)</f>
        <v>0</v>
      </c>
      <c r="Z640">
        <v>0</v>
      </c>
      <c r="AB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AC640">
        <f>AND(IF(Metadata!C640="",FALSE,TRUE),exact(Metadata!C640,"urban biome"))</f>
        <v>0</v>
      </c>
      <c r="AD640">
        <f>AND(IF(Metadata!D640="",FALSE,TRUE),exact(Metadata!D640,"human-associated habitat"))</f>
        <v>0</v>
      </c>
      <c r="AE640">
        <f>AND(IF(Metadata!E640="",FALSE,TRUE),OR(exact(Metadata!E640,"human-associated"),exact(Metadata!E640,"human-skin"),exact(Metadata!E640,"human-oral"),exact(Metadata!E640,"human-gut"),exact(Metadata!E640,"human-vaginal")))</f>
        <v>0</v>
      </c>
      <c r="AF640">
        <f>AND(IF(Metadata!F640="",FALSE,ISNUMBER(VALUE(Metadata!F640))),Metadata!F640&gt;0)</f>
        <v>0</v>
      </c>
      <c r="AG640">
        <f>AND(IF(Metadata!G640="",FALSE,TRUE),exact(Metadata!G640,"years"))</f>
        <v>0</v>
      </c>
      <c r="AH640">
        <f>OR(AND(IF(Metadata!H640="",FALSE,TRUE),OR(exact(Metadata!H640,"not applicable"),exact(Metadata!H640,"not collected"),exact(Metadata!H640,"not provided"),exact(Metadata!H640,"restricted access"))),AND(IF(Metadata!H640="",FALSE,ISNUMBER(VALUE(Metadata!H640))),Metadata!H640&gt;0))</f>
        <v>0</v>
      </c>
      <c r="AI640">
        <f>AND(IF(Metadata!I640="",FALSE,TRUE),exact(Metadata!I640,"human"))</f>
        <v>0</v>
      </c>
      <c r="AJ640">
        <f>AND(IF(Metadata!J640="",FALSE,ISNUMBER(VALUE(Metadata!J640))),Metadata!J640&gt;0)</f>
        <v>0</v>
      </c>
      <c r="AK640">
        <f>AND(IF(Metadata!K640="",FALSE,TRUE),exact(Metadata!K640,"cm"))</f>
        <v>0</v>
      </c>
      <c r="AL640">
        <f>AND(IF(Metadata!L640="",FALSE,TRUE),exact(Metadata!L640,"Homo sapiens"))</f>
        <v>0</v>
      </c>
      <c r="AM640">
        <f>AND(IF(Metadata!M640="",FALSE,TRUE),exact(Metadata!M640,"9606"))</f>
        <v>0</v>
      </c>
      <c r="AN640">
        <f>AND(IF(Metadata!N640="",FALSE,ISNUMBER(VALUE(Metadata!N640))),Metadata!N640&gt;0)</f>
        <v>0</v>
      </c>
      <c r="AO640">
        <f>AND(IF(Metadata!O640="",FALSE,TRUE),exact(Metadata!O640,"kg"))</f>
        <v>0</v>
      </c>
      <c r="AP640">
        <f>OR(AND(IF(Metadata!P640="",FALSE,TRUE),exact(Metadata!P640,"not provided")),IF(Metadata!P640="",FALSE,TRUE))</f>
        <v>0</v>
      </c>
      <c r="AQ640">
        <f>OR(AND(IF(Metadata!Q640="",FALSE,TRUE),exact(Metadata!Q640,"not provided")),IF(Metadata!Q640="",FALSE,TRUE))</f>
        <v>0</v>
      </c>
    </row>
    <row r="641" spans="1:43">
      <c r="A641" s="4">
        <f>IF(B641=" "," ",HYPERLINK(CONCATENATE("#metadata!",ADDRESS(INDEX($W$2:$W$1001,MATCH(ROWS($U$2:U641),$U$2:$U$1001,0),0),2)),INDEX($Z$2:$Z$1001,MATCH(ROWS($U$2:U641),$U$2:$U$1001,0),0)))</f>
        <v>0</v>
      </c>
      <c r="B641" s="5">
        <f>IF(OR(INDEX($V$2:$V$1001,MATCH(ROWS($U$2:U641),$U$2:$U$1001,0),1)&gt;=100000,INDEX($AB$1005:$AQ$1005,1,MATCH(COLUMNS($AB$1006:AB1006),$AB$1006:$AQ$1006,0))&gt;=100000), " ",IF(INDEX($AB$2:$AQ$1001,MATCH(ROWS($U$2:U641),$U$2:$U$1001,0),MATCH(COLUMNS($AB$1006:AB1006),$AB$1006:$AQ$1006,0)), HYPERLINK("#",""), HYPERLINK(CONCATENATE("#Metadata!", ADDRESS(INDEX($W$2:$W$1001,MATCH(ROWS($U$2:U641),$U$2:$U$1001,0),0), INDEX($AB$1004:$AQ$1004,1,MATCH(COLUMNS($AB$1006:AB1006),$AB$1006:$AQ$1006,0)))),"Fix")))</f>
        <v>0</v>
      </c>
      <c r="C641" s="5">
        <f>IF(OR(INDEX($V$2:$V$1001,MATCH(ROWS($U$2:U641),$U$2:$U$1001,0),1)&gt;=100000,INDEX($AB$1005:$AQ$1005,1,MATCH(COLUMNS($AB$1006:AC1006),$AB$1006:$AQ$1006,0))&gt;=100000), " ",IF(INDEX($AB$2:$AQ$1001,MATCH(ROWS($U$2:U641),$U$2:$U$1001,0),MATCH(COLUMNS($AB$1006:AC1006),$AB$1006:$AQ$1006,0)), HYPERLINK("#",""), HYPERLINK(CONCATENATE("#Metadata!", ADDRESS(INDEX($W$2:$W$1001,MATCH(ROWS($U$2:U641),$U$2:$U$1001,0),0), INDEX($AB$1004:$AQ$1004,1,MATCH(COLUMNS($AB$1006:AC1006),$AB$1006:$AQ$1006,0)))),"Fix")))</f>
        <v>0</v>
      </c>
      <c r="D641" s="5">
        <f>IF(OR(INDEX($V$2:$V$1001,MATCH(ROWS($U$2:U641),$U$2:$U$1001,0),1)&gt;=100000,INDEX($AB$1005:$AQ$1005,1,MATCH(COLUMNS($AB$1006:AD1006),$AB$1006:$AQ$1006,0))&gt;=100000), " ",IF(INDEX($AB$2:$AQ$1001,MATCH(ROWS($U$2:U641),$U$2:$U$1001,0),MATCH(COLUMNS($AB$1006:AD1006),$AB$1006:$AQ$1006,0)), HYPERLINK("#",""), HYPERLINK(CONCATENATE("#Metadata!", ADDRESS(INDEX($W$2:$W$1001,MATCH(ROWS($U$2:U641),$U$2:$U$1001,0),0), INDEX($AB$1004:$AQ$1004,1,MATCH(COLUMNS($AB$1006:AD1006),$AB$1006:$AQ$1006,0)))),"Fix")))</f>
        <v>0</v>
      </c>
      <c r="E641" s="5">
        <f>IF(OR(INDEX($V$2:$V$1001,MATCH(ROWS($U$2:U641),$U$2:$U$1001,0),1)&gt;=100000,INDEX($AB$1005:$AQ$1005,1,MATCH(COLUMNS($AB$1006:AE1006),$AB$1006:$AQ$1006,0))&gt;=100000), " ",IF(INDEX($AB$2:$AQ$1001,MATCH(ROWS($U$2:U641),$U$2:$U$1001,0),MATCH(COLUMNS($AB$1006:AE1006),$AB$1006:$AQ$1006,0)), HYPERLINK("#",""), HYPERLINK(CONCATENATE("#Metadata!", ADDRESS(INDEX($W$2:$W$1001,MATCH(ROWS($U$2:U641),$U$2:$U$1001,0),0), INDEX($AB$1004:$AQ$1004,1,MATCH(COLUMNS($AB$1006:AE1006),$AB$1006:$AQ$1006,0)))),"Fix")))</f>
        <v>0</v>
      </c>
      <c r="F641" s="5">
        <f>IF(OR(INDEX($V$2:$V$1001,MATCH(ROWS($U$2:U641),$U$2:$U$1001,0),1)&gt;=100000,INDEX($AB$1005:$AQ$1005,1,MATCH(COLUMNS($AB$1006:AF1006),$AB$1006:$AQ$1006,0))&gt;=100000), " ",IF(INDEX($AB$2:$AQ$1001,MATCH(ROWS($U$2:U641),$U$2:$U$1001,0),MATCH(COLUMNS($AB$1006:AF1006),$AB$1006:$AQ$1006,0)), HYPERLINK("#",""), HYPERLINK(CONCATENATE("#Metadata!", ADDRESS(INDEX($W$2:$W$1001,MATCH(ROWS($U$2:U641),$U$2:$U$1001,0),0), INDEX($AB$1004:$AQ$1004,1,MATCH(COLUMNS($AB$1006:AF1006),$AB$1006:$AQ$1006,0)))),"Fix")))</f>
        <v>0</v>
      </c>
      <c r="G641" s="5">
        <f>IF(OR(INDEX($V$2:$V$1001,MATCH(ROWS($U$2:U641),$U$2:$U$1001,0),1)&gt;=100000,INDEX($AB$1005:$AQ$1005,1,MATCH(COLUMNS($AB$1006:AG1006),$AB$1006:$AQ$1006,0))&gt;=100000), " ",IF(INDEX($AB$2:$AQ$1001,MATCH(ROWS($U$2:U641),$U$2:$U$1001,0),MATCH(COLUMNS($AB$1006:AG1006),$AB$1006:$AQ$1006,0)), HYPERLINK("#",""), HYPERLINK(CONCATENATE("#Metadata!", ADDRESS(INDEX($W$2:$W$1001,MATCH(ROWS($U$2:U641),$U$2:$U$1001,0),0), INDEX($AB$1004:$AQ$1004,1,MATCH(COLUMNS($AB$1006:AG1006),$AB$1006:$AQ$1006,0)))),"Fix")))</f>
        <v>0</v>
      </c>
      <c r="H641" s="5">
        <f>IF(OR(INDEX($V$2:$V$1001,MATCH(ROWS($U$2:U641),$U$2:$U$1001,0),1)&gt;=100000,INDEX($AB$1005:$AQ$1005,1,MATCH(COLUMNS($AB$1006:AH1006),$AB$1006:$AQ$1006,0))&gt;=100000), " ",IF(INDEX($AB$2:$AQ$1001,MATCH(ROWS($U$2:U641),$U$2:$U$1001,0),MATCH(COLUMNS($AB$1006:AH1006),$AB$1006:$AQ$1006,0)), HYPERLINK("#",""), HYPERLINK(CONCATENATE("#Metadata!", ADDRESS(INDEX($W$2:$W$1001,MATCH(ROWS($U$2:U641),$U$2:$U$1001,0),0), INDEX($AB$1004:$AQ$1004,1,MATCH(COLUMNS($AB$1006:AH1006),$AB$1006:$AQ$1006,0)))),"Fix")))</f>
        <v>0</v>
      </c>
      <c r="I641" s="5">
        <f>IF(OR(INDEX($V$2:$V$1001,MATCH(ROWS($U$2:U641),$U$2:$U$1001,0),1)&gt;=100000,INDEX($AB$1005:$AQ$1005,1,MATCH(COLUMNS($AB$1006:AI1006),$AB$1006:$AQ$1006,0))&gt;=100000), " ",IF(INDEX($AB$2:$AQ$1001,MATCH(ROWS($U$2:U641),$U$2:$U$1001,0),MATCH(COLUMNS($AB$1006:AI1006),$AB$1006:$AQ$1006,0)), HYPERLINK("#",""), HYPERLINK(CONCATENATE("#Metadata!", ADDRESS(INDEX($W$2:$W$1001,MATCH(ROWS($U$2:U641),$U$2:$U$1001,0),0), INDEX($AB$1004:$AQ$1004,1,MATCH(COLUMNS($AB$1006:AI1006),$AB$1006:$AQ$1006,0)))),"Fix")))</f>
        <v>0</v>
      </c>
      <c r="J641" s="5">
        <f>IF(OR(INDEX($V$2:$V$1001,MATCH(ROWS($U$2:U641),$U$2:$U$1001,0),1)&gt;=100000,INDEX($AB$1005:$AQ$1005,1,MATCH(COLUMNS($AB$1006:AJ1006),$AB$1006:$AQ$1006,0))&gt;=100000), " ",IF(INDEX($AB$2:$AQ$1001,MATCH(ROWS($U$2:U641),$U$2:$U$1001,0),MATCH(COLUMNS($AB$1006:AJ1006),$AB$1006:$AQ$1006,0)), HYPERLINK("#",""), HYPERLINK(CONCATENATE("#Metadata!", ADDRESS(INDEX($W$2:$W$1001,MATCH(ROWS($U$2:U641),$U$2:$U$1001,0),0), INDEX($AB$1004:$AQ$1004,1,MATCH(COLUMNS($AB$1006:AJ1006),$AB$1006:$AQ$1006,0)))),"Fix")))</f>
        <v>0</v>
      </c>
      <c r="K641" s="5">
        <f>IF(OR(INDEX($V$2:$V$1001,MATCH(ROWS($U$2:U641),$U$2:$U$1001,0),1)&gt;=100000,INDEX($AB$1005:$AQ$1005,1,MATCH(COLUMNS($AB$1006:AK1006),$AB$1006:$AQ$1006,0))&gt;=100000), " ",IF(INDEX($AB$2:$AQ$1001,MATCH(ROWS($U$2:U641),$U$2:$U$1001,0),MATCH(COLUMNS($AB$1006:AK1006),$AB$1006:$AQ$1006,0)), HYPERLINK("#",""), HYPERLINK(CONCATENATE("#Metadata!", ADDRESS(INDEX($W$2:$W$1001,MATCH(ROWS($U$2:U641),$U$2:$U$1001,0),0), INDEX($AB$1004:$AQ$1004,1,MATCH(COLUMNS($AB$1006:AK1006),$AB$1006:$AQ$1006,0)))),"Fix")))</f>
        <v>0</v>
      </c>
      <c r="L641" s="5">
        <f>IF(OR(INDEX($V$2:$V$1001,MATCH(ROWS($U$2:U641),$U$2:$U$1001,0),1)&gt;=100000,INDEX($AB$1005:$AQ$1005,1,MATCH(COLUMNS($AB$1006:AL1006),$AB$1006:$AQ$1006,0))&gt;=100000), " ",IF(INDEX($AB$2:$AQ$1001,MATCH(ROWS($U$2:U641),$U$2:$U$1001,0),MATCH(COLUMNS($AB$1006:AL1006),$AB$1006:$AQ$1006,0)), HYPERLINK("#",""), HYPERLINK(CONCATENATE("#Metadata!", ADDRESS(INDEX($W$2:$W$1001,MATCH(ROWS($U$2:U641),$U$2:$U$1001,0),0), INDEX($AB$1004:$AQ$1004,1,MATCH(COLUMNS($AB$1006:AL1006),$AB$1006:$AQ$1006,0)))),"Fix")))</f>
        <v>0</v>
      </c>
      <c r="M641" s="5">
        <f>IF(OR(INDEX($V$2:$V$1001,MATCH(ROWS($U$2:U641),$U$2:$U$1001,0),1)&gt;=100000,INDEX($AB$1005:$AQ$1005,1,MATCH(COLUMNS($AB$1006:AM1006),$AB$1006:$AQ$1006,0))&gt;=100000), " ",IF(INDEX($AB$2:$AQ$1001,MATCH(ROWS($U$2:U641),$U$2:$U$1001,0),MATCH(COLUMNS($AB$1006:AM1006),$AB$1006:$AQ$1006,0)), HYPERLINK("#",""), HYPERLINK(CONCATENATE("#Metadata!", ADDRESS(INDEX($W$2:$W$1001,MATCH(ROWS($U$2:U641),$U$2:$U$1001,0),0), INDEX($AB$1004:$AQ$1004,1,MATCH(COLUMNS($AB$1006:AM1006),$AB$1006:$AQ$1006,0)))),"Fix")))</f>
        <v>0</v>
      </c>
      <c r="N641" s="5">
        <f>IF(OR(INDEX($V$2:$V$1001,MATCH(ROWS($U$2:U641),$U$2:$U$1001,0),1)&gt;=100000,INDEX($AB$1005:$AQ$1005,1,MATCH(COLUMNS($AB$1006:AN1006),$AB$1006:$AQ$1006,0))&gt;=100000), " ",IF(INDEX($AB$2:$AQ$1001,MATCH(ROWS($U$2:U641),$U$2:$U$1001,0),MATCH(COLUMNS($AB$1006:AN1006),$AB$1006:$AQ$1006,0)), HYPERLINK("#",""), HYPERLINK(CONCATENATE("#Metadata!", ADDRESS(INDEX($W$2:$W$1001,MATCH(ROWS($U$2:U641),$U$2:$U$1001,0),0), INDEX($AB$1004:$AQ$1004,1,MATCH(COLUMNS($AB$1006:AN1006),$AB$1006:$AQ$1006,0)))),"Fix")))</f>
        <v>0</v>
      </c>
      <c r="O641" s="5">
        <f>IF(OR(INDEX($V$2:$V$1001,MATCH(ROWS($U$2:U641),$U$2:$U$1001,0),1)&gt;=100000,INDEX($AB$1005:$AQ$1005,1,MATCH(COLUMNS($AB$1006:AO1006),$AB$1006:$AQ$1006,0))&gt;=100000), " ",IF(INDEX($AB$2:$AQ$1001,MATCH(ROWS($U$2:U641),$U$2:$U$1001,0),MATCH(COLUMNS($AB$1006:AO1006),$AB$1006:$AQ$1006,0)), HYPERLINK("#",""), HYPERLINK(CONCATENATE("#Metadata!", ADDRESS(INDEX($W$2:$W$1001,MATCH(ROWS($U$2:U641),$U$2:$U$1001,0),0), INDEX($AB$1004:$AQ$1004,1,MATCH(COLUMNS($AB$1006:AO1006),$AB$1006:$AQ$1006,0)))),"Fix")))</f>
        <v>0</v>
      </c>
      <c r="P641" s="5">
        <f>IF(OR(INDEX($V$2:$V$1001,MATCH(ROWS($U$2:U641),$U$2:$U$1001,0),1)&gt;=100000,INDEX($AB$1005:$AQ$1005,1,MATCH(COLUMNS($AB$1006:AP1006),$AB$1006:$AQ$1006,0))&gt;=100000), " ",IF(INDEX($AB$2:$AQ$1001,MATCH(ROWS($U$2:U641),$U$2:$U$1001,0),MATCH(COLUMNS($AB$1006:AP1006),$AB$1006:$AQ$1006,0)), HYPERLINK("#",""), HYPERLINK(CONCATENATE("#Metadata!", ADDRESS(INDEX($W$2:$W$1001,MATCH(ROWS($U$2:U641),$U$2:$U$1001,0),0), INDEX($AB$1004:$AQ$1004,1,MATCH(COLUMNS($AB$1006:AP1006),$AB$1006:$AQ$1006,0)))),"Fix")))</f>
        <v>0</v>
      </c>
      <c r="Q641" s="5">
        <f>IF(OR(INDEX($V$2:$V$1001,MATCH(ROWS($U$2:U641),$U$2:$U$1001,0),1)&gt;=100000,INDEX($AB$1005:$AQ$1005,1,MATCH(COLUMNS($AB$1006:AQ1006),$AB$1006:$AQ$1006,0))&gt;=100000), " ",IF(INDEX($AB$2:$AQ$1001,MATCH(ROWS($U$2:U641),$U$2:$U$1001,0),MATCH(COLUMNS($AB$1006:AQ1006),$AB$1006:$AQ$1006,0)), HYPERLINK("#",""), HYPERLINK(CONCATENATE("#Metadata!", ADDRESS(INDEX($W$2:$W$1001,MATCH(ROWS($U$2:U641),$U$2:$U$1001,0),0), INDEX($AB$1004:$AQ$1004,1,MATCH(COLUMNS($AB$1006:AQ1006),$AB$1006:$AQ$1006,0)))),"Fix")))</f>
        <v>0</v>
      </c>
      <c r="U641">
        <v>0</v>
      </c>
      <c r="V641">
        <v>0</v>
      </c>
      <c r="W641">
        <v>0</v>
      </c>
      <c r="X641">
        <f>IF(Y641,TRUE,AND(AB641:AQ641))</f>
        <v>0</v>
      </c>
      <c r="Y641">
        <f>COUNTBLANK(Metadata!B641:Q641)=COLUMNS(Metadata!B641:Q641)</f>
        <v>0</v>
      </c>
      <c r="Z641">
        <v>0</v>
      </c>
      <c r="AB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AC641">
        <f>AND(IF(Metadata!C641="",FALSE,TRUE),exact(Metadata!C641,"urban biome"))</f>
        <v>0</v>
      </c>
      <c r="AD641">
        <f>AND(IF(Metadata!D641="",FALSE,TRUE),exact(Metadata!D641,"human-associated habitat"))</f>
        <v>0</v>
      </c>
      <c r="AE641">
        <f>AND(IF(Metadata!E641="",FALSE,TRUE),OR(exact(Metadata!E641,"human-associated"),exact(Metadata!E641,"human-skin"),exact(Metadata!E641,"human-oral"),exact(Metadata!E641,"human-gut"),exact(Metadata!E641,"human-vaginal")))</f>
        <v>0</v>
      </c>
      <c r="AF641">
        <f>AND(IF(Metadata!F641="",FALSE,ISNUMBER(VALUE(Metadata!F641))),Metadata!F641&gt;0)</f>
        <v>0</v>
      </c>
      <c r="AG641">
        <f>AND(IF(Metadata!G641="",FALSE,TRUE),exact(Metadata!G641,"years"))</f>
        <v>0</v>
      </c>
      <c r="AH641">
        <f>OR(AND(IF(Metadata!H641="",FALSE,TRUE),OR(exact(Metadata!H641,"not applicable"),exact(Metadata!H641,"not collected"),exact(Metadata!H641,"not provided"),exact(Metadata!H641,"restricted access"))),AND(IF(Metadata!H641="",FALSE,ISNUMBER(VALUE(Metadata!H641))),Metadata!H641&gt;0))</f>
        <v>0</v>
      </c>
      <c r="AI641">
        <f>AND(IF(Metadata!I641="",FALSE,TRUE),exact(Metadata!I641,"human"))</f>
        <v>0</v>
      </c>
      <c r="AJ641">
        <f>AND(IF(Metadata!J641="",FALSE,ISNUMBER(VALUE(Metadata!J641))),Metadata!J641&gt;0)</f>
        <v>0</v>
      </c>
      <c r="AK641">
        <f>AND(IF(Metadata!K641="",FALSE,TRUE),exact(Metadata!K641,"cm"))</f>
        <v>0</v>
      </c>
      <c r="AL641">
        <f>AND(IF(Metadata!L641="",FALSE,TRUE),exact(Metadata!L641,"Homo sapiens"))</f>
        <v>0</v>
      </c>
      <c r="AM641">
        <f>AND(IF(Metadata!M641="",FALSE,TRUE),exact(Metadata!M641,"9606"))</f>
        <v>0</v>
      </c>
      <c r="AN641">
        <f>AND(IF(Metadata!N641="",FALSE,ISNUMBER(VALUE(Metadata!N641))),Metadata!N641&gt;0)</f>
        <v>0</v>
      </c>
      <c r="AO641">
        <f>AND(IF(Metadata!O641="",FALSE,TRUE),exact(Metadata!O641,"kg"))</f>
        <v>0</v>
      </c>
      <c r="AP641">
        <f>OR(AND(IF(Metadata!P641="",FALSE,TRUE),exact(Metadata!P641,"not provided")),IF(Metadata!P641="",FALSE,TRUE))</f>
        <v>0</v>
      </c>
      <c r="AQ641">
        <f>OR(AND(IF(Metadata!Q641="",FALSE,TRUE),exact(Metadata!Q641,"not provided")),IF(Metadata!Q641="",FALSE,TRUE))</f>
        <v>0</v>
      </c>
    </row>
    <row r="642" spans="1:43">
      <c r="A642" s="4">
        <f>IF(B642=" "," ",HYPERLINK(CONCATENATE("#metadata!",ADDRESS(INDEX($W$2:$W$1001,MATCH(ROWS($U$2:U642),$U$2:$U$1001,0),0),2)),INDEX($Z$2:$Z$1001,MATCH(ROWS($U$2:U642),$U$2:$U$1001,0),0)))</f>
        <v>0</v>
      </c>
      <c r="B642" s="5">
        <f>IF(OR(INDEX($V$2:$V$1001,MATCH(ROWS($U$2:U642),$U$2:$U$1001,0),1)&gt;=100000,INDEX($AB$1005:$AQ$1005,1,MATCH(COLUMNS($AB$1006:AB1006),$AB$1006:$AQ$1006,0))&gt;=100000), " ",IF(INDEX($AB$2:$AQ$1001,MATCH(ROWS($U$2:U642),$U$2:$U$1001,0),MATCH(COLUMNS($AB$1006:AB1006),$AB$1006:$AQ$1006,0)), HYPERLINK("#",""), HYPERLINK(CONCATENATE("#Metadata!", ADDRESS(INDEX($W$2:$W$1001,MATCH(ROWS($U$2:U642),$U$2:$U$1001,0),0), INDEX($AB$1004:$AQ$1004,1,MATCH(COLUMNS($AB$1006:AB1006),$AB$1006:$AQ$1006,0)))),"Fix")))</f>
        <v>0</v>
      </c>
      <c r="C642" s="5">
        <f>IF(OR(INDEX($V$2:$V$1001,MATCH(ROWS($U$2:U642),$U$2:$U$1001,0),1)&gt;=100000,INDEX($AB$1005:$AQ$1005,1,MATCH(COLUMNS($AB$1006:AC1006),$AB$1006:$AQ$1006,0))&gt;=100000), " ",IF(INDEX($AB$2:$AQ$1001,MATCH(ROWS($U$2:U642),$U$2:$U$1001,0),MATCH(COLUMNS($AB$1006:AC1006),$AB$1006:$AQ$1006,0)), HYPERLINK("#",""), HYPERLINK(CONCATENATE("#Metadata!", ADDRESS(INDEX($W$2:$W$1001,MATCH(ROWS($U$2:U642),$U$2:$U$1001,0),0), INDEX($AB$1004:$AQ$1004,1,MATCH(COLUMNS($AB$1006:AC1006),$AB$1006:$AQ$1006,0)))),"Fix")))</f>
        <v>0</v>
      </c>
      <c r="D642" s="5">
        <f>IF(OR(INDEX($V$2:$V$1001,MATCH(ROWS($U$2:U642),$U$2:$U$1001,0),1)&gt;=100000,INDEX($AB$1005:$AQ$1005,1,MATCH(COLUMNS($AB$1006:AD1006),$AB$1006:$AQ$1006,0))&gt;=100000), " ",IF(INDEX($AB$2:$AQ$1001,MATCH(ROWS($U$2:U642),$U$2:$U$1001,0),MATCH(COLUMNS($AB$1006:AD1006),$AB$1006:$AQ$1006,0)), HYPERLINK("#",""), HYPERLINK(CONCATENATE("#Metadata!", ADDRESS(INDEX($W$2:$W$1001,MATCH(ROWS($U$2:U642),$U$2:$U$1001,0),0), INDEX($AB$1004:$AQ$1004,1,MATCH(COLUMNS($AB$1006:AD1006),$AB$1006:$AQ$1006,0)))),"Fix")))</f>
        <v>0</v>
      </c>
      <c r="E642" s="5">
        <f>IF(OR(INDEX($V$2:$V$1001,MATCH(ROWS($U$2:U642),$U$2:$U$1001,0),1)&gt;=100000,INDEX($AB$1005:$AQ$1005,1,MATCH(COLUMNS($AB$1006:AE1006),$AB$1006:$AQ$1006,0))&gt;=100000), " ",IF(INDEX($AB$2:$AQ$1001,MATCH(ROWS($U$2:U642),$U$2:$U$1001,0),MATCH(COLUMNS($AB$1006:AE1006),$AB$1006:$AQ$1006,0)), HYPERLINK("#",""), HYPERLINK(CONCATENATE("#Metadata!", ADDRESS(INDEX($W$2:$W$1001,MATCH(ROWS($U$2:U642),$U$2:$U$1001,0),0), INDEX($AB$1004:$AQ$1004,1,MATCH(COLUMNS($AB$1006:AE1006),$AB$1006:$AQ$1006,0)))),"Fix")))</f>
        <v>0</v>
      </c>
      <c r="F642" s="5">
        <f>IF(OR(INDEX($V$2:$V$1001,MATCH(ROWS($U$2:U642),$U$2:$U$1001,0),1)&gt;=100000,INDEX($AB$1005:$AQ$1005,1,MATCH(COLUMNS($AB$1006:AF1006),$AB$1006:$AQ$1006,0))&gt;=100000), " ",IF(INDEX($AB$2:$AQ$1001,MATCH(ROWS($U$2:U642),$U$2:$U$1001,0),MATCH(COLUMNS($AB$1006:AF1006),$AB$1006:$AQ$1006,0)), HYPERLINK("#",""), HYPERLINK(CONCATENATE("#Metadata!", ADDRESS(INDEX($W$2:$W$1001,MATCH(ROWS($U$2:U642),$U$2:$U$1001,0),0), INDEX($AB$1004:$AQ$1004,1,MATCH(COLUMNS($AB$1006:AF1006),$AB$1006:$AQ$1006,0)))),"Fix")))</f>
        <v>0</v>
      </c>
      <c r="G642" s="5">
        <f>IF(OR(INDEX($V$2:$V$1001,MATCH(ROWS($U$2:U642),$U$2:$U$1001,0),1)&gt;=100000,INDEX($AB$1005:$AQ$1005,1,MATCH(COLUMNS($AB$1006:AG1006),$AB$1006:$AQ$1006,0))&gt;=100000), " ",IF(INDEX($AB$2:$AQ$1001,MATCH(ROWS($U$2:U642),$U$2:$U$1001,0),MATCH(COLUMNS($AB$1006:AG1006),$AB$1006:$AQ$1006,0)), HYPERLINK("#",""), HYPERLINK(CONCATENATE("#Metadata!", ADDRESS(INDEX($W$2:$W$1001,MATCH(ROWS($U$2:U642),$U$2:$U$1001,0),0), INDEX($AB$1004:$AQ$1004,1,MATCH(COLUMNS($AB$1006:AG1006),$AB$1006:$AQ$1006,0)))),"Fix")))</f>
        <v>0</v>
      </c>
      <c r="H642" s="5">
        <f>IF(OR(INDEX($V$2:$V$1001,MATCH(ROWS($U$2:U642),$U$2:$U$1001,0),1)&gt;=100000,INDEX($AB$1005:$AQ$1005,1,MATCH(COLUMNS($AB$1006:AH1006),$AB$1006:$AQ$1006,0))&gt;=100000), " ",IF(INDEX($AB$2:$AQ$1001,MATCH(ROWS($U$2:U642),$U$2:$U$1001,0),MATCH(COLUMNS($AB$1006:AH1006),$AB$1006:$AQ$1006,0)), HYPERLINK("#",""), HYPERLINK(CONCATENATE("#Metadata!", ADDRESS(INDEX($W$2:$W$1001,MATCH(ROWS($U$2:U642),$U$2:$U$1001,0),0), INDEX($AB$1004:$AQ$1004,1,MATCH(COLUMNS($AB$1006:AH1006),$AB$1006:$AQ$1006,0)))),"Fix")))</f>
        <v>0</v>
      </c>
      <c r="I642" s="5">
        <f>IF(OR(INDEX($V$2:$V$1001,MATCH(ROWS($U$2:U642),$U$2:$U$1001,0),1)&gt;=100000,INDEX($AB$1005:$AQ$1005,1,MATCH(COLUMNS($AB$1006:AI1006),$AB$1006:$AQ$1006,0))&gt;=100000), " ",IF(INDEX($AB$2:$AQ$1001,MATCH(ROWS($U$2:U642),$U$2:$U$1001,0),MATCH(COLUMNS($AB$1006:AI1006),$AB$1006:$AQ$1006,0)), HYPERLINK("#",""), HYPERLINK(CONCATENATE("#Metadata!", ADDRESS(INDEX($W$2:$W$1001,MATCH(ROWS($U$2:U642),$U$2:$U$1001,0),0), INDEX($AB$1004:$AQ$1004,1,MATCH(COLUMNS($AB$1006:AI1006),$AB$1006:$AQ$1006,0)))),"Fix")))</f>
        <v>0</v>
      </c>
      <c r="J642" s="5">
        <f>IF(OR(INDEX($V$2:$V$1001,MATCH(ROWS($U$2:U642),$U$2:$U$1001,0),1)&gt;=100000,INDEX($AB$1005:$AQ$1005,1,MATCH(COLUMNS($AB$1006:AJ1006),$AB$1006:$AQ$1006,0))&gt;=100000), " ",IF(INDEX($AB$2:$AQ$1001,MATCH(ROWS($U$2:U642),$U$2:$U$1001,0),MATCH(COLUMNS($AB$1006:AJ1006),$AB$1006:$AQ$1006,0)), HYPERLINK("#",""), HYPERLINK(CONCATENATE("#Metadata!", ADDRESS(INDEX($W$2:$W$1001,MATCH(ROWS($U$2:U642),$U$2:$U$1001,0),0), INDEX($AB$1004:$AQ$1004,1,MATCH(COLUMNS($AB$1006:AJ1006),$AB$1006:$AQ$1006,0)))),"Fix")))</f>
        <v>0</v>
      </c>
      <c r="K642" s="5">
        <f>IF(OR(INDEX($V$2:$V$1001,MATCH(ROWS($U$2:U642),$U$2:$U$1001,0),1)&gt;=100000,INDEX($AB$1005:$AQ$1005,1,MATCH(COLUMNS($AB$1006:AK1006),$AB$1006:$AQ$1006,0))&gt;=100000), " ",IF(INDEX($AB$2:$AQ$1001,MATCH(ROWS($U$2:U642),$U$2:$U$1001,0),MATCH(COLUMNS($AB$1006:AK1006),$AB$1006:$AQ$1006,0)), HYPERLINK("#",""), HYPERLINK(CONCATENATE("#Metadata!", ADDRESS(INDEX($W$2:$W$1001,MATCH(ROWS($U$2:U642),$U$2:$U$1001,0),0), INDEX($AB$1004:$AQ$1004,1,MATCH(COLUMNS($AB$1006:AK1006),$AB$1006:$AQ$1006,0)))),"Fix")))</f>
        <v>0</v>
      </c>
      <c r="L642" s="5">
        <f>IF(OR(INDEX($V$2:$V$1001,MATCH(ROWS($U$2:U642),$U$2:$U$1001,0),1)&gt;=100000,INDEX($AB$1005:$AQ$1005,1,MATCH(COLUMNS($AB$1006:AL1006),$AB$1006:$AQ$1006,0))&gt;=100000), " ",IF(INDEX($AB$2:$AQ$1001,MATCH(ROWS($U$2:U642),$U$2:$U$1001,0),MATCH(COLUMNS($AB$1006:AL1006),$AB$1006:$AQ$1006,0)), HYPERLINK("#",""), HYPERLINK(CONCATENATE("#Metadata!", ADDRESS(INDEX($W$2:$W$1001,MATCH(ROWS($U$2:U642),$U$2:$U$1001,0),0), INDEX($AB$1004:$AQ$1004,1,MATCH(COLUMNS($AB$1006:AL1006),$AB$1006:$AQ$1006,0)))),"Fix")))</f>
        <v>0</v>
      </c>
      <c r="M642" s="5">
        <f>IF(OR(INDEX($V$2:$V$1001,MATCH(ROWS($U$2:U642),$U$2:$U$1001,0),1)&gt;=100000,INDEX($AB$1005:$AQ$1005,1,MATCH(COLUMNS($AB$1006:AM1006),$AB$1006:$AQ$1006,0))&gt;=100000), " ",IF(INDEX($AB$2:$AQ$1001,MATCH(ROWS($U$2:U642),$U$2:$U$1001,0),MATCH(COLUMNS($AB$1006:AM1006),$AB$1006:$AQ$1006,0)), HYPERLINK("#",""), HYPERLINK(CONCATENATE("#Metadata!", ADDRESS(INDEX($W$2:$W$1001,MATCH(ROWS($U$2:U642),$U$2:$U$1001,0),0), INDEX($AB$1004:$AQ$1004,1,MATCH(COLUMNS($AB$1006:AM1006),$AB$1006:$AQ$1006,0)))),"Fix")))</f>
        <v>0</v>
      </c>
      <c r="N642" s="5">
        <f>IF(OR(INDEX($V$2:$V$1001,MATCH(ROWS($U$2:U642),$U$2:$U$1001,0),1)&gt;=100000,INDEX($AB$1005:$AQ$1005,1,MATCH(COLUMNS($AB$1006:AN1006),$AB$1006:$AQ$1006,0))&gt;=100000), " ",IF(INDEX($AB$2:$AQ$1001,MATCH(ROWS($U$2:U642),$U$2:$U$1001,0),MATCH(COLUMNS($AB$1006:AN1006),$AB$1006:$AQ$1006,0)), HYPERLINK("#",""), HYPERLINK(CONCATENATE("#Metadata!", ADDRESS(INDEX($W$2:$W$1001,MATCH(ROWS($U$2:U642),$U$2:$U$1001,0),0), INDEX($AB$1004:$AQ$1004,1,MATCH(COLUMNS($AB$1006:AN1006),$AB$1006:$AQ$1006,0)))),"Fix")))</f>
        <v>0</v>
      </c>
      <c r="O642" s="5">
        <f>IF(OR(INDEX($V$2:$V$1001,MATCH(ROWS($U$2:U642),$U$2:$U$1001,0),1)&gt;=100000,INDEX($AB$1005:$AQ$1005,1,MATCH(COLUMNS($AB$1006:AO1006),$AB$1006:$AQ$1006,0))&gt;=100000), " ",IF(INDEX($AB$2:$AQ$1001,MATCH(ROWS($U$2:U642),$U$2:$U$1001,0),MATCH(COLUMNS($AB$1006:AO1006),$AB$1006:$AQ$1006,0)), HYPERLINK("#",""), HYPERLINK(CONCATENATE("#Metadata!", ADDRESS(INDEX($W$2:$W$1001,MATCH(ROWS($U$2:U642),$U$2:$U$1001,0),0), INDEX($AB$1004:$AQ$1004,1,MATCH(COLUMNS($AB$1006:AO1006),$AB$1006:$AQ$1006,0)))),"Fix")))</f>
        <v>0</v>
      </c>
      <c r="P642" s="5">
        <f>IF(OR(INDEX($V$2:$V$1001,MATCH(ROWS($U$2:U642),$U$2:$U$1001,0),1)&gt;=100000,INDEX($AB$1005:$AQ$1005,1,MATCH(COLUMNS($AB$1006:AP1006),$AB$1006:$AQ$1006,0))&gt;=100000), " ",IF(INDEX($AB$2:$AQ$1001,MATCH(ROWS($U$2:U642),$U$2:$U$1001,0),MATCH(COLUMNS($AB$1006:AP1006),$AB$1006:$AQ$1006,0)), HYPERLINK("#",""), HYPERLINK(CONCATENATE("#Metadata!", ADDRESS(INDEX($W$2:$W$1001,MATCH(ROWS($U$2:U642),$U$2:$U$1001,0),0), INDEX($AB$1004:$AQ$1004,1,MATCH(COLUMNS($AB$1006:AP1006),$AB$1006:$AQ$1006,0)))),"Fix")))</f>
        <v>0</v>
      </c>
      <c r="Q642" s="5">
        <f>IF(OR(INDEX($V$2:$V$1001,MATCH(ROWS($U$2:U642),$U$2:$U$1001,0),1)&gt;=100000,INDEX($AB$1005:$AQ$1005,1,MATCH(COLUMNS($AB$1006:AQ1006),$AB$1006:$AQ$1006,0))&gt;=100000), " ",IF(INDEX($AB$2:$AQ$1001,MATCH(ROWS($U$2:U642),$U$2:$U$1001,0),MATCH(COLUMNS($AB$1006:AQ1006),$AB$1006:$AQ$1006,0)), HYPERLINK("#",""), HYPERLINK(CONCATENATE("#Metadata!", ADDRESS(INDEX($W$2:$W$1001,MATCH(ROWS($U$2:U642),$U$2:$U$1001,0),0), INDEX($AB$1004:$AQ$1004,1,MATCH(COLUMNS($AB$1006:AQ1006),$AB$1006:$AQ$1006,0)))),"Fix")))</f>
        <v>0</v>
      </c>
      <c r="U642">
        <v>0</v>
      </c>
      <c r="V642">
        <v>0</v>
      </c>
      <c r="W642">
        <v>0</v>
      </c>
      <c r="X642">
        <f>IF(Y642,TRUE,AND(AB642:AQ642))</f>
        <v>0</v>
      </c>
      <c r="Y642">
        <f>COUNTBLANK(Metadata!B642:Q642)=COLUMNS(Metadata!B642:Q642)</f>
        <v>0</v>
      </c>
      <c r="Z642">
        <v>0</v>
      </c>
      <c r="AB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AC642">
        <f>AND(IF(Metadata!C642="",FALSE,TRUE),exact(Metadata!C642,"urban biome"))</f>
        <v>0</v>
      </c>
      <c r="AD642">
        <f>AND(IF(Metadata!D642="",FALSE,TRUE),exact(Metadata!D642,"human-associated habitat"))</f>
        <v>0</v>
      </c>
      <c r="AE642">
        <f>AND(IF(Metadata!E642="",FALSE,TRUE),OR(exact(Metadata!E642,"human-associated"),exact(Metadata!E642,"human-skin"),exact(Metadata!E642,"human-oral"),exact(Metadata!E642,"human-gut"),exact(Metadata!E642,"human-vaginal")))</f>
        <v>0</v>
      </c>
      <c r="AF642">
        <f>AND(IF(Metadata!F642="",FALSE,ISNUMBER(VALUE(Metadata!F642))),Metadata!F642&gt;0)</f>
        <v>0</v>
      </c>
      <c r="AG642">
        <f>AND(IF(Metadata!G642="",FALSE,TRUE),exact(Metadata!G642,"years"))</f>
        <v>0</v>
      </c>
      <c r="AH642">
        <f>OR(AND(IF(Metadata!H642="",FALSE,TRUE),OR(exact(Metadata!H642,"not applicable"),exact(Metadata!H642,"not collected"),exact(Metadata!H642,"not provided"),exact(Metadata!H642,"restricted access"))),AND(IF(Metadata!H642="",FALSE,ISNUMBER(VALUE(Metadata!H642))),Metadata!H642&gt;0))</f>
        <v>0</v>
      </c>
      <c r="AI642">
        <f>AND(IF(Metadata!I642="",FALSE,TRUE),exact(Metadata!I642,"human"))</f>
        <v>0</v>
      </c>
      <c r="AJ642">
        <f>AND(IF(Metadata!J642="",FALSE,ISNUMBER(VALUE(Metadata!J642))),Metadata!J642&gt;0)</f>
        <v>0</v>
      </c>
      <c r="AK642">
        <f>AND(IF(Metadata!K642="",FALSE,TRUE),exact(Metadata!K642,"cm"))</f>
        <v>0</v>
      </c>
      <c r="AL642">
        <f>AND(IF(Metadata!L642="",FALSE,TRUE),exact(Metadata!L642,"Homo sapiens"))</f>
        <v>0</v>
      </c>
      <c r="AM642">
        <f>AND(IF(Metadata!M642="",FALSE,TRUE),exact(Metadata!M642,"9606"))</f>
        <v>0</v>
      </c>
      <c r="AN642">
        <f>AND(IF(Metadata!N642="",FALSE,ISNUMBER(VALUE(Metadata!N642))),Metadata!N642&gt;0)</f>
        <v>0</v>
      </c>
      <c r="AO642">
        <f>AND(IF(Metadata!O642="",FALSE,TRUE),exact(Metadata!O642,"kg"))</f>
        <v>0</v>
      </c>
      <c r="AP642">
        <f>OR(AND(IF(Metadata!P642="",FALSE,TRUE),exact(Metadata!P642,"not provided")),IF(Metadata!P642="",FALSE,TRUE))</f>
        <v>0</v>
      </c>
      <c r="AQ642">
        <f>OR(AND(IF(Metadata!Q642="",FALSE,TRUE),exact(Metadata!Q642,"not provided")),IF(Metadata!Q642="",FALSE,TRUE))</f>
        <v>0</v>
      </c>
    </row>
    <row r="643" spans="1:43">
      <c r="A643" s="4">
        <f>IF(B643=" "," ",HYPERLINK(CONCATENATE("#metadata!",ADDRESS(INDEX($W$2:$W$1001,MATCH(ROWS($U$2:U643),$U$2:$U$1001,0),0),2)),INDEX($Z$2:$Z$1001,MATCH(ROWS($U$2:U643),$U$2:$U$1001,0),0)))</f>
        <v>0</v>
      </c>
      <c r="B643" s="5">
        <f>IF(OR(INDEX($V$2:$V$1001,MATCH(ROWS($U$2:U643),$U$2:$U$1001,0),1)&gt;=100000,INDEX($AB$1005:$AQ$1005,1,MATCH(COLUMNS($AB$1006:AB1006),$AB$1006:$AQ$1006,0))&gt;=100000), " ",IF(INDEX($AB$2:$AQ$1001,MATCH(ROWS($U$2:U643),$U$2:$U$1001,0),MATCH(COLUMNS($AB$1006:AB1006),$AB$1006:$AQ$1006,0)), HYPERLINK("#",""), HYPERLINK(CONCATENATE("#Metadata!", ADDRESS(INDEX($W$2:$W$1001,MATCH(ROWS($U$2:U643),$U$2:$U$1001,0),0), INDEX($AB$1004:$AQ$1004,1,MATCH(COLUMNS($AB$1006:AB1006),$AB$1006:$AQ$1006,0)))),"Fix")))</f>
        <v>0</v>
      </c>
      <c r="C643" s="5">
        <f>IF(OR(INDEX($V$2:$V$1001,MATCH(ROWS($U$2:U643),$U$2:$U$1001,0),1)&gt;=100000,INDEX($AB$1005:$AQ$1005,1,MATCH(COLUMNS($AB$1006:AC1006),$AB$1006:$AQ$1006,0))&gt;=100000), " ",IF(INDEX($AB$2:$AQ$1001,MATCH(ROWS($U$2:U643),$U$2:$U$1001,0),MATCH(COLUMNS($AB$1006:AC1006),$AB$1006:$AQ$1006,0)), HYPERLINK("#",""), HYPERLINK(CONCATENATE("#Metadata!", ADDRESS(INDEX($W$2:$W$1001,MATCH(ROWS($U$2:U643),$U$2:$U$1001,0),0), INDEX($AB$1004:$AQ$1004,1,MATCH(COLUMNS($AB$1006:AC1006),$AB$1006:$AQ$1006,0)))),"Fix")))</f>
        <v>0</v>
      </c>
      <c r="D643" s="5">
        <f>IF(OR(INDEX($V$2:$V$1001,MATCH(ROWS($U$2:U643),$U$2:$U$1001,0),1)&gt;=100000,INDEX($AB$1005:$AQ$1005,1,MATCH(COLUMNS($AB$1006:AD1006),$AB$1006:$AQ$1006,0))&gt;=100000), " ",IF(INDEX($AB$2:$AQ$1001,MATCH(ROWS($U$2:U643),$U$2:$U$1001,0),MATCH(COLUMNS($AB$1006:AD1006),$AB$1006:$AQ$1006,0)), HYPERLINK("#",""), HYPERLINK(CONCATENATE("#Metadata!", ADDRESS(INDEX($W$2:$W$1001,MATCH(ROWS($U$2:U643),$U$2:$U$1001,0),0), INDEX($AB$1004:$AQ$1004,1,MATCH(COLUMNS($AB$1006:AD1006),$AB$1006:$AQ$1006,0)))),"Fix")))</f>
        <v>0</v>
      </c>
      <c r="E643" s="5">
        <f>IF(OR(INDEX($V$2:$V$1001,MATCH(ROWS($U$2:U643),$U$2:$U$1001,0),1)&gt;=100000,INDEX($AB$1005:$AQ$1005,1,MATCH(COLUMNS($AB$1006:AE1006),$AB$1006:$AQ$1006,0))&gt;=100000), " ",IF(INDEX($AB$2:$AQ$1001,MATCH(ROWS($U$2:U643),$U$2:$U$1001,0),MATCH(COLUMNS($AB$1006:AE1006),$AB$1006:$AQ$1006,0)), HYPERLINK("#",""), HYPERLINK(CONCATENATE("#Metadata!", ADDRESS(INDEX($W$2:$W$1001,MATCH(ROWS($U$2:U643),$U$2:$U$1001,0),0), INDEX($AB$1004:$AQ$1004,1,MATCH(COLUMNS($AB$1006:AE1006),$AB$1006:$AQ$1006,0)))),"Fix")))</f>
        <v>0</v>
      </c>
      <c r="F643" s="5">
        <f>IF(OR(INDEX($V$2:$V$1001,MATCH(ROWS($U$2:U643),$U$2:$U$1001,0),1)&gt;=100000,INDEX($AB$1005:$AQ$1005,1,MATCH(COLUMNS($AB$1006:AF1006),$AB$1006:$AQ$1006,0))&gt;=100000), " ",IF(INDEX($AB$2:$AQ$1001,MATCH(ROWS($U$2:U643),$U$2:$U$1001,0),MATCH(COLUMNS($AB$1006:AF1006),$AB$1006:$AQ$1006,0)), HYPERLINK("#",""), HYPERLINK(CONCATENATE("#Metadata!", ADDRESS(INDEX($W$2:$W$1001,MATCH(ROWS($U$2:U643),$U$2:$U$1001,0),0), INDEX($AB$1004:$AQ$1004,1,MATCH(COLUMNS($AB$1006:AF1006),$AB$1006:$AQ$1006,0)))),"Fix")))</f>
        <v>0</v>
      </c>
      <c r="G643" s="5">
        <f>IF(OR(INDEX($V$2:$V$1001,MATCH(ROWS($U$2:U643),$U$2:$U$1001,0),1)&gt;=100000,INDEX($AB$1005:$AQ$1005,1,MATCH(COLUMNS($AB$1006:AG1006),$AB$1006:$AQ$1006,0))&gt;=100000), " ",IF(INDEX($AB$2:$AQ$1001,MATCH(ROWS($U$2:U643),$U$2:$U$1001,0),MATCH(COLUMNS($AB$1006:AG1006),$AB$1006:$AQ$1006,0)), HYPERLINK("#",""), HYPERLINK(CONCATENATE("#Metadata!", ADDRESS(INDEX($W$2:$W$1001,MATCH(ROWS($U$2:U643),$U$2:$U$1001,0),0), INDEX($AB$1004:$AQ$1004,1,MATCH(COLUMNS($AB$1006:AG1006),$AB$1006:$AQ$1006,0)))),"Fix")))</f>
        <v>0</v>
      </c>
      <c r="H643" s="5">
        <f>IF(OR(INDEX($V$2:$V$1001,MATCH(ROWS($U$2:U643),$U$2:$U$1001,0),1)&gt;=100000,INDEX($AB$1005:$AQ$1005,1,MATCH(COLUMNS($AB$1006:AH1006),$AB$1006:$AQ$1006,0))&gt;=100000), " ",IF(INDEX($AB$2:$AQ$1001,MATCH(ROWS($U$2:U643),$U$2:$U$1001,0),MATCH(COLUMNS($AB$1006:AH1006),$AB$1006:$AQ$1006,0)), HYPERLINK("#",""), HYPERLINK(CONCATENATE("#Metadata!", ADDRESS(INDEX($W$2:$W$1001,MATCH(ROWS($U$2:U643),$U$2:$U$1001,0),0), INDEX($AB$1004:$AQ$1004,1,MATCH(COLUMNS($AB$1006:AH1006),$AB$1006:$AQ$1006,0)))),"Fix")))</f>
        <v>0</v>
      </c>
      <c r="I643" s="5">
        <f>IF(OR(INDEX($V$2:$V$1001,MATCH(ROWS($U$2:U643),$U$2:$U$1001,0),1)&gt;=100000,INDEX($AB$1005:$AQ$1005,1,MATCH(COLUMNS($AB$1006:AI1006),$AB$1006:$AQ$1006,0))&gt;=100000), " ",IF(INDEX($AB$2:$AQ$1001,MATCH(ROWS($U$2:U643),$U$2:$U$1001,0),MATCH(COLUMNS($AB$1006:AI1006),$AB$1006:$AQ$1006,0)), HYPERLINK("#",""), HYPERLINK(CONCATENATE("#Metadata!", ADDRESS(INDEX($W$2:$W$1001,MATCH(ROWS($U$2:U643),$U$2:$U$1001,0),0), INDEX($AB$1004:$AQ$1004,1,MATCH(COLUMNS($AB$1006:AI1006),$AB$1006:$AQ$1006,0)))),"Fix")))</f>
        <v>0</v>
      </c>
      <c r="J643" s="5">
        <f>IF(OR(INDEX($V$2:$V$1001,MATCH(ROWS($U$2:U643),$U$2:$U$1001,0),1)&gt;=100000,INDEX($AB$1005:$AQ$1005,1,MATCH(COLUMNS($AB$1006:AJ1006),$AB$1006:$AQ$1006,0))&gt;=100000), " ",IF(INDEX($AB$2:$AQ$1001,MATCH(ROWS($U$2:U643),$U$2:$U$1001,0),MATCH(COLUMNS($AB$1006:AJ1006),$AB$1006:$AQ$1006,0)), HYPERLINK("#",""), HYPERLINK(CONCATENATE("#Metadata!", ADDRESS(INDEX($W$2:$W$1001,MATCH(ROWS($U$2:U643),$U$2:$U$1001,0),0), INDEX($AB$1004:$AQ$1004,1,MATCH(COLUMNS($AB$1006:AJ1006),$AB$1006:$AQ$1006,0)))),"Fix")))</f>
        <v>0</v>
      </c>
      <c r="K643" s="5">
        <f>IF(OR(INDEX($V$2:$V$1001,MATCH(ROWS($U$2:U643),$U$2:$U$1001,0),1)&gt;=100000,INDEX($AB$1005:$AQ$1005,1,MATCH(COLUMNS($AB$1006:AK1006),$AB$1006:$AQ$1006,0))&gt;=100000), " ",IF(INDEX($AB$2:$AQ$1001,MATCH(ROWS($U$2:U643),$U$2:$U$1001,0),MATCH(COLUMNS($AB$1006:AK1006),$AB$1006:$AQ$1006,0)), HYPERLINK("#",""), HYPERLINK(CONCATENATE("#Metadata!", ADDRESS(INDEX($W$2:$W$1001,MATCH(ROWS($U$2:U643),$U$2:$U$1001,0),0), INDEX($AB$1004:$AQ$1004,1,MATCH(COLUMNS($AB$1006:AK1006),$AB$1006:$AQ$1006,0)))),"Fix")))</f>
        <v>0</v>
      </c>
      <c r="L643" s="5">
        <f>IF(OR(INDEX($V$2:$V$1001,MATCH(ROWS($U$2:U643),$U$2:$U$1001,0),1)&gt;=100000,INDEX($AB$1005:$AQ$1005,1,MATCH(COLUMNS($AB$1006:AL1006),$AB$1006:$AQ$1006,0))&gt;=100000), " ",IF(INDEX($AB$2:$AQ$1001,MATCH(ROWS($U$2:U643),$U$2:$U$1001,0),MATCH(COLUMNS($AB$1006:AL1006),$AB$1006:$AQ$1006,0)), HYPERLINK("#",""), HYPERLINK(CONCATENATE("#Metadata!", ADDRESS(INDEX($W$2:$W$1001,MATCH(ROWS($U$2:U643),$U$2:$U$1001,0),0), INDEX($AB$1004:$AQ$1004,1,MATCH(COLUMNS($AB$1006:AL1006),$AB$1006:$AQ$1006,0)))),"Fix")))</f>
        <v>0</v>
      </c>
      <c r="M643" s="5">
        <f>IF(OR(INDEX($V$2:$V$1001,MATCH(ROWS($U$2:U643),$U$2:$U$1001,0),1)&gt;=100000,INDEX($AB$1005:$AQ$1005,1,MATCH(COLUMNS($AB$1006:AM1006),$AB$1006:$AQ$1006,0))&gt;=100000), " ",IF(INDEX($AB$2:$AQ$1001,MATCH(ROWS($U$2:U643),$U$2:$U$1001,0),MATCH(COLUMNS($AB$1006:AM1006),$AB$1006:$AQ$1006,0)), HYPERLINK("#",""), HYPERLINK(CONCATENATE("#Metadata!", ADDRESS(INDEX($W$2:$W$1001,MATCH(ROWS($U$2:U643),$U$2:$U$1001,0),0), INDEX($AB$1004:$AQ$1004,1,MATCH(COLUMNS($AB$1006:AM1006),$AB$1006:$AQ$1006,0)))),"Fix")))</f>
        <v>0</v>
      </c>
      <c r="N643" s="5">
        <f>IF(OR(INDEX($V$2:$V$1001,MATCH(ROWS($U$2:U643),$U$2:$U$1001,0),1)&gt;=100000,INDEX($AB$1005:$AQ$1005,1,MATCH(COLUMNS($AB$1006:AN1006),$AB$1006:$AQ$1006,0))&gt;=100000), " ",IF(INDEX($AB$2:$AQ$1001,MATCH(ROWS($U$2:U643),$U$2:$U$1001,0),MATCH(COLUMNS($AB$1006:AN1006),$AB$1006:$AQ$1006,0)), HYPERLINK("#",""), HYPERLINK(CONCATENATE("#Metadata!", ADDRESS(INDEX($W$2:$W$1001,MATCH(ROWS($U$2:U643),$U$2:$U$1001,0),0), INDEX($AB$1004:$AQ$1004,1,MATCH(COLUMNS($AB$1006:AN1006),$AB$1006:$AQ$1006,0)))),"Fix")))</f>
        <v>0</v>
      </c>
      <c r="O643" s="5">
        <f>IF(OR(INDEX($V$2:$V$1001,MATCH(ROWS($U$2:U643),$U$2:$U$1001,0),1)&gt;=100000,INDEX($AB$1005:$AQ$1005,1,MATCH(COLUMNS($AB$1006:AO1006),$AB$1006:$AQ$1006,0))&gt;=100000), " ",IF(INDEX($AB$2:$AQ$1001,MATCH(ROWS($U$2:U643),$U$2:$U$1001,0),MATCH(COLUMNS($AB$1006:AO1006),$AB$1006:$AQ$1006,0)), HYPERLINK("#",""), HYPERLINK(CONCATENATE("#Metadata!", ADDRESS(INDEX($W$2:$W$1001,MATCH(ROWS($U$2:U643),$U$2:$U$1001,0),0), INDEX($AB$1004:$AQ$1004,1,MATCH(COLUMNS($AB$1006:AO1006),$AB$1006:$AQ$1006,0)))),"Fix")))</f>
        <v>0</v>
      </c>
      <c r="P643" s="5">
        <f>IF(OR(INDEX($V$2:$V$1001,MATCH(ROWS($U$2:U643),$U$2:$U$1001,0),1)&gt;=100000,INDEX($AB$1005:$AQ$1005,1,MATCH(COLUMNS($AB$1006:AP1006),$AB$1006:$AQ$1006,0))&gt;=100000), " ",IF(INDEX($AB$2:$AQ$1001,MATCH(ROWS($U$2:U643),$U$2:$U$1001,0),MATCH(COLUMNS($AB$1006:AP1006),$AB$1006:$AQ$1006,0)), HYPERLINK("#",""), HYPERLINK(CONCATENATE("#Metadata!", ADDRESS(INDEX($W$2:$W$1001,MATCH(ROWS($U$2:U643),$U$2:$U$1001,0),0), INDEX($AB$1004:$AQ$1004,1,MATCH(COLUMNS($AB$1006:AP1006),$AB$1006:$AQ$1006,0)))),"Fix")))</f>
        <v>0</v>
      </c>
      <c r="Q643" s="5">
        <f>IF(OR(INDEX($V$2:$V$1001,MATCH(ROWS($U$2:U643),$U$2:$U$1001,0),1)&gt;=100000,INDEX($AB$1005:$AQ$1005,1,MATCH(COLUMNS($AB$1006:AQ1006),$AB$1006:$AQ$1006,0))&gt;=100000), " ",IF(INDEX($AB$2:$AQ$1001,MATCH(ROWS($U$2:U643),$U$2:$U$1001,0),MATCH(COLUMNS($AB$1006:AQ1006),$AB$1006:$AQ$1006,0)), HYPERLINK("#",""), HYPERLINK(CONCATENATE("#Metadata!", ADDRESS(INDEX($W$2:$W$1001,MATCH(ROWS($U$2:U643),$U$2:$U$1001,0),0), INDEX($AB$1004:$AQ$1004,1,MATCH(COLUMNS($AB$1006:AQ1006),$AB$1006:$AQ$1006,0)))),"Fix")))</f>
        <v>0</v>
      </c>
      <c r="U643">
        <v>0</v>
      </c>
      <c r="V643">
        <v>0</v>
      </c>
      <c r="W643">
        <v>0</v>
      </c>
      <c r="X643">
        <f>IF(Y643,TRUE,AND(AB643:AQ643))</f>
        <v>0</v>
      </c>
      <c r="Y643">
        <f>COUNTBLANK(Metadata!B643:Q643)=COLUMNS(Metadata!B643:Q643)</f>
        <v>0</v>
      </c>
      <c r="Z643">
        <v>0</v>
      </c>
      <c r="AB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AC643">
        <f>AND(IF(Metadata!C643="",FALSE,TRUE),exact(Metadata!C643,"urban biome"))</f>
        <v>0</v>
      </c>
      <c r="AD643">
        <f>AND(IF(Metadata!D643="",FALSE,TRUE),exact(Metadata!D643,"human-associated habitat"))</f>
        <v>0</v>
      </c>
      <c r="AE643">
        <f>AND(IF(Metadata!E643="",FALSE,TRUE),OR(exact(Metadata!E643,"human-associated"),exact(Metadata!E643,"human-skin"),exact(Metadata!E643,"human-oral"),exact(Metadata!E643,"human-gut"),exact(Metadata!E643,"human-vaginal")))</f>
        <v>0</v>
      </c>
      <c r="AF643">
        <f>AND(IF(Metadata!F643="",FALSE,ISNUMBER(VALUE(Metadata!F643))),Metadata!F643&gt;0)</f>
        <v>0</v>
      </c>
      <c r="AG643">
        <f>AND(IF(Metadata!G643="",FALSE,TRUE),exact(Metadata!G643,"years"))</f>
        <v>0</v>
      </c>
      <c r="AH643">
        <f>OR(AND(IF(Metadata!H643="",FALSE,TRUE),OR(exact(Metadata!H643,"not applicable"),exact(Metadata!H643,"not collected"),exact(Metadata!H643,"not provided"),exact(Metadata!H643,"restricted access"))),AND(IF(Metadata!H643="",FALSE,ISNUMBER(VALUE(Metadata!H643))),Metadata!H643&gt;0))</f>
        <v>0</v>
      </c>
      <c r="AI643">
        <f>AND(IF(Metadata!I643="",FALSE,TRUE),exact(Metadata!I643,"human"))</f>
        <v>0</v>
      </c>
      <c r="AJ643">
        <f>AND(IF(Metadata!J643="",FALSE,ISNUMBER(VALUE(Metadata!J643))),Metadata!J643&gt;0)</f>
        <v>0</v>
      </c>
      <c r="AK643">
        <f>AND(IF(Metadata!K643="",FALSE,TRUE),exact(Metadata!K643,"cm"))</f>
        <v>0</v>
      </c>
      <c r="AL643">
        <f>AND(IF(Metadata!L643="",FALSE,TRUE),exact(Metadata!L643,"Homo sapiens"))</f>
        <v>0</v>
      </c>
      <c r="AM643">
        <f>AND(IF(Metadata!M643="",FALSE,TRUE),exact(Metadata!M643,"9606"))</f>
        <v>0</v>
      </c>
      <c r="AN643">
        <f>AND(IF(Metadata!N643="",FALSE,ISNUMBER(VALUE(Metadata!N643))),Metadata!N643&gt;0)</f>
        <v>0</v>
      </c>
      <c r="AO643">
        <f>AND(IF(Metadata!O643="",FALSE,TRUE),exact(Metadata!O643,"kg"))</f>
        <v>0</v>
      </c>
      <c r="AP643">
        <f>OR(AND(IF(Metadata!P643="",FALSE,TRUE),exact(Metadata!P643,"not provided")),IF(Metadata!P643="",FALSE,TRUE))</f>
        <v>0</v>
      </c>
      <c r="AQ643">
        <f>OR(AND(IF(Metadata!Q643="",FALSE,TRUE),exact(Metadata!Q643,"not provided")),IF(Metadata!Q643="",FALSE,TRUE))</f>
        <v>0</v>
      </c>
    </row>
    <row r="644" spans="1:43">
      <c r="A644" s="4">
        <f>IF(B644=" "," ",HYPERLINK(CONCATENATE("#metadata!",ADDRESS(INDEX($W$2:$W$1001,MATCH(ROWS($U$2:U644),$U$2:$U$1001,0),0),2)),INDEX($Z$2:$Z$1001,MATCH(ROWS($U$2:U644),$U$2:$U$1001,0),0)))</f>
        <v>0</v>
      </c>
      <c r="B644" s="5">
        <f>IF(OR(INDEX($V$2:$V$1001,MATCH(ROWS($U$2:U644),$U$2:$U$1001,0),1)&gt;=100000,INDEX($AB$1005:$AQ$1005,1,MATCH(COLUMNS($AB$1006:AB1006),$AB$1006:$AQ$1006,0))&gt;=100000), " ",IF(INDEX($AB$2:$AQ$1001,MATCH(ROWS($U$2:U644),$U$2:$U$1001,0),MATCH(COLUMNS($AB$1006:AB1006),$AB$1006:$AQ$1006,0)), HYPERLINK("#",""), HYPERLINK(CONCATENATE("#Metadata!", ADDRESS(INDEX($W$2:$W$1001,MATCH(ROWS($U$2:U644),$U$2:$U$1001,0),0), INDEX($AB$1004:$AQ$1004,1,MATCH(COLUMNS($AB$1006:AB1006),$AB$1006:$AQ$1006,0)))),"Fix")))</f>
        <v>0</v>
      </c>
      <c r="C644" s="5">
        <f>IF(OR(INDEX($V$2:$V$1001,MATCH(ROWS($U$2:U644),$U$2:$U$1001,0),1)&gt;=100000,INDEX($AB$1005:$AQ$1005,1,MATCH(COLUMNS($AB$1006:AC1006),$AB$1006:$AQ$1006,0))&gt;=100000), " ",IF(INDEX($AB$2:$AQ$1001,MATCH(ROWS($U$2:U644),$U$2:$U$1001,0),MATCH(COLUMNS($AB$1006:AC1006),$AB$1006:$AQ$1006,0)), HYPERLINK("#",""), HYPERLINK(CONCATENATE("#Metadata!", ADDRESS(INDEX($W$2:$W$1001,MATCH(ROWS($U$2:U644),$U$2:$U$1001,0),0), INDEX($AB$1004:$AQ$1004,1,MATCH(COLUMNS($AB$1006:AC1006),$AB$1006:$AQ$1006,0)))),"Fix")))</f>
        <v>0</v>
      </c>
      <c r="D644" s="5">
        <f>IF(OR(INDEX($V$2:$V$1001,MATCH(ROWS($U$2:U644),$U$2:$U$1001,0),1)&gt;=100000,INDEX($AB$1005:$AQ$1005,1,MATCH(COLUMNS($AB$1006:AD1006),$AB$1006:$AQ$1006,0))&gt;=100000), " ",IF(INDEX($AB$2:$AQ$1001,MATCH(ROWS($U$2:U644),$U$2:$U$1001,0),MATCH(COLUMNS($AB$1006:AD1006),$AB$1006:$AQ$1006,0)), HYPERLINK("#",""), HYPERLINK(CONCATENATE("#Metadata!", ADDRESS(INDEX($W$2:$W$1001,MATCH(ROWS($U$2:U644),$U$2:$U$1001,0),0), INDEX($AB$1004:$AQ$1004,1,MATCH(COLUMNS($AB$1006:AD1006),$AB$1006:$AQ$1006,0)))),"Fix")))</f>
        <v>0</v>
      </c>
      <c r="E644" s="5">
        <f>IF(OR(INDEX($V$2:$V$1001,MATCH(ROWS($U$2:U644),$U$2:$U$1001,0),1)&gt;=100000,INDEX($AB$1005:$AQ$1005,1,MATCH(COLUMNS($AB$1006:AE1006),$AB$1006:$AQ$1006,0))&gt;=100000), " ",IF(INDEX($AB$2:$AQ$1001,MATCH(ROWS($U$2:U644),$U$2:$U$1001,0),MATCH(COLUMNS($AB$1006:AE1006),$AB$1006:$AQ$1006,0)), HYPERLINK("#",""), HYPERLINK(CONCATENATE("#Metadata!", ADDRESS(INDEX($W$2:$W$1001,MATCH(ROWS($U$2:U644),$U$2:$U$1001,0),0), INDEX($AB$1004:$AQ$1004,1,MATCH(COLUMNS($AB$1006:AE1006),$AB$1006:$AQ$1006,0)))),"Fix")))</f>
        <v>0</v>
      </c>
      <c r="F644" s="5">
        <f>IF(OR(INDEX($V$2:$V$1001,MATCH(ROWS($U$2:U644),$U$2:$U$1001,0),1)&gt;=100000,INDEX($AB$1005:$AQ$1005,1,MATCH(COLUMNS($AB$1006:AF1006),$AB$1006:$AQ$1006,0))&gt;=100000), " ",IF(INDEX($AB$2:$AQ$1001,MATCH(ROWS($U$2:U644),$U$2:$U$1001,0),MATCH(COLUMNS($AB$1006:AF1006),$AB$1006:$AQ$1006,0)), HYPERLINK("#",""), HYPERLINK(CONCATENATE("#Metadata!", ADDRESS(INDEX($W$2:$W$1001,MATCH(ROWS($U$2:U644),$U$2:$U$1001,0),0), INDEX($AB$1004:$AQ$1004,1,MATCH(COLUMNS($AB$1006:AF1006),$AB$1006:$AQ$1006,0)))),"Fix")))</f>
        <v>0</v>
      </c>
      <c r="G644" s="5">
        <f>IF(OR(INDEX($V$2:$V$1001,MATCH(ROWS($U$2:U644),$U$2:$U$1001,0),1)&gt;=100000,INDEX($AB$1005:$AQ$1005,1,MATCH(COLUMNS($AB$1006:AG1006),$AB$1006:$AQ$1006,0))&gt;=100000), " ",IF(INDEX($AB$2:$AQ$1001,MATCH(ROWS($U$2:U644),$U$2:$U$1001,0),MATCH(COLUMNS($AB$1006:AG1006),$AB$1006:$AQ$1006,0)), HYPERLINK("#",""), HYPERLINK(CONCATENATE("#Metadata!", ADDRESS(INDEX($W$2:$W$1001,MATCH(ROWS($U$2:U644),$U$2:$U$1001,0),0), INDEX($AB$1004:$AQ$1004,1,MATCH(COLUMNS($AB$1006:AG1006),$AB$1006:$AQ$1006,0)))),"Fix")))</f>
        <v>0</v>
      </c>
      <c r="H644" s="5">
        <f>IF(OR(INDEX($V$2:$V$1001,MATCH(ROWS($U$2:U644),$U$2:$U$1001,0),1)&gt;=100000,INDEX($AB$1005:$AQ$1005,1,MATCH(COLUMNS($AB$1006:AH1006),$AB$1006:$AQ$1006,0))&gt;=100000), " ",IF(INDEX($AB$2:$AQ$1001,MATCH(ROWS($U$2:U644),$U$2:$U$1001,0),MATCH(COLUMNS($AB$1006:AH1006),$AB$1006:$AQ$1006,0)), HYPERLINK("#",""), HYPERLINK(CONCATENATE("#Metadata!", ADDRESS(INDEX($W$2:$W$1001,MATCH(ROWS($U$2:U644),$U$2:$U$1001,0),0), INDEX($AB$1004:$AQ$1004,1,MATCH(COLUMNS($AB$1006:AH1006),$AB$1006:$AQ$1006,0)))),"Fix")))</f>
        <v>0</v>
      </c>
      <c r="I644" s="5">
        <f>IF(OR(INDEX($V$2:$V$1001,MATCH(ROWS($U$2:U644),$U$2:$U$1001,0),1)&gt;=100000,INDEX($AB$1005:$AQ$1005,1,MATCH(COLUMNS($AB$1006:AI1006),$AB$1006:$AQ$1006,0))&gt;=100000), " ",IF(INDEX($AB$2:$AQ$1001,MATCH(ROWS($U$2:U644),$U$2:$U$1001,0),MATCH(COLUMNS($AB$1006:AI1006),$AB$1006:$AQ$1006,0)), HYPERLINK("#",""), HYPERLINK(CONCATENATE("#Metadata!", ADDRESS(INDEX($W$2:$W$1001,MATCH(ROWS($U$2:U644),$U$2:$U$1001,0),0), INDEX($AB$1004:$AQ$1004,1,MATCH(COLUMNS($AB$1006:AI1006),$AB$1006:$AQ$1006,0)))),"Fix")))</f>
        <v>0</v>
      </c>
      <c r="J644" s="5">
        <f>IF(OR(INDEX($V$2:$V$1001,MATCH(ROWS($U$2:U644),$U$2:$U$1001,0),1)&gt;=100000,INDEX($AB$1005:$AQ$1005,1,MATCH(COLUMNS($AB$1006:AJ1006),$AB$1006:$AQ$1006,0))&gt;=100000), " ",IF(INDEX($AB$2:$AQ$1001,MATCH(ROWS($U$2:U644),$U$2:$U$1001,0),MATCH(COLUMNS($AB$1006:AJ1006),$AB$1006:$AQ$1006,0)), HYPERLINK("#",""), HYPERLINK(CONCATENATE("#Metadata!", ADDRESS(INDEX($W$2:$W$1001,MATCH(ROWS($U$2:U644),$U$2:$U$1001,0),0), INDEX($AB$1004:$AQ$1004,1,MATCH(COLUMNS($AB$1006:AJ1006),$AB$1006:$AQ$1006,0)))),"Fix")))</f>
        <v>0</v>
      </c>
      <c r="K644" s="5">
        <f>IF(OR(INDEX($V$2:$V$1001,MATCH(ROWS($U$2:U644),$U$2:$U$1001,0),1)&gt;=100000,INDEX($AB$1005:$AQ$1005,1,MATCH(COLUMNS($AB$1006:AK1006),$AB$1006:$AQ$1006,0))&gt;=100000), " ",IF(INDEX($AB$2:$AQ$1001,MATCH(ROWS($U$2:U644),$U$2:$U$1001,0),MATCH(COLUMNS($AB$1006:AK1006),$AB$1006:$AQ$1006,0)), HYPERLINK("#",""), HYPERLINK(CONCATENATE("#Metadata!", ADDRESS(INDEX($W$2:$W$1001,MATCH(ROWS($U$2:U644),$U$2:$U$1001,0),0), INDEX($AB$1004:$AQ$1004,1,MATCH(COLUMNS($AB$1006:AK1006),$AB$1006:$AQ$1006,0)))),"Fix")))</f>
        <v>0</v>
      </c>
      <c r="L644" s="5">
        <f>IF(OR(INDEX($V$2:$V$1001,MATCH(ROWS($U$2:U644),$U$2:$U$1001,0),1)&gt;=100000,INDEX($AB$1005:$AQ$1005,1,MATCH(COLUMNS($AB$1006:AL1006),$AB$1006:$AQ$1006,0))&gt;=100000), " ",IF(INDEX($AB$2:$AQ$1001,MATCH(ROWS($U$2:U644),$U$2:$U$1001,0),MATCH(COLUMNS($AB$1006:AL1006),$AB$1006:$AQ$1006,0)), HYPERLINK("#",""), HYPERLINK(CONCATENATE("#Metadata!", ADDRESS(INDEX($W$2:$W$1001,MATCH(ROWS($U$2:U644),$U$2:$U$1001,0),0), INDEX($AB$1004:$AQ$1004,1,MATCH(COLUMNS($AB$1006:AL1006),$AB$1006:$AQ$1006,0)))),"Fix")))</f>
        <v>0</v>
      </c>
      <c r="M644" s="5">
        <f>IF(OR(INDEX($V$2:$V$1001,MATCH(ROWS($U$2:U644),$U$2:$U$1001,0),1)&gt;=100000,INDEX($AB$1005:$AQ$1005,1,MATCH(COLUMNS($AB$1006:AM1006),$AB$1006:$AQ$1006,0))&gt;=100000), " ",IF(INDEX($AB$2:$AQ$1001,MATCH(ROWS($U$2:U644),$U$2:$U$1001,0),MATCH(COLUMNS($AB$1006:AM1006),$AB$1006:$AQ$1006,0)), HYPERLINK("#",""), HYPERLINK(CONCATENATE("#Metadata!", ADDRESS(INDEX($W$2:$W$1001,MATCH(ROWS($U$2:U644),$U$2:$U$1001,0),0), INDEX($AB$1004:$AQ$1004,1,MATCH(COLUMNS($AB$1006:AM1006),$AB$1006:$AQ$1006,0)))),"Fix")))</f>
        <v>0</v>
      </c>
      <c r="N644" s="5">
        <f>IF(OR(INDEX($V$2:$V$1001,MATCH(ROWS($U$2:U644),$U$2:$U$1001,0),1)&gt;=100000,INDEX($AB$1005:$AQ$1005,1,MATCH(COLUMNS($AB$1006:AN1006),$AB$1006:$AQ$1006,0))&gt;=100000), " ",IF(INDEX($AB$2:$AQ$1001,MATCH(ROWS($U$2:U644),$U$2:$U$1001,0),MATCH(COLUMNS($AB$1006:AN1006),$AB$1006:$AQ$1006,0)), HYPERLINK("#",""), HYPERLINK(CONCATENATE("#Metadata!", ADDRESS(INDEX($W$2:$W$1001,MATCH(ROWS($U$2:U644),$U$2:$U$1001,0),0), INDEX($AB$1004:$AQ$1004,1,MATCH(COLUMNS($AB$1006:AN1006),$AB$1006:$AQ$1006,0)))),"Fix")))</f>
        <v>0</v>
      </c>
      <c r="O644" s="5">
        <f>IF(OR(INDEX($V$2:$V$1001,MATCH(ROWS($U$2:U644),$U$2:$U$1001,0),1)&gt;=100000,INDEX($AB$1005:$AQ$1005,1,MATCH(COLUMNS($AB$1006:AO1006),$AB$1006:$AQ$1006,0))&gt;=100000), " ",IF(INDEX($AB$2:$AQ$1001,MATCH(ROWS($U$2:U644),$U$2:$U$1001,0),MATCH(COLUMNS($AB$1006:AO1006),$AB$1006:$AQ$1006,0)), HYPERLINK("#",""), HYPERLINK(CONCATENATE("#Metadata!", ADDRESS(INDEX($W$2:$W$1001,MATCH(ROWS($U$2:U644),$U$2:$U$1001,0),0), INDEX($AB$1004:$AQ$1004,1,MATCH(COLUMNS($AB$1006:AO1006),$AB$1006:$AQ$1006,0)))),"Fix")))</f>
        <v>0</v>
      </c>
      <c r="P644" s="5">
        <f>IF(OR(INDEX($V$2:$V$1001,MATCH(ROWS($U$2:U644),$U$2:$U$1001,0),1)&gt;=100000,INDEX($AB$1005:$AQ$1005,1,MATCH(COLUMNS($AB$1006:AP1006),$AB$1006:$AQ$1006,0))&gt;=100000), " ",IF(INDEX($AB$2:$AQ$1001,MATCH(ROWS($U$2:U644),$U$2:$U$1001,0),MATCH(COLUMNS($AB$1006:AP1006),$AB$1006:$AQ$1006,0)), HYPERLINK("#",""), HYPERLINK(CONCATENATE("#Metadata!", ADDRESS(INDEX($W$2:$W$1001,MATCH(ROWS($U$2:U644),$U$2:$U$1001,0),0), INDEX($AB$1004:$AQ$1004,1,MATCH(COLUMNS($AB$1006:AP1006),$AB$1006:$AQ$1006,0)))),"Fix")))</f>
        <v>0</v>
      </c>
      <c r="Q644" s="5">
        <f>IF(OR(INDEX($V$2:$V$1001,MATCH(ROWS($U$2:U644),$U$2:$U$1001,0),1)&gt;=100000,INDEX($AB$1005:$AQ$1005,1,MATCH(COLUMNS($AB$1006:AQ1006),$AB$1006:$AQ$1006,0))&gt;=100000), " ",IF(INDEX($AB$2:$AQ$1001,MATCH(ROWS($U$2:U644),$U$2:$U$1001,0),MATCH(COLUMNS($AB$1006:AQ1006),$AB$1006:$AQ$1006,0)), HYPERLINK("#",""), HYPERLINK(CONCATENATE("#Metadata!", ADDRESS(INDEX($W$2:$W$1001,MATCH(ROWS($U$2:U644),$U$2:$U$1001,0),0), INDEX($AB$1004:$AQ$1004,1,MATCH(COLUMNS($AB$1006:AQ1006),$AB$1006:$AQ$1006,0)))),"Fix")))</f>
        <v>0</v>
      </c>
      <c r="U644">
        <v>0</v>
      </c>
      <c r="V644">
        <v>0</v>
      </c>
      <c r="W644">
        <v>0</v>
      </c>
      <c r="X644">
        <f>IF(Y644,TRUE,AND(AB644:AQ644))</f>
        <v>0</v>
      </c>
      <c r="Y644">
        <f>COUNTBLANK(Metadata!B644:Q644)=COLUMNS(Metadata!B644:Q644)</f>
        <v>0</v>
      </c>
      <c r="Z644">
        <v>0</v>
      </c>
      <c r="AB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AC644">
        <f>AND(IF(Metadata!C644="",FALSE,TRUE),exact(Metadata!C644,"urban biome"))</f>
        <v>0</v>
      </c>
      <c r="AD644">
        <f>AND(IF(Metadata!D644="",FALSE,TRUE),exact(Metadata!D644,"human-associated habitat"))</f>
        <v>0</v>
      </c>
      <c r="AE644">
        <f>AND(IF(Metadata!E644="",FALSE,TRUE),OR(exact(Metadata!E644,"human-associated"),exact(Metadata!E644,"human-skin"),exact(Metadata!E644,"human-oral"),exact(Metadata!E644,"human-gut"),exact(Metadata!E644,"human-vaginal")))</f>
        <v>0</v>
      </c>
      <c r="AF644">
        <f>AND(IF(Metadata!F644="",FALSE,ISNUMBER(VALUE(Metadata!F644))),Metadata!F644&gt;0)</f>
        <v>0</v>
      </c>
      <c r="AG644">
        <f>AND(IF(Metadata!G644="",FALSE,TRUE),exact(Metadata!G644,"years"))</f>
        <v>0</v>
      </c>
      <c r="AH644">
        <f>OR(AND(IF(Metadata!H644="",FALSE,TRUE),OR(exact(Metadata!H644,"not applicable"),exact(Metadata!H644,"not collected"),exact(Metadata!H644,"not provided"),exact(Metadata!H644,"restricted access"))),AND(IF(Metadata!H644="",FALSE,ISNUMBER(VALUE(Metadata!H644))),Metadata!H644&gt;0))</f>
        <v>0</v>
      </c>
      <c r="AI644">
        <f>AND(IF(Metadata!I644="",FALSE,TRUE),exact(Metadata!I644,"human"))</f>
        <v>0</v>
      </c>
      <c r="AJ644">
        <f>AND(IF(Metadata!J644="",FALSE,ISNUMBER(VALUE(Metadata!J644))),Metadata!J644&gt;0)</f>
        <v>0</v>
      </c>
      <c r="AK644">
        <f>AND(IF(Metadata!K644="",FALSE,TRUE),exact(Metadata!K644,"cm"))</f>
        <v>0</v>
      </c>
      <c r="AL644">
        <f>AND(IF(Metadata!L644="",FALSE,TRUE),exact(Metadata!L644,"Homo sapiens"))</f>
        <v>0</v>
      </c>
      <c r="AM644">
        <f>AND(IF(Metadata!M644="",FALSE,TRUE),exact(Metadata!M644,"9606"))</f>
        <v>0</v>
      </c>
      <c r="AN644">
        <f>AND(IF(Metadata!N644="",FALSE,ISNUMBER(VALUE(Metadata!N644))),Metadata!N644&gt;0)</f>
        <v>0</v>
      </c>
      <c r="AO644">
        <f>AND(IF(Metadata!O644="",FALSE,TRUE),exact(Metadata!O644,"kg"))</f>
        <v>0</v>
      </c>
      <c r="AP644">
        <f>OR(AND(IF(Metadata!P644="",FALSE,TRUE),exact(Metadata!P644,"not provided")),IF(Metadata!P644="",FALSE,TRUE))</f>
        <v>0</v>
      </c>
      <c r="AQ644">
        <f>OR(AND(IF(Metadata!Q644="",FALSE,TRUE),exact(Metadata!Q644,"not provided")),IF(Metadata!Q644="",FALSE,TRUE))</f>
        <v>0</v>
      </c>
    </row>
    <row r="645" spans="1:43">
      <c r="A645" s="4">
        <f>IF(B645=" "," ",HYPERLINK(CONCATENATE("#metadata!",ADDRESS(INDEX($W$2:$W$1001,MATCH(ROWS($U$2:U645),$U$2:$U$1001,0),0),2)),INDEX($Z$2:$Z$1001,MATCH(ROWS($U$2:U645),$U$2:$U$1001,0),0)))</f>
        <v>0</v>
      </c>
      <c r="B645" s="5">
        <f>IF(OR(INDEX($V$2:$V$1001,MATCH(ROWS($U$2:U645),$U$2:$U$1001,0),1)&gt;=100000,INDEX($AB$1005:$AQ$1005,1,MATCH(COLUMNS($AB$1006:AB1006),$AB$1006:$AQ$1006,0))&gt;=100000), " ",IF(INDEX($AB$2:$AQ$1001,MATCH(ROWS($U$2:U645),$U$2:$U$1001,0),MATCH(COLUMNS($AB$1006:AB1006),$AB$1006:$AQ$1006,0)), HYPERLINK("#",""), HYPERLINK(CONCATENATE("#Metadata!", ADDRESS(INDEX($W$2:$W$1001,MATCH(ROWS($U$2:U645),$U$2:$U$1001,0),0), INDEX($AB$1004:$AQ$1004,1,MATCH(COLUMNS($AB$1006:AB1006),$AB$1006:$AQ$1006,0)))),"Fix")))</f>
        <v>0</v>
      </c>
      <c r="C645" s="5">
        <f>IF(OR(INDEX($V$2:$V$1001,MATCH(ROWS($U$2:U645),$U$2:$U$1001,0),1)&gt;=100000,INDEX($AB$1005:$AQ$1005,1,MATCH(COLUMNS($AB$1006:AC1006),$AB$1006:$AQ$1006,0))&gt;=100000), " ",IF(INDEX($AB$2:$AQ$1001,MATCH(ROWS($U$2:U645),$U$2:$U$1001,0),MATCH(COLUMNS($AB$1006:AC1006),$AB$1006:$AQ$1006,0)), HYPERLINK("#",""), HYPERLINK(CONCATENATE("#Metadata!", ADDRESS(INDEX($W$2:$W$1001,MATCH(ROWS($U$2:U645),$U$2:$U$1001,0),0), INDEX($AB$1004:$AQ$1004,1,MATCH(COLUMNS($AB$1006:AC1006),$AB$1006:$AQ$1006,0)))),"Fix")))</f>
        <v>0</v>
      </c>
      <c r="D645" s="5">
        <f>IF(OR(INDEX($V$2:$V$1001,MATCH(ROWS($U$2:U645),$U$2:$U$1001,0),1)&gt;=100000,INDEX($AB$1005:$AQ$1005,1,MATCH(COLUMNS($AB$1006:AD1006),$AB$1006:$AQ$1006,0))&gt;=100000), " ",IF(INDEX($AB$2:$AQ$1001,MATCH(ROWS($U$2:U645),$U$2:$U$1001,0),MATCH(COLUMNS($AB$1006:AD1006),$AB$1006:$AQ$1006,0)), HYPERLINK("#",""), HYPERLINK(CONCATENATE("#Metadata!", ADDRESS(INDEX($W$2:$W$1001,MATCH(ROWS($U$2:U645),$U$2:$U$1001,0),0), INDEX($AB$1004:$AQ$1004,1,MATCH(COLUMNS($AB$1006:AD1006),$AB$1006:$AQ$1006,0)))),"Fix")))</f>
        <v>0</v>
      </c>
      <c r="E645" s="5">
        <f>IF(OR(INDEX($V$2:$V$1001,MATCH(ROWS($U$2:U645),$U$2:$U$1001,0),1)&gt;=100000,INDEX($AB$1005:$AQ$1005,1,MATCH(COLUMNS($AB$1006:AE1006),$AB$1006:$AQ$1006,0))&gt;=100000), " ",IF(INDEX($AB$2:$AQ$1001,MATCH(ROWS($U$2:U645),$U$2:$U$1001,0),MATCH(COLUMNS($AB$1006:AE1006),$AB$1006:$AQ$1006,0)), HYPERLINK("#",""), HYPERLINK(CONCATENATE("#Metadata!", ADDRESS(INDEX($W$2:$W$1001,MATCH(ROWS($U$2:U645),$U$2:$U$1001,0),0), INDEX($AB$1004:$AQ$1004,1,MATCH(COLUMNS($AB$1006:AE1006),$AB$1006:$AQ$1006,0)))),"Fix")))</f>
        <v>0</v>
      </c>
      <c r="F645" s="5">
        <f>IF(OR(INDEX($V$2:$V$1001,MATCH(ROWS($U$2:U645),$U$2:$U$1001,0),1)&gt;=100000,INDEX($AB$1005:$AQ$1005,1,MATCH(COLUMNS($AB$1006:AF1006),$AB$1006:$AQ$1006,0))&gt;=100000), " ",IF(INDEX($AB$2:$AQ$1001,MATCH(ROWS($U$2:U645),$U$2:$U$1001,0),MATCH(COLUMNS($AB$1006:AF1006),$AB$1006:$AQ$1006,0)), HYPERLINK("#",""), HYPERLINK(CONCATENATE("#Metadata!", ADDRESS(INDEX($W$2:$W$1001,MATCH(ROWS($U$2:U645),$U$2:$U$1001,0),0), INDEX($AB$1004:$AQ$1004,1,MATCH(COLUMNS($AB$1006:AF1006),$AB$1006:$AQ$1006,0)))),"Fix")))</f>
        <v>0</v>
      </c>
      <c r="G645" s="5">
        <f>IF(OR(INDEX($V$2:$V$1001,MATCH(ROWS($U$2:U645),$U$2:$U$1001,0),1)&gt;=100000,INDEX($AB$1005:$AQ$1005,1,MATCH(COLUMNS($AB$1006:AG1006),$AB$1006:$AQ$1006,0))&gt;=100000), " ",IF(INDEX($AB$2:$AQ$1001,MATCH(ROWS($U$2:U645),$U$2:$U$1001,0),MATCH(COLUMNS($AB$1006:AG1006),$AB$1006:$AQ$1006,0)), HYPERLINK("#",""), HYPERLINK(CONCATENATE("#Metadata!", ADDRESS(INDEX($W$2:$W$1001,MATCH(ROWS($U$2:U645),$U$2:$U$1001,0),0), INDEX($AB$1004:$AQ$1004,1,MATCH(COLUMNS($AB$1006:AG1006),$AB$1006:$AQ$1006,0)))),"Fix")))</f>
        <v>0</v>
      </c>
      <c r="H645" s="5">
        <f>IF(OR(INDEX($V$2:$V$1001,MATCH(ROWS($U$2:U645),$U$2:$U$1001,0),1)&gt;=100000,INDEX($AB$1005:$AQ$1005,1,MATCH(COLUMNS($AB$1006:AH1006),$AB$1006:$AQ$1006,0))&gt;=100000), " ",IF(INDEX($AB$2:$AQ$1001,MATCH(ROWS($U$2:U645),$U$2:$U$1001,0),MATCH(COLUMNS($AB$1006:AH1006),$AB$1006:$AQ$1006,0)), HYPERLINK("#",""), HYPERLINK(CONCATENATE("#Metadata!", ADDRESS(INDEX($W$2:$W$1001,MATCH(ROWS($U$2:U645),$U$2:$U$1001,0),0), INDEX($AB$1004:$AQ$1004,1,MATCH(COLUMNS($AB$1006:AH1006),$AB$1006:$AQ$1006,0)))),"Fix")))</f>
        <v>0</v>
      </c>
      <c r="I645" s="5">
        <f>IF(OR(INDEX($V$2:$V$1001,MATCH(ROWS($U$2:U645),$U$2:$U$1001,0),1)&gt;=100000,INDEX($AB$1005:$AQ$1005,1,MATCH(COLUMNS($AB$1006:AI1006),$AB$1006:$AQ$1006,0))&gt;=100000), " ",IF(INDEX($AB$2:$AQ$1001,MATCH(ROWS($U$2:U645),$U$2:$U$1001,0),MATCH(COLUMNS($AB$1006:AI1006),$AB$1006:$AQ$1006,0)), HYPERLINK("#",""), HYPERLINK(CONCATENATE("#Metadata!", ADDRESS(INDEX($W$2:$W$1001,MATCH(ROWS($U$2:U645),$U$2:$U$1001,0),0), INDEX($AB$1004:$AQ$1004,1,MATCH(COLUMNS($AB$1006:AI1006),$AB$1006:$AQ$1006,0)))),"Fix")))</f>
        <v>0</v>
      </c>
      <c r="J645" s="5">
        <f>IF(OR(INDEX($V$2:$V$1001,MATCH(ROWS($U$2:U645),$U$2:$U$1001,0),1)&gt;=100000,INDEX($AB$1005:$AQ$1005,1,MATCH(COLUMNS($AB$1006:AJ1006),$AB$1006:$AQ$1006,0))&gt;=100000), " ",IF(INDEX($AB$2:$AQ$1001,MATCH(ROWS($U$2:U645),$U$2:$U$1001,0),MATCH(COLUMNS($AB$1006:AJ1006),$AB$1006:$AQ$1006,0)), HYPERLINK("#",""), HYPERLINK(CONCATENATE("#Metadata!", ADDRESS(INDEX($W$2:$W$1001,MATCH(ROWS($U$2:U645),$U$2:$U$1001,0),0), INDEX($AB$1004:$AQ$1004,1,MATCH(COLUMNS($AB$1006:AJ1006),$AB$1006:$AQ$1006,0)))),"Fix")))</f>
        <v>0</v>
      </c>
      <c r="K645" s="5">
        <f>IF(OR(INDEX($V$2:$V$1001,MATCH(ROWS($U$2:U645),$U$2:$U$1001,0),1)&gt;=100000,INDEX($AB$1005:$AQ$1005,1,MATCH(COLUMNS($AB$1006:AK1006),$AB$1006:$AQ$1006,0))&gt;=100000), " ",IF(INDEX($AB$2:$AQ$1001,MATCH(ROWS($U$2:U645),$U$2:$U$1001,0),MATCH(COLUMNS($AB$1006:AK1006),$AB$1006:$AQ$1006,0)), HYPERLINK("#",""), HYPERLINK(CONCATENATE("#Metadata!", ADDRESS(INDEX($W$2:$W$1001,MATCH(ROWS($U$2:U645),$U$2:$U$1001,0),0), INDEX($AB$1004:$AQ$1004,1,MATCH(COLUMNS($AB$1006:AK1006),$AB$1006:$AQ$1006,0)))),"Fix")))</f>
        <v>0</v>
      </c>
      <c r="L645" s="5">
        <f>IF(OR(INDEX($V$2:$V$1001,MATCH(ROWS($U$2:U645),$U$2:$U$1001,0),1)&gt;=100000,INDEX($AB$1005:$AQ$1005,1,MATCH(COLUMNS($AB$1006:AL1006),$AB$1006:$AQ$1006,0))&gt;=100000), " ",IF(INDEX($AB$2:$AQ$1001,MATCH(ROWS($U$2:U645),$U$2:$U$1001,0),MATCH(COLUMNS($AB$1006:AL1006),$AB$1006:$AQ$1006,0)), HYPERLINK("#",""), HYPERLINK(CONCATENATE("#Metadata!", ADDRESS(INDEX($W$2:$W$1001,MATCH(ROWS($U$2:U645),$U$2:$U$1001,0),0), INDEX($AB$1004:$AQ$1004,1,MATCH(COLUMNS($AB$1006:AL1006),$AB$1006:$AQ$1006,0)))),"Fix")))</f>
        <v>0</v>
      </c>
      <c r="M645" s="5">
        <f>IF(OR(INDEX($V$2:$V$1001,MATCH(ROWS($U$2:U645),$U$2:$U$1001,0),1)&gt;=100000,INDEX($AB$1005:$AQ$1005,1,MATCH(COLUMNS($AB$1006:AM1006),$AB$1006:$AQ$1006,0))&gt;=100000), " ",IF(INDEX($AB$2:$AQ$1001,MATCH(ROWS($U$2:U645),$U$2:$U$1001,0),MATCH(COLUMNS($AB$1006:AM1006),$AB$1006:$AQ$1006,0)), HYPERLINK("#",""), HYPERLINK(CONCATENATE("#Metadata!", ADDRESS(INDEX($W$2:$W$1001,MATCH(ROWS($U$2:U645),$U$2:$U$1001,0),0), INDEX($AB$1004:$AQ$1004,1,MATCH(COLUMNS($AB$1006:AM1006),$AB$1006:$AQ$1006,0)))),"Fix")))</f>
        <v>0</v>
      </c>
      <c r="N645" s="5">
        <f>IF(OR(INDEX($V$2:$V$1001,MATCH(ROWS($U$2:U645),$U$2:$U$1001,0),1)&gt;=100000,INDEX($AB$1005:$AQ$1005,1,MATCH(COLUMNS($AB$1006:AN1006),$AB$1006:$AQ$1006,0))&gt;=100000), " ",IF(INDEX($AB$2:$AQ$1001,MATCH(ROWS($U$2:U645),$U$2:$U$1001,0),MATCH(COLUMNS($AB$1006:AN1006),$AB$1006:$AQ$1006,0)), HYPERLINK("#",""), HYPERLINK(CONCATENATE("#Metadata!", ADDRESS(INDEX($W$2:$W$1001,MATCH(ROWS($U$2:U645),$U$2:$U$1001,0),0), INDEX($AB$1004:$AQ$1004,1,MATCH(COLUMNS($AB$1006:AN1006),$AB$1006:$AQ$1006,0)))),"Fix")))</f>
        <v>0</v>
      </c>
      <c r="O645" s="5">
        <f>IF(OR(INDEX($V$2:$V$1001,MATCH(ROWS($U$2:U645),$U$2:$U$1001,0),1)&gt;=100000,INDEX($AB$1005:$AQ$1005,1,MATCH(COLUMNS($AB$1006:AO1006),$AB$1006:$AQ$1006,0))&gt;=100000), " ",IF(INDEX($AB$2:$AQ$1001,MATCH(ROWS($U$2:U645),$U$2:$U$1001,0),MATCH(COLUMNS($AB$1006:AO1006),$AB$1006:$AQ$1006,0)), HYPERLINK("#",""), HYPERLINK(CONCATENATE("#Metadata!", ADDRESS(INDEX($W$2:$W$1001,MATCH(ROWS($U$2:U645),$U$2:$U$1001,0),0), INDEX($AB$1004:$AQ$1004,1,MATCH(COLUMNS($AB$1006:AO1006),$AB$1006:$AQ$1006,0)))),"Fix")))</f>
        <v>0</v>
      </c>
      <c r="P645" s="5">
        <f>IF(OR(INDEX($V$2:$V$1001,MATCH(ROWS($U$2:U645),$U$2:$U$1001,0),1)&gt;=100000,INDEX($AB$1005:$AQ$1005,1,MATCH(COLUMNS($AB$1006:AP1006),$AB$1006:$AQ$1006,0))&gt;=100000), " ",IF(INDEX($AB$2:$AQ$1001,MATCH(ROWS($U$2:U645),$U$2:$U$1001,0),MATCH(COLUMNS($AB$1006:AP1006),$AB$1006:$AQ$1006,0)), HYPERLINK("#",""), HYPERLINK(CONCATENATE("#Metadata!", ADDRESS(INDEX($W$2:$W$1001,MATCH(ROWS($U$2:U645),$U$2:$U$1001,0),0), INDEX($AB$1004:$AQ$1004,1,MATCH(COLUMNS($AB$1006:AP1006),$AB$1006:$AQ$1006,0)))),"Fix")))</f>
        <v>0</v>
      </c>
      <c r="Q645" s="5">
        <f>IF(OR(INDEX($V$2:$V$1001,MATCH(ROWS($U$2:U645),$U$2:$U$1001,0),1)&gt;=100000,INDEX($AB$1005:$AQ$1005,1,MATCH(COLUMNS($AB$1006:AQ1006),$AB$1006:$AQ$1006,0))&gt;=100000), " ",IF(INDEX($AB$2:$AQ$1001,MATCH(ROWS($U$2:U645),$U$2:$U$1001,0),MATCH(COLUMNS($AB$1006:AQ1006),$AB$1006:$AQ$1006,0)), HYPERLINK("#",""), HYPERLINK(CONCATENATE("#Metadata!", ADDRESS(INDEX($W$2:$W$1001,MATCH(ROWS($U$2:U645),$U$2:$U$1001,0),0), INDEX($AB$1004:$AQ$1004,1,MATCH(COLUMNS($AB$1006:AQ1006),$AB$1006:$AQ$1006,0)))),"Fix")))</f>
        <v>0</v>
      </c>
      <c r="U645">
        <v>0</v>
      </c>
      <c r="V645">
        <v>0</v>
      </c>
      <c r="W645">
        <v>0</v>
      </c>
      <c r="X645">
        <f>IF(Y645,TRUE,AND(AB645:AQ645))</f>
        <v>0</v>
      </c>
      <c r="Y645">
        <f>COUNTBLANK(Metadata!B645:Q645)=COLUMNS(Metadata!B645:Q645)</f>
        <v>0</v>
      </c>
      <c r="Z645">
        <v>0</v>
      </c>
      <c r="AB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AC645">
        <f>AND(IF(Metadata!C645="",FALSE,TRUE),exact(Metadata!C645,"urban biome"))</f>
        <v>0</v>
      </c>
      <c r="AD645">
        <f>AND(IF(Metadata!D645="",FALSE,TRUE),exact(Metadata!D645,"human-associated habitat"))</f>
        <v>0</v>
      </c>
      <c r="AE645">
        <f>AND(IF(Metadata!E645="",FALSE,TRUE),OR(exact(Metadata!E645,"human-associated"),exact(Metadata!E645,"human-skin"),exact(Metadata!E645,"human-oral"),exact(Metadata!E645,"human-gut"),exact(Metadata!E645,"human-vaginal")))</f>
        <v>0</v>
      </c>
      <c r="AF645">
        <f>AND(IF(Metadata!F645="",FALSE,ISNUMBER(VALUE(Metadata!F645))),Metadata!F645&gt;0)</f>
        <v>0</v>
      </c>
      <c r="AG645">
        <f>AND(IF(Metadata!G645="",FALSE,TRUE),exact(Metadata!G645,"years"))</f>
        <v>0</v>
      </c>
      <c r="AH645">
        <f>OR(AND(IF(Metadata!H645="",FALSE,TRUE),OR(exact(Metadata!H645,"not applicable"),exact(Metadata!H645,"not collected"),exact(Metadata!H645,"not provided"),exact(Metadata!H645,"restricted access"))),AND(IF(Metadata!H645="",FALSE,ISNUMBER(VALUE(Metadata!H645))),Metadata!H645&gt;0))</f>
        <v>0</v>
      </c>
      <c r="AI645">
        <f>AND(IF(Metadata!I645="",FALSE,TRUE),exact(Metadata!I645,"human"))</f>
        <v>0</v>
      </c>
      <c r="AJ645">
        <f>AND(IF(Metadata!J645="",FALSE,ISNUMBER(VALUE(Metadata!J645))),Metadata!J645&gt;0)</f>
        <v>0</v>
      </c>
      <c r="AK645">
        <f>AND(IF(Metadata!K645="",FALSE,TRUE),exact(Metadata!K645,"cm"))</f>
        <v>0</v>
      </c>
      <c r="AL645">
        <f>AND(IF(Metadata!L645="",FALSE,TRUE),exact(Metadata!L645,"Homo sapiens"))</f>
        <v>0</v>
      </c>
      <c r="AM645">
        <f>AND(IF(Metadata!M645="",FALSE,TRUE),exact(Metadata!M645,"9606"))</f>
        <v>0</v>
      </c>
      <c r="AN645">
        <f>AND(IF(Metadata!N645="",FALSE,ISNUMBER(VALUE(Metadata!N645))),Metadata!N645&gt;0)</f>
        <v>0</v>
      </c>
      <c r="AO645">
        <f>AND(IF(Metadata!O645="",FALSE,TRUE),exact(Metadata!O645,"kg"))</f>
        <v>0</v>
      </c>
      <c r="AP645">
        <f>OR(AND(IF(Metadata!P645="",FALSE,TRUE),exact(Metadata!P645,"not provided")),IF(Metadata!P645="",FALSE,TRUE))</f>
        <v>0</v>
      </c>
      <c r="AQ645">
        <f>OR(AND(IF(Metadata!Q645="",FALSE,TRUE),exact(Metadata!Q645,"not provided")),IF(Metadata!Q645="",FALSE,TRUE))</f>
        <v>0</v>
      </c>
    </row>
    <row r="646" spans="1:43">
      <c r="A646" s="4">
        <f>IF(B646=" "," ",HYPERLINK(CONCATENATE("#metadata!",ADDRESS(INDEX($W$2:$W$1001,MATCH(ROWS($U$2:U646),$U$2:$U$1001,0),0),2)),INDEX($Z$2:$Z$1001,MATCH(ROWS($U$2:U646),$U$2:$U$1001,0),0)))</f>
        <v>0</v>
      </c>
      <c r="B646" s="5">
        <f>IF(OR(INDEX($V$2:$V$1001,MATCH(ROWS($U$2:U646),$U$2:$U$1001,0),1)&gt;=100000,INDEX($AB$1005:$AQ$1005,1,MATCH(COLUMNS($AB$1006:AB1006),$AB$1006:$AQ$1006,0))&gt;=100000), " ",IF(INDEX($AB$2:$AQ$1001,MATCH(ROWS($U$2:U646),$U$2:$U$1001,0),MATCH(COLUMNS($AB$1006:AB1006),$AB$1006:$AQ$1006,0)), HYPERLINK("#",""), HYPERLINK(CONCATENATE("#Metadata!", ADDRESS(INDEX($W$2:$W$1001,MATCH(ROWS($U$2:U646),$U$2:$U$1001,0),0), INDEX($AB$1004:$AQ$1004,1,MATCH(COLUMNS($AB$1006:AB1006),$AB$1006:$AQ$1006,0)))),"Fix")))</f>
        <v>0</v>
      </c>
      <c r="C646" s="5">
        <f>IF(OR(INDEX($V$2:$V$1001,MATCH(ROWS($U$2:U646),$U$2:$U$1001,0),1)&gt;=100000,INDEX($AB$1005:$AQ$1005,1,MATCH(COLUMNS($AB$1006:AC1006),$AB$1006:$AQ$1006,0))&gt;=100000), " ",IF(INDEX($AB$2:$AQ$1001,MATCH(ROWS($U$2:U646),$U$2:$U$1001,0),MATCH(COLUMNS($AB$1006:AC1006),$AB$1006:$AQ$1006,0)), HYPERLINK("#",""), HYPERLINK(CONCATENATE("#Metadata!", ADDRESS(INDEX($W$2:$W$1001,MATCH(ROWS($U$2:U646),$U$2:$U$1001,0),0), INDEX($AB$1004:$AQ$1004,1,MATCH(COLUMNS($AB$1006:AC1006),$AB$1006:$AQ$1006,0)))),"Fix")))</f>
        <v>0</v>
      </c>
      <c r="D646" s="5">
        <f>IF(OR(INDEX($V$2:$V$1001,MATCH(ROWS($U$2:U646),$U$2:$U$1001,0),1)&gt;=100000,INDEX($AB$1005:$AQ$1005,1,MATCH(COLUMNS($AB$1006:AD1006),$AB$1006:$AQ$1006,0))&gt;=100000), " ",IF(INDEX($AB$2:$AQ$1001,MATCH(ROWS($U$2:U646),$U$2:$U$1001,0),MATCH(COLUMNS($AB$1006:AD1006),$AB$1006:$AQ$1006,0)), HYPERLINK("#",""), HYPERLINK(CONCATENATE("#Metadata!", ADDRESS(INDEX($W$2:$W$1001,MATCH(ROWS($U$2:U646),$U$2:$U$1001,0),0), INDEX($AB$1004:$AQ$1004,1,MATCH(COLUMNS($AB$1006:AD1006),$AB$1006:$AQ$1006,0)))),"Fix")))</f>
        <v>0</v>
      </c>
      <c r="E646" s="5">
        <f>IF(OR(INDEX($V$2:$V$1001,MATCH(ROWS($U$2:U646),$U$2:$U$1001,0),1)&gt;=100000,INDEX($AB$1005:$AQ$1005,1,MATCH(COLUMNS($AB$1006:AE1006),$AB$1006:$AQ$1006,0))&gt;=100000), " ",IF(INDEX($AB$2:$AQ$1001,MATCH(ROWS($U$2:U646),$U$2:$U$1001,0),MATCH(COLUMNS($AB$1006:AE1006),$AB$1006:$AQ$1006,0)), HYPERLINK("#",""), HYPERLINK(CONCATENATE("#Metadata!", ADDRESS(INDEX($W$2:$W$1001,MATCH(ROWS($U$2:U646),$U$2:$U$1001,0),0), INDEX($AB$1004:$AQ$1004,1,MATCH(COLUMNS($AB$1006:AE1006),$AB$1006:$AQ$1006,0)))),"Fix")))</f>
        <v>0</v>
      </c>
      <c r="F646" s="5">
        <f>IF(OR(INDEX($V$2:$V$1001,MATCH(ROWS($U$2:U646),$U$2:$U$1001,0),1)&gt;=100000,INDEX($AB$1005:$AQ$1005,1,MATCH(COLUMNS($AB$1006:AF1006),$AB$1006:$AQ$1006,0))&gt;=100000), " ",IF(INDEX($AB$2:$AQ$1001,MATCH(ROWS($U$2:U646),$U$2:$U$1001,0),MATCH(COLUMNS($AB$1006:AF1006),$AB$1006:$AQ$1006,0)), HYPERLINK("#",""), HYPERLINK(CONCATENATE("#Metadata!", ADDRESS(INDEX($W$2:$W$1001,MATCH(ROWS($U$2:U646),$U$2:$U$1001,0),0), INDEX($AB$1004:$AQ$1004,1,MATCH(COLUMNS($AB$1006:AF1006),$AB$1006:$AQ$1006,0)))),"Fix")))</f>
        <v>0</v>
      </c>
      <c r="G646" s="5">
        <f>IF(OR(INDEX($V$2:$V$1001,MATCH(ROWS($U$2:U646),$U$2:$U$1001,0),1)&gt;=100000,INDEX($AB$1005:$AQ$1005,1,MATCH(COLUMNS($AB$1006:AG1006),$AB$1006:$AQ$1006,0))&gt;=100000), " ",IF(INDEX($AB$2:$AQ$1001,MATCH(ROWS($U$2:U646),$U$2:$U$1001,0),MATCH(COLUMNS($AB$1006:AG1006),$AB$1006:$AQ$1006,0)), HYPERLINK("#",""), HYPERLINK(CONCATENATE("#Metadata!", ADDRESS(INDEX($W$2:$W$1001,MATCH(ROWS($U$2:U646),$U$2:$U$1001,0),0), INDEX($AB$1004:$AQ$1004,1,MATCH(COLUMNS($AB$1006:AG1006),$AB$1006:$AQ$1006,0)))),"Fix")))</f>
        <v>0</v>
      </c>
      <c r="H646" s="5">
        <f>IF(OR(INDEX($V$2:$V$1001,MATCH(ROWS($U$2:U646),$U$2:$U$1001,0),1)&gt;=100000,INDEX($AB$1005:$AQ$1005,1,MATCH(COLUMNS($AB$1006:AH1006),$AB$1006:$AQ$1006,0))&gt;=100000), " ",IF(INDEX($AB$2:$AQ$1001,MATCH(ROWS($U$2:U646),$U$2:$U$1001,0),MATCH(COLUMNS($AB$1006:AH1006),$AB$1006:$AQ$1006,0)), HYPERLINK("#",""), HYPERLINK(CONCATENATE("#Metadata!", ADDRESS(INDEX($W$2:$W$1001,MATCH(ROWS($U$2:U646),$U$2:$U$1001,0),0), INDEX($AB$1004:$AQ$1004,1,MATCH(COLUMNS($AB$1006:AH1006),$AB$1006:$AQ$1006,0)))),"Fix")))</f>
        <v>0</v>
      </c>
      <c r="I646" s="5">
        <f>IF(OR(INDEX($V$2:$V$1001,MATCH(ROWS($U$2:U646),$U$2:$U$1001,0),1)&gt;=100000,INDEX($AB$1005:$AQ$1005,1,MATCH(COLUMNS($AB$1006:AI1006),$AB$1006:$AQ$1006,0))&gt;=100000), " ",IF(INDEX($AB$2:$AQ$1001,MATCH(ROWS($U$2:U646),$U$2:$U$1001,0),MATCH(COLUMNS($AB$1006:AI1006),$AB$1006:$AQ$1006,0)), HYPERLINK("#",""), HYPERLINK(CONCATENATE("#Metadata!", ADDRESS(INDEX($W$2:$W$1001,MATCH(ROWS($U$2:U646),$U$2:$U$1001,0),0), INDEX($AB$1004:$AQ$1004,1,MATCH(COLUMNS($AB$1006:AI1006),$AB$1006:$AQ$1006,0)))),"Fix")))</f>
        <v>0</v>
      </c>
      <c r="J646" s="5">
        <f>IF(OR(INDEX($V$2:$V$1001,MATCH(ROWS($U$2:U646),$U$2:$U$1001,0),1)&gt;=100000,INDEX($AB$1005:$AQ$1005,1,MATCH(COLUMNS($AB$1006:AJ1006),$AB$1006:$AQ$1006,0))&gt;=100000), " ",IF(INDEX($AB$2:$AQ$1001,MATCH(ROWS($U$2:U646),$U$2:$U$1001,0),MATCH(COLUMNS($AB$1006:AJ1006),$AB$1006:$AQ$1006,0)), HYPERLINK("#",""), HYPERLINK(CONCATENATE("#Metadata!", ADDRESS(INDEX($W$2:$W$1001,MATCH(ROWS($U$2:U646),$U$2:$U$1001,0),0), INDEX($AB$1004:$AQ$1004,1,MATCH(COLUMNS($AB$1006:AJ1006),$AB$1006:$AQ$1006,0)))),"Fix")))</f>
        <v>0</v>
      </c>
      <c r="K646" s="5">
        <f>IF(OR(INDEX($V$2:$V$1001,MATCH(ROWS($U$2:U646),$U$2:$U$1001,0),1)&gt;=100000,INDEX($AB$1005:$AQ$1005,1,MATCH(COLUMNS($AB$1006:AK1006),$AB$1006:$AQ$1006,0))&gt;=100000), " ",IF(INDEX($AB$2:$AQ$1001,MATCH(ROWS($U$2:U646),$U$2:$U$1001,0),MATCH(COLUMNS($AB$1006:AK1006),$AB$1006:$AQ$1006,0)), HYPERLINK("#",""), HYPERLINK(CONCATENATE("#Metadata!", ADDRESS(INDEX($W$2:$W$1001,MATCH(ROWS($U$2:U646),$U$2:$U$1001,0),0), INDEX($AB$1004:$AQ$1004,1,MATCH(COLUMNS($AB$1006:AK1006),$AB$1006:$AQ$1006,0)))),"Fix")))</f>
        <v>0</v>
      </c>
      <c r="L646" s="5">
        <f>IF(OR(INDEX($V$2:$V$1001,MATCH(ROWS($U$2:U646),$U$2:$U$1001,0),1)&gt;=100000,INDEX($AB$1005:$AQ$1005,1,MATCH(COLUMNS($AB$1006:AL1006),$AB$1006:$AQ$1006,0))&gt;=100000), " ",IF(INDEX($AB$2:$AQ$1001,MATCH(ROWS($U$2:U646),$U$2:$U$1001,0),MATCH(COLUMNS($AB$1006:AL1006),$AB$1006:$AQ$1006,0)), HYPERLINK("#",""), HYPERLINK(CONCATENATE("#Metadata!", ADDRESS(INDEX($W$2:$W$1001,MATCH(ROWS($U$2:U646),$U$2:$U$1001,0),0), INDEX($AB$1004:$AQ$1004,1,MATCH(COLUMNS($AB$1006:AL1006),$AB$1006:$AQ$1006,0)))),"Fix")))</f>
        <v>0</v>
      </c>
      <c r="M646" s="5">
        <f>IF(OR(INDEX($V$2:$V$1001,MATCH(ROWS($U$2:U646),$U$2:$U$1001,0),1)&gt;=100000,INDEX($AB$1005:$AQ$1005,1,MATCH(COLUMNS($AB$1006:AM1006),$AB$1006:$AQ$1006,0))&gt;=100000), " ",IF(INDEX($AB$2:$AQ$1001,MATCH(ROWS($U$2:U646),$U$2:$U$1001,0),MATCH(COLUMNS($AB$1006:AM1006),$AB$1006:$AQ$1006,0)), HYPERLINK("#",""), HYPERLINK(CONCATENATE("#Metadata!", ADDRESS(INDEX($W$2:$W$1001,MATCH(ROWS($U$2:U646),$U$2:$U$1001,0),0), INDEX($AB$1004:$AQ$1004,1,MATCH(COLUMNS($AB$1006:AM1006),$AB$1006:$AQ$1006,0)))),"Fix")))</f>
        <v>0</v>
      </c>
      <c r="N646" s="5">
        <f>IF(OR(INDEX($V$2:$V$1001,MATCH(ROWS($U$2:U646),$U$2:$U$1001,0),1)&gt;=100000,INDEX($AB$1005:$AQ$1005,1,MATCH(COLUMNS($AB$1006:AN1006),$AB$1006:$AQ$1006,0))&gt;=100000), " ",IF(INDEX($AB$2:$AQ$1001,MATCH(ROWS($U$2:U646),$U$2:$U$1001,0),MATCH(COLUMNS($AB$1006:AN1006),$AB$1006:$AQ$1006,0)), HYPERLINK("#",""), HYPERLINK(CONCATENATE("#Metadata!", ADDRESS(INDEX($W$2:$W$1001,MATCH(ROWS($U$2:U646),$U$2:$U$1001,0),0), INDEX($AB$1004:$AQ$1004,1,MATCH(COLUMNS($AB$1006:AN1006),$AB$1006:$AQ$1006,0)))),"Fix")))</f>
        <v>0</v>
      </c>
      <c r="O646" s="5">
        <f>IF(OR(INDEX($V$2:$V$1001,MATCH(ROWS($U$2:U646),$U$2:$U$1001,0),1)&gt;=100000,INDEX($AB$1005:$AQ$1005,1,MATCH(COLUMNS($AB$1006:AO1006),$AB$1006:$AQ$1006,0))&gt;=100000), " ",IF(INDEX($AB$2:$AQ$1001,MATCH(ROWS($U$2:U646),$U$2:$U$1001,0),MATCH(COLUMNS($AB$1006:AO1006),$AB$1006:$AQ$1006,0)), HYPERLINK("#",""), HYPERLINK(CONCATENATE("#Metadata!", ADDRESS(INDEX($W$2:$W$1001,MATCH(ROWS($U$2:U646),$U$2:$U$1001,0),0), INDEX($AB$1004:$AQ$1004,1,MATCH(COLUMNS($AB$1006:AO1006),$AB$1006:$AQ$1006,0)))),"Fix")))</f>
        <v>0</v>
      </c>
      <c r="P646" s="5">
        <f>IF(OR(INDEX($V$2:$V$1001,MATCH(ROWS($U$2:U646),$U$2:$U$1001,0),1)&gt;=100000,INDEX($AB$1005:$AQ$1005,1,MATCH(COLUMNS($AB$1006:AP1006),$AB$1006:$AQ$1006,0))&gt;=100000), " ",IF(INDEX($AB$2:$AQ$1001,MATCH(ROWS($U$2:U646),$U$2:$U$1001,0),MATCH(COLUMNS($AB$1006:AP1006),$AB$1006:$AQ$1006,0)), HYPERLINK("#",""), HYPERLINK(CONCATENATE("#Metadata!", ADDRESS(INDEX($W$2:$W$1001,MATCH(ROWS($U$2:U646),$U$2:$U$1001,0),0), INDEX($AB$1004:$AQ$1004,1,MATCH(COLUMNS($AB$1006:AP1006),$AB$1006:$AQ$1006,0)))),"Fix")))</f>
        <v>0</v>
      </c>
      <c r="Q646" s="5">
        <f>IF(OR(INDEX($V$2:$V$1001,MATCH(ROWS($U$2:U646),$U$2:$U$1001,0),1)&gt;=100000,INDEX($AB$1005:$AQ$1005,1,MATCH(COLUMNS($AB$1006:AQ1006),$AB$1006:$AQ$1006,0))&gt;=100000), " ",IF(INDEX($AB$2:$AQ$1001,MATCH(ROWS($U$2:U646),$U$2:$U$1001,0),MATCH(COLUMNS($AB$1006:AQ1006),$AB$1006:$AQ$1006,0)), HYPERLINK("#",""), HYPERLINK(CONCATENATE("#Metadata!", ADDRESS(INDEX($W$2:$W$1001,MATCH(ROWS($U$2:U646),$U$2:$U$1001,0),0), INDEX($AB$1004:$AQ$1004,1,MATCH(COLUMNS($AB$1006:AQ1006),$AB$1006:$AQ$1006,0)))),"Fix")))</f>
        <v>0</v>
      </c>
      <c r="U646">
        <v>0</v>
      </c>
      <c r="V646">
        <v>0</v>
      </c>
      <c r="W646">
        <v>0</v>
      </c>
      <c r="X646">
        <f>IF(Y646,TRUE,AND(AB646:AQ646))</f>
        <v>0</v>
      </c>
      <c r="Y646">
        <f>COUNTBLANK(Metadata!B646:Q646)=COLUMNS(Metadata!B646:Q646)</f>
        <v>0</v>
      </c>
      <c r="Z646">
        <v>0</v>
      </c>
      <c r="AB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AC646">
        <f>AND(IF(Metadata!C646="",FALSE,TRUE),exact(Metadata!C646,"urban biome"))</f>
        <v>0</v>
      </c>
      <c r="AD646">
        <f>AND(IF(Metadata!D646="",FALSE,TRUE),exact(Metadata!D646,"human-associated habitat"))</f>
        <v>0</v>
      </c>
      <c r="AE646">
        <f>AND(IF(Metadata!E646="",FALSE,TRUE),OR(exact(Metadata!E646,"human-associated"),exact(Metadata!E646,"human-skin"),exact(Metadata!E646,"human-oral"),exact(Metadata!E646,"human-gut"),exact(Metadata!E646,"human-vaginal")))</f>
        <v>0</v>
      </c>
      <c r="AF646">
        <f>AND(IF(Metadata!F646="",FALSE,ISNUMBER(VALUE(Metadata!F646))),Metadata!F646&gt;0)</f>
        <v>0</v>
      </c>
      <c r="AG646">
        <f>AND(IF(Metadata!G646="",FALSE,TRUE),exact(Metadata!G646,"years"))</f>
        <v>0</v>
      </c>
      <c r="AH646">
        <f>OR(AND(IF(Metadata!H646="",FALSE,TRUE),OR(exact(Metadata!H646,"not applicable"),exact(Metadata!H646,"not collected"),exact(Metadata!H646,"not provided"),exact(Metadata!H646,"restricted access"))),AND(IF(Metadata!H646="",FALSE,ISNUMBER(VALUE(Metadata!H646))),Metadata!H646&gt;0))</f>
        <v>0</v>
      </c>
      <c r="AI646">
        <f>AND(IF(Metadata!I646="",FALSE,TRUE),exact(Metadata!I646,"human"))</f>
        <v>0</v>
      </c>
      <c r="AJ646">
        <f>AND(IF(Metadata!J646="",FALSE,ISNUMBER(VALUE(Metadata!J646))),Metadata!J646&gt;0)</f>
        <v>0</v>
      </c>
      <c r="AK646">
        <f>AND(IF(Metadata!K646="",FALSE,TRUE),exact(Metadata!K646,"cm"))</f>
        <v>0</v>
      </c>
      <c r="AL646">
        <f>AND(IF(Metadata!L646="",FALSE,TRUE),exact(Metadata!L646,"Homo sapiens"))</f>
        <v>0</v>
      </c>
      <c r="AM646">
        <f>AND(IF(Metadata!M646="",FALSE,TRUE),exact(Metadata!M646,"9606"))</f>
        <v>0</v>
      </c>
      <c r="AN646">
        <f>AND(IF(Metadata!N646="",FALSE,ISNUMBER(VALUE(Metadata!N646))),Metadata!N646&gt;0)</f>
        <v>0</v>
      </c>
      <c r="AO646">
        <f>AND(IF(Metadata!O646="",FALSE,TRUE),exact(Metadata!O646,"kg"))</f>
        <v>0</v>
      </c>
      <c r="AP646">
        <f>OR(AND(IF(Metadata!P646="",FALSE,TRUE),exact(Metadata!P646,"not provided")),IF(Metadata!P646="",FALSE,TRUE))</f>
        <v>0</v>
      </c>
      <c r="AQ646">
        <f>OR(AND(IF(Metadata!Q646="",FALSE,TRUE),exact(Metadata!Q646,"not provided")),IF(Metadata!Q646="",FALSE,TRUE))</f>
        <v>0</v>
      </c>
    </row>
    <row r="647" spans="1:43">
      <c r="A647" s="4">
        <f>IF(B647=" "," ",HYPERLINK(CONCATENATE("#metadata!",ADDRESS(INDEX($W$2:$W$1001,MATCH(ROWS($U$2:U647),$U$2:$U$1001,0),0),2)),INDEX($Z$2:$Z$1001,MATCH(ROWS($U$2:U647),$U$2:$U$1001,0),0)))</f>
        <v>0</v>
      </c>
      <c r="B647" s="5">
        <f>IF(OR(INDEX($V$2:$V$1001,MATCH(ROWS($U$2:U647),$U$2:$U$1001,0),1)&gt;=100000,INDEX($AB$1005:$AQ$1005,1,MATCH(COLUMNS($AB$1006:AB1006),$AB$1006:$AQ$1006,0))&gt;=100000), " ",IF(INDEX($AB$2:$AQ$1001,MATCH(ROWS($U$2:U647),$U$2:$U$1001,0),MATCH(COLUMNS($AB$1006:AB1006),$AB$1006:$AQ$1006,0)), HYPERLINK("#",""), HYPERLINK(CONCATENATE("#Metadata!", ADDRESS(INDEX($W$2:$W$1001,MATCH(ROWS($U$2:U647),$U$2:$U$1001,0),0), INDEX($AB$1004:$AQ$1004,1,MATCH(COLUMNS($AB$1006:AB1006),$AB$1006:$AQ$1006,0)))),"Fix")))</f>
        <v>0</v>
      </c>
      <c r="C647" s="5">
        <f>IF(OR(INDEX($V$2:$V$1001,MATCH(ROWS($U$2:U647),$U$2:$U$1001,0),1)&gt;=100000,INDEX($AB$1005:$AQ$1005,1,MATCH(COLUMNS($AB$1006:AC1006),$AB$1006:$AQ$1006,0))&gt;=100000), " ",IF(INDEX($AB$2:$AQ$1001,MATCH(ROWS($U$2:U647),$U$2:$U$1001,0),MATCH(COLUMNS($AB$1006:AC1006),$AB$1006:$AQ$1006,0)), HYPERLINK("#",""), HYPERLINK(CONCATENATE("#Metadata!", ADDRESS(INDEX($W$2:$W$1001,MATCH(ROWS($U$2:U647),$U$2:$U$1001,0),0), INDEX($AB$1004:$AQ$1004,1,MATCH(COLUMNS($AB$1006:AC1006),$AB$1006:$AQ$1006,0)))),"Fix")))</f>
        <v>0</v>
      </c>
      <c r="D647" s="5">
        <f>IF(OR(INDEX($V$2:$V$1001,MATCH(ROWS($U$2:U647),$U$2:$U$1001,0),1)&gt;=100000,INDEX($AB$1005:$AQ$1005,1,MATCH(COLUMNS($AB$1006:AD1006),$AB$1006:$AQ$1006,0))&gt;=100000), " ",IF(INDEX($AB$2:$AQ$1001,MATCH(ROWS($U$2:U647),$U$2:$U$1001,0),MATCH(COLUMNS($AB$1006:AD1006),$AB$1006:$AQ$1006,0)), HYPERLINK("#",""), HYPERLINK(CONCATENATE("#Metadata!", ADDRESS(INDEX($W$2:$W$1001,MATCH(ROWS($U$2:U647),$U$2:$U$1001,0),0), INDEX($AB$1004:$AQ$1004,1,MATCH(COLUMNS($AB$1006:AD1006),$AB$1006:$AQ$1006,0)))),"Fix")))</f>
        <v>0</v>
      </c>
      <c r="E647" s="5">
        <f>IF(OR(INDEX($V$2:$V$1001,MATCH(ROWS($U$2:U647),$U$2:$U$1001,0),1)&gt;=100000,INDEX($AB$1005:$AQ$1005,1,MATCH(COLUMNS($AB$1006:AE1006),$AB$1006:$AQ$1006,0))&gt;=100000), " ",IF(INDEX($AB$2:$AQ$1001,MATCH(ROWS($U$2:U647),$U$2:$U$1001,0),MATCH(COLUMNS($AB$1006:AE1006),$AB$1006:$AQ$1006,0)), HYPERLINK("#",""), HYPERLINK(CONCATENATE("#Metadata!", ADDRESS(INDEX($W$2:$W$1001,MATCH(ROWS($U$2:U647),$U$2:$U$1001,0),0), INDEX($AB$1004:$AQ$1004,1,MATCH(COLUMNS($AB$1006:AE1006),$AB$1006:$AQ$1006,0)))),"Fix")))</f>
        <v>0</v>
      </c>
      <c r="F647" s="5">
        <f>IF(OR(INDEX($V$2:$V$1001,MATCH(ROWS($U$2:U647),$U$2:$U$1001,0),1)&gt;=100000,INDEX($AB$1005:$AQ$1005,1,MATCH(COLUMNS($AB$1006:AF1006),$AB$1006:$AQ$1006,0))&gt;=100000), " ",IF(INDEX($AB$2:$AQ$1001,MATCH(ROWS($U$2:U647),$U$2:$U$1001,0),MATCH(COLUMNS($AB$1006:AF1006),$AB$1006:$AQ$1006,0)), HYPERLINK("#",""), HYPERLINK(CONCATENATE("#Metadata!", ADDRESS(INDEX($W$2:$W$1001,MATCH(ROWS($U$2:U647),$U$2:$U$1001,0),0), INDEX($AB$1004:$AQ$1004,1,MATCH(COLUMNS($AB$1006:AF1006),$AB$1006:$AQ$1006,0)))),"Fix")))</f>
        <v>0</v>
      </c>
      <c r="G647" s="5">
        <f>IF(OR(INDEX($V$2:$V$1001,MATCH(ROWS($U$2:U647),$U$2:$U$1001,0),1)&gt;=100000,INDEX($AB$1005:$AQ$1005,1,MATCH(COLUMNS($AB$1006:AG1006),$AB$1006:$AQ$1006,0))&gt;=100000), " ",IF(INDEX($AB$2:$AQ$1001,MATCH(ROWS($U$2:U647),$U$2:$U$1001,0),MATCH(COLUMNS($AB$1006:AG1006),$AB$1006:$AQ$1006,0)), HYPERLINK("#",""), HYPERLINK(CONCATENATE("#Metadata!", ADDRESS(INDEX($W$2:$W$1001,MATCH(ROWS($U$2:U647),$U$2:$U$1001,0),0), INDEX($AB$1004:$AQ$1004,1,MATCH(COLUMNS($AB$1006:AG1006),$AB$1006:$AQ$1006,0)))),"Fix")))</f>
        <v>0</v>
      </c>
      <c r="H647" s="5">
        <f>IF(OR(INDEX($V$2:$V$1001,MATCH(ROWS($U$2:U647),$U$2:$U$1001,0),1)&gt;=100000,INDEX($AB$1005:$AQ$1005,1,MATCH(COLUMNS($AB$1006:AH1006),$AB$1006:$AQ$1006,0))&gt;=100000), " ",IF(INDEX($AB$2:$AQ$1001,MATCH(ROWS($U$2:U647),$U$2:$U$1001,0),MATCH(COLUMNS($AB$1006:AH1006),$AB$1006:$AQ$1006,0)), HYPERLINK("#",""), HYPERLINK(CONCATENATE("#Metadata!", ADDRESS(INDEX($W$2:$W$1001,MATCH(ROWS($U$2:U647),$U$2:$U$1001,0),0), INDEX($AB$1004:$AQ$1004,1,MATCH(COLUMNS($AB$1006:AH1006),$AB$1006:$AQ$1006,0)))),"Fix")))</f>
        <v>0</v>
      </c>
      <c r="I647" s="5">
        <f>IF(OR(INDEX($V$2:$V$1001,MATCH(ROWS($U$2:U647),$U$2:$U$1001,0),1)&gt;=100000,INDEX($AB$1005:$AQ$1005,1,MATCH(COLUMNS($AB$1006:AI1006),$AB$1006:$AQ$1006,0))&gt;=100000), " ",IF(INDEX($AB$2:$AQ$1001,MATCH(ROWS($U$2:U647),$U$2:$U$1001,0),MATCH(COLUMNS($AB$1006:AI1006),$AB$1006:$AQ$1006,0)), HYPERLINK("#",""), HYPERLINK(CONCATENATE("#Metadata!", ADDRESS(INDEX($W$2:$W$1001,MATCH(ROWS($U$2:U647),$U$2:$U$1001,0),0), INDEX($AB$1004:$AQ$1004,1,MATCH(COLUMNS($AB$1006:AI1006),$AB$1006:$AQ$1006,0)))),"Fix")))</f>
        <v>0</v>
      </c>
      <c r="J647" s="5">
        <f>IF(OR(INDEX($V$2:$V$1001,MATCH(ROWS($U$2:U647),$U$2:$U$1001,0),1)&gt;=100000,INDEX($AB$1005:$AQ$1005,1,MATCH(COLUMNS($AB$1006:AJ1006),$AB$1006:$AQ$1006,0))&gt;=100000), " ",IF(INDEX($AB$2:$AQ$1001,MATCH(ROWS($U$2:U647),$U$2:$U$1001,0),MATCH(COLUMNS($AB$1006:AJ1006),$AB$1006:$AQ$1006,0)), HYPERLINK("#",""), HYPERLINK(CONCATENATE("#Metadata!", ADDRESS(INDEX($W$2:$W$1001,MATCH(ROWS($U$2:U647),$U$2:$U$1001,0),0), INDEX($AB$1004:$AQ$1004,1,MATCH(COLUMNS($AB$1006:AJ1006),$AB$1006:$AQ$1006,0)))),"Fix")))</f>
        <v>0</v>
      </c>
      <c r="K647" s="5">
        <f>IF(OR(INDEX($V$2:$V$1001,MATCH(ROWS($U$2:U647),$U$2:$U$1001,0),1)&gt;=100000,INDEX($AB$1005:$AQ$1005,1,MATCH(COLUMNS($AB$1006:AK1006),$AB$1006:$AQ$1006,0))&gt;=100000), " ",IF(INDEX($AB$2:$AQ$1001,MATCH(ROWS($U$2:U647),$U$2:$U$1001,0),MATCH(COLUMNS($AB$1006:AK1006),$AB$1006:$AQ$1006,0)), HYPERLINK("#",""), HYPERLINK(CONCATENATE("#Metadata!", ADDRESS(INDEX($W$2:$W$1001,MATCH(ROWS($U$2:U647),$U$2:$U$1001,0),0), INDEX($AB$1004:$AQ$1004,1,MATCH(COLUMNS($AB$1006:AK1006),$AB$1006:$AQ$1006,0)))),"Fix")))</f>
        <v>0</v>
      </c>
      <c r="L647" s="5">
        <f>IF(OR(INDEX($V$2:$V$1001,MATCH(ROWS($U$2:U647),$U$2:$U$1001,0),1)&gt;=100000,INDEX($AB$1005:$AQ$1005,1,MATCH(COLUMNS($AB$1006:AL1006),$AB$1006:$AQ$1006,0))&gt;=100000), " ",IF(INDEX($AB$2:$AQ$1001,MATCH(ROWS($U$2:U647),$U$2:$U$1001,0),MATCH(COLUMNS($AB$1006:AL1006),$AB$1006:$AQ$1006,0)), HYPERLINK("#",""), HYPERLINK(CONCATENATE("#Metadata!", ADDRESS(INDEX($W$2:$W$1001,MATCH(ROWS($U$2:U647),$U$2:$U$1001,0),0), INDEX($AB$1004:$AQ$1004,1,MATCH(COLUMNS($AB$1006:AL1006),$AB$1006:$AQ$1006,0)))),"Fix")))</f>
        <v>0</v>
      </c>
      <c r="M647" s="5">
        <f>IF(OR(INDEX($V$2:$V$1001,MATCH(ROWS($U$2:U647),$U$2:$U$1001,0),1)&gt;=100000,INDEX($AB$1005:$AQ$1005,1,MATCH(COLUMNS($AB$1006:AM1006),$AB$1006:$AQ$1006,0))&gt;=100000), " ",IF(INDEX($AB$2:$AQ$1001,MATCH(ROWS($U$2:U647),$U$2:$U$1001,0),MATCH(COLUMNS($AB$1006:AM1006),$AB$1006:$AQ$1006,0)), HYPERLINK("#",""), HYPERLINK(CONCATENATE("#Metadata!", ADDRESS(INDEX($W$2:$W$1001,MATCH(ROWS($U$2:U647),$U$2:$U$1001,0),0), INDEX($AB$1004:$AQ$1004,1,MATCH(COLUMNS($AB$1006:AM1006),$AB$1006:$AQ$1006,0)))),"Fix")))</f>
        <v>0</v>
      </c>
      <c r="N647" s="5">
        <f>IF(OR(INDEX($V$2:$V$1001,MATCH(ROWS($U$2:U647),$U$2:$U$1001,0),1)&gt;=100000,INDEX($AB$1005:$AQ$1005,1,MATCH(COLUMNS($AB$1006:AN1006),$AB$1006:$AQ$1006,0))&gt;=100000), " ",IF(INDEX($AB$2:$AQ$1001,MATCH(ROWS($U$2:U647),$U$2:$U$1001,0),MATCH(COLUMNS($AB$1006:AN1006),$AB$1006:$AQ$1006,0)), HYPERLINK("#",""), HYPERLINK(CONCATENATE("#Metadata!", ADDRESS(INDEX($W$2:$W$1001,MATCH(ROWS($U$2:U647),$U$2:$U$1001,0),0), INDEX($AB$1004:$AQ$1004,1,MATCH(COLUMNS($AB$1006:AN1006),$AB$1006:$AQ$1006,0)))),"Fix")))</f>
        <v>0</v>
      </c>
      <c r="O647" s="5">
        <f>IF(OR(INDEX($V$2:$V$1001,MATCH(ROWS($U$2:U647),$U$2:$U$1001,0),1)&gt;=100000,INDEX($AB$1005:$AQ$1005,1,MATCH(COLUMNS($AB$1006:AO1006),$AB$1006:$AQ$1006,0))&gt;=100000), " ",IF(INDEX($AB$2:$AQ$1001,MATCH(ROWS($U$2:U647),$U$2:$U$1001,0),MATCH(COLUMNS($AB$1006:AO1006),$AB$1006:$AQ$1006,0)), HYPERLINK("#",""), HYPERLINK(CONCATENATE("#Metadata!", ADDRESS(INDEX($W$2:$W$1001,MATCH(ROWS($U$2:U647),$U$2:$U$1001,0),0), INDEX($AB$1004:$AQ$1004,1,MATCH(COLUMNS($AB$1006:AO1006),$AB$1006:$AQ$1006,0)))),"Fix")))</f>
        <v>0</v>
      </c>
      <c r="P647" s="5">
        <f>IF(OR(INDEX($V$2:$V$1001,MATCH(ROWS($U$2:U647),$U$2:$U$1001,0),1)&gt;=100000,INDEX($AB$1005:$AQ$1005,1,MATCH(COLUMNS($AB$1006:AP1006),$AB$1006:$AQ$1006,0))&gt;=100000), " ",IF(INDEX($AB$2:$AQ$1001,MATCH(ROWS($U$2:U647),$U$2:$U$1001,0),MATCH(COLUMNS($AB$1006:AP1006),$AB$1006:$AQ$1006,0)), HYPERLINK("#",""), HYPERLINK(CONCATENATE("#Metadata!", ADDRESS(INDEX($W$2:$W$1001,MATCH(ROWS($U$2:U647),$U$2:$U$1001,0),0), INDEX($AB$1004:$AQ$1004,1,MATCH(COLUMNS($AB$1006:AP1006),$AB$1006:$AQ$1006,0)))),"Fix")))</f>
        <v>0</v>
      </c>
      <c r="Q647" s="5">
        <f>IF(OR(INDEX($V$2:$V$1001,MATCH(ROWS($U$2:U647),$U$2:$U$1001,0),1)&gt;=100000,INDEX($AB$1005:$AQ$1005,1,MATCH(COLUMNS($AB$1006:AQ1006),$AB$1006:$AQ$1006,0))&gt;=100000), " ",IF(INDEX($AB$2:$AQ$1001,MATCH(ROWS($U$2:U647),$U$2:$U$1001,0),MATCH(COLUMNS($AB$1006:AQ1006),$AB$1006:$AQ$1006,0)), HYPERLINK("#",""), HYPERLINK(CONCATENATE("#Metadata!", ADDRESS(INDEX($W$2:$W$1001,MATCH(ROWS($U$2:U647),$U$2:$U$1001,0),0), INDEX($AB$1004:$AQ$1004,1,MATCH(COLUMNS($AB$1006:AQ1006),$AB$1006:$AQ$1006,0)))),"Fix")))</f>
        <v>0</v>
      </c>
      <c r="U647">
        <v>0</v>
      </c>
      <c r="V647">
        <v>0</v>
      </c>
      <c r="W647">
        <v>0</v>
      </c>
      <c r="X647">
        <f>IF(Y647,TRUE,AND(AB647:AQ647))</f>
        <v>0</v>
      </c>
      <c r="Y647">
        <f>COUNTBLANK(Metadata!B647:Q647)=COLUMNS(Metadata!B647:Q647)</f>
        <v>0</v>
      </c>
      <c r="Z647">
        <v>0</v>
      </c>
      <c r="AB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AC647">
        <f>AND(IF(Metadata!C647="",FALSE,TRUE),exact(Metadata!C647,"urban biome"))</f>
        <v>0</v>
      </c>
      <c r="AD647">
        <f>AND(IF(Metadata!D647="",FALSE,TRUE),exact(Metadata!D647,"human-associated habitat"))</f>
        <v>0</v>
      </c>
      <c r="AE647">
        <f>AND(IF(Metadata!E647="",FALSE,TRUE),OR(exact(Metadata!E647,"human-associated"),exact(Metadata!E647,"human-skin"),exact(Metadata!E647,"human-oral"),exact(Metadata!E647,"human-gut"),exact(Metadata!E647,"human-vaginal")))</f>
        <v>0</v>
      </c>
      <c r="AF647">
        <f>AND(IF(Metadata!F647="",FALSE,ISNUMBER(VALUE(Metadata!F647))),Metadata!F647&gt;0)</f>
        <v>0</v>
      </c>
      <c r="AG647">
        <f>AND(IF(Metadata!G647="",FALSE,TRUE),exact(Metadata!G647,"years"))</f>
        <v>0</v>
      </c>
      <c r="AH647">
        <f>OR(AND(IF(Metadata!H647="",FALSE,TRUE),OR(exact(Metadata!H647,"not applicable"),exact(Metadata!H647,"not collected"),exact(Metadata!H647,"not provided"),exact(Metadata!H647,"restricted access"))),AND(IF(Metadata!H647="",FALSE,ISNUMBER(VALUE(Metadata!H647))),Metadata!H647&gt;0))</f>
        <v>0</v>
      </c>
      <c r="AI647">
        <f>AND(IF(Metadata!I647="",FALSE,TRUE),exact(Metadata!I647,"human"))</f>
        <v>0</v>
      </c>
      <c r="AJ647">
        <f>AND(IF(Metadata!J647="",FALSE,ISNUMBER(VALUE(Metadata!J647))),Metadata!J647&gt;0)</f>
        <v>0</v>
      </c>
      <c r="AK647">
        <f>AND(IF(Metadata!K647="",FALSE,TRUE),exact(Metadata!K647,"cm"))</f>
        <v>0</v>
      </c>
      <c r="AL647">
        <f>AND(IF(Metadata!L647="",FALSE,TRUE),exact(Metadata!L647,"Homo sapiens"))</f>
        <v>0</v>
      </c>
      <c r="AM647">
        <f>AND(IF(Metadata!M647="",FALSE,TRUE),exact(Metadata!M647,"9606"))</f>
        <v>0</v>
      </c>
      <c r="AN647">
        <f>AND(IF(Metadata!N647="",FALSE,ISNUMBER(VALUE(Metadata!N647))),Metadata!N647&gt;0)</f>
        <v>0</v>
      </c>
      <c r="AO647">
        <f>AND(IF(Metadata!O647="",FALSE,TRUE),exact(Metadata!O647,"kg"))</f>
        <v>0</v>
      </c>
      <c r="AP647">
        <f>OR(AND(IF(Metadata!P647="",FALSE,TRUE),exact(Metadata!P647,"not provided")),IF(Metadata!P647="",FALSE,TRUE))</f>
        <v>0</v>
      </c>
      <c r="AQ647">
        <f>OR(AND(IF(Metadata!Q647="",FALSE,TRUE),exact(Metadata!Q647,"not provided")),IF(Metadata!Q647="",FALSE,TRUE))</f>
        <v>0</v>
      </c>
    </row>
    <row r="648" spans="1:43">
      <c r="A648" s="4">
        <f>IF(B648=" "," ",HYPERLINK(CONCATENATE("#metadata!",ADDRESS(INDEX($W$2:$W$1001,MATCH(ROWS($U$2:U648),$U$2:$U$1001,0),0),2)),INDEX($Z$2:$Z$1001,MATCH(ROWS($U$2:U648),$U$2:$U$1001,0),0)))</f>
        <v>0</v>
      </c>
      <c r="B648" s="5">
        <f>IF(OR(INDEX($V$2:$V$1001,MATCH(ROWS($U$2:U648),$U$2:$U$1001,0),1)&gt;=100000,INDEX($AB$1005:$AQ$1005,1,MATCH(COLUMNS($AB$1006:AB1006),$AB$1006:$AQ$1006,0))&gt;=100000), " ",IF(INDEX($AB$2:$AQ$1001,MATCH(ROWS($U$2:U648),$U$2:$U$1001,0),MATCH(COLUMNS($AB$1006:AB1006),$AB$1006:$AQ$1006,0)), HYPERLINK("#",""), HYPERLINK(CONCATENATE("#Metadata!", ADDRESS(INDEX($W$2:$W$1001,MATCH(ROWS($U$2:U648),$U$2:$U$1001,0),0), INDEX($AB$1004:$AQ$1004,1,MATCH(COLUMNS($AB$1006:AB1006),$AB$1006:$AQ$1006,0)))),"Fix")))</f>
        <v>0</v>
      </c>
      <c r="C648" s="5">
        <f>IF(OR(INDEX($V$2:$V$1001,MATCH(ROWS($U$2:U648),$U$2:$U$1001,0),1)&gt;=100000,INDEX($AB$1005:$AQ$1005,1,MATCH(COLUMNS($AB$1006:AC1006),$AB$1006:$AQ$1006,0))&gt;=100000), " ",IF(INDEX($AB$2:$AQ$1001,MATCH(ROWS($U$2:U648),$U$2:$U$1001,0),MATCH(COLUMNS($AB$1006:AC1006),$AB$1006:$AQ$1006,0)), HYPERLINK("#",""), HYPERLINK(CONCATENATE("#Metadata!", ADDRESS(INDEX($W$2:$W$1001,MATCH(ROWS($U$2:U648),$U$2:$U$1001,0),0), INDEX($AB$1004:$AQ$1004,1,MATCH(COLUMNS($AB$1006:AC1006),$AB$1006:$AQ$1006,0)))),"Fix")))</f>
        <v>0</v>
      </c>
      <c r="D648" s="5">
        <f>IF(OR(INDEX($V$2:$V$1001,MATCH(ROWS($U$2:U648),$U$2:$U$1001,0),1)&gt;=100000,INDEX($AB$1005:$AQ$1005,1,MATCH(COLUMNS($AB$1006:AD1006),$AB$1006:$AQ$1006,0))&gt;=100000), " ",IF(INDEX($AB$2:$AQ$1001,MATCH(ROWS($U$2:U648),$U$2:$U$1001,0),MATCH(COLUMNS($AB$1006:AD1006),$AB$1006:$AQ$1006,0)), HYPERLINK("#",""), HYPERLINK(CONCATENATE("#Metadata!", ADDRESS(INDEX($W$2:$W$1001,MATCH(ROWS($U$2:U648),$U$2:$U$1001,0),0), INDEX($AB$1004:$AQ$1004,1,MATCH(COLUMNS($AB$1006:AD1006),$AB$1006:$AQ$1006,0)))),"Fix")))</f>
        <v>0</v>
      </c>
      <c r="E648" s="5">
        <f>IF(OR(INDEX($V$2:$V$1001,MATCH(ROWS($U$2:U648),$U$2:$U$1001,0),1)&gt;=100000,INDEX($AB$1005:$AQ$1005,1,MATCH(COLUMNS($AB$1006:AE1006),$AB$1006:$AQ$1006,0))&gt;=100000), " ",IF(INDEX($AB$2:$AQ$1001,MATCH(ROWS($U$2:U648),$U$2:$U$1001,0),MATCH(COLUMNS($AB$1006:AE1006),$AB$1006:$AQ$1006,0)), HYPERLINK("#",""), HYPERLINK(CONCATENATE("#Metadata!", ADDRESS(INDEX($W$2:$W$1001,MATCH(ROWS($U$2:U648),$U$2:$U$1001,0),0), INDEX($AB$1004:$AQ$1004,1,MATCH(COLUMNS($AB$1006:AE1006),$AB$1006:$AQ$1006,0)))),"Fix")))</f>
        <v>0</v>
      </c>
      <c r="F648" s="5">
        <f>IF(OR(INDEX($V$2:$V$1001,MATCH(ROWS($U$2:U648),$U$2:$U$1001,0),1)&gt;=100000,INDEX($AB$1005:$AQ$1005,1,MATCH(COLUMNS($AB$1006:AF1006),$AB$1006:$AQ$1006,0))&gt;=100000), " ",IF(INDEX($AB$2:$AQ$1001,MATCH(ROWS($U$2:U648),$U$2:$U$1001,0),MATCH(COLUMNS($AB$1006:AF1006),$AB$1006:$AQ$1006,0)), HYPERLINK("#",""), HYPERLINK(CONCATENATE("#Metadata!", ADDRESS(INDEX($W$2:$W$1001,MATCH(ROWS($U$2:U648),$U$2:$U$1001,0),0), INDEX($AB$1004:$AQ$1004,1,MATCH(COLUMNS($AB$1006:AF1006),$AB$1006:$AQ$1006,0)))),"Fix")))</f>
        <v>0</v>
      </c>
      <c r="G648" s="5">
        <f>IF(OR(INDEX($V$2:$V$1001,MATCH(ROWS($U$2:U648),$U$2:$U$1001,0),1)&gt;=100000,INDEX($AB$1005:$AQ$1005,1,MATCH(COLUMNS($AB$1006:AG1006),$AB$1006:$AQ$1006,0))&gt;=100000), " ",IF(INDEX($AB$2:$AQ$1001,MATCH(ROWS($U$2:U648),$U$2:$U$1001,0),MATCH(COLUMNS($AB$1006:AG1006),$AB$1006:$AQ$1006,0)), HYPERLINK("#",""), HYPERLINK(CONCATENATE("#Metadata!", ADDRESS(INDEX($W$2:$W$1001,MATCH(ROWS($U$2:U648),$U$2:$U$1001,0),0), INDEX($AB$1004:$AQ$1004,1,MATCH(COLUMNS($AB$1006:AG1006),$AB$1006:$AQ$1006,0)))),"Fix")))</f>
        <v>0</v>
      </c>
      <c r="H648" s="5">
        <f>IF(OR(INDEX($V$2:$V$1001,MATCH(ROWS($U$2:U648),$U$2:$U$1001,0),1)&gt;=100000,INDEX($AB$1005:$AQ$1005,1,MATCH(COLUMNS($AB$1006:AH1006),$AB$1006:$AQ$1006,0))&gt;=100000), " ",IF(INDEX($AB$2:$AQ$1001,MATCH(ROWS($U$2:U648),$U$2:$U$1001,0),MATCH(COLUMNS($AB$1006:AH1006),$AB$1006:$AQ$1006,0)), HYPERLINK("#",""), HYPERLINK(CONCATENATE("#Metadata!", ADDRESS(INDEX($W$2:$W$1001,MATCH(ROWS($U$2:U648),$U$2:$U$1001,0),0), INDEX($AB$1004:$AQ$1004,1,MATCH(COLUMNS($AB$1006:AH1006),$AB$1006:$AQ$1006,0)))),"Fix")))</f>
        <v>0</v>
      </c>
      <c r="I648" s="5">
        <f>IF(OR(INDEX($V$2:$V$1001,MATCH(ROWS($U$2:U648),$U$2:$U$1001,0),1)&gt;=100000,INDEX($AB$1005:$AQ$1005,1,MATCH(COLUMNS($AB$1006:AI1006),$AB$1006:$AQ$1006,0))&gt;=100000), " ",IF(INDEX($AB$2:$AQ$1001,MATCH(ROWS($U$2:U648),$U$2:$U$1001,0),MATCH(COLUMNS($AB$1006:AI1006),$AB$1006:$AQ$1006,0)), HYPERLINK("#",""), HYPERLINK(CONCATENATE("#Metadata!", ADDRESS(INDEX($W$2:$W$1001,MATCH(ROWS($U$2:U648),$U$2:$U$1001,0),0), INDEX($AB$1004:$AQ$1004,1,MATCH(COLUMNS($AB$1006:AI1006),$AB$1006:$AQ$1006,0)))),"Fix")))</f>
        <v>0</v>
      </c>
      <c r="J648" s="5">
        <f>IF(OR(INDEX($V$2:$V$1001,MATCH(ROWS($U$2:U648),$U$2:$U$1001,0),1)&gt;=100000,INDEX($AB$1005:$AQ$1005,1,MATCH(COLUMNS($AB$1006:AJ1006),$AB$1006:$AQ$1006,0))&gt;=100000), " ",IF(INDEX($AB$2:$AQ$1001,MATCH(ROWS($U$2:U648),$U$2:$U$1001,0),MATCH(COLUMNS($AB$1006:AJ1006),$AB$1006:$AQ$1006,0)), HYPERLINK("#",""), HYPERLINK(CONCATENATE("#Metadata!", ADDRESS(INDEX($W$2:$W$1001,MATCH(ROWS($U$2:U648),$U$2:$U$1001,0),0), INDEX($AB$1004:$AQ$1004,1,MATCH(COLUMNS($AB$1006:AJ1006),$AB$1006:$AQ$1006,0)))),"Fix")))</f>
        <v>0</v>
      </c>
      <c r="K648" s="5">
        <f>IF(OR(INDEX($V$2:$V$1001,MATCH(ROWS($U$2:U648),$U$2:$U$1001,0),1)&gt;=100000,INDEX($AB$1005:$AQ$1005,1,MATCH(COLUMNS($AB$1006:AK1006),$AB$1006:$AQ$1006,0))&gt;=100000), " ",IF(INDEX($AB$2:$AQ$1001,MATCH(ROWS($U$2:U648),$U$2:$U$1001,0),MATCH(COLUMNS($AB$1006:AK1006),$AB$1006:$AQ$1006,0)), HYPERLINK("#",""), HYPERLINK(CONCATENATE("#Metadata!", ADDRESS(INDEX($W$2:$W$1001,MATCH(ROWS($U$2:U648),$U$2:$U$1001,0),0), INDEX($AB$1004:$AQ$1004,1,MATCH(COLUMNS($AB$1006:AK1006),$AB$1006:$AQ$1006,0)))),"Fix")))</f>
        <v>0</v>
      </c>
      <c r="L648" s="5">
        <f>IF(OR(INDEX($V$2:$V$1001,MATCH(ROWS($U$2:U648),$U$2:$U$1001,0),1)&gt;=100000,INDEX($AB$1005:$AQ$1005,1,MATCH(COLUMNS($AB$1006:AL1006),$AB$1006:$AQ$1006,0))&gt;=100000), " ",IF(INDEX($AB$2:$AQ$1001,MATCH(ROWS($U$2:U648),$U$2:$U$1001,0),MATCH(COLUMNS($AB$1006:AL1006),$AB$1006:$AQ$1006,0)), HYPERLINK("#",""), HYPERLINK(CONCATENATE("#Metadata!", ADDRESS(INDEX($W$2:$W$1001,MATCH(ROWS($U$2:U648),$U$2:$U$1001,0),0), INDEX($AB$1004:$AQ$1004,1,MATCH(COLUMNS($AB$1006:AL1006),$AB$1006:$AQ$1006,0)))),"Fix")))</f>
        <v>0</v>
      </c>
      <c r="M648" s="5">
        <f>IF(OR(INDEX($V$2:$V$1001,MATCH(ROWS($U$2:U648),$U$2:$U$1001,0),1)&gt;=100000,INDEX($AB$1005:$AQ$1005,1,MATCH(COLUMNS($AB$1006:AM1006),$AB$1006:$AQ$1006,0))&gt;=100000), " ",IF(INDEX($AB$2:$AQ$1001,MATCH(ROWS($U$2:U648),$U$2:$U$1001,0),MATCH(COLUMNS($AB$1006:AM1006),$AB$1006:$AQ$1006,0)), HYPERLINK("#",""), HYPERLINK(CONCATENATE("#Metadata!", ADDRESS(INDEX($W$2:$W$1001,MATCH(ROWS($U$2:U648),$U$2:$U$1001,0),0), INDEX($AB$1004:$AQ$1004,1,MATCH(COLUMNS($AB$1006:AM1006),$AB$1006:$AQ$1006,0)))),"Fix")))</f>
        <v>0</v>
      </c>
      <c r="N648" s="5">
        <f>IF(OR(INDEX($V$2:$V$1001,MATCH(ROWS($U$2:U648),$U$2:$U$1001,0),1)&gt;=100000,INDEX($AB$1005:$AQ$1005,1,MATCH(COLUMNS($AB$1006:AN1006),$AB$1006:$AQ$1006,0))&gt;=100000), " ",IF(INDEX($AB$2:$AQ$1001,MATCH(ROWS($U$2:U648),$U$2:$U$1001,0),MATCH(COLUMNS($AB$1006:AN1006),$AB$1006:$AQ$1006,0)), HYPERLINK("#",""), HYPERLINK(CONCATENATE("#Metadata!", ADDRESS(INDEX($W$2:$W$1001,MATCH(ROWS($U$2:U648),$U$2:$U$1001,0),0), INDEX($AB$1004:$AQ$1004,1,MATCH(COLUMNS($AB$1006:AN1006),$AB$1006:$AQ$1006,0)))),"Fix")))</f>
        <v>0</v>
      </c>
      <c r="O648" s="5">
        <f>IF(OR(INDEX($V$2:$V$1001,MATCH(ROWS($U$2:U648),$U$2:$U$1001,0),1)&gt;=100000,INDEX($AB$1005:$AQ$1005,1,MATCH(COLUMNS($AB$1006:AO1006),$AB$1006:$AQ$1006,0))&gt;=100000), " ",IF(INDEX($AB$2:$AQ$1001,MATCH(ROWS($U$2:U648),$U$2:$U$1001,0),MATCH(COLUMNS($AB$1006:AO1006),$AB$1006:$AQ$1006,0)), HYPERLINK("#",""), HYPERLINK(CONCATENATE("#Metadata!", ADDRESS(INDEX($W$2:$W$1001,MATCH(ROWS($U$2:U648),$U$2:$U$1001,0),0), INDEX($AB$1004:$AQ$1004,1,MATCH(COLUMNS($AB$1006:AO1006),$AB$1006:$AQ$1006,0)))),"Fix")))</f>
        <v>0</v>
      </c>
      <c r="P648" s="5">
        <f>IF(OR(INDEX($V$2:$V$1001,MATCH(ROWS($U$2:U648),$U$2:$U$1001,0),1)&gt;=100000,INDEX($AB$1005:$AQ$1005,1,MATCH(COLUMNS($AB$1006:AP1006),$AB$1006:$AQ$1006,0))&gt;=100000), " ",IF(INDEX($AB$2:$AQ$1001,MATCH(ROWS($U$2:U648),$U$2:$U$1001,0),MATCH(COLUMNS($AB$1006:AP1006),$AB$1006:$AQ$1006,0)), HYPERLINK("#",""), HYPERLINK(CONCATENATE("#Metadata!", ADDRESS(INDEX($W$2:$W$1001,MATCH(ROWS($U$2:U648),$U$2:$U$1001,0),0), INDEX($AB$1004:$AQ$1004,1,MATCH(COLUMNS($AB$1006:AP1006),$AB$1006:$AQ$1006,0)))),"Fix")))</f>
        <v>0</v>
      </c>
      <c r="Q648" s="5">
        <f>IF(OR(INDEX($V$2:$V$1001,MATCH(ROWS($U$2:U648),$U$2:$U$1001,0),1)&gt;=100000,INDEX($AB$1005:$AQ$1005,1,MATCH(COLUMNS($AB$1006:AQ1006),$AB$1006:$AQ$1006,0))&gt;=100000), " ",IF(INDEX($AB$2:$AQ$1001,MATCH(ROWS($U$2:U648),$U$2:$U$1001,0),MATCH(COLUMNS($AB$1006:AQ1006),$AB$1006:$AQ$1006,0)), HYPERLINK("#",""), HYPERLINK(CONCATENATE("#Metadata!", ADDRESS(INDEX($W$2:$W$1001,MATCH(ROWS($U$2:U648),$U$2:$U$1001,0),0), INDEX($AB$1004:$AQ$1004,1,MATCH(COLUMNS($AB$1006:AQ1006),$AB$1006:$AQ$1006,0)))),"Fix")))</f>
        <v>0</v>
      </c>
      <c r="U648">
        <v>0</v>
      </c>
      <c r="V648">
        <v>0</v>
      </c>
      <c r="W648">
        <v>0</v>
      </c>
      <c r="X648">
        <f>IF(Y648,TRUE,AND(AB648:AQ648))</f>
        <v>0</v>
      </c>
      <c r="Y648">
        <f>COUNTBLANK(Metadata!B648:Q648)=COLUMNS(Metadata!B648:Q648)</f>
        <v>0</v>
      </c>
      <c r="Z648">
        <v>0</v>
      </c>
      <c r="AB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AC648">
        <f>AND(IF(Metadata!C648="",FALSE,TRUE),exact(Metadata!C648,"urban biome"))</f>
        <v>0</v>
      </c>
      <c r="AD648">
        <f>AND(IF(Metadata!D648="",FALSE,TRUE),exact(Metadata!D648,"human-associated habitat"))</f>
        <v>0</v>
      </c>
      <c r="AE648">
        <f>AND(IF(Metadata!E648="",FALSE,TRUE),OR(exact(Metadata!E648,"human-associated"),exact(Metadata!E648,"human-skin"),exact(Metadata!E648,"human-oral"),exact(Metadata!E648,"human-gut"),exact(Metadata!E648,"human-vaginal")))</f>
        <v>0</v>
      </c>
      <c r="AF648">
        <f>AND(IF(Metadata!F648="",FALSE,ISNUMBER(VALUE(Metadata!F648))),Metadata!F648&gt;0)</f>
        <v>0</v>
      </c>
      <c r="AG648">
        <f>AND(IF(Metadata!G648="",FALSE,TRUE),exact(Metadata!G648,"years"))</f>
        <v>0</v>
      </c>
      <c r="AH648">
        <f>OR(AND(IF(Metadata!H648="",FALSE,TRUE),OR(exact(Metadata!H648,"not applicable"),exact(Metadata!H648,"not collected"),exact(Metadata!H648,"not provided"),exact(Metadata!H648,"restricted access"))),AND(IF(Metadata!H648="",FALSE,ISNUMBER(VALUE(Metadata!H648))),Metadata!H648&gt;0))</f>
        <v>0</v>
      </c>
      <c r="AI648">
        <f>AND(IF(Metadata!I648="",FALSE,TRUE),exact(Metadata!I648,"human"))</f>
        <v>0</v>
      </c>
      <c r="AJ648">
        <f>AND(IF(Metadata!J648="",FALSE,ISNUMBER(VALUE(Metadata!J648))),Metadata!J648&gt;0)</f>
        <v>0</v>
      </c>
      <c r="AK648">
        <f>AND(IF(Metadata!K648="",FALSE,TRUE),exact(Metadata!K648,"cm"))</f>
        <v>0</v>
      </c>
      <c r="AL648">
        <f>AND(IF(Metadata!L648="",FALSE,TRUE),exact(Metadata!L648,"Homo sapiens"))</f>
        <v>0</v>
      </c>
      <c r="AM648">
        <f>AND(IF(Metadata!M648="",FALSE,TRUE),exact(Metadata!M648,"9606"))</f>
        <v>0</v>
      </c>
      <c r="AN648">
        <f>AND(IF(Metadata!N648="",FALSE,ISNUMBER(VALUE(Metadata!N648))),Metadata!N648&gt;0)</f>
        <v>0</v>
      </c>
      <c r="AO648">
        <f>AND(IF(Metadata!O648="",FALSE,TRUE),exact(Metadata!O648,"kg"))</f>
        <v>0</v>
      </c>
      <c r="AP648">
        <f>OR(AND(IF(Metadata!P648="",FALSE,TRUE),exact(Metadata!P648,"not provided")),IF(Metadata!P648="",FALSE,TRUE))</f>
        <v>0</v>
      </c>
      <c r="AQ648">
        <f>OR(AND(IF(Metadata!Q648="",FALSE,TRUE),exact(Metadata!Q648,"not provided")),IF(Metadata!Q648="",FALSE,TRUE))</f>
        <v>0</v>
      </c>
    </row>
    <row r="649" spans="1:43">
      <c r="A649" s="4">
        <f>IF(B649=" "," ",HYPERLINK(CONCATENATE("#metadata!",ADDRESS(INDEX($W$2:$W$1001,MATCH(ROWS($U$2:U649),$U$2:$U$1001,0),0),2)),INDEX($Z$2:$Z$1001,MATCH(ROWS($U$2:U649),$U$2:$U$1001,0),0)))</f>
        <v>0</v>
      </c>
      <c r="B649" s="5">
        <f>IF(OR(INDEX($V$2:$V$1001,MATCH(ROWS($U$2:U649),$U$2:$U$1001,0),1)&gt;=100000,INDEX($AB$1005:$AQ$1005,1,MATCH(COLUMNS($AB$1006:AB1006),$AB$1006:$AQ$1006,0))&gt;=100000), " ",IF(INDEX($AB$2:$AQ$1001,MATCH(ROWS($U$2:U649),$U$2:$U$1001,0),MATCH(COLUMNS($AB$1006:AB1006),$AB$1006:$AQ$1006,0)), HYPERLINK("#",""), HYPERLINK(CONCATENATE("#Metadata!", ADDRESS(INDEX($W$2:$W$1001,MATCH(ROWS($U$2:U649),$U$2:$U$1001,0),0), INDEX($AB$1004:$AQ$1004,1,MATCH(COLUMNS($AB$1006:AB1006),$AB$1006:$AQ$1006,0)))),"Fix")))</f>
        <v>0</v>
      </c>
      <c r="C649" s="5">
        <f>IF(OR(INDEX($V$2:$V$1001,MATCH(ROWS($U$2:U649),$U$2:$U$1001,0),1)&gt;=100000,INDEX($AB$1005:$AQ$1005,1,MATCH(COLUMNS($AB$1006:AC1006),$AB$1006:$AQ$1006,0))&gt;=100000), " ",IF(INDEX($AB$2:$AQ$1001,MATCH(ROWS($U$2:U649),$U$2:$U$1001,0),MATCH(COLUMNS($AB$1006:AC1006),$AB$1006:$AQ$1006,0)), HYPERLINK("#",""), HYPERLINK(CONCATENATE("#Metadata!", ADDRESS(INDEX($W$2:$W$1001,MATCH(ROWS($U$2:U649),$U$2:$U$1001,0),0), INDEX($AB$1004:$AQ$1004,1,MATCH(COLUMNS($AB$1006:AC1006),$AB$1006:$AQ$1006,0)))),"Fix")))</f>
        <v>0</v>
      </c>
      <c r="D649" s="5">
        <f>IF(OR(INDEX($V$2:$V$1001,MATCH(ROWS($U$2:U649),$U$2:$U$1001,0),1)&gt;=100000,INDEX($AB$1005:$AQ$1005,1,MATCH(COLUMNS($AB$1006:AD1006),$AB$1006:$AQ$1006,0))&gt;=100000), " ",IF(INDEX($AB$2:$AQ$1001,MATCH(ROWS($U$2:U649),$U$2:$U$1001,0),MATCH(COLUMNS($AB$1006:AD1006),$AB$1006:$AQ$1006,0)), HYPERLINK("#",""), HYPERLINK(CONCATENATE("#Metadata!", ADDRESS(INDEX($W$2:$W$1001,MATCH(ROWS($U$2:U649),$U$2:$U$1001,0),0), INDEX($AB$1004:$AQ$1004,1,MATCH(COLUMNS($AB$1006:AD1006),$AB$1006:$AQ$1006,0)))),"Fix")))</f>
        <v>0</v>
      </c>
      <c r="E649" s="5">
        <f>IF(OR(INDEX($V$2:$V$1001,MATCH(ROWS($U$2:U649),$U$2:$U$1001,0),1)&gt;=100000,INDEX($AB$1005:$AQ$1005,1,MATCH(COLUMNS($AB$1006:AE1006),$AB$1006:$AQ$1006,0))&gt;=100000), " ",IF(INDEX($AB$2:$AQ$1001,MATCH(ROWS($U$2:U649),$U$2:$U$1001,0),MATCH(COLUMNS($AB$1006:AE1006),$AB$1006:$AQ$1006,0)), HYPERLINK("#",""), HYPERLINK(CONCATENATE("#Metadata!", ADDRESS(INDEX($W$2:$W$1001,MATCH(ROWS($U$2:U649),$U$2:$U$1001,0),0), INDEX($AB$1004:$AQ$1004,1,MATCH(COLUMNS($AB$1006:AE1006),$AB$1006:$AQ$1006,0)))),"Fix")))</f>
        <v>0</v>
      </c>
      <c r="F649" s="5">
        <f>IF(OR(INDEX($V$2:$V$1001,MATCH(ROWS($U$2:U649),$U$2:$U$1001,0),1)&gt;=100000,INDEX($AB$1005:$AQ$1005,1,MATCH(COLUMNS($AB$1006:AF1006),$AB$1006:$AQ$1006,0))&gt;=100000), " ",IF(INDEX($AB$2:$AQ$1001,MATCH(ROWS($U$2:U649),$U$2:$U$1001,0),MATCH(COLUMNS($AB$1006:AF1006),$AB$1006:$AQ$1006,0)), HYPERLINK("#",""), HYPERLINK(CONCATENATE("#Metadata!", ADDRESS(INDEX($W$2:$W$1001,MATCH(ROWS($U$2:U649),$U$2:$U$1001,0),0), INDEX($AB$1004:$AQ$1004,1,MATCH(COLUMNS($AB$1006:AF1006),$AB$1006:$AQ$1006,0)))),"Fix")))</f>
        <v>0</v>
      </c>
      <c r="G649" s="5">
        <f>IF(OR(INDEX($V$2:$V$1001,MATCH(ROWS($U$2:U649),$U$2:$U$1001,0),1)&gt;=100000,INDEX($AB$1005:$AQ$1005,1,MATCH(COLUMNS($AB$1006:AG1006),$AB$1006:$AQ$1006,0))&gt;=100000), " ",IF(INDEX($AB$2:$AQ$1001,MATCH(ROWS($U$2:U649),$U$2:$U$1001,0),MATCH(COLUMNS($AB$1006:AG1006),$AB$1006:$AQ$1006,0)), HYPERLINK("#",""), HYPERLINK(CONCATENATE("#Metadata!", ADDRESS(INDEX($W$2:$W$1001,MATCH(ROWS($U$2:U649),$U$2:$U$1001,0),0), INDEX($AB$1004:$AQ$1004,1,MATCH(COLUMNS($AB$1006:AG1006),$AB$1006:$AQ$1006,0)))),"Fix")))</f>
        <v>0</v>
      </c>
      <c r="H649" s="5">
        <f>IF(OR(INDEX($V$2:$V$1001,MATCH(ROWS($U$2:U649),$U$2:$U$1001,0),1)&gt;=100000,INDEX($AB$1005:$AQ$1005,1,MATCH(COLUMNS($AB$1006:AH1006),$AB$1006:$AQ$1006,0))&gt;=100000), " ",IF(INDEX($AB$2:$AQ$1001,MATCH(ROWS($U$2:U649),$U$2:$U$1001,0),MATCH(COLUMNS($AB$1006:AH1006),$AB$1006:$AQ$1006,0)), HYPERLINK("#",""), HYPERLINK(CONCATENATE("#Metadata!", ADDRESS(INDEX($W$2:$W$1001,MATCH(ROWS($U$2:U649),$U$2:$U$1001,0),0), INDEX($AB$1004:$AQ$1004,1,MATCH(COLUMNS($AB$1006:AH1006),$AB$1006:$AQ$1006,0)))),"Fix")))</f>
        <v>0</v>
      </c>
      <c r="I649" s="5">
        <f>IF(OR(INDEX($V$2:$V$1001,MATCH(ROWS($U$2:U649),$U$2:$U$1001,0),1)&gt;=100000,INDEX($AB$1005:$AQ$1005,1,MATCH(COLUMNS($AB$1006:AI1006),$AB$1006:$AQ$1006,0))&gt;=100000), " ",IF(INDEX($AB$2:$AQ$1001,MATCH(ROWS($U$2:U649),$U$2:$U$1001,0),MATCH(COLUMNS($AB$1006:AI1006),$AB$1006:$AQ$1006,0)), HYPERLINK("#",""), HYPERLINK(CONCATENATE("#Metadata!", ADDRESS(INDEX($W$2:$W$1001,MATCH(ROWS($U$2:U649),$U$2:$U$1001,0),0), INDEX($AB$1004:$AQ$1004,1,MATCH(COLUMNS($AB$1006:AI1006),$AB$1006:$AQ$1006,0)))),"Fix")))</f>
        <v>0</v>
      </c>
      <c r="J649" s="5">
        <f>IF(OR(INDEX($V$2:$V$1001,MATCH(ROWS($U$2:U649),$U$2:$U$1001,0),1)&gt;=100000,INDEX($AB$1005:$AQ$1005,1,MATCH(COLUMNS($AB$1006:AJ1006),$AB$1006:$AQ$1006,0))&gt;=100000), " ",IF(INDEX($AB$2:$AQ$1001,MATCH(ROWS($U$2:U649),$U$2:$U$1001,0),MATCH(COLUMNS($AB$1006:AJ1006),$AB$1006:$AQ$1006,0)), HYPERLINK("#",""), HYPERLINK(CONCATENATE("#Metadata!", ADDRESS(INDEX($W$2:$W$1001,MATCH(ROWS($U$2:U649),$U$2:$U$1001,0),0), INDEX($AB$1004:$AQ$1004,1,MATCH(COLUMNS($AB$1006:AJ1006),$AB$1006:$AQ$1006,0)))),"Fix")))</f>
        <v>0</v>
      </c>
      <c r="K649" s="5">
        <f>IF(OR(INDEX($V$2:$V$1001,MATCH(ROWS($U$2:U649),$U$2:$U$1001,0),1)&gt;=100000,INDEX($AB$1005:$AQ$1005,1,MATCH(COLUMNS($AB$1006:AK1006),$AB$1006:$AQ$1006,0))&gt;=100000), " ",IF(INDEX($AB$2:$AQ$1001,MATCH(ROWS($U$2:U649),$U$2:$U$1001,0),MATCH(COLUMNS($AB$1006:AK1006),$AB$1006:$AQ$1006,0)), HYPERLINK("#",""), HYPERLINK(CONCATENATE("#Metadata!", ADDRESS(INDEX($W$2:$W$1001,MATCH(ROWS($U$2:U649),$U$2:$U$1001,0),0), INDEX($AB$1004:$AQ$1004,1,MATCH(COLUMNS($AB$1006:AK1006),$AB$1006:$AQ$1006,0)))),"Fix")))</f>
        <v>0</v>
      </c>
      <c r="L649" s="5">
        <f>IF(OR(INDEX($V$2:$V$1001,MATCH(ROWS($U$2:U649),$U$2:$U$1001,0),1)&gt;=100000,INDEX($AB$1005:$AQ$1005,1,MATCH(COLUMNS($AB$1006:AL1006),$AB$1006:$AQ$1006,0))&gt;=100000), " ",IF(INDEX($AB$2:$AQ$1001,MATCH(ROWS($U$2:U649),$U$2:$U$1001,0),MATCH(COLUMNS($AB$1006:AL1006),$AB$1006:$AQ$1006,0)), HYPERLINK("#",""), HYPERLINK(CONCATENATE("#Metadata!", ADDRESS(INDEX($W$2:$W$1001,MATCH(ROWS($U$2:U649),$U$2:$U$1001,0),0), INDEX($AB$1004:$AQ$1004,1,MATCH(COLUMNS($AB$1006:AL1006),$AB$1006:$AQ$1006,0)))),"Fix")))</f>
        <v>0</v>
      </c>
      <c r="M649" s="5">
        <f>IF(OR(INDEX($V$2:$V$1001,MATCH(ROWS($U$2:U649),$U$2:$U$1001,0),1)&gt;=100000,INDEX($AB$1005:$AQ$1005,1,MATCH(COLUMNS($AB$1006:AM1006),$AB$1006:$AQ$1006,0))&gt;=100000), " ",IF(INDEX($AB$2:$AQ$1001,MATCH(ROWS($U$2:U649),$U$2:$U$1001,0),MATCH(COLUMNS($AB$1006:AM1006),$AB$1006:$AQ$1006,0)), HYPERLINK("#",""), HYPERLINK(CONCATENATE("#Metadata!", ADDRESS(INDEX($W$2:$W$1001,MATCH(ROWS($U$2:U649),$U$2:$U$1001,0),0), INDEX($AB$1004:$AQ$1004,1,MATCH(COLUMNS($AB$1006:AM1006),$AB$1006:$AQ$1006,0)))),"Fix")))</f>
        <v>0</v>
      </c>
      <c r="N649" s="5">
        <f>IF(OR(INDEX($V$2:$V$1001,MATCH(ROWS($U$2:U649),$U$2:$U$1001,0),1)&gt;=100000,INDEX($AB$1005:$AQ$1005,1,MATCH(COLUMNS($AB$1006:AN1006),$AB$1006:$AQ$1006,0))&gt;=100000), " ",IF(INDEX($AB$2:$AQ$1001,MATCH(ROWS($U$2:U649),$U$2:$U$1001,0),MATCH(COLUMNS($AB$1006:AN1006),$AB$1006:$AQ$1006,0)), HYPERLINK("#",""), HYPERLINK(CONCATENATE("#Metadata!", ADDRESS(INDEX($W$2:$W$1001,MATCH(ROWS($U$2:U649),$U$2:$U$1001,0),0), INDEX($AB$1004:$AQ$1004,1,MATCH(COLUMNS($AB$1006:AN1006),$AB$1006:$AQ$1006,0)))),"Fix")))</f>
        <v>0</v>
      </c>
      <c r="O649" s="5">
        <f>IF(OR(INDEX($V$2:$V$1001,MATCH(ROWS($U$2:U649),$U$2:$U$1001,0),1)&gt;=100000,INDEX($AB$1005:$AQ$1005,1,MATCH(COLUMNS($AB$1006:AO1006),$AB$1006:$AQ$1006,0))&gt;=100000), " ",IF(INDEX($AB$2:$AQ$1001,MATCH(ROWS($U$2:U649),$U$2:$U$1001,0),MATCH(COLUMNS($AB$1006:AO1006),$AB$1006:$AQ$1006,0)), HYPERLINK("#",""), HYPERLINK(CONCATENATE("#Metadata!", ADDRESS(INDEX($W$2:$W$1001,MATCH(ROWS($U$2:U649),$U$2:$U$1001,0),0), INDEX($AB$1004:$AQ$1004,1,MATCH(COLUMNS($AB$1006:AO1006),$AB$1006:$AQ$1006,0)))),"Fix")))</f>
        <v>0</v>
      </c>
      <c r="P649" s="5">
        <f>IF(OR(INDEX($V$2:$V$1001,MATCH(ROWS($U$2:U649),$U$2:$U$1001,0),1)&gt;=100000,INDEX($AB$1005:$AQ$1005,1,MATCH(COLUMNS($AB$1006:AP1006),$AB$1006:$AQ$1006,0))&gt;=100000), " ",IF(INDEX($AB$2:$AQ$1001,MATCH(ROWS($U$2:U649),$U$2:$U$1001,0),MATCH(COLUMNS($AB$1006:AP1006),$AB$1006:$AQ$1006,0)), HYPERLINK("#",""), HYPERLINK(CONCATENATE("#Metadata!", ADDRESS(INDEX($W$2:$W$1001,MATCH(ROWS($U$2:U649),$U$2:$U$1001,0),0), INDEX($AB$1004:$AQ$1004,1,MATCH(COLUMNS($AB$1006:AP1006),$AB$1006:$AQ$1006,0)))),"Fix")))</f>
        <v>0</v>
      </c>
      <c r="Q649" s="5">
        <f>IF(OR(INDEX($V$2:$V$1001,MATCH(ROWS($U$2:U649),$U$2:$U$1001,0),1)&gt;=100000,INDEX($AB$1005:$AQ$1005,1,MATCH(COLUMNS($AB$1006:AQ1006),$AB$1006:$AQ$1006,0))&gt;=100000), " ",IF(INDEX($AB$2:$AQ$1001,MATCH(ROWS($U$2:U649),$U$2:$U$1001,0),MATCH(COLUMNS($AB$1006:AQ1006),$AB$1006:$AQ$1006,0)), HYPERLINK("#",""), HYPERLINK(CONCATENATE("#Metadata!", ADDRESS(INDEX($W$2:$W$1001,MATCH(ROWS($U$2:U649),$U$2:$U$1001,0),0), INDEX($AB$1004:$AQ$1004,1,MATCH(COLUMNS($AB$1006:AQ1006),$AB$1006:$AQ$1006,0)))),"Fix")))</f>
        <v>0</v>
      </c>
      <c r="U649">
        <v>0</v>
      </c>
      <c r="V649">
        <v>0</v>
      </c>
      <c r="W649">
        <v>0</v>
      </c>
      <c r="X649">
        <f>IF(Y649,TRUE,AND(AB649:AQ649))</f>
        <v>0</v>
      </c>
      <c r="Y649">
        <f>COUNTBLANK(Metadata!B649:Q649)=COLUMNS(Metadata!B649:Q649)</f>
        <v>0</v>
      </c>
      <c r="Z649">
        <v>0</v>
      </c>
      <c r="AB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AC649">
        <f>AND(IF(Metadata!C649="",FALSE,TRUE),exact(Metadata!C649,"urban biome"))</f>
        <v>0</v>
      </c>
      <c r="AD649">
        <f>AND(IF(Metadata!D649="",FALSE,TRUE),exact(Metadata!D649,"human-associated habitat"))</f>
        <v>0</v>
      </c>
      <c r="AE649">
        <f>AND(IF(Metadata!E649="",FALSE,TRUE),OR(exact(Metadata!E649,"human-associated"),exact(Metadata!E649,"human-skin"),exact(Metadata!E649,"human-oral"),exact(Metadata!E649,"human-gut"),exact(Metadata!E649,"human-vaginal")))</f>
        <v>0</v>
      </c>
      <c r="AF649">
        <f>AND(IF(Metadata!F649="",FALSE,ISNUMBER(VALUE(Metadata!F649))),Metadata!F649&gt;0)</f>
        <v>0</v>
      </c>
      <c r="AG649">
        <f>AND(IF(Metadata!G649="",FALSE,TRUE),exact(Metadata!G649,"years"))</f>
        <v>0</v>
      </c>
      <c r="AH649">
        <f>OR(AND(IF(Metadata!H649="",FALSE,TRUE),OR(exact(Metadata!H649,"not applicable"),exact(Metadata!H649,"not collected"),exact(Metadata!H649,"not provided"),exact(Metadata!H649,"restricted access"))),AND(IF(Metadata!H649="",FALSE,ISNUMBER(VALUE(Metadata!H649))),Metadata!H649&gt;0))</f>
        <v>0</v>
      </c>
      <c r="AI649">
        <f>AND(IF(Metadata!I649="",FALSE,TRUE),exact(Metadata!I649,"human"))</f>
        <v>0</v>
      </c>
      <c r="AJ649">
        <f>AND(IF(Metadata!J649="",FALSE,ISNUMBER(VALUE(Metadata!J649))),Metadata!J649&gt;0)</f>
        <v>0</v>
      </c>
      <c r="AK649">
        <f>AND(IF(Metadata!K649="",FALSE,TRUE),exact(Metadata!K649,"cm"))</f>
        <v>0</v>
      </c>
      <c r="AL649">
        <f>AND(IF(Metadata!L649="",FALSE,TRUE),exact(Metadata!L649,"Homo sapiens"))</f>
        <v>0</v>
      </c>
      <c r="AM649">
        <f>AND(IF(Metadata!M649="",FALSE,TRUE),exact(Metadata!M649,"9606"))</f>
        <v>0</v>
      </c>
      <c r="AN649">
        <f>AND(IF(Metadata!N649="",FALSE,ISNUMBER(VALUE(Metadata!N649))),Metadata!N649&gt;0)</f>
        <v>0</v>
      </c>
      <c r="AO649">
        <f>AND(IF(Metadata!O649="",FALSE,TRUE),exact(Metadata!O649,"kg"))</f>
        <v>0</v>
      </c>
      <c r="AP649">
        <f>OR(AND(IF(Metadata!P649="",FALSE,TRUE),exact(Metadata!P649,"not provided")),IF(Metadata!P649="",FALSE,TRUE))</f>
        <v>0</v>
      </c>
      <c r="AQ649">
        <f>OR(AND(IF(Metadata!Q649="",FALSE,TRUE),exact(Metadata!Q649,"not provided")),IF(Metadata!Q649="",FALSE,TRUE))</f>
        <v>0</v>
      </c>
    </row>
    <row r="650" spans="1:43">
      <c r="A650" s="4">
        <f>IF(B650=" "," ",HYPERLINK(CONCATENATE("#metadata!",ADDRESS(INDEX($W$2:$W$1001,MATCH(ROWS($U$2:U650),$U$2:$U$1001,0),0),2)),INDEX($Z$2:$Z$1001,MATCH(ROWS($U$2:U650),$U$2:$U$1001,0),0)))</f>
        <v>0</v>
      </c>
      <c r="B650" s="5">
        <f>IF(OR(INDEX($V$2:$V$1001,MATCH(ROWS($U$2:U650),$U$2:$U$1001,0),1)&gt;=100000,INDEX($AB$1005:$AQ$1005,1,MATCH(COLUMNS($AB$1006:AB1006),$AB$1006:$AQ$1006,0))&gt;=100000), " ",IF(INDEX($AB$2:$AQ$1001,MATCH(ROWS($U$2:U650),$U$2:$U$1001,0),MATCH(COLUMNS($AB$1006:AB1006),$AB$1006:$AQ$1006,0)), HYPERLINK("#",""), HYPERLINK(CONCATENATE("#Metadata!", ADDRESS(INDEX($W$2:$W$1001,MATCH(ROWS($U$2:U650),$U$2:$U$1001,0),0), INDEX($AB$1004:$AQ$1004,1,MATCH(COLUMNS($AB$1006:AB1006),$AB$1006:$AQ$1006,0)))),"Fix")))</f>
        <v>0</v>
      </c>
      <c r="C650" s="5">
        <f>IF(OR(INDEX($V$2:$V$1001,MATCH(ROWS($U$2:U650),$U$2:$U$1001,0),1)&gt;=100000,INDEX($AB$1005:$AQ$1005,1,MATCH(COLUMNS($AB$1006:AC1006),$AB$1006:$AQ$1006,0))&gt;=100000), " ",IF(INDEX($AB$2:$AQ$1001,MATCH(ROWS($U$2:U650),$U$2:$U$1001,0),MATCH(COLUMNS($AB$1006:AC1006),$AB$1006:$AQ$1006,0)), HYPERLINK("#",""), HYPERLINK(CONCATENATE("#Metadata!", ADDRESS(INDEX($W$2:$W$1001,MATCH(ROWS($U$2:U650),$U$2:$U$1001,0),0), INDEX($AB$1004:$AQ$1004,1,MATCH(COLUMNS($AB$1006:AC1006),$AB$1006:$AQ$1006,0)))),"Fix")))</f>
        <v>0</v>
      </c>
      <c r="D650" s="5">
        <f>IF(OR(INDEX($V$2:$V$1001,MATCH(ROWS($U$2:U650),$U$2:$U$1001,0),1)&gt;=100000,INDEX($AB$1005:$AQ$1005,1,MATCH(COLUMNS($AB$1006:AD1006),$AB$1006:$AQ$1006,0))&gt;=100000), " ",IF(INDEX($AB$2:$AQ$1001,MATCH(ROWS($U$2:U650),$U$2:$U$1001,0),MATCH(COLUMNS($AB$1006:AD1006),$AB$1006:$AQ$1006,0)), HYPERLINK("#",""), HYPERLINK(CONCATENATE("#Metadata!", ADDRESS(INDEX($W$2:$W$1001,MATCH(ROWS($U$2:U650),$U$2:$U$1001,0),0), INDEX($AB$1004:$AQ$1004,1,MATCH(COLUMNS($AB$1006:AD1006),$AB$1006:$AQ$1006,0)))),"Fix")))</f>
        <v>0</v>
      </c>
      <c r="E650" s="5">
        <f>IF(OR(INDEX($V$2:$V$1001,MATCH(ROWS($U$2:U650),$U$2:$U$1001,0),1)&gt;=100000,INDEX($AB$1005:$AQ$1005,1,MATCH(COLUMNS($AB$1006:AE1006),$AB$1006:$AQ$1006,0))&gt;=100000), " ",IF(INDEX($AB$2:$AQ$1001,MATCH(ROWS($U$2:U650),$U$2:$U$1001,0),MATCH(COLUMNS($AB$1006:AE1006),$AB$1006:$AQ$1006,0)), HYPERLINK("#",""), HYPERLINK(CONCATENATE("#Metadata!", ADDRESS(INDEX($W$2:$W$1001,MATCH(ROWS($U$2:U650),$U$2:$U$1001,0),0), INDEX($AB$1004:$AQ$1004,1,MATCH(COLUMNS($AB$1006:AE1006),$AB$1006:$AQ$1006,0)))),"Fix")))</f>
        <v>0</v>
      </c>
      <c r="F650" s="5">
        <f>IF(OR(INDEX($V$2:$V$1001,MATCH(ROWS($U$2:U650),$U$2:$U$1001,0),1)&gt;=100000,INDEX($AB$1005:$AQ$1005,1,MATCH(COLUMNS($AB$1006:AF1006),$AB$1006:$AQ$1006,0))&gt;=100000), " ",IF(INDEX($AB$2:$AQ$1001,MATCH(ROWS($U$2:U650),$U$2:$U$1001,0),MATCH(COLUMNS($AB$1006:AF1006),$AB$1006:$AQ$1006,0)), HYPERLINK("#",""), HYPERLINK(CONCATENATE("#Metadata!", ADDRESS(INDEX($W$2:$W$1001,MATCH(ROWS($U$2:U650),$U$2:$U$1001,0),0), INDEX($AB$1004:$AQ$1004,1,MATCH(COLUMNS($AB$1006:AF1006),$AB$1006:$AQ$1006,0)))),"Fix")))</f>
        <v>0</v>
      </c>
      <c r="G650" s="5">
        <f>IF(OR(INDEX($V$2:$V$1001,MATCH(ROWS($U$2:U650),$U$2:$U$1001,0),1)&gt;=100000,INDEX($AB$1005:$AQ$1005,1,MATCH(COLUMNS($AB$1006:AG1006),$AB$1006:$AQ$1006,0))&gt;=100000), " ",IF(INDEX($AB$2:$AQ$1001,MATCH(ROWS($U$2:U650),$U$2:$U$1001,0),MATCH(COLUMNS($AB$1006:AG1006),$AB$1006:$AQ$1006,0)), HYPERLINK("#",""), HYPERLINK(CONCATENATE("#Metadata!", ADDRESS(INDEX($W$2:$W$1001,MATCH(ROWS($U$2:U650),$U$2:$U$1001,0),0), INDEX($AB$1004:$AQ$1004,1,MATCH(COLUMNS($AB$1006:AG1006),$AB$1006:$AQ$1006,0)))),"Fix")))</f>
        <v>0</v>
      </c>
      <c r="H650" s="5">
        <f>IF(OR(INDEX($V$2:$V$1001,MATCH(ROWS($U$2:U650),$U$2:$U$1001,0),1)&gt;=100000,INDEX($AB$1005:$AQ$1005,1,MATCH(COLUMNS($AB$1006:AH1006),$AB$1006:$AQ$1006,0))&gt;=100000), " ",IF(INDEX($AB$2:$AQ$1001,MATCH(ROWS($U$2:U650),$U$2:$U$1001,0),MATCH(COLUMNS($AB$1006:AH1006),$AB$1006:$AQ$1006,0)), HYPERLINK("#",""), HYPERLINK(CONCATENATE("#Metadata!", ADDRESS(INDEX($W$2:$W$1001,MATCH(ROWS($U$2:U650),$U$2:$U$1001,0),0), INDEX($AB$1004:$AQ$1004,1,MATCH(COLUMNS($AB$1006:AH1006),$AB$1006:$AQ$1006,0)))),"Fix")))</f>
        <v>0</v>
      </c>
      <c r="I650" s="5">
        <f>IF(OR(INDEX($V$2:$V$1001,MATCH(ROWS($U$2:U650),$U$2:$U$1001,0),1)&gt;=100000,INDEX($AB$1005:$AQ$1005,1,MATCH(COLUMNS($AB$1006:AI1006),$AB$1006:$AQ$1006,0))&gt;=100000), " ",IF(INDEX($AB$2:$AQ$1001,MATCH(ROWS($U$2:U650),$U$2:$U$1001,0),MATCH(COLUMNS($AB$1006:AI1006),$AB$1006:$AQ$1006,0)), HYPERLINK("#",""), HYPERLINK(CONCATENATE("#Metadata!", ADDRESS(INDEX($W$2:$W$1001,MATCH(ROWS($U$2:U650),$U$2:$U$1001,0),0), INDEX($AB$1004:$AQ$1004,1,MATCH(COLUMNS($AB$1006:AI1006),$AB$1006:$AQ$1006,0)))),"Fix")))</f>
        <v>0</v>
      </c>
      <c r="J650" s="5">
        <f>IF(OR(INDEX($V$2:$V$1001,MATCH(ROWS($U$2:U650),$U$2:$U$1001,0),1)&gt;=100000,INDEX($AB$1005:$AQ$1005,1,MATCH(COLUMNS($AB$1006:AJ1006),$AB$1006:$AQ$1006,0))&gt;=100000), " ",IF(INDEX($AB$2:$AQ$1001,MATCH(ROWS($U$2:U650),$U$2:$U$1001,0),MATCH(COLUMNS($AB$1006:AJ1006),$AB$1006:$AQ$1006,0)), HYPERLINK("#",""), HYPERLINK(CONCATENATE("#Metadata!", ADDRESS(INDEX($W$2:$W$1001,MATCH(ROWS($U$2:U650),$U$2:$U$1001,0),0), INDEX($AB$1004:$AQ$1004,1,MATCH(COLUMNS($AB$1006:AJ1006),$AB$1006:$AQ$1006,0)))),"Fix")))</f>
        <v>0</v>
      </c>
      <c r="K650" s="5">
        <f>IF(OR(INDEX($V$2:$V$1001,MATCH(ROWS($U$2:U650),$U$2:$U$1001,0),1)&gt;=100000,INDEX($AB$1005:$AQ$1005,1,MATCH(COLUMNS($AB$1006:AK1006),$AB$1006:$AQ$1006,0))&gt;=100000), " ",IF(INDEX($AB$2:$AQ$1001,MATCH(ROWS($U$2:U650),$U$2:$U$1001,0),MATCH(COLUMNS($AB$1006:AK1006),$AB$1006:$AQ$1006,0)), HYPERLINK("#",""), HYPERLINK(CONCATENATE("#Metadata!", ADDRESS(INDEX($W$2:$W$1001,MATCH(ROWS($U$2:U650),$U$2:$U$1001,0),0), INDEX($AB$1004:$AQ$1004,1,MATCH(COLUMNS($AB$1006:AK1006),$AB$1006:$AQ$1006,0)))),"Fix")))</f>
        <v>0</v>
      </c>
      <c r="L650" s="5">
        <f>IF(OR(INDEX($V$2:$V$1001,MATCH(ROWS($U$2:U650),$U$2:$U$1001,0),1)&gt;=100000,INDEX($AB$1005:$AQ$1005,1,MATCH(COLUMNS($AB$1006:AL1006),$AB$1006:$AQ$1006,0))&gt;=100000), " ",IF(INDEX($AB$2:$AQ$1001,MATCH(ROWS($U$2:U650),$U$2:$U$1001,0),MATCH(COLUMNS($AB$1006:AL1006),$AB$1006:$AQ$1006,0)), HYPERLINK("#",""), HYPERLINK(CONCATENATE("#Metadata!", ADDRESS(INDEX($W$2:$W$1001,MATCH(ROWS($U$2:U650),$U$2:$U$1001,0),0), INDEX($AB$1004:$AQ$1004,1,MATCH(COLUMNS($AB$1006:AL1006),$AB$1006:$AQ$1006,0)))),"Fix")))</f>
        <v>0</v>
      </c>
      <c r="M650" s="5">
        <f>IF(OR(INDEX($V$2:$V$1001,MATCH(ROWS($U$2:U650),$U$2:$U$1001,0),1)&gt;=100000,INDEX($AB$1005:$AQ$1005,1,MATCH(COLUMNS($AB$1006:AM1006),$AB$1006:$AQ$1006,0))&gt;=100000), " ",IF(INDEX($AB$2:$AQ$1001,MATCH(ROWS($U$2:U650),$U$2:$U$1001,0),MATCH(COLUMNS($AB$1006:AM1006),$AB$1006:$AQ$1006,0)), HYPERLINK("#",""), HYPERLINK(CONCATENATE("#Metadata!", ADDRESS(INDEX($W$2:$W$1001,MATCH(ROWS($U$2:U650),$U$2:$U$1001,0),0), INDEX($AB$1004:$AQ$1004,1,MATCH(COLUMNS($AB$1006:AM1006),$AB$1006:$AQ$1006,0)))),"Fix")))</f>
        <v>0</v>
      </c>
      <c r="N650" s="5">
        <f>IF(OR(INDEX($V$2:$V$1001,MATCH(ROWS($U$2:U650),$U$2:$U$1001,0),1)&gt;=100000,INDEX($AB$1005:$AQ$1005,1,MATCH(COLUMNS($AB$1006:AN1006),$AB$1006:$AQ$1006,0))&gt;=100000), " ",IF(INDEX($AB$2:$AQ$1001,MATCH(ROWS($U$2:U650),$U$2:$U$1001,0),MATCH(COLUMNS($AB$1006:AN1006),$AB$1006:$AQ$1006,0)), HYPERLINK("#",""), HYPERLINK(CONCATENATE("#Metadata!", ADDRESS(INDEX($W$2:$W$1001,MATCH(ROWS($U$2:U650),$U$2:$U$1001,0),0), INDEX($AB$1004:$AQ$1004,1,MATCH(COLUMNS($AB$1006:AN1006),$AB$1006:$AQ$1006,0)))),"Fix")))</f>
        <v>0</v>
      </c>
      <c r="O650" s="5">
        <f>IF(OR(INDEX($V$2:$V$1001,MATCH(ROWS($U$2:U650),$U$2:$U$1001,0),1)&gt;=100000,INDEX($AB$1005:$AQ$1005,1,MATCH(COLUMNS($AB$1006:AO1006),$AB$1006:$AQ$1006,0))&gt;=100000), " ",IF(INDEX($AB$2:$AQ$1001,MATCH(ROWS($U$2:U650),$U$2:$U$1001,0),MATCH(COLUMNS($AB$1006:AO1006),$AB$1006:$AQ$1006,0)), HYPERLINK("#",""), HYPERLINK(CONCATENATE("#Metadata!", ADDRESS(INDEX($W$2:$W$1001,MATCH(ROWS($U$2:U650),$U$2:$U$1001,0),0), INDEX($AB$1004:$AQ$1004,1,MATCH(COLUMNS($AB$1006:AO1006),$AB$1006:$AQ$1006,0)))),"Fix")))</f>
        <v>0</v>
      </c>
      <c r="P650" s="5">
        <f>IF(OR(INDEX($V$2:$V$1001,MATCH(ROWS($U$2:U650),$U$2:$U$1001,0),1)&gt;=100000,INDEX($AB$1005:$AQ$1005,1,MATCH(COLUMNS($AB$1006:AP1006),$AB$1006:$AQ$1006,0))&gt;=100000), " ",IF(INDEX($AB$2:$AQ$1001,MATCH(ROWS($U$2:U650),$U$2:$U$1001,0),MATCH(COLUMNS($AB$1006:AP1006),$AB$1006:$AQ$1006,0)), HYPERLINK("#",""), HYPERLINK(CONCATENATE("#Metadata!", ADDRESS(INDEX($W$2:$W$1001,MATCH(ROWS($U$2:U650),$U$2:$U$1001,0),0), INDEX($AB$1004:$AQ$1004,1,MATCH(COLUMNS($AB$1006:AP1006),$AB$1006:$AQ$1006,0)))),"Fix")))</f>
        <v>0</v>
      </c>
      <c r="Q650" s="5">
        <f>IF(OR(INDEX($V$2:$V$1001,MATCH(ROWS($U$2:U650),$U$2:$U$1001,0),1)&gt;=100000,INDEX($AB$1005:$AQ$1005,1,MATCH(COLUMNS($AB$1006:AQ1006),$AB$1006:$AQ$1006,0))&gt;=100000), " ",IF(INDEX($AB$2:$AQ$1001,MATCH(ROWS($U$2:U650),$U$2:$U$1001,0),MATCH(COLUMNS($AB$1006:AQ1006),$AB$1006:$AQ$1006,0)), HYPERLINK("#",""), HYPERLINK(CONCATENATE("#Metadata!", ADDRESS(INDEX($W$2:$W$1001,MATCH(ROWS($U$2:U650),$U$2:$U$1001,0),0), INDEX($AB$1004:$AQ$1004,1,MATCH(COLUMNS($AB$1006:AQ1006),$AB$1006:$AQ$1006,0)))),"Fix")))</f>
        <v>0</v>
      </c>
      <c r="U650">
        <v>0</v>
      </c>
      <c r="V650">
        <v>0</v>
      </c>
      <c r="W650">
        <v>0</v>
      </c>
      <c r="X650">
        <f>IF(Y650,TRUE,AND(AB650:AQ650))</f>
        <v>0</v>
      </c>
      <c r="Y650">
        <f>COUNTBLANK(Metadata!B650:Q650)=COLUMNS(Metadata!B650:Q650)</f>
        <v>0</v>
      </c>
      <c r="Z650">
        <v>0</v>
      </c>
      <c r="AB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AC650">
        <f>AND(IF(Metadata!C650="",FALSE,TRUE),exact(Metadata!C650,"urban biome"))</f>
        <v>0</v>
      </c>
      <c r="AD650">
        <f>AND(IF(Metadata!D650="",FALSE,TRUE),exact(Metadata!D650,"human-associated habitat"))</f>
        <v>0</v>
      </c>
      <c r="AE650">
        <f>AND(IF(Metadata!E650="",FALSE,TRUE),OR(exact(Metadata!E650,"human-associated"),exact(Metadata!E650,"human-skin"),exact(Metadata!E650,"human-oral"),exact(Metadata!E650,"human-gut"),exact(Metadata!E650,"human-vaginal")))</f>
        <v>0</v>
      </c>
      <c r="AF650">
        <f>AND(IF(Metadata!F650="",FALSE,ISNUMBER(VALUE(Metadata!F650))),Metadata!F650&gt;0)</f>
        <v>0</v>
      </c>
      <c r="AG650">
        <f>AND(IF(Metadata!G650="",FALSE,TRUE),exact(Metadata!G650,"years"))</f>
        <v>0</v>
      </c>
      <c r="AH650">
        <f>OR(AND(IF(Metadata!H650="",FALSE,TRUE),OR(exact(Metadata!H650,"not applicable"),exact(Metadata!H650,"not collected"),exact(Metadata!H650,"not provided"),exact(Metadata!H650,"restricted access"))),AND(IF(Metadata!H650="",FALSE,ISNUMBER(VALUE(Metadata!H650))),Metadata!H650&gt;0))</f>
        <v>0</v>
      </c>
      <c r="AI650">
        <f>AND(IF(Metadata!I650="",FALSE,TRUE),exact(Metadata!I650,"human"))</f>
        <v>0</v>
      </c>
      <c r="AJ650">
        <f>AND(IF(Metadata!J650="",FALSE,ISNUMBER(VALUE(Metadata!J650))),Metadata!J650&gt;0)</f>
        <v>0</v>
      </c>
      <c r="AK650">
        <f>AND(IF(Metadata!K650="",FALSE,TRUE),exact(Metadata!K650,"cm"))</f>
        <v>0</v>
      </c>
      <c r="AL650">
        <f>AND(IF(Metadata!L650="",FALSE,TRUE),exact(Metadata!L650,"Homo sapiens"))</f>
        <v>0</v>
      </c>
      <c r="AM650">
        <f>AND(IF(Metadata!M650="",FALSE,TRUE),exact(Metadata!M650,"9606"))</f>
        <v>0</v>
      </c>
      <c r="AN650">
        <f>AND(IF(Metadata!N650="",FALSE,ISNUMBER(VALUE(Metadata!N650))),Metadata!N650&gt;0)</f>
        <v>0</v>
      </c>
      <c r="AO650">
        <f>AND(IF(Metadata!O650="",FALSE,TRUE),exact(Metadata!O650,"kg"))</f>
        <v>0</v>
      </c>
      <c r="AP650">
        <f>OR(AND(IF(Metadata!P650="",FALSE,TRUE),exact(Metadata!P650,"not provided")),IF(Metadata!P650="",FALSE,TRUE))</f>
        <v>0</v>
      </c>
      <c r="AQ650">
        <f>OR(AND(IF(Metadata!Q650="",FALSE,TRUE),exact(Metadata!Q650,"not provided")),IF(Metadata!Q650="",FALSE,TRUE))</f>
        <v>0</v>
      </c>
    </row>
    <row r="651" spans="1:43">
      <c r="A651" s="4">
        <f>IF(B651=" "," ",HYPERLINK(CONCATENATE("#metadata!",ADDRESS(INDEX($W$2:$W$1001,MATCH(ROWS($U$2:U651),$U$2:$U$1001,0),0),2)),INDEX($Z$2:$Z$1001,MATCH(ROWS($U$2:U651),$U$2:$U$1001,0),0)))</f>
        <v>0</v>
      </c>
      <c r="B651" s="5">
        <f>IF(OR(INDEX($V$2:$V$1001,MATCH(ROWS($U$2:U651),$U$2:$U$1001,0),1)&gt;=100000,INDEX($AB$1005:$AQ$1005,1,MATCH(COLUMNS($AB$1006:AB1006),$AB$1006:$AQ$1006,0))&gt;=100000), " ",IF(INDEX($AB$2:$AQ$1001,MATCH(ROWS($U$2:U651),$U$2:$U$1001,0),MATCH(COLUMNS($AB$1006:AB1006),$AB$1006:$AQ$1006,0)), HYPERLINK("#",""), HYPERLINK(CONCATENATE("#Metadata!", ADDRESS(INDEX($W$2:$W$1001,MATCH(ROWS($U$2:U651),$U$2:$U$1001,0),0), INDEX($AB$1004:$AQ$1004,1,MATCH(COLUMNS($AB$1006:AB1006),$AB$1006:$AQ$1006,0)))),"Fix")))</f>
        <v>0</v>
      </c>
      <c r="C651" s="5">
        <f>IF(OR(INDEX($V$2:$V$1001,MATCH(ROWS($U$2:U651),$U$2:$U$1001,0),1)&gt;=100000,INDEX($AB$1005:$AQ$1005,1,MATCH(COLUMNS($AB$1006:AC1006),$AB$1006:$AQ$1006,0))&gt;=100000), " ",IF(INDEX($AB$2:$AQ$1001,MATCH(ROWS($U$2:U651),$U$2:$U$1001,0),MATCH(COLUMNS($AB$1006:AC1006),$AB$1006:$AQ$1006,0)), HYPERLINK("#",""), HYPERLINK(CONCATENATE("#Metadata!", ADDRESS(INDEX($W$2:$W$1001,MATCH(ROWS($U$2:U651),$U$2:$U$1001,0),0), INDEX($AB$1004:$AQ$1004,1,MATCH(COLUMNS($AB$1006:AC1006),$AB$1006:$AQ$1006,0)))),"Fix")))</f>
        <v>0</v>
      </c>
      <c r="D651" s="5">
        <f>IF(OR(INDEX($V$2:$V$1001,MATCH(ROWS($U$2:U651),$U$2:$U$1001,0),1)&gt;=100000,INDEX($AB$1005:$AQ$1005,1,MATCH(COLUMNS($AB$1006:AD1006),$AB$1006:$AQ$1006,0))&gt;=100000), " ",IF(INDEX($AB$2:$AQ$1001,MATCH(ROWS($U$2:U651),$U$2:$U$1001,0),MATCH(COLUMNS($AB$1006:AD1006),$AB$1006:$AQ$1006,0)), HYPERLINK("#",""), HYPERLINK(CONCATENATE("#Metadata!", ADDRESS(INDEX($W$2:$W$1001,MATCH(ROWS($U$2:U651),$U$2:$U$1001,0),0), INDEX($AB$1004:$AQ$1004,1,MATCH(COLUMNS($AB$1006:AD1006),$AB$1006:$AQ$1006,0)))),"Fix")))</f>
        <v>0</v>
      </c>
      <c r="E651" s="5">
        <f>IF(OR(INDEX($V$2:$V$1001,MATCH(ROWS($U$2:U651),$U$2:$U$1001,0),1)&gt;=100000,INDEX($AB$1005:$AQ$1005,1,MATCH(COLUMNS($AB$1006:AE1006),$AB$1006:$AQ$1006,0))&gt;=100000), " ",IF(INDEX($AB$2:$AQ$1001,MATCH(ROWS($U$2:U651),$U$2:$U$1001,0),MATCH(COLUMNS($AB$1006:AE1006),$AB$1006:$AQ$1006,0)), HYPERLINK("#",""), HYPERLINK(CONCATENATE("#Metadata!", ADDRESS(INDEX($W$2:$W$1001,MATCH(ROWS($U$2:U651),$U$2:$U$1001,0),0), INDEX($AB$1004:$AQ$1004,1,MATCH(COLUMNS($AB$1006:AE1006),$AB$1006:$AQ$1006,0)))),"Fix")))</f>
        <v>0</v>
      </c>
      <c r="F651" s="5">
        <f>IF(OR(INDEX($V$2:$V$1001,MATCH(ROWS($U$2:U651),$U$2:$U$1001,0),1)&gt;=100000,INDEX($AB$1005:$AQ$1005,1,MATCH(COLUMNS($AB$1006:AF1006),$AB$1006:$AQ$1006,0))&gt;=100000), " ",IF(INDEX($AB$2:$AQ$1001,MATCH(ROWS($U$2:U651),$U$2:$U$1001,0),MATCH(COLUMNS($AB$1006:AF1006),$AB$1006:$AQ$1006,0)), HYPERLINK("#",""), HYPERLINK(CONCATENATE("#Metadata!", ADDRESS(INDEX($W$2:$W$1001,MATCH(ROWS($U$2:U651),$U$2:$U$1001,0),0), INDEX($AB$1004:$AQ$1004,1,MATCH(COLUMNS($AB$1006:AF1006),$AB$1006:$AQ$1006,0)))),"Fix")))</f>
        <v>0</v>
      </c>
      <c r="G651" s="5">
        <f>IF(OR(INDEX($V$2:$V$1001,MATCH(ROWS($U$2:U651),$U$2:$U$1001,0),1)&gt;=100000,INDEX($AB$1005:$AQ$1005,1,MATCH(COLUMNS($AB$1006:AG1006),$AB$1006:$AQ$1006,0))&gt;=100000), " ",IF(INDEX($AB$2:$AQ$1001,MATCH(ROWS($U$2:U651),$U$2:$U$1001,0),MATCH(COLUMNS($AB$1006:AG1006),$AB$1006:$AQ$1006,0)), HYPERLINK("#",""), HYPERLINK(CONCATENATE("#Metadata!", ADDRESS(INDEX($W$2:$W$1001,MATCH(ROWS($U$2:U651),$U$2:$U$1001,0),0), INDEX($AB$1004:$AQ$1004,1,MATCH(COLUMNS($AB$1006:AG1006),$AB$1006:$AQ$1006,0)))),"Fix")))</f>
        <v>0</v>
      </c>
      <c r="H651" s="5">
        <f>IF(OR(INDEX($V$2:$V$1001,MATCH(ROWS($U$2:U651),$U$2:$U$1001,0),1)&gt;=100000,INDEX($AB$1005:$AQ$1005,1,MATCH(COLUMNS($AB$1006:AH1006),$AB$1006:$AQ$1006,0))&gt;=100000), " ",IF(INDEX($AB$2:$AQ$1001,MATCH(ROWS($U$2:U651),$U$2:$U$1001,0),MATCH(COLUMNS($AB$1006:AH1006),$AB$1006:$AQ$1006,0)), HYPERLINK("#",""), HYPERLINK(CONCATENATE("#Metadata!", ADDRESS(INDEX($W$2:$W$1001,MATCH(ROWS($U$2:U651),$U$2:$U$1001,0),0), INDEX($AB$1004:$AQ$1004,1,MATCH(COLUMNS($AB$1006:AH1006),$AB$1006:$AQ$1006,0)))),"Fix")))</f>
        <v>0</v>
      </c>
      <c r="I651" s="5">
        <f>IF(OR(INDEX($V$2:$V$1001,MATCH(ROWS($U$2:U651),$U$2:$U$1001,0),1)&gt;=100000,INDEX($AB$1005:$AQ$1005,1,MATCH(COLUMNS($AB$1006:AI1006),$AB$1006:$AQ$1006,0))&gt;=100000), " ",IF(INDEX($AB$2:$AQ$1001,MATCH(ROWS($U$2:U651),$U$2:$U$1001,0),MATCH(COLUMNS($AB$1006:AI1006),$AB$1006:$AQ$1006,0)), HYPERLINK("#",""), HYPERLINK(CONCATENATE("#Metadata!", ADDRESS(INDEX($W$2:$W$1001,MATCH(ROWS($U$2:U651),$U$2:$U$1001,0),0), INDEX($AB$1004:$AQ$1004,1,MATCH(COLUMNS($AB$1006:AI1006),$AB$1006:$AQ$1006,0)))),"Fix")))</f>
        <v>0</v>
      </c>
      <c r="J651" s="5">
        <f>IF(OR(INDEX($V$2:$V$1001,MATCH(ROWS($U$2:U651),$U$2:$U$1001,0),1)&gt;=100000,INDEX($AB$1005:$AQ$1005,1,MATCH(COLUMNS($AB$1006:AJ1006),$AB$1006:$AQ$1006,0))&gt;=100000), " ",IF(INDEX($AB$2:$AQ$1001,MATCH(ROWS($U$2:U651),$U$2:$U$1001,0),MATCH(COLUMNS($AB$1006:AJ1006),$AB$1006:$AQ$1006,0)), HYPERLINK("#",""), HYPERLINK(CONCATENATE("#Metadata!", ADDRESS(INDEX($W$2:$W$1001,MATCH(ROWS($U$2:U651),$U$2:$U$1001,0),0), INDEX($AB$1004:$AQ$1004,1,MATCH(COLUMNS($AB$1006:AJ1006),$AB$1006:$AQ$1006,0)))),"Fix")))</f>
        <v>0</v>
      </c>
      <c r="K651" s="5">
        <f>IF(OR(INDEX($V$2:$V$1001,MATCH(ROWS($U$2:U651),$U$2:$U$1001,0),1)&gt;=100000,INDEX($AB$1005:$AQ$1005,1,MATCH(COLUMNS($AB$1006:AK1006),$AB$1006:$AQ$1006,0))&gt;=100000), " ",IF(INDEX($AB$2:$AQ$1001,MATCH(ROWS($U$2:U651),$U$2:$U$1001,0),MATCH(COLUMNS($AB$1006:AK1006),$AB$1006:$AQ$1006,0)), HYPERLINK("#",""), HYPERLINK(CONCATENATE("#Metadata!", ADDRESS(INDEX($W$2:$W$1001,MATCH(ROWS($U$2:U651),$U$2:$U$1001,0),0), INDEX($AB$1004:$AQ$1004,1,MATCH(COLUMNS($AB$1006:AK1006),$AB$1006:$AQ$1006,0)))),"Fix")))</f>
        <v>0</v>
      </c>
      <c r="L651" s="5">
        <f>IF(OR(INDEX($V$2:$V$1001,MATCH(ROWS($U$2:U651),$U$2:$U$1001,0),1)&gt;=100000,INDEX($AB$1005:$AQ$1005,1,MATCH(COLUMNS($AB$1006:AL1006),$AB$1006:$AQ$1006,0))&gt;=100000), " ",IF(INDEX($AB$2:$AQ$1001,MATCH(ROWS($U$2:U651),$U$2:$U$1001,0),MATCH(COLUMNS($AB$1006:AL1006),$AB$1006:$AQ$1006,0)), HYPERLINK("#",""), HYPERLINK(CONCATENATE("#Metadata!", ADDRESS(INDEX($W$2:$W$1001,MATCH(ROWS($U$2:U651),$U$2:$U$1001,0),0), INDEX($AB$1004:$AQ$1004,1,MATCH(COLUMNS($AB$1006:AL1006),$AB$1006:$AQ$1006,0)))),"Fix")))</f>
        <v>0</v>
      </c>
      <c r="M651" s="5">
        <f>IF(OR(INDEX($V$2:$V$1001,MATCH(ROWS($U$2:U651),$U$2:$U$1001,0),1)&gt;=100000,INDEX($AB$1005:$AQ$1005,1,MATCH(COLUMNS($AB$1006:AM1006),$AB$1006:$AQ$1006,0))&gt;=100000), " ",IF(INDEX($AB$2:$AQ$1001,MATCH(ROWS($U$2:U651),$U$2:$U$1001,0),MATCH(COLUMNS($AB$1006:AM1006),$AB$1006:$AQ$1006,0)), HYPERLINK("#",""), HYPERLINK(CONCATENATE("#Metadata!", ADDRESS(INDEX($W$2:$W$1001,MATCH(ROWS($U$2:U651),$U$2:$U$1001,0),0), INDEX($AB$1004:$AQ$1004,1,MATCH(COLUMNS($AB$1006:AM1006),$AB$1006:$AQ$1006,0)))),"Fix")))</f>
        <v>0</v>
      </c>
      <c r="N651" s="5">
        <f>IF(OR(INDEX($V$2:$V$1001,MATCH(ROWS($U$2:U651),$U$2:$U$1001,0),1)&gt;=100000,INDEX($AB$1005:$AQ$1005,1,MATCH(COLUMNS($AB$1006:AN1006),$AB$1006:$AQ$1006,0))&gt;=100000), " ",IF(INDEX($AB$2:$AQ$1001,MATCH(ROWS($U$2:U651),$U$2:$U$1001,0),MATCH(COLUMNS($AB$1006:AN1006),$AB$1006:$AQ$1006,0)), HYPERLINK("#",""), HYPERLINK(CONCATENATE("#Metadata!", ADDRESS(INDEX($W$2:$W$1001,MATCH(ROWS($U$2:U651),$U$2:$U$1001,0),0), INDEX($AB$1004:$AQ$1004,1,MATCH(COLUMNS($AB$1006:AN1006),$AB$1006:$AQ$1006,0)))),"Fix")))</f>
        <v>0</v>
      </c>
      <c r="O651" s="5">
        <f>IF(OR(INDEX($V$2:$V$1001,MATCH(ROWS($U$2:U651),$U$2:$U$1001,0),1)&gt;=100000,INDEX($AB$1005:$AQ$1005,1,MATCH(COLUMNS($AB$1006:AO1006),$AB$1006:$AQ$1006,0))&gt;=100000), " ",IF(INDEX($AB$2:$AQ$1001,MATCH(ROWS($U$2:U651),$U$2:$U$1001,0),MATCH(COLUMNS($AB$1006:AO1006),$AB$1006:$AQ$1006,0)), HYPERLINK("#",""), HYPERLINK(CONCATENATE("#Metadata!", ADDRESS(INDEX($W$2:$W$1001,MATCH(ROWS($U$2:U651),$U$2:$U$1001,0),0), INDEX($AB$1004:$AQ$1004,1,MATCH(COLUMNS($AB$1006:AO1006),$AB$1006:$AQ$1006,0)))),"Fix")))</f>
        <v>0</v>
      </c>
      <c r="P651" s="5">
        <f>IF(OR(INDEX($V$2:$V$1001,MATCH(ROWS($U$2:U651),$U$2:$U$1001,0),1)&gt;=100000,INDEX($AB$1005:$AQ$1005,1,MATCH(COLUMNS($AB$1006:AP1006),$AB$1006:$AQ$1006,0))&gt;=100000), " ",IF(INDEX($AB$2:$AQ$1001,MATCH(ROWS($U$2:U651),$U$2:$U$1001,0),MATCH(COLUMNS($AB$1006:AP1006),$AB$1006:$AQ$1006,0)), HYPERLINK("#",""), HYPERLINK(CONCATENATE("#Metadata!", ADDRESS(INDEX($W$2:$W$1001,MATCH(ROWS($U$2:U651),$U$2:$U$1001,0),0), INDEX($AB$1004:$AQ$1004,1,MATCH(COLUMNS($AB$1006:AP1006),$AB$1006:$AQ$1006,0)))),"Fix")))</f>
        <v>0</v>
      </c>
      <c r="Q651" s="5">
        <f>IF(OR(INDEX($V$2:$V$1001,MATCH(ROWS($U$2:U651),$U$2:$U$1001,0),1)&gt;=100000,INDEX($AB$1005:$AQ$1005,1,MATCH(COLUMNS($AB$1006:AQ1006),$AB$1006:$AQ$1006,0))&gt;=100000), " ",IF(INDEX($AB$2:$AQ$1001,MATCH(ROWS($U$2:U651),$U$2:$U$1001,0),MATCH(COLUMNS($AB$1006:AQ1006),$AB$1006:$AQ$1006,0)), HYPERLINK("#",""), HYPERLINK(CONCATENATE("#Metadata!", ADDRESS(INDEX($W$2:$W$1001,MATCH(ROWS($U$2:U651),$U$2:$U$1001,0),0), INDEX($AB$1004:$AQ$1004,1,MATCH(COLUMNS($AB$1006:AQ1006),$AB$1006:$AQ$1006,0)))),"Fix")))</f>
        <v>0</v>
      </c>
      <c r="U651">
        <v>0</v>
      </c>
      <c r="V651">
        <v>0</v>
      </c>
      <c r="W651">
        <v>0</v>
      </c>
      <c r="X651">
        <f>IF(Y651,TRUE,AND(AB651:AQ651))</f>
        <v>0</v>
      </c>
      <c r="Y651">
        <f>COUNTBLANK(Metadata!B651:Q651)=COLUMNS(Metadata!B651:Q651)</f>
        <v>0</v>
      </c>
      <c r="Z651">
        <v>0</v>
      </c>
      <c r="AB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AC651">
        <f>AND(IF(Metadata!C651="",FALSE,TRUE),exact(Metadata!C651,"urban biome"))</f>
        <v>0</v>
      </c>
      <c r="AD651">
        <f>AND(IF(Metadata!D651="",FALSE,TRUE),exact(Metadata!D651,"human-associated habitat"))</f>
        <v>0</v>
      </c>
      <c r="AE651">
        <f>AND(IF(Metadata!E651="",FALSE,TRUE),OR(exact(Metadata!E651,"human-associated"),exact(Metadata!E651,"human-skin"),exact(Metadata!E651,"human-oral"),exact(Metadata!E651,"human-gut"),exact(Metadata!E651,"human-vaginal")))</f>
        <v>0</v>
      </c>
      <c r="AF651">
        <f>AND(IF(Metadata!F651="",FALSE,ISNUMBER(VALUE(Metadata!F651))),Metadata!F651&gt;0)</f>
        <v>0</v>
      </c>
      <c r="AG651">
        <f>AND(IF(Metadata!G651="",FALSE,TRUE),exact(Metadata!G651,"years"))</f>
        <v>0</v>
      </c>
      <c r="AH651">
        <f>OR(AND(IF(Metadata!H651="",FALSE,TRUE),OR(exact(Metadata!H651,"not applicable"),exact(Metadata!H651,"not collected"),exact(Metadata!H651,"not provided"),exact(Metadata!H651,"restricted access"))),AND(IF(Metadata!H651="",FALSE,ISNUMBER(VALUE(Metadata!H651))),Metadata!H651&gt;0))</f>
        <v>0</v>
      </c>
      <c r="AI651">
        <f>AND(IF(Metadata!I651="",FALSE,TRUE),exact(Metadata!I651,"human"))</f>
        <v>0</v>
      </c>
      <c r="AJ651">
        <f>AND(IF(Metadata!J651="",FALSE,ISNUMBER(VALUE(Metadata!J651))),Metadata!J651&gt;0)</f>
        <v>0</v>
      </c>
      <c r="AK651">
        <f>AND(IF(Metadata!K651="",FALSE,TRUE),exact(Metadata!K651,"cm"))</f>
        <v>0</v>
      </c>
      <c r="AL651">
        <f>AND(IF(Metadata!L651="",FALSE,TRUE),exact(Metadata!L651,"Homo sapiens"))</f>
        <v>0</v>
      </c>
      <c r="AM651">
        <f>AND(IF(Metadata!M651="",FALSE,TRUE),exact(Metadata!M651,"9606"))</f>
        <v>0</v>
      </c>
      <c r="AN651">
        <f>AND(IF(Metadata!N651="",FALSE,ISNUMBER(VALUE(Metadata!N651))),Metadata!N651&gt;0)</f>
        <v>0</v>
      </c>
      <c r="AO651">
        <f>AND(IF(Metadata!O651="",FALSE,TRUE),exact(Metadata!O651,"kg"))</f>
        <v>0</v>
      </c>
      <c r="AP651">
        <f>OR(AND(IF(Metadata!P651="",FALSE,TRUE),exact(Metadata!P651,"not provided")),IF(Metadata!P651="",FALSE,TRUE))</f>
        <v>0</v>
      </c>
      <c r="AQ651">
        <f>OR(AND(IF(Metadata!Q651="",FALSE,TRUE),exact(Metadata!Q651,"not provided")),IF(Metadata!Q651="",FALSE,TRUE))</f>
        <v>0</v>
      </c>
    </row>
    <row r="652" spans="1:43">
      <c r="A652" s="4">
        <f>IF(B652=" "," ",HYPERLINK(CONCATENATE("#metadata!",ADDRESS(INDEX($W$2:$W$1001,MATCH(ROWS($U$2:U652),$U$2:$U$1001,0),0),2)),INDEX($Z$2:$Z$1001,MATCH(ROWS($U$2:U652),$U$2:$U$1001,0),0)))</f>
        <v>0</v>
      </c>
      <c r="B652" s="5">
        <f>IF(OR(INDEX($V$2:$V$1001,MATCH(ROWS($U$2:U652),$U$2:$U$1001,0),1)&gt;=100000,INDEX($AB$1005:$AQ$1005,1,MATCH(COLUMNS($AB$1006:AB1006),$AB$1006:$AQ$1006,0))&gt;=100000), " ",IF(INDEX($AB$2:$AQ$1001,MATCH(ROWS($U$2:U652),$U$2:$U$1001,0),MATCH(COLUMNS($AB$1006:AB1006),$AB$1006:$AQ$1006,0)), HYPERLINK("#",""), HYPERLINK(CONCATENATE("#Metadata!", ADDRESS(INDEX($W$2:$W$1001,MATCH(ROWS($U$2:U652),$U$2:$U$1001,0),0), INDEX($AB$1004:$AQ$1004,1,MATCH(COLUMNS($AB$1006:AB1006),$AB$1006:$AQ$1006,0)))),"Fix")))</f>
        <v>0</v>
      </c>
      <c r="C652" s="5">
        <f>IF(OR(INDEX($V$2:$V$1001,MATCH(ROWS($U$2:U652),$U$2:$U$1001,0),1)&gt;=100000,INDEX($AB$1005:$AQ$1005,1,MATCH(COLUMNS($AB$1006:AC1006),$AB$1006:$AQ$1006,0))&gt;=100000), " ",IF(INDEX($AB$2:$AQ$1001,MATCH(ROWS($U$2:U652),$U$2:$U$1001,0),MATCH(COLUMNS($AB$1006:AC1006),$AB$1006:$AQ$1006,0)), HYPERLINK("#",""), HYPERLINK(CONCATENATE("#Metadata!", ADDRESS(INDEX($W$2:$W$1001,MATCH(ROWS($U$2:U652),$U$2:$U$1001,0),0), INDEX($AB$1004:$AQ$1004,1,MATCH(COLUMNS($AB$1006:AC1006),$AB$1006:$AQ$1006,0)))),"Fix")))</f>
        <v>0</v>
      </c>
      <c r="D652" s="5">
        <f>IF(OR(INDEX($V$2:$V$1001,MATCH(ROWS($U$2:U652),$U$2:$U$1001,0),1)&gt;=100000,INDEX($AB$1005:$AQ$1005,1,MATCH(COLUMNS($AB$1006:AD1006),$AB$1006:$AQ$1006,0))&gt;=100000), " ",IF(INDEX($AB$2:$AQ$1001,MATCH(ROWS($U$2:U652),$U$2:$U$1001,0),MATCH(COLUMNS($AB$1006:AD1006),$AB$1006:$AQ$1006,0)), HYPERLINK("#",""), HYPERLINK(CONCATENATE("#Metadata!", ADDRESS(INDEX($W$2:$W$1001,MATCH(ROWS($U$2:U652),$U$2:$U$1001,0),0), INDEX($AB$1004:$AQ$1004,1,MATCH(COLUMNS($AB$1006:AD1006),$AB$1006:$AQ$1006,0)))),"Fix")))</f>
        <v>0</v>
      </c>
      <c r="E652" s="5">
        <f>IF(OR(INDEX($V$2:$V$1001,MATCH(ROWS($U$2:U652),$U$2:$U$1001,0),1)&gt;=100000,INDEX($AB$1005:$AQ$1005,1,MATCH(COLUMNS($AB$1006:AE1006),$AB$1006:$AQ$1006,0))&gt;=100000), " ",IF(INDEX($AB$2:$AQ$1001,MATCH(ROWS($U$2:U652),$U$2:$U$1001,0),MATCH(COLUMNS($AB$1006:AE1006),$AB$1006:$AQ$1006,0)), HYPERLINK("#",""), HYPERLINK(CONCATENATE("#Metadata!", ADDRESS(INDEX($W$2:$W$1001,MATCH(ROWS($U$2:U652),$U$2:$U$1001,0),0), INDEX($AB$1004:$AQ$1004,1,MATCH(COLUMNS($AB$1006:AE1006),$AB$1006:$AQ$1006,0)))),"Fix")))</f>
        <v>0</v>
      </c>
      <c r="F652" s="5">
        <f>IF(OR(INDEX($V$2:$V$1001,MATCH(ROWS($U$2:U652),$U$2:$U$1001,0),1)&gt;=100000,INDEX($AB$1005:$AQ$1005,1,MATCH(COLUMNS($AB$1006:AF1006),$AB$1006:$AQ$1006,0))&gt;=100000), " ",IF(INDEX($AB$2:$AQ$1001,MATCH(ROWS($U$2:U652),$U$2:$U$1001,0),MATCH(COLUMNS($AB$1006:AF1006),$AB$1006:$AQ$1006,0)), HYPERLINK("#",""), HYPERLINK(CONCATENATE("#Metadata!", ADDRESS(INDEX($W$2:$W$1001,MATCH(ROWS($U$2:U652),$U$2:$U$1001,0),0), INDEX($AB$1004:$AQ$1004,1,MATCH(COLUMNS($AB$1006:AF1006),$AB$1006:$AQ$1006,0)))),"Fix")))</f>
        <v>0</v>
      </c>
      <c r="G652" s="5">
        <f>IF(OR(INDEX($V$2:$V$1001,MATCH(ROWS($U$2:U652),$U$2:$U$1001,0),1)&gt;=100000,INDEX($AB$1005:$AQ$1005,1,MATCH(COLUMNS($AB$1006:AG1006),$AB$1006:$AQ$1006,0))&gt;=100000), " ",IF(INDEX($AB$2:$AQ$1001,MATCH(ROWS($U$2:U652),$U$2:$U$1001,0),MATCH(COLUMNS($AB$1006:AG1006),$AB$1006:$AQ$1006,0)), HYPERLINK("#",""), HYPERLINK(CONCATENATE("#Metadata!", ADDRESS(INDEX($W$2:$W$1001,MATCH(ROWS($U$2:U652),$U$2:$U$1001,0),0), INDEX($AB$1004:$AQ$1004,1,MATCH(COLUMNS($AB$1006:AG1006),$AB$1006:$AQ$1006,0)))),"Fix")))</f>
        <v>0</v>
      </c>
      <c r="H652" s="5">
        <f>IF(OR(INDEX($V$2:$V$1001,MATCH(ROWS($U$2:U652),$U$2:$U$1001,0),1)&gt;=100000,INDEX($AB$1005:$AQ$1005,1,MATCH(COLUMNS($AB$1006:AH1006),$AB$1006:$AQ$1006,0))&gt;=100000), " ",IF(INDEX($AB$2:$AQ$1001,MATCH(ROWS($U$2:U652),$U$2:$U$1001,0),MATCH(COLUMNS($AB$1006:AH1006),$AB$1006:$AQ$1006,0)), HYPERLINK("#",""), HYPERLINK(CONCATENATE("#Metadata!", ADDRESS(INDEX($W$2:$W$1001,MATCH(ROWS($U$2:U652),$U$2:$U$1001,0),0), INDEX($AB$1004:$AQ$1004,1,MATCH(COLUMNS($AB$1006:AH1006),$AB$1006:$AQ$1006,0)))),"Fix")))</f>
        <v>0</v>
      </c>
      <c r="I652" s="5">
        <f>IF(OR(INDEX($V$2:$V$1001,MATCH(ROWS($U$2:U652),$U$2:$U$1001,0),1)&gt;=100000,INDEX($AB$1005:$AQ$1005,1,MATCH(COLUMNS($AB$1006:AI1006),$AB$1006:$AQ$1006,0))&gt;=100000), " ",IF(INDEX($AB$2:$AQ$1001,MATCH(ROWS($U$2:U652),$U$2:$U$1001,0),MATCH(COLUMNS($AB$1006:AI1006),$AB$1006:$AQ$1006,0)), HYPERLINK("#",""), HYPERLINK(CONCATENATE("#Metadata!", ADDRESS(INDEX($W$2:$W$1001,MATCH(ROWS($U$2:U652),$U$2:$U$1001,0),0), INDEX($AB$1004:$AQ$1004,1,MATCH(COLUMNS($AB$1006:AI1006),$AB$1006:$AQ$1006,0)))),"Fix")))</f>
        <v>0</v>
      </c>
      <c r="J652" s="5">
        <f>IF(OR(INDEX($V$2:$V$1001,MATCH(ROWS($U$2:U652),$U$2:$U$1001,0),1)&gt;=100000,INDEX($AB$1005:$AQ$1005,1,MATCH(COLUMNS($AB$1006:AJ1006),$AB$1006:$AQ$1006,0))&gt;=100000), " ",IF(INDEX($AB$2:$AQ$1001,MATCH(ROWS($U$2:U652),$U$2:$U$1001,0),MATCH(COLUMNS($AB$1006:AJ1006),$AB$1006:$AQ$1006,0)), HYPERLINK("#",""), HYPERLINK(CONCATENATE("#Metadata!", ADDRESS(INDEX($W$2:$W$1001,MATCH(ROWS($U$2:U652),$U$2:$U$1001,0),0), INDEX($AB$1004:$AQ$1004,1,MATCH(COLUMNS($AB$1006:AJ1006),$AB$1006:$AQ$1006,0)))),"Fix")))</f>
        <v>0</v>
      </c>
      <c r="K652" s="5">
        <f>IF(OR(INDEX($V$2:$V$1001,MATCH(ROWS($U$2:U652),$U$2:$U$1001,0),1)&gt;=100000,INDEX($AB$1005:$AQ$1005,1,MATCH(COLUMNS($AB$1006:AK1006),$AB$1006:$AQ$1006,0))&gt;=100000), " ",IF(INDEX($AB$2:$AQ$1001,MATCH(ROWS($U$2:U652),$U$2:$U$1001,0),MATCH(COLUMNS($AB$1006:AK1006),$AB$1006:$AQ$1006,0)), HYPERLINK("#",""), HYPERLINK(CONCATENATE("#Metadata!", ADDRESS(INDEX($W$2:$W$1001,MATCH(ROWS($U$2:U652),$U$2:$U$1001,0),0), INDEX($AB$1004:$AQ$1004,1,MATCH(COLUMNS($AB$1006:AK1006),$AB$1006:$AQ$1006,0)))),"Fix")))</f>
        <v>0</v>
      </c>
      <c r="L652" s="5">
        <f>IF(OR(INDEX($V$2:$V$1001,MATCH(ROWS($U$2:U652),$U$2:$U$1001,0),1)&gt;=100000,INDEX($AB$1005:$AQ$1005,1,MATCH(COLUMNS($AB$1006:AL1006),$AB$1006:$AQ$1006,0))&gt;=100000), " ",IF(INDEX($AB$2:$AQ$1001,MATCH(ROWS($U$2:U652),$U$2:$U$1001,0),MATCH(COLUMNS($AB$1006:AL1006),$AB$1006:$AQ$1006,0)), HYPERLINK("#",""), HYPERLINK(CONCATENATE("#Metadata!", ADDRESS(INDEX($W$2:$W$1001,MATCH(ROWS($U$2:U652),$U$2:$U$1001,0),0), INDEX($AB$1004:$AQ$1004,1,MATCH(COLUMNS($AB$1006:AL1006),$AB$1006:$AQ$1006,0)))),"Fix")))</f>
        <v>0</v>
      </c>
      <c r="M652" s="5">
        <f>IF(OR(INDEX($V$2:$V$1001,MATCH(ROWS($U$2:U652),$U$2:$U$1001,0),1)&gt;=100000,INDEX($AB$1005:$AQ$1005,1,MATCH(COLUMNS($AB$1006:AM1006),$AB$1006:$AQ$1006,0))&gt;=100000), " ",IF(INDEX($AB$2:$AQ$1001,MATCH(ROWS($U$2:U652),$U$2:$U$1001,0),MATCH(COLUMNS($AB$1006:AM1006),$AB$1006:$AQ$1006,0)), HYPERLINK("#",""), HYPERLINK(CONCATENATE("#Metadata!", ADDRESS(INDEX($W$2:$W$1001,MATCH(ROWS($U$2:U652),$U$2:$U$1001,0),0), INDEX($AB$1004:$AQ$1004,1,MATCH(COLUMNS($AB$1006:AM1006),$AB$1006:$AQ$1006,0)))),"Fix")))</f>
        <v>0</v>
      </c>
      <c r="N652" s="5">
        <f>IF(OR(INDEX($V$2:$V$1001,MATCH(ROWS($U$2:U652),$U$2:$U$1001,0),1)&gt;=100000,INDEX($AB$1005:$AQ$1005,1,MATCH(COLUMNS($AB$1006:AN1006),$AB$1006:$AQ$1006,0))&gt;=100000), " ",IF(INDEX($AB$2:$AQ$1001,MATCH(ROWS($U$2:U652),$U$2:$U$1001,0),MATCH(COLUMNS($AB$1006:AN1006),$AB$1006:$AQ$1006,0)), HYPERLINK("#",""), HYPERLINK(CONCATENATE("#Metadata!", ADDRESS(INDEX($W$2:$W$1001,MATCH(ROWS($U$2:U652),$U$2:$U$1001,0),0), INDEX($AB$1004:$AQ$1004,1,MATCH(COLUMNS($AB$1006:AN1006),$AB$1006:$AQ$1006,0)))),"Fix")))</f>
        <v>0</v>
      </c>
      <c r="O652" s="5">
        <f>IF(OR(INDEX($V$2:$V$1001,MATCH(ROWS($U$2:U652),$U$2:$U$1001,0),1)&gt;=100000,INDEX($AB$1005:$AQ$1005,1,MATCH(COLUMNS($AB$1006:AO1006),$AB$1006:$AQ$1006,0))&gt;=100000), " ",IF(INDEX($AB$2:$AQ$1001,MATCH(ROWS($U$2:U652),$U$2:$U$1001,0),MATCH(COLUMNS($AB$1006:AO1006),$AB$1006:$AQ$1006,0)), HYPERLINK("#",""), HYPERLINK(CONCATENATE("#Metadata!", ADDRESS(INDEX($W$2:$W$1001,MATCH(ROWS($U$2:U652),$U$2:$U$1001,0),0), INDEX($AB$1004:$AQ$1004,1,MATCH(COLUMNS($AB$1006:AO1006),$AB$1006:$AQ$1006,0)))),"Fix")))</f>
        <v>0</v>
      </c>
      <c r="P652" s="5">
        <f>IF(OR(INDEX($V$2:$V$1001,MATCH(ROWS($U$2:U652),$U$2:$U$1001,0),1)&gt;=100000,INDEX($AB$1005:$AQ$1005,1,MATCH(COLUMNS($AB$1006:AP1006),$AB$1006:$AQ$1006,0))&gt;=100000), " ",IF(INDEX($AB$2:$AQ$1001,MATCH(ROWS($U$2:U652),$U$2:$U$1001,0),MATCH(COLUMNS($AB$1006:AP1006),$AB$1006:$AQ$1006,0)), HYPERLINK("#",""), HYPERLINK(CONCATENATE("#Metadata!", ADDRESS(INDEX($W$2:$W$1001,MATCH(ROWS($U$2:U652),$U$2:$U$1001,0),0), INDEX($AB$1004:$AQ$1004,1,MATCH(COLUMNS($AB$1006:AP1006),$AB$1006:$AQ$1006,0)))),"Fix")))</f>
        <v>0</v>
      </c>
      <c r="Q652" s="5">
        <f>IF(OR(INDEX($V$2:$V$1001,MATCH(ROWS($U$2:U652),$U$2:$U$1001,0),1)&gt;=100000,INDEX($AB$1005:$AQ$1005,1,MATCH(COLUMNS($AB$1006:AQ1006),$AB$1006:$AQ$1006,0))&gt;=100000), " ",IF(INDEX($AB$2:$AQ$1001,MATCH(ROWS($U$2:U652),$U$2:$U$1001,0),MATCH(COLUMNS($AB$1006:AQ1006),$AB$1006:$AQ$1006,0)), HYPERLINK("#",""), HYPERLINK(CONCATENATE("#Metadata!", ADDRESS(INDEX($W$2:$W$1001,MATCH(ROWS($U$2:U652),$U$2:$U$1001,0),0), INDEX($AB$1004:$AQ$1004,1,MATCH(COLUMNS($AB$1006:AQ1006),$AB$1006:$AQ$1006,0)))),"Fix")))</f>
        <v>0</v>
      </c>
      <c r="U652">
        <v>0</v>
      </c>
      <c r="V652">
        <v>0</v>
      </c>
      <c r="W652">
        <v>0</v>
      </c>
      <c r="X652">
        <f>IF(Y652,TRUE,AND(AB652:AQ652))</f>
        <v>0</v>
      </c>
      <c r="Y652">
        <f>COUNTBLANK(Metadata!B652:Q652)=COLUMNS(Metadata!B652:Q652)</f>
        <v>0</v>
      </c>
      <c r="Z652">
        <v>0</v>
      </c>
      <c r="AB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AC652">
        <f>AND(IF(Metadata!C652="",FALSE,TRUE),exact(Metadata!C652,"urban biome"))</f>
        <v>0</v>
      </c>
      <c r="AD652">
        <f>AND(IF(Metadata!D652="",FALSE,TRUE),exact(Metadata!D652,"human-associated habitat"))</f>
        <v>0</v>
      </c>
      <c r="AE652">
        <f>AND(IF(Metadata!E652="",FALSE,TRUE),OR(exact(Metadata!E652,"human-associated"),exact(Metadata!E652,"human-skin"),exact(Metadata!E652,"human-oral"),exact(Metadata!E652,"human-gut"),exact(Metadata!E652,"human-vaginal")))</f>
        <v>0</v>
      </c>
      <c r="AF652">
        <f>AND(IF(Metadata!F652="",FALSE,ISNUMBER(VALUE(Metadata!F652))),Metadata!F652&gt;0)</f>
        <v>0</v>
      </c>
      <c r="AG652">
        <f>AND(IF(Metadata!G652="",FALSE,TRUE),exact(Metadata!G652,"years"))</f>
        <v>0</v>
      </c>
      <c r="AH652">
        <f>OR(AND(IF(Metadata!H652="",FALSE,TRUE),OR(exact(Metadata!H652,"not applicable"),exact(Metadata!H652,"not collected"),exact(Metadata!H652,"not provided"),exact(Metadata!H652,"restricted access"))),AND(IF(Metadata!H652="",FALSE,ISNUMBER(VALUE(Metadata!H652))),Metadata!H652&gt;0))</f>
        <v>0</v>
      </c>
      <c r="AI652">
        <f>AND(IF(Metadata!I652="",FALSE,TRUE),exact(Metadata!I652,"human"))</f>
        <v>0</v>
      </c>
      <c r="AJ652">
        <f>AND(IF(Metadata!J652="",FALSE,ISNUMBER(VALUE(Metadata!J652))),Metadata!J652&gt;0)</f>
        <v>0</v>
      </c>
      <c r="AK652">
        <f>AND(IF(Metadata!K652="",FALSE,TRUE),exact(Metadata!K652,"cm"))</f>
        <v>0</v>
      </c>
      <c r="AL652">
        <f>AND(IF(Metadata!L652="",FALSE,TRUE),exact(Metadata!L652,"Homo sapiens"))</f>
        <v>0</v>
      </c>
      <c r="AM652">
        <f>AND(IF(Metadata!M652="",FALSE,TRUE),exact(Metadata!M652,"9606"))</f>
        <v>0</v>
      </c>
      <c r="AN652">
        <f>AND(IF(Metadata!N652="",FALSE,ISNUMBER(VALUE(Metadata!N652))),Metadata!N652&gt;0)</f>
        <v>0</v>
      </c>
      <c r="AO652">
        <f>AND(IF(Metadata!O652="",FALSE,TRUE),exact(Metadata!O652,"kg"))</f>
        <v>0</v>
      </c>
      <c r="AP652">
        <f>OR(AND(IF(Metadata!P652="",FALSE,TRUE),exact(Metadata!P652,"not provided")),IF(Metadata!P652="",FALSE,TRUE))</f>
        <v>0</v>
      </c>
      <c r="AQ652">
        <f>OR(AND(IF(Metadata!Q652="",FALSE,TRUE),exact(Metadata!Q652,"not provided")),IF(Metadata!Q652="",FALSE,TRUE))</f>
        <v>0</v>
      </c>
    </row>
    <row r="653" spans="1:43">
      <c r="A653" s="4">
        <f>IF(B653=" "," ",HYPERLINK(CONCATENATE("#metadata!",ADDRESS(INDEX($W$2:$W$1001,MATCH(ROWS($U$2:U653),$U$2:$U$1001,0),0),2)),INDEX($Z$2:$Z$1001,MATCH(ROWS($U$2:U653),$U$2:$U$1001,0),0)))</f>
        <v>0</v>
      </c>
      <c r="B653" s="5">
        <f>IF(OR(INDEX($V$2:$V$1001,MATCH(ROWS($U$2:U653),$U$2:$U$1001,0),1)&gt;=100000,INDEX($AB$1005:$AQ$1005,1,MATCH(COLUMNS($AB$1006:AB1006),$AB$1006:$AQ$1006,0))&gt;=100000), " ",IF(INDEX($AB$2:$AQ$1001,MATCH(ROWS($U$2:U653),$U$2:$U$1001,0),MATCH(COLUMNS($AB$1006:AB1006),$AB$1006:$AQ$1006,0)), HYPERLINK("#",""), HYPERLINK(CONCATENATE("#Metadata!", ADDRESS(INDEX($W$2:$W$1001,MATCH(ROWS($U$2:U653),$U$2:$U$1001,0),0), INDEX($AB$1004:$AQ$1004,1,MATCH(COLUMNS($AB$1006:AB1006),$AB$1006:$AQ$1006,0)))),"Fix")))</f>
        <v>0</v>
      </c>
      <c r="C653" s="5">
        <f>IF(OR(INDEX($V$2:$V$1001,MATCH(ROWS($U$2:U653),$U$2:$U$1001,0),1)&gt;=100000,INDEX($AB$1005:$AQ$1005,1,MATCH(COLUMNS($AB$1006:AC1006),$AB$1006:$AQ$1006,0))&gt;=100000), " ",IF(INDEX($AB$2:$AQ$1001,MATCH(ROWS($U$2:U653),$U$2:$U$1001,0),MATCH(COLUMNS($AB$1006:AC1006),$AB$1006:$AQ$1006,0)), HYPERLINK("#",""), HYPERLINK(CONCATENATE("#Metadata!", ADDRESS(INDEX($W$2:$W$1001,MATCH(ROWS($U$2:U653),$U$2:$U$1001,0),0), INDEX($AB$1004:$AQ$1004,1,MATCH(COLUMNS($AB$1006:AC1006),$AB$1006:$AQ$1006,0)))),"Fix")))</f>
        <v>0</v>
      </c>
      <c r="D653" s="5">
        <f>IF(OR(INDEX($V$2:$V$1001,MATCH(ROWS($U$2:U653),$U$2:$U$1001,0),1)&gt;=100000,INDEX($AB$1005:$AQ$1005,1,MATCH(COLUMNS($AB$1006:AD1006),$AB$1006:$AQ$1006,0))&gt;=100000), " ",IF(INDEX($AB$2:$AQ$1001,MATCH(ROWS($U$2:U653),$U$2:$U$1001,0),MATCH(COLUMNS($AB$1006:AD1006),$AB$1006:$AQ$1006,0)), HYPERLINK("#",""), HYPERLINK(CONCATENATE("#Metadata!", ADDRESS(INDEX($W$2:$W$1001,MATCH(ROWS($U$2:U653),$U$2:$U$1001,0),0), INDEX($AB$1004:$AQ$1004,1,MATCH(COLUMNS($AB$1006:AD1006),$AB$1006:$AQ$1006,0)))),"Fix")))</f>
        <v>0</v>
      </c>
      <c r="E653" s="5">
        <f>IF(OR(INDEX($V$2:$V$1001,MATCH(ROWS($U$2:U653),$U$2:$U$1001,0),1)&gt;=100000,INDEX($AB$1005:$AQ$1005,1,MATCH(COLUMNS($AB$1006:AE1006),$AB$1006:$AQ$1006,0))&gt;=100000), " ",IF(INDEX($AB$2:$AQ$1001,MATCH(ROWS($U$2:U653),$U$2:$U$1001,0),MATCH(COLUMNS($AB$1006:AE1006),$AB$1006:$AQ$1006,0)), HYPERLINK("#",""), HYPERLINK(CONCATENATE("#Metadata!", ADDRESS(INDEX($W$2:$W$1001,MATCH(ROWS($U$2:U653),$U$2:$U$1001,0),0), INDEX($AB$1004:$AQ$1004,1,MATCH(COLUMNS($AB$1006:AE1006),$AB$1006:$AQ$1006,0)))),"Fix")))</f>
        <v>0</v>
      </c>
      <c r="F653" s="5">
        <f>IF(OR(INDEX($V$2:$V$1001,MATCH(ROWS($U$2:U653),$U$2:$U$1001,0),1)&gt;=100000,INDEX($AB$1005:$AQ$1005,1,MATCH(COLUMNS($AB$1006:AF1006),$AB$1006:$AQ$1006,0))&gt;=100000), " ",IF(INDEX($AB$2:$AQ$1001,MATCH(ROWS($U$2:U653),$U$2:$U$1001,0),MATCH(COLUMNS($AB$1006:AF1006),$AB$1006:$AQ$1006,0)), HYPERLINK("#",""), HYPERLINK(CONCATENATE("#Metadata!", ADDRESS(INDEX($W$2:$W$1001,MATCH(ROWS($U$2:U653),$U$2:$U$1001,0),0), INDEX($AB$1004:$AQ$1004,1,MATCH(COLUMNS($AB$1006:AF1006),$AB$1006:$AQ$1006,0)))),"Fix")))</f>
        <v>0</v>
      </c>
      <c r="G653" s="5">
        <f>IF(OR(INDEX($V$2:$V$1001,MATCH(ROWS($U$2:U653),$U$2:$U$1001,0),1)&gt;=100000,INDEX($AB$1005:$AQ$1005,1,MATCH(COLUMNS($AB$1006:AG1006),$AB$1006:$AQ$1006,0))&gt;=100000), " ",IF(INDEX($AB$2:$AQ$1001,MATCH(ROWS($U$2:U653),$U$2:$U$1001,0),MATCH(COLUMNS($AB$1006:AG1006),$AB$1006:$AQ$1006,0)), HYPERLINK("#",""), HYPERLINK(CONCATENATE("#Metadata!", ADDRESS(INDEX($W$2:$W$1001,MATCH(ROWS($U$2:U653),$U$2:$U$1001,0),0), INDEX($AB$1004:$AQ$1004,1,MATCH(COLUMNS($AB$1006:AG1006),$AB$1006:$AQ$1006,0)))),"Fix")))</f>
        <v>0</v>
      </c>
      <c r="H653" s="5">
        <f>IF(OR(INDEX($V$2:$V$1001,MATCH(ROWS($U$2:U653),$U$2:$U$1001,0),1)&gt;=100000,INDEX($AB$1005:$AQ$1005,1,MATCH(COLUMNS($AB$1006:AH1006),$AB$1006:$AQ$1006,0))&gt;=100000), " ",IF(INDEX($AB$2:$AQ$1001,MATCH(ROWS($U$2:U653),$U$2:$U$1001,0),MATCH(COLUMNS($AB$1006:AH1006),$AB$1006:$AQ$1006,0)), HYPERLINK("#",""), HYPERLINK(CONCATENATE("#Metadata!", ADDRESS(INDEX($W$2:$W$1001,MATCH(ROWS($U$2:U653),$U$2:$U$1001,0),0), INDEX($AB$1004:$AQ$1004,1,MATCH(COLUMNS($AB$1006:AH1006),$AB$1006:$AQ$1006,0)))),"Fix")))</f>
        <v>0</v>
      </c>
      <c r="I653" s="5">
        <f>IF(OR(INDEX($V$2:$V$1001,MATCH(ROWS($U$2:U653),$U$2:$U$1001,0),1)&gt;=100000,INDEX($AB$1005:$AQ$1005,1,MATCH(COLUMNS($AB$1006:AI1006),$AB$1006:$AQ$1006,0))&gt;=100000), " ",IF(INDEX($AB$2:$AQ$1001,MATCH(ROWS($U$2:U653),$U$2:$U$1001,0),MATCH(COLUMNS($AB$1006:AI1006),$AB$1006:$AQ$1006,0)), HYPERLINK("#",""), HYPERLINK(CONCATENATE("#Metadata!", ADDRESS(INDEX($W$2:$W$1001,MATCH(ROWS($U$2:U653),$U$2:$U$1001,0),0), INDEX($AB$1004:$AQ$1004,1,MATCH(COLUMNS($AB$1006:AI1006),$AB$1006:$AQ$1006,0)))),"Fix")))</f>
        <v>0</v>
      </c>
      <c r="J653" s="5">
        <f>IF(OR(INDEX($V$2:$V$1001,MATCH(ROWS($U$2:U653),$U$2:$U$1001,0),1)&gt;=100000,INDEX($AB$1005:$AQ$1005,1,MATCH(COLUMNS($AB$1006:AJ1006),$AB$1006:$AQ$1006,0))&gt;=100000), " ",IF(INDEX($AB$2:$AQ$1001,MATCH(ROWS($U$2:U653),$U$2:$U$1001,0),MATCH(COLUMNS($AB$1006:AJ1006),$AB$1006:$AQ$1006,0)), HYPERLINK("#",""), HYPERLINK(CONCATENATE("#Metadata!", ADDRESS(INDEX($W$2:$W$1001,MATCH(ROWS($U$2:U653),$U$2:$U$1001,0),0), INDEX($AB$1004:$AQ$1004,1,MATCH(COLUMNS($AB$1006:AJ1006),$AB$1006:$AQ$1006,0)))),"Fix")))</f>
        <v>0</v>
      </c>
      <c r="K653" s="5">
        <f>IF(OR(INDEX($V$2:$V$1001,MATCH(ROWS($U$2:U653),$U$2:$U$1001,0),1)&gt;=100000,INDEX($AB$1005:$AQ$1005,1,MATCH(COLUMNS($AB$1006:AK1006),$AB$1006:$AQ$1006,0))&gt;=100000), " ",IF(INDEX($AB$2:$AQ$1001,MATCH(ROWS($U$2:U653),$U$2:$U$1001,0),MATCH(COLUMNS($AB$1006:AK1006),$AB$1006:$AQ$1006,0)), HYPERLINK("#",""), HYPERLINK(CONCATENATE("#Metadata!", ADDRESS(INDEX($W$2:$W$1001,MATCH(ROWS($U$2:U653),$U$2:$U$1001,0),0), INDEX($AB$1004:$AQ$1004,1,MATCH(COLUMNS($AB$1006:AK1006),$AB$1006:$AQ$1006,0)))),"Fix")))</f>
        <v>0</v>
      </c>
      <c r="L653" s="5">
        <f>IF(OR(INDEX($V$2:$V$1001,MATCH(ROWS($U$2:U653),$U$2:$U$1001,0),1)&gt;=100000,INDEX($AB$1005:$AQ$1005,1,MATCH(COLUMNS($AB$1006:AL1006),$AB$1006:$AQ$1006,0))&gt;=100000), " ",IF(INDEX($AB$2:$AQ$1001,MATCH(ROWS($U$2:U653),$U$2:$U$1001,0),MATCH(COLUMNS($AB$1006:AL1006),$AB$1006:$AQ$1006,0)), HYPERLINK("#",""), HYPERLINK(CONCATENATE("#Metadata!", ADDRESS(INDEX($W$2:$W$1001,MATCH(ROWS($U$2:U653),$U$2:$U$1001,0),0), INDEX($AB$1004:$AQ$1004,1,MATCH(COLUMNS($AB$1006:AL1006),$AB$1006:$AQ$1006,0)))),"Fix")))</f>
        <v>0</v>
      </c>
      <c r="M653" s="5">
        <f>IF(OR(INDEX($V$2:$V$1001,MATCH(ROWS($U$2:U653),$U$2:$U$1001,0),1)&gt;=100000,INDEX($AB$1005:$AQ$1005,1,MATCH(COLUMNS($AB$1006:AM1006),$AB$1006:$AQ$1006,0))&gt;=100000), " ",IF(INDEX($AB$2:$AQ$1001,MATCH(ROWS($U$2:U653),$U$2:$U$1001,0),MATCH(COLUMNS($AB$1006:AM1006),$AB$1006:$AQ$1006,0)), HYPERLINK("#",""), HYPERLINK(CONCATENATE("#Metadata!", ADDRESS(INDEX($W$2:$W$1001,MATCH(ROWS($U$2:U653),$U$2:$U$1001,0),0), INDEX($AB$1004:$AQ$1004,1,MATCH(COLUMNS($AB$1006:AM1006),$AB$1006:$AQ$1006,0)))),"Fix")))</f>
        <v>0</v>
      </c>
      <c r="N653" s="5">
        <f>IF(OR(INDEX($V$2:$V$1001,MATCH(ROWS($U$2:U653),$U$2:$U$1001,0),1)&gt;=100000,INDEX($AB$1005:$AQ$1005,1,MATCH(COLUMNS($AB$1006:AN1006),$AB$1006:$AQ$1006,0))&gt;=100000), " ",IF(INDEX($AB$2:$AQ$1001,MATCH(ROWS($U$2:U653),$U$2:$U$1001,0),MATCH(COLUMNS($AB$1006:AN1006),$AB$1006:$AQ$1006,0)), HYPERLINK("#",""), HYPERLINK(CONCATENATE("#Metadata!", ADDRESS(INDEX($W$2:$W$1001,MATCH(ROWS($U$2:U653),$U$2:$U$1001,0),0), INDEX($AB$1004:$AQ$1004,1,MATCH(COLUMNS($AB$1006:AN1006),$AB$1006:$AQ$1006,0)))),"Fix")))</f>
        <v>0</v>
      </c>
      <c r="O653" s="5">
        <f>IF(OR(INDEX($V$2:$V$1001,MATCH(ROWS($U$2:U653),$U$2:$U$1001,0),1)&gt;=100000,INDEX($AB$1005:$AQ$1005,1,MATCH(COLUMNS($AB$1006:AO1006),$AB$1006:$AQ$1006,0))&gt;=100000), " ",IF(INDEX($AB$2:$AQ$1001,MATCH(ROWS($U$2:U653),$U$2:$U$1001,0),MATCH(COLUMNS($AB$1006:AO1006),$AB$1006:$AQ$1006,0)), HYPERLINK("#",""), HYPERLINK(CONCATENATE("#Metadata!", ADDRESS(INDEX($W$2:$W$1001,MATCH(ROWS($U$2:U653),$U$2:$U$1001,0),0), INDEX($AB$1004:$AQ$1004,1,MATCH(COLUMNS($AB$1006:AO1006),$AB$1006:$AQ$1006,0)))),"Fix")))</f>
        <v>0</v>
      </c>
      <c r="P653" s="5">
        <f>IF(OR(INDEX($V$2:$V$1001,MATCH(ROWS($U$2:U653),$U$2:$U$1001,0),1)&gt;=100000,INDEX($AB$1005:$AQ$1005,1,MATCH(COLUMNS($AB$1006:AP1006),$AB$1006:$AQ$1006,0))&gt;=100000), " ",IF(INDEX($AB$2:$AQ$1001,MATCH(ROWS($U$2:U653),$U$2:$U$1001,0),MATCH(COLUMNS($AB$1006:AP1006),$AB$1006:$AQ$1006,0)), HYPERLINK("#",""), HYPERLINK(CONCATENATE("#Metadata!", ADDRESS(INDEX($W$2:$W$1001,MATCH(ROWS($U$2:U653),$U$2:$U$1001,0),0), INDEX($AB$1004:$AQ$1004,1,MATCH(COLUMNS($AB$1006:AP1006),$AB$1006:$AQ$1006,0)))),"Fix")))</f>
        <v>0</v>
      </c>
      <c r="Q653" s="5">
        <f>IF(OR(INDEX($V$2:$V$1001,MATCH(ROWS($U$2:U653),$U$2:$U$1001,0),1)&gt;=100000,INDEX($AB$1005:$AQ$1005,1,MATCH(COLUMNS($AB$1006:AQ1006),$AB$1006:$AQ$1006,0))&gt;=100000), " ",IF(INDEX($AB$2:$AQ$1001,MATCH(ROWS($U$2:U653),$U$2:$U$1001,0),MATCH(COLUMNS($AB$1006:AQ1006),$AB$1006:$AQ$1006,0)), HYPERLINK("#",""), HYPERLINK(CONCATENATE("#Metadata!", ADDRESS(INDEX($W$2:$W$1001,MATCH(ROWS($U$2:U653),$U$2:$U$1001,0),0), INDEX($AB$1004:$AQ$1004,1,MATCH(COLUMNS($AB$1006:AQ1006),$AB$1006:$AQ$1006,0)))),"Fix")))</f>
        <v>0</v>
      </c>
      <c r="U653">
        <v>0</v>
      </c>
      <c r="V653">
        <v>0</v>
      </c>
      <c r="W653">
        <v>0</v>
      </c>
      <c r="X653">
        <f>IF(Y653,TRUE,AND(AB653:AQ653))</f>
        <v>0</v>
      </c>
      <c r="Y653">
        <f>COUNTBLANK(Metadata!B653:Q653)=COLUMNS(Metadata!B653:Q653)</f>
        <v>0</v>
      </c>
      <c r="Z653">
        <v>0</v>
      </c>
      <c r="AB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AC653">
        <f>AND(IF(Metadata!C653="",FALSE,TRUE),exact(Metadata!C653,"urban biome"))</f>
        <v>0</v>
      </c>
      <c r="AD653">
        <f>AND(IF(Metadata!D653="",FALSE,TRUE),exact(Metadata!D653,"human-associated habitat"))</f>
        <v>0</v>
      </c>
      <c r="AE653">
        <f>AND(IF(Metadata!E653="",FALSE,TRUE),OR(exact(Metadata!E653,"human-associated"),exact(Metadata!E653,"human-skin"),exact(Metadata!E653,"human-oral"),exact(Metadata!E653,"human-gut"),exact(Metadata!E653,"human-vaginal")))</f>
        <v>0</v>
      </c>
      <c r="AF653">
        <f>AND(IF(Metadata!F653="",FALSE,ISNUMBER(VALUE(Metadata!F653))),Metadata!F653&gt;0)</f>
        <v>0</v>
      </c>
      <c r="AG653">
        <f>AND(IF(Metadata!G653="",FALSE,TRUE),exact(Metadata!G653,"years"))</f>
        <v>0</v>
      </c>
      <c r="AH653">
        <f>OR(AND(IF(Metadata!H653="",FALSE,TRUE),OR(exact(Metadata!H653,"not applicable"),exact(Metadata!H653,"not collected"),exact(Metadata!H653,"not provided"),exact(Metadata!H653,"restricted access"))),AND(IF(Metadata!H653="",FALSE,ISNUMBER(VALUE(Metadata!H653))),Metadata!H653&gt;0))</f>
        <v>0</v>
      </c>
      <c r="AI653">
        <f>AND(IF(Metadata!I653="",FALSE,TRUE),exact(Metadata!I653,"human"))</f>
        <v>0</v>
      </c>
      <c r="AJ653">
        <f>AND(IF(Metadata!J653="",FALSE,ISNUMBER(VALUE(Metadata!J653))),Metadata!J653&gt;0)</f>
        <v>0</v>
      </c>
      <c r="AK653">
        <f>AND(IF(Metadata!K653="",FALSE,TRUE),exact(Metadata!K653,"cm"))</f>
        <v>0</v>
      </c>
      <c r="AL653">
        <f>AND(IF(Metadata!L653="",FALSE,TRUE),exact(Metadata!L653,"Homo sapiens"))</f>
        <v>0</v>
      </c>
      <c r="AM653">
        <f>AND(IF(Metadata!M653="",FALSE,TRUE),exact(Metadata!M653,"9606"))</f>
        <v>0</v>
      </c>
      <c r="AN653">
        <f>AND(IF(Metadata!N653="",FALSE,ISNUMBER(VALUE(Metadata!N653))),Metadata!N653&gt;0)</f>
        <v>0</v>
      </c>
      <c r="AO653">
        <f>AND(IF(Metadata!O653="",FALSE,TRUE),exact(Metadata!O653,"kg"))</f>
        <v>0</v>
      </c>
      <c r="AP653">
        <f>OR(AND(IF(Metadata!P653="",FALSE,TRUE),exact(Metadata!P653,"not provided")),IF(Metadata!P653="",FALSE,TRUE))</f>
        <v>0</v>
      </c>
      <c r="AQ653">
        <f>OR(AND(IF(Metadata!Q653="",FALSE,TRUE),exact(Metadata!Q653,"not provided")),IF(Metadata!Q653="",FALSE,TRUE))</f>
        <v>0</v>
      </c>
    </row>
    <row r="654" spans="1:43">
      <c r="A654" s="4">
        <f>IF(B654=" "," ",HYPERLINK(CONCATENATE("#metadata!",ADDRESS(INDEX($W$2:$W$1001,MATCH(ROWS($U$2:U654),$U$2:$U$1001,0),0),2)),INDEX($Z$2:$Z$1001,MATCH(ROWS($U$2:U654),$U$2:$U$1001,0),0)))</f>
        <v>0</v>
      </c>
      <c r="B654" s="5">
        <f>IF(OR(INDEX($V$2:$V$1001,MATCH(ROWS($U$2:U654),$U$2:$U$1001,0),1)&gt;=100000,INDEX($AB$1005:$AQ$1005,1,MATCH(COLUMNS($AB$1006:AB1006),$AB$1006:$AQ$1006,0))&gt;=100000), " ",IF(INDEX($AB$2:$AQ$1001,MATCH(ROWS($U$2:U654),$U$2:$U$1001,0),MATCH(COLUMNS($AB$1006:AB1006),$AB$1006:$AQ$1006,0)), HYPERLINK("#",""), HYPERLINK(CONCATENATE("#Metadata!", ADDRESS(INDEX($W$2:$W$1001,MATCH(ROWS($U$2:U654),$U$2:$U$1001,0),0), INDEX($AB$1004:$AQ$1004,1,MATCH(COLUMNS($AB$1006:AB1006),$AB$1006:$AQ$1006,0)))),"Fix")))</f>
        <v>0</v>
      </c>
      <c r="C654" s="5">
        <f>IF(OR(INDEX($V$2:$V$1001,MATCH(ROWS($U$2:U654),$U$2:$U$1001,0),1)&gt;=100000,INDEX($AB$1005:$AQ$1005,1,MATCH(COLUMNS($AB$1006:AC1006),$AB$1006:$AQ$1006,0))&gt;=100000), " ",IF(INDEX($AB$2:$AQ$1001,MATCH(ROWS($U$2:U654),$U$2:$U$1001,0),MATCH(COLUMNS($AB$1006:AC1006),$AB$1006:$AQ$1006,0)), HYPERLINK("#",""), HYPERLINK(CONCATENATE("#Metadata!", ADDRESS(INDEX($W$2:$W$1001,MATCH(ROWS($U$2:U654),$U$2:$U$1001,0),0), INDEX($AB$1004:$AQ$1004,1,MATCH(COLUMNS($AB$1006:AC1006),$AB$1006:$AQ$1006,0)))),"Fix")))</f>
        <v>0</v>
      </c>
      <c r="D654" s="5">
        <f>IF(OR(INDEX($V$2:$V$1001,MATCH(ROWS($U$2:U654),$U$2:$U$1001,0),1)&gt;=100000,INDEX($AB$1005:$AQ$1005,1,MATCH(COLUMNS($AB$1006:AD1006),$AB$1006:$AQ$1006,0))&gt;=100000), " ",IF(INDEX($AB$2:$AQ$1001,MATCH(ROWS($U$2:U654),$U$2:$U$1001,0),MATCH(COLUMNS($AB$1006:AD1006),$AB$1006:$AQ$1006,0)), HYPERLINK("#",""), HYPERLINK(CONCATENATE("#Metadata!", ADDRESS(INDEX($W$2:$W$1001,MATCH(ROWS($U$2:U654),$U$2:$U$1001,0),0), INDEX($AB$1004:$AQ$1004,1,MATCH(COLUMNS($AB$1006:AD1006),$AB$1006:$AQ$1006,0)))),"Fix")))</f>
        <v>0</v>
      </c>
      <c r="E654" s="5">
        <f>IF(OR(INDEX($V$2:$V$1001,MATCH(ROWS($U$2:U654),$U$2:$U$1001,0),1)&gt;=100000,INDEX($AB$1005:$AQ$1005,1,MATCH(COLUMNS($AB$1006:AE1006),$AB$1006:$AQ$1006,0))&gt;=100000), " ",IF(INDEX($AB$2:$AQ$1001,MATCH(ROWS($U$2:U654),$U$2:$U$1001,0),MATCH(COLUMNS($AB$1006:AE1006),$AB$1006:$AQ$1006,0)), HYPERLINK("#",""), HYPERLINK(CONCATENATE("#Metadata!", ADDRESS(INDEX($W$2:$W$1001,MATCH(ROWS($U$2:U654),$U$2:$U$1001,0),0), INDEX($AB$1004:$AQ$1004,1,MATCH(COLUMNS($AB$1006:AE1006),$AB$1006:$AQ$1006,0)))),"Fix")))</f>
        <v>0</v>
      </c>
      <c r="F654" s="5">
        <f>IF(OR(INDEX($V$2:$V$1001,MATCH(ROWS($U$2:U654),$U$2:$U$1001,0),1)&gt;=100000,INDEX($AB$1005:$AQ$1005,1,MATCH(COLUMNS($AB$1006:AF1006),$AB$1006:$AQ$1006,0))&gt;=100000), " ",IF(INDEX($AB$2:$AQ$1001,MATCH(ROWS($U$2:U654),$U$2:$U$1001,0),MATCH(COLUMNS($AB$1006:AF1006),$AB$1006:$AQ$1006,0)), HYPERLINK("#",""), HYPERLINK(CONCATENATE("#Metadata!", ADDRESS(INDEX($W$2:$W$1001,MATCH(ROWS($U$2:U654),$U$2:$U$1001,0),0), INDEX($AB$1004:$AQ$1004,1,MATCH(COLUMNS($AB$1006:AF1006),$AB$1006:$AQ$1006,0)))),"Fix")))</f>
        <v>0</v>
      </c>
      <c r="G654" s="5">
        <f>IF(OR(INDEX($V$2:$V$1001,MATCH(ROWS($U$2:U654),$U$2:$U$1001,0),1)&gt;=100000,INDEX($AB$1005:$AQ$1005,1,MATCH(COLUMNS($AB$1006:AG1006),$AB$1006:$AQ$1006,0))&gt;=100000), " ",IF(INDEX($AB$2:$AQ$1001,MATCH(ROWS($U$2:U654),$U$2:$U$1001,0),MATCH(COLUMNS($AB$1006:AG1006),$AB$1006:$AQ$1006,0)), HYPERLINK("#",""), HYPERLINK(CONCATENATE("#Metadata!", ADDRESS(INDEX($W$2:$W$1001,MATCH(ROWS($U$2:U654),$U$2:$U$1001,0),0), INDEX($AB$1004:$AQ$1004,1,MATCH(COLUMNS($AB$1006:AG1006),$AB$1006:$AQ$1006,0)))),"Fix")))</f>
        <v>0</v>
      </c>
      <c r="H654" s="5">
        <f>IF(OR(INDEX($V$2:$V$1001,MATCH(ROWS($U$2:U654),$U$2:$U$1001,0),1)&gt;=100000,INDEX($AB$1005:$AQ$1005,1,MATCH(COLUMNS($AB$1006:AH1006),$AB$1006:$AQ$1006,0))&gt;=100000), " ",IF(INDEX($AB$2:$AQ$1001,MATCH(ROWS($U$2:U654),$U$2:$U$1001,0),MATCH(COLUMNS($AB$1006:AH1006),$AB$1006:$AQ$1006,0)), HYPERLINK("#",""), HYPERLINK(CONCATENATE("#Metadata!", ADDRESS(INDEX($W$2:$W$1001,MATCH(ROWS($U$2:U654),$U$2:$U$1001,0),0), INDEX($AB$1004:$AQ$1004,1,MATCH(COLUMNS($AB$1006:AH1006),$AB$1006:$AQ$1006,0)))),"Fix")))</f>
        <v>0</v>
      </c>
      <c r="I654" s="5">
        <f>IF(OR(INDEX($V$2:$V$1001,MATCH(ROWS($U$2:U654),$U$2:$U$1001,0),1)&gt;=100000,INDEX($AB$1005:$AQ$1005,1,MATCH(COLUMNS($AB$1006:AI1006),$AB$1006:$AQ$1006,0))&gt;=100000), " ",IF(INDEX($AB$2:$AQ$1001,MATCH(ROWS($U$2:U654),$U$2:$U$1001,0),MATCH(COLUMNS($AB$1006:AI1006),$AB$1006:$AQ$1006,0)), HYPERLINK("#",""), HYPERLINK(CONCATENATE("#Metadata!", ADDRESS(INDEX($W$2:$W$1001,MATCH(ROWS($U$2:U654),$U$2:$U$1001,0),0), INDEX($AB$1004:$AQ$1004,1,MATCH(COLUMNS($AB$1006:AI1006),$AB$1006:$AQ$1006,0)))),"Fix")))</f>
        <v>0</v>
      </c>
      <c r="J654" s="5">
        <f>IF(OR(INDEX($V$2:$V$1001,MATCH(ROWS($U$2:U654),$U$2:$U$1001,0),1)&gt;=100000,INDEX($AB$1005:$AQ$1005,1,MATCH(COLUMNS($AB$1006:AJ1006),$AB$1006:$AQ$1006,0))&gt;=100000), " ",IF(INDEX($AB$2:$AQ$1001,MATCH(ROWS($U$2:U654),$U$2:$U$1001,0),MATCH(COLUMNS($AB$1006:AJ1006),$AB$1006:$AQ$1006,0)), HYPERLINK("#",""), HYPERLINK(CONCATENATE("#Metadata!", ADDRESS(INDEX($W$2:$W$1001,MATCH(ROWS($U$2:U654),$U$2:$U$1001,0),0), INDEX($AB$1004:$AQ$1004,1,MATCH(COLUMNS($AB$1006:AJ1006),$AB$1006:$AQ$1006,0)))),"Fix")))</f>
        <v>0</v>
      </c>
      <c r="K654" s="5">
        <f>IF(OR(INDEX($V$2:$V$1001,MATCH(ROWS($U$2:U654),$U$2:$U$1001,0),1)&gt;=100000,INDEX($AB$1005:$AQ$1005,1,MATCH(COLUMNS($AB$1006:AK1006),$AB$1006:$AQ$1006,0))&gt;=100000), " ",IF(INDEX($AB$2:$AQ$1001,MATCH(ROWS($U$2:U654),$U$2:$U$1001,0),MATCH(COLUMNS($AB$1006:AK1006),$AB$1006:$AQ$1006,0)), HYPERLINK("#",""), HYPERLINK(CONCATENATE("#Metadata!", ADDRESS(INDEX($W$2:$W$1001,MATCH(ROWS($U$2:U654),$U$2:$U$1001,0),0), INDEX($AB$1004:$AQ$1004,1,MATCH(COLUMNS($AB$1006:AK1006),$AB$1006:$AQ$1006,0)))),"Fix")))</f>
        <v>0</v>
      </c>
      <c r="L654" s="5">
        <f>IF(OR(INDEX($V$2:$V$1001,MATCH(ROWS($U$2:U654),$U$2:$U$1001,0),1)&gt;=100000,INDEX($AB$1005:$AQ$1005,1,MATCH(COLUMNS($AB$1006:AL1006),$AB$1006:$AQ$1006,0))&gt;=100000), " ",IF(INDEX($AB$2:$AQ$1001,MATCH(ROWS($U$2:U654),$U$2:$U$1001,0),MATCH(COLUMNS($AB$1006:AL1006),$AB$1006:$AQ$1006,0)), HYPERLINK("#",""), HYPERLINK(CONCATENATE("#Metadata!", ADDRESS(INDEX($W$2:$W$1001,MATCH(ROWS($U$2:U654),$U$2:$U$1001,0),0), INDEX($AB$1004:$AQ$1004,1,MATCH(COLUMNS($AB$1006:AL1006),$AB$1006:$AQ$1006,0)))),"Fix")))</f>
        <v>0</v>
      </c>
      <c r="M654" s="5">
        <f>IF(OR(INDEX($V$2:$V$1001,MATCH(ROWS($U$2:U654),$U$2:$U$1001,0),1)&gt;=100000,INDEX($AB$1005:$AQ$1005,1,MATCH(COLUMNS($AB$1006:AM1006),$AB$1006:$AQ$1006,0))&gt;=100000), " ",IF(INDEX($AB$2:$AQ$1001,MATCH(ROWS($U$2:U654),$U$2:$U$1001,0),MATCH(COLUMNS($AB$1006:AM1006),$AB$1006:$AQ$1006,0)), HYPERLINK("#",""), HYPERLINK(CONCATENATE("#Metadata!", ADDRESS(INDEX($W$2:$W$1001,MATCH(ROWS($U$2:U654),$U$2:$U$1001,0),0), INDEX($AB$1004:$AQ$1004,1,MATCH(COLUMNS($AB$1006:AM1006),$AB$1006:$AQ$1006,0)))),"Fix")))</f>
        <v>0</v>
      </c>
      <c r="N654" s="5">
        <f>IF(OR(INDEX($V$2:$V$1001,MATCH(ROWS($U$2:U654),$U$2:$U$1001,0),1)&gt;=100000,INDEX($AB$1005:$AQ$1005,1,MATCH(COLUMNS($AB$1006:AN1006),$AB$1006:$AQ$1006,0))&gt;=100000), " ",IF(INDEX($AB$2:$AQ$1001,MATCH(ROWS($U$2:U654),$U$2:$U$1001,0),MATCH(COLUMNS($AB$1006:AN1006),$AB$1006:$AQ$1006,0)), HYPERLINK("#",""), HYPERLINK(CONCATENATE("#Metadata!", ADDRESS(INDEX($W$2:$W$1001,MATCH(ROWS($U$2:U654),$U$2:$U$1001,0),0), INDEX($AB$1004:$AQ$1004,1,MATCH(COLUMNS($AB$1006:AN1006),$AB$1006:$AQ$1006,0)))),"Fix")))</f>
        <v>0</v>
      </c>
      <c r="O654" s="5">
        <f>IF(OR(INDEX($V$2:$V$1001,MATCH(ROWS($U$2:U654),$U$2:$U$1001,0),1)&gt;=100000,INDEX($AB$1005:$AQ$1005,1,MATCH(COLUMNS($AB$1006:AO1006),$AB$1006:$AQ$1006,0))&gt;=100000), " ",IF(INDEX($AB$2:$AQ$1001,MATCH(ROWS($U$2:U654),$U$2:$U$1001,0),MATCH(COLUMNS($AB$1006:AO1006),$AB$1006:$AQ$1006,0)), HYPERLINK("#",""), HYPERLINK(CONCATENATE("#Metadata!", ADDRESS(INDEX($W$2:$W$1001,MATCH(ROWS($U$2:U654),$U$2:$U$1001,0),0), INDEX($AB$1004:$AQ$1004,1,MATCH(COLUMNS($AB$1006:AO1006),$AB$1006:$AQ$1006,0)))),"Fix")))</f>
        <v>0</v>
      </c>
      <c r="P654" s="5">
        <f>IF(OR(INDEX($V$2:$V$1001,MATCH(ROWS($U$2:U654),$U$2:$U$1001,0),1)&gt;=100000,INDEX($AB$1005:$AQ$1005,1,MATCH(COLUMNS($AB$1006:AP1006),$AB$1006:$AQ$1006,0))&gt;=100000), " ",IF(INDEX($AB$2:$AQ$1001,MATCH(ROWS($U$2:U654),$U$2:$U$1001,0),MATCH(COLUMNS($AB$1006:AP1006),$AB$1006:$AQ$1006,0)), HYPERLINK("#",""), HYPERLINK(CONCATENATE("#Metadata!", ADDRESS(INDEX($W$2:$W$1001,MATCH(ROWS($U$2:U654),$U$2:$U$1001,0),0), INDEX($AB$1004:$AQ$1004,1,MATCH(COLUMNS($AB$1006:AP1006),$AB$1006:$AQ$1006,0)))),"Fix")))</f>
        <v>0</v>
      </c>
      <c r="Q654" s="5">
        <f>IF(OR(INDEX($V$2:$V$1001,MATCH(ROWS($U$2:U654),$U$2:$U$1001,0),1)&gt;=100000,INDEX($AB$1005:$AQ$1005,1,MATCH(COLUMNS($AB$1006:AQ1006),$AB$1006:$AQ$1006,0))&gt;=100000), " ",IF(INDEX($AB$2:$AQ$1001,MATCH(ROWS($U$2:U654),$U$2:$U$1001,0),MATCH(COLUMNS($AB$1006:AQ1006),$AB$1006:$AQ$1006,0)), HYPERLINK("#",""), HYPERLINK(CONCATENATE("#Metadata!", ADDRESS(INDEX($W$2:$W$1001,MATCH(ROWS($U$2:U654),$U$2:$U$1001,0),0), INDEX($AB$1004:$AQ$1004,1,MATCH(COLUMNS($AB$1006:AQ1006),$AB$1006:$AQ$1006,0)))),"Fix")))</f>
        <v>0</v>
      </c>
      <c r="U654">
        <v>0</v>
      </c>
      <c r="V654">
        <v>0</v>
      </c>
      <c r="W654">
        <v>0</v>
      </c>
      <c r="X654">
        <f>IF(Y654,TRUE,AND(AB654:AQ654))</f>
        <v>0</v>
      </c>
      <c r="Y654">
        <f>COUNTBLANK(Metadata!B654:Q654)=COLUMNS(Metadata!B654:Q654)</f>
        <v>0</v>
      </c>
      <c r="Z654">
        <v>0</v>
      </c>
      <c r="AB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AC654">
        <f>AND(IF(Metadata!C654="",FALSE,TRUE),exact(Metadata!C654,"urban biome"))</f>
        <v>0</v>
      </c>
      <c r="AD654">
        <f>AND(IF(Metadata!D654="",FALSE,TRUE),exact(Metadata!D654,"human-associated habitat"))</f>
        <v>0</v>
      </c>
      <c r="AE654">
        <f>AND(IF(Metadata!E654="",FALSE,TRUE),OR(exact(Metadata!E654,"human-associated"),exact(Metadata!E654,"human-skin"),exact(Metadata!E654,"human-oral"),exact(Metadata!E654,"human-gut"),exact(Metadata!E654,"human-vaginal")))</f>
        <v>0</v>
      </c>
      <c r="AF654">
        <f>AND(IF(Metadata!F654="",FALSE,ISNUMBER(VALUE(Metadata!F654))),Metadata!F654&gt;0)</f>
        <v>0</v>
      </c>
      <c r="AG654">
        <f>AND(IF(Metadata!G654="",FALSE,TRUE),exact(Metadata!G654,"years"))</f>
        <v>0</v>
      </c>
      <c r="AH654">
        <f>OR(AND(IF(Metadata!H654="",FALSE,TRUE),OR(exact(Metadata!H654,"not applicable"),exact(Metadata!H654,"not collected"),exact(Metadata!H654,"not provided"),exact(Metadata!H654,"restricted access"))),AND(IF(Metadata!H654="",FALSE,ISNUMBER(VALUE(Metadata!H654))),Metadata!H654&gt;0))</f>
        <v>0</v>
      </c>
      <c r="AI654">
        <f>AND(IF(Metadata!I654="",FALSE,TRUE),exact(Metadata!I654,"human"))</f>
        <v>0</v>
      </c>
      <c r="AJ654">
        <f>AND(IF(Metadata!J654="",FALSE,ISNUMBER(VALUE(Metadata!J654))),Metadata!J654&gt;0)</f>
        <v>0</v>
      </c>
      <c r="AK654">
        <f>AND(IF(Metadata!K654="",FALSE,TRUE),exact(Metadata!K654,"cm"))</f>
        <v>0</v>
      </c>
      <c r="AL654">
        <f>AND(IF(Metadata!L654="",FALSE,TRUE),exact(Metadata!L654,"Homo sapiens"))</f>
        <v>0</v>
      </c>
      <c r="AM654">
        <f>AND(IF(Metadata!M654="",FALSE,TRUE),exact(Metadata!M654,"9606"))</f>
        <v>0</v>
      </c>
      <c r="AN654">
        <f>AND(IF(Metadata!N654="",FALSE,ISNUMBER(VALUE(Metadata!N654))),Metadata!N654&gt;0)</f>
        <v>0</v>
      </c>
      <c r="AO654">
        <f>AND(IF(Metadata!O654="",FALSE,TRUE),exact(Metadata!O654,"kg"))</f>
        <v>0</v>
      </c>
      <c r="AP654">
        <f>OR(AND(IF(Metadata!P654="",FALSE,TRUE),exact(Metadata!P654,"not provided")),IF(Metadata!P654="",FALSE,TRUE))</f>
        <v>0</v>
      </c>
      <c r="AQ654">
        <f>OR(AND(IF(Metadata!Q654="",FALSE,TRUE),exact(Metadata!Q654,"not provided")),IF(Metadata!Q654="",FALSE,TRUE))</f>
        <v>0</v>
      </c>
    </row>
    <row r="655" spans="1:43">
      <c r="A655" s="4">
        <f>IF(B655=" "," ",HYPERLINK(CONCATENATE("#metadata!",ADDRESS(INDEX($W$2:$W$1001,MATCH(ROWS($U$2:U655),$U$2:$U$1001,0),0),2)),INDEX($Z$2:$Z$1001,MATCH(ROWS($U$2:U655),$U$2:$U$1001,0),0)))</f>
        <v>0</v>
      </c>
      <c r="B655" s="5">
        <f>IF(OR(INDEX($V$2:$V$1001,MATCH(ROWS($U$2:U655),$U$2:$U$1001,0),1)&gt;=100000,INDEX($AB$1005:$AQ$1005,1,MATCH(COLUMNS($AB$1006:AB1006),$AB$1006:$AQ$1006,0))&gt;=100000), " ",IF(INDEX($AB$2:$AQ$1001,MATCH(ROWS($U$2:U655),$U$2:$U$1001,0),MATCH(COLUMNS($AB$1006:AB1006),$AB$1006:$AQ$1006,0)), HYPERLINK("#",""), HYPERLINK(CONCATENATE("#Metadata!", ADDRESS(INDEX($W$2:$W$1001,MATCH(ROWS($U$2:U655),$U$2:$U$1001,0),0), INDEX($AB$1004:$AQ$1004,1,MATCH(COLUMNS($AB$1006:AB1006),$AB$1006:$AQ$1006,0)))),"Fix")))</f>
        <v>0</v>
      </c>
      <c r="C655" s="5">
        <f>IF(OR(INDEX($V$2:$V$1001,MATCH(ROWS($U$2:U655),$U$2:$U$1001,0),1)&gt;=100000,INDEX($AB$1005:$AQ$1005,1,MATCH(COLUMNS($AB$1006:AC1006),$AB$1006:$AQ$1006,0))&gt;=100000), " ",IF(INDEX($AB$2:$AQ$1001,MATCH(ROWS($U$2:U655),$U$2:$U$1001,0),MATCH(COLUMNS($AB$1006:AC1006),$AB$1006:$AQ$1006,0)), HYPERLINK("#",""), HYPERLINK(CONCATENATE("#Metadata!", ADDRESS(INDEX($W$2:$W$1001,MATCH(ROWS($U$2:U655),$U$2:$U$1001,0),0), INDEX($AB$1004:$AQ$1004,1,MATCH(COLUMNS($AB$1006:AC1006),$AB$1006:$AQ$1006,0)))),"Fix")))</f>
        <v>0</v>
      </c>
      <c r="D655" s="5">
        <f>IF(OR(INDEX($V$2:$V$1001,MATCH(ROWS($U$2:U655),$U$2:$U$1001,0),1)&gt;=100000,INDEX($AB$1005:$AQ$1005,1,MATCH(COLUMNS($AB$1006:AD1006),$AB$1006:$AQ$1006,0))&gt;=100000), " ",IF(INDEX($AB$2:$AQ$1001,MATCH(ROWS($U$2:U655),$U$2:$U$1001,0),MATCH(COLUMNS($AB$1006:AD1006),$AB$1006:$AQ$1006,0)), HYPERLINK("#",""), HYPERLINK(CONCATENATE("#Metadata!", ADDRESS(INDEX($W$2:$W$1001,MATCH(ROWS($U$2:U655),$U$2:$U$1001,0),0), INDEX($AB$1004:$AQ$1004,1,MATCH(COLUMNS($AB$1006:AD1006),$AB$1006:$AQ$1006,0)))),"Fix")))</f>
        <v>0</v>
      </c>
      <c r="E655" s="5">
        <f>IF(OR(INDEX($V$2:$V$1001,MATCH(ROWS($U$2:U655),$U$2:$U$1001,0),1)&gt;=100000,INDEX($AB$1005:$AQ$1005,1,MATCH(COLUMNS($AB$1006:AE1006),$AB$1006:$AQ$1006,0))&gt;=100000), " ",IF(INDEX($AB$2:$AQ$1001,MATCH(ROWS($U$2:U655),$U$2:$U$1001,0),MATCH(COLUMNS($AB$1006:AE1006),$AB$1006:$AQ$1006,0)), HYPERLINK("#",""), HYPERLINK(CONCATENATE("#Metadata!", ADDRESS(INDEX($W$2:$W$1001,MATCH(ROWS($U$2:U655),$U$2:$U$1001,0),0), INDEX($AB$1004:$AQ$1004,1,MATCH(COLUMNS($AB$1006:AE1006),$AB$1006:$AQ$1006,0)))),"Fix")))</f>
        <v>0</v>
      </c>
      <c r="F655" s="5">
        <f>IF(OR(INDEX($V$2:$V$1001,MATCH(ROWS($U$2:U655),$U$2:$U$1001,0),1)&gt;=100000,INDEX($AB$1005:$AQ$1005,1,MATCH(COLUMNS($AB$1006:AF1006),$AB$1006:$AQ$1006,0))&gt;=100000), " ",IF(INDEX($AB$2:$AQ$1001,MATCH(ROWS($U$2:U655),$U$2:$U$1001,0),MATCH(COLUMNS($AB$1006:AF1006),$AB$1006:$AQ$1006,0)), HYPERLINK("#",""), HYPERLINK(CONCATENATE("#Metadata!", ADDRESS(INDEX($W$2:$W$1001,MATCH(ROWS($U$2:U655),$U$2:$U$1001,0),0), INDEX($AB$1004:$AQ$1004,1,MATCH(COLUMNS($AB$1006:AF1006),$AB$1006:$AQ$1006,0)))),"Fix")))</f>
        <v>0</v>
      </c>
      <c r="G655" s="5">
        <f>IF(OR(INDEX($V$2:$V$1001,MATCH(ROWS($U$2:U655),$U$2:$U$1001,0),1)&gt;=100000,INDEX($AB$1005:$AQ$1005,1,MATCH(COLUMNS($AB$1006:AG1006),$AB$1006:$AQ$1006,0))&gt;=100000), " ",IF(INDEX($AB$2:$AQ$1001,MATCH(ROWS($U$2:U655),$U$2:$U$1001,0),MATCH(COLUMNS($AB$1006:AG1006),$AB$1006:$AQ$1006,0)), HYPERLINK("#",""), HYPERLINK(CONCATENATE("#Metadata!", ADDRESS(INDEX($W$2:$W$1001,MATCH(ROWS($U$2:U655),$U$2:$U$1001,0),0), INDEX($AB$1004:$AQ$1004,1,MATCH(COLUMNS($AB$1006:AG1006),$AB$1006:$AQ$1006,0)))),"Fix")))</f>
        <v>0</v>
      </c>
      <c r="H655" s="5">
        <f>IF(OR(INDEX($V$2:$V$1001,MATCH(ROWS($U$2:U655),$U$2:$U$1001,0),1)&gt;=100000,INDEX($AB$1005:$AQ$1005,1,MATCH(COLUMNS($AB$1006:AH1006),$AB$1006:$AQ$1006,0))&gt;=100000), " ",IF(INDEX($AB$2:$AQ$1001,MATCH(ROWS($U$2:U655),$U$2:$U$1001,0),MATCH(COLUMNS($AB$1006:AH1006),$AB$1006:$AQ$1006,0)), HYPERLINK("#",""), HYPERLINK(CONCATENATE("#Metadata!", ADDRESS(INDEX($W$2:$W$1001,MATCH(ROWS($U$2:U655),$U$2:$U$1001,0),0), INDEX($AB$1004:$AQ$1004,1,MATCH(COLUMNS($AB$1006:AH1006),$AB$1006:$AQ$1006,0)))),"Fix")))</f>
        <v>0</v>
      </c>
      <c r="I655" s="5">
        <f>IF(OR(INDEX($V$2:$V$1001,MATCH(ROWS($U$2:U655),$U$2:$U$1001,0),1)&gt;=100000,INDEX($AB$1005:$AQ$1005,1,MATCH(COLUMNS($AB$1006:AI1006),$AB$1006:$AQ$1006,0))&gt;=100000), " ",IF(INDEX($AB$2:$AQ$1001,MATCH(ROWS($U$2:U655),$U$2:$U$1001,0),MATCH(COLUMNS($AB$1006:AI1006),$AB$1006:$AQ$1006,0)), HYPERLINK("#",""), HYPERLINK(CONCATENATE("#Metadata!", ADDRESS(INDEX($W$2:$W$1001,MATCH(ROWS($U$2:U655),$U$2:$U$1001,0),0), INDEX($AB$1004:$AQ$1004,1,MATCH(COLUMNS($AB$1006:AI1006),$AB$1006:$AQ$1006,0)))),"Fix")))</f>
        <v>0</v>
      </c>
      <c r="J655" s="5">
        <f>IF(OR(INDEX($V$2:$V$1001,MATCH(ROWS($U$2:U655),$U$2:$U$1001,0),1)&gt;=100000,INDEX($AB$1005:$AQ$1005,1,MATCH(COLUMNS($AB$1006:AJ1006),$AB$1006:$AQ$1006,0))&gt;=100000), " ",IF(INDEX($AB$2:$AQ$1001,MATCH(ROWS($U$2:U655),$U$2:$U$1001,0),MATCH(COLUMNS($AB$1006:AJ1006),$AB$1006:$AQ$1006,0)), HYPERLINK("#",""), HYPERLINK(CONCATENATE("#Metadata!", ADDRESS(INDEX($W$2:$W$1001,MATCH(ROWS($U$2:U655),$U$2:$U$1001,0),0), INDEX($AB$1004:$AQ$1004,1,MATCH(COLUMNS($AB$1006:AJ1006),$AB$1006:$AQ$1006,0)))),"Fix")))</f>
        <v>0</v>
      </c>
      <c r="K655" s="5">
        <f>IF(OR(INDEX($V$2:$V$1001,MATCH(ROWS($U$2:U655),$U$2:$U$1001,0),1)&gt;=100000,INDEX($AB$1005:$AQ$1005,1,MATCH(COLUMNS($AB$1006:AK1006),$AB$1006:$AQ$1006,0))&gt;=100000), " ",IF(INDEX($AB$2:$AQ$1001,MATCH(ROWS($U$2:U655),$U$2:$U$1001,0),MATCH(COLUMNS($AB$1006:AK1006),$AB$1006:$AQ$1006,0)), HYPERLINK("#",""), HYPERLINK(CONCATENATE("#Metadata!", ADDRESS(INDEX($W$2:$W$1001,MATCH(ROWS($U$2:U655),$U$2:$U$1001,0),0), INDEX($AB$1004:$AQ$1004,1,MATCH(COLUMNS($AB$1006:AK1006),$AB$1006:$AQ$1006,0)))),"Fix")))</f>
        <v>0</v>
      </c>
      <c r="L655" s="5">
        <f>IF(OR(INDEX($V$2:$V$1001,MATCH(ROWS($U$2:U655),$U$2:$U$1001,0),1)&gt;=100000,INDEX($AB$1005:$AQ$1005,1,MATCH(COLUMNS($AB$1006:AL1006),$AB$1006:$AQ$1006,0))&gt;=100000), " ",IF(INDEX($AB$2:$AQ$1001,MATCH(ROWS($U$2:U655),$U$2:$U$1001,0),MATCH(COLUMNS($AB$1006:AL1006),$AB$1006:$AQ$1006,0)), HYPERLINK("#",""), HYPERLINK(CONCATENATE("#Metadata!", ADDRESS(INDEX($W$2:$W$1001,MATCH(ROWS($U$2:U655),$U$2:$U$1001,0),0), INDEX($AB$1004:$AQ$1004,1,MATCH(COLUMNS($AB$1006:AL1006),$AB$1006:$AQ$1006,0)))),"Fix")))</f>
        <v>0</v>
      </c>
      <c r="M655" s="5">
        <f>IF(OR(INDEX($V$2:$V$1001,MATCH(ROWS($U$2:U655),$U$2:$U$1001,0),1)&gt;=100000,INDEX($AB$1005:$AQ$1005,1,MATCH(COLUMNS($AB$1006:AM1006),$AB$1006:$AQ$1006,0))&gt;=100000), " ",IF(INDEX($AB$2:$AQ$1001,MATCH(ROWS($U$2:U655),$U$2:$U$1001,0),MATCH(COLUMNS($AB$1006:AM1006),$AB$1006:$AQ$1006,0)), HYPERLINK("#",""), HYPERLINK(CONCATENATE("#Metadata!", ADDRESS(INDEX($W$2:$W$1001,MATCH(ROWS($U$2:U655),$U$2:$U$1001,0),0), INDEX($AB$1004:$AQ$1004,1,MATCH(COLUMNS($AB$1006:AM1006),$AB$1006:$AQ$1006,0)))),"Fix")))</f>
        <v>0</v>
      </c>
      <c r="N655" s="5">
        <f>IF(OR(INDEX($V$2:$V$1001,MATCH(ROWS($U$2:U655),$U$2:$U$1001,0),1)&gt;=100000,INDEX($AB$1005:$AQ$1005,1,MATCH(COLUMNS($AB$1006:AN1006),$AB$1006:$AQ$1006,0))&gt;=100000), " ",IF(INDEX($AB$2:$AQ$1001,MATCH(ROWS($U$2:U655),$U$2:$U$1001,0),MATCH(COLUMNS($AB$1006:AN1006),$AB$1006:$AQ$1006,0)), HYPERLINK("#",""), HYPERLINK(CONCATENATE("#Metadata!", ADDRESS(INDEX($W$2:$W$1001,MATCH(ROWS($U$2:U655),$U$2:$U$1001,0),0), INDEX($AB$1004:$AQ$1004,1,MATCH(COLUMNS($AB$1006:AN1006),$AB$1006:$AQ$1006,0)))),"Fix")))</f>
        <v>0</v>
      </c>
      <c r="O655" s="5">
        <f>IF(OR(INDEX($V$2:$V$1001,MATCH(ROWS($U$2:U655),$U$2:$U$1001,0),1)&gt;=100000,INDEX($AB$1005:$AQ$1005,1,MATCH(COLUMNS($AB$1006:AO1006),$AB$1006:$AQ$1006,0))&gt;=100000), " ",IF(INDEX($AB$2:$AQ$1001,MATCH(ROWS($U$2:U655),$U$2:$U$1001,0),MATCH(COLUMNS($AB$1006:AO1006),$AB$1006:$AQ$1006,0)), HYPERLINK("#",""), HYPERLINK(CONCATENATE("#Metadata!", ADDRESS(INDEX($W$2:$W$1001,MATCH(ROWS($U$2:U655),$U$2:$U$1001,0),0), INDEX($AB$1004:$AQ$1004,1,MATCH(COLUMNS($AB$1006:AO1006),$AB$1006:$AQ$1006,0)))),"Fix")))</f>
        <v>0</v>
      </c>
      <c r="P655" s="5">
        <f>IF(OR(INDEX($V$2:$V$1001,MATCH(ROWS($U$2:U655),$U$2:$U$1001,0),1)&gt;=100000,INDEX($AB$1005:$AQ$1005,1,MATCH(COLUMNS($AB$1006:AP1006),$AB$1006:$AQ$1006,0))&gt;=100000), " ",IF(INDEX($AB$2:$AQ$1001,MATCH(ROWS($U$2:U655),$U$2:$U$1001,0),MATCH(COLUMNS($AB$1006:AP1006),$AB$1006:$AQ$1006,0)), HYPERLINK("#",""), HYPERLINK(CONCATENATE("#Metadata!", ADDRESS(INDEX($W$2:$W$1001,MATCH(ROWS($U$2:U655),$U$2:$U$1001,0),0), INDEX($AB$1004:$AQ$1004,1,MATCH(COLUMNS($AB$1006:AP1006),$AB$1006:$AQ$1006,0)))),"Fix")))</f>
        <v>0</v>
      </c>
      <c r="Q655" s="5">
        <f>IF(OR(INDEX($V$2:$V$1001,MATCH(ROWS($U$2:U655),$U$2:$U$1001,0),1)&gt;=100000,INDEX($AB$1005:$AQ$1005,1,MATCH(COLUMNS($AB$1006:AQ1006),$AB$1006:$AQ$1006,0))&gt;=100000), " ",IF(INDEX($AB$2:$AQ$1001,MATCH(ROWS($U$2:U655),$U$2:$U$1001,0),MATCH(COLUMNS($AB$1006:AQ1006),$AB$1006:$AQ$1006,0)), HYPERLINK("#",""), HYPERLINK(CONCATENATE("#Metadata!", ADDRESS(INDEX($W$2:$W$1001,MATCH(ROWS($U$2:U655),$U$2:$U$1001,0),0), INDEX($AB$1004:$AQ$1004,1,MATCH(COLUMNS($AB$1006:AQ1006),$AB$1006:$AQ$1006,0)))),"Fix")))</f>
        <v>0</v>
      </c>
      <c r="U655">
        <v>0</v>
      </c>
      <c r="V655">
        <v>0</v>
      </c>
      <c r="W655">
        <v>0</v>
      </c>
      <c r="X655">
        <f>IF(Y655,TRUE,AND(AB655:AQ655))</f>
        <v>0</v>
      </c>
      <c r="Y655">
        <f>COUNTBLANK(Metadata!B655:Q655)=COLUMNS(Metadata!B655:Q655)</f>
        <v>0</v>
      </c>
      <c r="Z655">
        <v>0</v>
      </c>
      <c r="AB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AC655">
        <f>AND(IF(Metadata!C655="",FALSE,TRUE),exact(Metadata!C655,"urban biome"))</f>
        <v>0</v>
      </c>
      <c r="AD655">
        <f>AND(IF(Metadata!D655="",FALSE,TRUE),exact(Metadata!D655,"human-associated habitat"))</f>
        <v>0</v>
      </c>
      <c r="AE655">
        <f>AND(IF(Metadata!E655="",FALSE,TRUE),OR(exact(Metadata!E655,"human-associated"),exact(Metadata!E655,"human-skin"),exact(Metadata!E655,"human-oral"),exact(Metadata!E655,"human-gut"),exact(Metadata!E655,"human-vaginal")))</f>
        <v>0</v>
      </c>
      <c r="AF655">
        <f>AND(IF(Metadata!F655="",FALSE,ISNUMBER(VALUE(Metadata!F655))),Metadata!F655&gt;0)</f>
        <v>0</v>
      </c>
      <c r="AG655">
        <f>AND(IF(Metadata!G655="",FALSE,TRUE),exact(Metadata!G655,"years"))</f>
        <v>0</v>
      </c>
      <c r="AH655">
        <f>OR(AND(IF(Metadata!H655="",FALSE,TRUE),OR(exact(Metadata!H655,"not applicable"),exact(Metadata!H655,"not collected"),exact(Metadata!H655,"not provided"),exact(Metadata!H655,"restricted access"))),AND(IF(Metadata!H655="",FALSE,ISNUMBER(VALUE(Metadata!H655))),Metadata!H655&gt;0))</f>
        <v>0</v>
      </c>
      <c r="AI655">
        <f>AND(IF(Metadata!I655="",FALSE,TRUE),exact(Metadata!I655,"human"))</f>
        <v>0</v>
      </c>
      <c r="AJ655">
        <f>AND(IF(Metadata!J655="",FALSE,ISNUMBER(VALUE(Metadata!J655))),Metadata!J655&gt;0)</f>
        <v>0</v>
      </c>
      <c r="AK655">
        <f>AND(IF(Metadata!K655="",FALSE,TRUE),exact(Metadata!K655,"cm"))</f>
        <v>0</v>
      </c>
      <c r="AL655">
        <f>AND(IF(Metadata!L655="",FALSE,TRUE),exact(Metadata!L655,"Homo sapiens"))</f>
        <v>0</v>
      </c>
      <c r="AM655">
        <f>AND(IF(Metadata!M655="",FALSE,TRUE),exact(Metadata!M655,"9606"))</f>
        <v>0</v>
      </c>
      <c r="AN655">
        <f>AND(IF(Metadata!N655="",FALSE,ISNUMBER(VALUE(Metadata!N655))),Metadata!N655&gt;0)</f>
        <v>0</v>
      </c>
      <c r="AO655">
        <f>AND(IF(Metadata!O655="",FALSE,TRUE),exact(Metadata!O655,"kg"))</f>
        <v>0</v>
      </c>
      <c r="AP655">
        <f>OR(AND(IF(Metadata!P655="",FALSE,TRUE),exact(Metadata!P655,"not provided")),IF(Metadata!P655="",FALSE,TRUE))</f>
        <v>0</v>
      </c>
      <c r="AQ655">
        <f>OR(AND(IF(Metadata!Q655="",FALSE,TRUE),exact(Metadata!Q655,"not provided")),IF(Metadata!Q655="",FALSE,TRUE))</f>
        <v>0</v>
      </c>
    </row>
    <row r="656" spans="1:43">
      <c r="A656" s="4">
        <f>IF(B656=" "," ",HYPERLINK(CONCATENATE("#metadata!",ADDRESS(INDEX($W$2:$W$1001,MATCH(ROWS($U$2:U656),$U$2:$U$1001,0),0),2)),INDEX($Z$2:$Z$1001,MATCH(ROWS($U$2:U656),$U$2:$U$1001,0),0)))</f>
        <v>0</v>
      </c>
      <c r="B656" s="5">
        <f>IF(OR(INDEX($V$2:$V$1001,MATCH(ROWS($U$2:U656),$U$2:$U$1001,0),1)&gt;=100000,INDEX($AB$1005:$AQ$1005,1,MATCH(COLUMNS($AB$1006:AB1006),$AB$1006:$AQ$1006,0))&gt;=100000), " ",IF(INDEX($AB$2:$AQ$1001,MATCH(ROWS($U$2:U656),$U$2:$U$1001,0),MATCH(COLUMNS($AB$1006:AB1006),$AB$1006:$AQ$1006,0)), HYPERLINK("#",""), HYPERLINK(CONCATENATE("#Metadata!", ADDRESS(INDEX($W$2:$W$1001,MATCH(ROWS($U$2:U656),$U$2:$U$1001,0),0), INDEX($AB$1004:$AQ$1004,1,MATCH(COLUMNS($AB$1006:AB1006),$AB$1006:$AQ$1006,0)))),"Fix")))</f>
        <v>0</v>
      </c>
      <c r="C656" s="5">
        <f>IF(OR(INDEX($V$2:$V$1001,MATCH(ROWS($U$2:U656),$U$2:$U$1001,0),1)&gt;=100000,INDEX($AB$1005:$AQ$1005,1,MATCH(COLUMNS($AB$1006:AC1006),$AB$1006:$AQ$1006,0))&gt;=100000), " ",IF(INDEX($AB$2:$AQ$1001,MATCH(ROWS($U$2:U656),$U$2:$U$1001,0),MATCH(COLUMNS($AB$1006:AC1006),$AB$1006:$AQ$1006,0)), HYPERLINK("#",""), HYPERLINK(CONCATENATE("#Metadata!", ADDRESS(INDEX($W$2:$W$1001,MATCH(ROWS($U$2:U656),$U$2:$U$1001,0),0), INDEX($AB$1004:$AQ$1004,1,MATCH(COLUMNS($AB$1006:AC1006),$AB$1006:$AQ$1006,0)))),"Fix")))</f>
        <v>0</v>
      </c>
      <c r="D656" s="5">
        <f>IF(OR(INDEX($V$2:$V$1001,MATCH(ROWS($U$2:U656),$U$2:$U$1001,0),1)&gt;=100000,INDEX($AB$1005:$AQ$1005,1,MATCH(COLUMNS($AB$1006:AD1006),$AB$1006:$AQ$1006,0))&gt;=100000), " ",IF(INDEX($AB$2:$AQ$1001,MATCH(ROWS($U$2:U656),$U$2:$U$1001,0),MATCH(COLUMNS($AB$1006:AD1006),$AB$1006:$AQ$1006,0)), HYPERLINK("#",""), HYPERLINK(CONCATENATE("#Metadata!", ADDRESS(INDEX($W$2:$W$1001,MATCH(ROWS($U$2:U656),$U$2:$U$1001,0),0), INDEX($AB$1004:$AQ$1004,1,MATCH(COLUMNS($AB$1006:AD1006),$AB$1006:$AQ$1006,0)))),"Fix")))</f>
        <v>0</v>
      </c>
      <c r="E656" s="5">
        <f>IF(OR(INDEX($V$2:$V$1001,MATCH(ROWS($U$2:U656),$U$2:$U$1001,0),1)&gt;=100000,INDEX($AB$1005:$AQ$1005,1,MATCH(COLUMNS($AB$1006:AE1006),$AB$1006:$AQ$1006,0))&gt;=100000), " ",IF(INDEX($AB$2:$AQ$1001,MATCH(ROWS($U$2:U656),$U$2:$U$1001,0),MATCH(COLUMNS($AB$1006:AE1006),$AB$1006:$AQ$1006,0)), HYPERLINK("#",""), HYPERLINK(CONCATENATE("#Metadata!", ADDRESS(INDEX($W$2:$W$1001,MATCH(ROWS($U$2:U656),$U$2:$U$1001,0),0), INDEX($AB$1004:$AQ$1004,1,MATCH(COLUMNS($AB$1006:AE1006),$AB$1006:$AQ$1006,0)))),"Fix")))</f>
        <v>0</v>
      </c>
      <c r="F656" s="5">
        <f>IF(OR(INDEX($V$2:$V$1001,MATCH(ROWS($U$2:U656),$U$2:$U$1001,0),1)&gt;=100000,INDEX($AB$1005:$AQ$1005,1,MATCH(COLUMNS($AB$1006:AF1006),$AB$1006:$AQ$1006,0))&gt;=100000), " ",IF(INDEX($AB$2:$AQ$1001,MATCH(ROWS($U$2:U656),$U$2:$U$1001,0),MATCH(COLUMNS($AB$1006:AF1006),$AB$1006:$AQ$1006,0)), HYPERLINK("#",""), HYPERLINK(CONCATENATE("#Metadata!", ADDRESS(INDEX($W$2:$W$1001,MATCH(ROWS($U$2:U656),$U$2:$U$1001,0),0), INDEX($AB$1004:$AQ$1004,1,MATCH(COLUMNS($AB$1006:AF1006),$AB$1006:$AQ$1006,0)))),"Fix")))</f>
        <v>0</v>
      </c>
      <c r="G656" s="5">
        <f>IF(OR(INDEX($V$2:$V$1001,MATCH(ROWS($U$2:U656),$U$2:$U$1001,0),1)&gt;=100000,INDEX($AB$1005:$AQ$1005,1,MATCH(COLUMNS($AB$1006:AG1006),$AB$1006:$AQ$1006,0))&gt;=100000), " ",IF(INDEX($AB$2:$AQ$1001,MATCH(ROWS($U$2:U656),$U$2:$U$1001,0),MATCH(COLUMNS($AB$1006:AG1006),$AB$1006:$AQ$1006,0)), HYPERLINK("#",""), HYPERLINK(CONCATENATE("#Metadata!", ADDRESS(INDEX($W$2:$W$1001,MATCH(ROWS($U$2:U656),$U$2:$U$1001,0),0), INDEX($AB$1004:$AQ$1004,1,MATCH(COLUMNS($AB$1006:AG1006),$AB$1006:$AQ$1006,0)))),"Fix")))</f>
        <v>0</v>
      </c>
      <c r="H656" s="5">
        <f>IF(OR(INDEX($V$2:$V$1001,MATCH(ROWS($U$2:U656),$U$2:$U$1001,0),1)&gt;=100000,INDEX($AB$1005:$AQ$1005,1,MATCH(COLUMNS($AB$1006:AH1006),$AB$1006:$AQ$1006,0))&gt;=100000), " ",IF(INDEX($AB$2:$AQ$1001,MATCH(ROWS($U$2:U656),$U$2:$U$1001,0),MATCH(COLUMNS($AB$1006:AH1006),$AB$1006:$AQ$1006,0)), HYPERLINK("#",""), HYPERLINK(CONCATENATE("#Metadata!", ADDRESS(INDEX($W$2:$W$1001,MATCH(ROWS($U$2:U656),$U$2:$U$1001,0),0), INDEX($AB$1004:$AQ$1004,1,MATCH(COLUMNS($AB$1006:AH1006),$AB$1006:$AQ$1006,0)))),"Fix")))</f>
        <v>0</v>
      </c>
      <c r="I656" s="5">
        <f>IF(OR(INDEX($V$2:$V$1001,MATCH(ROWS($U$2:U656),$U$2:$U$1001,0),1)&gt;=100000,INDEX($AB$1005:$AQ$1005,1,MATCH(COLUMNS($AB$1006:AI1006),$AB$1006:$AQ$1006,0))&gt;=100000), " ",IF(INDEX($AB$2:$AQ$1001,MATCH(ROWS($U$2:U656),$U$2:$U$1001,0),MATCH(COLUMNS($AB$1006:AI1006),$AB$1006:$AQ$1006,0)), HYPERLINK("#",""), HYPERLINK(CONCATENATE("#Metadata!", ADDRESS(INDEX($W$2:$W$1001,MATCH(ROWS($U$2:U656),$U$2:$U$1001,0),0), INDEX($AB$1004:$AQ$1004,1,MATCH(COLUMNS($AB$1006:AI1006),$AB$1006:$AQ$1006,0)))),"Fix")))</f>
        <v>0</v>
      </c>
      <c r="J656" s="5">
        <f>IF(OR(INDEX($V$2:$V$1001,MATCH(ROWS($U$2:U656),$U$2:$U$1001,0),1)&gt;=100000,INDEX($AB$1005:$AQ$1005,1,MATCH(COLUMNS($AB$1006:AJ1006),$AB$1006:$AQ$1006,0))&gt;=100000), " ",IF(INDEX($AB$2:$AQ$1001,MATCH(ROWS($U$2:U656),$U$2:$U$1001,0),MATCH(COLUMNS($AB$1006:AJ1006),$AB$1006:$AQ$1006,0)), HYPERLINK("#",""), HYPERLINK(CONCATENATE("#Metadata!", ADDRESS(INDEX($W$2:$W$1001,MATCH(ROWS($U$2:U656),$U$2:$U$1001,0),0), INDEX($AB$1004:$AQ$1004,1,MATCH(COLUMNS($AB$1006:AJ1006),$AB$1006:$AQ$1006,0)))),"Fix")))</f>
        <v>0</v>
      </c>
      <c r="K656" s="5">
        <f>IF(OR(INDEX($V$2:$V$1001,MATCH(ROWS($U$2:U656),$U$2:$U$1001,0),1)&gt;=100000,INDEX($AB$1005:$AQ$1005,1,MATCH(COLUMNS($AB$1006:AK1006),$AB$1006:$AQ$1006,0))&gt;=100000), " ",IF(INDEX($AB$2:$AQ$1001,MATCH(ROWS($U$2:U656),$U$2:$U$1001,0),MATCH(COLUMNS($AB$1006:AK1006),$AB$1006:$AQ$1006,0)), HYPERLINK("#",""), HYPERLINK(CONCATENATE("#Metadata!", ADDRESS(INDEX($W$2:$W$1001,MATCH(ROWS($U$2:U656),$U$2:$U$1001,0),0), INDEX($AB$1004:$AQ$1004,1,MATCH(COLUMNS($AB$1006:AK1006),$AB$1006:$AQ$1006,0)))),"Fix")))</f>
        <v>0</v>
      </c>
      <c r="L656" s="5">
        <f>IF(OR(INDEX($V$2:$V$1001,MATCH(ROWS($U$2:U656),$U$2:$U$1001,0),1)&gt;=100000,INDEX($AB$1005:$AQ$1005,1,MATCH(COLUMNS($AB$1006:AL1006),$AB$1006:$AQ$1006,0))&gt;=100000), " ",IF(INDEX($AB$2:$AQ$1001,MATCH(ROWS($U$2:U656),$U$2:$U$1001,0),MATCH(COLUMNS($AB$1006:AL1006),$AB$1006:$AQ$1006,0)), HYPERLINK("#",""), HYPERLINK(CONCATENATE("#Metadata!", ADDRESS(INDEX($W$2:$W$1001,MATCH(ROWS($U$2:U656),$U$2:$U$1001,0),0), INDEX($AB$1004:$AQ$1004,1,MATCH(COLUMNS($AB$1006:AL1006),$AB$1006:$AQ$1006,0)))),"Fix")))</f>
        <v>0</v>
      </c>
      <c r="M656" s="5">
        <f>IF(OR(INDEX($V$2:$V$1001,MATCH(ROWS($U$2:U656),$U$2:$U$1001,0),1)&gt;=100000,INDEX($AB$1005:$AQ$1005,1,MATCH(COLUMNS($AB$1006:AM1006),$AB$1006:$AQ$1006,0))&gt;=100000), " ",IF(INDEX($AB$2:$AQ$1001,MATCH(ROWS($U$2:U656),$U$2:$U$1001,0),MATCH(COLUMNS($AB$1006:AM1006),$AB$1006:$AQ$1006,0)), HYPERLINK("#",""), HYPERLINK(CONCATENATE("#Metadata!", ADDRESS(INDEX($W$2:$W$1001,MATCH(ROWS($U$2:U656),$U$2:$U$1001,0),0), INDEX($AB$1004:$AQ$1004,1,MATCH(COLUMNS($AB$1006:AM1006),$AB$1006:$AQ$1006,0)))),"Fix")))</f>
        <v>0</v>
      </c>
      <c r="N656" s="5">
        <f>IF(OR(INDEX($V$2:$V$1001,MATCH(ROWS($U$2:U656),$U$2:$U$1001,0),1)&gt;=100000,INDEX($AB$1005:$AQ$1005,1,MATCH(COLUMNS($AB$1006:AN1006),$AB$1006:$AQ$1006,0))&gt;=100000), " ",IF(INDEX($AB$2:$AQ$1001,MATCH(ROWS($U$2:U656),$U$2:$U$1001,0),MATCH(COLUMNS($AB$1006:AN1006),$AB$1006:$AQ$1006,0)), HYPERLINK("#",""), HYPERLINK(CONCATENATE("#Metadata!", ADDRESS(INDEX($W$2:$W$1001,MATCH(ROWS($U$2:U656),$U$2:$U$1001,0),0), INDEX($AB$1004:$AQ$1004,1,MATCH(COLUMNS($AB$1006:AN1006),$AB$1006:$AQ$1006,0)))),"Fix")))</f>
        <v>0</v>
      </c>
      <c r="O656" s="5">
        <f>IF(OR(INDEX($V$2:$V$1001,MATCH(ROWS($U$2:U656),$U$2:$U$1001,0),1)&gt;=100000,INDEX($AB$1005:$AQ$1005,1,MATCH(COLUMNS($AB$1006:AO1006),$AB$1006:$AQ$1006,0))&gt;=100000), " ",IF(INDEX($AB$2:$AQ$1001,MATCH(ROWS($U$2:U656),$U$2:$U$1001,0),MATCH(COLUMNS($AB$1006:AO1006),$AB$1006:$AQ$1006,0)), HYPERLINK("#",""), HYPERLINK(CONCATENATE("#Metadata!", ADDRESS(INDEX($W$2:$W$1001,MATCH(ROWS($U$2:U656),$U$2:$U$1001,0),0), INDEX($AB$1004:$AQ$1004,1,MATCH(COLUMNS($AB$1006:AO1006),$AB$1006:$AQ$1006,0)))),"Fix")))</f>
        <v>0</v>
      </c>
      <c r="P656" s="5">
        <f>IF(OR(INDEX($V$2:$V$1001,MATCH(ROWS($U$2:U656),$U$2:$U$1001,0),1)&gt;=100000,INDEX($AB$1005:$AQ$1005,1,MATCH(COLUMNS($AB$1006:AP1006),$AB$1006:$AQ$1006,0))&gt;=100000), " ",IF(INDEX($AB$2:$AQ$1001,MATCH(ROWS($U$2:U656),$U$2:$U$1001,0),MATCH(COLUMNS($AB$1006:AP1006),$AB$1006:$AQ$1006,0)), HYPERLINK("#",""), HYPERLINK(CONCATENATE("#Metadata!", ADDRESS(INDEX($W$2:$W$1001,MATCH(ROWS($U$2:U656),$U$2:$U$1001,0),0), INDEX($AB$1004:$AQ$1004,1,MATCH(COLUMNS($AB$1006:AP1006),$AB$1006:$AQ$1006,0)))),"Fix")))</f>
        <v>0</v>
      </c>
      <c r="Q656" s="5">
        <f>IF(OR(INDEX($V$2:$V$1001,MATCH(ROWS($U$2:U656),$U$2:$U$1001,0),1)&gt;=100000,INDEX($AB$1005:$AQ$1005,1,MATCH(COLUMNS($AB$1006:AQ1006),$AB$1006:$AQ$1006,0))&gt;=100000), " ",IF(INDEX($AB$2:$AQ$1001,MATCH(ROWS($U$2:U656),$U$2:$U$1001,0),MATCH(COLUMNS($AB$1006:AQ1006),$AB$1006:$AQ$1006,0)), HYPERLINK("#",""), HYPERLINK(CONCATENATE("#Metadata!", ADDRESS(INDEX($W$2:$W$1001,MATCH(ROWS($U$2:U656),$U$2:$U$1001,0),0), INDEX($AB$1004:$AQ$1004,1,MATCH(COLUMNS($AB$1006:AQ1006),$AB$1006:$AQ$1006,0)))),"Fix")))</f>
        <v>0</v>
      </c>
      <c r="U656">
        <v>0</v>
      </c>
      <c r="V656">
        <v>0</v>
      </c>
      <c r="W656">
        <v>0</v>
      </c>
      <c r="X656">
        <f>IF(Y656,TRUE,AND(AB656:AQ656))</f>
        <v>0</v>
      </c>
      <c r="Y656">
        <f>COUNTBLANK(Metadata!B656:Q656)=COLUMNS(Metadata!B656:Q656)</f>
        <v>0</v>
      </c>
      <c r="Z656">
        <v>0</v>
      </c>
      <c r="AB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AC656">
        <f>AND(IF(Metadata!C656="",FALSE,TRUE),exact(Metadata!C656,"urban biome"))</f>
        <v>0</v>
      </c>
      <c r="AD656">
        <f>AND(IF(Metadata!D656="",FALSE,TRUE),exact(Metadata!D656,"human-associated habitat"))</f>
        <v>0</v>
      </c>
      <c r="AE656">
        <f>AND(IF(Metadata!E656="",FALSE,TRUE),OR(exact(Metadata!E656,"human-associated"),exact(Metadata!E656,"human-skin"),exact(Metadata!E656,"human-oral"),exact(Metadata!E656,"human-gut"),exact(Metadata!E656,"human-vaginal")))</f>
        <v>0</v>
      </c>
      <c r="AF656">
        <f>AND(IF(Metadata!F656="",FALSE,ISNUMBER(VALUE(Metadata!F656))),Metadata!F656&gt;0)</f>
        <v>0</v>
      </c>
      <c r="AG656">
        <f>AND(IF(Metadata!G656="",FALSE,TRUE),exact(Metadata!G656,"years"))</f>
        <v>0</v>
      </c>
      <c r="AH656">
        <f>OR(AND(IF(Metadata!H656="",FALSE,TRUE),OR(exact(Metadata!H656,"not applicable"),exact(Metadata!H656,"not collected"),exact(Metadata!H656,"not provided"),exact(Metadata!H656,"restricted access"))),AND(IF(Metadata!H656="",FALSE,ISNUMBER(VALUE(Metadata!H656))),Metadata!H656&gt;0))</f>
        <v>0</v>
      </c>
      <c r="AI656">
        <f>AND(IF(Metadata!I656="",FALSE,TRUE),exact(Metadata!I656,"human"))</f>
        <v>0</v>
      </c>
      <c r="AJ656">
        <f>AND(IF(Metadata!J656="",FALSE,ISNUMBER(VALUE(Metadata!J656))),Metadata!J656&gt;0)</f>
        <v>0</v>
      </c>
      <c r="AK656">
        <f>AND(IF(Metadata!K656="",FALSE,TRUE),exact(Metadata!K656,"cm"))</f>
        <v>0</v>
      </c>
      <c r="AL656">
        <f>AND(IF(Metadata!L656="",FALSE,TRUE),exact(Metadata!L656,"Homo sapiens"))</f>
        <v>0</v>
      </c>
      <c r="AM656">
        <f>AND(IF(Metadata!M656="",FALSE,TRUE),exact(Metadata!M656,"9606"))</f>
        <v>0</v>
      </c>
      <c r="AN656">
        <f>AND(IF(Metadata!N656="",FALSE,ISNUMBER(VALUE(Metadata!N656))),Metadata!N656&gt;0)</f>
        <v>0</v>
      </c>
      <c r="AO656">
        <f>AND(IF(Metadata!O656="",FALSE,TRUE),exact(Metadata!O656,"kg"))</f>
        <v>0</v>
      </c>
      <c r="AP656">
        <f>OR(AND(IF(Metadata!P656="",FALSE,TRUE),exact(Metadata!P656,"not provided")),IF(Metadata!P656="",FALSE,TRUE))</f>
        <v>0</v>
      </c>
      <c r="AQ656">
        <f>OR(AND(IF(Metadata!Q656="",FALSE,TRUE),exact(Metadata!Q656,"not provided")),IF(Metadata!Q656="",FALSE,TRUE))</f>
        <v>0</v>
      </c>
    </row>
    <row r="657" spans="1:43">
      <c r="A657" s="4">
        <f>IF(B657=" "," ",HYPERLINK(CONCATENATE("#metadata!",ADDRESS(INDEX($W$2:$W$1001,MATCH(ROWS($U$2:U657),$U$2:$U$1001,0),0),2)),INDEX($Z$2:$Z$1001,MATCH(ROWS($U$2:U657),$U$2:$U$1001,0),0)))</f>
        <v>0</v>
      </c>
      <c r="B657" s="5">
        <f>IF(OR(INDEX($V$2:$V$1001,MATCH(ROWS($U$2:U657),$U$2:$U$1001,0),1)&gt;=100000,INDEX($AB$1005:$AQ$1005,1,MATCH(COLUMNS($AB$1006:AB1006),$AB$1006:$AQ$1006,0))&gt;=100000), " ",IF(INDEX($AB$2:$AQ$1001,MATCH(ROWS($U$2:U657),$U$2:$U$1001,0),MATCH(COLUMNS($AB$1006:AB1006),$AB$1006:$AQ$1006,0)), HYPERLINK("#",""), HYPERLINK(CONCATENATE("#Metadata!", ADDRESS(INDEX($W$2:$W$1001,MATCH(ROWS($U$2:U657),$U$2:$U$1001,0),0), INDEX($AB$1004:$AQ$1004,1,MATCH(COLUMNS($AB$1006:AB1006),$AB$1006:$AQ$1006,0)))),"Fix")))</f>
        <v>0</v>
      </c>
      <c r="C657" s="5">
        <f>IF(OR(INDEX($V$2:$V$1001,MATCH(ROWS($U$2:U657),$U$2:$U$1001,0),1)&gt;=100000,INDEX($AB$1005:$AQ$1005,1,MATCH(COLUMNS($AB$1006:AC1006),$AB$1006:$AQ$1006,0))&gt;=100000), " ",IF(INDEX($AB$2:$AQ$1001,MATCH(ROWS($U$2:U657),$U$2:$U$1001,0),MATCH(COLUMNS($AB$1006:AC1006),$AB$1006:$AQ$1006,0)), HYPERLINK("#",""), HYPERLINK(CONCATENATE("#Metadata!", ADDRESS(INDEX($W$2:$W$1001,MATCH(ROWS($U$2:U657),$U$2:$U$1001,0),0), INDEX($AB$1004:$AQ$1004,1,MATCH(COLUMNS($AB$1006:AC1006),$AB$1006:$AQ$1006,0)))),"Fix")))</f>
        <v>0</v>
      </c>
      <c r="D657" s="5">
        <f>IF(OR(INDEX($V$2:$V$1001,MATCH(ROWS($U$2:U657),$U$2:$U$1001,0),1)&gt;=100000,INDEX($AB$1005:$AQ$1005,1,MATCH(COLUMNS($AB$1006:AD1006),$AB$1006:$AQ$1006,0))&gt;=100000), " ",IF(INDEX($AB$2:$AQ$1001,MATCH(ROWS($U$2:U657),$U$2:$U$1001,0),MATCH(COLUMNS($AB$1006:AD1006),$AB$1006:$AQ$1006,0)), HYPERLINK("#",""), HYPERLINK(CONCATENATE("#Metadata!", ADDRESS(INDEX($W$2:$W$1001,MATCH(ROWS($U$2:U657),$U$2:$U$1001,0),0), INDEX($AB$1004:$AQ$1004,1,MATCH(COLUMNS($AB$1006:AD1006),$AB$1006:$AQ$1006,0)))),"Fix")))</f>
        <v>0</v>
      </c>
      <c r="E657" s="5">
        <f>IF(OR(INDEX($V$2:$V$1001,MATCH(ROWS($U$2:U657),$U$2:$U$1001,0),1)&gt;=100000,INDEX($AB$1005:$AQ$1005,1,MATCH(COLUMNS($AB$1006:AE1006),$AB$1006:$AQ$1006,0))&gt;=100000), " ",IF(INDEX($AB$2:$AQ$1001,MATCH(ROWS($U$2:U657),$U$2:$U$1001,0),MATCH(COLUMNS($AB$1006:AE1006),$AB$1006:$AQ$1006,0)), HYPERLINK("#",""), HYPERLINK(CONCATENATE("#Metadata!", ADDRESS(INDEX($W$2:$W$1001,MATCH(ROWS($U$2:U657),$U$2:$U$1001,0),0), INDEX($AB$1004:$AQ$1004,1,MATCH(COLUMNS($AB$1006:AE1006),$AB$1006:$AQ$1006,0)))),"Fix")))</f>
        <v>0</v>
      </c>
      <c r="F657" s="5">
        <f>IF(OR(INDEX($V$2:$V$1001,MATCH(ROWS($U$2:U657),$U$2:$U$1001,0),1)&gt;=100000,INDEX($AB$1005:$AQ$1005,1,MATCH(COLUMNS($AB$1006:AF1006),$AB$1006:$AQ$1006,0))&gt;=100000), " ",IF(INDEX($AB$2:$AQ$1001,MATCH(ROWS($U$2:U657),$U$2:$U$1001,0),MATCH(COLUMNS($AB$1006:AF1006),$AB$1006:$AQ$1006,0)), HYPERLINK("#",""), HYPERLINK(CONCATENATE("#Metadata!", ADDRESS(INDEX($W$2:$W$1001,MATCH(ROWS($U$2:U657),$U$2:$U$1001,0),0), INDEX($AB$1004:$AQ$1004,1,MATCH(COLUMNS($AB$1006:AF1006),$AB$1006:$AQ$1006,0)))),"Fix")))</f>
        <v>0</v>
      </c>
      <c r="G657" s="5">
        <f>IF(OR(INDEX($V$2:$V$1001,MATCH(ROWS($U$2:U657),$U$2:$U$1001,0),1)&gt;=100000,INDEX($AB$1005:$AQ$1005,1,MATCH(COLUMNS($AB$1006:AG1006),$AB$1006:$AQ$1006,0))&gt;=100000), " ",IF(INDEX($AB$2:$AQ$1001,MATCH(ROWS($U$2:U657),$U$2:$U$1001,0),MATCH(COLUMNS($AB$1006:AG1006),$AB$1006:$AQ$1006,0)), HYPERLINK("#",""), HYPERLINK(CONCATENATE("#Metadata!", ADDRESS(INDEX($W$2:$W$1001,MATCH(ROWS($U$2:U657),$U$2:$U$1001,0),0), INDEX($AB$1004:$AQ$1004,1,MATCH(COLUMNS($AB$1006:AG1006),$AB$1006:$AQ$1006,0)))),"Fix")))</f>
        <v>0</v>
      </c>
      <c r="H657" s="5">
        <f>IF(OR(INDEX($V$2:$V$1001,MATCH(ROWS($U$2:U657),$U$2:$U$1001,0),1)&gt;=100000,INDEX($AB$1005:$AQ$1005,1,MATCH(COLUMNS($AB$1006:AH1006),$AB$1006:$AQ$1006,0))&gt;=100000), " ",IF(INDEX($AB$2:$AQ$1001,MATCH(ROWS($U$2:U657),$U$2:$U$1001,0),MATCH(COLUMNS($AB$1006:AH1006),$AB$1006:$AQ$1006,0)), HYPERLINK("#",""), HYPERLINK(CONCATENATE("#Metadata!", ADDRESS(INDEX($W$2:$W$1001,MATCH(ROWS($U$2:U657),$U$2:$U$1001,0),0), INDEX($AB$1004:$AQ$1004,1,MATCH(COLUMNS($AB$1006:AH1006),$AB$1006:$AQ$1006,0)))),"Fix")))</f>
        <v>0</v>
      </c>
      <c r="I657" s="5">
        <f>IF(OR(INDEX($V$2:$V$1001,MATCH(ROWS($U$2:U657),$U$2:$U$1001,0),1)&gt;=100000,INDEX($AB$1005:$AQ$1005,1,MATCH(COLUMNS($AB$1006:AI1006),$AB$1006:$AQ$1006,0))&gt;=100000), " ",IF(INDEX($AB$2:$AQ$1001,MATCH(ROWS($U$2:U657),$U$2:$U$1001,0),MATCH(COLUMNS($AB$1006:AI1006),$AB$1006:$AQ$1006,0)), HYPERLINK("#",""), HYPERLINK(CONCATENATE("#Metadata!", ADDRESS(INDEX($W$2:$W$1001,MATCH(ROWS($U$2:U657),$U$2:$U$1001,0),0), INDEX($AB$1004:$AQ$1004,1,MATCH(COLUMNS($AB$1006:AI1006),$AB$1006:$AQ$1006,0)))),"Fix")))</f>
        <v>0</v>
      </c>
      <c r="J657" s="5">
        <f>IF(OR(INDEX($V$2:$V$1001,MATCH(ROWS($U$2:U657),$U$2:$U$1001,0),1)&gt;=100000,INDEX($AB$1005:$AQ$1005,1,MATCH(COLUMNS($AB$1006:AJ1006),$AB$1006:$AQ$1006,0))&gt;=100000), " ",IF(INDEX($AB$2:$AQ$1001,MATCH(ROWS($U$2:U657),$U$2:$U$1001,0),MATCH(COLUMNS($AB$1006:AJ1006),$AB$1006:$AQ$1006,0)), HYPERLINK("#",""), HYPERLINK(CONCATENATE("#Metadata!", ADDRESS(INDEX($W$2:$W$1001,MATCH(ROWS($U$2:U657),$U$2:$U$1001,0),0), INDEX($AB$1004:$AQ$1004,1,MATCH(COLUMNS($AB$1006:AJ1006),$AB$1006:$AQ$1006,0)))),"Fix")))</f>
        <v>0</v>
      </c>
      <c r="K657" s="5">
        <f>IF(OR(INDEX($V$2:$V$1001,MATCH(ROWS($U$2:U657),$U$2:$U$1001,0),1)&gt;=100000,INDEX($AB$1005:$AQ$1005,1,MATCH(COLUMNS($AB$1006:AK1006),$AB$1006:$AQ$1006,0))&gt;=100000), " ",IF(INDEX($AB$2:$AQ$1001,MATCH(ROWS($U$2:U657),$U$2:$U$1001,0),MATCH(COLUMNS($AB$1006:AK1006),$AB$1006:$AQ$1006,0)), HYPERLINK("#",""), HYPERLINK(CONCATENATE("#Metadata!", ADDRESS(INDEX($W$2:$W$1001,MATCH(ROWS($U$2:U657),$U$2:$U$1001,0),0), INDEX($AB$1004:$AQ$1004,1,MATCH(COLUMNS($AB$1006:AK1006),$AB$1006:$AQ$1006,0)))),"Fix")))</f>
        <v>0</v>
      </c>
      <c r="L657" s="5">
        <f>IF(OR(INDEX($V$2:$V$1001,MATCH(ROWS($U$2:U657),$U$2:$U$1001,0),1)&gt;=100000,INDEX($AB$1005:$AQ$1005,1,MATCH(COLUMNS($AB$1006:AL1006),$AB$1006:$AQ$1006,0))&gt;=100000), " ",IF(INDEX($AB$2:$AQ$1001,MATCH(ROWS($U$2:U657),$U$2:$U$1001,0),MATCH(COLUMNS($AB$1006:AL1006),$AB$1006:$AQ$1006,0)), HYPERLINK("#",""), HYPERLINK(CONCATENATE("#Metadata!", ADDRESS(INDEX($W$2:$W$1001,MATCH(ROWS($U$2:U657),$U$2:$U$1001,0),0), INDEX($AB$1004:$AQ$1004,1,MATCH(COLUMNS($AB$1006:AL1006),$AB$1006:$AQ$1006,0)))),"Fix")))</f>
        <v>0</v>
      </c>
      <c r="M657" s="5">
        <f>IF(OR(INDEX($V$2:$V$1001,MATCH(ROWS($U$2:U657),$U$2:$U$1001,0),1)&gt;=100000,INDEX($AB$1005:$AQ$1005,1,MATCH(COLUMNS($AB$1006:AM1006),$AB$1006:$AQ$1006,0))&gt;=100000), " ",IF(INDEX($AB$2:$AQ$1001,MATCH(ROWS($U$2:U657),$U$2:$U$1001,0),MATCH(COLUMNS($AB$1006:AM1006),$AB$1006:$AQ$1006,0)), HYPERLINK("#",""), HYPERLINK(CONCATENATE("#Metadata!", ADDRESS(INDEX($W$2:$W$1001,MATCH(ROWS($U$2:U657),$U$2:$U$1001,0),0), INDEX($AB$1004:$AQ$1004,1,MATCH(COLUMNS($AB$1006:AM1006),$AB$1006:$AQ$1006,0)))),"Fix")))</f>
        <v>0</v>
      </c>
      <c r="N657" s="5">
        <f>IF(OR(INDEX($V$2:$V$1001,MATCH(ROWS($U$2:U657),$U$2:$U$1001,0),1)&gt;=100000,INDEX($AB$1005:$AQ$1005,1,MATCH(COLUMNS($AB$1006:AN1006),$AB$1006:$AQ$1006,0))&gt;=100000), " ",IF(INDEX($AB$2:$AQ$1001,MATCH(ROWS($U$2:U657),$U$2:$U$1001,0),MATCH(COLUMNS($AB$1006:AN1006),$AB$1006:$AQ$1006,0)), HYPERLINK("#",""), HYPERLINK(CONCATENATE("#Metadata!", ADDRESS(INDEX($W$2:$W$1001,MATCH(ROWS($U$2:U657),$U$2:$U$1001,0),0), INDEX($AB$1004:$AQ$1004,1,MATCH(COLUMNS($AB$1006:AN1006),$AB$1006:$AQ$1006,0)))),"Fix")))</f>
        <v>0</v>
      </c>
      <c r="O657" s="5">
        <f>IF(OR(INDEX($V$2:$V$1001,MATCH(ROWS($U$2:U657),$U$2:$U$1001,0),1)&gt;=100000,INDEX($AB$1005:$AQ$1005,1,MATCH(COLUMNS($AB$1006:AO1006),$AB$1006:$AQ$1006,0))&gt;=100000), " ",IF(INDEX($AB$2:$AQ$1001,MATCH(ROWS($U$2:U657),$U$2:$U$1001,0),MATCH(COLUMNS($AB$1006:AO1006),$AB$1006:$AQ$1006,0)), HYPERLINK("#",""), HYPERLINK(CONCATENATE("#Metadata!", ADDRESS(INDEX($W$2:$W$1001,MATCH(ROWS($U$2:U657),$U$2:$U$1001,0),0), INDEX($AB$1004:$AQ$1004,1,MATCH(COLUMNS($AB$1006:AO1006),$AB$1006:$AQ$1006,0)))),"Fix")))</f>
        <v>0</v>
      </c>
      <c r="P657" s="5">
        <f>IF(OR(INDEX($V$2:$V$1001,MATCH(ROWS($U$2:U657),$U$2:$U$1001,0),1)&gt;=100000,INDEX($AB$1005:$AQ$1005,1,MATCH(COLUMNS($AB$1006:AP1006),$AB$1006:$AQ$1006,0))&gt;=100000), " ",IF(INDEX($AB$2:$AQ$1001,MATCH(ROWS($U$2:U657),$U$2:$U$1001,0),MATCH(COLUMNS($AB$1006:AP1006),$AB$1006:$AQ$1006,0)), HYPERLINK("#",""), HYPERLINK(CONCATENATE("#Metadata!", ADDRESS(INDEX($W$2:$W$1001,MATCH(ROWS($U$2:U657),$U$2:$U$1001,0),0), INDEX($AB$1004:$AQ$1004,1,MATCH(COLUMNS($AB$1006:AP1006),$AB$1006:$AQ$1006,0)))),"Fix")))</f>
        <v>0</v>
      </c>
      <c r="Q657" s="5">
        <f>IF(OR(INDEX($V$2:$V$1001,MATCH(ROWS($U$2:U657),$U$2:$U$1001,0),1)&gt;=100000,INDEX($AB$1005:$AQ$1005,1,MATCH(COLUMNS($AB$1006:AQ1006),$AB$1006:$AQ$1006,0))&gt;=100000), " ",IF(INDEX($AB$2:$AQ$1001,MATCH(ROWS($U$2:U657),$U$2:$U$1001,0),MATCH(COLUMNS($AB$1006:AQ1006),$AB$1006:$AQ$1006,0)), HYPERLINK("#",""), HYPERLINK(CONCATENATE("#Metadata!", ADDRESS(INDEX($W$2:$W$1001,MATCH(ROWS($U$2:U657),$U$2:$U$1001,0),0), INDEX($AB$1004:$AQ$1004,1,MATCH(COLUMNS($AB$1006:AQ1006),$AB$1006:$AQ$1006,0)))),"Fix")))</f>
        <v>0</v>
      </c>
      <c r="U657">
        <v>0</v>
      </c>
      <c r="V657">
        <v>0</v>
      </c>
      <c r="W657">
        <v>0</v>
      </c>
      <c r="X657">
        <f>IF(Y657,TRUE,AND(AB657:AQ657))</f>
        <v>0</v>
      </c>
      <c r="Y657">
        <f>COUNTBLANK(Metadata!B657:Q657)=COLUMNS(Metadata!B657:Q657)</f>
        <v>0</v>
      </c>
      <c r="Z657">
        <v>0</v>
      </c>
      <c r="AB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AC657">
        <f>AND(IF(Metadata!C657="",FALSE,TRUE),exact(Metadata!C657,"urban biome"))</f>
        <v>0</v>
      </c>
      <c r="AD657">
        <f>AND(IF(Metadata!D657="",FALSE,TRUE),exact(Metadata!D657,"human-associated habitat"))</f>
        <v>0</v>
      </c>
      <c r="AE657">
        <f>AND(IF(Metadata!E657="",FALSE,TRUE),OR(exact(Metadata!E657,"human-associated"),exact(Metadata!E657,"human-skin"),exact(Metadata!E657,"human-oral"),exact(Metadata!E657,"human-gut"),exact(Metadata!E657,"human-vaginal")))</f>
        <v>0</v>
      </c>
      <c r="AF657">
        <f>AND(IF(Metadata!F657="",FALSE,ISNUMBER(VALUE(Metadata!F657))),Metadata!F657&gt;0)</f>
        <v>0</v>
      </c>
      <c r="AG657">
        <f>AND(IF(Metadata!G657="",FALSE,TRUE),exact(Metadata!G657,"years"))</f>
        <v>0</v>
      </c>
      <c r="AH657">
        <f>OR(AND(IF(Metadata!H657="",FALSE,TRUE),OR(exact(Metadata!H657,"not applicable"),exact(Metadata!H657,"not collected"),exact(Metadata!H657,"not provided"),exact(Metadata!H657,"restricted access"))),AND(IF(Metadata!H657="",FALSE,ISNUMBER(VALUE(Metadata!H657))),Metadata!H657&gt;0))</f>
        <v>0</v>
      </c>
      <c r="AI657">
        <f>AND(IF(Metadata!I657="",FALSE,TRUE),exact(Metadata!I657,"human"))</f>
        <v>0</v>
      </c>
      <c r="AJ657">
        <f>AND(IF(Metadata!J657="",FALSE,ISNUMBER(VALUE(Metadata!J657))),Metadata!J657&gt;0)</f>
        <v>0</v>
      </c>
      <c r="AK657">
        <f>AND(IF(Metadata!K657="",FALSE,TRUE),exact(Metadata!K657,"cm"))</f>
        <v>0</v>
      </c>
      <c r="AL657">
        <f>AND(IF(Metadata!L657="",FALSE,TRUE),exact(Metadata!L657,"Homo sapiens"))</f>
        <v>0</v>
      </c>
      <c r="AM657">
        <f>AND(IF(Metadata!M657="",FALSE,TRUE),exact(Metadata!M657,"9606"))</f>
        <v>0</v>
      </c>
      <c r="AN657">
        <f>AND(IF(Metadata!N657="",FALSE,ISNUMBER(VALUE(Metadata!N657))),Metadata!N657&gt;0)</f>
        <v>0</v>
      </c>
      <c r="AO657">
        <f>AND(IF(Metadata!O657="",FALSE,TRUE),exact(Metadata!O657,"kg"))</f>
        <v>0</v>
      </c>
      <c r="AP657">
        <f>OR(AND(IF(Metadata!P657="",FALSE,TRUE),exact(Metadata!P657,"not provided")),IF(Metadata!P657="",FALSE,TRUE))</f>
        <v>0</v>
      </c>
      <c r="AQ657">
        <f>OR(AND(IF(Metadata!Q657="",FALSE,TRUE),exact(Metadata!Q657,"not provided")),IF(Metadata!Q657="",FALSE,TRUE))</f>
        <v>0</v>
      </c>
    </row>
    <row r="658" spans="1:43">
      <c r="A658" s="4">
        <f>IF(B658=" "," ",HYPERLINK(CONCATENATE("#metadata!",ADDRESS(INDEX($W$2:$W$1001,MATCH(ROWS($U$2:U658),$U$2:$U$1001,0),0),2)),INDEX($Z$2:$Z$1001,MATCH(ROWS($U$2:U658),$U$2:$U$1001,0),0)))</f>
        <v>0</v>
      </c>
      <c r="B658" s="5">
        <f>IF(OR(INDEX($V$2:$V$1001,MATCH(ROWS($U$2:U658),$U$2:$U$1001,0),1)&gt;=100000,INDEX($AB$1005:$AQ$1005,1,MATCH(COLUMNS($AB$1006:AB1006),$AB$1006:$AQ$1006,0))&gt;=100000), " ",IF(INDEX($AB$2:$AQ$1001,MATCH(ROWS($U$2:U658),$U$2:$U$1001,0),MATCH(COLUMNS($AB$1006:AB1006),$AB$1006:$AQ$1006,0)), HYPERLINK("#",""), HYPERLINK(CONCATENATE("#Metadata!", ADDRESS(INDEX($W$2:$W$1001,MATCH(ROWS($U$2:U658),$U$2:$U$1001,0),0), INDEX($AB$1004:$AQ$1004,1,MATCH(COLUMNS($AB$1006:AB1006),$AB$1006:$AQ$1006,0)))),"Fix")))</f>
        <v>0</v>
      </c>
      <c r="C658" s="5">
        <f>IF(OR(INDEX($V$2:$V$1001,MATCH(ROWS($U$2:U658),$U$2:$U$1001,0),1)&gt;=100000,INDEX($AB$1005:$AQ$1005,1,MATCH(COLUMNS($AB$1006:AC1006),$AB$1006:$AQ$1006,0))&gt;=100000), " ",IF(INDEX($AB$2:$AQ$1001,MATCH(ROWS($U$2:U658),$U$2:$U$1001,0),MATCH(COLUMNS($AB$1006:AC1006),$AB$1006:$AQ$1006,0)), HYPERLINK("#",""), HYPERLINK(CONCATENATE("#Metadata!", ADDRESS(INDEX($W$2:$W$1001,MATCH(ROWS($U$2:U658),$U$2:$U$1001,0),0), INDEX($AB$1004:$AQ$1004,1,MATCH(COLUMNS($AB$1006:AC1006),$AB$1006:$AQ$1006,0)))),"Fix")))</f>
        <v>0</v>
      </c>
      <c r="D658" s="5">
        <f>IF(OR(INDEX($V$2:$V$1001,MATCH(ROWS($U$2:U658),$U$2:$U$1001,0),1)&gt;=100000,INDEX($AB$1005:$AQ$1005,1,MATCH(COLUMNS($AB$1006:AD1006),$AB$1006:$AQ$1006,0))&gt;=100000), " ",IF(INDEX($AB$2:$AQ$1001,MATCH(ROWS($U$2:U658),$U$2:$U$1001,0),MATCH(COLUMNS($AB$1006:AD1006),$AB$1006:$AQ$1006,0)), HYPERLINK("#",""), HYPERLINK(CONCATENATE("#Metadata!", ADDRESS(INDEX($W$2:$W$1001,MATCH(ROWS($U$2:U658),$U$2:$U$1001,0),0), INDEX($AB$1004:$AQ$1004,1,MATCH(COLUMNS($AB$1006:AD1006),$AB$1006:$AQ$1006,0)))),"Fix")))</f>
        <v>0</v>
      </c>
      <c r="E658" s="5">
        <f>IF(OR(INDEX($V$2:$V$1001,MATCH(ROWS($U$2:U658),$U$2:$U$1001,0),1)&gt;=100000,INDEX($AB$1005:$AQ$1005,1,MATCH(COLUMNS($AB$1006:AE1006),$AB$1006:$AQ$1006,0))&gt;=100000), " ",IF(INDEX($AB$2:$AQ$1001,MATCH(ROWS($U$2:U658),$U$2:$U$1001,0),MATCH(COLUMNS($AB$1006:AE1006),$AB$1006:$AQ$1006,0)), HYPERLINK("#",""), HYPERLINK(CONCATENATE("#Metadata!", ADDRESS(INDEX($W$2:$W$1001,MATCH(ROWS($U$2:U658),$U$2:$U$1001,0),0), INDEX($AB$1004:$AQ$1004,1,MATCH(COLUMNS($AB$1006:AE1006),$AB$1006:$AQ$1006,0)))),"Fix")))</f>
        <v>0</v>
      </c>
      <c r="F658" s="5">
        <f>IF(OR(INDEX($V$2:$V$1001,MATCH(ROWS($U$2:U658),$U$2:$U$1001,0),1)&gt;=100000,INDEX($AB$1005:$AQ$1005,1,MATCH(COLUMNS($AB$1006:AF1006),$AB$1006:$AQ$1006,0))&gt;=100000), " ",IF(INDEX($AB$2:$AQ$1001,MATCH(ROWS($U$2:U658),$U$2:$U$1001,0),MATCH(COLUMNS($AB$1006:AF1006),$AB$1006:$AQ$1006,0)), HYPERLINK("#",""), HYPERLINK(CONCATENATE("#Metadata!", ADDRESS(INDEX($W$2:$W$1001,MATCH(ROWS($U$2:U658),$U$2:$U$1001,0),0), INDEX($AB$1004:$AQ$1004,1,MATCH(COLUMNS($AB$1006:AF1006),$AB$1006:$AQ$1006,0)))),"Fix")))</f>
        <v>0</v>
      </c>
      <c r="G658" s="5">
        <f>IF(OR(INDEX($V$2:$V$1001,MATCH(ROWS($U$2:U658),$U$2:$U$1001,0),1)&gt;=100000,INDEX($AB$1005:$AQ$1005,1,MATCH(COLUMNS($AB$1006:AG1006),$AB$1006:$AQ$1006,0))&gt;=100000), " ",IF(INDEX($AB$2:$AQ$1001,MATCH(ROWS($U$2:U658),$U$2:$U$1001,0),MATCH(COLUMNS($AB$1006:AG1006),$AB$1006:$AQ$1006,0)), HYPERLINK("#",""), HYPERLINK(CONCATENATE("#Metadata!", ADDRESS(INDEX($W$2:$W$1001,MATCH(ROWS($U$2:U658),$U$2:$U$1001,0),0), INDEX($AB$1004:$AQ$1004,1,MATCH(COLUMNS($AB$1006:AG1006),$AB$1006:$AQ$1006,0)))),"Fix")))</f>
        <v>0</v>
      </c>
      <c r="H658" s="5">
        <f>IF(OR(INDEX($V$2:$V$1001,MATCH(ROWS($U$2:U658),$U$2:$U$1001,0),1)&gt;=100000,INDEX($AB$1005:$AQ$1005,1,MATCH(COLUMNS($AB$1006:AH1006),$AB$1006:$AQ$1006,0))&gt;=100000), " ",IF(INDEX($AB$2:$AQ$1001,MATCH(ROWS($U$2:U658),$U$2:$U$1001,0),MATCH(COLUMNS($AB$1006:AH1006),$AB$1006:$AQ$1006,0)), HYPERLINK("#",""), HYPERLINK(CONCATENATE("#Metadata!", ADDRESS(INDEX($W$2:$W$1001,MATCH(ROWS($U$2:U658),$U$2:$U$1001,0),0), INDEX($AB$1004:$AQ$1004,1,MATCH(COLUMNS($AB$1006:AH1006),$AB$1006:$AQ$1006,0)))),"Fix")))</f>
        <v>0</v>
      </c>
      <c r="I658" s="5">
        <f>IF(OR(INDEX($V$2:$V$1001,MATCH(ROWS($U$2:U658),$U$2:$U$1001,0),1)&gt;=100000,INDEX($AB$1005:$AQ$1005,1,MATCH(COLUMNS($AB$1006:AI1006),$AB$1006:$AQ$1006,0))&gt;=100000), " ",IF(INDEX($AB$2:$AQ$1001,MATCH(ROWS($U$2:U658),$U$2:$U$1001,0),MATCH(COLUMNS($AB$1006:AI1006),$AB$1006:$AQ$1006,0)), HYPERLINK("#",""), HYPERLINK(CONCATENATE("#Metadata!", ADDRESS(INDEX($W$2:$W$1001,MATCH(ROWS($U$2:U658),$U$2:$U$1001,0),0), INDEX($AB$1004:$AQ$1004,1,MATCH(COLUMNS($AB$1006:AI1006),$AB$1006:$AQ$1006,0)))),"Fix")))</f>
        <v>0</v>
      </c>
      <c r="J658" s="5">
        <f>IF(OR(INDEX($V$2:$V$1001,MATCH(ROWS($U$2:U658),$U$2:$U$1001,0),1)&gt;=100000,INDEX($AB$1005:$AQ$1005,1,MATCH(COLUMNS($AB$1006:AJ1006),$AB$1006:$AQ$1006,0))&gt;=100000), " ",IF(INDEX($AB$2:$AQ$1001,MATCH(ROWS($U$2:U658),$U$2:$U$1001,0),MATCH(COLUMNS($AB$1006:AJ1006),$AB$1006:$AQ$1006,0)), HYPERLINK("#",""), HYPERLINK(CONCATENATE("#Metadata!", ADDRESS(INDEX($W$2:$W$1001,MATCH(ROWS($U$2:U658),$U$2:$U$1001,0),0), INDEX($AB$1004:$AQ$1004,1,MATCH(COLUMNS($AB$1006:AJ1006),$AB$1006:$AQ$1006,0)))),"Fix")))</f>
        <v>0</v>
      </c>
      <c r="K658" s="5">
        <f>IF(OR(INDEX($V$2:$V$1001,MATCH(ROWS($U$2:U658),$U$2:$U$1001,0),1)&gt;=100000,INDEX($AB$1005:$AQ$1005,1,MATCH(COLUMNS($AB$1006:AK1006),$AB$1006:$AQ$1006,0))&gt;=100000), " ",IF(INDEX($AB$2:$AQ$1001,MATCH(ROWS($U$2:U658),$U$2:$U$1001,0),MATCH(COLUMNS($AB$1006:AK1006),$AB$1006:$AQ$1006,0)), HYPERLINK("#",""), HYPERLINK(CONCATENATE("#Metadata!", ADDRESS(INDEX($W$2:$W$1001,MATCH(ROWS($U$2:U658),$U$2:$U$1001,0),0), INDEX($AB$1004:$AQ$1004,1,MATCH(COLUMNS($AB$1006:AK1006),$AB$1006:$AQ$1006,0)))),"Fix")))</f>
        <v>0</v>
      </c>
      <c r="L658" s="5">
        <f>IF(OR(INDEX($V$2:$V$1001,MATCH(ROWS($U$2:U658),$U$2:$U$1001,0),1)&gt;=100000,INDEX($AB$1005:$AQ$1005,1,MATCH(COLUMNS($AB$1006:AL1006),$AB$1006:$AQ$1006,0))&gt;=100000), " ",IF(INDEX($AB$2:$AQ$1001,MATCH(ROWS($U$2:U658),$U$2:$U$1001,0),MATCH(COLUMNS($AB$1006:AL1006),$AB$1006:$AQ$1006,0)), HYPERLINK("#",""), HYPERLINK(CONCATENATE("#Metadata!", ADDRESS(INDEX($W$2:$W$1001,MATCH(ROWS($U$2:U658),$U$2:$U$1001,0),0), INDEX($AB$1004:$AQ$1004,1,MATCH(COLUMNS($AB$1006:AL1006),$AB$1006:$AQ$1006,0)))),"Fix")))</f>
        <v>0</v>
      </c>
      <c r="M658" s="5">
        <f>IF(OR(INDEX($V$2:$V$1001,MATCH(ROWS($U$2:U658),$U$2:$U$1001,0),1)&gt;=100000,INDEX($AB$1005:$AQ$1005,1,MATCH(COLUMNS($AB$1006:AM1006),$AB$1006:$AQ$1006,0))&gt;=100000), " ",IF(INDEX($AB$2:$AQ$1001,MATCH(ROWS($U$2:U658),$U$2:$U$1001,0),MATCH(COLUMNS($AB$1006:AM1006),$AB$1006:$AQ$1006,0)), HYPERLINK("#",""), HYPERLINK(CONCATENATE("#Metadata!", ADDRESS(INDEX($W$2:$W$1001,MATCH(ROWS($U$2:U658),$U$2:$U$1001,0),0), INDEX($AB$1004:$AQ$1004,1,MATCH(COLUMNS($AB$1006:AM1006),$AB$1006:$AQ$1006,0)))),"Fix")))</f>
        <v>0</v>
      </c>
      <c r="N658" s="5">
        <f>IF(OR(INDEX($V$2:$V$1001,MATCH(ROWS($U$2:U658),$U$2:$U$1001,0),1)&gt;=100000,INDEX($AB$1005:$AQ$1005,1,MATCH(COLUMNS($AB$1006:AN1006),$AB$1006:$AQ$1006,0))&gt;=100000), " ",IF(INDEX($AB$2:$AQ$1001,MATCH(ROWS($U$2:U658),$U$2:$U$1001,0),MATCH(COLUMNS($AB$1006:AN1006),$AB$1006:$AQ$1006,0)), HYPERLINK("#",""), HYPERLINK(CONCATENATE("#Metadata!", ADDRESS(INDEX($W$2:$W$1001,MATCH(ROWS($U$2:U658),$U$2:$U$1001,0),0), INDEX($AB$1004:$AQ$1004,1,MATCH(COLUMNS($AB$1006:AN1006),$AB$1006:$AQ$1006,0)))),"Fix")))</f>
        <v>0</v>
      </c>
      <c r="O658" s="5">
        <f>IF(OR(INDEX($V$2:$V$1001,MATCH(ROWS($U$2:U658),$U$2:$U$1001,0),1)&gt;=100000,INDEX($AB$1005:$AQ$1005,1,MATCH(COLUMNS($AB$1006:AO1006),$AB$1006:$AQ$1006,0))&gt;=100000), " ",IF(INDEX($AB$2:$AQ$1001,MATCH(ROWS($U$2:U658),$U$2:$U$1001,0),MATCH(COLUMNS($AB$1006:AO1006),$AB$1006:$AQ$1006,0)), HYPERLINK("#",""), HYPERLINK(CONCATENATE("#Metadata!", ADDRESS(INDEX($W$2:$W$1001,MATCH(ROWS($U$2:U658),$U$2:$U$1001,0),0), INDEX($AB$1004:$AQ$1004,1,MATCH(COLUMNS($AB$1006:AO1006),$AB$1006:$AQ$1006,0)))),"Fix")))</f>
        <v>0</v>
      </c>
      <c r="P658" s="5">
        <f>IF(OR(INDEX($V$2:$V$1001,MATCH(ROWS($U$2:U658),$U$2:$U$1001,0),1)&gt;=100000,INDEX($AB$1005:$AQ$1005,1,MATCH(COLUMNS($AB$1006:AP1006),$AB$1006:$AQ$1006,0))&gt;=100000), " ",IF(INDEX($AB$2:$AQ$1001,MATCH(ROWS($U$2:U658),$U$2:$U$1001,0),MATCH(COLUMNS($AB$1006:AP1006),$AB$1006:$AQ$1006,0)), HYPERLINK("#",""), HYPERLINK(CONCATENATE("#Metadata!", ADDRESS(INDEX($W$2:$W$1001,MATCH(ROWS($U$2:U658),$U$2:$U$1001,0),0), INDEX($AB$1004:$AQ$1004,1,MATCH(COLUMNS($AB$1006:AP1006),$AB$1006:$AQ$1006,0)))),"Fix")))</f>
        <v>0</v>
      </c>
      <c r="Q658" s="5">
        <f>IF(OR(INDEX($V$2:$V$1001,MATCH(ROWS($U$2:U658),$U$2:$U$1001,0),1)&gt;=100000,INDEX($AB$1005:$AQ$1005,1,MATCH(COLUMNS($AB$1006:AQ1006),$AB$1006:$AQ$1006,0))&gt;=100000), " ",IF(INDEX($AB$2:$AQ$1001,MATCH(ROWS($U$2:U658),$U$2:$U$1001,0),MATCH(COLUMNS($AB$1006:AQ1006),$AB$1006:$AQ$1006,0)), HYPERLINK("#",""), HYPERLINK(CONCATENATE("#Metadata!", ADDRESS(INDEX($W$2:$W$1001,MATCH(ROWS($U$2:U658),$U$2:$U$1001,0),0), INDEX($AB$1004:$AQ$1004,1,MATCH(COLUMNS($AB$1006:AQ1006),$AB$1006:$AQ$1006,0)))),"Fix")))</f>
        <v>0</v>
      </c>
      <c r="U658">
        <v>0</v>
      </c>
      <c r="V658">
        <v>0</v>
      </c>
      <c r="W658">
        <v>0</v>
      </c>
      <c r="X658">
        <f>IF(Y658,TRUE,AND(AB658:AQ658))</f>
        <v>0</v>
      </c>
      <c r="Y658">
        <f>COUNTBLANK(Metadata!B658:Q658)=COLUMNS(Metadata!B658:Q658)</f>
        <v>0</v>
      </c>
      <c r="Z658">
        <v>0</v>
      </c>
      <c r="AB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AC658">
        <f>AND(IF(Metadata!C658="",FALSE,TRUE),exact(Metadata!C658,"urban biome"))</f>
        <v>0</v>
      </c>
      <c r="AD658">
        <f>AND(IF(Metadata!D658="",FALSE,TRUE),exact(Metadata!D658,"human-associated habitat"))</f>
        <v>0</v>
      </c>
      <c r="AE658">
        <f>AND(IF(Metadata!E658="",FALSE,TRUE),OR(exact(Metadata!E658,"human-associated"),exact(Metadata!E658,"human-skin"),exact(Metadata!E658,"human-oral"),exact(Metadata!E658,"human-gut"),exact(Metadata!E658,"human-vaginal")))</f>
        <v>0</v>
      </c>
      <c r="AF658">
        <f>AND(IF(Metadata!F658="",FALSE,ISNUMBER(VALUE(Metadata!F658))),Metadata!F658&gt;0)</f>
        <v>0</v>
      </c>
      <c r="AG658">
        <f>AND(IF(Metadata!G658="",FALSE,TRUE),exact(Metadata!G658,"years"))</f>
        <v>0</v>
      </c>
      <c r="AH658">
        <f>OR(AND(IF(Metadata!H658="",FALSE,TRUE),OR(exact(Metadata!H658,"not applicable"),exact(Metadata!H658,"not collected"),exact(Metadata!H658,"not provided"),exact(Metadata!H658,"restricted access"))),AND(IF(Metadata!H658="",FALSE,ISNUMBER(VALUE(Metadata!H658))),Metadata!H658&gt;0))</f>
        <v>0</v>
      </c>
      <c r="AI658">
        <f>AND(IF(Metadata!I658="",FALSE,TRUE),exact(Metadata!I658,"human"))</f>
        <v>0</v>
      </c>
      <c r="AJ658">
        <f>AND(IF(Metadata!J658="",FALSE,ISNUMBER(VALUE(Metadata!J658))),Metadata!J658&gt;0)</f>
        <v>0</v>
      </c>
      <c r="AK658">
        <f>AND(IF(Metadata!K658="",FALSE,TRUE),exact(Metadata!K658,"cm"))</f>
        <v>0</v>
      </c>
      <c r="AL658">
        <f>AND(IF(Metadata!L658="",FALSE,TRUE),exact(Metadata!L658,"Homo sapiens"))</f>
        <v>0</v>
      </c>
      <c r="AM658">
        <f>AND(IF(Metadata!M658="",FALSE,TRUE),exact(Metadata!M658,"9606"))</f>
        <v>0</v>
      </c>
      <c r="AN658">
        <f>AND(IF(Metadata!N658="",FALSE,ISNUMBER(VALUE(Metadata!N658))),Metadata!N658&gt;0)</f>
        <v>0</v>
      </c>
      <c r="AO658">
        <f>AND(IF(Metadata!O658="",FALSE,TRUE),exact(Metadata!O658,"kg"))</f>
        <v>0</v>
      </c>
      <c r="AP658">
        <f>OR(AND(IF(Metadata!P658="",FALSE,TRUE),exact(Metadata!P658,"not provided")),IF(Metadata!P658="",FALSE,TRUE))</f>
        <v>0</v>
      </c>
      <c r="AQ658">
        <f>OR(AND(IF(Metadata!Q658="",FALSE,TRUE),exact(Metadata!Q658,"not provided")),IF(Metadata!Q658="",FALSE,TRUE))</f>
        <v>0</v>
      </c>
    </row>
    <row r="659" spans="1:43">
      <c r="A659" s="4">
        <f>IF(B659=" "," ",HYPERLINK(CONCATENATE("#metadata!",ADDRESS(INDEX($W$2:$W$1001,MATCH(ROWS($U$2:U659),$U$2:$U$1001,0),0),2)),INDEX($Z$2:$Z$1001,MATCH(ROWS($U$2:U659),$U$2:$U$1001,0),0)))</f>
        <v>0</v>
      </c>
      <c r="B659" s="5">
        <f>IF(OR(INDEX($V$2:$V$1001,MATCH(ROWS($U$2:U659),$U$2:$U$1001,0),1)&gt;=100000,INDEX($AB$1005:$AQ$1005,1,MATCH(COLUMNS($AB$1006:AB1006),$AB$1006:$AQ$1006,0))&gt;=100000), " ",IF(INDEX($AB$2:$AQ$1001,MATCH(ROWS($U$2:U659),$U$2:$U$1001,0),MATCH(COLUMNS($AB$1006:AB1006),$AB$1006:$AQ$1006,0)), HYPERLINK("#",""), HYPERLINK(CONCATENATE("#Metadata!", ADDRESS(INDEX($W$2:$W$1001,MATCH(ROWS($U$2:U659),$U$2:$U$1001,0),0), INDEX($AB$1004:$AQ$1004,1,MATCH(COLUMNS($AB$1006:AB1006),$AB$1006:$AQ$1006,0)))),"Fix")))</f>
        <v>0</v>
      </c>
      <c r="C659" s="5">
        <f>IF(OR(INDEX($V$2:$V$1001,MATCH(ROWS($U$2:U659),$U$2:$U$1001,0),1)&gt;=100000,INDEX($AB$1005:$AQ$1005,1,MATCH(COLUMNS($AB$1006:AC1006),$AB$1006:$AQ$1006,0))&gt;=100000), " ",IF(INDEX($AB$2:$AQ$1001,MATCH(ROWS($U$2:U659),$U$2:$U$1001,0),MATCH(COLUMNS($AB$1006:AC1006),$AB$1006:$AQ$1006,0)), HYPERLINK("#",""), HYPERLINK(CONCATENATE("#Metadata!", ADDRESS(INDEX($W$2:$W$1001,MATCH(ROWS($U$2:U659),$U$2:$U$1001,0),0), INDEX($AB$1004:$AQ$1004,1,MATCH(COLUMNS($AB$1006:AC1006),$AB$1006:$AQ$1006,0)))),"Fix")))</f>
        <v>0</v>
      </c>
      <c r="D659" s="5">
        <f>IF(OR(INDEX($V$2:$V$1001,MATCH(ROWS($U$2:U659),$U$2:$U$1001,0),1)&gt;=100000,INDEX($AB$1005:$AQ$1005,1,MATCH(COLUMNS($AB$1006:AD1006),$AB$1006:$AQ$1006,0))&gt;=100000), " ",IF(INDEX($AB$2:$AQ$1001,MATCH(ROWS($U$2:U659),$U$2:$U$1001,0),MATCH(COLUMNS($AB$1006:AD1006),$AB$1006:$AQ$1006,0)), HYPERLINK("#",""), HYPERLINK(CONCATENATE("#Metadata!", ADDRESS(INDEX($W$2:$W$1001,MATCH(ROWS($U$2:U659),$U$2:$U$1001,0),0), INDEX($AB$1004:$AQ$1004,1,MATCH(COLUMNS($AB$1006:AD1006),$AB$1006:$AQ$1006,0)))),"Fix")))</f>
        <v>0</v>
      </c>
      <c r="E659" s="5">
        <f>IF(OR(INDEX($V$2:$V$1001,MATCH(ROWS($U$2:U659),$U$2:$U$1001,0),1)&gt;=100000,INDEX($AB$1005:$AQ$1005,1,MATCH(COLUMNS($AB$1006:AE1006),$AB$1006:$AQ$1006,0))&gt;=100000), " ",IF(INDEX($AB$2:$AQ$1001,MATCH(ROWS($U$2:U659),$U$2:$U$1001,0),MATCH(COLUMNS($AB$1006:AE1006),$AB$1006:$AQ$1006,0)), HYPERLINK("#",""), HYPERLINK(CONCATENATE("#Metadata!", ADDRESS(INDEX($W$2:$W$1001,MATCH(ROWS($U$2:U659),$U$2:$U$1001,0),0), INDEX($AB$1004:$AQ$1004,1,MATCH(COLUMNS($AB$1006:AE1006),$AB$1006:$AQ$1006,0)))),"Fix")))</f>
        <v>0</v>
      </c>
      <c r="F659" s="5">
        <f>IF(OR(INDEX($V$2:$V$1001,MATCH(ROWS($U$2:U659),$U$2:$U$1001,0),1)&gt;=100000,INDEX($AB$1005:$AQ$1005,1,MATCH(COLUMNS($AB$1006:AF1006),$AB$1006:$AQ$1006,0))&gt;=100000), " ",IF(INDEX($AB$2:$AQ$1001,MATCH(ROWS($U$2:U659),$U$2:$U$1001,0),MATCH(COLUMNS($AB$1006:AF1006),$AB$1006:$AQ$1006,0)), HYPERLINK("#",""), HYPERLINK(CONCATENATE("#Metadata!", ADDRESS(INDEX($W$2:$W$1001,MATCH(ROWS($U$2:U659),$U$2:$U$1001,0),0), INDEX($AB$1004:$AQ$1004,1,MATCH(COLUMNS($AB$1006:AF1006),$AB$1006:$AQ$1006,0)))),"Fix")))</f>
        <v>0</v>
      </c>
      <c r="G659" s="5">
        <f>IF(OR(INDEX($V$2:$V$1001,MATCH(ROWS($U$2:U659),$U$2:$U$1001,0),1)&gt;=100000,INDEX($AB$1005:$AQ$1005,1,MATCH(COLUMNS($AB$1006:AG1006),$AB$1006:$AQ$1006,0))&gt;=100000), " ",IF(INDEX($AB$2:$AQ$1001,MATCH(ROWS($U$2:U659),$U$2:$U$1001,0),MATCH(COLUMNS($AB$1006:AG1006),$AB$1006:$AQ$1006,0)), HYPERLINK("#",""), HYPERLINK(CONCATENATE("#Metadata!", ADDRESS(INDEX($W$2:$W$1001,MATCH(ROWS($U$2:U659),$U$2:$U$1001,0),0), INDEX($AB$1004:$AQ$1004,1,MATCH(COLUMNS($AB$1006:AG1006),$AB$1006:$AQ$1006,0)))),"Fix")))</f>
        <v>0</v>
      </c>
      <c r="H659" s="5">
        <f>IF(OR(INDEX($V$2:$V$1001,MATCH(ROWS($U$2:U659),$U$2:$U$1001,0),1)&gt;=100000,INDEX($AB$1005:$AQ$1005,1,MATCH(COLUMNS($AB$1006:AH1006),$AB$1006:$AQ$1006,0))&gt;=100000), " ",IF(INDEX($AB$2:$AQ$1001,MATCH(ROWS($U$2:U659),$U$2:$U$1001,0),MATCH(COLUMNS($AB$1006:AH1006),$AB$1006:$AQ$1006,0)), HYPERLINK("#",""), HYPERLINK(CONCATENATE("#Metadata!", ADDRESS(INDEX($W$2:$W$1001,MATCH(ROWS($U$2:U659),$U$2:$U$1001,0),0), INDEX($AB$1004:$AQ$1004,1,MATCH(COLUMNS($AB$1006:AH1006),$AB$1006:$AQ$1006,0)))),"Fix")))</f>
        <v>0</v>
      </c>
      <c r="I659" s="5">
        <f>IF(OR(INDEX($V$2:$V$1001,MATCH(ROWS($U$2:U659),$U$2:$U$1001,0),1)&gt;=100000,INDEX($AB$1005:$AQ$1005,1,MATCH(COLUMNS($AB$1006:AI1006),$AB$1006:$AQ$1006,0))&gt;=100000), " ",IF(INDEX($AB$2:$AQ$1001,MATCH(ROWS($U$2:U659),$U$2:$U$1001,0),MATCH(COLUMNS($AB$1006:AI1006),$AB$1006:$AQ$1006,0)), HYPERLINK("#",""), HYPERLINK(CONCATENATE("#Metadata!", ADDRESS(INDEX($W$2:$W$1001,MATCH(ROWS($U$2:U659),$U$2:$U$1001,0),0), INDEX($AB$1004:$AQ$1004,1,MATCH(COLUMNS($AB$1006:AI1006),$AB$1006:$AQ$1006,0)))),"Fix")))</f>
        <v>0</v>
      </c>
      <c r="J659" s="5">
        <f>IF(OR(INDEX($V$2:$V$1001,MATCH(ROWS($U$2:U659),$U$2:$U$1001,0),1)&gt;=100000,INDEX($AB$1005:$AQ$1005,1,MATCH(COLUMNS($AB$1006:AJ1006),$AB$1006:$AQ$1006,0))&gt;=100000), " ",IF(INDEX($AB$2:$AQ$1001,MATCH(ROWS($U$2:U659),$U$2:$U$1001,0),MATCH(COLUMNS($AB$1006:AJ1006),$AB$1006:$AQ$1006,0)), HYPERLINK("#",""), HYPERLINK(CONCATENATE("#Metadata!", ADDRESS(INDEX($W$2:$W$1001,MATCH(ROWS($U$2:U659),$U$2:$U$1001,0),0), INDEX($AB$1004:$AQ$1004,1,MATCH(COLUMNS($AB$1006:AJ1006),$AB$1006:$AQ$1006,0)))),"Fix")))</f>
        <v>0</v>
      </c>
      <c r="K659" s="5">
        <f>IF(OR(INDEX($V$2:$V$1001,MATCH(ROWS($U$2:U659),$U$2:$U$1001,0),1)&gt;=100000,INDEX($AB$1005:$AQ$1005,1,MATCH(COLUMNS($AB$1006:AK1006),$AB$1006:$AQ$1006,0))&gt;=100000), " ",IF(INDEX($AB$2:$AQ$1001,MATCH(ROWS($U$2:U659),$U$2:$U$1001,0),MATCH(COLUMNS($AB$1006:AK1006),$AB$1006:$AQ$1006,0)), HYPERLINK("#",""), HYPERLINK(CONCATENATE("#Metadata!", ADDRESS(INDEX($W$2:$W$1001,MATCH(ROWS($U$2:U659),$U$2:$U$1001,0),0), INDEX($AB$1004:$AQ$1004,1,MATCH(COLUMNS($AB$1006:AK1006),$AB$1006:$AQ$1006,0)))),"Fix")))</f>
        <v>0</v>
      </c>
      <c r="L659" s="5">
        <f>IF(OR(INDEX($V$2:$V$1001,MATCH(ROWS($U$2:U659),$U$2:$U$1001,0),1)&gt;=100000,INDEX($AB$1005:$AQ$1005,1,MATCH(COLUMNS($AB$1006:AL1006),$AB$1006:$AQ$1006,0))&gt;=100000), " ",IF(INDEX($AB$2:$AQ$1001,MATCH(ROWS($U$2:U659),$U$2:$U$1001,0),MATCH(COLUMNS($AB$1006:AL1006),$AB$1006:$AQ$1006,0)), HYPERLINK("#",""), HYPERLINK(CONCATENATE("#Metadata!", ADDRESS(INDEX($W$2:$W$1001,MATCH(ROWS($U$2:U659),$U$2:$U$1001,0),0), INDEX($AB$1004:$AQ$1004,1,MATCH(COLUMNS($AB$1006:AL1006),$AB$1006:$AQ$1006,0)))),"Fix")))</f>
        <v>0</v>
      </c>
      <c r="M659" s="5">
        <f>IF(OR(INDEX($V$2:$V$1001,MATCH(ROWS($U$2:U659),$U$2:$U$1001,0),1)&gt;=100000,INDEX($AB$1005:$AQ$1005,1,MATCH(COLUMNS($AB$1006:AM1006),$AB$1006:$AQ$1006,0))&gt;=100000), " ",IF(INDEX($AB$2:$AQ$1001,MATCH(ROWS($U$2:U659),$U$2:$U$1001,0),MATCH(COLUMNS($AB$1006:AM1006),$AB$1006:$AQ$1006,0)), HYPERLINK("#",""), HYPERLINK(CONCATENATE("#Metadata!", ADDRESS(INDEX($W$2:$W$1001,MATCH(ROWS($U$2:U659),$U$2:$U$1001,0),0), INDEX($AB$1004:$AQ$1004,1,MATCH(COLUMNS($AB$1006:AM1006),$AB$1006:$AQ$1006,0)))),"Fix")))</f>
        <v>0</v>
      </c>
      <c r="N659" s="5">
        <f>IF(OR(INDEX($V$2:$V$1001,MATCH(ROWS($U$2:U659),$U$2:$U$1001,0),1)&gt;=100000,INDEX($AB$1005:$AQ$1005,1,MATCH(COLUMNS($AB$1006:AN1006),$AB$1006:$AQ$1006,0))&gt;=100000), " ",IF(INDEX($AB$2:$AQ$1001,MATCH(ROWS($U$2:U659),$U$2:$U$1001,0),MATCH(COLUMNS($AB$1006:AN1006),$AB$1006:$AQ$1006,0)), HYPERLINK("#",""), HYPERLINK(CONCATENATE("#Metadata!", ADDRESS(INDEX($W$2:$W$1001,MATCH(ROWS($U$2:U659),$U$2:$U$1001,0),0), INDEX($AB$1004:$AQ$1004,1,MATCH(COLUMNS($AB$1006:AN1006),$AB$1006:$AQ$1006,0)))),"Fix")))</f>
        <v>0</v>
      </c>
      <c r="O659" s="5">
        <f>IF(OR(INDEX($V$2:$V$1001,MATCH(ROWS($U$2:U659),$U$2:$U$1001,0),1)&gt;=100000,INDEX($AB$1005:$AQ$1005,1,MATCH(COLUMNS($AB$1006:AO1006),$AB$1006:$AQ$1006,0))&gt;=100000), " ",IF(INDEX($AB$2:$AQ$1001,MATCH(ROWS($U$2:U659),$U$2:$U$1001,0),MATCH(COLUMNS($AB$1006:AO1006),$AB$1006:$AQ$1006,0)), HYPERLINK("#",""), HYPERLINK(CONCATENATE("#Metadata!", ADDRESS(INDEX($W$2:$W$1001,MATCH(ROWS($U$2:U659),$U$2:$U$1001,0),0), INDEX($AB$1004:$AQ$1004,1,MATCH(COLUMNS($AB$1006:AO1006),$AB$1006:$AQ$1006,0)))),"Fix")))</f>
        <v>0</v>
      </c>
      <c r="P659" s="5">
        <f>IF(OR(INDEX($V$2:$V$1001,MATCH(ROWS($U$2:U659),$U$2:$U$1001,0),1)&gt;=100000,INDEX($AB$1005:$AQ$1005,1,MATCH(COLUMNS($AB$1006:AP1006),$AB$1006:$AQ$1006,0))&gt;=100000), " ",IF(INDEX($AB$2:$AQ$1001,MATCH(ROWS($U$2:U659),$U$2:$U$1001,0),MATCH(COLUMNS($AB$1006:AP1006),$AB$1006:$AQ$1006,0)), HYPERLINK("#",""), HYPERLINK(CONCATENATE("#Metadata!", ADDRESS(INDEX($W$2:$W$1001,MATCH(ROWS($U$2:U659),$U$2:$U$1001,0),0), INDEX($AB$1004:$AQ$1004,1,MATCH(COLUMNS($AB$1006:AP1006),$AB$1006:$AQ$1006,0)))),"Fix")))</f>
        <v>0</v>
      </c>
      <c r="Q659" s="5">
        <f>IF(OR(INDEX($V$2:$V$1001,MATCH(ROWS($U$2:U659),$U$2:$U$1001,0),1)&gt;=100000,INDEX($AB$1005:$AQ$1005,1,MATCH(COLUMNS($AB$1006:AQ1006),$AB$1006:$AQ$1006,0))&gt;=100000), " ",IF(INDEX($AB$2:$AQ$1001,MATCH(ROWS($U$2:U659),$U$2:$U$1001,0),MATCH(COLUMNS($AB$1006:AQ1006),$AB$1006:$AQ$1006,0)), HYPERLINK("#",""), HYPERLINK(CONCATENATE("#Metadata!", ADDRESS(INDEX($W$2:$W$1001,MATCH(ROWS($U$2:U659),$U$2:$U$1001,0),0), INDEX($AB$1004:$AQ$1004,1,MATCH(COLUMNS($AB$1006:AQ1006),$AB$1006:$AQ$1006,0)))),"Fix")))</f>
        <v>0</v>
      </c>
      <c r="U659">
        <v>0</v>
      </c>
      <c r="V659">
        <v>0</v>
      </c>
      <c r="W659">
        <v>0</v>
      </c>
      <c r="X659">
        <f>IF(Y659,TRUE,AND(AB659:AQ659))</f>
        <v>0</v>
      </c>
      <c r="Y659">
        <f>COUNTBLANK(Metadata!B659:Q659)=COLUMNS(Metadata!B659:Q659)</f>
        <v>0</v>
      </c>
      <c r="Z659">
        <v>0</v>
      </c>
      <c r="AB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AC659">
        <f>AND(IF(Metadata!C659="",FALSE,TRUE),exact(Metadata!C659,"urban biome"))</f>
        <v>0</v>
      </c>
      <c r="AD659">
        <f>AND(IF(Metadata!D659="",FALSE,TRUE),exact(Metadata!D659,"human-associated habitat"))</f>
        <v>0</v>
      </c>
      <c r="AE659">
        <f>AND(IF(Metadata!E659="",FALSE,TRUE),OR(exact(Metadata!E659,"human-associated"),exact(Metadata!E659,"human-skin"),exact(Metadata!E659,"human-oral"),exact(Metadata!E659,"human-gut"),exact(Metadata!E659,"human-vaginal")))</f>
        <v>0</v>
      </c>
      <c r="AF659">
        <f>AND(IF(Metadata!F659="",FALSE,ISNUMBER(VALUE(Metadata!F659))),Metadata!F659&gt;0)</f>
        <v>0</v>
      </c>
      <c r="AG659">
        <f>AND(IF(Metadata!G659="",FALSE,TRUE),exact(Metadata!G659,"years"))</f>
        <v>0</v>
      </c>
      <c r="AH659">
        <f>OR(AND(IF(Metadata!H659="",FALSE,TRUE),OR(exact(Metadata!H659,"not applicable"),exact(Metadata!H659,"not collected"),exact(Metadata!H659,"not provided"),exact(Metadata!H659,"restricted access"))),AND(IF(Metadata!H659="",FALSE,ISNUMBER(VALUE(Metadata!H659))),Metadata!H659&gt;0))</f>
        <v>0</v>
      </c>
      <c r="AI659">
        <f>AND(IF(Metadata!I659="",FALSE,TRUE),exact(Metadata!I659,"human"))</f>
        <v>0</v>
      </c>
      <c r="AJ659">
        <f>AND(IF(Metadata!J659="",FALSE,ISNUMBER(VALUE(Metadata!J659))),Metadata!J659&gt;0)</f>
        <v>0</v>
      </c>
      <c r="AK659">
        <f>AND(IF(Metadata!K659="",FALSE,TRUE),exact(Metadata!K659,"cm"))</f>
        <v>0</v>
      </c>
      <c r="AL659">
        <f>AND(IF(Metadata!L659="",FALSE,TRUE),exact(Metadata!L659,"Homo sapiens"))</f>
        <v>0</v>
      </c>
      <c r="AM659">
        <f>AND(IF(Metadata!M659="",FALSE,TRUE),exact(Metadata!M659,"9606"))</f>
        <v>0</v>
      </c>
      <c r="AN659">
        <f>AND(IF(Metadata!N659="",FALSE,ISNUMBER(VALUE(Metadata!N659))),Metadata!N659&gt;0)</f>
        <v>0</v>
      </c>
      <c r="AO659">
        <f>AND(IF(Metadata!O659="",FALSE,TRUE),exact(Metadata!O659,"kg"))</f>
        <v>0</v>
      </c>
      <c r="AP659">
        <f>OR(AND(IF(Metadata!P659="",FALSE,TRUE),exact(Metadata!P659,"not provided")),IF(Metadata!P659="",FALSE,TRUE))</f>
        <v>0</v>
      </c>
      <c r="AQ659">
        <f>OR(AND(IF(Metadata!Q659="",FALSE,TRUE),exact(Metadata!Q659,"not provided")),IF(Metadata!Q659="",FALSE,TRUE))</f>
        <v>0</v>
      </c>
    </row>
    <row r="660" spans="1:43">
      <c r="A660" s="4">
        <f>IF(B660=" "," ",HYPERLINK(CONCATENATE("#metadata!",ADDRESS(INDEX($W$2:$W$1001,MATCH(ROWS($U$2:U660),$U$2:$U$1001,0),0),2)),INDEX($Z$2:$Z$1001,MATCH(ROWS($U$2:U660),$U$2:$U$1001,0),0)))</f>
        <v>0</v>
      </c>
      <c r="B660" s="5">
        <f>IF(OR(INDEX($V$2:$V$1001,MATCH(ROWS($U$2:U660),$U$2:$U$1001,0),1)&gt;=100000,INDEX($AB$1005:$AQ$1005,1,MATCH(COLUMNS($AB$1006:AB1006),$AB$1006:$AQ$1006,0))&gt;=100000), " ",IF(INDEX($AB$2:$AQ$1001,MATCH(ROWS($U$2:U660),$U$2:$U$1001,0),MATCH(COLUMNS($AB$1006:AB1006),$AB$1006:$AQ$1006,0)), HYPERLINK("#",""), HYPERLINK(CONCATENATE("#Metadata!", ADDRESS(INDEX($W$2:$W$1001,MATCH(ROWS($U$2:U660),$U$2:$U$1001,0),0), INDEX($AB$1004:$AQ$1004,1,MATCH(COLUMNS($AB$1006:AB1006),$AB$1006:$AQ$1006,0)))),"Fix")))</f>
        <v>0</v>
      </c>
      <c r="C660" s="5">
        <f>IF(OR(INDEX($V$2:$V$1001,MATCH(ROWS($U$2:U660),$U$2:$U$1001,0),1)&gt;=100000,INDEX($AB$1005:$AQ$1005,1,MATCH(COLUMNS($AB$1006:AC1006),$AB$1006:$AQ$1006,0))&gt;=100000), " ",IF(INDEX($AB$2:$AQ$1001,MATCH(ROWS($U$2:U660),$U$2:$U$1001,0),MATCH(COLUMNS($AB$1006:AC1006),$AB$1006:$AQ$1006,0)), HYPERLINK("#",""), HYPERLINK(CONCATENATE("#Metadata!", ADDRESS(INDEX($W$2:$W$1001,MATCH(ROWS($U$2:U660),$U$2:$U$1001,0),0), INDEX($AB$1004:$AQ$1004,1,MATCH(COLUMNS($AB$1006:AC1006),$AB$1006:$AQ$1006,0)))),"Fix")))</f>
        <v>0</v>
      </c>
      <c r="D660" s="5">
        <f>IF(OR(INDEX($V$2:$V$1001,MATCH(ROWS($U$2:U660),$U$2:$U$1001,0),1)&gt;=100000,INDEX($AB$1005:$AQ$1005,1,MATCH(COLUMNS($AB$1006:AD1006),$AB$1006:$AQ$1006,0))&gt;=100000), " ",IF(INDEX($AB$2:$AQ$1001,MATCH(ROWS($U$2:U660),$U$2:$U$1001,0),MATCH(COLUMNS($AB$1006:AD1006),$AB$1006:$AQ$1006,0)), HYPERLINK("#",""), HYPERLINK(CONCATENATE("#Metadata!", ADDRESS(INDEX($W$2:$W$1001,MATCH(ROWS($U$2:U660),$U$2:$U$1001,0),0), INDEX($AB$1004:$AQ$1004,1,MATCH(COLUMNS($AB$1006:AD1006),$AB$1006:$AQ$1006,0)))),"Fix")))</f>
        <v>0</v>
      </c>
      <c r="E660" s="5">
        <f>IF(OR(INDEX($V$2:$V$1001,MATCH(ROWS($U$2:U660),$U$2:$U$1001,0),1)&gt;=100000,INDEX($AB$1005:$AQ$1005,1,MATCH(COLUMNS($AB$1006:AE1006),$AB$1006:$AQ$1006,0))&gt;=100000), " ",IF(INDEX($AB$2:$AQ$1001,MATCH(ROWS($U$2:U660),$U$2:$U$1001,0),MATCH(COLUMNS($AB$1006:AE1006),$AB$1006:$AQ$1006,0)), HYPERLINK("#",""), HYPERLINK(CONCATENATE("#Metadata!", ADDRESS(INDEX($W$2:$W$1001,MATCH(ROWS($U$2:U660),$U$2:$U$1001,0),0), INDEX($AB$1004:$AQ$1004,1,MATCH(COLUMNS($AB$1006:AE1006),$AB$1006:$AQ$1006,0)))),"Fix")))</f>
        <v>0</v>
      </c>
      <c r="F660" s="5">
        <f>IF(OR(INDEX($V$2:$V$1001,MATCH(ROWS($U$2:U660),$U$2:$U$1001,0),1)&gt;=100000,INDEX($AB$1005:$AQ$1005,1,MATCH(COLUMNS($AB$1006:AF1006),$AB$1006:$AQ$1006,0))&gt;=100000), " ",IF(INDEX($AB$2:$AQ$1001,MATCH(ROWS($U$2:U660),$U$2:$U$1001,0),MATCH(COLUMNS($AB$1006:AF1006),$AB$1006:$AQ$1006,0)), HYPERLINK("#",""), HYPERLINK(CONCATENATE("#Metadata!", ADDRESS(INDEX($W$2:$W$1001,MATCH(ROWS($U$2:U660),$U$2:$U$1001,0),0), INDEX($AB$1004:$AQ$1004,1,MATCH(COLUMNS($AB$1006:AF1006),$AB$1006:$AQ$1006,0)))),"Fix")))</f>
        <v>0</v>
      </c>
      <c r="G660" s="5">
        <f>IF(OR(INDEX($V$2:$V$1001,MATCH(ROWS($U$2:U660),$U$2:$U$1001,0),1)&gt;=100000,INDEX($AB$1005:$AQ$1005,1,MATCH(COLUMNS($AB$1006:AG1006),$AB$1006:$AQ$1006,0))&gt;=100000), " ",IF(INDEX($AB$2:$AQ$1001,MATCH(ROWS($U$2:U660),$U$2:$U$1001,0),MATCH(COLUMNS($AB$1006:AG1006),$AB$1006:$AQ$1006,0)), HYPERLINK("#",""), HYPERLINK(CONCATENATE("#Metadata!", ADDRESS(INDEX($W$2:$W$1001,MATCH(ROWS($U$2:U660),$U$2:$U$1001,0),0), INDEX($AB$1004:$AQ$1004,1,MATCH(COLUMNS($AB$1006:AG1006),$AB$1006:$AQ$1006,0)))),"Fix")))</f>
        <v>0</v>
      </c>
      <c r="H660" s="5">
        <f>IF(OR(INDEX($V$2:$V$1001,MATCH(ROWS($U$2:U660),$U$2:$U$1001,0),1)&gt;=100000,INDEX($AB$1005:$AQ$1005,1,MATCH(COLUMNS($AB$1006:AH1006),$AB$1006:$AQ$1006,0))&gt;=100000), " ",IF(INDEX($AB$2:$AQ$1001,MATCH(ROWS($U$2:U660),$U$2:$U$1001,0),MATCH(COLUMNS($AB$1006:AH1006),$AB$1006:$AQ$1006,0)), HYPERLINK("#",""), HYPERLINK(CONCATENATE("#Metadata!", ADDRESS(INDEX($W$2:$W$1001,MATCH(ROWS($U$2:U660),$U$2:$U$1001,0),0), INDEX($AB$1004:$AQ$1004,1,MATCH(COLUMNS($AB$1006:AH1006),$AB$1006:$AQ$1006,0)))),"Fix")))</f>
        <v>0</v>
      </c>
      <c r="I660" s="5">
        <f>IF(OR(INDEX($V$2:$V$1001,MATCH(ROWS($U$2:U660),$U$2:$U$1001,0),1)&gt;=100000,INDEX($AB$1005:$AQ$1005,1,MATCH(COLUMNS($AB$1006:AI1006),$AB$1006:$AQ$1006,0))&gt;=100000), " ",IF(INDEX($AB$2:$AQ$1001,MATCH(ROWS($U$2:U660),$U$2:$U$1001,0),MATCH(COLUMNS($AB$1006:AI1006),$AB$1006:$AQ$1006,0)), HYPERLINK("#",""), HYPERLINK(CONCATENATE("#Metadata!", ADDRESS(INDEX($W$2:$W$1001,MATCH(ROWS($U$2:U660),$U$2:$U$1001,0),0), INDEX($AB$1004:$AQ$1004,1,MATCH(COLUMNS($AB$1006:AI1006),$AB$1006:$AQ$1006,0)))),"Fix")))</f>
        <v>0</v>
      </c>
      <c r="J660" s="5">
        <f>IF(OR(INDEX($V$2:$V$1001,MATCH(ROWS($U$2:U660),$U$2:$U$1001,0),1)&gt;=100000,INDEX($AB$1005:$AQ$1005,1,MATCH(COLUMNS($AB$1006:AJ1006),$AB$1006:$AQ$1006,0))&gt;=100000), " ",IF(INDEX($AB$2:$AQ$1001,MATCH(ROWS($U$2:U660),$U$2:$U$1001,0),MATCH(COLUMNS($AB$1006:AJ1006),$AB$1006:$AQ$1006,0)), HYPERLINK("#",""), HYPERLINK(CONCATENATE("#Metadata!", ADDRESS(INDEX($W$2:$W$1001,MATCH(ROWS($U$2:U660),$U$2:$U$1001,0),0), INDEX($AB$1004:$AQ$1004,1,MATCH(COLUMNS($AB$1006:AJ1006),$AB$1006:$AQ$1006,0)))),"Fix")))</f>
        <v>0</v>
      </c>
      <c r="K660" s="5">
        <f>IF(OR(INDEX($V$2:$V$1001,MATCH(ROWS($U$2:U660),$U$2:$U$1001,0),1)&gt;=100000,INDEX($AB$1005:$AQ$1005,1,MATCH(COLUMNS($AB$1006:AK1006),$AB$1006:$AQ$1006,0))&gt;=100000), " ",IF(INDEX($AB$2:$AQ$1001,MATCH(ROWS($U$2:U660),$U$2:$U$1001,0),MATCH(COLUMNS($AB$1006:AK1006),$AB$1006:$AQ$1006,0)), HYPERLINK("#",""), HYPERLINK(CONCATENATE("#Metadata!", ADDRESS(INDEX($W$2:$W$1001,MATCH(ROWS($U$2:U660),$U$2:$U$1001,0),0), INDEX($AB$1004:$AQ$1004,1,MATCH(COLUMNS($AB$1006:AK1006),$AB$1006:$AQ$1006,0)))),"Fix")))</f>
        <v>0</v>
      </c>
      <c r="L660" s="5">
        <f>IF(OR(INDEX($V$2:$V$1001,MATCH(ROWS($U$2:U660),$U$2:$U$1001,0),1)&gt;=100000,INDEX($AB$1005:$AQ$1005,1,MATCH(COLUMNS($AB$1006:AL1006),$AB$1006:$AQ$1006,0))&gt;=100000), " ",IF(INDEX($AB$2:$AQ$1001,MATCH(ROWS($U$2:U660),$U$2:$U$1001,0),MATCH(COLUMNS($AB$1006:AL1006),$AB$1006:$AQ$1006,0)), HYPERLINK("#",""), HYPERLINK(CONCATENATE("#Metadata!", ADDRESS(INDEX($W$2:$W$1001,MATCH(ROWS($U$2:U660),$U$2:$U$1001,0),0), INDEX($AB$1004:$AQ$1004,1,MATCH(COLUMNS($AB$1006:AL1006),$AB$1006:$AQ$1006,0)))),"Fix")))</f>
        <v>0</v>
      </c>
      <c r="M660" s="5">
        <f>IF(OR(INDEX($V$2:$V$1001,MATCH(ROWS($U$2:U660),$U$2:$U$1001,0),1)&gt;=100000,INDEX($AB$1005:$AQ$1005,1,MATCH(COLUMNS($AB$1006:AM1006),$AB$1006:$AQ$1006,0))&gt;=100000), " ",IF(INDEX($AB$2:$AQ$1001,MATCH(ROWS($U$2:U660),$U$2:$U$1001,0),MATCH(COLUMNS($AB$1006:AM1006),$AB$1006:$AQ$1006,0)), HYPERLINK("#",""), HYPERLINK(CONCATENATE("#Metadata!", ADDRESS(INDEX($W$2:$W$1001,MATCH(ROWS($U$2:U660),$U$2:$U$1001,0),0), INDEX($AB$1004:$AQ$1004,1,MATCH(COLUMNS($AB$1006:AM1006),$AB$1006:$AQ$1006,0)))),"Fix")))</f>
        <v>0</v>
      </c>
      <c r="N660" s="5">
        <f>IF(OR(INDEX($V$2:$V$1001,MATCH(ROWS($U$2:U660),$U$2:$U$1001,0),1)&gt;=100000,INDEX($AB$1005:$AQ$1005,1,MATCH(COLUMNS($AB$1006:AN1006),$AB$1006:$AQ$1006,0))&gt;=100000), " ",IF(INDEX($AB$2:$AQ$1001,MATCH(ROWS($U$2:U660),$U$2:$U$1001,0),MATCH(COLUMNS($AB$1006:AN1006),$AB$1006:$AQ$1006,0)), HYPERLINK("#",""), HYPERLINK(CONCATENATE("#Metadata!", ADDRESS(INDEX($W$2:$W$1001,MATCH(ROWS($U$2:U660),$U$2:$U$1001,0),0), INDEX($AB$1004:$AQ$1004,1,MATCH(COLUMNS($AB$1006:AN1006),$AB$1006:$AQ$1006,0)))),"Fix")))</f>
        <v>0</v>
      </c>
      <c r="O660" s="5">
        <f>IF(OR(INDEX($V$2:$V$1001,MATCH(ROWS($U$2:U660),$U$2:$U$1001,0),1)&gt;=100000,INDEX($AB$1005:$AQ$1005,1,MATCH(COLUMNS($AB$1006:AO1006),$AB$1006:$AQ$1006,0))&gt;=100000), " ",IF(INDEX($AB$2:$AQ$1001,MATCH(ROWS($U$2:U660),$U$2:$U$1001,0),MATCH(COLUMNS($AB$1006:AO1006),$AB$1006:$AQ$1006,0)), HYPERLINK("#",""), HYPERLINK(CONCATENATE("#Metadata!", ADDRESS(INDEX($W$2:$W$1001,MATCH(ROWS($U$2:U660),$U$2:$U$1001,0),0), INDEX($AB$1004:$AQ$1004,1,MATCH(COLUMNS($AB$1006:AO1006),$AB$1006:$AQ$1006,0)))),"Fix")))</f>
        <v>0</v>
      </c>
      <c r="P660" s="5">
        <f>IF(OR(INDEX($V$2:$V$1001,MATCH(ROWS($U$2:U660),$U$2:$U$1001,0),1)&gt;=100000,INDEX($AB$1005:$AQ$1005,1,MATCH(COLUMNS($AB$1006:AP1006),$AB$1006:$AQ$1006,0))&gt;=100000), " ",IF(INDEX($AB$2:$AQ$1001,MATCH(ROWS($U$2:U660),$U$2:$U$1001,0),MATCH(COLUMNS($AB$1006:AP1006),$AB$1006:$AQ$1006,0)), HYPERLINK("#",""), HYPERLINK(CONCATENATE("#Metadata!", ADDRESS(INDEX($W$2:$W$1001,MATCH(ROWS($U$2:U660),$U$2:$U$1001,0),0), INDEX($AB$1004:$AQ$1004,1,MATCH(COLUMNS($AB$1006:AP1006),$AB$1006:$AQ$1006,0)))),"Fix")))</f>
        <v>0</v>
      </c>
      <c r="Q660" s="5">
        <f>IF(OR(INDEX($V$2:$V$1001,MATCH(ROWS($U$2:U660),$U$2:$U$1001,0),1)&gt;=100000,INDEX($AB$1005:$AQ$1005,1,MATCH(COLUMNS($AB$1006:AQ1006),$AB$1006:$AQ$1006,0))&gt;=100000), " ",IF(INDEX($AB$2:$AQ$1001,MATCH(ROWS($U$2:U660),$U$2:$U$1001,0),MATCH(COLUMNS($AB$1006:AQ1006),$AB$1006:$AQ$1006,0)), HYPERLINK("#",""), HYPERLINK(CONCATENATE("#Metadata!", ADDRESS(INDEX($W$2:$W$1001,MATCH(ROWS($U$2:U660),$U$2:$U$1001,0),0), INDEX($AB$1004:$AQ$1004,1,MATCH(COLUMNS($AB$1006:AQ1006),$AB$1006:$AQ$1006,0)))),"Fix")))</f>
        <v>0</v>
      </c>
      <c r="U660">
        <v>0</v>
      </c>
      <c r="V660">
        <v>0</v>
      </c>
      <c r="W660">
        <v>0</v>
      </c>
      <c r="X660">
        <f>IF(Y660,TRUE,AND(AB660:AQ660))</f>
        <v>0</v>
      </c>
      <c r="Y660">
        <f>COUNTBLANK(Metadata!B660:Q660)=COLUMNS(Metadata!B660:Q660)</f>
        <v>0</v>
      </c>
      <c r="Z660">
        <v>0</v>
      </c>
      <c r="AB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AC660">
        <f>AND(IF(Metadata!C660="",FALSE,TRUE),exact(Metadata!C660,"urban biome"))</f>
        <v>0</v>
      </c>
      <c r="AD660">
        <f>AND(IF(Metadata!D660="",FALSE,TRUE),exact(Metadata!D660,"human-associated habitat"))</f>
        <v>0</v>
      </c>
      <c r="AE660">
        <f>AND(IF(Metadata!E660="",FALSE,TRUE),OR(exact(Metadata!E660,"human-associated"),exact(Metadata!E660,"human-skin"),exact(Metadata!E660,"human-oral"),exact(Metadata!E660,"human-gut"),exact(Metadata!E660,"human-vaginal")))</f>
        <v>0</v>
      </c>
      <c r="AF660">
        <f>AND(IF(Metadata!F660="",FALSE,ISNUMBER(VALUE(Metadata!F660))),Metadata!F660&gt;0)</f>
        <v>0</v>
      </c>
      <c r="AG660">
        <f>AND(IF(Metadata!G660="",FALSE,TRUE),exact(Metadata!G660,"years"))</f>
        <v>0</v>
      </c>
      <c r="AH660">
        <f>OR(AND(IF(Metadata!H660="",FALSE,TRUE),OR(exact(Metadata!H660,"not applicable"),exact(Metadata!H660,"not collected"),exact(Metadata!H660,"not provided"),exact(Metadata!H660,"restricted access"))),AND(IF(Metadata!H660="",FALSE,ISNUMBER(VALUE(Metadata!H660))),Metadata!H660&gt;0))</f>
        <v>0</v>
      </c>
      <c r="AI660">
        <f>AND(IF(Metadata!I660="",FALSE,TRUE),exact(Metadata!I660,"human"))</f>
        <v>0</v>
      </c>
      <c r="AJ660">
        <f>AND(IF(Metadata!J660="",FALSE,ISNUMBER(VALUE(Metadata!J660))),Metadata!J660&gt;0)</f>
        <v>0</v>
      </c>
      <c r="AK660">
        <f>AND(IF(Metadata!K660="",FALSE,TRUE),exact(Metadata!K660,"cm"))</f>
        <v>0</v>
      </c>
      <c r="AL660">
        <f>AND(IF(Metadata!L660="",FALSE,TRUE),exact(Metadata!L660,"Homo sapiens"))</f>
        <v>0</v>
      </c>
      <c r="AM660">
        <f>AND(IF(Metadata!M660="",FALSE,TRUE),exact(Metadata!M660,"9606"))</f>
        <v>0</v>
      </c>
      <c r="AN660">
        <f>AND(IF(Metadata!N660="",FALSE,ISNUMBER(VALUE(Metadata!N660))),Metadata!N660&gt;0)</f>
        <v>0</v>
      </c>
      <c r="AO660">
        <f>AND(IF(Metadata!O660="",FALSE,TRUE),exact(Metadata!O660,"kg"))</f>
        <v>0</v>
      </c>
      <c r="AP660">
        <f>OR(AND(IF(Metadata!P660="",FALSE,TRUE),exact(Metadata!P660,"not provided")),IF(Metadata!P660="",FALSE,TRUE))</f>
        <v>0</v>
      </c>
      <c r="AQ660">
        <f>OR(AND(IF(Metadata!Q660="",FALSE,TRUE),exact(Metadata!Q660,"not provided")),IF(Metadata!Q660="",FALSE,TRUE))</f>
        <v>0</v>
      </c>
    </row>
    <row r="661" spans="1:43">
      <c r="A661" s="4">
        <f>IF(B661=" "," ",HYPERLINK(CONCATENATE("#metadata!",ADDRESS(INDEX($W$2:$W$1001,MATCH(ROWS($U$2:U661),$U$2:$U$1001,0),0),2)),INDEX($Z$2:$Z$1001,MATCH(ROWS($U$2:U661),$U$2:$U$1001,0),0)))</f>
        <v>0</v>
      </c>
      <c r="B661" s="5">
        <f>IF(OR(INDEX($V$2:$V$1001,MATCH(ROWS($U$2:U661),$U$2:$U$1001,0),1)&gt;=100000,INDEX($AB$1005:$AQ$1005,1,MATCH(COLUMNS($AB$1006:AB1006),$AB$1006:$AQ$1006,0))&gt;=100000), " ",IF(INDEX($AB$2:$AQ$1001,MATCH(ROWS($U$2:U661),$U$2:$U$1001,0),MATCH(COLUMNS($AB$1006:AB1006),$AB$1006:$AQ$1006,0)), HYPERLINK("#",""), HYPERLINK(CONCATENATE("#Metadata!", ADDRESS(INDEX($W$2:$W$1001,MATCH(ROWS($U$2:U661),$U$2:$U$1001,0),0), INDEX($AB$1004:$AQ$1004,1,MATCH(COLUMNS($AB$1006:AB1006),$AB$1006:$AQ$1006,0)))),"Fix")))</f>
        <v>0</v>
      </c>
      <c r="C661" s="5">
        <f>IF(OR(INDEX($V$2:$V$1001,MATCH(ROWS($U$2:U661),$U$2:$U$1001,0),1)&gt;=100000,INDEX($AB$1005:$AQ$1005,1,MATCH(COLUMNS($AB$1006:AC1006),$AB$1006:$AQ$1006,0))&gt;=100000), " ",IF(INDEX($AB$2:$AQ$1001,MATCH(ROWS($U$2:U661),$U$2:$U$1001,0),MATCH(COLUMNS($AB$1006:AC1006),$AB$1006:$AQ$1006,0)), HYPERLINK("#",""), HYPERLINK(CONCATENATE("#Metadata!", ADDRESS(INDEX($W$2:$W$1001,MATCH(ROWS($U$2:U661),$U$2:$U$1001,0),0), INDEX($AB$1004:$AQ$1004,1,MATCH(COLUMNS($AB$1006:AC1006),$AB$1006:$AQ$1006,0)))),"Fix")))</f>
        <v>0</v>
      </c>
      <c r="D661" s="5">
        <f>IF(OR(INDEX($V$2:$V$1001,MATCH(ROWS($U$2:U661),$U$2:$U$1001,0),1)&gt;=100000,INDEX($AB$1005:$AQ$1005,1,MATCH(COLUMNS($AB$1006:AD1006),$AB$1006:$AQ$1006,0))&gt;=100000), " ",IF(INDEX($AB$2:$AQ$1001,MATCH(ROWS($U$2:U661),$U$2:$U$1001,0),MATCH(COLUMNS($AB$1006:AD1006),$AB$1006:$AQ$1006,0)), HYPERLINK("#",""), HYPERLINK(CONCATENATE("#Metadata!", ADDRESS(INDEX($W$2:$W$1001,MATCH(ROWS($U$2:U661),$U$2:$U$1001,0),0), INDEX($AB$1004:$AQ$1004,1,MATCH(COLUMNS($AB$1006:AD1006),$AB$1006:$AQ$1006,0)))),"Fix")))</f>
        <v>0</v>
      </c>
      <c r="E661" s="5">
        <f>IF(OR(INDEX($V$2:$V$1001,MATCH(ROWS($U$2:U661),$U$2:$U$1001,0),1)&gt;=100000,INDEX($AB$1005:$AQ$1005,1,MATCH(COLUMNS($AB$1006:AE1006),$AB$1006:$AQ$1006,0))&gt;=100000), " ",IF(INDEX($AB$2:$AQ$1001,MATCH(ROWS($U$2:U661),$U$2:$U$1001,0),MATCH(COLUMNS($AB$1006:AE1006),$AB$1006:$AQ$1006,0)), HYPERLINK("#",""), HYPERLINK(CONCATENATE("#Metadata!", ADDRESS(INDEX($W$2:$W$1001,MATCH(ROWS($U$2:U661),$U$2:$U$1001,0),0), INDEX($AB$1004:$AQ$1004,1,MATCH(COLUMNS($AB$1006:AE1006),$AB$1006:$AQ$1006,0)))),"Fix")))</f>
        <v>0</v>
      </c>
      <c r="F661" s="5">
        <f>IF(OR(INDEX($V$2:$V$1001,MATCH(ROWS($U$2:U661),$U$2:$U$1001,0),1)&gt;=100000,INDEX($AB$1005:$AQ$1005,1,MATCH(COLUMNS($AB$1006:AF1006),$AB$1006:$AQ$1006,0))&gt;=100000), " ",IF(INDEX($AB$2:$AQ$1001,MATCH(ROWS($U$2:U661),$U$2:$U$1001,0),MATCH(COLUMNS($AB$1006:AF1006),$AB$1006:$AQ$1006,0)), HYPERLINK("#",""), HYPERLINK(CONCATENATE("#Metadata!", ADDRESS(INDEX($W$2:$W$1001,MATCH(ROWS($U$2:U661),$U$2:$U$1001,0),0), INDEX($AB$1004:$AQ$1004,1,MATCH(COLUMNS($AB$1006:AF1006),$AB$1006:$AQ$1006,0)))),"Fix")))</f>
        <v>0</v>
      </c>
      <c r="G661" s="5">
        <f>IF(OR(INDEX($V$2:$V$1001,MATCH(ROWS($U$2:U661),$U$2:$U$1001,0),1)&gt;=100000,INDEX($AB$1005:$AQ$1005,1,MATCH(COLUMNS($AB$1006:AG1006),$AB$1006:$AQ$1006,0))&gt;=100000), " ",IF(INDEX($AB$2:$AQ$1001,MATCH(ROWS($U$2:U661),$U$2:$U$1001,0),MATCH(COLUMNS($AB$1006:AG1006),$AB$1006:$AQ$1006,0)), HYPERLINK("#",""), HYPERLINK(CONCATENATE("#Metadata!", ADDRESS(INDEX($W$2:$W$1001,MATCH(ROWS($U$2:U661),$U$2:$U$1001,0),0), INDEX($AB$1004:$AQ$1004,1,MATCH(COLUMNS($AB$1006:AG1006),$AB$1006:$AQ$1006,0)))),"Fix")))</f>
        <v>0</v>
      </c>
      <c r="H661" s="5">
        <f>IF(OR(INDEX($V$2:$V$1001,MATCH(ROWS($U$2:U661),$U$2:$U$1001,0),1)&gt;=100000,INDEX($AB$1005:$AQ$1005,1,MATCH(COLUMNS($AB$1006:AH1006),$AB$1006:$AQ$1006,0))&gt;=100000), " ",IF(INDEX($AB$2:$AQ$1001,MATCH(ROWS($U$2:U661),$U$2:$U$1001,0),MATCH(COLUMNS($AB$1006:AH1006),$AB$1006:$AQ$1006,0)), HYPERLINK("#",""), HYPERLINK(CONCATENATE("#Metadata!", ADDRESS(INDEX($W$2:$W$1001,MATCH(ROWS($U$2:U661),$U$2:$U$1001,0),0), INDEX($AB$1004:$AQ$1004,1,MATCH(COLUMNS($AB$1006:AH1006),$AB$1006:$AQ$1006,0)))),"Fix")))</f>
        <v>0</v>
      </c>
      <c r="I661" s="5">
        <f>IF(OR(INDEX($V$2:$V$1001,MATCH(ROWS($U$2:U661),$U$2:$U$1001,0),1)&gt;=100000,INDEX($AB$1005:$AQ$1005,1,MATCH(COLUMNS($AB$1006:AI1006),$AB$1006:$AQ$1006,0))&gt;=100000), " ",IF(INDEX($AB$2:$AQ$1001,MATCH(ROWS($U$2:U661),$U$2:$U$1001,0),MATCH(COLUMNS($AB$1006:AI1006),$AB$1006:$AQ$1006,0)), HYPERLINK("#",""), HYPERLINK(CONCATENATE("#Metadata!", ADDRESS(INDEX($W$2:$W$1001,MATCH(ROWS($U$2:U661),$U$2:$U$1001,0),0), INDEX($AB$1004:$AQ$1004,1,MATCH(COLUMNS($AB$1006:AI1006),$AB$1006:$AQ$1006,0)))),"Fix")))</f>
        <v>0</v>
      </c>
      <c r="J661" s="5">
        <f>IF(OR(INDEX($V$2:$V$1001,MATCH(ROWS($U$2:U661),$U$2:$U$1001,0),1)&gt;=100000,INDEX($AB$1005:$AQ$1005,1,MATCH(COLUMNS($AB$1006:AJ1006),$AB$1006:$AQ$1006,0))&gt;=100000), " ",IF(INDEX($AB$2:$AQ$1001,MATCH(ROWS($U$2:U661),$U$2:$U$1001,0),MATCH(COLUMNS($AB$1006:AJ1006),$AB$1006:$AQ$1006,0)), HYPERLINK("#",""), HYPERLINK(CONCATENATE("#Metadata!", ADDRESS(INDEX($W$2:$W$1001,MATCH(ROWS($U$2:U661),$U$2:$U$1001,0),0), INDEX($AB$1004:$AQ$1004,1,MATCH(COLUMNS($AB$1006:AJ1006),$AB$1006:$AQ$1006,0)))),"Fix")))</f>
        <v>0</v>
      </c>
      <c r="K661" s="5">
        <f>IF(OR(INDEX($V$2:$V$1001,MATCH(ROWS($U$2:U661),$U$2:$U$1001,0),1)&gt;=100000,INDEX($AB$1005:$AQ$1005,1,MATCH(COLUMNS($AB$1006:AK1006),$AB$1006:$AQ$1006,0))&gt;=100000), " ",IF(INDEX($AB$2:$AQ$1001,MATCH(ROWS($U$2:U661),$U$2:$U$1001,0),MATCH(COLUMNS($AB$1006:AK1006),$AB$1006:$AQ$1006,0)), HYPERLINK("#",""), HYPERLINK(CONCATENATE("#Metadata!", ADDRESS(INDEX($W$2:$W$1001,MATCH(ROWS($U$2:U661),$U$2:$U$1001,0),0), INDEX($AB$1004:$AQ$1004,1,MATCH(COLUMNS($AB$1006:AK1006),$AB$1006:$AQ$1006,0)))),"Fix")))</f>
        <v>0</v>
      </c>
      <c r="L661" s="5">
        <f>IF(OR(INDEX($V$2:$V$1001,MATCH(ROWS($U$2:U661),$U$2:$U$1001,0),1)&gt;=100000,INDEX($AB$1005:$AQ$1005,1,MATCH(COLUMNS($AB$1006:AL1006),$AB$1006:$AQ$1006,0))&gt;=100000), " ",IF(INDEX($AB$2:$AQ$1001,MATCH(ROWS($U$2:U661),$U$2:$U$1001,0),MATCH(COLUMNS($AB$1006:AL1006),$AB$1006:$AQ$1006,0)), HYPERLINK("#",""), HYPERLINK(CONCATENATE("#Metadata!", ADDRESS(INDEX($W$2:$W$1001,MATCH(ROWS($U$2:U661),$U$2:$U$1001,0),0), INDEX($AB$1004:$AQ$1004,1,MATCH(COLUMNS($AB$1006:AL1006),$AB$1006:$AQ$1006,0)))),"Fix")))</f>
        <v>0</v>
      </c>
      <c r="M661" s="5">
        <f>IF(OR(INDEX($V$2:$V$1001,MATCH(ROWS($U$2:U661),$U$2:$U$1001,0),1)&gt;=100000,INDEX($AB$1005:$AQ$1005,1,MATCH(COLUMNS($AB$1006:AM1006),$AB$1006:$AQ$1006,0))&gt;=100000), " ",IF(INDEX($AB$2:$AQ$1001,MATCH(ROWS($U$2:U661),$U$2:$U$1001,0),MATCH(COLUMNS($AB$1006:AM1006),$AB$1006:$AQ$1006,0)), HYPERLINK("#",""), HYPERLINK(CONCATENATE("#Metadata!", ADDRESS(INDEX($W$2:$W$1001,MATCH(ROWS($U$2:U661),$U$2:$U$1001,0),0), INDEX($AB$1004:$AQ$1004,1,MATCH(COLUMNS($AB$1006:AM1006),$AB$1006:$AQ$1006,0)))),"Fix")))</f>
        <v>0</v>
      </c>
      <c r="N661" s="5">
        <f>IF(OR(INDEX($V$2:$V$1001,MATCH(ROWS($U$2:U661),$U$2:$U$1001,0),1)&gt;=100000,INDEX($AB$1005:$AQ$1005,1,MATCH(COLUMNS($AB$1006:AN1006),$AB$1006:$AQ$1006,0))&gt;=100000), " ",IF(INDEX($AB$2:$AQ$1001,MATCH(ROWS($U$2:U661),$U$2:$U$1001,0),MATCH(COLUMNS($AB$1006:AN1006),$AB$1006:$AQ$1006,0)), HYPERLINK("#",""), HYPERLINK(CONCATENATE("#Metadata!", ADDRESS(INDEX($W$2:$W$1001,MATCH(ROWS($U$2:U661),$U$2:$U$1001,0),0), INDEX($AB$1004:$AQ$1004,1,MATCH(COLUMNS($AB$1006:AN1006),$AB$1006:$AQ$1006,0)))),"Fix")))</f>
        <v>0</v>
      </c>
      <c r="O661" s="5">
        <f>IF(OR(INDEX($V$2:$V$1001,MATCH(ROWS($U$2:U661),$U$2:$U$1001,0),1)&gt;=100000,INDEX($AB$1005:$AQ$1005,1,MATCH(COLUMNS($AB$1006:AO1006),$AB$1006:$AQ$1006,0))&gt;=100000), " ",IF(INDEX($AB$2:$AQ$1001,MATCH(ROWS($U$2:U661),$U$2:$U$1001,0),MATCH(COLUMNS($AB$1006:AO1006),$AB$1006:$AQ$1006,0)), HYPERLINK("#",""), HYPERLINK(CONCATENATE("#Metadata!", ADDRESS(INDEX($W$2:$W$1001,MATCH(ROWS($U$2:U661),$U$2:$U$1001,0),0), INDEX($AB$1004:$AQ$1004,1,MATCH(COLUMNS($AB$1006:AO1006),$AB$1006:$AQ$1006,0)))),"Fix")))</f>
        <v>0</v>
      </c>
      <c r="P661" s="5">
        <f>IF(OR(INDEX($V$2:$V$1001,MATCH(ROWS($U$2:U661),$U$2:$U$1001,0),1)&gt;=100000,INDEX($AB$1005:$AQ$1005,1,MATCH(COLUMNS($AB$1006:AP1006),$AB$1006:$AQ$1006,0))&gt;=100000), " ",IF(INDEX($AB$2:$AQ$1001,MATCH(ROWS($U$2:U661),$U$2:$U$1001,0),MATCH(COLUMNS($AB$1006:AP1006),$AB$1006:$AQ$1006,0)), HYPERLINK("#",""), HYPERLINK(CONCATENATE("#Metadata!", ADDRESS(INDEX($W$2:$W$1001,MATCH(ROWS($U$2:U661),$U$2:$U$1001,0),0), INDEX($AB$1004:$AQ$1004,1,MATCH(COLUMNS($AB$1006:AP1006),$AB$1006:$AQ$1006,0)))),"Fix")))</f>
        <v>0</v>
      </c>
      <c r="Q661" s="5">
        <f>IF(OR(INDEX($V$2:$V$1001,MATCH(ROWS($U$2:U661),$U$2:$U$1001,0),1)&gt;=100000,INDEX($AB$1005:$AQ$1005,1,MATCH(COLUMNS($AB$1006:AQ1006),$AB$1006:$AQ$1006,0))&gt;=100000), " ",IF(INDEX($AB$2:$AQ$1001,MATCH(ROWS($U$2:U661),$U$2:$U$1001,0),MATCH(COLUMNS($AB$1006:AQ1006),$AB$1006:$AQ$1006,0)), HYPERLINK("#",""), HYPERLINK(CONCATENATE("#Metadata!", ADDRESS(INDEX($W$2:$W$1001,MATCH(ROWS($U$2:U661),$U$2:$U$1001,0),0), INDEX($AB$1004:$AQ$1004,1,MATCH(COLUMNS($AB$1006:AQ1006),$AB$1006:$AQ$1006,0)))),"Fix")))</f>
        <v>0</v>
      </c>
      <c r="U661">
        <v>0</v>
      </c>
      <c r="V661">
        <v>0</v>
      </c>
      <c r="W661">
        <v>0</v>
      </c>
      <c r="X661">
        <f>IF(Y661,TRUE,AND(AB661:AQ661))</f>
        <v>0</v>
      </c>
      <c r="Y661">
        <f>COUNTBLANK(Metadata!B661:Q661)=COLUMNS(Metadata!B661:Q661)</f>
        <v>0</v>
      </c>
      <c r="Z661">
        <v>0</v>
      </c>
      <c r="AB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AC661">
        <f>AND(IF(Metadata!C661="",FALSE,TRUE),exact(Metadata!C661,"urban biome"))</f>
        <v>0</v>
      </c>
      <c r="AD661">
        <f>AND(IF(Metadata!D661="",FALSE,TRUE),exact(Metadata!D661,"human-associated habitat"))</f>
        <v>0</v>
      </c>
      <c r="AE661">
        <f>AND(IF(Metadata!E661="",FALSE,TRUE),OR(exact(Metadata!E661,"human-associated"),exact(Metadata!E661,"human-skin"),exact(Metadata!E661,"human-oral"),exact(Metadata!E661,"human-gut"),exact(Metadata!E661,"human-vaginal")))</f>
        <v>0</v>
      </c>
      <c r="AF661">
        <f>AND(IF(Metadata!F661="",FALSE,ISNUMBER(VALUE(Metadata!F661))),Metadata!F661&gt;0)</f>
        <v>0</v>
      </c>
      <c r="AG661">
        <f>AND(IF(Metadata!G661="",FALSE,TRUE),exact(Metadata!G661,"years"))</f>
        <v>0</v>
      </c>
      <c r="AH661">
        <f>OR(AND(IF(Metadata!H661="",FALSE,TRUE),OR(exact(Metadata!H661,"not applicable"),exact(Metadata!H661,"not collected"),exact(Metadata!H661,"not provided"),exact(Metadata!H661,"restricted access"))),AND(IF(Metadata!H661="",FALSE,ISNUMBER(VALUE(Metadata!H661))),Metadata!H661&gt;0))</f>
        <v>0</v>
      </c>
      <c r="AI661">
        <f>AND(IF(Metadata!I661="",FALSE,TRUE),exact(Metadata!I661,"human"))</f>
        <v>0</v>
      </c>
      <c r="AJ661">
        <f>AND(IF(Metadata!J661="",FALSE,ISNUMBER(VALUE(Metadata!J661))),Metadata!J661&gt;0)</f>
        <v>0</v>
      </c>
      <c r="AK661">
        <f>AND(IF(Metadata!K661="",FALSE,TRUE),exact(Metadata!K661,"cm"))</f>
        <v>0</v>
      </c>
      <c r="AL661">
        <f>AND(IF(Metadata!L661="",FALSE,TRUE),exact(Metadata!L661,"Homo sapiens"))</f>
        <v>0</v>
      </c>
      <c r="AM661">
        <f>AND(IF(Metadata!M661="",FALSE,TRUE),exact(Metadata!M661,"9606"))</f>
        <v>0</v>
      </c>
      <c r="AN661">
        <f>AND(IF(Metadata!N661="",FALSE,ISNUMBER(VALUE(Metadata!N661))),Metadata!N661&gt;0)</f>
        <v>0</v>
      </c>
      <c r="AO661">
        <f>AND(IF(Metadata!O661="",FALSE,TRUE),exact(Metadata!O661,"kg"))</f>
        <v>0</v>
      </c>
      <c r="AP661">
        <f>OR(AND(IF(Metadata!P661="",FALSE,TRUE),exact(Metadata!P661,"not provided")),IF(Metadata!P661="",FALSE,TRUE))</f>
        <v>0</v>
      </c>
      <c r="AQ661">
        <f>OR(AND(IF(Metadata!Q661="",FALSE,TRUE),exact(Metadata!Q661,"not provided")),IF(Metadata!Q661="",FALSE,TRUE))</f>
        <v>0</v>
      </c>
    </row>
    <row r="662" spans="1:43">
      <c r="A662" s="4">
        <f>IF(B662=" "," ",HYPERLINK(CONCATENATE("#metadata!",ADDRESS(INDEX($W$2:$W$1001,MATCH(ROWS($U$2:U662),$U$2:$U$1001,0),0),2)),INDEX($Z$2:$Z$1001,MATCH(ROWS($U$2:U662),$U$2:$U$1001,0),0)))</f>
        <v>0</v>
      </c>
      <c r="B662" s="5">
        <f>IF(OR(INDEX($V$2:$V$1001,MATCH(ROWS($U$2:U662),$U$2:$U$1001,0),1)&gt;=100000,INDEX($AB$1005:$AQ$1005,1,MATCH(COLUMNS($AB$1006:AB1006),$AB$1006:$AQ$1006,0))&gt;=100000), " ",IF(INDEX($AB$2:$AQ$1001,MATCH(ROWS($U$2:U662),$U$2:$U$1001,0),MATCH(COLUMNS($AB$1006:AB1006),$AB$1006:$AQ$1006,0)), HYPERLINK("#",""), HYPERLINK(CONCATENATE("#Metadata!", ADDRESS(INDEX($W$2:$W$1001,MATCH(ROWS($U$2:U662),$U$2:$U$1001,0),0), INDEX($AB$1004:$AQ$1004,1,MATCH(COLUMNS($AB$1006:AB1006),$AB$1006:$AQ$1006,0)))),"Fix")))</f>
        <v>0</v>
      </c>
      <c r="C662" s="5">
        <f>IF(OR(INDEX($V$2:$V$1001,MATCH(ROWS($U$2:U662),$U$2:$U$1001,0),1)&gt;=100000,INDEX($AB$1005:$AQ$1005,1,MATCH(COLUMNS($AB$1006:AC1006),$AB$1006:$AQ$1006,0))&gt;=100000), " ",IF(INDEX($AB$2:$AQ$1001,MATCH(ROWS($U$2:U662),$U$2:$U$1001,0),MATCH(COLUMNS($AB$1006:AC1006),$AB$1006:$AQ$1006,0)), HYPERLINK("#",""), HYPERLINK(CONCATENATE("#Metadata!", ADDRESS(INDEX($W$2:$W$1001,MATCH(ROWS($U$2:U662),$U$2:$U$1001,0),0), INDEX($AB$1004:$AQ$1004,1,MATCH(COLUMNS($AB$1006:AC1006),$AB$1006:$AQ$1006,0)))),"Fix")))</f>
        <v>0</v>
      </c>
      <c r="D662" s="5">
        <f>IF(OR(INDEX($V$2:$V$1001,MATCH(ROWS($U$2:U662),$U$2:$U$1001,0),1)&gt;=100000,INDEX($AB$1005:$AQ$1005,1,MATCH(COLUMNS($AB$1006:AD1006),$AB$1006:$AQ$1006,0))&gt;=100000), " ",IF(INDEX($AB$2:$AQ$1001,MATCH(ROWS($U$2:U662),$U$2:$U$1001,0),MATCH(COLUMNS($AB$1006:AD1006),$AB$1006:$AQ$1006,0)), HYPERLINK("#",""), HYPERLINK(CONCATENATE("#Metadata!", ADDRESS(INDEX($W$2:$W$1001,MATCH(ROWS($U$2:U662),$U$2:$U$1001,0),0), INDEX($AB$1004:$AQ$1004,1,MATCH(COLUMNS($AB$1006:AD1006),$AB$1006:$AQ$1006,0)))),"Fix")))</f>
        <v>0</v>
      </c>
      <c r="E662" s="5">
        <f>IF(OR(INDEX($V$2:$V$1001,MATCH(ROWS($U$2:U662),$U$2:$U$1001,0),1)&gt;=100000,INDEX($AB$1005:$AQ$1005,1,MATCH(COLUMNS($AB$1006:AE1006),$AB$1006:$AQ$1006,0))&gt;=100000), " ",IF(INDEX($AB$2:$AQ$1001,MATCH(ROWS($U$2:U662),$U$2:$U$1001,0),MATCH(COLUMNS($AB$1006:AE1006),$AB$1006:$AQ$1006,0)), HYPERLINK("#",""), HYPERLINK(CONCATENATE("#Metadata!", ADDRESS(INDEX($W$2:$W$1001,MATCH(ROWS($U$2:U662),$U$2:$U$1001,0),0), INDEX($AB$1004:$AQ$1004,1,MATCH(COLUMNS($AB$1006:AE1006),$AB$1006:$AQ$1006,0)))),"Fix")))</f>
        <v>0</v>
      </c>
      <c r="F662" s="5">
        <f>IF(OR(INDEX($V$2:$V$1001,MATCH(ROWS($U$2:U662),$U$2:$U$1001,0),1)&gt;=100000,INDEX($AB$1005:$AQ$1005,1,MATCH(COLUMNS($AB$1006:AF1006),$AB$1006:$AQ$1006,0))&gt;=100000), " ",IF(INDEX($AB$2:$AQ$1001,MATCH(ROWS($U$2:U662),$U$2:$U$1001,0),MATCH(COLUMNS($AB$1006:AF1006),$AB$1006:$AQ$1006,0)), HYPERLINK("#",""), HYPERLINK(CONCATENATE("#Metadata!", ADDRESS(INDEX($W$2:$W$1001,MATCH(ROWS($U$2:U662),$U$2:$U$1001,0),0), INDEX($AB$1004:$AQ$1004,1,MATCH(COLUMNS($AB$1006:AF1006),$AB$1006:$AQ$1006,0)))),"Fix")))</f>
        <v>0</v>
      </c>
      <c r="G662" s="5">
        <f>IF(OR(INDEX($V$2:$V$1001,MATCH(ROWS($U$2:U662),$U$2:$U$1001,0),1)&gt;=100000,INDEX($AB$1005:$AQ$1005,1,MATCH(COLUMNS($AB$1006:AG1006),$AB$1006:$AQ$1006,0))&gt;=100000), " ",IF(INDEX($AB$2:$AQ$1001,MATCH(ROWS($U$2:U662),$U$2:$U$1001,0),MATCH(COLUMNS($AB$1006:AG1006),$AB$1006:$AQ$1006,0)), HYPERLINK("#",""), HYPERLINK(CONCATENATE("#Metadata!", ADDRESS(INDEX($W$2:$W$1001,MATCH(ROWS($U$2:U662),$U$2:$U$1001,0),0), INDEX($AB$1004:$AQ$1004,1,MATCH(COLUMNS($AB$1006:AG1006),$AB$1006:$AQ$1006,0)))),"Fix")))</f>
        <v>0</v>
      </c>
      <c r="H662" s="5">
        <f>IF(OR(INDEX($V$2:$V$1001,MATCH(ROWS($U$2:U662),$U$2:$U$1001,0),1)&gt;=100000,INDEX($AB$1005:$AQ$1005,1,MATCH(COLUMNS($AB$1006:AH1006),$AB$1006:$AQ$1006,0))&gt;=100000), " ",IF(INDEX($AB$2:$AQ$1001,MATCH(ROWS($U$2:U662),$U$2:$U$1001,0),MATCH(COLUMNS($AB$1006:AH1006),$AB$1006:$AQ$1006,0)), HYPERLINK("#",""), HYPERLINK(CONCATENATE("#Metadata!", ADDRESS(INDEX($W$2:$W$1001,MATCH(ROWS($U$2:U662),$U$2:$U$1001,0),0), INDEX($AB$1004:$AQ$1004,1,MATCH(COLUMNS($AB$1006:AH1006),$AB$1006:$AQ$1006,0)))),"Fix")))</f>
        <v>0</v>
      </c>
      <c r="I662" s="5">
        <f>IF(OR(INDEX($V$2:$V$1001,MATCH(ROWS($U$2:U662),$U$2:$U$1001,0),1)&gt;=100000,INDEX($AB$1005:$AQ$1005,1,MATCH(COLUMNS($AB$1006:AI1006),$AB$1006:$AQ$1006,0))&gt;=100000), " ",IF(INDEX($AB$2:$AQ$1001,MATCH(ROWS($U$2:U662),$U$2:$U$1001,0),MATCH(COLUMNS($AB$1006:AI1006),$AB$1006:$AQ$1006,0)), HYPERLINK("#",""), HYPERLINK(CONCATENATE("#Metadata!", ADDRESS(INDEX($W$2:$W$1001,MATCH(ROWS($U$2:U662),$U$2:$U$1001,0),0), INDEX($AB$1004:$AQ$1004,1,MATCH(COLUMNS($AB$1006:AI1006),$AB$1006:$AQ$1006,0)))),"Fix")))</f>
        <v>0</v>
      </c>
      <c r="J662" s="5">
        <f>IF(OR(INDEX($V$2:$V$1001,MATCH(ROWS($U$2:U662),$U$2:$U$1001,0),1)&gt;=100000,INDEX($AB$1005:$AQ$1005,1,MATCH(COLUMNS($AB$1006:AJ1006),$AB$1006:$AQ$1006,0))&gt;=100000), " ",IF(INDEX($AB$2:$AQ$1001,MATCH(ROWS($U$2:U662),$U$2:$U$1001,0),MATCH(COLUMNS($AB$1006:AJ1006),$AB$1006:$AQ$1006,0)), HYPERLINK("#",""), HYPERLINK(CONCATENATE("#Metadata!", ADDRESS(INDEX($W$2:$W$1001,MATCH(ROWS($U$2:U662),$U$2:$U$1001,0),0), INDEX($AB$1004:$AQ$1004,1,MATCH(COLUMNS($AB$1006:AJ1006),$AB$1006:$AQ$1006,0)))),"Fix")))</f>
        <v>0</v>
      </c>
      <c r="K662" s="5">
        <f>IF(OR(INDEX($V$2:$V$1001,MATCH(ROWS($U$2:U662),$U$2:$U$1001,0),1)&gt;=100000,INDEX($AB$1005:$AQ$1005,1,MATCH(COLUMNS($AB$1006:AK1006),$AB$1006:$AQ$1006,0))&gt;=100000), " ",IF(INDEX($AB$2:$AQ$1001,MATCH(ROWS($U$2:U662),$U$2:$U$1001,0),MATCH(COLUMNS($AB$1006:AK1006),$AB$1006:$AQ$1006,0)), HYPERLINK("#",""), HYPERLINK(CONCATENATE("#Metadata!", ADDRESS(INDEX($W$2:$W$1001,MATCH(ROWS($U$2:U662),$U$2:$U$1001,0),0), INDEX($AB$1004:$AQ$1004,1,MATCH(COLUMNS($AB$1006:AK1006),$AB$1006:$AQ$1006,0)))),"Fix")))</f>
        <v>0</v>
      </c>
      <c r="L662" s="5">
        <f>IF(OR(INDEX($V$2:$V$1001,MATCH(ROWS($U$2:U662),$U$2:$U$1001,0),1)&gt;=100000,INDEX($AB$1005:$AQ$1005,1,MATCH(COLUMNS($AB$1006:AL1006),$AB$1006:$AQ$1006,0))&gt;=100000), " ",IF(INDEX($AB$2:$AQ$1001,MATCH(ROWS($U$2:U662),$U$2:$U$1001,0),MATCH(COLUMNS($AB$1006:AL1006),$AB$1006:$AQ$1006,0)), HYPERLINK("#",""), HYPERLINK(CONCATENATE("#Metadata!", ADDRESS(INDEX($W$2:$W$1001,MATCH(ROWS($U$2:U662),$U$2:$U$1001,0),0), INDEX($AB$1004:$AQ$1004,1,MATCH(COLUMNS($AB$1006:AL1006),$AB$1006:$AQ$1006,0)))),"Fix")))</f>
        <v>0</v>
      </c>
      <c r="M662" s="5">
        <f>IF(OR(INDEX($V$2:$V$1001,MATCH(ROWS($U$2:U662),$U$2:$U$1001,0),1)&gt;=100000,INDEX($AB$1005:$AQ$1005,1,MATCH(COLUMNS($AB$1006:AM1006),$AB$1006:$AQ$1006,0))&gt;=100000), " ",IF(INDEX($AB$2:$AQ$1001,MATCH(ROWS($U$2:U662),$U$2:$U$1001,0),MATCH(COLUMNS($AB$1006:AM1006),$AB$1006:$AQ$1006,0)), HYPERLINK("#",""), HYPERLINK(CONCATENATE("#Metadata!", ADDRESS(INDEX($W$2:$W$1001,MATCH(ROWS($U$2:U662),$U$2:$U$1001,0),0), INDEX($AB$1004:$AQ$1004,1,MATCH(COLUMNS($AB$1006:AM1006),$AB$1006:$AQ$1006,0)))),"Fix")))</f>
        <v>0</v>
      </c>
      <c r="N662" s="5">
        <f>IF(OR(INDEX($V$2:$V$1001,MATCH(ROWS($U$2:U662),$U$2:$U$1001,0),1)&gt;=100000,INDEX($AB$1005:$AQ$1005,1,MATCH(COLUMNS($AB$1006:AN1006),$AB$1006:$AQ$1006,0))&gt;=100000), " ",IF(INDEX($AB$2:$AQ$1001,MATCH(ROWS($U$2:U662),$U$2:$U$1001,0),MATCH(COLUMNS($AB$1006:AN1006),$AB$1006:$AQ$1006,0)), HYPERLINK("#",""), HYPERLINK(CONCATENATE("#Metadata!", ADDRESS(INDEX($W$2:$W$1001,MATCH(ROWS($U$2:U662),$U$2:$U$1001,0),0), INDEX($AB$1004:$AQ$1004,1,MATCH(COLUMNS($AB$1006:AN1006),$AB$1006:$AQ$1006,0)))),"Fix")))</f>
        <v>0</v>
      </c>
      <c r="O662" s="5">
        <f>IF(OR(INDEX($V$2:$V$1001,MATCH(ROWS($U$2:U662),$U$2:$U$1001,0),1)&gt;=100000,INDEX($AB$1005:$AQ$1005,1,MATCH(COLUMNS($AB$1006:AO1006),$AB$1006:$AQ$1006,0))&gt;=100000), " ",IF(INDEX($AB$2:$AQ$1001,MATCH(ROWS($U$2:U662),$U$2:$U$1001,0),MATCH(COLUMNS($AB$1006:AO1006),$AB$1006:$AQ$1006,0)), HYPERLINK("#",""), HYPERLINK(CONCATENATE("#Metadata!", ADDRESS(INDEX($W$2:$W$1001,MATCH(ROWS($U$2:U662),$U$2:$U$1001,0),0), INDEX($AB$1004:$AQ$1004,1,MATCH(COLUMNS($AB$1006:AO1006),$AB$1006:$AQ$1006,0)))),"Fix")))</f>
        <v>0</v>
      </c>
      <c r="P662" s="5">
        <f>IF(OR(INDEX($V$2:$V$1001,MATCH(ROWS($U$2:U662),$U$2:$U$1001,0),1)&gt;=100000,INDEX($AB$1005:$AQ$1005,1,MATCH(COLUMNS($AB$1006:AP1006),$AB$1006:$AQ$1006,0))&gt;=100000), " ",IF(INDEX($AB$2:$AQ$1001,MATCH(ROWS($U$2:U662),$U$2:$U$1001,0),MATCH(COLUMNS($AB$1006:AP1006),$AB$1006:$AQ$1006,0)), HYPERLINK("#",""), HYPERLINK(CONCATENATE("#Metadata!", ADDRESS(INDEX($W$2:$W$1001,MATCH(ROWS($U$2:U662),$U$2:$U$1001,0),0), INDEX($AB$1004:$AQ$1004,1,MATCH(COLUMNS($AB$1006:AP1006),$AB$1006:$AQ$1006,0)))),"Fix")))</f>
        <v>0</v>
      </c>
      <c r="Q662" s="5">
        <f>IF(OR(INDEX($V$2:$V$1001,MATCH(ROWS($U$2:U662),$U$2:$U$1001,0),1)&gt;=100000,INDEX($AB$1005:$AQ$1005,1,MATCH(COLUMNS($AB$1006:AQ1006),$AB$1006:$AQ$1006,0))&gt;=100000), " ",IF(INDEX($AB$2:$AQ$1001,MATCH(ROWS($U$2:U662),$U$2:$U$1001,0),MATCH(COLUMNS($AB$1006:AQ1006),$AB$1006:$AQ$1006,0)), HYPERLINK("#",""), HYPERLINK(CONCATENATE("#Metadata!", ADDRESS(INDEX($W$2:$W$1001,MATCH(ROWS($U$2:U662),$U$2:$U$1001,0),0), INDEX($AB$1004:$AQ$1004,1,MATCH(COLUMNS($AB$1006:AQ1006),$AB$1006:$AQ$1006,0)))),"Fix")))</f>
        <v>0</v>
      </c>
      <c r="U662">
        <v>0</v>
      </c>
      <c r="V662">
        <v>0</v>
      </c>
      <c r="W662">
        <v>0</v>
      </c>
      <c r="X662">
        <f>IF(Y662,TRUE,AND(AB662:AQ662))</f>
        <v>0</v>
      </c>
      <c r="Y662">
        <f>COUNTBLANK(Metadata!B662:Q662)=COLUMNS(Metadata!B662:Q662)</f>
        <v>0</v>
      </c>
      <c r="Z662">
        <v>0</v>
      </c>
      <c r="AB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AC662">
        <f>AND(IF(Metadata!C662="",FALSE,TRUE),exact(Metadata!C662,"urban biome"))</f>
        <v>0</v>
      </c>
      <c r="AD662">
        <f>AND(IF(Metadata!D662="",FALSE,TRUE),exact(Metadata!D662,"human-associated habitat"))</f>
        <v>0</v>
      </c>
      <c r="AE662">
        <f>AND(IF(Metadata!E662="",FALSE,TRUE),OR(exact(Metadata!E662,"human-associated"),exact(Metadata!E662,"human-skin"),exact(Metadata!E662,"human-oral"),exact(Metadata!E662,"human-gut"),exact(Metadata!E662,"human-vaginal")))</f>
        <v>0</v>
      </c>
      <c r="AF662">
        <f>AND(IF(Metadata!F662="",FALSE,ISNUMBER(VALUE(Metadata!F662))),Metadata!F662&gt;0)</f>
        <v>0</v>
      </c>
      <c r="AG662">
        <f>AND(IF(Metadata!G662="",FALSE,TRUE),exact(Metadata!G662,"years"))</f>
        <v>0</v>
      </c>
      <c r="AH662">
        <f>OR(AND(IF(Metadata!H662="",FALSE,TRUE),OR(exact(Metadata!H662,"not applicable"),exact(Metadata!H662,"not collected"),exact(Metadata!H662,"not provided"),exact(Metadata!H662,"restricted access"))),AND(IF(Metadata!H662="",FALSE,ISNUMBER(VALUE(Metadata!H662))),Metadata!H662&gt;0))</f>
        <v>0</v>
      </c>
      <c r="AI662">
        <f>AND(IF(Metadata!I662="",FALSE,TRUE),exact(Metadata!I662,"human"))</f>
        <v>0</v>
      </c>
      <c r="AJ662">
        <f>AND(IF(Metadata!J662="",FALSE,ISNUMBER(VALUE(Metadata!J662))),Metadata!J662&gt;0)</f>
        <v>0</v>
      </c>
      <c r="AK662">
        <f>AND(IF(Metadata!K662="",FALSE,TRUE),exact(Metadata!K662,"cm"))</f>
        <v>0</v>
      </c>
      <c r="AL662">
        <f>AND(IF(Metadata!L662="",FALSE,TRUE),exact(Metadata!L662,"Homo sapiens"))</f>
        <v>0</v>
      </c>
      <c r="AM662">
        <f>AND(IF(Metadata!M662="",FALSE,TRUE),exact(Metadata!M662,"9606"))</f>
        <v>0</v>
      </c>
      <c r="AN662">
        <f>AND(IF(Metadata!N662="",FALSE,ISNUMBER(VALUE(Metadata!N662))),Metadata!N662&gt;0)</f>
        <v>0</v>
      </c>
      <c r="AO662">
        <f>AND(IF(Metadata!O662="",FALSE,TRUE),exact(Metadata!O662,"kg"))</f>
        <v>0</v>
      </c>
      <c r="AP662">
        <f>OR(AND(IF(Metadata!P662="",FALSE,TRUE),exact(Metadata!P662,"not provided")),IF(Metadata!P662="",FALSE,TRUE))</f>
        <v>0</v>
      </c>
      <c r="AQ662">
        <f>OR(AND(IF(Metadata!Q662="",FALSE,TRUE),exact(Metadata!Q662,"not provided")),IF(Metadata!Q662="",FALSE,TRUE))</f>
        <v>0</v>
      </c>
    </row>
    <row r="663" spans="1:43">
      <c r="A663" s="4">
        <f>IF(B663=" "," ",HYPERLINK(CONCATENATE("#metadata!",ADDRESS(INDEX($W$2:$W$1001,MATCH(ROWS($U$2:U663),$U$2:$U$1001,0),0),2)),INDEX($Z$2:$Z$1001,MATCH(ROWS($U$2:U663),$U$2:$U$1001,0),0)))</f>
        <v>0</v>
      </c>
      <c r="B663" s="5">
        <f>IF(OR(INDEX($V$2:$V$1001,MATCH(ROWS($U$2:U663),$U$2:$U$1001,0),1)&gt;=100000,INDEX($AB$1005:$AQ$1005,1,MATCH(COLUMNS($AB$1006:AB1006),$AB$1006:$AQ$1006,0))&gt;=100000), " ",IF(INDEX($AB$2:$AQ$1001,MATCH(ROWS($U$2:U663),$U$2:$U$1001,0),MATCH(COLUMNS($AB$1006:AB1006),$AB$1006:$AQ$1006,0)), HYPERLINK("#",""), HYPERLINK(CONCATENATE("#Metadata!", ADDRESS(INDEX($W$2:$W$1001,MATCH(ROWS($U$2:U663),$U$2:$U$1001,0),0), INDEX($AB$1004:$AQ$1004,1,MATCH(COLUMNS($AB$1006:AB1006),$AB$1006:$AQ$1006,0)))),"Fix")))</f>
        <v>0</v>
      </c>
      <c r="C663" s="5">
        <f>IF(OR(INDEX($V$2:$V$1001,MATCH(ROWS($U$2:U663),$U$2:$U$1001,0),1)&gt;=100000,INDEX($AB$1005:$AQ$1005,1,MATCH(COLUMNS($AB$1006:AC1006),$AB$1006:$AQ$1006,0))&gt;=100000), " ",IF(INDEX($AB$2:$AQ$1001,MATCH(ROWS($U$2:U663),$U$2:$U$1001,0),MATCH(COLUMNS($AB$1006:AC1006),$AB$1006:$AQ$1006,0)), HYPERLINK("#",""), HYPERLINK(CONCATENATE("#Metadata!", ADDRESS(INDEX($W$2:$W$1001,MATCH(ROWS($U$2:U663),$U$2:$U$1001,0),0), INDEX($AB$1004:$AQ$1004,1,MATCH(COLUMNS($AB$1006:AC1006),$AB$1006:$AQ$1006,0)))),"Fix")))</f>
        <v>0</v>
      </c>
      <c r="D663" s="5">
        <f>IF(OR(INDEX($V$2:$V$1001,MATCH(ROWS($U$2:U663),$U$2:$U$1001,0),1)&gt;=100000,INDEX($AB$1005:$AQ$1005,1,MATCH(COLUMNS($AB$1006:AD1006),$AB$1006:$AQ$1006,0))&gt;=100000), " ",IF(INDEX($AB$2:$AQ$1001,MATCH(ROWS($U$2:U663),$U$2:$U$1001,0),MATCH(COLUMNS($AB$1006:AD1006),$AB$1006:$AQ$1006,0)), HYPERLINK("#",""), HYPERLINK(CONCATENATE("#Metadata!", ADDRESS(INDEX($W$2:$W$1001,MATCH(ROWS($U$2:U663),$U$2:$U$1001,0),0), INDEX($AB$1004:$AQ$1004,1,MATCH(COLUMNS($AB$1006:AD1006),$AB$1006:$AQ$1006,0)))),"Fix")))</f>
        <v>0</v>
      </c>
      <c r="E663" s="5">
        <f>IF(OR(INDEX($V$2:$V$1001,MATCH(ROWS($U$2:U663),$U$2:$U$1001,0),1)&gt;=100000,INDEX($AB$1005:$AQ$1005,1,MATCH(COLUMNS($AB$1006:AE1006),$AB$1006:$AQ$1006,0))&gt;=100000), " ",IF(INDEX($AB$2:$AQ$1001,MATCH(ROWS($U$2:U663),$U$2:$U$1001,0),MATCH(COLUMNS($AB$1006:AE1006),$AB$1006:$AQ$1006,0)), HYPERLINK("#",""), HYPERLINK(CONCATENATE("#Metadata!", ADDRESS(INDEX($W$2:$W$1001,MATCH(ROWS($U$2:U663),$U$2:$U$1001,0),0), INDEX($AB$1004:$AQ$1004,1,MATCH(COLUMNS($AB$1006:AE1006),$AB$1006:$AQ$1006,0)))),"Fix")))</f>
        <v>0</v>
      </c>
      <c r="F663" s="5">
        <f>IF(OR(INDEX($V$2:$V$1001,MATCH(ROWS($U$2:U663),$U$2:$U$1001,0),1)&gt;=100000,INDEX($AB$1005:$AQ$1005,1,MATCH(COLUMNS($AB$1006:AF1006),$AB$1006:$AQ$1006,0))&gt;=100000), " ",IF(INDEX($AB$2:$AQ$1001,MATCH(ROWS($U$2:U663),$U$2:$U$1001,0),MATCH(COLUMNS($AB$1006:AF1006),$AB$1006:$AQ$1006,0)), HYPERLINK("#",""), HYPERLINK(CONCATENATE("#Metadata!", ADDRESS(INDEX($W$2:$W$1001,MATCH(ROWS($U$2:U663),$U$2:$U$1001,0),0), INDEX($AB$1004:$AQ$1004,1,MATCH(COLUMNS($AB$1006:AF1006),$AB$1006:$AQ$1006,0)))),"Fix")))</f>
        <v>0</v>
      </c>
      <c r="G663" s="5">
        <f>IF(OR(INDEX($V$2:$V$1001,MATCH(ROWS($U$2:U663),$U$2:$U$1001,0),1)&gt;=100000,INDEX($AB$1005:$AQ$1005,1,MATCH(COLUMNS($AB$1006:AG1006),$AB$1006:$AQ$1006,0))&gt;=100000), " ",IF(INDEX($AB$2:$AQ$1001,MATCH(ROWS($U$2:U663),$U$2:$U$1001,0),MATCH(COLUMNS($AB$1006:AG1006),$AB$1006:$AQ$1006,0)), HYPERLINK("#",""), HYPERLINK(CONCATENATE("#Metadata!", ADDRESS(INDEX($W$2:$W$1001,MATCH(ROWS($U$2:U663),$U$2:$U$1001,0),0), INDEX($AB$1004:$AQ$1004,1,MATCH(COLUMNS($AB$1006:AG1006),$AB$1006:$AQ$1006,0)))),"Fix")))</f>
        <v>0</v>
      </c>
      <c r="H663" s="5">
        <f>IF(OR(INDEX($V$2:$V$1001,MATCH(ROWS($U$2:U663),$U$2:$U$1001,0),1)&gt;=100000,INDEX($AB$1005:$AQ$1005,1,MATCH(COLUMNS($AB$1006:AH1006),$AB$1006:$AQ$1006,0))&gt;=100000), " ",IF(INDEX($AB$2:$AQ$1001,MATCH(ROWS($U$2:U663),$U$2:$U$1001,0),MATCH(COLUMNS($AB$1006:AH1006),$AB$1006:$AQ$1006,0)), HYPERLINK("#",""), HYPERLINK(CONCATENATE("#Metadata!", ADDRESS(INDEX($W$2:$W$1001,MATCH(ROWS($U$2:U663),$U$2:$U$1001,0),0), INDEX($AB$1004:$AQ$1004,1,MATCH(COLUMNS($AB$1006:AH1006),$AB$1006:$AQ$1006,0)))),"Fix")))</f>
        <v>0</v>
      </c>
      <c r="I663" s="5">
        <f>IF(OR(INDEX($V$2:$V$1001,MATCH(ROWS($U$2:U663),$U$2:$U$1001,0),1)&gt;=100000,INDEX($AB$1005:$AQ$1005,1,MATCH(COLUMNS($AB$1006:AI1006),$AB$1006:$AQ$1006,0))&gt;=100000), " ",IF(INDEX($AB$2:$AQ$1001,MATCH(ROWS($U$2:U663),$U$2:$U$1001,0),MATCH(COLUMNS($AB$1006:AI1006),$AB$1006:$AQ$1006,0)), HYPERLINK("#",""), HYPERLINK(CONCATENATE("#Metadata!", ADDRESS(INDEX($W$2:$W$1001,MATCH(ROWS($U$2:U663),$U$2:$U$1001,0),0), INDEX($AB$1004:$AQ$1004,1,MATCH(COLUMNS($AB$1006:AI1006),$AB$1006:$AQ$1006,0)))),"Fix")))</f>
        <v>0</v>
      </c>
      <c r="J663" s="5">
        <f>IF(OR(INDEX($V$2:$V$1001,MATCH(ROWS($U$2:U663),$U$2:$U$1001,0),1)&gt;=100000,INDEX($AB$1005:$AQ$1005,1,MATCH(COLUMNS($AB$1006:AJ1006),$AB$1006:$AQ$1006,0))&gt;=100000), " ",IF(INDEX($AB$2:$AQ$1001,MATCH(ROWS($U$2:U663),$U$2:$U$1001,0),MATCH(COLUMNS($AB$1006:AJ1006),$AB$1006:$AQ$1006,0)), HYPERLINK("#",""), HYPERLINK(CONCATENATE("#Metadata!", ADDRESS(INDEX($W$2:$W$1001,MATCH(ROWS($U$2:U663),$U$2:$U$1001,0),0), INDEX($AB$1004:$AQ$1004,1,MATCH(COLUMNS($AB$1006:AJ1006),$AB$1006:$AQ$1006,0)))),"Fix")))</f>
        <v>0</v>
      </c>
      <c r="K663" s="5">
        <f>IF(OR(INDEX($V$2:$V$1001,MATCH(ROWS($U$2:U663),$U$2:$U$1001,0),1)&gt;=100000,INDEX($AB$1005:$AQ$1005,1,MATCH(COLUMNS($AB$1006:AK1006),$AB$1006:$AQ$1006,0))&gt;=100000), " ",IF(INDEX($AB$2:$AQ$1001,MATCH(ROWS($U$2:U663),$U$2:$U$1001,0),MATCH(COLUMNS($AB$1006:AK1006),$AB$1006:$AQ$1006,0)), HYPERLINK("#",""), HYPERLINK(CONCATENATE("#Metadata!", ADDRESS(INDEX($W$2:$W$1001,MATCH(ROWS($U$2:U663),$U$2:$U$1001,0),0), INDEX($AB$1004:$AQ$1004,1,MATCH(COLUMNS($AB$1006:AK1006),$AB$1006:$AQ$1006,0)))),"Fix")))</f>
        <v>0</v>
      </c>
      <c r="L663" s="5">
        <f>IF(OR(INDEX($V$2:$V$1001,MATCH(ROWS($U$2:U663),$U$2:$U$1001,0),1)&gt;=100000,INDEX($AB$1005:$AQ$1005,1,MATCH(COLUMNS($AB$1006:AL1006),$AB$1006:$AQ$1006,0))&gt;=100000), " ",IF(INDEX($AB$2:$AQ$1001,MATCH(ROWS($U$2:U663),$U$2:$U$1001,0),MATCH(COLUMNS($AB$1006:AL1006),$AB$1006:$AQ$1006,0)), HYPERLINK("#",""), HYPERLINK(CONCATENATE("#Metadata!", ADDRESS(INDEX($W$2:$W$1001,MATCH(ROWS($U$2:U663),$U$2:$U$1001,0),0), INDEX($AB$1004:$AQ$1004,1,MATCH(COLUMNS($AB$1006:AL1006),$AB$1006:$AQ$1006,0)))),"Fix")))</f>
        <v>0</v>
      </c>
      <c r="M663" s="5">
        <f>IF(OR(INDEX($V$2:$V$1001,MATCH(ROWS($U$2:U663),$U$2:$U$1001,0),1)&gt;=100000,INDEX($AB$1005:$AQ$1005,1,MATCH(COLUMNS($AB$1006:AM1006),$AB$1006:$AQ$1006,0))&gt;=100000), " ",IF(INDEX($AB$2:$AQ$1001,MATCH(ROWS($U$2:U663),$U$2:$U$1001,0),MATCH(COLUMNS($AB$1006:AM1006),$AB$1006:$AQ$1006,0)), HYPERLINK("#",""), HYPERLINK(CONCATENATE("#Metadata!", ADDRESS(INDEX($W$2:$W$1001,MATCH(ROWS($U$2:U663),$U$2:$U$1001,0),0), INDEX($AB$1004:$AQ$1004,1,MATCH(COLUMNS($AB$1006:AM1006),$AB$1006:$AQ$1006,0)))),"Fix")))</f>
        <v>0</v>
      </c>
      <c r="N663" s="5">
        <f>IF(OR(INDEX($V$2:$V$1001,MATCH(ROWS($U$2:U663),$U$2:$U$1001,0),1)&gt;=100000,INDEX($AB$1005:$AQ$1005,1,MATCH(COLUMNS($AB$1006:AN1006),$AB$1006:$AQ$1006,0))&gt;=100000), " ",IF(INDEX($AB$2:$AQ$1001,MATCH(ROWS($U$2:U663),$U$2:$U$1001,0),MATCH(COLUMNS($AB$1006:AN1006),$AB$1006:$AQ$1006,0)), HYPERLINK("#",""), HYPERLINK(CONCATENATE("#Metadata!", ADDRESS(INDEX($W$2:$W$1001,MATCH(ROWS($U$2:U663),$U$2:$U$1001,0),0), INDEX($AB$1004:$AQ$1004,1,MATCH(COLUMNS($AB$1006:AN1006),$AB$1006:$AQ$1006,0)))),"Fix")))</f>
        <v>0</v>
      </c>
      <c r="O663" s="5">
        <f>IF(OR(INDEX($V$2:$V$1001,MATCH(ROWS($U$2:U663),$U$2:$U$1001,0),1)&gt;=100000,INDEX($AB$1005:$AQ$1005,1,MATCH(COLUMNS($AB$1006:AO1006),$AB$1006:$AQ$1006,0))&gt;=100000), " ",IF(INDEX($AB$2:$AQ$1001,MATCH(ROWS($U$2:U663),$U$2:$U$1001,0),MATCH(COLUMNS($AB$1006:AO1006),$AB$1006:$AQ$1006,0)), HYPERLINK("#",""), HYPERLINK(CONCATENATE("#Metadata!", ADDRESS(INDEX($W$2:$W$1001,MATCH(ROWS($U$2:U663),$U$2:$U$1001,0),0), INDEX($AB$1004:$AQ$1004,1,MATCH(COLUMNS($AB$1006:AO1006),$AB$1006:$AQ$1006,0)))),"Fix")))</f>
        <v>0</v>
      </c>
      <c r="P663" s="5">
        <f>IF(OR(INDEX($V$2:$V$1001,MATCH(ROWS($U$2:U663),$U$2:$U$1001,0),1)&gt;=100000,INDEX($AB$1005:$AQ$1005,1,MATCH(COLUMNS($AB$1006:AP1006),$AB$1006:$AQ$1006,0))&gt;=100000), " ",IF(INDEX($AB$2:$AQ$1001,MATCH(ROWS($U$2:U663),$U$2:$U$1001,0),MATCH(COLUMNS($AB$1006:AP1006),$AB$1006:$AQ$1006,0)), HYPERLINK("#",""), HYPERLINK(CONCATENATE("#Metadata!", ADDRESS(INDEX($W$2:$W$1001,MATCH(ROWS($U$2:U663),$U$2:$U$1001,0),0), INDEX($AB$1004:$AQ$1004,1,MATCH(COLUMNS($AB$1006:AP1006),$AB$1006:$AQ$1006,0)))),"Fix")))</f>
        <v>0</v>
      </c>
      <c r="Q663" s="5">
        <f>IF(OR(INDEX($V$2:$V$1001,MATCH(ROWS($U$2:U663),$U$2:$U$1001,0),1)&gt;=100000,INDEX($AB$1005:$AQ$1005,1,MATCH(COLUMNS($AB$1006:AQ1006),$AB$1006:$AQ$1006,0))&gt;=100000), " ",IF(INDEX($AB$2:$AQ$1001,MATCH(ROWS($U$2:U663),$U$2:$U$1001,0),MATCH(COLUMNS($AB$1006:AQ1006),$AB$1006:$AQ$1006,0)), HYPERLINK("#",""), HYPERLINK(CONCATENATE("#Metadata!", ADDRESS(INDEX($W$2:$W$1001,MATCH(ROWS($U$2:U663),$U$2:$U$1001,0),0), INDEX($AB$1004:$AQ$1004,1,MATCH(COLUMNS($AB$1006:AQ1006),$AB$1006:$AQ$1006,0)))),"Fix")))</f>
        <v>0</v>
      </c>
      <c r="U663">
        <v>0</v>
      </c>
      <c r="V663">
        <v>0</v>
      </c>
      <c r="W663">
        <v>0</v>
      </c>
      <c r="X663">
        <f>IF(Y663,TRUE,AND(AB663:AQ663))</f>
        <v>0</v>
      </c>
      <c r="Y663">
        <f>COUNTBLANK(Metadata!B663:Q663)=COLUMNS(Metadata!B663:Q663)</f>
        <v>0</v>
      </c>
      <c r="Z663">
        <v>0</v>
      </c>
      <c r="AB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AC663">
        <f>AND(IF(Metadata!C663="",FALSE,TRUE),exact(Metadata!C663,"urban biome"))</f>
        <v>0</v>
      </c>
      <c r="AD663">
        <f>AND(IF(Metadata!D663="",FALSE,TRUE),exact(Metadata!D663,"human-associated habitat"))</f>
        <v>0</v>
      </c>
      <c r="AE663">
        <f>AND(IF(Metadata!E663="",FALSE,TRUE),OR(exact(Metadata!E663,"human-associated"),exact(Metadata!E663,"human-skin"),exact(Metadata!E663,"human-oral"),exact(Metadata!E663,"human-gut"),exact(Metadata!E663,"human-vaginal")))</f>
        <v>0</v>
      </c>
      <c r="AF663">
        <f>AND(IF(Metadata!F663="",FALSE,ISNUMBER(VALUE(Metadata!F663))),Metadata!F663&gt;0)</f>
        <v>0</v>
      </c>
      <c r="AG663">
        <f>AND(IF(Metadata!G663="",FALSE,TRUE),exact(Metadata!G663,"years"))</f>
        <v>0</v>
      </c>
      <c r="AH663">
        <f>OR(AND(IF(Metadata!H663="",FALSE,TRUE),OR(exact(Metadata!H663,"not applicable"),exact(Metadata!H663,"not collected"),exact(Metadata!H663,"not provided"),exact(Metadata!H663,"restricted access"))),AND(IF(Metadata!H663="",FALSE,ISNUMBER(VALUE(Metadata!H663))),Metadata!H663&gt;0))</f>
        <v>0</v>
      </c>
      <c r="AI663">
        <f>AND(IF(Metadata!I663="",FALSE,TRUE),exact(Metadata!I663,"human"))</f>
        <v>0</v>
      </c>
      <c r="AJ663">
        <f>AND(IF(Metadata!J663="",FALSE,ISNUMBER(VALUE(Metadata!J663))),Metadata!J663&gt;0)</f>
        <v>0</v>
      </c>
      <c r="AK663">
        <f>AND(IF(Metadata!K663="",FALSE,TRUE),exact(Metadata!K663,"cm"))</f>
        <v>0</v>
      </c>
      <c r="AL663">
        <f>AND(IF(Metadata!L663="",FALSE,TRUE),exact(Metadata!L663,"Homo sapiens"))</f>
        <v>0</v>
      </c>
      <c r="AM663">
        <f>AND(IF(Metadata!M663="",FALSE,TRUE),exact(Metadata!M663,"9606"))</f>
        <v>0</v>
      </c>
      <c r="AN663">
        <f>AND(IF(Metadata!N663="",FALSE,ISNUMBER(VALUE(Metadata!N663))),Metadata!N663&gt;0)</f>
        <v>0</v>
      </c>
      <c r="AO663">
        <f>AND(IF(Metadata!O663="",FALSE,TRUE),exact(Metadata!O663,"kg"))</f>
        <v>0</v>
      </c>
      <c r="AP663">
        <f>OR(AND(IF(Metadata!P663="",FALSE,TRUE),exact(Metadata!P663,"not provided")),IF(Metadata!P663="",FALSE,TRUE))</f>
        <v>0</v>
      </c>
      <c r="AQ663">
        <f>OR(AND(IF(Metadata!Q663="",FALSE,TRUE),exact(Metadata!Q663,"not provided")),IF(Metadata!Q663="",FALSE,TRUE))</f>
        <v>0</v>
      </c>
    </row>
    <row r="664" spans="1:43">
      <c r="A664" s="4">
        <f>IF(B664=" "," ",HYPERLINK(CONCATENATE("#metadata!",ADDRESS(INDEX($W$2:$W$1001,MATCH(ROWS($U$2:U664),$U$2:$U$1001,0),0),2)),INDEX($Z$2:$Z$1001,MATCH(ROWS($U$2:U664),$U$2:$U$1001,0),0)))</f>
        <v>0</v>
      </c>
      <c r="B664" s="5">
        <f>IF(OR(INDEX($V$2:$V$1001,MATCH(ROWS($U$2:U664),$U$2:$U$1001,0),1)&gt;=100000,INDEX($AB$1005:$AQ$1005,1,MATCH(COLUMNS($AB$1006:AB1006),$AB$1006:$AQ$1006,0))&gt;=100000), " ",IF(INDEX($AB$2:$AQ$1001,MATCH(ROWS($U$2:U664),$U$2:$U$1001,0),MATCH(COLUMNS($AB$1006:AB1006),$AB$1006:$AQ$1006,0)), HYPERLINK("#",""), HYPERLINK(CONCATENATE("#Metadata!", ADDRESS(INDEX($W$2:$W$1001,MATCH(ROWS($U$2:U664),$U$2:$U$1001,0),0), INDEX($AB$1004:$AQ$1004,1,MATCH(COLUMNS($AB$1006:AB1006),$AB$1006:$AQ$1006,0)))),"Fix")))</f>
        <v>0</v>
      </c>
      <c r="C664" s="5">
        <f>IF(OR(INDEX($V$2:$V$1001,MATCH(ROWS($U$2:U664),$U$2:$U$1001,0),1)&gt;=100000,INDEX($AB$1005:$AQ$1005,1,MATCH(COLUMNS($AB$1006:AC1006),$AB$1006:$AQ$1006,0))&gt;=100000), " ",IF(INDEX($AB$2:$AQ$1001,MATCH(ROWS($U$2:U664),$U$2:$U$1001,0),MATCH(COLUMNS($AB$1006:AC1006),$AB$1006:$AQ$1006,0)), HYPERLINK("#",""), HYPERLINK(CONCATENATE("#Metadata!", ADDRESS(INDEX($W$2:$W$1001,MATCH(ROWS($U$2:U664),$U$2:$U$1001,0),0), INDEX($AB$1004:$AQ$1004,1,MATCH(COLUMNS($AB$1006:AC1006),$AB$1006:$AQ$1006,0)))),"Fix")))</f>
        <v>0</v>
      </c>
      <c r="D664" s="5">
        <f>IF(OR(INDEX($V$2:$V$1001,MATCH(ROWS($U$2:U664),$U$2:$U$1001,0),1)&gt;=100000,INDEX($AB$1005:$AQ$1005,1,MATCH(COLUMNS($AB$1006:AD1006),$AB$1006:$AQ$1006,0))&gt;=100000), " ",IF(INDEX($AB$2:$AQ$1001,MATCH(ROWS($U$2:U664),$U$2:$U$1001,0),MATCH(COLUMNS($AB$1006:AD1006),$AB$1006:$AQ$1006,0)), HYPERLINK("#",""), HYPERLINK(CONCATENATE("#Metadata!", ADDRESS(INDEX($W$2:$W$1001,MATCH(ROWS($U$2:U664),$U$2:$U$1001,0),0), INDEX($AB$1004:$AQ$1004,1,MATCH(COLUMNS($AB$1006:AD1006),$AB$1006:$AQ$1006,0)))),"Fix")))</f>
        <v>0</v>
      </c>
      <c r="E664" s="5">
        <f>IF(OR(INDEX($V$2:$V$1001,MATCH(ROWS($U$2:U664),$U$2:$U$1001,0),1)&gt;=100000,INDEX($AB$1005:$AQ$1005,1,MATCH(COLUMNS($AB$1006:AE1006),$AB$1006:$AQ$1006,0))&gt;=100000), " ",IF(INDEX($AB$2:$AQ$1001,MATCH(ROWS($U$2:U664),$U$2:$U$1001,0),MATCH(COLUMNS($AB$1006:AE1006),$AB$1006:$AQ$1006,0)), HYPERLINK("#",""), HYPERLINK(CONCATENATE("#Metadata!", ADDRESS(INDEX($W$2:$W$1001,MATCH(ROWS($U$2:U664),$U$2:$U$1001,0),0), INDEX($AB$1004:$AQ$1004,1,MATCH(COLUMNS($AB$1006:AE1006),$AB$1006:$AQ$1006,0)))),"Fix")))</f>
        <v>0</v>
      </c>
      <c r="F664" s="5">
        <f>IF(OR(INDEX($V$2:$V$1001,MATCH(ROWS($U$2:U664),$U$2:$U$1001,0),1)&gt;=100000,INDEX($AB$1005:$AQ$1005,1,MATCH(COLUMNS($AB$1006:AF1006),$AB$1006:$AQ$1006,0))&gt;=100000), " ",IF(INDEX($AB$2:$AQ$1001,MATCH(ROWS($U$2:U664),$U$2:$U$1001,0),MATCH(COLUMNS($AB$1006:AF1006),$AB$1006:$AQ$1006,0)), HYPERLINK("#",""), HYPERLINK(CONCATENATE("#Metadata!", ADDRESS(INDEX($W$2:$W$1001,MATCH(ROWS($U$2:U664),$U$2:$U$1001,0),0), INDEX($AB$1004:$AQ$1004,1,MATCH(COLUMNS($AB$1006:AF1006),$AB$1006:$AQ$1006,0)))),"Fix")))</f>
        <v>0</v>
      </c>
      <c r="G664" s="5">
        <f>IF(OR(INDEX($V$2:$V$1001,MATCH(ROWS($U$2:U664),$U$2:$U$1001,0),1)&gt;=100000,INDEX($AB$1005:$AQ$1005,1,MATCH(COLUMNS($AB$1006:AG1006),$AB$1006:$AQ$1006,0))&gt;=100000), " ",IF(INDEX($AB$2:$AQ$1001,MATCH(ROWS($U$2:U664),$U$2:$U$1001,0),MATCH(COLUMNS($AB$1006:AG1006),$AB$1006:$AQ$1006,0)), HYPERLINK("#",""), HYPERLINK(CONCATENATE("#Metadata!", ADDRESS(INDEX($W$2:$W$1001,MATCH(ROWS($U$2:U664),$U$2:$U$1001,0),0), INDEX($AB$1004:$AQ$1004,1,MATCH(COLUMNS($AB$1006:AG1006),$AB$1006:$AQ$1006,0)))),"Fix")))</f>
        <v>0</v>
      </c>
      <c r="H664" s="5">
        <f>IF(OR(INDEX($V$2:$V$1001,MATCH(ROWS($U$2:U664),$U$2:$U$1001,0),1)&gt;=100000,INDEX($AB$1005:$AQ$1005,1,MATCH(COLUMNS($AB$1006:AH1006),$AB$1006:$AQ$1006,0))&gt;=100000), " ",IF(INDEX($AB$2:$AQ$1001,MATCH(ROWS($U$2:U664),$U$2:$U$1001,0),MATCH(COLUMNS($AB$1006:AH1006),$AB$1006:$AQ$1006,0)), HYPERLINK("#",""), HYPERLINK(CONCATENATE("#Metadata!", ADDRESS(INDEX($W$2:$W$1001,MATCH(ROWS($U$2:U664),$U$2:$U$1001,0),0), INDEX($AB$1004:$AQ$1004,1,MATCH(COLUMNS($AB$1006:AH1006),$AB$1006:$AQ$1006,0)))),"Fix")))</f>
        <v>0</v>
      </c>
      <c r="I664" s="5">
        <f>IF(OR(INDEX($V$2:$V$1001,MATCH(ROWS($U$2:U664),$U$2:$U$1001,0),1)&gt;=100000,INDEX($AB$1005:$AQ$1005,1,MATCH(COLUMNS($AB$1006:AI1006),$AB$1006:$AQ$1006,0))&gt;=100000), " ",IF(INDEX($AB$2:$AQ$1001,MATCH(ROWS($U$2:U664),$U$2:$U$1001,0),MATCH(COLUMNS($AB$1006:AI1006),$AB$1006:$AQ$1006,0)), HYPERLINK("#",""), HYPERLINK(CONCATENATE("#Metadata!", ADDRESS(INDEX($W$2:$W$1001,MATCH(ROWS($U$2:U664),$U$2:$U$1001,0),0), INDEX($AB$1004:$AQ$1004,1,MATCH(COLUMNS($AB$1006:AI1006),$AB$1006:$AQ$1006,0)))),"Fix")))</f>
        <v>0</v>
      </c>
      <c r="J664" s="5">
        <f>IF(OR(INDEX($V$2:$V$1001,MATCH(ROWS($U$2:U664),$U$2:$U$1001,0),1)&gt;=100000,INDEX($AB$1005:$AQ$1005,1,MATCH(COLUMNS($AB$1006:AJ1006),$AB$1006:$AQ$1006,0))&gt;=100000), " ",IF(INDEX($AB$2:$AQ$1001,MATCH(ROWS($U$2:U664),$U$2:$U$1001,0),MATCH(COLUMNS($AB$1006:AJ1006),$AB$1006:$AQ$1006,0)), HYPERLINK("#",""), HYPERLINK(CONCATENATE("#Metadata!", ADDRESS(INDEX($W$2:$W$1001,MATCH(ROWS($U$2:U664),$U$2:$U$1001,0),0), INDEX($AB$1004:$AQ$1004,1,MATCH(COLUMNS($AB$1006:AJ1006),$AB$1006:$AQ$1006,0)))),"Fix")))</f>
        <v>0</v>
      </c>
      <c r="K664" s="5">
        <f>IF(OR(INDEX($V$2:$V$1001,MATCH(ROWS($U$2:U664),$U$2:$U$1001,0),1)&gt;=100000,INDEX($AB$1005:$AQ$1005,1,MATCH(COLUMNS($AB$1006:AK1006),$AB$1006:$AQ$1006,0))&gt;=100000), " ",IF(INDEX($AB$2:$AQ$1001,MATCH(ROWS($U$2:U664),$U$2:$U$1001,0),MATCH(COLUMNS($AB$1006:AK1006),$AB$1006:$AQ$1006,0)), HYPERLINK("#",""), HYPERLINK(CONCATENATE("#Metadata!", ADDRESS(INDEX($W$2:$W$1001,MATCH(ROWS($U$2:U664),$U$2:$U$1001,0),0), INDEX($AB$1004:$AQ$1004,1,MATCH(COLUMNS($AB$1006:AK1006),$AB$1006:$AQ$1006,0)))),"Fix")))</f>
        <v>0</v>
      </c>
      <c r="L664" s="5">
        <f>IF(OR(INDEX($V$2:$V$1001,MATCH(ROWS($U$2:U664),$U$2:$U$1001,0),1)&gt;=100000,INDEX($AB$1005:$AQ$1005,1,MATCH(COLUMNS($AB$1006:AL1006),$AB$1006:$AQ$1006,0))&gt;=100000), " ",IF(INDEX($AB$2:$AQ$1001,MATCH(ROWS($U$2:U664),$U$2:$U$1001,0),MATCH(COLUMNS($AB$1006:AL1006),$AB$1006:$AQ$1006,0)), HYPERLINK("#",""), HYPERLINK(CONCATENATE("#Metadata!", ADDRESS(INDEX($W$2:$W$1001,MATCH(ROWS($U$2:U664),$U$2:$U$1001,0),0), INDEX($AB$1004:$AQ$1004,1,MATCH(COLUMNS($AB$1006:AL1006),$AB$1006:$AQ$1006,0)))),"Fix")))</f>
        <v>0</v>
      </c>
      <c r="M664" s="5">
        <f>IF(OR(INDEX($V$2:$V$1001,MATCH(ROWS($U$2:U664),$U$2:$U$1001,0),1)&gt;=100000,INDEX($AB$1005:$AQ$1005,1,MATCH(COLUMNS($AB$1006:AM1006),$AB$1006:$AQ$1006,0))&gt;=100000), " ",IF(INDEX($AB$2:$AQ$1001,MATCH(ROWS($U$2:U664),$U$2:$U$1001,0),MATCH(COLUMNS($AB$1006:AM1006),$AB$1006:$AQ$1006,0)), HYPERLINK("#",""), HYPERLINK(CONCATENATE("#Metadata!", ADDRESS(INDEX($W$2:$W$1001,MATCH(ROWS($U$2:U664),$U$2:$U$1001,0),0), INDEX($AB$1004:$AQ$1004,1,MATCH(COLUMNS($AB$1006:AM1006),$AB$1006:$AQ$1006,0)))),"Fix")))</f>
        <v>0</v>
      </c>
      <c r="N664" s="5">
        <f>IF(OR(INDEX($V$2:$V$1001,MATCH(ROWS($U$2:U664),$U$2:$U$1001,0),1)&gt;=100000,INDEX($AB$1005:$AQ$1005,1,MATCH(COLUMNS($AB$1006:AN1006),$AB$1006:$AQ$1006,0))&gt;=100000), " ",IF(INDEX($AB$2:$AQ$1001,MATCH(ROWS($U$2:U664),$U$2:$U$1001,0),MATCH(COLUMNS($AB$1006:AN1006),$AB$1006:$AQ$1006,0)), HYPERLINK("#",""), HYPERLINK(CONCATENATE("#Metadata!", ADDRESS(INDEX($W$2:$W$1001,MATCH(ROWS($U$2:U664),$U$2:$U$1001,0),0), INDEX($AB$1004:$AQ$1004,1,MATCH(COLUMNS($AB$1006:AN1006),$AB$1006:$AQ$1006,0)))),"Fix")))</f>
        <v>0</v>
      </c>
      <c r="O664" s="5">
        <f>IF(OR(INDEX($V$2:$V$1001,MATCH(ROWS($U$2:U664),$U$2:$U$1001,0),1)&gt;=100000,INDEX($AB$1005:$AQ$1005,1,MATCH(COLUMNS($AB$1006:AO1006),$AB$1006:$AQ$1006,0))&gt;=100000), " ",IF(INDEX($AB$2:$AQ$1001,MATCH(ROWS($U$2:U664),$U$2:$U$1001,0),MATCH(COLUMNS($AB$1006:AO1006),$AB$1006:$AQ$1006,0)), HYPERLINK("#",""), HYPERLINK(CONCATENATE("#Metadata!", ADDRESS(INDEX($W$2:$W$1001,MATCH(ROWS($U$2:U664),$U$2:$U$1001,0),0), INDEX($AB$1004:$AQ$1004,1,MATCH(COLUMNS($AB$1006:AO1006),$AB$1006:$AQ$1006,0)))),"Fix")))</f>
        <v>0</v>
      </c>
      <c r="P664" s="5">
        <f>IF(OR(INDEX($V$2:$V$1001,MATCH(ROWS($U$2:U664),$U$2:$U$1001,0),1)&gt;=100000,INDEX($AB$1005:$AQ$1005,1,MATCH(COLUMNS($AB$1006:AP1006),$AB$1006:$AQ$1006,0))&gt;=100000), " ",IF(INDEX($AB$2:$AQ$1001,MATCH(ROWS($U$2:U664),$U$2:$U$1001,0),MATCH(COLUMNS($AB$1006:AP1006),$AB$1006:$AQ$1006,0)), HYPERLINK("#",""), HYPERLINK(CONCATENATE("#Metadata!", ADDRESS(INDEX($W$2:$W$1001,MATCH(ROWS($U$2:U664),$U$2:$U$1001,0),0), INDEX($AB$1004:$AQ$1004,1,MATCH(COLUMNS($AB$1006:AP1006),$AB$1006:$AQ$1006,0)))),"Fix")))</f>
        <v>0</v>
      </c>
      <c r="Q664" s="5">
        <f>IF(OR(INDEX($V$2:$V$1001,MATCH(ROWS($U$2:U664),$U$2:$U$1001,0),1)&gt;=100000,INDEX($AB$1005:$AQ$1005,1,MATCH(COLUMNS($AB$1006:AQ1006),$AB$1006:$AQ$1006,0))&gt;=100000), " ",IF(INDEX($AB$2:$AQ$1001,MATCH(ROWS($U$2:U664),$U$2:$U$1001,0),MATCH(COLUMNS($AB$1006:AQ1006),$AB$1006:$AQ$1006,0)), HYPERLINK("#",""), HYPERLINK(CONCATENATE("#Metadata!", ADDRESS(INDEX($W$2:$W$1001,MATCH(ROWS($U$2:U664),$U$2:$U$1001,0),0), INDEX($AB$1004:$AQ$1004,1,MATCH(COLUMNS($AB$1006:AQ1006),$AB$1006:$AQ$1006,0)))),"Fix")))</f>
        <v>0</v>
      </c>
      <c r="U664">
        <v>0</v>
      </c>
      <c r="V664">
        <v>0</v>
      </c>
      <c r="W664">
        <v>0</v>
      </c>
      <c r="X664">
        <f>IF(Y664,TRUE,AND(AB664:AQ664))</f>
        <v>0</v>
      </c>
      <c r="Y664">
        <f>COUNTBLANK(Metadata!B664:Q664)=COLUMNS(Metadata!B664:Q664)</f>
        <v>0</v>
      </c>
      <c r="Z664">
        <v>0</v>
      </c>
      <c r="AB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AC664">
        <f>AND(IF(Metadata!C664="",FALSE,TRUE),exact(Metadata!C664,"urban biome"))</f>
        <v>0</v>
      </c>
      <c r="AD664">
        <f>AND(IF(Metadata!D664="",FALSE,TRUE),exact(Metadata!D664,"human-associated habitat"))</f>
        <v>0</v>
      </c>
      <c r="AE664">
        <f>AND(IF(Metadata!E664="",FALSE,TRUE),OR(exact(Metadata!E664,"human-associated"),exact(Metadata!E664,"human-skin"),exact(Metadata!E664,"human-oral"),exact(Metadata!E664,"human-gut"),exact(Metadata!E664,"human-vaginal")))</f>
        <v>0</v>
      </c>
      <c r="AF664">
        <f>AND(IF(Metadata!F664="",FALSE,ISNUMBER(VALUE(Metadata!F664))),Metadata!F664&gt;0)</f>
        <v>0</v>
      </c>
      <c r="AG664">
        <f>AND(IF(Metadata!G664="",FALSE,TRUE),exact(Metadata!G664,"years"))</f>
        <v>0</v>
      </c>
      <c r="AH664">
        <f>OR(AND(IF(Metadata!H664="",FALSE,TRUE),OR(exact(Metadata!H664,"not applicable"),exact(Metadata!H664,"not collected"),exact(Metadata!H664,"not provided"),exact(Metadata!H664,"restricted access"))),AND(IF(Metadata!H664="",FALSE,ISNUMBER(VALUE(Metadata!H664))),Metadata!H664&gt;0))</f>
        <v>0</v>
      </c>
      <c r="AI664">
        <f>AND(IF(Metadata!I664="",FALSE,TRUE),exact(Metadata!I664,"human"))</f>
        <v>0</v>
      </c>
      <c r="AJ664">
        <f>AND(IF(Metadata!J664="",FALSE,ISNUMBER(VALUE(Metadata!J664))),Metadata!J664&gt;0)</f>
        <v>0</v>
      </c>
      <c r="AK664">
        <f>AND(IF(Metadata!K664="",FALSE,TRUE),exact(Metadata!K664,"cm"))</f>
        <v>0</v>
      </c>
      <c r="AL664">
        <f>AND(IF(Metadata!L664="",FALSE,TRUE),exact(Metadata!L664,"Homo sapiens"))</f>
        <v>0</v>
      </c>
      <c r="AM664">
        <f>AND(IF(Metadata!M664="",FALSE,TRUE),exact(Metadata!M664,"9606"))</f>
        <v>0</v>
      </c>
      <c r="AN664">
        <f>AND(IF(Metadata!N664="",FALSE,ISNUMBER(VALUE(Metadata!N664))),Metadata!N664&gt;0)</f>
        <v>0</v>
      </c>
      <c r="AO664">
        <f>AND(IF(Metadata!O664="",FALSE,TRUE),exact(Metadata!O664,"kg"))</f>
        <v>0</v>
      </c>
      <c r="AP664">
        <f>OR(AND(IF(Metadata!P664="",FALSE,TRUE),exact(Metadata!P664,"not provided")),IF(Metadata!P664="",FALSE,TRUE))</f>
        <v>0</v>
      </c>
      <c r="AQ664">
        <f>OR(AND(IF(Metadata!Q664="",FALSE,TRUE),exact(Metadata!Q664,"not provided")),IF(Metadata!Q664="",FALSE,TRUE))</f>
        <v>0</v>
      </c>
    </row>
    <row r="665" spans="1:43">
      <c r="A665" s="4">
        <f>IF(B665=" "," ",HYPERLINK(CONCATENATE("#metadata!",ADDRESS(INDEX($W$2:$W$1001,MATCH(ROWS($U$2:U665),$U$2:$U$1001,0),0),2)),INDEX($Z$2:$Z$1001,MATCH(ROWS($U$2:U665),$U$2:$U$1001,0),0)))</f>
        <v>0</v>
      </c>
      <c r="B665" s="5">
        <f>IF(OR(INDEX($V$2:$V$1001,MATCH(ROWS($U$2:U665),$U$2:$U$1001,0),1)&gt;=100000,INDEX($AB$1005:$AQ$1005,1,MATCH(COLUMNS($AB$1006:AB1006),$AB$1006:$AQ$1006,0))&gt;=100000), " ",IF(INDEX($AB$2:$AQ$1001,MATCH(ROWS($U$2:U665),$U$2:$U$1001,0),MATCH(COLUMNS($AB$1006:AB1006),$AB$1006:$AQ$1006,0)), HYPERLINK("#",""), HYPERLINK(CONCATENATE("#Metadata!", ADDRESS(INDEX($W$2:$W$1001,MATCH(ROWS($U$2:U665),$U$2:$U$1001,0),0), INDEX($AB$1004:$AQ$1004,1,MATCH(COLUMNS($AB$1006:AB1006),$AB$1006:$AQ$1006,0)))),"Fix")))</f>
        <v>0</v>
      </c>
      <c r="C665" s="5">
        <f>IF(OR(INDEX($V$2:$V$1001,MATCH(ROWS($U$2:U665),$U$2:$U$1001,0),1)&gt;=100000,INDEX($AB$1005:$AQ$1005,1,MATCH(COLUMNS($AB$1006:AC1006),$AB$1006:$AQ$1006,0))&gt;=100000), " ",IF(INDEX($AB$2:$AQ$1001,MATCH(ROWS($U$2:U665),$U$2:$U$1001,0),MATCH(COLUMNS($AB$1006:AC1006),$AB$1006:$AQ$1006,0)), HYPERLINK("#",""), HYPERLINK(CONCATENATE("#Metadata!", ADDRESS(INDEX($W$2:$W$1001,MATCH(ROWS($U$2:U665),$U$2:$U$1001,0),0), INDEX($AB$1004:$AQ$1004,1,MATCH(COLUMNS($AB$1006:AC1006),$AB$1006:$AQ$1006,0)))),"Fix")))</f>
        <v>0</v>
      </c>
      <c r="D665" s="5">
        <f>IF(OR(INDEX($V$2:$V$1001,MATCH(ROWS($U$2:U665),$U$2:$U$1001,0),1)&gt;=100000,INDEX($AB$1005:$AQ$1005,1,MATCH(COLUMNS($AB$1006:AD1006),$AB$1006:$AQ$1006,0))&gt;=100000), " ",IF(INDEX($AB$2:$AQ$1001,MATCH(ROWS($U$2:U665),$U$2:$U$1001,0),MATCH(COLUMNS($AB$1006:AD1006),$AB$1006:$AQ$1006,0)), HYPERLINK("#",""), HYPERLINK(CONCATENATE("#Metadata!", ADDRESS(INDEX($W$2:$W$1001,MATCH(ROWS($U$2:U665),$U$2:$U$1001,0),0), INDEX($AB$1004:$AQ$1004,1,MATCH(COLUMNS($AB$1006:AD1006),$AB$1006:$AQ$1006,0)))),"Fix")))</f>
        <v>0</v>
      </c>
      <c r="E665" s="5">
        <f>IF(OR(INDEX($V$2:$V$1001,MATCH(ROWS($U$2:U665),$U$2:$U$1001,0),1)&gt;=100000,INDEX($AB$1005:$AQ$1005,1,MATCH(COLUMNS($AB$1006:AE1006),$AB$1006:$AQ$1006,0))&gt;=100000), " ",IF(INDEX($AB$2:$AQ$1001,MATCH(ROWS($U$2:U665),$U$2:$U$1001,0),MATCH(COLUMNS($AB$1006:AE1006),$AB$1006:$AQ$1006,0)), HYPERLINK("#",""), HYPERLINK(CONCATENATE("#Metadata!", ADDRESS(INDEX($W$2:$W$1001,MATCH(ROWS($U$2:U665),$U$2:$U$1001,0),0), INDEX($AB$1004:$AQ$1004,1,MATCH(COLUMNS($AB$1006:AE1006),$AB$1006:$AQ$1006,0)))),"Fix")))</f>
        <v>0</v>
      </c>
      <c r="F665" s="5">
        <f>IF(OR(INDEX($V$2:$V$1001,MATCH(ROWS($U$2:U665),$U$2:$U$1001,0),1)&gt;=100000,INDEX($AB$1005:$AQ$1005,1,MATCH(COLUMNS($AB$1006:AF1006),$AB$1006:$AQ$1006,0))&gt;=100000), " ",IF(INDEX($AB$2:$AQ$1001,MATCH(ROWS($U$2:U665),$U$2:$U$1001,0),MATCH(COLUMNS($AB$1006:AF1006),$AB$1006:$AQ$1006,0)), HYPERLINK("#",""), HYPERLINK(CONCATENATE("#Metadata!", ADDRESS(INDEX($W$2:$W$1001,MATCH(ROWS($U$2:U665),$U$2:$U$1001,0),0), INDEX($AB$1004:$AQ$1004,1,MATCH(COLUMNS($AB$1006:AF1006),$AB$1006:$AQ$1006,0)))),"Fix")))</f>
        <v>0</v>
      </c>
      <c r="G665" s="5">
        <f>IF(OR(INDEX($V$2:$V$1001,MATCH(ROWS($U$2:U665),$U$2:$U$1001,0),1)&gt;=100000,INDEX($AB$1005:$AQ$1005,1,MATCH(COLUMNS($AB$1006:AG1006),$AB$1006:$AQ$1006,0))&gt;=100000), " ",IF(INDEX($AB$2:$AQ$1001,MATCH(ROWS($U$2:U665),$U$2:$U$1001,0),MATCH(COLUMNS($AB$1006:AG1006),$AB$1006:$AQ$1006,0)), HYPERLINK("#",""), HYPERLINK(CONCATENATE("#Metadata!", ADDRESS(INDEX($W$2:$W$1001,MATCH(ROWS($U$2:U665),$U$2:$U$1001,0),0), INDEX($AB$1004:$AQ$1004,1,MATCH(COLUMNS($AB$1006:AG1006),$AB$1006:$AQ$1006,0)))),"Fix")))</f>
        <v>0</v>
      </c>
      <c r="H665" s="5">
        <f>IF(OR(INDEX($V$2:$V$1001,MATCH(ROWS($U$2:U665),$U$2:$U$1001,0),1)&gt;=100000,INDEX($AB$1005:$AQ$1005,1,MATCH(COLUMNS($AB$1006:AH1006),$AB$1006:$AQ$1006,0))&gt;=100000), " ",IF(INDEX($AB$2:$AQ$1001,MATCH(ROWS($U$2:U665),$U$2:$U$1001,0),MATCH(COLUMNS($AB$1006:AH1006),$AB$1006:$AQ$1006,0)), HYPERLINK("#",""), HYPERLINK(CONCATENATE("#Metadata!", ADDRESS(INDEX($W$2:$W$1001,MATCH(ROWS($U$2:U665),$U$2:$U$1001,0),0), INDEX($AB$1004:$AQ$1004,1,MATCH(COLUMNS($AB$1006:AH1006),$AB$1006:$AQ$1006,0)))),"Fix")))</f>
        <v>0</v>
      </c>
      <c r="I665" s="5">
        <f>IF(OR(INDEX($V$2:$V$1001,MATCH(ROWS($U$2:U665),$U$2:$U$1001,0),1)&gt;=100000,INDEX($AB$1005:$AQ$1005,1,MATCH(COLUMNS($AB$1006:AI1006),$AB$1006:$AQ$1006,0))&gt;=100000), " ",IF(INDEX($AB$2:$AQ$1001,MATCH(ROWS($U$2:U665),$U$2:$U$1001,0),MATCH(COLUMNS($AB$1006:AI1006),$AB$1006:$AQ$1006,0)), HYPERLINK("#",""), HYPERLINK(CONCATENATE("#Metadata!", ADDRESS(INDEX($W$2:$W$1001,MATCH(ROWS($U$2:U665),$U$2:$U$1001,0),0), INDEX($AB$1004:$AQ$1004,1,MATCH(COLUMNS($AB$1006:AI1006),$AB$1006:$AQ$1006,0)))),"Fix")))</f>
        <v>0</v>
      </c>
      <c r="J665" s="5">
        <f>IF(OR(INDEX($V$2:$V$1001,MATCH(ROWS($U$2:U665),$U$2:$U$1001,0),1)&gt;=100000,INDEX($AB$1005:$AQ$1005,1,MATCH(COLUMNS($AB$1006:AJ1006),$AB$1006:$AQ$1006,0))&gt;=100000), " ",IF(INDEX($AB$2:$AQ$1001,MATCH(ROWS($U$2:U665),$U$2:$U$1001,0),MATCH(COLUMNS($AB$1006:AJ1006),$AB$1006:$AQ$1006,0)), HYPERLINK("#",""), HYPERLINK(CONCATENATE("#Metadata!", ADDRESS(INDEX($W$2:$W$1001,MATCH(ROWS($U$2:U665),$U$2:$U$1001,0),0), INDEX($AB$1004:$AQ$1004,1,MATCH(COLUMNS($AB$1006:AJ1006),$AB$1006:$AQ$1006,0)))),"Fix")))</f>
        <v>0</v>
      </c>
      <c r="K665" s="5">
        <f>IF(OR(INDEX($V$2:$V$1001,MATCH(ROWS($U$2:U665),$U$2:$U$1001,0),1)&gt;=100000,INDEX($AB$1005:$AQ$1005,1,MATCH(COLUMNS($AB$1006:AK1006),$AB$1006:$AQ$1006,0))&gt;=100000), " ",IF(INDEX($AB$2:$AQ$1001,MATCH(ROWS($U$2:U665),$U$2:$U$1001,0),MATCH(COLUMNS($AB$1006:AK1006),$AB$1006:$AQ$1006,0)), HYPERLINK("#",""), HYPERLINK(CONCATENATE("#Metadata!", ADDRESS(INDEX($W$2:$W$1001,MATCH(ROWS($U$2:U665),$U$2:$U$1001,0),0), INDEX($AB$1004:$AQ$1004,1,MATCH(COLUMNS($AB$1006:AK1006),$AB$1006:$AQ$1006,0)))),"Fix")))</f>
        <v>0</v>
      </c>
      <c r="L665" s="5">
        <f>IF(OR(INDEX($V$2:$V$1001,MATCH(ROWS($U$2:U665),$U$2:$U$1001,0),1)&gt;=100000,INDEX($AB$1005:$AQ$1005,1,MATCH(COLUMNS($AB$1006:AL1006),$AB$1006:$AQ$1006,0))&gt;=100000), " ",IF(INDEX($AB$2:$AQ$1001,MATCH(ROWS($U$2:U665),$U$2:$U$1001,0),MATCH(COLUMNS($AB$1006:AL1006),$AB$1006:$AQ$1006,0)), HYPERLINK("#",""), HYPERLINK(CONCATENATE("#Metadata!", ADDRESS(INDEX($W$2:$W$1001,MATCH(ROWS($U$2:U665),$U$2:$U$1001,0),0), INDEX($AB$1004:$AQ$1004,1,MATCH(COLUMNS($AB$1006:AL1006),$AB$1006:$AQ$1006,0)))),"Fix")))</f>
        <v>0</v>
      </c>
      <c r="M665" s="5">
        <f>IF(OR(INDEX($V$2:$V$1001,MATCH(ROWS($U$2:U665),$U$2:$U$1001,0),1)&gt;=100000,INDEX($AB$1005:$AQ$1005,1,MATCH(COLUMNS($AB$1006:AM1006),$AB$1006:$AQ$1006,0))&gt;=100000), " ",IF(INDEX($AB$2:$AQ$1001,MATCH(ROWS($U$2:U665),$U$2:$U$1001,0),MATCH(COLUMNS($AB$1006:AM1006),$AB$1006:$AQ$1006,0)), HYPERLINK("#",""), HYPERLINK(CONCATENATE("#Metadata!", ADDRESS(INDEX($W$2:$W$1001,MATCH(ROWS($U$2:U665),$U$2:$U$1001,0),0), INDEX($AB$1004:$AQ$1004,1,MATCH(COLUMNS($AB$1006:AM1006),$AB$1006:$AQ$1006,0)))),"Fix")))</f>
        <v>0</v>
      </c>
      <c r="N665" s="5">
        <f>IF(OR(INDEX($V$2:$V$1001,MATCH(ROWS($U$2:U665),$U$2:$U$1001,0),1)&gt;=100000,INDEX($AB$1005:$AQ$1005,1,MATCH(COLUMNS($AB$1006:AN1006),$AB$1006:$AQ$1006,0))&gt;=100000), " ",IF(INDEX($AB$2:$AQ$1001,MATCH(ROWS($U$2:U665),$U$2:$U$1001,0),MATCH(COLUMNS($AB$1006:AN1006),$AB$1006:$AQ$1006,0)), HYPERLINK("#",""), HYPERLINK(CONCATENATE("#Metadata!", ADDRESS(INDEX($W$2:$W$1001,MATCH(ROWS($U$2:U665),$U$2:$U$1001,0),0), INDEX($AB$1004:$AQ$1004,1,MATCH(COLUMNS($AB$1006:AN1006),$AB$1006:$AQ$1006,0)))),"Fix")))</f>
        <v>0</v>
      </c>
      <c r="O665" s="5">
        <f>IF(OR(INDEX($V$2:$V$1001,MATCH(ROWS($U$2:U665),$U$2:$U$1001,0),1)&gt;=100000,INDEX($AB$1005:$AQ$1005,1,MATCH(COLUMNS($AB$1006:AO1006),$AB$1006:$AQ$1006,0))&gt;=100000), " ",IF(INDEX($AB$2:$AQ$1001,MATCH(ROWS($U$2:U665),$U$2:$U$1001,0),MATCH(COLUMNS($AB$1006:AO1006),$AB$1006:$AQ$1006,0)), HYPERLINK("#",""), HYPERLINK(CONCATENATE("#Metadata!", ADDRESS(INDEX($W$2:$W$1001,MATCH(ROWS($U$2:U665),$U$2:$U$1001,0),0), INDEX($AB$1004:$AQ$1004,1,MATCH(COLUMNS($AB$1006:AO1006),$AB$1006:$AQ$1006,0)))),"Fix")))</f>
        <v>0</v>
      </c>
      <c r="P665" s="5">
        <f>IF(OR(INDEX($V$2:$V$1001,MATCH(ROWS($U$2:U665),$U$2:$U$1001,0),1)&gt;=100000,INDEX($AB$1005:$AQ$1005,1,MATCH(COLUMNS($AB$1006:AP1006),$AB$1006:$AQ$1006,0))&gt;=100000), " ",IF(INDEX($AB$2:$AQ$1001,MATCH(ROWS($U$2:U665),$U$2:$U$1001,0),MATCH(COLUMNS($AB$1006:AP1006),$AB$1006:$AQ$1006,0)), HYPERLINK("#",""), HYPERLINK(CONCATENATE("#Metadata!", ADDRESS(INDEX($W$2:$W$1001,MATCH(ROWS($U$2:U665),$U$2:$U$1001,0),0), INDEX($AB$1004:$AQ$1004,1,MATCH(COLUMNS($AB$1006:AP1006),$AB$1006:$AQ$1006,0)))),"Fix")))</f>
        <v>0</v>
      </c>
      <c r="Q665" s="5">
        <f>IF(OR(INDEX($V$2:$V$1001,MATCH(ROWS($U$2:U665),$U$2:$U$1001,0),1)&gt;=100000,INDEX($AB$1005:$AQ$1005,1,MATCH(COLUMNS($AB$1006:AQ1006),$AB$1006:$AQ$1006,0))&gt;=100000), " ",IF(INDEX($AB$2:$AQ$1001,MATCH(ROWS($U$2:U665),$U$2:$U$1001,0),MATCH(COLUMNS($AB$1006:AQ1006),$AB$1006:$AQ$1006,0)), HYPERLINK("#",""), HYPERLINK(CONCATENATE("#Metadata!", ADDRESS(INDEX($W$2:$W$1001,MATCH(ROWS($U$2:U665),$U$2:$U$1001,0),0), INDEX($AB$1004:$AQ$1004,1,MATCH(COLUMNS($AB$1006:AQ1006),$AB$1006:$AQ$1006,0)))),"Fix")))</f>
        <v>0</v>
      </c>
      <c r="U665">
        <v>0</v>
      </c>
      <c r="V665">
        <v>0</v>
      </c>
      <c r="W665">
        <v>0</v>
      </c>
      <c r="X665">
        <f>IF(Y665,TRUE,AND(AB665:AQ665))</f>
        <v>0</v>
      </c>
      <c r="Y665">
        <f>COUNTBLANK(Metadata!B665:Q665)=COLUMNS(Metadata!B665:Q665)</f>
        <v>0</v>
      </c>
      <c r="Z665">
        <v>0</v>
      </c>
      <c r="AB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AC665">
        <f>AND(IF(Metadata!C665="",FALSE,TRUE),exact(Metadata!C665,"urban biome"))</f>
        <v>0</v>
      </c>
      <c r="AD665">
        <f>AND(IF(Metadata!D665="",FALSE,TRUE),exact(Metadata!D665,"human-associated habitat"))</f>
        <v>0</v>
      </c>
      <c r="AE665">
        <f>AND(IF(Metadata!E665="",FALSE,TRUE),OR(exact(Metadata!E665,"human-associated"),exact(Metadata!E665,"human-skin"),exact(Metadata!E665,"human-oral"),exact(Metadata!E665,"human-gut"),exact(Metadata!E665,"human-vaginal")))</f>
        <v>0</v>
      </c>
      <c r="AF665">
        <f>AND(IF(Metadata!F665="",FALSE,ISNUMBER(VALUE(Metadata!F665))),Metadata!F665&gt;0)</f>
        <v>0</v>
      </c>
      <c r="AG665">
        <f>AND(IF(Metadata!G665="",FALSE,TRUE),exact(Metadata!G665,"years"))</f>
        <v>0</v>
      </c>
      <c r="AH665">
        <f>OR(AND(IF(Metadata!H665="",FALSE,TRUE),OR(exact(Metadata!H665,"not applicable"),exact(Metadata!H665,"not collected"),exact(Metadata!H665,"not provided"),exact(Metadata!H665,"restricted access"))),AND(IF(Metadata!H665="",FALSE,ISNUMBER(VALUE(Metadata!H665))),Metadata!H665&gt;0))</f>
        <v>0</v>
      </c>
      <c r="AI665">
        <f>AND(IF(Metadata!I665="",FALSE,TRUE),exact(Metadata!I665,"human"))</f>
        <v>0</v>
      </c>
      <c r="AJ665">
        <f>AND(IF(Metadata!J665="",FALSE,ISNUMBER(VALUE(Metadata!J665))),Metadata!J665&gt;0)</f>
        <v>0</v>
      </c>
      <c r="AK665">
        <f>AND(IF(Metadata!K665="",FALSE,TRUE),exact(Metadata!K665,"cm"))</f>
        <v>0</v>
      </c>
      <c r="AL665">
        <f>AND(IF(Metadata!L665="",FALSE,TRUE),exact(Metadata!L665,"Homo sapiens"))</f>
        <v>0</v>
      </c>
      <c r="AM665">
        <f>AND(IF(Metadata!M665="",FALSE,TRUE),exact(Metadata!M665,"9606"))</f>
        <v>0</v>
      </c>
      <c r="AN665">
        <f>AND(IF(Metadata!N665="",FALSE,ISNUMBER(VALUE(Metadata!N665))),Metadata!N665&gt;0)</f>
        <v>0</v>
      </c>
      <c r="AO665">
        <f>AND(IF(Metadata!O665="",FALSE,TRUE),exact(Metadata!O665,"kg"))</f>
        <v>0</v>
      </c>
      <c r="AP665">
        <f>OR(AND(IF(Metadata!P665="",FALSE,TRUE),exact(Metadata!P665,"not provided")),IF(Metadata!P665="",FALSE,TRUE))</f>
        <v>0</v>
      </c>
      <c r="AQ665">
        <f>OR(AND(IF(Metadata!Q665="",FALSE,TRUE),exact(Metadata!Q665,"not provided")),IF(Metadata!Q665="",FALSE,TRUE))</f>
        <v>0</v>
      </c>
    </row>
    <row r="666" spans="1:43">
      <c r="A666" s="4">
        <f>IF(B666=" "," ",HYPERLINK(CONCATENATE("#metadata!",ADDRESS(INDEX($W$2:$W$1001,MATCH(ROWS($U$2:U666),$U$2:$U$1001,0),0),2)),INDEX($Z$2:$Z$1001,MATCH(ROWS($U$2:U666),$U$2:$U$1001,0),0)))</f>
        <v>0</v>
      </c>
      <c r="B666" s="5">
        <f>IF(OR(INDEX($V$2:$V$1001,MATCH(ROWS($U$2:U666),$U$2:$U$1001,0),1)&gt;=100000,INDEX($AB$1005:$AQ$1005,1,MATCH(COLUMNS($AB$1006:AB1006),$AB$1006:$AQ$1006,0))&gt;=100000), " ",IF(INDEX($AB$2:$AQ$1001,MATCH(ROWS($U$2:U666),$U$2:$U$1001,0),MATCH(COLUMNS($AB$1006:AB1006),$AB$1006:$AQ$1006,0)), HYPERLINK("#",""), HYPERLINK(CONCATENATE("#Metadata!", ADDRESS(INDEX($W$2:$W$1001,MATCH(ROWS($U$2:U666),$U$2:$U$1001,0),0), INDEX($AB$1004:$AQ$1004,1,MATCH(COLUMNS($AB$1006:AB1006),$AB$1006:$AQ$1006,0)))),"Fix")))</f>
        <v>0</v>
      </c>
      <c r="C666" s="5">
        <f>IF(OR(INDEX($V$2:$V$1001,MATCH(ROWS($U$2:U666),$U$2:$U$1001,0),1)&gt;=100000,INDEX($AB$1005:$AQ$1005,1,MATCH(COLUMNS($AB$1006:AC1006),$AB$1006:$AQ$1006,0))&gt;=100000), " ",IF(INDEX($AB$2:$AQ$1001,MATCH(ROWS($U$2:U666),$U$2:$U$1001,0),MATCH(COLUMNS($AB$1006:AC1006),$AB$1006:$AQ$1006,0)), HYPERLINK("#",""), HYPERLINK(CONCATENATE("#Metadata!", ADDRESS(INDEX($W$2:$W$1001,MATCH(ROWS($U$2:U666),$U$2:$U$1001,0),0), INDEX($AB$1004:$AQ$1004,1,MATCH(COLUMNS($AB$1006:AC1006),$AB$1006:$AQ$1006,0)))),"Fix")))</f>
        <v>0</v>
      </c>
      <c r="D666" s="5">
        <f>IF(OR(INDEX($V$2:$V$1001,MATCH(ROWS($U$2:U666),$U$2:$U$1001,0),1)&gt;=100000,INDEX($AB$1005:$AQ$1005,1,MATCH(COLUMNS($AB$1006:AD1006),$AB$1006:$AQ$1006,0))&gt;=100000), " ",IF(INDEX($AB$2:$AQ$1001,MATCH(ROWS($U$2:U666),$U$2:$U$1001,0),MATCH(COLUMNS($AB$1006:AD1006),$AB$1006:$AQ$1006,0)), HYPERLINK("#",""), HYPERLINK(CONCATENATE("#Metadata!", ADDRESS(INDEX($W$2:$W$1001,MATCH(ROWS($U$2:U666),$U$2:$U$1001,0),0), INDEX($AB$1004:$AQ$1004,1,MATCH(COLUMNS($AB$1006:AD1006),$AB$1006:$AQ$1006,0)))),"Fix")))</f>
        <v>0</v>
      </c>
      <c r="E666" s="5">
        <f>IF(OR(INDEX($V$2:$V$1001,MATCH(ROWS($U$2:U666),$U$2:$U$1001,0),1)&gt;=100000,INDEX($AB$1005:$AQ$1005,1,MATCH(COLUMNS($AB$1006:AE1006),$AB$1006:$AQ$1006,0))&gt;=100000), " ",IF(INDEX($AB$2:$AQ$1001,MATCH(ROWS($U$2:U666),$U$2:$U$1001,0),MATCH(COLUMNS($AB$1006:AE1006),$AB$1006:$AQ$1006,0)), HYPERLINK("#",""), HYPERLINK(CONCATENATE("#Metadata!", ADDRESS(INDEX($W$2:$W$1001,MATCH(ROWS($U$2:U666),$U$2:$U$1001,0),0), INDEX($AB$1004:$AQ$1004,1,MATCH(COLUMNS($AB$1006:AE1006),$AB$1006:$AQ$1006,0)))),"Fix")))</f>
        <v>0</v>
      </c>
      <c r="F666" s="5">
        <f>IF(OR(INDEX($V$2:$V$1001,MATCH(ROWS($U$2:U666),$U$2:$U$1001,0),1)&gt;=100000,INDEX($AB$1005:$AQ$1005,1,MATCH(COLUMNS($AB$1006:AF1006),$AB$1006:$AQ$1006,0))&gt;=100000), " ",IF(INDEX($AB$2:$AQ$1001,MATCH(ROWS($U$2:U666),$U$2:$U$1001,0),MATCH(COLUMNS($AB$1006:AF1006),$AB$1006:$AQ$1006,0)), HYPERLINK("#",""), HYPERLINK(CONCATENATE("#Metadata!", ADDRESS(INDEX($W$2:$W$1001,MATCH(ROWS($U$2:U666),$U$2:$U$1001,0),0), INDEX($AB$1004:$AQ$1004,1,MATCH(COLUMNS($AB$1006:AF1006),$AB$1006:$AQ$1006,0)))),"Fix")))</f>
        <v>0</v>
      </c>
      <c r="G666" s="5">
        <f>IF(OR(INDEX($V$2:$V$1001,MATCH(ROWS($U$2:U666),$U$2:$U$1001,0),1)&gt;=100000,INDEX($AB$1005:$AQ$1005,1,MATCH(COLUMNS($AB$1006:AG1006),$AB$1006:$AQ$1006,0))&gt;=100000), " ",IF(INDEX($AB$2:$AQ$1001,MATCH(ROWS($U$2:U666),$U$2:$U$1001,0),MATCH(COLUMNS($AB$1006:AG1006),$AB$1006:$AQ$1006,0)), HYPERLINK("#",""), HYPERLINK(CONCATENATE("#Metadata!", ADDRESS(INDEX($W$2:$W$1001,MATCH(ROWS($U$2:U666),$U$2:$U$1001,0),0), INDEX($AB$1004:$AQ$1004,1,MATCH(COLUMNS($AB$1006:AG1006),$AB$1006:$AQ$1006,0)))),"Fix")))</f>
        <v>0</v>
      </c>
      <c r="H666" s="5">
        <f>IF(OR(INDEX($V$2:$V$1001,MATCH(ROWS($U$2:U666),$U$2:$U$1001,0),1)&gt;=100000,INDEX($AB$1005:$AQ$1005,1,MATCH(COLUMNS($AB$1006:AH1006),$AB$1006:$AQ$1006,0))&gt;=100000), " ",IF(INDEX($AB$2:$AQ$1001,MATCH(ROWS($U$2:U666),$U$2:$U$1001,0),MATCH(COLUMNS($AB$1006:AH1006),$AB$1006:$AQ$1006,0)), HYPERLINK("#",""), HYPERLINK(CONCATENATE("#Metadata!", ADDRESS(INDEX($W$2:$W$1001,MATCH(ROWS($U$2:U666),$U$2:$U$1001,0),0), INDEX($AB$1004:$AQ$1004,1,MATCH(COLUMNS($AB$1006:AH1006),$AB$1006:$AQ$1006,0)))),"Fix")))</f>
        <v>0</v>
      </c>
      <c r="I666" s="5">
        <f>IF(OR(INDEX($V$2:$V$1001,MATCH(ROWS($U$2:U666),$U$2:$U$1001,0),1)&gt;=100000,INDEX($AB$1005:$AQ$1005,1,MATCH(COLUMNS($AB$1006:AI1006),$AB$1006:$AQ$1006,0))&gt;=100000), " ",IF(INDEX($AB$2:$AQ$1001,MATCH(ROWS($U$2:U666),$U$2:$U$1001,0),MATCH(COLUMNS($AB$1006:AI1006),$AB$1006:$AQ$1006,0)), HYPERLINK("#",""), HYPERLINK(CONCATENATE("#Metadata!", ADDRESS(INDEX($W$2:$W$1001,MATCH(ROWS($U$2:U666),$U$2:$U$1001,0),0), INDEX($AB$1004:$AQ$1004,1,MATCH(COLUMNS($AB$1006:AI1006),$AB$1006:$AQ$1006,0)))),"Fix")))</f>
        <v>0</v>
      </c>
      <c r="J666" s="5">
        <f>IF(OR(INDEX($V$2:$V$1001,MATCH(ROWS($U$2:U666),$U$2:$U$1001,0),1)&gt;=100000,INDEX($AB$1005:$AQ$1005,1,MATCH(COLUMNS($AB$1006:AJ1006),$AB$1006:$AQ$1006,0))&gt;=100000), " ",IF(INDEX($AB$2:$AQ$1001,MATCH(ROWS($U$2:U666),$U$2:$U$1001,0),MATCH(COLUMNS($AB$1006:AJ1006),$AB$1006:$AQ$1006,0)), HYPERLINK("#",""), HYPERLINK(CONCATENATE("#Metadata!", ADDRESS(INDEX($W$2:$W$1001,MATCH(ROWS($U$2:U666),$U$2:$U$1001,0),0), INDEX($AB$1004:$AQ$1004,1,MATCH(COLUMNS($AB$1006:AJ1006),$AB$1006:$AQ$1006,0)))),"Fix")))</f>
        <v>0</v>
      </c>
      <c r="K666" s="5">
        <f>IF(OR(INDEX($V$2:$V$1001,MATCH(ROWS($U$2:U666),$U$2:$U$1001,0),1)&gt;=100000,INDEX($AB$1005:$AQ$1005,1,MATCH(COLUMNS($AB$1006:AK1006),$AB$1006:$AQ$1006,0))&gt;=100000), " ",IF(INDEX($AB$2:$AQ$1001,MATCH(ROWS($U$2:U666),$U$2:$U$1001,0),MATCH(COLUMNS($AB$1006:AK1006),$AB$1006:$AQ$1006,0)), HYPERLINK("#",""), HYPERLINK(CONCATENATE("#Metadata!", ADDRESS(INDEX($W$2:$W$1001,MATCH(ROWS($U$2:U666),$U$2:$U$1001,0),0), INDEX($AB$1004:$AQ$1004,1,MATCH(COLUMNS($AB$1006:AK1006),$AB$1006:$AQ$1006,0)))),"Fix")))</f>
        <v>0</v>
      </c>
      <c r="L666" s="5">
        <f>IF(OR(INDEX($V$2:$V$1001,MATCH(ROWS($U$2:U666),$U$2:$U$1001,0),1)&gt;=100000,INDEX($AB$1005:$AQ$1005,1,MATCH(COLUMNS($AB$1006:AL1006),$AB$1006:$AQ$1006,0))&gt;=100000), " ",IF(INDEX($AB$2:$AQ$1001,MATCH(ROWS($U$2:U666),$U$2:$U$1001,0),MATCH(COLUMNS($AB$1006:AL1006),$AB$1006:$AQ$1006,0)), HYPERLINK("#",""), HYPERLINK(CONCATENATE("#Metadata!", ADDRESS(INDEX($W$2:$W$1001,MATCH(ROWS($U$2:U666),$U$2:$U$1001,0),0), INDEX($AB$1004:$AQ$1004,1,MATCH(COLUMNS($AB$1006:AL1006),$AB$1006:$AQ$1006,0)))),"Fix")))</f>
        <v>0</v>
      </c>
      <c r="M666" s="5">
        <f>IF(OR(INDEX($V$2:$V$1001,MATCH(ROWS($U$2:U666),$U$2:$U$1001,0),1)&gt;=100000,INDEX($AB$1005:$AQ$1005,1,MATCH(COLUMNS($AB$1006:AM1006),$AB$1006:$AQ$1006,0))&gt;=100000), " ",IF(INDEX($AB$2:$AQ$1001,MATCH(ROWS($U$2:U666),$U$2:$U$1001,0),MATCH(COLUMNS($AB$1006:AM1006),$AB$1006:$AQ$1006,0)), HYPERLINK("#",""), HYPERLINK(CONCATENATE("#Metadata!", ADDRESS(INDEX($W$2:$W$1001,MATCH(ROWS($U$2:U666),$U$2:$U$1001,0),0), INDEX($AB$1004:$AQ$1004,1,MATCH(COLUMNS($AB$1006:AM1006),$AB$1006:$AQ$1006,0)))),"Fix")))</f>
        <v>0</v>
      </c>
      <c r="N666" s="5">
        <f>IF(OR(INDEX($V$2:$V$1001,MATCH(ROWS($U$2:U666),$U$2:$U$1001,0),1)&gt;=100000,INDEX($AB$1005:$AQ$1005,1,MATCH(COLUMNS($AB$1006:AN1006),$AB$1006:$AQ$1006,0))&gt;=100000), " ",IF(INDEX($AB$2:$AQ$1001,MATCH(ROWS($U$2:U666),$U$2:$U$1001,0),MATCH(COLUMNS($AB$1006:AN1006),$AB$1006:$AQ$1006,0)), HYPERLINK("#",""), HYPERLINK(CONCATENATE("#Metadata!", ADDRESS(INDEX($W$2:$W$1001,MATCH(ROWS($U$2:U666),$U$2:$U$1001,0),0), INDEX($AB$1004:$AQ$1004,1,MATCH(COLUMNS($AB$1006:AN1006),$AB$1006:$AQ$1006,0)))),"Fix")))</f>
        <v>0</v>
      </c>
      <c r="O666" s="5">
        <f>IF(OR(INDEX($V$2:$V$1001,MATCH(ROWS($U$2:U666),$U$2:$U$1001,0),1)&gt;=100000,INDEX($AB$1005:$AQ$1005,1,MATCH(COLUMNS($AB$1006:AO1006),$AB$1006:$AQ$1006,0))&gt;=100000), " ",IF(INDEX($AB$2:$AQ$1001,MATCH(ROWS($U$2:U666),$U$2:$U$1001,0),MATCH(COLUMNS($AB$1006:AO1006),$AB$1006:$AQ$1006,0)), HYPERLINK("#",""), HYPERLINK(CONCATENATE("#Metadata!", ADDRESS(INDEX($W$2:$W$1001,MATCH(ROWS($U$2:U666),$U$2:$U$1001,0),0), INDEX($AB$1004:$AQ$1004,1,MATCH(COLUMNS($AB$1006:AO1006),$AB$1006:$AQ$1006,0)))),"Fix")))</f>
        <v>0</v>
      </c>
      <c r="P666" s="5">
        <f>IF(OR(INDEX($V$2:$V$1001,MATCH(ROWS($U$2:U666),$U$2:$U$1001,0),1)&gt;=100000,INDEX($AB$1005:$AQ$1005,1,MATCH(COLUMNS($AB$1006:AP1006),$AB$1006:$AQ$1006,0))&gt;=100000), " ",IF(INDEX($AB$2:$AQ$1001,MATCH(ROWS($U$2:U666),$U$2:$U$1001,0),MATCH(COLUMNS($AB$1006:AP1006),$AB$1006:$AQ$1006,0)), HYPERLINK("#",""), HYPERLINK(CONCATENATE("#Metadata!", ADDRESS(INDEX($W$2:$W$1001,MATCH(ROWS($U$2:U666),$U$2:$U$1001,0),0), INDEX($AB$1004:$AQ$1004,1,MATCH(COLUMNS($AB$1006:AP1006),$AB$1006:$AQ$1006,0)))),"Fix")))</f>
        <v>0</v>
      </c>
      <c r="Q666" s="5">
        <f>IF(OR(INDEX($V$2:$V$1001,MATCH(ROWS($U$2:U666),$U$2:$U$1001,0),1)&gt;=100000,INDEX($AB$1005:$AQ$1005,1,MATCH(COLUMNS($AB$1006:AQ1006),$AB$1006:$AQ$1006,0))&gt;=100000), " ",IF(INDEX($AB$2:$AQ$1001,MATCH(ROWS($U$2:U666),$U$2:$U$1001,0),MATCH(COLUMNS($AB$1006:AQ1006),$AB$1006:$AQ$1006,0)), HYPERLINK("#",""), HYPERLINK(CONCATENATE("#Metadata!", ADDRESS(INDEX($W$2:$W$1001,MATCH(ROWS($U$2:U666),$U$2:$U$1001,0),0), INDEX($AB$1004:$AQ$1004,1,MATCH(COLUMNS($AB$1006:AQ1006),$AB$1006:$AQ$1006,0)))),"Fix")))</f>
        <v>0</v>
      </c>
      <c r="U666">
        <v>0</v>
      </c>
      <c r="V666">
        <v>0</v>
      </c>
      <c r="W666">
        <v>0</v>
      </c>
      <c r="X666">
        <f>IF(Y666,TRUE,AND(AB666:AQ666))</f>
        <v>0</v>
      </c>
      <c r="Y666">
        <f>COUNTBLANK(Metadata!B666:Q666)=COLUMNS(Metadata!B666:Q666)</f>
        <v>0</v>
      </c>
      <c r="Z666">
        <v>0</v>
      </c>
      <c r="AB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AC666">
        <f>AND(IF(Metadata!C666="",FALSE,TRUE),exact(Metadata!C666,"urban biome"))</f>
        <v>0</v>
      </c>
      <c r="AD666">
        <f>AND(IF(Metadata!D666="",FALSE,TRUE),exact(Metadata!D666,"human-associated habitat"))</f>
        <v>0</v>
      </c>
      <c r="AE666">
        <f>AND(IF(Metadata!E666="",FALSE,TRUE),OR(exact(Metadata!E666,"human-associated"),exact(Metadata!E666,"human-skin"),exact(Metadata!E666,"human-oral"),exact(Metadata!E666,"human-gut"),exact(Metadata!E666,"human-vaginal")))</f>
        <v>0</v>
      </c>
      <c r="AF666">
        <f>AND(IF(Metadata!F666="",FALSE,ISNUMBER(VALUE(Metadata!F666))),Metadata!F666&gt;0)</f>
        <v>0</v>
      </c>
      <c r="AG666">
        <f>AND(IF(Metadata!G666="",FALSE,TRUE),exact(Metadata!G666,"years"))</f>
        <v>0</v>
      </c>
      <c r="AH666">
        <f>OR(AND(IF(Metadata!H666="",FALSE,TRUE),OR(exact(Metadata!H666,"not applicable"),exact(Metadata!H666,"not collected"),exact(Metadata!H666,"not provided"),exact(Metadata!H666,"restricted access"))),AND(IF(Metadata!H666="",FALSE,ISNUMBER(VALUE(Metadata!H666))),Metadata!H666&gt;0))</f>
        <v>0</v>
      </c>
      <c r="AI666">
        <f>AND(IF(Metadata!I666="",FALSE,TRUE),exact(Metadata!I666,"human"))</f>
        <v>0</v>
      </c>
      <c r="AJ666">
        <f>AND(IF(Metadata!J666="",FALSE,ISNUMBER(VALUE(Metadata!J666))),Metadata!J666&gt;0)</f>
        <v>0</v>
      </c>
      <c r="AK666">
        <f>AND(IF(Metadata!K666="",FALSE,TRUE),exact(Metadata!K666,"cm"))</f>
        <v>0</v>
      </c>
      <c r="AL666">
        <f>AND(IF(Metadata!L666="",FALSE,TRUE),exact(Metadata!L666,"Homo sapiens"))</f>
        <v>0</v>
      </c>
      <c r="AM666">
        <f>AND(IF(Metadata!M666="",FALSE,TRUE),exact(Metadata!M666,"9606"))</f>
        <v>0</v>
      </c>
      <c r="AN666">
        <f>AND(IF(Metadata!N666="",FALSE,ISNUMBER(VALUE(Metadata!N666))),Metadata!N666&gt;0)</f>
        <v>0</v>
      </c>
      <c r="AO666">
        <f>AND(IF(Metadata!O666="",FALSE,TRUE),exact(Metadata!O666,"kg"))</f>
        <v>0</v>
      </c>
      <c r="AP666">
        <f>OR(AND(IF(Metadata!P666="",FALSE,TRUE),exact(Metadata!P666,"not provided")),IF(Metadata!P666="",FALSE,TRUE))</f>
        <v>0</v>
      </c>
      <c r="AQ666">
        <f>OR(AND(IF(Metadata!Q666="",FALSE,TRUE),exact(Metadata!Q666,"not provided")),IF(Metadata!Q666="",FALSE,TRUE))</f>
        <v>0</v>
      </c>
    </row>
    <row r="667" spans="1:43">
      <c r="A667" s="4">
        <f>IF(B667=" "," ",HYPERLINK(CONCATENATE("#metadata!",ADDRESS(INDEX($W$2:$W$1001,MATCH(ROWS($U$2:U667),$U$2:$U$1001,0),0),2)),INDEX($Z$2:$Z$1001,MATCH(ROWS($U$2:U667),$U$2:$U$1001,0),0)))</f>
        <v>0</v>
      </c>
      <c r="B667" s="5">
        <f>IF(OR(INDEX($V$2:$V$1001,MATCH(ROWS($U$2:U667),$U$2:$U$1001,0),1)&gt;=100000,INDEX($AB$1005:$AQ$1005,1,MATCH(COLUMNS($AB$1006:AB1006),$AB$1006:$AQ$1006,0))&gt;=100000), " ",IF(INDEX($AB$2:$AQ$1001,MATCH(ROWS($U$2:U667),$U$2:$U$1001,0),MATCH(COLUMNS($AB$1006:AB1006),$AB$1006:$AQ$1006,0)), HYPERLINK("#",""), HYPERLINK(CONCATENATE("#Metadata!", ADDRESS(INDEX($W$2:$W$1001,MATCH(ROWS($U$2:U667),$U$2:$U$1001,0),0), INDEX($AB$1004:$AQ$1004,1,MATCH(COLUMNS($AB$1006:AB1006),$AB$1006:$AQ$1006,0)))),"Fix")))</f>
        <v>0</v>
      </c>
      <c r="C667" s="5">
        <f>IF(OR(INDEX($V$2:$V$1001,MATCH(ROWS($U$2:U667),$U$2:$U$1001,0),1)&gt;=100000,INDEX($AB$1005:$AQ$1005,1,MATCH(COLUMNS($AB$1006:AC1006),$AB$1006:$AQ$1006,0))&gt;=100000), " ",IF(INDEX($AB$2:$AQ$1001,MATCH(ROWS($U$2:U667),$U$2:$U$1001,0),MATCH(COLUMNS($AB$1006:AC1006),$AB$1006:$AQ$1006,0)), HYPERLINK("#",""), HYPERLINK(CONCATENATE("#Metadata!", ADDRESS(INDEX($W$2:$W$1001,MATCH(ROWS($U$2:U667),$U$2:$U$1001,0),0), INDEX($AB$1004:$AQ$1004,1,MATCH(COLUMNS($AB$1006:AC1006),$AB$1006:$AQ$1006,0)))),"Fix")))</f>
        <v>0</v>
      </c>
      <c r="D667" s="5">
        <f>IF(OR(INDEX($V$2:$V$1001,MATCH(ROWS($U$2:U667),$U$2:$U$1001,0),1)&gt;=100000,INDEX($AB$1005:$AQ$1005,1,MATCH(COLUMNS($AB$1006:AD1006),$AB$1006:$AQ$1006,0))&gt;=100000), " ",IF(INDEX($AB$2:$AQ$1001,MATCH(ROWS($U$2:U667),$U$2:$U$1001,0),MATCH(COLUMNS($AB$1006:AD1006),$AB$1006:$AQ$1006,0)), HYPERLINK("#",""), HYPERLINK(CONCATENATE("#Metadata!", ADDRESS(INDEX($W$2:$W$1001,MATCH(ROWS($U$2:U667),$U$2:$U$1001,0),0), INDEX($AB$1004:$AQ$1004,1,MATCH(COLUMNS($AB$1006:AD1006),$AB$1006:$AQ$1006,0)))),"Fix")))</f>
        <v>0</v>
      </c>
      <c r="E667" s="5">
        <f>IF(OR(INDEX($V$2:$V$1001,MATCH(ROWS($U$2:U667),$U$2:$U$1001,0),1)&gt;=100000,INDEX($AB$1005:$AQ$1005,1,MATCH(COLUMNS($AB$1006:AE1006),$AB$1006:$AQ$1006,0))&gt;=100000), " ",IF(INDEX($AB$2:$AQ$1001,MATCH(ROWS($U$2:U667),$U$2:$U$1001,0),MATCH(COLUMNS($AB$1006:AE1006),$AB$1006:$AQ$1006,0)), HYPERLINK("#",""), HYPERLINK(CONCATENATE("#Metadata!", ADDRESS(INDEX($W$2:$W$1001,MATCH(ROWS($U$2:U667),$U$2:$U$1001,0),0), INDEX($AB$1004:$AQ$1004,1,MATCH(COLUMNS($AB$1006:AE1006),$AB$1006:$AQ$1006,0)))),"Fix")))</f>
        <v>0</v>
      </c>
      <c r="F667" s="5">
        <f>IF(OR(INDEX($V$2:$V$1001,MATCH(ROWS($U$2:U667),$U$2:$U$1001,0),1)&gt;=100000,INDEX($AB$1005:$AQ$1005,1,MATCH(COLUMNS($AB$1006:AF1006),$AB$1006:$AQ$1006,0))&gt;=100000), " ",IF(INDEX($AB$2:$AQ$1001,MATCH(ROWS($U$2:U667),$U$2:$U$1001,0),MATCH(COLUMNS($AB$1006:AF1006),$AB$1006:$AQ$1006,0)), HYPERLINK("#",""), HYPERLINK(CONCATENATE("#Metadata!", ADDRESS(INDEX($W$2:$W$1001,MATCH(ROWS($U$2:U667),$U$2:$U$1001,0),0), INDEX($AB$1004:$AQ$1004,1,MATCH(COLUMNS($AB$1006:AF1006),$AB$1006:$AQ$1006,0)))),"Fix")))</f>
        <v>0</v>
      </c>
      <c r="G667" s="5">
        <f>IF(OR(INDEX($V$2:$V$1001,MATCH(ROWS($U$2:U667),$U$2:$U$1001,0),1)&gt;=100000,INDEX($AB$1005:$AQ$1005,1,MATCH(COLUMNS($AB$1006:AG1006),$AB$1006:$AQ$1006,0))&gt;=100000), " ",IF(INDEX($AB$2:$AQ$1001,MATCH(ROWS($U$2:U667),$U$2:$U$1001,0),MATCH(COLUMNS($AB$1006:AG1006),$AB$1006:$AQ$1006,0)), HYPERLINK("#",""), HYPERLINK(CONCATENATE("#Metadata!", ADDRESS(INDEX($W$2:$W$1001,MATCH(ROWS($U$2:U667),$U$2:$U$1001,0),0), INDEX($AB$1004:$AQ$1004,1,MATCH(COLUMNS($AB$1006:AG1006),$AB$1006:$AQ$1006,0)))),"Fix")))</f>
        <v>0</v>
      </c>
      <c r="H667" s="5">
        <f>IF(OR(INDEX($V$2:$V$1001,MATCH(ROWS($U$2:U667),$U$2:$U$1001,0),1)&gt;=100000,INDEX($AB$1005:$AQ$1005,1,MATCH(COLUMNS($AB$1006:AH1006),$AB$1006:$AQ$1006,0))&gt;=100000), " ",IF(INDEX($AB$2:$AQ$1001,MATCH(ROWS($U$2:U667),$U$2:$U$1001,0),MATCH(COLUMNS($AB$1006:AH1006),$AB$1006:$AQ$1006,0)), HYPERLINK("#",""), HYPERLINK(CONCATENATE("#Metadata!", ADDRESS(INDEX($W$2:$W$1001,MATCH(ROWS($U$2:U667),$U$2:$U$1001,0),0), INDEX($AB$1004:$AQ$1004,1,MATCH(COLUMNS($AB$1006:AH1006),$AB$1006:$AQ$1006,0)))),"Fix")))</f>
        <v>0</v>
      </c>
      <c r="I667" s="5">
        <f>IF(OR(INDEX($V$2:$V$1001,MATCH(ROWS($U$2:U667),$U$2:$U$1001,0),1)&gt;=100000,INDEX($AB$1005:$AQ$1005,1,MATCH(COLUMNS($AB$1006:AI1006),$AB$1006:$AQ$1006,0))&gt;=100000), " ",IF(INDEX($AB$2:$AQ$1001,MATCH(ROWS($U$2:U667),$U$2:$U$1001,0),MATCH(COLUMNS($AB$1006:AI1006),$AB$1006:$AQ$1006,0)), HYPERLINK("#",""), HYPERLINK(CONCATENATE("#Metadata!", ADDRESS(INDEX($W$2:$W$1001,MATCH(ROWS($U$2:U667),$U$2:$U$1001,0),0), INDEX($AB$1004:$AQ$1004,1,MATCH(COLUMNS($AB$1006:AI1006),$AB$1006:$AQ$1006,0)))),"Fix")))</f>
        <v>0</v>
      </c>
      <c r="J667" s="5">
        <f>IF(OR(INDEX($V$2:$V$1001,MATCH(ROWS($U$2:U667),$U$2:$U$1001,0),1)&gt;=100000,INDEX($AB$1005:$AQ$1005,1,MATCH(COLUMNS($AB$1006:AJ1006),$AB$1006:$AQ$1006,0))&gt;=100000), " ",IF(INDEX($AB$2:$AQ$1001,MATCH(ROWS($U$2:U667),$U$2:$U$1001,0),MATCH(COLUMNS($AB$1006:AJ1006),$AB$1006:$AQ$1006,0)), HYPERLINK("#",""), HYPERLINK(CONCATENATE("#Metadata!", ADDRESS(INDEX($W$2:$W$1001,MATCH(ROWS($U$2:U667),$U$2:$U$1001,0),0), INDEX($AB$1004:$AQ$1004,1,MATCH(COLUMNS($AB$1006:AJ1006),$AB$1006:$AQ$1006,0)))),"Fix")))</f>
        <v>0</v>
      </c>
      <c r="K667" s="5">
        <f>IF(OR(INDEX($V$2:$V$1001,MATCH(ROWS($U$2:U667),$U$2:$U$1001,0),1)&gt;=100000,INDEX($AB$1005:$AQ$1005,1,MATCH(COLUMNS($AB$1006:AK1006),$AB$1006:$AQ$1006,0))&gt;=100000), " ",IF(INDEX($AB$2:$AQ$1001,MATCH(ROWS($U$2:U667),$U$2:$U$1001,0),MATCH(COLUMNS($AB$1006:AK1006),$AB$1006:$AQ$1006,0)), HYPERLINK("#",""), HYPERLINK(CONCATENATE("#Metadata!", ADDRESS(INDEX($W$2:$W$1001,MATCH(ROWS($U$2:U667),$U$2:$U$1001,0),0), INDEX($AB$1004:$AQ$1004,1,MATCH(COLUMNS($AB$1006:AK1006),$AB$1006:$AQ$1006,0)))),"Fix")))</f>
        <v>0</v>
      </c>
      <c r="L667" s="5">
        <f>IF(OR(INDEX($V$2:$V$1001,MATCH(ROWS($U$2:U667),$U$2:$U$1001,0),1)&gt;=100000,INDEX($AB$1005:$AQ$1005,1,MATCH(COLUMNS($AB$1006:AL1006),$AB$1006:$AQ$1006,0))&gt;=100000), " ",IF(INDEX($AB$2:$AQ$1001,MATCH(ROWS($U$2:U667),$U$2:$U$1001,0),MATCH(COLUMNS($AB$1006:AL1006),$AB$1006:$AQ$1006,0)), HYPERLINK("#",""), HYPERLINK(CONCATENATE("#Metadata!", ADDRESS(INDEX($W$2:$W$1001,MATCH(ROWS($U$2:U667),$U$2:$U$1001,0),0), INDEX($AB$1004:$AQ$1004,1,MATCH(COLUMNS($AB$1006:AL1006),$AB$1006:$AQ$1006,0)))),"Fix")))</f>
        <v>0</v>
      </c>
      <c r="M667" s="5">
        <f>IF(OR(INDEX($V$2:$V$1001,MATCH(ROWS($U$2:U667),$U$2:$U$1001,0),1)&gt;=100000,INDEX($AB$1005:$AQ$1005,1,MATCH(COLUMNS($AB$1006:AM1006),$AB$1006:$AQ$1006,0))&gt;=100000), " ",IF(INDEX($AB$2:$AQ$1001,MATCH(ROWS($U$2:U667),$U$2:$U$1001,0),MATCH(COLUMNS($AB$1006:AM1006),$AB$1006:$AQ$1006,0)), HYPERLINK("#",""), HYPERLINK(CONCATENATE("#Metadata!", ADDRESS(INDEX($W$2:$W$1001,MATCH(ROWS($U$2:U667),$U$2:$U$1001,0),0), INDEX($AB$1004:$AQ$1004,1,MATCH(COLUMNS($AB$1006:AM1006),$AB$1006:$AQ$1006,0)))),"Fix")))</f>
        <v>0</v>
      </c>
      <c r="N667" s="5">
        <f>IF(OR(INDEX($V$2:$V$1001,MATCH(ROWS($U$2:U667),$U$2:$U$1001,0),1)&gt;=100000,INDEX($AB$1005:$AQ$1005,1,MATCH(COLUMNS($AB$1006:AN1006),$AB$1006:$AQ$1006,0))&gt;=100000), " ",IF(INDEX($AB$2:$AQ$1001,MATCH(ROWS($U$2:U667),$U$2:$U$1001,0),MATCH(COLUMNS($AB$1006:AN1006),$AB$1006:$AQ$1006,0)), HYPERLINK("#",""), HYPERLINK(CONCATENATE("#Metadata!", ADDRESS(INDEX($W$2:$W$1001,MATCH(ROWS($U$2:U667),$U$2:$U$1001,0),0), INDEX($AB$1004:$AQ$1004,1,MATCH(COLUMNS($AB$1006:AN1006),$AB$1006:$AQ$1006,0)))),"Fix")))</f>
        <v>0</v>
      </c>
      <c r="O667" s="5">
        <f>IF(OR(INDEX($V$2:$V$1001,MATCH(ROWS($U$2:U667),$U$2:$U$1001,0),1)&gt;=100000,INDEX($AB$1005:$AQ$1005,1,MATCH(COLUMNS($AB$1006:AO1006),$AB$1006:$AQ$1006,0))&gt;=100000), " ",IF(INDEX($AB$2:$AQ$1001,MATCH(ROWS($U$2:U667),$U$2:$U$1001,0),MATCH(COLUMNS($AB$1006:AO1006),$AB$1006:$AQ$1006,0)), HYPERLINK("#",""), HYPERLINK(CONCATENATE("#Metadata!", ADDRESS(INDEX($W$2:$W$1001,MATCH(ROWS($U$2:U667),$U$2:$U$1001,0),0), INDEX($AB$1004:$AQ$1004,1,MATCH(COLUMNS($AB$1006:AO1006),$AB$1006:$AQ$1006,0)))),"Fix")))</f>
        <v>0</v>
      </c>
      <c r="P667" s="5">
        <f>IF(OR(INDEX($V$2:$V$1001,MATCH(ROWS($U$2:U667),$U$2:$U$1001,0),1)&gt;=100000,INDEX($AB$1005:$AQ$1005,1,MATCH(COLUMNS($AB$1006:AP1006),$AB$1006:$AQ$1006,0))&gt;=100000), " ",IF(INDEX($AB$2:$AQ$1001,MATCH(ROWS($U$2:U667),$U$2:$U$1001,0),MATCH(COLUMNS($AB$1006:AP1006),$AB$1006:$AQ$1006,0)), HYPERLINK("#",""), HYPERLINK(CONCATENATE("#Metadata!", ADDRESS(INDEX($W$2:$W$1001,MATCH(ROWS($U$2:U667),$U$2:$U$1001,0),0), INDEX($AB$1004:$AQ$1004,1,MATCH(COLUMNS($AB$1006:AP1006),$AB$1006:$AQ$1006,0)))),"Fix")))</f>
        <v>0</v>
      </c>
      <c r="Q667" s="5">
        <f>IF(OR(INDEX($V$2:$V$1001,MATCH(ROWS($U$2:U667),$U$2:$U$1001,0),1)&gt;=100000,INDEX($AB$1005:$AQ$1005,1,MATCH(COLUMNS($AB$1006:AQ1006),$AB$1006:$AQ$1006,0))&gt;=100000), " ",IF(INDEX($AB$2:$AQ$1001,MATCH(ROWS($U$2:U667),$U$2:$U$1001,0),MATCH(COLUMNS($AB$1006:AQ1006),$AB$1006:$AQ$1006,0)), HYPERLINK("#",""), HYPERLINK(CONCATENATE("#Metadata!", ADDRESS(INDEX($W$2:$W$1001,MATCH(ROWS($U$2:U667),$U$2:$U$1001,0),0), INDEX($AB$1004:$AQ$1004,1,MATCH(COLUMNS($AB$1006:AQ1006),$AB$1006:$AQ$1006,0)))),"Fix")))</f>
        <v>0</v>
      </c>
      <c r="U667">
        <v>0</v>
      </c>
      <c r="V667">
        <v>0</v>
      </c>
      <c r="W667">
        <v>0</v>
      </c>
      <c r="X667">
        <f>IF(Y667,TRUE,AND(AB667:AQ667))</f>
        <v>0</v>
      </c>
      <c r="Y667">
        <f>COUNTBLANK(Metadata!B667:Q667)=COLUMNS(Metadata!B667:Q667)</f>
        <v>0</v>
      </c>
      <c r="Z667">
        <v>0</v>
      </c>
      <c r="AB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AC667">
        <f>AND(IF(Metadata!C667="",FALSE,TRUE),exact(Metadata!C667,"urban biome"))</f>
        <v>0</v>
      </c>
      <c r="AD667">
        <f>AND(IF(Metadata!D667="",FALSE,TRUE),exact(Metadata!D667,"human-associated habitat"))</f>
        <v>0</v>
      </c>
      <c r="AE667">
        <f>AND(IF(Metadata!E667="",FALSE,TRUE),OR(exact(Metadata!E667,"human-associated"),exact(Metadata!E667,"human-skin"),exact(Metadata!E667,"human-oral"),exact(Metadata!E667,"human-gut"),exact(Metadata!E667,"human-vaginal")))</f>
        <v>0</v>
      </c>
      <c r="AF667">
        <f>AND(IF(Metadata!F667="",FALSE,ISNUMBER(VALUE(Metadata!F667))),Metadata!F667&gt;0)</f>
        <v>0</v>
      </c>
      <c r="AG667">
        <f>AND(IF(Metadata!G667="",FALSE,TRUE),exact(Metadata!G667,"years"))</f>
        <v>0</v>
      </c>
      <c r="AH667">
        <f>OR(AND(IF(Metadata!H667="",FALSE,TRUE),OR(exact(Metadata!H667,"not applicable"),exact(Metadata!H667,"not collected"),exact(Metadata!H667,"not provided"),exact(Metadata!H667,"restricted access"))),AND(IF(Metadata!H667="",FALSE,ISNUMBER(VALUE(Metadata!H667))),Metadata!H667&gt;0))</f>
        <v>0</v>
      </c>
      <c r="AI667">
        <f>AND(IF(Metadata!I667="",FALSE,TRUE),exact(Metadata!I667,"human"))</f>
        <v>0</v>
      </c>
      <c r="AJ667">
        <f>AND(IF(Metadata!J667="",FALSE,ISNUMBER(VALUE(Metadata!J667))),Metadata!J667&gt;0)</f>
        <v>0</v>
      </c>
      <c r="AK667">
        <f>AND(IF(Metadata!K667="",FALSE,TRUE),exact(Metadata!K667,"cm"))</f>
        <v>0</v>
      </c>
      <c r="AL667">
        <f>AND(IF(Metadata!L667="",FALSE,TRUE),exact(Metadata!L667,"Homo sapiens"))</f>
        <v>0</v>
      </c>
      <c r="AM667">
        <f>AND(IF(Metadata!M667="",FALSE,TRUE),exact(Metadata!M667,"9606"))</f>
        <v>0</v>
      </c>
      <c r="AN667">
        <f>AND(IF(Metadata!N667="",FALSE,ISNUMBER(VALUE(Metadata!N667))),Metadata!N667&gt;0)</f>
        <v>0</v>
      </c>
      <c r="AO667">
        <f>AND(IF(Metadata!O667="",FALSE,TRUE),exact(Metadata!O667,"kg"))</f>
        <v>0</v>
      </c>
      <c r="AP667">
        <f>OR(AND(IF(Metadata!P667="",FALSE,TRUE),exact(Metadata!P667,"not provided")),IF(Metadata!P667="",FALSE,TRUE))</f>
        <v>0</v>
      </c>
      <c r="AQ667">
        <f>OR(AND(IF(Metadata!Q667="",FALSE,TRUE),exact(Metadata!Q667,"not provided")),IF(Metadata!Q667="",FALSE,TRUE))</f>
        <v>0</v>
      </c>
    </row>
    <row r="668" spans="1:43">
      <c r="A668" s="4">
        <f>IF(B668=" "," ",HYPERLINK(CONCATENATE("#metadata!",ADDRESS(INDEX($W$2:$W$1001,MATCH(ROWS($U$2:U668),$U$2:$U$1001,0),0),2)),INDEX($Z$2:$Z$1001,MATCH(ROWS($U$2:U668),$U$2:$U$1001,0),0)))</f>
        <v>0</v>
      </c>
      <c r="B668" s="5">
        <f>IF(OR(INDEX($V$2:$V$1001,MATCH(ROWS($U$2:U668),$U$2:$U$1001,0),1)&gt;=100000,INDEX($AB$1005:$AQ$1005,1,MATCH(COLUMNS($AB$1006:AB1006),$AB$1006:$AQ$1006,0))&gt;=100000), " ",IF(INDEX($AB$2:$AQ$1001,MATCH(ROWS($U$2:U668),$U$2:$U$1001,0),MATCH(COLUMNS($AB$1006:AB1006),$AB$1006:$AQ$1006,0)), HYPERLINK("#",""), HYPERLINK(CONCATENATE("#Metadata!", ADDRESS(INDEX($W$2:$W$1001,MATCH(ROWS($U$2:U668),$U$2:$U$1001,0),0), INDEX($AB$1004:$AQ$1004,1,MATCH(COLUMNS($AB$1006:AB1006),$AB$1006:$AQ$1006,0)))),"Fix")))</f>
        <v>0</v>
      </c>
      <c r="C668" s="5">
        <f>IF(OR(INDEX($V$2:$V$1001,MATCH(ROWS($U$2:U668),$U$2:$U$1001,0),1)&gt;=100000,INDEX($AB$1005:$AQ$1005,1,MATCH(COLUMNS($AB$1006:AC1006),$AB$1006:$AQ$1006,0))&gt;=100000), " ",IF(INDEX($AB$2:$AQ$1001,MATCH(ROWS($U$2:U668),$U$2:$U$1001,0),MATCH(COLUMNS($AB$1006:AC1006),$AB$1006:$AQ$1006,0)), HYPERLINK("#",""), HYPERLINK(CONCATENATE("#Metadata!", ADDRESS(INDEX($W$2:$W$1001,MATCH(ROWS($U$2:U668),$U$2:$U$1001,0),0), INDEX($AB$1004:$AQ$1004,1,MATCH(COLUMNS($AB$1006:AC1006),$AB$1006:$AQ$1006,0)))),"Fix")))</f>
        <v>0</v>
      </c>
      <c r="D668" s="5">
        <f>IF(OR(INDEX($V$2:$V$1001,MATCH(ROWS($U$2:U668),$U$2:$U$1001,0),1)&gt;=100000,INDEX($AB$1005:$AQ$1005,1,MATCH(COLUMNS($AB$1006:AD1006),$AB$1006:$AQ$1006,0))&gt;=100000), " ",IF(INDEX($AB$2:$AQ$1001,MATCH(ROWS($U$2:U668),$U$2:$U$1001,0),MATCH(COLUMNS($AB$1006:AD1006),$AB$1006:$AQ$1006,0)), HYPERLINK("#",""), HYPERLINK(CONCATENATE("#Metadata!", ADDRESS(INDEX($W$2:$W$1001,MATCH(ROWS($U$2:U668),$U$2:$U$1001,0),0), INDEX($AB$1004:$AQ$1004,1,MATCH(COLUMNS($AB$1006:AD1006),$AB$1006:$AQ$1006,0)))),"Fix")))</f>
        <v>0</v>
      </c>
      <c r="E668" s="5">
        <f>IF(OR(INDEX($V$2:$V$1001,MATCH(ROWS($U$2:U668),$U$2:$U$1001,0),1)&gt;=100000,INDEX($AB$1005:$AQ$1005,1,MATCH(COLUMNS($AB$1006:AE1006),$AB$1006:$AQ$1006,0))&gt;=100000), " ",IF(INDEX($AB$2:$AQ$1001,MATCH(ROWS($U$2:U668),$U$2:$U$1001,0),MATCH(COLUMNS($AB$1006:AE1006),$AB$1006:$AQ$1006,0)), HYPERLINK("#",""), HYPERLINK(CONCATENATE("#Metadata!", ADDRESS(INDEX($W$2:$W$1001,MATCH(ROWS($U$2:U668),$U$2:$U$1001,0),0), INDEX($AB$1004:$AQ$1004,1,MATCH(COLUMNS($AB$1006:AE1006),$AB$1006:$AQ$1006,0)))),"Fix")))</f>
        <v>0</v>
      </c>
      <c r="F668" s="5">
        <f>IF(OR(INDEX($V$2:$V$1001,MATCH(ROWS($U$2:U668),$U$2:$U$1001,0),1)&gt;=100000,INDEX($AB$1005:$AQ$1005,1,MATCH(COLUMNS($AB$1006:AF1006),$AB$1006:$AQ$1006,0))&gt;=100000), " ",IF(INDEX($AB$2:$AQ$1001,MATCH(ROWS($U$2:U668),$U$2:$U$1001,0),MATCH(COLUMNS($AB$1006:AF1006),$AB$1006:$AQ$1006,0)), HYPERLINK("#",""), HYPERLINK(CONCATENATE("#Metadata!", ADDRESS(INDEX($W$2:$W$1001,MATCH(ROWS($U$2:U668),$U$2:$U$1001,0),0), INDEX($AB$1004:$AQ$1004,1,MATCH(COLUMNS($AB$1006:AF1006),$AB$1006:$AQ$1006,0)))),"Fix")))</f>
        <v>0</v>
      </c>
      <c r="G668" s="5">
        <f>IF(OR(INDEX($V$2:$V$1001,MATCH(ROWS($U$2:U668),$U$2:$U$1001,0),1)&gt;=100000,INDEX($AB$1005:$AQ$1005,1,MATCH(COLUMNS($AB$1006:AG1006),$AB$1006:$AQ$1006,0))&gt;=100000), " ",IF(INDEX($AB$2:$AQ$1001,MATCH(ROWS($U$2:U668),$U$2:$U$1001,0),MATCH(COLUMNS($AB$1006:AG1006),$AB$1006:$AQ$1006,0)), HYPERLINK("#",""), HYPERLINK(CONCATENATE("#Metadata!", ADDRESS(INDEX($W$2:$W$1001,MATCH(ROWS($U$2:U668),$U$2:$U$1001,0),0), INDEX($AB$1004:$AQ$1004,1,MATCH(COLUMNS($AB$1006:AG1006),$AB$1006:$AQ$1006,0)))),"Fix")))</f>
        <v>0</v>
      </c>
      <c r="H668" s="5">
        <f>IF(OR(INDEX($V$2:$V$1001,MATCH(ROWS($U$2:U668),$U$2:$U$1001,0),1)&gt;=100000,INDEX($AB$1005:$AQ$1005,1,MATCH(COLUMNS($AB$1006:AH1006),$AB$1006:$AQ$1006,0))&gt;=100000), " ",IF(INDEX($AB$2:$AQ$1001,MATCH(ROWS($U$2:U668),$U$2:$U$1001,0),MATCH(COLUMNS($AB$1006:AH1006),$AB$1006:$AQ$1006,0)), HYPERLINK("#",""), HYPERLINK(CONCATENATE("#Metadata!", ADDRESS(INDEX($W$2:$W$1001,MATCH(ROWS($U$2:U668),$U$2:$U$1001,0),0), INDEX($AB$1004:$AQ$1004,1,MATCH(COLUMNS($AB$1006:AH1006),$AB$1006:$AQ$1006,0)))),"Fix")))</f>
        <v>0</v>
      </c>
      <c r="I668" s="5">
        <f>IF(OR(INDEX($V$2:$V$1001,MATCH(ROWS($U$2:U668),$U$2:$U$1001,0),1)&gt;=100000,INDEX($AB$1005:$AQ$1005,1,MATCH(COLUMNS($AB$1006:AI1006),$AB$1006:$AQ$1006,0))&gt;=100000), " ",IF(INDEX($AB$2:$AQ$1001,MATCH(ROWS($U$2:U668),$U$2:$U$1001,0),MATCH(COLUMNS($AB$1006:AI1006),$AB$1006:$AQ$1006,0)), HYPERLINK("#",""), HYPERLINK(CONCATENATE("#Metadata!", ADDRESS(INDEX($W$2:$W$1001,MATCH(ROWS($U$2:U668),$U$2:$U$1001,0),0), INDEX($AB$1004:$AQ$1004,1,MATCH(COLUMNS($AB$1006:AI1006),$AB$1006:$AQ$1006,0)))),"Fix")))</f>
        <v>0</v>
      </c>
      <c r="J668" s="5">
        <f>IF(OR(INDEX($V$2:$V$1001,MATCH(ROWS($U$2:U668),$U$2:$U$1001,0),1)&gt;=100000,INDEX($AB$1005:$AQ$1005,1,MATCH(COLUMNS($AB$1006:AJ1006),$AB$1006:$AQ$1006,0))&gt;=100000), " ",IF(INDEX($AB$2:$AQ$1001,MATCH(ROWS($U$2:U668),$U$2:$U$1001,0),MATCH(COLUMNS($AB$1006:AJ1006),$AB$1006:$AQ$1006,0)), HYPERLINK("#",""), HYPERLINK(CONCATENATE("#Metadata!", ADDRESS(INDEX($W$2:$W$1001,MATCH(ROWS($U$2:U668),$U$2:$U$1001,0),0), INDEX($AB$1004:$AQ$1004,1,MATCH(COLUMNS($AB$1006:AJ1006),$AB$1006:$AQ$1006,0)))),"Fix")))</f>
        <v>0</v>
      </c>
      <c r="K668" s="5">
        <f>IF(OR(INDEX($V$2:$V$1001,MATCH(ROWS($U$2:U668),$U$2:$U$1001,0),1)&gt;=100000,INDEX($AB$1005:$AQ$1005,1,MATCH(COLUMNS($AB$1006:AK1006),$AB$1006:$AQ$1006,0))&gt;=100000), " ",IF(INDEX($AB$2:$AQ$1001,MATCH(ROWS($U$2:U668),$U$2:$U$1001,0),MATCH(COLUMNS($AB$1006:AK1006),$AB$1006:$AQ$1006,0)), HYPERLINK("#",""), HYPERLINK(CONCATENATE("#Metadata!", ADDRESS(INDEX($W$2:$W$1001,MATCH(ROWS($U$2:U668),$U$2:$U$1001,0),0), INDEX($AB$1004:$AQ$1004,1,MATCH(COLUMNS($AB$1006:AK1006),$AB$1006:$AQ$1006,0)))),"Fix")))</f>
        <v>0</v>
      </c>
      <c r="L668" s="5">
        <f>IF(OR(INDEX($V$2:$V$1001,MATCH(ROWS($U$2:U668),$U$2:$U$1001,0),1)&gt;=100000,INDEX($AB$1005:$AQ$1005,1,MATCH(COLUMNS($AB$1006:AL1006),$AB$1006:$AQ$1006,0))&gt;=100000), " ",IF(INDEX($AB$2:$AQ$1001,MATCH(ROWS($U$2:U668),$U$2:$U$1001,0),MATCH(COLUMNS($AB$1006:AL1006),$AB$1006:$AQ$1006,0)), HYPERLINK("#",""), HYPERLINK(CONCATENATE("#Metadata!", ADDRESS(INDEX($W$2:$W$1001,MATCH(ROWS($U$2:U668),$U$2:$U$1001,0),0), INDEX($AB$1004:$AQ$1004,1,MATCH(COLUMNS($AB$1006:AL1006),$AB$1006:$AQ$1006,0)))),"Fix")))</f>
        <v>0</v>
      </c>
      <c r="M668" s="5">
        <f>IF(OR(INDEX($V$2:$V$1001,MATCH(ROWS($U$2:U668),$U$2:$U$1001,0),1)&gt;=100000,INDEX($AB$1005:$AQ$1005,1,MATCH(COLUMNS($AB$1006:AM1006),$AB$1006:$AQ$1006,0))&gt;=100000), " ",IF(INDEX($AB$2:$AQ$1001,MATCH(ROWS($U$2:U668),$U$2:$U$1001,0),MATCH(COLUMNS($AB$1006:AM1006),$AB$1006:$AQ$1006,0)), HYPERLINK("#",""), HYPERLINK(CONCATENATE("#Metadata!", ADDRESS(INDEX($W$2:$W$1001,MATCH(ROWS($U$2:U668),$U$2:$U$1001,0),0), INDEX($AB$1004:$AQ$1004,1,MATCH(COLUMNS($AB$1006:AM1006),$AB$1006:$AQ$1006,0)))),"Fix")))</f>
        <v>0</v>
      </c>
      <c r="N668" s="5">
        <f>IF(OR(INDEX($V$2:$V$1001,MATCH(ROWS($U$2:U668),$U$2:$U$1001,0),1)&gt;=100000,INDEX($AB$1005:$AQ$1005,1,MATCH(COLUMNS($AB$1006:AN1006),$AB$1006:$AQ$1006,0))&gt;=100000), " ",IF(INDEX($AB$2:$AQ$1001,MATCH(ROWS($U$2:U668),$U$2:$U$1001,0),MATCH(COLUMNS($AB$1006:AN1006),$AB$1006:$AQ$1006,0)), HYPERLINK("#",""), HYPERLINK(CONCATENATE("#Metadata!", ADDRESS(INDEX($W$2:$W$1001,MATCH(ROWS($U$2:U668),$U$2:$U$1001,0),0), INDEX($AB$1004:$AQ$1004,1,MATCH(COLUMNS($AB$1006:AN1006),$AB$1006:$AQ$1006,0)))),"Fix")))</f>
        <v>0</v>
      </c>
      <c r="O668" s="5">
        <f>IF(OR(INDEX($V$2:$V$1001,MATCH(ROWS($U$2:U668),$U$2:$U$1001,0),1)&gt;=100000,INDEX($AB$1005:$AQ$1005,1,MATCH(COLUMNS($AB$1006:AO1006),$AB$1006:$AQ$1006,0))&gt;=100000), " ",IF(INDEX($AB$2:$AQ$1001,MATCH(ROWS($U$2:U668),$U$2:$U$1001,0),MATCH(COLUMNS($AB$1006:AO1006),$AB$1006:$AQ$1006,0)), HYPERLINK("#",""), HYPERLINK(CONCATENATE("#Metadata!", ADDRESS(INDEX($W$2:$W$1001,MATCH(ROWS($U$2:U668),$U$2:$U$1001,0),0), INDEX($AB$1004:$AQ$1004,1,MATCH(COLUMNS($AB$1006:AO1006),$AB$1006:$AQ$1006,0)))),"Fix")))</f>
        <v>0</v>
      </c>
      <c r="P668" s="5">
        <f>IF(OR(INDEX($V$2:$V$1001,MATCH(ROWS($U$2:U668),$U$2:$U$1001,0),1)&gt;=100000,INDEX($AB$1005:$AQ$1005,1,MATCH(COLUMNS($AB$1006:AP1006),$AB$1006:$AQ$1006,0))&gt;=100000), " ",IF(INDEX($AB$2:$AQ$1001,MATCH(ROWS($U$2:U668),$U$2:$U$1001,0),MATCH(COLUMNS($AB$1006:AP1006),$AB$1006:$AQ$1006,0)), HYPERLINK("#",""), HYPERLINK(CONCATENATE("#Metadata!", ADDRESS(INDEX($W$2:$W$1001,MATCH(ROWS($U$2:U668),$U$2:$U$1001,0),0), INDEX($AB$1004:$AQ$1004,1,MATCH(COLUMNS($AB$1006:AP1006),$AB$1006:$AQ$1006,0)))),"Fix")))</f>
        <v>0</v>
      </c>
      <c r="Q668" s="5">
        <f>IF(OR(INDEX($V$2:$V$1001,MATCH(ROWS($U$2:U668),$U$2:$U$1001,0),1)&gt;=100000,INDEX($AB$1005:$AQ$1005,1,MATCH(COLUMNS($AB$1006:AQ1006),$AB$1006:$AQ$1006,0))&gt;=100000), " ",IF(INDEX($AB$2:$AQ$1001,MATCH(ROWS($U$2:U668),$U$2:$U$1001,0),MATCH(COLUMNS($AB$1006:AQ1006),$AB$1006:$AQ$1006,0)), HYPERLINK("#",""), HYPERLINK(CONCATENATE("#Metadata!", ADDRESS(INDEX($W$2:$W$1001,MATCH(ROWS($U$2:U668),$U$2:$U$1001,0),0), INDEX($AB$1004:$AQ$1004,1,MATCH(COLUMNS($AB$1006:AQ1006),$AB$1006:$AQ$1006,0)))),"Fix")))</f>
        <v>0</v>
      </c>
      <c r="U668">
        <v>0</v>
      </c>
      <c r="V668">
        <v>0</v>
      </c>
      <c r="W668">
        <v>0</v>
      </c>
      <c r="X668">
        <f>IF(Y668,TRUE,AND(AB668:AQ668))</f>
        <v>0</v>
      </c>
      <c r="Y668">
        <f>COUNTBLANK(Metadata!B668:Q668)=COLUMNS(Metadata!B668:Q668)</f>
        <v>0</v>
      </c>
      <c r="Z668">
        <v>0</v>
      </c>
      <c r="AB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AC668">
        <f>AND(IF(Metadata!C668="",FALSE,TRUE),exact(Metadata!C668,"urban biome"))</f>
        <v>0</v>
      </c>
      <c r="AD668">
        <f>AND(IF(Metadata!D668="",FALSE,TRUE),exact(Metadata!D668,"human-associated habitat"))</f>
        <v>0</v>
      </c>
      <c r="AE668">
        <f>AND(IF(Metadata!E668="",FALSE,TRUE),OR(exact(Metadata!E668,"human-associated"),exact(Metadata!E668,"human-skin"),exact(Metadata!E668,"human-oral"),exact(Metadata!E668,"human-gut"),exact(Metadata!E668,"human-vaginal")))</f>
        <v>0</v>
      </c>
      <c r="AF668">
        <f>AND(IF(Metadata!F668="",FALSE,ISNUMBER(VALUE(Metadata!F668))),Metadata!F668&gt;0)</f>
        <v>0</v>
      </c>
      <c r="AG668">
        <f>AND(IF(Metadata!G668="",FALSE,TRUE),exact(Metadata!G668,"years"))</f>
        <v>0</v>
      </c>
      <c r="AH668">
        <f>OR(AND(IF(Metadata!H668="",FALSE,TRUE),OR(exact(Metadata!H668,"not applicable"),exact(Metadata!H668,"not collected"),exact(Metadata!H668,"not provided"),exact(Metadata!H668,"restricted access"))),AND(IF(Metadata!H668="",FALSE,ISNUMBER(VALUE(Metadata!H668))),Metadata!H668&gt;0))</f>
        <v>0</v>
      </c>
      <c r="AI668">
        <f>AND(IF(Metadata!I668="",FALSE,TRUE),exact(Metadata!I668,"human"))</f>
        <v>0</v>
      </c>
      <c r="AJ668">
        <f>AND(IF(Metadata!J668="",FALSE,ISNUMBER(VALUE(Metadata!J668))),Metadata!J668&gt;0)</f>
        <v>0</v>
      </c>
      <c r="AK668">
        <f>AND(IF(Metadata!K668="",FALSE,TRUE),exact(Metadata!K668,"cm"))</f>
        <v>0</v>
      </c>
      <c r="AL668">
        <f>AND(IF(Metadata!L668="",FALSE,TRUE),exact(Metadata!L668,"Homo sapiens"))</f>
        <v>0</v>
      </c>
      <c r="AM668">
        <f>AND(IF(Metadata!M668="",FALSE,TRUE),exact(Metadata!M668,"9606"))</f>
        <v>0</v>
      </c>
      <c r="AN668">
        <f>AND(IF(Metadata!N668="",FALSE,ISNUMBER(VALUE(Metadata!N668))),Metadata!N668&gt;0)</f>
        <v>0</v>
      </c>
      <c r="AO668">
        <f>AND(IF(Metadata!O668="",FALSE,TRUE),exact(Metadata!O668,"kg"))</f>
        <v>0</v>
      </c>
      <c r="AP668">
        <f>OR(AND(IF(Metadata!P668="",FALSE,TRUE),exact(Metadata!P668,"not provided")),IF(Metadata!P668="",FALSE,TRUE))</f>
        <v>0</v>
      </c>
      <c r="AQ668">
        <f>OR(AND(IF(Metadata!Q668="",FALSE,TRUE),exact(Metadata!Q668,"not provided")),IF(Metadata!Q668="",FALSE,TRUE))</f>
        <v>0</v>
      </c>
    </row>
    <row r="669" spans="1:43">
      <c r="A669" s="4">
        <f>IF(B669=" "," ",HYPERLINK(CONCATENATE("#metadata!",ADDRESS(INDEX($W$2:$W$1001,MATCH(ROWS($U$2:U669),$U$2:$U$1001,0),0),2)),INDEX($Z$2:$Z$1001,MATCH(ROWS($U$2:U669),$U$2:$U$1001,0),0)))</f>
        <v>0</v>
      </c>
      <c r="B669" s="5">
        <f>IF(OR(INDEX($V$2:$V$1001,MATCH(ROWS($U$2:U669),$U$2:$U$1001,0),1)&gt;=100000,INDEX($AB$1005:$AQ$1005,1,MATCH(COLUMNS($AB$1006:AB1006),$AB$1006:$AQ$1006,0))&gt;=100000), " ",IF(INDEX($AB$2:$AQ$1001,MATCH(ROWS($U$2:U669),$U$2:$U$1001,0),MATCH(COLUMNS($AB$1006:AB1006),$AB$1006:$AQ$1006,0)), HYPERLINK("#",""), HYPERLINK(CONCATENATE("#Metadata!", ADDRESS(INDEX($W$2:$W$1001,MATCH(ROWS($U$2:U669),$U$2:$U$1001,0),0), INDEX($AB$1004:$AQ$1004,1,MATCH(COLUMNS($AB$1006:AB1006),$AB$1006:$AQ$1006,0)))),"Fix")))</f>
        <v>0</v>
      </c>
      <c r="C669" s="5">
        <f>IF(OR(INDEX($V$2:$V$1001,MATCH(ROWS($U$2:U669),$U$2:$U$1001,0),1)&gt;=100000,INDEX($AB$1005:$AQ$1005,1,MATCH(COLUMNS($AB$1006:AC1006),$AB$1006:$AQ$1006,0))&gt;=100000), " ",IF(INDEX($AB$2:$AQ$1001,MATCH(ROWS($U$2:U669),$U$2:$U$1001,0),MATCH(COLUMNS($AB$1006:AC1006),$AB$1006:$AQ$1006,0)), HYPERLINK("#",""), HYPERLINK(CONCATENATE("#Metadata!", ADDRESS(INDEX($W$2:$W$1001,MATCH(ROWS($U$2:U669),$U$2:$U$1001,0),0), INDEX($AB$1004:$AQ$1004,1,MATCH(COLUMNS($AB$1006:AC1006),$AB$1006:$AQ$1006,0)))),"Fix")))</f>
        <v>0</v>
      </c>
      <c r="D669" s="5">
        <f>IF(OR(INDEX($V$2:$V$1001,MATCH(ROWS($U$2:U669),$U$2:$U$1001,0),1)&gt;=100000,INDEX($AB$1005:$AQ$1005,1,MATCH(COLUMNS($AB$1006:AD1006),$AB$1006:$AQ$1006,0))&gt;=100000), " ",IF(INDEX($AB$2:$AQ$1001,MATCH(ROWS($U$2:U669),$U$2:$U$1001,0),MATCH(COLUMNS($AB$1006:AD1006),$AB$1006:$AQ$1006,0)), HYPERLINK("#",""), HYPERLINK(CONCATENATE("#Metadata!", ADDRESS(INDEX($W$2:$W$1001,MATCH(ROWS($U$2:U669),$U$2:$U$1001,0),0), INDEX($AB$1004:$AQ$1004,1,MATCH(COLUMNS($AB$1006:AD1006),$AB$1006:$AQ$1006,0)))),"Fix")))</f>
        <v>0</v>
      </c>
      <c r="E669" s="5">
        <f>IF(OR(INDEX($V$2:$V$1001,MATCH(ROWS($U$2:U669),$U$2:$U$1001,0),1)&gt;=100000,INDEX($AB$1005:$AQ$1005,1,MATCH(COLUMNS($AB$1006:AE1006),$AB$1006:$AQ$1006,0))&gt;=100000), " ",IF(INDEX($AB$2:$AQ$1001,MATCH(ROWS($U$2:U669),$U$2:$U$1001,0),MATCH(COLUMNS($AB$1006:AE1006),$AB$1006:$AQ$1006,0)), HYPERLINK("#",""), HYPERLINK(CONCATENATE("#Metadata!", ADDRESS(INDEX($W$2:$W$1001,MATCH(ROWS($U$2:U669),$U$2:$U$1001,0),0), INDEX($AB$1004:$AQ$1004,1,MATCH(COLUMNS($AB$1006:AE1006),$AB$1006:$AQ$1006,0)))),"Fix")))</f>
        <v>0</v>
      </c>
      <c r="F669" s="5">
        <f>IF(OR(INDEX($V$2:$V$1001,MATCH(ROWS($U$2:U669),$U$2:$U$1001,0),1)&gt;=100000,INDEX($AB$1005:$AQ$1005,1,MATCH(COLUMNS($AB$1006:AF1006),$AB$1006:$AQ$1006,0))&gt;=100000), " ",IF(INDEX($AB$2:$AQ$1001,MATCH(ROWS($U$2:U669),$U$2:$U$1001,0),MATCH(COLUMNS($AB$1006:AF1006),$AB$1006:$AQ$1006,0)), HYPERLINK("#",""), HYPERLINK(CONCATENATE("#Metadata!", ADDRESS(INDEX($W$2:$W$1001,MATCH(ROWS($U$2:U669),$U$2:$U$1001,0),0), INDEX($AB$1004:$AQ$1004,1,MATCH(COLUMNS($AB$1006:AF1006),$AB$1006:$AQ$1006,0)))),"Fix")))</f>
        <v>0</v>
      </c>
      <c r="G669" s="5">
        <f>IF(OR(INDEX($V$2:$V$1001,MATCH(ROWS($U$2:U669),$U$2:$U$1001,0),1)&gt;=100000,INDEX($AB$1005:$AQ$1005,1,MATCH(COLUMNS($AB$1006:AG1006),$AB$1006:$AQ$1006,0))&gt;=100000), " ",IF(INDEX($AB$2:$AQ$1001,MATCH(ROWS($U$2:U669),$U$2:$U$1001,0),MATCH(COLUMNS($AB$1006:AG1006),$AB$1006:$AQ$1006,0)), HYPERLINK("#",""), HYPERLINK(CONCATENATE("#Metadata!", ADDRESS(INDEX($W$2:$W$1001,MATCH(ROWS($U$2:U669),$U$2:$U$1001,0),0), INDEX($AB$1004:$AQ$1004,1,MATCH(COLUMNS($AB$1006:AG1006),$AB$1006:$AQ$1006,0)))),"Fix")))</f>
        <v>0</v>
      </c>
      <c r="H669" s="5">
        <f>IF(OR(INDEX($V$2:$V$1001,MATCH(ROWS($U$2:U669),$U$2:$U$1001,0),1)&gt;=100000,INDEX($AB$1005:$AQ$1005,1,MATCH(COLUMNS($AB$1006:AH1006),$AB$1006:$AQ$1006,0))&gt;=100000), " ",IF(INDEX($AB$2:$AQ$1001,MATCH(ROWS($U$2:U669),$U$2:$U$1001,0),MATCH(COLUMNS($AB$1006:AH1006),$AB$1006:$AQ$1006,0)), HYPERLINK("#",""), HYPERLINK(CONCATENATE("#Metadata!", ADDRESS(INDEX($W$2:$W$1001,MATCH(ROWS($U$2:U669),$U$2:$U$1001,0),0), INDEX($AB$1004:$AQ$1004,1,MATCH(COLUMNS($AB$1006:AH1006),$AB$1006:$AQ$1006,0)))),"Fix")))</f>
        <v>0</v>
      </c>
      <c r="I669" s="5">
        <f>IF(OR(INDEX($V$2:$V$1001,MATCH(ROWS($U$2:U669),$U$2:$U$1001,0),1)&gt;=100000,INDEX($AB$1005:$AQ$1005,1,MATCH(COLUMNS($AB$1006:AI1006),$AB$1006:$AQ$1006,0))&gt;=100000), " ",IF(INDEX($AB$2:$AQ$1001,MATCH(ROWS($U$2:U669),$U$2:$U$1001,0),MATCH(COLUMNS($AB$1006:AI1006),$AB$1006:$AQ$1006,0)), HYPERLINK("#",""), HYPERLINK(CONCATENATE("#Metadata!", ADDRESS(INDEX($W$2:$W$1001,MATCH(ROWS($U$2:U669),$U$2:$U$1001,0),0), INDEX($AB$1004:$AQ$1004,1,MATCH(COLUMNS($AB$1006:AI1006),$AB$1006:$AQ$1006,0)))),"Fix")))</f>
        <v>0</v>
      </c>
      <c r="J669" s="5">
        <f>IF(OR(INDEX($V$2:$V$1001,MATCH(ROWS($U$2:U669),$U$2:$U$1001,0),1)&gt;=100000,INDEX($AB$1005:$AQ$1005,1,MATCH(COLUMNS($AB$1006:AJ1006),$AB$1006:$AQ$1006,0))&gt;=100000), " ",IF(INDEX($AB$2:$AQ$1001,MATCH(ROWS($U$2:U669),$U$2:$U$1001,0),MATCH(COLUMNS($AB$1006:AJ1006),$AB$1006:$AQ$1006,0)), HYPERLINK("#",""), HYPERLINK(CONCATENATE("#Metadata!", ADDRESS(INDEX($W$2:$W$1001,MATCH(ROWS($U$2:U669),$U$2:$U$1001,0),0), INDEX($AB$1004:$AQ$1004,1,MATCH(COLUMNS($AB$1006:AJ1006),$AB$1006:$AQ$1006,0)))),"Fix")))</f>
        <v>0</v>
      </c>
      <c r="K669" s="5">
        <f>IF(OR(INDEX($V$2:$V$1001,MATCH(ROWS($U$2:U669),$U$2:$U$1001,0),1)&gt;=100000,INDEX($AB$1005:$AQ$1005,1,MATCH(COLUMNS($AB$1006:AK1006),$AB$1006:$AQ$1006,0))&gt;=100000), " ",IF(INDEX($AB$2:$AQ$1001,MATCH(ROWS($U$2:U669),$U$2:$U$1001,0),MATCH(COLUMNS($AB$1006:AK1006),$AB$1006:$AQ$1006,0)), HYPERLINK("#",""), HYPERLINK(CONCATENATE("#Metadata!", ADDRESS(INDEX($W$2:$W$1001,MATCH(ROWS($U$2:U669),$U$2:$U$1001,0),0), INDEX($AB$1004:$AQ$1004,1,MATCH(COLUMNS($AB$1006:AK1006),$AB$1006:$AQ$1006,0)))),"Fix")))</f>
        <v>0</v>
      </c>
      <c r="L669" s="5">
        <f>IF(OR(INDEX($V$2:$V$1001,MATCH(ROWS($U$2:U669),$U$2:$U$1001,0),1)&gt;=100000,INDEX($AB$1005:$AQ$1005,1,MATCH(COLUMNS($AB$1006:AL1006),$AB$1006:$AQ$1006,0))&gt;=100000), " ",IF(INDEX($AB$2:$AQ$1001,MATCH(ROWS($U$2:U669),$U$2:$U$1001,0),MATCH(COLUMNS($AB$1006:AL1006),$AB$1006:$AQ$1006,0)), HYPERLINK("#",""), HYPERLINK(CONCATENATE("#Metadata!", ADDRESS(INDEX($W$2:$W$1001,MATCH(ROWS($U$2:U669),$U$2:$U$1001,0),0), INDEX($AB$1004:$AQ$1004,1,MATCH(COLUMNS($AB$1006:AL1006),$AB$1006:$AQ$1006,0)))),"Fix")))</f>
        <v>0</v>
      </c>
      <c r="M669" s="5">
        <f>IF(OR(INDEX($V$2:$V$1001,MATCH(ROWS($U$2:U669),$U$2:$U$1001,0),1)&gt;=100000,INDEX($AB$1005:$AQ$1005,1,MATCH(COLUMNS($AB$1006:AM1006),$AB$1006:$AQ$1006,0))&gt;=100000), " ",IF(INDEX($AB$2:$AQ$1001,MATCH(ROWS($U$2:U669),$U$2:$U$1001,0),MATCH(COLUMNS($AB$1006:AM1006),$AB$1006:$AQ$1006,0)), HYPERLINK("#",""), HYPERLINK(CONCATENATE("#Metadata!", ADDRESS(INDEX($W$2:$W$1001,MATCH(ROWS($U$2:U669),$U$2:$U$1001,0),0), INDEX($AB$1004:$AQ$1004,1,MATCH(COLUMNS($AB$1006:AM1006),$AB$1006:$AQ$1006,0)))),"Fix")))</f>
        <v>0</v>
      </c>
      <c r="N669" s="5">
        <f>IF(OR(INDEX($V$2:$V$1001,MATCH(ROWS($U$2:U669),$U$2:$U$1001,0),1)&gt;=100000,INDEX($AB$1005:$AQ$1005,1,MATCH(COLUMNS($AB$1006:AN1006),$AB$1006:$AQ$1006,0))&gt;=100000), " ",IF(INDEX($AB$2:$AQ$1001,MATCH(ROWS($U$2:U669),$U$2:$U$1001,0),MATCH(COLUMNS($AB$1006:AN1006),$AB$1006:$AQ$1006,0)), HYPERLINK("#",""), HYPERLINK(CONCATENATE("#Metadata!", ADDRESS(INDEX($W$2:$W$1001,MATCH(ROWS($U$2:U669),$U$2:$U$1001,0),0), INDEX($AB$1004:$AQ$1004,1,MATCH(COLUMNS($AB$1006:AN1006),$AB$1006:$AQ$1006,0)))),"Fix")))</f>
        <v>0</v>
      </c>
      <c r="O669" s="5">
        <f>IF(OR(INDEX($V$2:$V$1001,MATCH(ROWS($U$2:U669),$U$2:$U$1001,0),1)&gt;=100000,INDEX($AB$1005:$AQ$1005,1,MATCH(COLUMNS($AB$1006:AO1006),$AB$1006:$AQ$1006,0))&gt;=100000), " ",IF(INDEX($AB$2:$AQ$1001,MATCH(ROWS($U$2:U669),$U$2:$U$1001,0),MATCH(COLUMNS($AB$1006:AO1006),$AB$1006:$AQ$1006,0)), HYPERLINK("#",""), HYPERLINK(CONCATENATE("#Metadata!", ADDRESS(INDEX($W$2:$W$1001,MATCH(ROWS($U$2:U669),$U$2:$U$1001,0),0), INDEX($AB$1004:$AQ$1004,1,MATCH(COLUMNS($AB$1006:AO1006),$AB$1006:$AQ$1006,0)))),"Fix")))</f>
        <v>0</v>
      </c>
      <c r="P669" s="5">
        <f>IF(OR(INDEX($V$2:$V$1001,MATCH(ROWS($U$2:U669),$U$2:$U$1001,0),1)&gt;=100000,INDEX($AB$1005:$AQ$1005,1,MATCH(COLUMNS($AB$1006:AP1006),$AB$1006:$AQ$1006,0))&gt;=100000), " ",IF(INDEX($AB$2:$AQ$1001,MATCH(ROWS($U$2:U669),$U$2:$U$1001,0),MATCH(COLUMNS($AB$1006:AP1006),$AB$1006:$AQ$1006,0)), HYPERLINK("#",""), HYPERLINK(CONCATENATE("#Metadata!", ADDRESS(INDEX($W$2:$W$1001,MATCH(ROWS($U$2:U669),$U$2:$U$1001,0),0), INDEX($AB$1004:$AQ$1004,1,MATCH(COLUMNS($AB$1006:AP1006),$AB$1006:$AQ$1006,0)))),"Fix")))</f>
        <v>0</v>
      </c>
      <c r="Q669" s="5">
        <f>IF(OR(INDEX($V$2:$V$1001,MATCH(ROWS($U$2:U669),$U$2:$U$1001,0),1)&gt;=100000,INDEX($AB$1005:$AQ$1005,1,MATCH(COLUMNS($AB$1006:AQ1006),$AB$1006:$AQ$1006,0))&gt;=100000), " ",IF(INDEX($AB$2:$AQ$1001,MATCH(ROWS($U$2:U669),$U$2:$U$1001,0),MATCH(COLUMNS($AB$1006:AQ1006),$AB$1006:$AQ$1006,0)), HYPERLINK("#",""), HYPERLINK(CONCATENATE("#Metadata!", ADDRESS(INDEX($W$2:$W$1001,MATCH(ROWS($U$2:U669),$U$2:$U$1001,0),0), INDEX($AB$1004:$AQ$1004,1,MATCH(COLUMNS($AB$1006:AQ1006),$AB$1006:$AQ$1006,0)))),"Fix")))</f>
        <v>0</v>
      </c>
      <c r="U669">
        <v>0</v>
      </c>
      <c r="V669">
        <v>0</v>
      </c>
      <c r="W669">
        <v>0</v>
      </c>
      <c r="X669">
        <f>IF(Y669,TRUE,AND(AB669:AQ669))</f>
        <v>0</v>
      </c>
      <c r="Y669">
        <f>COUNTBLANK(Metadata!B669:Q669)=COLUMNS(Metadata!B669:Q669)</f>
        <v>0</v>
      </c>
      <c r="Z669">
        <v>0</v>
      </c>
      <c r="AB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AC669">
        <f>AND(IF(Metadata!C669="",FALSE,TRUE),exact(Metadata!C669,"urban biome"))</f>
        <v>0</v>
      </c>
      <c r="AD669">
        <f>AND(IF(Metadata!D669="",FALSE,TRUE),exact(Metadata!D669,"human-associated habitat"))</f>
        <v>0</v>
      </c>
      <c r="AE669">
        <f>AND(IF(Metadata!E669="",FALSE,TRUE),OR(exact(Metadata!E669,"human-associated"),exact(Metadata!E669,"human-skin"),exact(Metadata!E669,"human-oral"),exact(Metadata!E669,"human-gut"),exact(Metadata!E669,"human-vaginal")))</f>
        <v>0</v>
      </c>
      <c r="AF669">
        <f>AND(IF(Metadata!F669="",FALSE,ISNUMBER(VALUE(Metadata!F669))),Metadata!F669&gt;0)</f>
        <v>0</v>
      </c>
      <c r="AG669">
        <f>AND(IF(Metadata!G669="",FALSE,TRUE),exact(Metadata!G669,"years"))</f>
        <v>0</v>
      </c>
      <c r="AH669">
        <f>OR(AND(IF(Metadata!H669="",FALSE,TRUE),OR(exact(Metadata!H669,"not applicable"),exact(Metadata!H669,"not collected"),exact(Metadata!H669,"not provided"),exact(Metadata!H669,"restricted access"))),AND(IF(Metadata!H669="",FALSE,ISNUMBER(VALUE(Metadata!H669))),Metadata!H669&gt;0))</f>
        <v>0</v>
      </c>
      <c r="AI669">
        <f>AND(IF(Metadata!I669="",FALSE,TRUE),exact(Metadata!I669,"human"))</f>
        <v>0</v>
      </c>
      <c r="AJ669">
        <f>AND(IF(Metadata!J669="",FALSE,ISNUMBER(VALUE(Metadata!J669))),Metadata!J669&gt;0)</f>
        <v>0</v>
      </c>
      <c r="AK669">
        <f>AND(IF(Metadata!K669="",FALSE,TRUE),exact(Metadata!K669,"cm"))</f>
        <v>0</v>
      </c>
      <c r="AL669">
        <f>AND(IF(Metadata!L669="",FALSE,TRUE),exact(Metadata!L669,"Homo sapiens"))</f>
        <v>0</v>
      </c>
      <c r="AM669">
        <f>AND(IF(Metadata!M669="",FALSE,TRUE),exact(Metadata!M669,"9606"))</f>
        <v>0</v>
      </c>
      <c r="AN669">
        <f>AND(IF(Metadata!N669="",FALSE,ISNUMBER(VALUE(Metadata!N669))),Metadata!N669&gt;0)</f>
        <v>0</v>
      </c>
      <c r="AO669">
        <f>AND(IF(Metadata!O669="",FALSE,TRUE),exact(Metadata!O669,"kg"))</f>
        <v>0</v>
      </c>
      <c r="AP669">
        <f>OR(AND(IF(Metadata!P669="",FALSE,TRUE),exact(Metadata!P669,"not provided")),IF(Metadata!P669="",FALSE,TRUE))</f>
        <v>0</v>
      </c>
      <c r="AQ669">
        <f>OR(AND(IF(Metadata!Q669="",FALSE,TRUE),exact(Metadata!Q669,"not provided")),IF(Metadata!Q669="",FALSE,TRUE))</f>
        <v>0</v>
      </c>
    </row>
    <row r="670" spans="1:43">
      <c r="A670" s="4">
        <f>IF(B670=" "," ",HYPERLINK(CONCATENATE("#metadata!",ADDRESS(INDEX($W$2:$W$1001,MATCH(ROWS($U$2:U670),$U$2:$U$1001,0),0),2)),INDEX($Z$2:$Z$1001,MATCH(ROWS($U$2:U670),$U$2:$U$1001,0),0)))</f>
        <v>0</v>
      </c>
      <c r="B670" s="5">
        <f>IF(OR(INDEX($V$2:$V$1001,MATCH(ROWS($U$2:U670),$U$2:$U$1001,0),1)&gt;=100000,INDEX($AB$1005:$AQ$1005,1,MATCH(COLUMNS($AB$1006:AB1006),$AB$1006:$AQ$1006,0))&gt;=100000), " ",IF(INDEX($AB$2:$AQ$1001,MATCH(ROWS($U$2:U670),$U$2:$U$1001,0),MATCH(COLUMNS($AB$1006:AB1006),$AB$1006:$AQ$1006,0)), HYPERLINK("#",""), HYPERLINK(CONCATENATE("#Metadata!", ADDRESS(INDEX($W$2:$W$1001,MATCH(ROWS($U$2:U670),$U$2:$U$1001,0),0), INDEX($AB$1004:$AQ$1004,1,MATCH(COLUMNS($AB$1006:AB1006),$AB$1006:$AQ$1006,0)))),"Fix")))</f>
        <v>0</v>
      </c>
      <c r="C670" s="5">
        <f>IF(OR(INDEX($V$2:$V$1001,MATCH(ROWS($U$2:U670),$U$2:$U$1001,0),1)&gt;=100000,INDEX($AB$1005:$AQ$1005,1,MATCH(COLUMNS($AB$1006:AC1006),$AB$1006:$AQ$1006,0))&gt;=100000), " ",IF(INDEX($AB$2:$AQ$1001,MATCH(ROWS($U$2:U670),$U$2:$U$1001,0),MATCH(COLUMNS($AB$1006:AC1006),$AB$1006:$AQ$1006,0)), HYPERLINK("#",""), HYPERLINK(CONCATENATE("#Metadata!", ADDRESS(INDEX($W$2:$W$1001,MATCH(ROWS($U$2:U670),$U$2:$U$1001,0),0), INDEX($AB$1004:$AQ$1004,1,MATCH(COLUMNS($AB$1006:AC1006),$AB$1006:$AQ$1006,0)))),"Fix")))</f>
        <v>0</v>
      </c>
      <c r="D670" s="5">
        <f>IF(OR(INDEX($V$2:$V$1001,MATCH(ROWS($U$2:U670),$U$2:$U$1001,0),1)&gt;=100000,INDEX($AB$1005:$AQ$1005,1,MATCH(COLUMNS($AB$1006:AD1006),$AB$1006:$AQ$1006,0))&gt;=100000), " ",IF(INDEX($AB$2:$AQ$1001,MATCH(ROWS($U$2:U670),$U$2:$U$1001,0),MATCH(COLUMNS($AB$1006:AD1006),$AB$1006:$AQ$1006,0)), HYPERLINK("#",""), HYPERLINK(CONCATENATE("#Metadata!", ADDRESS(INDEX($W$2:$W$1001,MATCH(ROWS($U$2:U670),$U$2:$U$1001,0),0), INDEX($AB$1004:$AQ$1004,1,MATCH(COLUMNS($AB$1006:AD1006),$AB$1006:$AQ$1006,0)))),"Fix")))</f>
        <v>0</v>
      </c>
      <c r="E670" s="5">
        <f>IF(OR(INDEX($V$2:$V$1001,MATCH(ROWS($U$2:U670),$U$2:$U$1001,0),1)&gt;=100000,INDEX($AB$1005:$AQ$1005,1,MATCH(COLUMNS($AB$1006:AE1006),$AB$1006:$AQ$1006,0))&gt;=100000), " ",IF(INDEX($AB$2:$AQ$1001,MATCH(ROWS($U$2:U670),$U$2:$U$1001,0),MATCH(COLUMNS($AB$1006:AE1006),$AB$1006:$AQ$1006,0)), HYPERLINK("#",""), HYPERLINK(CONCATENATE("#Metadata!", ADDRESS(INDEX($W$2:$W$1001,MATCH(ROWS($U$2:U670),$U$2:$U$1001,0),0), INDEX($AB$1004:$AQ$1004,1,MATCH(COLUMNS($AB$1006:AE1006),$AB$1006:$AQ$1006,0)))),"Fix")))</f>
        <v>0</v>
      </c>
      <c r="F670" s="5">
        <f>IF(OR(INDEX($V$2:$V$1001,MATCH(ROWS($U$2:U670),$U$2:$U$1001,0),1)&gt;=100000,INDEX($AB$1005:$AQ$1005,1,MATCH(COLUMNS($AB$1006:AF1006),$AB$1006:$AQ$1006,0))&gt;=100000), " ",IF(INDEX($AB$2:$AQ$1001,MATCH(ROWS($U$2:U670),$U$2:$U$1001,0),MATCH(COLUMNS($AB$1006:AF1006),$AB$1006:$AQ$1006,0)), HYPERLINK("#",""), HYPERLINK(CONCATENATE("#Metadata!", ADDRESS(INDEX($W$2:$W$1001,MATCH(ROWS($U$2:U670),$U$2:$U$1001,0),0), INDEX($AB$1004:$AQ$1004,1,MATCH(COLUMNS($AB$1006:AF1006),$AB$1006:$AQ$1006,0)))),"Fix")))</f>
        <v>0</v>
      </c>
      <c r="G670" s="5">
        <f>IF(OR(INDEX($V$2:$V$1001,MATCH(ROWS($U$2:U670),$U$2:$U$1001,0),1)&gt;=100000,INDEX($AB$1005:$AQ$1005,1,MATCH(COLUMNS($AB$1006:AG1006),$AB$1006:$AQ$1006,0))&gt;=100000), " ",IF(INDEX($AB$2:$AQ$1001,MATCH(ROWS($U$2:U670),$U$2:$U$1001,0),MATCH(COLUMNS($AB$1006:AG1006),$AB$1006:$AQ$1006,0)), HYPERLINK("#",""), HYPERLINK(CONCATENATE("#Metadata!", ADDRESS(INDEX($W$2:$W$1001,MATCH(ROWS($U$2:U670),$U$2:$U$1001,0),0), INDEX($AB$1004:$AQ$1004,1,MATCH(COLUMNS($AB$1006:AG1006),$AB$1006:$AQ$1006,0)))),"Fix")))</f>
        <v>0</v>
      </c>
      <c r="H670" s="5">
        <f>IF(OR(INDEX($V$2:$V$1001,MATCH(ROWS($U$2:U670),$U$2:$U$1001,0),1)&gt;=100000,INDEX($AB$1005:$AQ$1005,1,MATCH(COLUMNS($AB$1006:AH1006),$AB$1006:$AQ$1006,0))&gt;=100000), " ",IF(INDEX($AB$2:$AQ$1001,MATCH(ROWS($U$2:U670),$U$2:$U$1001,0),MATCH(COLUMNS($AB$1006:AH1006),$AB$1006:$AQ$1006,0)), HYPERLINK("#",""), HYPERLINK(CONCATENATE("#Metadata!", ADDRESS(INDEX($W$2:$W$1001,MATCH(ROWS($U$2:U670),$U$2:$U$1001,0),0), INDEX($AB$1004:$AQ$1004,1,MATCH(COLUMNS($AB$1006:AH1006),$AB$1006:$AQ$1006,0)))),"Fix")))</f>
        <v>0</v>
      </c>
      <c r="I670" s="5">
        <f>IF(OR(INDEX($V$2:$V$1001,MATCH(ROWS($U$2:U670),$U$2:$U$1001,0),1)&gt;=100000,INDEX($AB$1005:$AQ$1005,1,MATCH(COLUMNS($AB$1006:AI1006),$AB$1006:$AQ$1006,0))&gt;=100000), " ",IF(INDEX($AB$2:$AQ$1001,MATCH(ROWS($U$2:U670),$U$2:$U$1001,0),MATCH(COLUMNS($AB$1006:AI1006),$AB$1006:$AQ$1006,0)), HYPERLINK("#",""), HYPERLINK(CONCATENATE("#Metadata!", ADDRESS(INDEX($W$2:$W$1001,MATCH(ROWS($U$2:U670),$U$2:$U$1001,0),0), INDEX($AB$1004:$AQ$1004,1,MATCH(COLUMNS($AB$1006:AI1006),$AB$1006:$AQ$1006,0)))),"Fix")))</f>
        <v>0</v>
      </c>
      <c r="J670" s="5">
        <f>IF(OR(INDEX($V$2:$V$1001,MATCH(ROWS($U$2:U670),$U$2:$U$1001,0),1)&gt;=100000,INDEX($AB$1005:$AQ$1005,1,MATCH(COLUMNS($AB$1006:AJ1006),$AB$1006:$AQ$1006,0))&gt;=100000), " ",IF(INDEX($AB$2:$AQ$1001,MATCH(ROWS($U$2:U670),$U$2:$U$1001,0),MATCH(COLUMNS($AB$1006:AJ1006),$AB$1006:$AQ$1006,0)), HYPERLINK("#",""), HYPERLINK(CONCATENATE("#Metadata!", ADDRESS(INDEX($W$2:$W$1001,MATCH(ROWS($U$2:U670),$U$2:$U$1001,0),0), INDEX($AB$1004:$AQ$1004,1,MATCH(COLUMNS($AB$1006:AJ1006),$AB$1006:$AQ$1006,0)))),"Fix")))</f>
        <v>0</v>
      </c>
      <c r="K670" s="5">
        <f>IF(OR(INDEX($V$2:$V$1001,MATCH(ROWS($U$2:U670),$U$2:$U$1001,0),1)&gt;=100000,INDEX($AB$1005:$AQ$1005,1,MATCH(COLUMNS($AB$1006:AK1006),$AB$1006:$AQ$1006,0))&gt;=100000), " ",IF(INDEX($AB$2:$AQ$1001,MATCH(ROWS($U$2:U670),$U$2:$U$1001,0),MATCH(COLUMNS($AB$1006:AK1006),$AB$1006:$AQ$1006,0)), HYPERLINK("#",""), HYPERLINK(CONCATENATE("#Metadata!", ADDRESS(INDEX($W$2:$W$1001,MATCH(ROWS($U$2:U670),$U$2:$U$1001,0),0), INDEX($AB$1004:$AQ$1004,1,MATCH(COLUMNS($AB$1006:AK1006),$AB$1006:$AQ$1006,0)))),"Fix")))</f>
        <v>0</v>
      </c>
      <c r="L670" s="5">
        <f>IF(OR(INDEX($V$2:$V$1001,MATCH(ROWS($U$2:U670),$U$2:$U$1001,0),1)&gt;=100000,INDEX($AB$1005:$AQ$1005,1,MATCH(COLUMNS($AB$1006:AL1006),$AB$1006:$AQ$1006,0))&gt;=100000), " ",IF(INDEX($AB$2:$AQ$1001,MATCH(ROWS($U$2:U670),$U$2:$U$1001,0),MATCH(COLUMNS($AB$1006:AL1006),$AB$1006:$AQ$1006,0)), HYPERLINK("#",""), HYPERLINK(CONCATENATE("#Metadata!", ADDRESS(INDEX($W$2:$W$1001,MATCH(ROWS($U$2:U670),$U$2:$U$1001,0),0), INDEX($AB$1004:$AQ$1004,1,MATCH(COLUMNS($AB$1006:AL1006),$AB$1006:$AQ$1006,0)))),"Fix")))</f>
        <v>0</v>
      </c>
      <c r="M670" s="5">
        <f>IF(OR(INDEX($V$2:$V$1001,MATCH(ROWS($U$2:U670),$U$2:$U$1001,0),1)&gt;=100000,INDEX($AB$1005:$AQ$1005,1,MATCH(COLUMNS($AB$1006:AM1006),$AB$1006:$AQ$1006,0))&gt;=100000), " ",IF(INDEX($AB$2:$AQ$1001,MATCH(ROWS($U$2:U670),$U$2:$U$1001,0),MATCH(COLUMNS($AB$1006:AM1006),$AB$1006:$AQ$1006,0)), HYPERLINK("#",""), HYPERLINK(CONCATENATE("#Metadata!", ADDRESS(INDEX($W$2:$W$1001,MATCH(ROWS($U$2:U670),$U$2:$U$1001,0),0), INDEX($AB$1004:$AQ$1004,1,MATCH(COLUMNS($AB$1006:AM1006),$AB$1006:$AQ$1006,0)))),"Fix")))</f>
        <v>0</v>
      </c>
      <c r="N670" s="5">
        <f>IF(OR(INDEX($V$2:$V$1001,MATCH(ROWS($U$2:U670),$U$2:$U$1001,0),1)&gt;=100000,INDEX($AB$1005:$AQ$1005,1,MATCH(COLUMNS($AB$1006:AN1006),$AB$1006:$AQ$1006,0))&gt;=100000), " ",IF(INDEX($AB$2:$AQ$1001,MATCH(ROWS($U$2:U670),$U$2:$U$1001,0),MATCH(COLUMNS($AB$1006:AN1006),$AB$1006:$AQ$1006,0)), HYPERLINK("#",""), HYPERLINK(CONCATENATE("#Metadata!", ADDRESS(INDEX($W$2:$W$1001,MATCH(ROWS($U$2:U670),$U$2:$U$1001,0),0), INDEX($AB$1004:$AQ$1004,1,MATCH(COLUMNS($AB$1006:AN1006),$AB$1006:$AQ$1006,0)))),"Fix")))</f>
        <v>0</v>
      </c>
      <c r="O670" s="5">
        <f>IF(OR(INDEX($V$2:$V$1001,MATCH(ROWS($U$2:U670),$U$2:$U$1001,0),1)&gt;=100000,INDEX($AB$1005:$AQ$1005,1,MATCH(COLUMNS($AB$1006:AO1006),$AB$1006:$AQ$1006,0))&gt;=100000), " ",IF(INDEX($AB$2:$AQ$1001,MATCH(ROWS($U$2:U670),$U$2:$U$1001,0),MATCH(COLUMNS($AB$1006:AO1006),$AB$1006:$AQ$1006,0)), HYPERLINK("#",""), HYPERLINK(CONCATENATE("#Metadata!", ADDRESS(INDEX($W$2:$W$1001,MATCH(ROWS($U$2:U670),$U$2:$U$1001,0),0), INDEX($AB$1004:$AQ$1004,1,MATCH(COLUMNS($AB$1006:AO1006),$AB$1006:$AQ$1006,0)))),"Fix")))</f>
        <v>0</v>
      </c>
      <c r="P670" s="5">
        <f>IF(OR(INDEX($V$2:$V$1001,MATCH(ROWS($U$2:U670),$U$2:$U$1001,0),1)&gt;=100000,INDEX($AB$1005:$AQ$1005,1,MATCH(COLUMNS($AB$1006:AP1006),$AB$1006:$AQ$1006,0))&gt;=100000), " ",IF(INDEX($AB$2:$AQ$1001,MATCH(ROWS($U$2:U670),$U$2:$U$1001,0),MATCH(COLUMNS($AB$1006:AP1006),$AB$1006:$AQ$1006,0)), HYPERLINK("#",""), HYPERLINK(CONCATENATE("#Metadata!", ADDRESS(INDEX($W$2:$W$1001,MATCH(ROWS($U$2:U670),$U$2:$U$1001,0),0), INDEX($AB$1004:$AQ$1004,1,MATCH(COLUMNS($AB$1006:AP1006),$AB$1006:$AQ$1006,0)))),"Fix")))</f>
        <v>0</v>
      </c>
      <c r="Q670" s="5">
        <f>IF(OR(INDEX($V$2:$V$1001,MATCH(ROWS($U$2:U670),$U$2:$U$1001,0),1)&gt;=100000,INDEX($AB$1005:$AQ$1005,1,MATCH(COLUMNS($AB$1006:AQ1006),$AB$1006:$AQ$1006,0))&gt;=100000), " ",IF(INDEX($AB$2:$AQ$1001,MATCH(ROWS($U$2:U670),$U$2:$U$1001,0),MATCH(COLUMNS($AB$1006:AQ1006),$AB$1006:$AQ$1006,0)), HYPERLINK("#",""), HYPERLINK(CONCATENATE("#Metadata!", ADDRESS(INDEX($W$2:$W$1001,MATCH(ROWS($U$2:U670),$U$2:$U$1001,0),0), INDEX($AB$1004:$AQ$1004,1,MATCH(COLUMNS($AB$1006:AQ1006),$AB$1006:$AQ$1006,0)))),"Fix")))</f>
        <v>0</v>
      </c>
      <c r="U670">
        <v>0</v>
      </c>
      <c r="V670">
        <v>0</v>
      </c>
      <c r="W670">
        <v>0</v>
      </c>
      <c r="X670">
        <f>IF(Y670,TRUE,AND(AB670:AQ670))</f>
        <v>0</v>
      </c>
      <c r="Y670">
        <f>COUNTBLANK(Metadata!B670:Q670)=COLUMNS(Metadata!B670:Q670)</f>
        <v>0</v>
      </c>
      <c r="Z670">
        <v>0</v>
      </c>
      <c r="AB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AC670">
        <f>AND(IF(Metadata!C670="",FALSE,TRUE),exact(Metadata!C670,"urban biome"))</f>
        <v>0</v>
      </c>
      <c r="AD670">
        <f>AND(IF(Metadata!D670="",FALSE,TRUE),exact(Metadata!D670,"human-associated habitat"))</f>
        <v>0</v>
      </c>
      <c r="AE670">
        <f>AND(IF(Metadata!E670="",FALSE,TRUE),OR(exact(Metadata!E670,"human-associated"),exact(Metadata!E670,"human-skin"),exact(Metadata!E670,"human-oral"),exact(Metadata!E670,"human-gut"),exact(Metadata!E670,"human-vaginal")))</f>
        <v>0</v>
      </c>
      <c r="AF670">
        <f>AND(IF(Metadata!F670="",FALSE,ISNUMBER(VALUE(Metadata!F670))),Metadata!F670&gt;0)</f>
        <v>0</v>
      </c>
      <c r="AG670">
        <f>AND(IF(Metadata!G670="",FALSE,TRUE),exact(Metadata!G670,"years"))</f>
        <v>0</v>
      </c>
      <c r="AH670">
        <f>OR(AND(IF(Metadata!H670="",FALSE,TRUE),OR(exact(Metadata!H670,"not applicable"),exact(Metadata!H670,"not collected"),exact(Metadata!H670,"not provided"),exact(Metadata!H670,"restricted access"))),AND(IF(Metadata!H670="",FALSE,ISNUMBER(VALUE(Metadata!H670))),Metadata!H670&gt;0))</f>
        <v>0</v>
      </c>
      <c r="AI670">
        <f>AND(IF(Metadata!I670="",FALSE,TRUE),exact(Metadata!I670,"human"))</f>
        <v>0</v>
      </c>
      <c r="AJ670">
        <f>AND(IF(Metadata!J670="",FALSE,ISNUMBER(VALUE(Metadata!J670))),Metadata!J670&gt;0)</f>
        <v>0</v>
      </c>
      <c r="AK670">
        <f>AND(IF(Metadata!K670="",FALSE,TRUE),exact(Metadata!K670,"cm"))</f>
        <v>0</v>
      </c>
      <c r="AL670">
        <f>AND(IF(Metadata!L670="",FALSE,TRUE),exact(Metadata!L670,"Homo sapiens"))</f>
        <v>0</v>
      </c>
      <c r="AM670">
        <f>AND(IF(Metadata!M670="",FALSE,TRUE),exact(Metadata!M670,"9606"))</f>
        <v>0</v>
      </c>
      <c r="AN670">
        <f>AND(IF(Metadata!N670="",FALSE,ISNUMBER(VALUE(Metadata!N670))),Metadata!N670&gt;0)</f>
        <v>0</v>
      </c>
      <c r="AO670">
        <f>AND(IF(Metadata!O670="",FALSE,TRUE),exact(Metadata!O670,"kg"))</f>
        <v>0</v>
      </c>
      <c r="AP670">
        <f>OR(AND(IF(Metadata!P670="",FALSE,TRUE),exact(Metadata!P670,"not provided")),IF(Metadata!P670="",FALSE,TRUE))</f>
        <v>0</v>
      </c>
      <c r="AQ670">
        <f>OR(AND(IF(Metadata!Q670="",FALSE,TRUE),exact(Metadata!Q670,"not provided")),IF(Metadata!Q670="",FALSE,TRUE))</f>
        <v>0</v>
      </c>
    </row>
    <row r="671" spans="1:43">
      <c r="A671" s="4">
        <f>IF(B671=" "," ",HYPERLINK(CONCATENATE("#metadata!",ADDRESS(INDEX($W$2:$W$1001,MATCH(ROWS($U$2:U671),$U$2:$U$1001,0),0),2)),INDEX($Z$2:$Z$1001,MATCH(ROWS($U$2:U671),$U$2:$U$1001,0),0)))</f>
        <v>0</v>
      </c>
      <c r="B671" s="5">
        <f>IF(OR(INDEX($V$2:$V$1001,MATCH(ROWS($U$2:U671),$U$2:$U$1001,0),1)&gt;=100000,INDEX($AB$1005:$AQ$1005,1,MATCH(COLUMNS($AB$1006:AB1006),$AB$1006:$AQ$1006,0))&gt;=100000), " ",IF(INDEX($AB$2:$AQ$1001,MATCH(ROWS($U$2:U671),$U$2:$U$1001,0),MATCH(COLUMNS($AB$1006:AB1006),$AB$1006:$AQ$1006,0)), HYPERLINK("#",""), HYPERLINK(CONCATENATE("#Metadata!", ADDRESS(INDEX($W$2:$W$1001,MATCH(ROWS($U$2:U671),$U$2:$U$1001,0),0), INDEX($AB$1004:$AQ$1004,1,MATCH(COLUMNS($AB$1006:AB1006),$AB$1006:$AQ$1006,0)))),"Fix")))</f>
        <v>0</v>
      </c>
      <c r="C671" s="5">
        <f>IF(OR(INDEX($V$2:$V$1001,MATCH(ROWS($U$2:U671),$U$2:$U$1001,0),1)&gt;=100000,INDEX($AB$1005:$AQ$1005,1,MATCH(COLUMNS($AB$1006:AC1006),$AB$1006:$AQ$1006,0))&gt;=100000), " ",IF(INDEX($AB$2:$AQ$1001,MATCH(ROWS($U$2:U671),$U$2:$U$1001,0),MATCH(COLUMNS($AB$1006:AC1006),$AB$1006:$AQ$1006,0)), HYPERLINK("#",""), HYPERLINK(CONCATENATE("#Metadata!", ADDRESS(INDEX($W$2:$W$1001,MATCH(ROWS($U$2:U671),$U$2:$U$1001,0),0), INDEX($AB$1004:$AQ$1004,1,MATCH(COLUMNS($AB$1006:AC1006),$AB$1006:$AQ$1006,0)))),"Fix")))</f>
        <v>0</v>
      </c>
      <c r="D671" s="5">
        <f>IF(OR(INDEX($V$2:$V$1001,MATCH(ROWS($U$2:U671),$U$2:$U$1001,0),1)&gt;=100000,INDEX($AB$1005:$AQ$1005,1,MATCH(COLUMNS($AB$1006:AD1006),$AB$1006:$AQ$1006,0))&gt;=100000), " ",IF(INDEX($AB$2:$AQ$1001,MATCH(ROWS($U$2:U671),$U$2:$U$1001,0),MATCH(COLUMNS($AB$1006:AD1006),$AB$1006:$AQ$1006,0)), HYPERLINK("#",""), HYPERLINK(CONCATENATE("#Metadata!", ADDRESS(INDEX($W$2:$W$1001,MATCH(ROWS($U$2:U671),$U$2:$U$1001,0),0), INDEX($AB$1004:$AQ$1004,1,MATCH(COLUMNS($AB$1006:AD1006),$AB$1006:$AQ$1006,0)))),"Fix")))</f>
        <v>0</v>
      </c>
      <c r="E671" s="5">
        <f>IF(OR(INDEX($V$2:$V$1001,MATCH(ROWS($U$2:U671),$U$2:$U$1001,0),1)&gt;=100000,INDEX($AB$1005:$AQ$1005,1,MATCH(COLUMNS($AB$1006:AE1006),$AB$1006:$AQ$1006,0))&gt;=100000), " ",IF(INDEX($AB$2:$AQ$1001,MATCH(ROWS($U$2:U671),$U$2:$U$1001,0),MATCH(COLUMNS($AB$1006:AE1006),$AB$1006:$AQ$1006,0)), HYPERLINK("#",""), HYPERLINK(CONCATENATE("#Metadata!", ADDRESS(INDEX($W$2:$W$1001,MATCH(ROWS($U$2:U671),$U$2:$U$1001,0),0), INDEX($AB$1004:$AQ$1004,1,MATCH(COLUMNS($AB$1006:AE1006),$AB$1006:$AQ$1006,0)))),"Fix")))</f>
        <v>0</v>
      </c>
      <c r="F671" s="5">
        <f>IF(OR(INDEX($V$2:$V$1001,MATCH(ROWS($U$2:U671),$U$2:$U$1001,0),1)&gt;=100000,INDEX($AB$1005:$AQ$1005,1,MATCH(COLUMNS($AB$1006:AF1006),$AB$1006:$AQ$1006,0))&gt;=100000), " ",IF(INDEX($AB$2:$AQ$1001,MATCH(ROWS($U$2:U671),$U$2:$U$1001,0),MATCH(COLUMNS($AB$1006:AF1006),$AB$1006:$AQ$1006,0)), HYPERLINK("#",""), HYPERLINK(CONCATENATE("#Metadata!", ADDRESS(INDEX($W$2:$W$1001,MATCH(ROWS($U$2:U671),$U$2:$U$1001,0),0), INDEX($AB$1004:$AQ$1004,1,MATCH(COLUMNS($AB$1006:AF1006),$AB$1006:$AQ$1006,0)))),"Fix")))</f>
        <v>0</v>
      </c>
      <c r="G671" s="5">
        <f>IF(OR(INDEX($V$2:$V$1001,MATCH(ROWS($U$2:U671),$U$2:$U$1001,0),1)&gt;=100000,INDEX($AB$1005:$AQ$1005,1,MATCH(COLUMNS($AB$1006:AG1006),$AB$1006:$AQ$1006,0))&gt;=100000), " ",IF(INDEX($AB$2:$AQ$1001,MATCH(ROWS($U$2:U671),$U$2:$U$1001,0),MATCH(COLUMNS($AB$1006:AG1006),$AB$1006:$AQ$1006,0)), HYPERLINK("#",""), HYPERLINK(CONCATENATE("#Metadata!", ADDRESS(INDEX($W$2:$W$1001,MATCH(ROWS($U$2:U671),$U$2:$U$1001,0),0), INDEX($AB$1004:$AQ$1004,1,MATCH(COLUMNS($AB$1006:AG1006),$AB$1006:$AQ$1006,0)))),"Fix")))</f>
        <v>0</v>
      </c>
      <c r="H671" s="5">
        <f>IF(OR(INDEX($V$2:$V$1001,MATCH(ROWS($U$2:U671),$U$2:$U$1001,0),1)&gt;=100000,INDEX($AB$1005:$AQ$1005,1,MATCH(COLUMNS($AB$1006:AH1006),$AB$1006:$AQ$1006,0))&gt;=100000), " ",IF(INDEX($AB$2:$AQ$1001,MATCH(ROWS($U$2:U671),$U$2:$U$1001,0),MATCH(COLUMNS($AB$1006:AH1006),$AB$1006:$AQ$1006,0)), HYPERLINK("#",""), HYPERLINK(CONCATENATE("#Metadata!", ADDRESS(INDEX($W$2:$W$1001,MATCH(ROWS($U$2:U671),$U$2:$U$1001,0),0), INDEX($AB$1004:$AQ$1004,1,MATCH(COLUMNS($AB$1006:AH1006),$AB$1006:$AQ$1006,0)))),"Fix")))</f>
        <v>0</v>
      </c>
      <c r="I671" s="5">
        <f>IF(OR(INDEX($V$2:$V$1001,MATCH(ROWS($U$2:U671),$U$2:$U$1001,0),1)&gt;=100000,INDEX($AB$1005:$AQ$1005,1,MATCH(COLUMNS($AB$1006:AI1006),$AB$1006:$AQ$1006,0))&gt;=100000), " ",IF(INDEX($AB$2:$AQ$1001,MATCH(ROWS($U$2:U671),$U$2:$U$1001,0),MATCH(COLUMNS($AB$1006:AI1006),$AB$1006:$AQ$1006,0)), HYPERLINK("#",""), HYPERLINK(CONCATENATE("#Metadata!", ADDRESS(INDEX($W$2:$W$1001,MATCH(ROWS($U$2:U671),$U$2:$U$1001,0),0), INDEX($AB$1004:$AQ$1004,1,MATCH(COLUMNS($AB$1006:AI1006),$AB$1006:$AQ$1006,0)))),"Fix")))</f>
        <v>0</v>
      </c>
      <c r="J671" s="5">
        <f>IF(OR(INDEX($V$2:$V$1001,MATCH(ROWS($U$2:U671),$U$2:$U$1001,0),1)&gt;=100000,INDEX($AB$1005:$AQ$1005,1,MATCH(COLUMNS($AB$1006:AJ1006),$AB$1006:$AQ$1006,0))&gt;=100000), " ",IF(INDEX($AB$2:$AQ$1001,MATCH(ROWS($U$2:U671),$U$2:$U$1001,0),MATCH(COLUMNS($AB$1006:AJ1006),$AB$1006:$AQ$1006,0)), HYPERLINK("#",""), HYPERLINK(CONCATENATE("#Metadata!", ADDRESS(INDEX($W$2:$W$1001,MATCH(ROWS($U$2:U671),$U$2:$U$1001,0),0), INDEX($AB$1004:$AQ$1004,1,MATCH(COLUMNS($AB$1006:AJ1006),$AB$1006:$AQ$1006,0)))),"Fix")))</f>
        <v>0</v>
      </c>
      <c r="K671" s="5">
        <f>IF(OR(INDEX($V$2:$V$1001,MATCH(ROWS($U$2:U671),$U$2:$U$1001,0),1)&gt;=100000,INDEX($AB$1005:$AQ$1005,1,MATCH(COLUMNS($AB$1006:AK1006),$AB$1006:$AQ$1006,0))&gt;=100000), " ",IF(INDEX($AB$2:$AQ$1001,MATCH(ROWS($U$2:U671),$U$2:$U$1001,0),MATCH(COLUMNS($AB$1006:AK1006),$AB$1006:$AQ$1006,0)), HYPERLINK("#",""), HYPERLINK(CONCATENATE("#Metadata!", ADDRESS(INDEX($W$2:$W$1001,MATCH(ROWS($U$2:U671),$U$2:$U$1001,0),0), INDEX($AB$1004:$AQ$1004,1,MATCH(COLUMNS($AB$1006:AK1006),$AB$1006:$AQ$1006,0)))),"Fix")))</f>
        <v>0</v>
      </c>
      <c r="L671" s="5">
        <f>IF(OR(INDEX($V$2:$V$1001,MATCH(ROWS($U$2:U671),$U$2:$U$1001,0),1)&gt;=100000,INDEX($AB$1005:$AQ$1005,1,MATCH(COLUMNS($AB$1006:AL1006),$AB$1006:$AQ$1006,0))&gt;=100000), " ",IF(INDEX($AB$2:$AQ$1001,MATCH(ROWS($U$2:U671),$U$2:$U$1001,0),MATCH(COLUMNS($AB$1006:AL1006),$AB$1006:$AQ$1006,0)), HYPERLINK("#",""), HYPERLINK(CONCATENATE("#Metadata!", ADDRESS(INDEX($W$2:$W$1001,MATCH(ROWS($U$2:U671),$U$2:$U$1001,0),0), INDEX($AB$1004:$AQ$1004,1,MATCH(COLUMNS($AB$1006:AL1006),$AB$1006:$AQ$1006,0)))),"Fix")))</f>
        <v>0</v>
      </c>
      <c r="M671" s="5">
        <f>IF(OR(INDEX($V$2:$V$1001,MATCH(ROWS($U$2:U671),$U$2:$U$1001,0),1)&gt;=100000,INDEX($AB$1005:$AQ$1005,1,MATCH(COLUMNS($AB$1006:AM1006),$AB$1006:$AQ$1006,0))&gt;=100000), " ",IF(INDEX($AB$2:$AQ$1001,MATCH(ROWS($U$2:U671),$U$2:$U$1001,0),MATCH(COLUMNS($AB$1006:AM1006),$AB$1006:$AQ$1006,0)), HYPERLINK("#",""), HYPERLINK(CONCATENATE("#Metadata!", ADDRESS(INDEX($W$2:$W$1001,MATCH(ROWS($U$2:U671),$U$2:$U$1001,0),0), INDEX($AB$1004:$AQ$1004,1,MATCH(COLUMNS($AB$1006:AM1006),$AB$1006:$AQ$1006,0)))),"Fix")))</f>
        <v>0</v>
      </c>
      <c r="N671" s="5">
        <f>IF(OR(INDEX($V$2:$V$1001,MATCH(ROWS($U$2:U671),$U$2:$U$1001,0),1)&gt;=100000,INDEX($AB$1005:$AQ$1005,1,MATCH(COLUMNS($AB$1006:AN1006),$AB$1006:$AQ$1006,0))&gt;=100000), " ",IF(INDEX($AB$2:$AQ$1001,MATCH(ROWS($U$2:U671),$U$2:$U$1001,0),MATCH(COLUMNS($AB$1006:AN1006),$AB$1006:$AQ$1006,0)), HYPERLINK("#",""), HYPERLINK(CONCATENATE("#Metadata!", ADDRESS(INDEX($W$2:$W$1001,MATCH(ROWS($U$2:U671),$U$2:$U$1001,0),0), INDEX($AB$1004:$AQ$1004,1,MATCH(COLUMNS($AB$1006:AN1006),$AB$1006:$AQ$1006,0)))),"Fix")))</f>
        <v>0</v>
      </c>
      <c r="O671" s="5">
        <f>IF(OR(INDEX($V$2:$V$1001,MATCH(ROWS($U$2:U671),$U$2:$U$1001,0),1)&gt;=100000,INDEX($AB$1005:$AQ$1005,1,MATCH(COLUMNS($AB$1006:AO1006),$AB$1006:$AQ$1006,0))&gt;=100000), " ",IF(INDEX($AB$2:$AQ$1001,MATCH(ROWS($U$2:U671),$U$2:$U$1001,0),MATCH(COLUMNS($AB$1006:AO1006),$AB$1006:$AQ$1006,0)), HYPERLINK("#",""), HYPERLINK(CONCATENATE("#Metadata!", ADDRESS(INDEX($W$2:$W$1001,MATCH(ROWS($U$2:U671),$U$2:$U$1001,0),0), INDEX($AB$1004:$AQ$1004,1,MATCH(COLUMNS($AB$1006:AO1006),$AB$1006:$AQ$1006,0)))),"Fix")))</f>
        <v>0</v>
      </c>
      <c r="P671" s="5">
        <f>IF(OR(INDEX($V$2:$V$1001,MATCH(ROWS($U$2:U671),$U$2:$U$1001,0),1)&gt;=100000,INDEX($AB$1005:$AQ$1005,1,MATCH(COLUMNS($AB$1006:AP1006),$AB$1006:$AQ$1006,0))&gt;=100000), " ",IF(INDEX($AB$2:$AQ$1001,MATCH(ROWS($U$2:U671),$U$2:$U$1001,0),MATCH(COLUMNS($AB$1006:AP1006),$AB$1006:$AQ$1006,0)), HYPERLINK("#",""), HYPERLINK(CONCATENATE("#Metadata!", ADDRESS(INDEX($W$2:$W$1001,MATCH(ROWS($U$2:U671),$U$2:$U$1001,0),0), INDEX($AB$1004:$AQ$1004,1,MATCH(COLUMNS($AB$1006:AP1006),$AB$1006:$AQ$1006,0)))),"Fix")))</f>
        <v>0</v>
      </c>
      <c r="Q671" s="5">
        <f>IF(OR(INDEX($V$2:$V$1001,MATCH(ROWS($U$2:U671),$U$2:$U$1001,0),1)&gt;=100000,INDEX($AB$1005:$AQ$1005,1,MATCH(COLUMNS($AB$1006:AQ1006),$AB$1006:$AQ$1006,0))&gt;=100000), " ",IF(INDEX($AB$2:$AQ$1001,MATCH(ROWS($U$2:U671),$U$2:$U$1001,0),MATCH(COLUMNS($AB$1006:AQ1006),$AB$1006:$AQ$1006,0)), HYPERLINK("#",""), HYPERLINK(CONCATENATE("#Metadata!", ADDRESS(INDEX($W$2:$W$1001,MATCH(ROWS($U$2:U671),$U$2:$U$1001,0),0), INDEX($AB$1004:$AQ$1004,1,MATCH(COLUMNS($AB$1006:AQ1006),$AB$1006:$AQ$1006,0)))),"Fix")))</f>
        <v>0</v>
      </c>
      <c r="U671">
        <v>0</v>
      </c>
      <c r="V671">
        <v>0</v>
      </c>
      <c r="W671">
        <v>0</v>
      </c>
      <c r="X671">
        <f>IF(Y671,TRUE,AND(AB671:AQ671))</f>
        <v>0</v>
      </c>
      <c r="Y671">
        <f>COUNTBLANK(Metadata!B671:Q671)=COLUMNS(Metadata!B671:Q671)</f>
        <v>0</v>
      </c>
      <c r="Z671">
        <v>0</v>
      </c>
      <c r="AB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AC671">
        <f>AND(IF(Metadata!C671="",FALSE,TRUE),exact(Metadata!C671,"urban biome"))</f>
        <v>0</v>
      </c>
      <c r="AD671">
        <f>AND(IF(Metadata!D671="",FALSE,TRUE),exact(Metadata!D671,"human-associated habitat"))</f>
        <v>0</v>
      </c>
      <c r="AE671">
        <f>AND(IF(Metadata!E671="",FALSE,TRUE),OR(exact(Metadata!E671,"human-associated"),exact(Metadata!E671,"human-skin"),exact(Metadata!E671,"human-oral"),exact(Metadata!E671,"human-gut"),exact(Metadata!E671,"human-vaginal")))</f>
        <v>0</v>
      </c>
      <c r="AF671">
        <f>AND(IF(Metadata!F671="",FALSE,ISNUMBER(VALUE(Metadata!F671))),Metadata!F671&gt;0)</f>
        <v>0</v>
      </c>
      <c r="AG671">
        <f>AND(IF(Metadata!G671="",FALSE,TRUE),exact(Metadata!G671,"years"))</f>
        <v>0</v>
      </c>
      <c r="AH671">
        <f>OR(AND(IF(Metadata!H671="",FALSE,TRUE),OR(exact(Metadata!H671,"not applicable"),exact(Metadata!H671,"not collected"),exact(Metadata!H671,"not provided"),exact(Metadata!H671,"restricted access"))),AND(IF(Metadata!H671="",FALSE,ISNUMBER(VALUE(Metadata!H671))),Metadata!H671&gt;0))</f>
        <v>0</v>
      </c>
      <c r="AI671">
        <f>AND(IF(Metadata!I671="",FALSE,TRUE),exact(Metadata!I671,"human"))</f>
        <v>0</v>
      </c>
      <c r="AJ671">
        <f>AND(IF(Metadata!J671="",FALSE,ISNUMBER(VALUE(Metadata!J671))),Metadata!J671&gt;0)</f>
        <v>0</v>
      </c>
      <c r="AK671">
        <f>AND(IF(Metadata!K671="",FALSE,TRUE),exact(Metadata!K671,"cm"))</f>
        <v>0</v>
      </c>
      <c r="AL671">
        <f>AND(IF(Metadata!L671="",FALSE,TRUE),exact(Metadata!L671,"Homo sapiens"))</f>
        <v>0</v>
      </c>
      <c r="AM671">
        <f>AND(IF(Metadata!M671="",FALSE,TRUE),exact(Metadata!M671,"9606"))</f>
        <v>0</v>
      </c>
      <c r="AN671">
        <f>AND(IF(Metadata!N671="",FALSE,ISNUMBER(VALUE(Metadata!N671))),Metadata!N671&gt;0)</f>
        <v>0</v>
      </c>
      <c r="AO671">
        <f>AND(IF(Metadata!O671="",FALSE,TRUE),exact(Metadata!O671,"kg"))</f>
        <v>0</v>
      </c>
      <c r="AP671">
        <f>OR(AND(IF(Metadata!P671="",FALSE,TRUE),exact(Metadata!P671,"not provided")),IF(Metadata!P671="",FALSE,TRUE))</f>
        <v>0</v>
      </c>
      <c r="AQ671">
        <f>OR(AND(IF(Metadata!Q671="",FALSE,TRUE),exact(Metadata!Q671,"not provided")),IF(Metadata!Q671="",FALSE,TRUE))</f>
        <v>0</v>
      </c>
    </row>
    <row r="672" spans="1:43">
      <c r="A672" s="4">
        <f>IF(B672=" "," ",HYPERLINK(CONCATENATE("#metadata!",ADDRESS(INDEX($W$2:$W$1001,MATCH(ROWS($U$2:U672),$U$2:$U$1001,0),0),2)),INDEX($Z$2:$Z$1001,MATCH(ROWS($U$2:U672),$U$2:$U$1001,0),0)))</f>
        <v>0</v>
      </c>
      <c r="B672" s="5">
        <f>IF(OR(INDEX($V$2:$V$1001,MATCH(ROWS($U$2:U672),$U$2:$U$1001,0),1)&gt;=100000,INDEX($AB$1005:$AQ$1005,1,MATCH(COLUMNS($AB$1006:AB1006),$AB$1006:$AQ$1006,0))&gt;=100000), " ",IF(INDEX($AB$2:$AQ$1001,MATCH(ROWS($U$2:U672),$U$2:$U$1001,0),MATCH(COLUMNS($AB$1006:AB1006),$AB$1006:$AQ$1006,0)), HYPERLINK("#",""), HYPERLINK(CONCATENATE("#Metadata!", ADDRESS(INDEX($W$2:$W$1001,MATCH(ROWS($U$2:U672),$U$2:$U$1001,0),0), INDEX($AB$1004:$AQ$1004,1,MATCH(COLUMNS($AB$1006:AB1006),$AB$1006:$AQ$1006,0)))),"Fix")))</f>
        <v>0</v>
      </c>
      <c r="C672" s="5">
        <f>IF(OR(INDEX($V$2:$V$1001,MATCH(ROWS($U$2:U672),$U$2:$U$1001,0),1)&gt;=100000,INDEX($AB$1005:$AQ$1005,1,MATCH(COLUMNS($AB$1006:AC1006),$AB$1006:$AQ$1006,0))&gt;=100000), " ",IF(INDEX($AB$2:$AQ$1001,MATCH(ROWS($U$2:U672),$U$2:$U$1001,0),MATCH(COLUMNS($AB$1006:AC1006),$AB$1006:$AQ$1006,0)), HYPERLINK("#",""), HYPERLINK(CONCATENATE("#Metadata!", ADDRESS(INDEX($W$2:$W$1001,MATCH(ROWS($U$2:U672),$U$2:$U$1001,0),0), INDEX($AB$1004:$AQ$1004,1,MATCH(COLUMNS($AB$1006:AC1006),$AB$1006:$AQ$1006,0)))),"Fix")))</f>
        <v>0</v>
      </c>
      <c r="D672" s="5">
        <f>IF(OR(INDEX($V$2:$V$1001,MATCH(ROWS($U$2:U672),$U$2:$U$1001,0),1)&gt;=100000,INDEX($AB$1005:$AQ$1005,1,MATCH(COLUMNS($AB$1006:AD1006),$AB$1006:$AQ$1006,0))&gt;=100000), " ",IF(INDEX($AB$2:$AQ$1001,MATCH(ROWS($U$2:U672),$U$2:$U$1001,0),MATCH(COLUMNS($AB$1006:AD1006),$AB$1006:$AQ$1006,0)), HYPERLINK("#",""), HYPERLINK(CONCATENATE("#Metadata!", ADDRESS(INDEX($W$2:$W$1001,MATCH(ROWS($U$2:U672),$U$2:$U$1001,0),0), INDEX($AB$1004:$AQ$1004,1,MATCH(COLUMNS($AB$1006:AD1006),$AB$1006:$AQ$1006,0)))),"Fix")))</f>
        <v>0</v>
      </c>
      <c r="E672" s="5">
        <f>IF(OR(INDEX($V$2:$V$1001,MATCH(ROWS($U$2:U672),$U$2:$U$1001,0),1)&gt;=100000,INDEX($AB$1005:$AQ$1005,1,MATCH(COLUMNS($AB$1006:AE1006),$AB$1006:$AQ$1006,0))&gt;=100000), " ",IF(INDEX($AB$2:$AQ$1001,MATCH(ROWS($U$2:U672),$U$2:$U$1001,0),MATCH(COLUMNS($AB$1006:AE1006),$AB$1006:$AQ$1006,0)), HYPERLINK("#",""), HYPERLINK(CONCATENATE("#Metadata!", ADDRESS(INDEX($W$2:$W$1001,MATCH(ROWS($U$2:U672),$U$2:$U$1001,0),0), INDEX($AB$1004:$AQ$1004,1,MATCH(COLUMNS($AB$1006:AE1006),$AB$1006:$AQ$1006,0)))),"Fix")))</f>
        <v>0</v>
      </c>
      <c r="F672" s="5">
        <f>IF(OR(INDEX($V$2:$V$1001,MATCH(ROWS($U$2:U672),$U$2:$U$1001,0),1)&gt;=100000,INDEX($AB$1005:$AQ$1005,1,MATCH(COLUMNS($AB$1006:AF1006),$AB$1006:$AQ$1006,0))&gt;=100000), " ",IF(INDEX($AB$2:$AQ$1001,MATCH(ROWS($U$2:U672),$U$2:$U$1001,0),MATCH(COLUMNS($AB$1006:AF1006),$AB$1006:$AQ$1006,0)), HYPERLINK("#",""), HYPERLINK(CONCATENATE("#Metadata!", ADDRESS(INDEX($W$2:$W$1001,MATCH(ROWS($U$2:U672),$U$2:$U$1001,0),0), INDEX($AB$1004:$AQ$1004,1,MATCH(COLUMNS($AB$1006:AF1006),$AB$1006:$AQ$1006,0)))),"Fix")))</f>
        <v>0</v>
      </c>
      <c r="G672" s="5">
        <f>IF(OR(INDEX($V$2:$V$1001,MATCH(ROWS($U$2:U672),$U$2:$U$1001,0),1)&gt;=100000,INDEX($AB$1005:$AQ$1005,1,MATCH(COLUMNS($AB$1006:AG1006),$AB$1006:$AQ$1006,0))&gt;=100000), " ",IF(INDEX($AB$2:$AQ$1001,MATCH(ROWS($U$2:U672),$U$2:$U$1001,0),MATCH(COLUMNS($AB$1006:AG1006),$AB$1006:$AQ$1006,0)), HYPERLINK("#",""), HYPERLINK(CONCATENATE("#Metadata!", ADDRESS(INDEX($W$2:$W$1001,MATCH(ROWS($U$2:U672),$U$2:$U$1001,0),0), INDEX($AB$1004:$AQ$1004,1,MATCH(COLUMNS($AB$1006:AG1006),$AB$1006:$AQ$1006,0)))),"Fix")))</f>
        <v>0</v>
      </c>
      <c r="H672" s="5">
        <f>IF(OR(INDEX($V$2:$V$1001,MATCH(ROWS($U$2:U672),$U$2:$U$1001,0),1)&gt;=100000,INDEX($AB$1005:$AQ$1005,1,MATCH(COLUMNS($AB$1006:AH1006),$AB$1006:$AQ$1006,0))&gt;=100000), " ",IF(INDEX($AB$2:$AQ$1001,MATCH(ROWS($U$2:U672),$U$2:$U$1001,0),MATCH(COLUMNS($AB$1006:AH1006),$AB$1006:$AQ$1006,0)), HYPERLINK("#",""), HYPERLINK(CONCATENATE("#Metadata!", ADDRESS(INDEX($W$2:$W$1001,MATCH(ROWS($U$2:U672),$U$2:$U$1001,0),0), INDEX($AB$1004:$AQ$1004,1,MATCH(COLUMNS($AB$1006:AH1006),$AB$1006:$AQ$1006,0)))),"Fix")))</f>
        <v>0</v>
      </c>
      <c r="I672" s="5">
        <f>IF(OR(INDEX($V$2:$V$1001,MATCH(ROWS($U$2:U672),$U$2:$U$1001,0),1)&gt;=100000,INDEX($AB$1005:$AQ$1005,1,MATCH(COLUMNS($AB$1006:AI1006),$AB$1006:$AQ$1006,0))&gt;=100000), " ",IF(INDEX($AB$2:$AQ$1001,MATCH(ROWS($U$2:U672),$U$2:$U$1001,0),MATCH(COLUMNS($AB$1006:AI1006),$AB$1006:$AQ$1006,0)), HYPERLINK("#",""), HYPERLINK(CONCATENATE("#Metadata!", ADDRESS(INDEX($W$2:$W$1001,MATCH(ROWS($U$2:U672),$U$2:$U$1001,0),0), INDEX($AB$1004:$AQ$1004,1,MATCH(COLUMNS($AB$1006:AI1006),$AB$1006:$AQ$1006,0)))),"Fix")))</f>
        <v>0</v>
      </c>
      <c r="J672" s="5">
        <f>IF(OR(INDEX($V$2:$V$1001,MATCH(ROWS($U$2:U672),$U$2:$U$1001,0),1)&gt;=100000,INDEX($AB$1005:$AQ$1005,1,MATCH(COLUMNS($AB$1006:AJ1006),$AB$1006:$AQ$1006,0))&gt;=100000), " ",IF(INDEX($AB$2:$AQ$1001,MATCH(ROWS($U$2:U672),$U$2:$U$1001,0),MATCH(COLUMNS($AB$1006:AJ1006),$AB$1006:$AQ$1006,0)), HYPERLINK("#",""), HYPERLINK(CONCATENATE("#Metadata!", ADDRESS(INDEX($W$2:$W$1001,MATCH(ROWS($U$2:U672),$U$2:$U$1001,0),0), INDEX($AB$1004:$AQ$1004,1,MATCH(COLUMNS($AB$1006:AJ1006),$AB$1006:$AQ$1006,0)))),"Fix")))</f>
        <v>0</v>
      </c>
      <c r="K672" s="5">
        <f>IF(OR(INDEX($V$2:$V$1001,MATCH(ROWS($U$2:U672),$U$2:$U$1001,0),1)&gt;=100000,INDEX($AB$1005:$AQ$1005,1,MATCH(COLUMNS($AB$1006:AK1006),$AB$1006:$AQ$1006,0))&gt;=100000), " ",IF(INDEX($AB$2:$AQ$1001,MATCH(ROWS($U$2:U672),$U$2:$U$1001,0),MATCH(COLUMNS($AB$1006:AK1006),$AB$1006:$AQ$1006,0)), HYPERLINK("#",""), HYPERLINK(CONCATENATE("#Metadata!", ADDRESS(INDEX($W$2:$W$1001,MATCH(ROWS($U$2:U672),$U$2:$U$1001,0),0), INDEX($AB$1004:$AQ$1004,1,MATCH(COLUMNS($AB$1006:AK1006),$AB$1006:$AQ$1006,0)))),"Fix")))</f>
        <v>0</v>
      </c>
      <c r="L672" s="5">
        <f>IF(OR(INDEX($V$2:$V$1001,MATCH(ROWS($U$2:U672),$U$2:$U$1001,0),1)&gt;=100000,INDEX($AB$1005:$AQ$1005,1,MATCH(COLUMNS($AB$1006:AL1006),$AB$1006:$AQ$1006,0))&gt;=100000), " ",IF(INDEX($AB$2:$AQ$1001,MATCH(ROWS($U$2:U672),$U$2:$U$1001,0),MATCH(COLUMNS($AB$1006:AL1006),$AB$1006:$AQ$1006,0)), HYPERLINK("#",""), HYPERLINK(CONCATENATE("#Metadata!", ADDRESS(INDEX($W$2:$W$1001,MATCH(ROWS($U$2:U672),$U$2:$U$1001,0),0), INDEX($AB$1004:$AQ$1004,1,MATCH(COLUMNS($AB$1006:AL1006),$AB$1006:$AQ$1006,0)))),"Fix")))</f>
        <v>0</v>
      </c>
      <c r="M672" s="5">
        <f>IF(OR(INDEX($V$2:$V$1001,MATCH(ROWS($U$2:U672),$U$2:$U$1001,0),1)&gt;=100000,INDEX($AB$1005:$AQ$1005,1,MATCH(COLUMNS($AB$1006:AM1006),$AB$1006:$AQ$1006,0))&gt;=100000), " ",IF(INDEX($AB$2:$AQ$1001,MATCH(ROWS($U$2:U672),$U$2:$U$1001,0),MATCH(COLUMNS($AB$1006:AM1006),$AB$1006:$AQ$1006,0)), HYPERLINK("#",""), HYPERLINK(CONCATENATE("#Metadata!", ADDRESS(INDEX($W$2:$W$1001,MATCH(ROWS($U$2:U672),$U$2:$U$1001,0),0), INDEX($AB$1004:$AQ$1004,1,MATCH(COLUMNS($AB$1006:AM1006),$AB$1006:$AQ$1006,0)))),"Fix")))</f>
        <v>0</v>
      </c>
      <c r="N672" s="5">
        <f>IF(OR(INDEX($V$2:$V$1001,MATCH(ROWS($U$2:U672),$U$2:$U$1001,0),1)&gt;=100000,INDEX($AB$1005:$AQ$1005,1,MATCH(COLUMNS($AB$1006:AN1006),$AB$1006:$AQ$1006,0))&gt;=100000), " ",IF(INDEX($AB$2:$AQ$1001,MATCH(ROWS($U$2:U672),$U$2:$U$1001,0),MATCH(COLUMNS($AB$1006:AN1006),$AB$1006:$AQ$1006,0)), HYPERLINK("#",""), HYPERLINK(CONCATENATE("#Metadata!", ADDRESS(INDEX($W$2:$W$1001,MATCH(ROWS($U$2:U672),$U$2:$U$1001,0),0), INDEX($AB$1004:$AQ$1004,1,MATCH(COLUMNS($AB$1006:AN1006),$AB$1006:$AQ$1006,0)))),"Fix")))</f>
        <v>0</v>
      </c>
      <c r="O672" s="5">
        <f>IF(OR(INDEX($V$2:$V$1001,MATCH(ROWS($U$2:U672),$U$2:$U$1001,0),1)&gt;=100000,INDEX($AB$1005:$AQ$1005,1,MATCH(COLUMNS($AB$1006:AO1006),$AB$1006:$AQ$1006,0))&gt;=100000), " ",IF(INDEX($AB$2:$AQ$1001,MATCH(ROWS($U$2:U672),$U$2:$U$1001,0),MATCH(COLUMNS($AB$1006:AO1006),$AB$1006:$AQ$1006,0)), HYPERLINK("#",""), HYPERLINK(CONCATENATE("#Metadata!", ADDRESS(INDEX($W$2:$W$1001,MATCH(ROWS($U$2:U672),$U$2:$U$1001,0),0), INDEX($AB$1004:$AQ$1004,1,MATCH(COLUMNS($AB$1006:AO1006),$AB$1006:$AQ$1006,0)))),"Fix")))</f>
        <v>0</v>
      </c>
      <c r="P672" s="5">
        <f>IF(OR(INDEX($V$2:$V$1001,MATCH(ROWS($U$2:U672),$U$2:$U$1001,0),1)&gt;=100000,INDEX($AB$1005:$AQ$1005,1,MATCH(COLUMNS($AB$1006:AP1006),$AB$1006:$AQ$1006,0))&gt;=100000), " ",IF(INDEX($AB$2:$AQ$1001,MATCH(ROWS($U$2:U672),$U$2:$U$1001,0),MATCH(COLUMNS($AB$1006:AP1006),$AB$1006:$AQ$1006,0)), HYPERLINK("#",""), HYPERLINK(CONCATENATE("#Metadata!", ADDRESS(INDEX($W$2:$W$1001,MATCH(ROWS($U$2:U672),$U$2:$U$1001,0),0), INDEX($AB$1004:$AQ$1004,1,MATCH(COLUMNS($AB$1006:AP1006),$AB$1006:$AQ$1006,0)))),"Fix")))</f>
        <v>0</v>
      </c>
      <c r="Q672" s="5">
        <f>IF(OR(INDEX($V$2:$V$1001,MATCH(ROWS($U$2:U672),$U$2:$U$1001,0),1)&gt;=100000,INDEX($AB$1005:$AQ$1005,1,MATCH(COLUMNS($AB$1006:AQ1006),$AB$1006:$AQ$1006,0))&gt;=100000), " ",IF(INDEX($AB$2:$AQ$1001,MATCH(ROWS($U$2:U672),$U$2:$U$1001,0),MATCH(COLUMNS($AB$1006:AQ1006),$AB$1006:$AQ$1006,0)), HYPERLINK("#",""), HYPERLINK(CONCATENATE("#Metadata!", ADDRESS(INDEX($W$2:$W$1001,MATCH(ROWS($U$2:U672),$U$2:$U$1001,0),0), INDEX($AB$1004:$AQ$1004,1,MATCH(COLUMNS($AB$1006:AQ1006),$AB$1006:$AQ$1006,0)))),"Fix")))</f>
        <v>0</v>
      </c>
      <c r="U672">
        <v>0</v>
      </c>
      <c r="V672">
        <v>0</v>
      </c>
      <c r="W672">
        <v>0</v>
      </c>
      <c r="X672">
        <f>IF(Y672,TRUE,AND(AB672:AQ672))</f>
        <v>0</v>
      </c>
      <c r="Y672">
        <f>COUNTBLANK(Metadata!B672:Q672)=COLUMNS(Metadata!B672:Q672)</f>
        <v>0</v>
      </c>
      <c r="Z672">
        <v>0</v>
      </c>
      <c r="AB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AC672">
        <f>AND(IF(Metadata!C672="",FALSE,TRUE),exact(Metadata!C672,"urban biome"))</f>
        <v>0</v>
      </c>
      <c r="AD672">
        <f>AND(IF(Metadata!D672="",FALSE,TRUE),exact(Metadata!D672,"human-associated habitat"))</f>
        <v>0</v>
      </c>
      <c r="AE672">
        <f>AND(IF(Metadata!E672="",FALSE,TRUE),OR(exact(Metadata!E672,"human-associated"),exact(Metadata!E672,"human-skin"),exact(Metadata!E672,"human-oral"),exact(Metadata!E672,"human-gut"),exact(Metadata!E672,"human-vaginal")))</f>
        <v>0</v>
      </c>
      <c r="AF672">
        <f>AND(IF(Metadata!F672="",FALSE,ISNUMBER(VALUE(Metadata!F672))),Metadata!F672&gt;0)</f>
        <v>0</v>
      </c>
      <c r="AG672">
        <f>AND(IF(Metadata!G672="",FALSE,TRUE),exact(Metadata!G672,"years"))</f>
        <v>0</v>
      </c>
      <c r="AH672">
        <f>OR(AND(IF(Metadata!H672="",FALSE,TRUE),OR(exact(Metadata!H672,"not applicable"),exact(Metadata!H672,"not collected"),exact(Metadata!H672,"not provided"),exact(Metadata!H672,"restricted access"))),AND(IF(Metadata!H672="",FALSE,ISNUMBER(VALUE(Metadata!H672))),Metadata!H672&gt;0))</f>
        <v>0</v>
      </c>
      <c r="AI672">
        <f>AND(IF(Metadata!I672="",FALSE,TRUE),exact(Metadata!I672,"human"))</f>
        <v>0</v>
      </c>
      <c r="AJ672">
        <f>AND(IF(Metadata!J672="",FALSE,ISNUMBER(VALUE(Metadata!J672))),Metadata!J672&gt;0)</f>
        <v>0</v>
      </c>
      <c r="AK672">
        <f>AND(IF(Metadata!K672="",FALSE,TRUE),exact(Metadata!K672,"cm"))</f>
        <v>0</v>
      </c>
      <c r="AL672">
        <f>AND(IF(Metadata!L672="",FALSE,TRUE),exact(Metadata!L672,"Homo sapiens"))</f>
        <v>0</v>
      </c>
      <c r="AM672">
        <f>AND(IF(Metadata!M672="",FALSE,TRUE),exact(Metadata!M672,"9606"))</f>
        <v>0</v>
      </c>
      <c r="AN672">
        <f>AND(IF(Metadata!N672="",FALSE,ISNUMBER(VALUE(Metadata!N672))),Metadata!N672&gt;0)</f>
        <v>0</v>
      </c>
      <c r="AO672">
        <f>AND(IF(Metadata!O672="",FALSE,TRUE),exact(Metadata!O672,"kg"))</f>
        <v>0</v>
      </c>
      <c r="AP672">
        <f>OR(AND(IF(Metadata!P672="",FALSE,TRUE),exact(Metadata!P672,"not provided")),IF(Metadata!P672="",FALSE,TRUE))</f>
        <v>0</v>
      </c>
      <c r="AQ672">
        <f>OR(AND(IF(Metadata!Q672="",FALSE,TRUE),exact(Metadata!Q672,"not provided")),IF(Metadata!Q672="",FALSE,TRUE))</f>
        <v>0</v>
      </c>
    </row>
    <row r="673" spans="1:43">
      <c r="A673" s="4">
        <f>IF(B673=" "," ",HYPERLINK(CONCATENATE("#metadata!",ADDRESS(INDEX($W$2:$W$1001,MATCH(ROWS($U$2:U673),$U$2:$U$1001,0),0),2)),INDEX($Z$2:$Z$1001,MATCH(ROWS($U$2:U673),$U$2:$U$1001,0),0)))</f>
        <v>0</v>
      </c>
      <c r="B673" s="5">
        <f>IF(OR(INDEX($V$2:$V$1001,MATCH(ROWS($U$2:U673),$U$2:$U$1001,0),1)&gt;=100000,INDEX($AB$1005:$AQ$1005,1,MATCH(COLUMNS($AB$1006:AB1006),$AB$1006:$AQ$1006,0))&gt;=100000), " ",IF(INDEX($AB$2:$AQ$1001,MATCH(ROWS($U$2:U673),$U$2:$U$1001,0),MATCH(COLUMNS($AB$1006:AB1006),$AB$1006:$AQ$1006,0)), HYPERLINK("#",""), HYPERLINK(CONCATENATE("#Metadata!", ADDRESS(INDEX($W$2:$W$1001,MATCH(ROWS($U$2:U673),$U$2:$U$1001,0),0), INDEX($AB$1004:$AQ$1004,1,MATCH(COLUMNS($AB$1006:AB1006),$AB$1006:$AQ$1006,0)))),"Fix")))</f>
        <v>0</v>
      </c>
      <c r="C673" s="5">
        <f>IF(OR(INDEX($V$2:$V$1001,MATCH(ROWS($U$2:U673),$U$2:$U$1001,0),1)&gt;=100000,INDEX($AB$1005:$AQ$1005,1,MATCH(COLUMNS($AB$1006:AC1006),$AB$1006:$AQ$1006,0))&gt;=100000), " ",IF(INDEX($AB$2:$AQ$1001,MATCH(ROWS($U$2:U673),$U$2:$U$1001,0),MATCH(COLUMNS($AB$1006:AC1006),$AB$1006:$AQ$1006,0)), HYPERLINK("#",""), HYPERLINK(CONCATENATE("#Metadata!", ADDRESS(INDEX($W$2:$W$1001,MATCH(ROWS($U$2:U673),$U$2:$U$1001,0),0), INDEX($AB$1004:$AQ$1004,1,MATCH(COLUMNS($AB$1006:AC1006),$AB$1006:$AQ$1006,0)))),"Fix")))</f>
        <v>0</v>
      </c>
      <c r="D673" s="5">
        <f>IF(OR(INDEX($V$2:$V$1001,MATCH(ROWS($U$2:U673),$U$2:$U$1001,0),1)&gt;=100000,INDEX($AB$1005:$AQ$1005,1,MATCH(COLUMNS($AB$1006:AD1006),$AB$1006:$AQ$1006,0))&gt;=100000), " ",IF(INDEX($AB$2:$AQ$1001,MATCH(ROWS($U$2:U673),$U$2:$U$1001,0),MATCH(COLUMNS($AB$1006:AD1006),$AB$1006:$AQ$1006,0)), HYPERLINK("#",""), HYPERLINK(CONCATENATE("#Metadata!", ADDRESS(INDEX($W$2:$W$1001,MATCH(ROWS($U$2:U673),$U$2:$U$1001,0),0), INDEX($AB$1004:$AQ$1004,1,MATCH(COLUMNS($AB$1006:AD1006),$AB$1006:$AQ$1006,0)))),"Fix")))</f>
        <v>0</v>
      </c>
      <c r="E673" s="5">
        <f>IF(OR(INDEX($V$2:$V$1001,MATCH(ROWS($U$2:U673),$U$2:$U$1001,0),1)&gt;=100000,INDEX($AB$1005:$AQ$1005,1,MATCH(COLUMNS($AB$1006:AE1006),$AB$1006:$AQ$1006,0))&gt;=100000), " ",IF(INDEX($AB$2:$AQ$1001,MATCH(ROWS($U$2:U673),$U$2:$U$1001,0),MATCH(COLUMNS($AB$1006:AE1006),$AB$1006:$AQ$1006,0)), HYPERLINK("#",""), HYPERLINK(CONCATENATE("#Metadata!", ADDRESS(INDEX($W$2:$W$1001,MATCH(ROWS($U$2:U673),$U$2:$U$1001,0),0), INDEX($AB$1004:$AQ$1004,1,MATCH(COLUMNS($AB$1006:AE1006),$AB$1006:$AQ$1006,0)))),"Fix")))</f>
        <v>0</v>
      </c>
      <c r="F673" s="5">
        <f>IF(OR(INDEX($V$2:$V$1001,MATCH(ROWS($U$2:U673),$U$2:$U$1001,0),1)&gt;=100000,INDEX($AB$1005:$AQ$1005,1,MATCH(COLUMNS($AB$1006:AF1006),$AB$1006:$AQ$1006,0))&gt;=100000), " ",IF(INDEX($AB$2:$AQ$1001,MATCH(ROWS($U$2:U673),$U$2:$U$1001,0),MATCH(COLUMNS($AB$1006:AF1006),$AB$1006:$AQ$1006,0)), HYPERLINK("#",""), HYPERLINK(CONCATENATE("#Metadata!", ADDRESS(INDEX($W$2:$W$1001,MATCH(ROWS($U$2:U673),$U$2:$U$1001,0),0), INDEX($AB$1004:$AQ$1004,1,MATCH(COLUMNS($AB$1006:AF1006),$AB$1006:$AQ$1006,0)))),"Fix")))</f>
        <v>0</v>
      </c>
      <c r="G673" s="5">
        <f>IF(OR(INDEX($V$2:$V$1001,MATCH(ROWS($U$2:U673),$U$2:$U$1001,0),1)&gt;=100000,INDEX($AB$1005:$AQ$1005,1,MATCH(COLUMNS($AB$1006:AG1006),$AB$1006:$AQ$1006,0))&gt;=100000), " ",IF(INDEX($AB$2:$AQ$1001,MATCH(ROWS($U$2:U673),$U$2:$U$1001,0),MATCH(COLUMNS($AB$1006:AG1006),$AB$1006:$AQ$1006,0)), HYPERLINK("#",""), HYPERLINK(CONCATENATE("#Metadata!", ADDRESS(INDEX($W$2:$W$1001,MATCH(ROWS($U$2:U673),$U$2:$U$1001,0),0), INDEX($AB$1004:$AQ$1004,1,MATCH(COLUMNS($AB$1006:AG1006),$AB$1006:$AQ$1006,0)))),"Fix")))</f>
        <v>0</v>
      </c>
      <c r="H673" s="5">
        <f>IF(OR(INDEX($V$2:$V$1001,MATCH(ROWS($U$2:U673),$U$2:$U$1001,0),1)&gt;=100000,INDEX($AB$1005:$AQ$1005,1,MATCH(COLUMNS($AB$1006:AH1006),$AB$1006:$AQ$1006,0))&gt;=100000), " ",IF(INDEX($AB$2:$AQ$1001,MATCH(ROWS($U$2:U673),$U$2:$U$1001,0),MATCH(COLUMNS($AB$1006:AH1006),$AB$1006:$AQ$1006,0)), HYPERLINK("#",""), HYPERLINK(CONCATENATE("#Metadata!", ADDRESS(INDEX($W$2:$W$1001,MATCH(ROWS($U$2:U673),$U$2:$U$1001,0),0), INDEX($AB$1004:$AQ$1004,1,MATCH(COLUMNS($AB$1006:AH1006),$AB$1006:$AQ$1006,0)))),"Fix")))</f>
        <v>0</v>
      </c>
      <c r="I673" s="5">
        <f>IF(OR(INDEX($V$2:$V$1001,MATCH(ROWS($U$2:U673),$U$2:$U$1001,0),1)&gt;=100000,INDEX($AB$1005:$AQ$1005,1,MATCH(COLUMNS($AB$1006:AI1006),$AB$1006:$AQ$1006,0))&gt;=100000), " ",IF(INDEX($AB$2:$AQ$1001,MATCH(ROWS($U$2:U673),$U$2:$U$1001,0),MATCH(COLUMNS($AB$1006:AI1006),$AB$1006:$AQ$1006,0)), HYPERLINK("#",""), HYPERLINK(CONCATENATE("#Metadata!", ADDRESS(INDEX($W$2:$W$1001,MATCH(ROWS($U$2:U673),$U$2:$U$1001,0),0), INDEX($AB$1004:$AQ$1004,1,MATCH(COLUMNS($AB$1006:AI1006),$AB$1006:$AQ$1006,0)))),"Fix")))</f>
        <v>0</v>
      </c>
      <c r="J673" s="5">
        <f>IF(OR(INDEX($V$2:$V$1001,MATCH(ROWS($U$2:U673),$U$2:$U$1001,0),1)&gt;=100000,INDEX($AB$1005:$AQ$1005,1,MATCH(COLUMNS($AB$1006:AJ1006),$AB$1006:$AQ$1006,0))&gt;=100000), " ",IF(INDEX($AB$2:$AQ$1001,MATCH(ROWS($U$2:U673),$U$2:$U$1001,0),MATCH(COLUMNS($AB$1006:AJ1006),$AB$1006:$AQ$1006,0)), HYPERLINK("#",""), HYPERLINK(CONCATENATE("#Metadata!", ADDRESS(INDEX($W$2:$W$1001,MATCH(ROWS($U$2:U673),$U$2:$U$1001,0),0), INDEX($AB$1004:$AQ$1004,1,MATCH(COLUMNS($AB$1006:AJ1006),$AB$1006:$AQ$1006,0)))),"Fix")))</f>
        <v>0</v>
      </c>
      <c r="K673" s="5">
        <f>IF(OR(INDEX($V$2:$V$1001,MATCH(ROWS($U$2:U673),$U$2:$U$1001,0),1)&gt;=100000,INDEX($AB$1005:$AQ$1005,1,MATCH(COLUMNS($AB$1006:AK1006),$AB$1006:$AQ$1006,0))&gt;=100000), " ",IF(INDEX($AB$2:$AQ$1001,MATCH(ROWS($U$2:U673),$U$2:$U$1001,0),MATCH(COLUMNS($AB$1006:AK1006),$AB$1006:$AQ$1006,0)), HYPERLINK("#",""), HYPERLINK(CONCATENATE("#Metadata!", ADDRESS(INDEX($W$2:$W$1001,MATCH(ROWS($U$2:U673),$U$2:$U$1001,0),0), INDEX($AB$1004:$AQ$1004,1,MATCH(COLUMNS($AB$1006:AK1006),$AB$1006:$AQ$1006,0)))),"Fix")))</f>
        <v>0</v>
      </c>
      <c r="L673" s="5">
        <f>IF(OR(INDEX($V$2:$V$1001,MATCH(ROWS($U$2:U673),$U$2:$U$1001,0),1)&gt;=100000,INDEX($AB$1005:$AQ$1005,1,MATCH(COLUMNS($AB$1006:AL1006),$AB$1006:$AQ$1006,0))&gt;=100000), " ",IF(INDEX($AB$2:$AQ$1001,MATCH(ROWS($U$2:U673),$U$2:$U$1001,0),MATCH(COLUMNS($AB$1006:AL1006),$AB$1006:$AQ$1006,0)), HYPERLINK("#",""), HYPERLINK(CONCATENATE("#Metadata!", ADDRESS(INDEX($W$2:$W$1001,MATCH(ROWS($U$2:U673),$U$2:$U$1001,0),0), INDEX($AB$1004:$AQ$1004,1,MATCH(COLUMNS($AB$1006:AL1006),$AB$1006:$AQ$1006,0)))),"Fix")))</f>
        <v>0</v>
      </c>
      <c r="M673" s="5">
        <f>IF(OR(INDEX($V$2:$V$1001,MATCH(ROWS($U$2:U673),$U$2:$U$1001,0),1)&gt;=100000,INDEX($AB$1005:$AQ$1005,1,MATCH(COLUMNS($AB$1006:AM1006),$AB$1006:$AQ$1006,0))&gt;=100000), " ",IF(INDEX($AB$2:$AQ$1001,MATCH(ROWS($U$2:U673),$U$2:$U$1001,0),MATCH(COLUMNS($AB$1006:AM1006),$AB$1006:$AQ$1006,0)), HYPERLINK("#",""), HYPERLINK(CONCATENATE("#Metadata!", ADDRESS(INDEX($W$2:$W$1001,MATCH(ROWS($U$2:U673),$U$2:$U$1001,0),0), INDEX($AB$1004:$AQ$1004,1,MATCH(COLUMNS($AB$1006:AM1006),$AB$1006:$AQ$1006,0)))),"Fix")))</f>
        <v>0</v>
      </c>
      <c r="N673" s="5">
        <f>IF(OR(INDEX($V$2:$V$1001,MATCH(ROWS($U$2:U673),$U$2:$U$1001,0),1)&gt;=100000,INDEX($AB$1005:$AQ$1005,1,MATCH(COLUMNS($AB$1006:AN1006),$AB$1006:$AQ$1006,0))&gt;=100000), " ",IF(INDEX($AB$2:$AQ$1001,MATCH(ROWS($U$2:U673),$U$2:$U$1001,0),MATCH(COLUMNS($AB$1006:AN1006),$AB$1006:$AQ$1006,0)), HYPERLINK("#",""), HYPERLINK(CONCATENATE("#Metadata!", ADDRESS(INDEX($W$2:$W$1001,MATCH(ROWS($U$2:U673),$U$2:$U$1001,0),0), INDEX($AB$1004:$AQ$1004,1,MATCH(COLUMNS($AB$1006:AN1006),$AB$1006:$AQ$1006,0)))),"Fix")))</f>
        <v>0</v>
      </c>
      <c r="O673" s="5">
        <f>IF(OR(INDEX($V$2:$V$1001,MATCH(ROWS($U$2:U673),$U$2:$U$1001,0),1)&gt;=100000,INDEX($AB$1005:$AQ$1005,1,MATCH(COLUMNS($AB$1006:AO1006),$AB$1006:$AQ$1006,0))&gt;=100000), " ",IF(INDEX($AB$2:$AQ$1001,MATCH(ROWS($U$2:U673),$U$2:$U$1001,0),MATCH(COLUMNS($AB$1006:AO1006),$AB$1006:$AQ$1006,0)), HYPERLINK("#",""), HYPERLINK(CONCATENATE("#Metadata!", ADDRESS(INDEX($W$2:$W$1001,MATCH(ROWS($U$2:U673),$U$2:$U$1001,0),0), INDEX($AB$1004:$AQ$1004,1,MATCH(COLUMNS($AB$1006:AO1006),$AB$1006:$AQ$1006,0)))),"Fix")))</f>
        <v>0</v>
      </c>
      <c r="P673" s="5">
        <f>IF(OR(INDEX($V$2:$V$1001,MATCH(ROWS($U$2:U673),$U$2:$U$1001,0),1)&gt;=100000,INDEX($AB$1005:$AQ$1005,1,MATCH(COLUMNS($AB$1006:AP1006),$AB$1006:$AQ$1006,0))&gt;=100000), " ",IF(INDEX($AB$2:$AQ$1001,MATCH(ROWS($U$2:U673),$U$2:$U$1001,0),MATCH(COLUMNS($AB$1006:AP1006),$AB$1006:$AQ$1006,0)), HYPERLINK("#",""), HYPERLINK(CONCATENATE("#Metadata!", ADDRESS(INDEX($W$2:$W$1001,MATCH(ROWS($U$2:U673),$U$2:$U$1001,0),0), INDEX($AB$1004:$AQ$1004,1,MATCH(COLUMNS($AB$1006:AP1006),$AB$1006:$AQ$1006,0)))),"Fix")))</f>
        <v>0</v>
      </c>
      <c r="Q673" s="5">
        <f>IF(OR(INDEX($V$2:$V$1001,MATCH(ROWS($U$2:U673),$U$2:$U$1001,0),1)&gt;=100000,INDEX($AB$1005:$AQ$1005,1,MATCH(COLUMNS($AB$1006:AQ1006),$AB$1006:$AQ$1006,0))&gt;=100000), " ",IF(INDEX($AB$2:$AQ$1001,MATCH(ROWS($U$2:U673),$U$2:$U$1001,0),MATCH(COLUMNS($AB$1006:AQ1006),$AB$1006:$AQ$1006,0)), HYPERLINK("#",""), HYPERLINK(CONCATENATE("#Metadata!", ADDRESS(INDEX($W$2:$W$1001,MATCH(ROWS($U$2:U673),$U$2:$U$1001,0),0), INDEX($AB$1004:$AQ$1004,1,MATCH(COLUMNS($AB$1006:AQ1006),$AB$1006:$AQ$1006,0)))),"Fix")))</f>
        <v>0</v>
      </c>
      <c r="U673">
        <v>0</v>
      </c>
      <c r="V673">
        <v>0</v>
      </c>
      <c r="W673">
        <v>0</v>
      </c>
      <c r="X673">
        <f>IF(Y673,TRUE,AND(AB673:AQ673))</f>
        <v>0</v>
      </c>
      <c r="Y673">
        <f>COUNTBLANK(Metadata!B673:Q673)=COLUMNS(Metadata!B673:Q673)</f>
        <v>0</v>
      </c>
      <c r="Z673">
        <v>0</v>
      </c>
      <c r="AB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AC673">
        <f>AND(IF(Metadata!C673="",FALSE,TRUE),exact(Metadata!C673,"urban biome"))</f>
        <v>0</v>
      </c>
      <c r="AD673">
        <f>AND(IF(Metadata!D673="",FALSE,TRUE),exact(Metadata!D673,"human-associated habitat"))</f>
        <v>0</v>
      </c>
      <c r="AE673">
        <f>AND(IF(Metadata!E673="",FALSE,TRUE),OR(exact(Metadata!E673,"human-associated"),exact(Metadata!E673,"human-skin"),exact(Metadata!E673,"human-oral"),exact(Metadata!E673,"human-gut"),exact(Metadata!E673,"human-vaginal")))</f>
        <v>0</v>
      </c>
      <c r="AF673">
        <f>AND(IF(Metadata!F673="",FALSE,ISNUMBER(VALUE(Metadata!F673))),Metadata!F673&gt;0)</f>
        <v>0</v>
      </c>
      <c r="AG673">
        <f>AND(IF(Metadata!G673="",FALSE,TRUE),exact(Metadata!G673,"years"))</f>
        <v>0</v>
      </c>
      <c r="AH673">
        <f>OR(AND(IF(Metadata!H673="",FALSE,TRUE),OR(exact(Metadata!H673,"not applicable"),exact(Metadata!H673,"not collected"),exact(Metadata!H673,"not provided"),exact(Metadata!H673,"restricted access"))),AND(IF(Metadata!H673="",FALSE,ISNUMBER(VALUE(Metadata!H673))),Metadata!H673&gt;0))</f>
        <v>0</v>
      </c>
      <c r="AI673">
        <f>AND(IF(Metadata!I673="",FALSE,TRUE),exact(Metadata!I673,"human"))</f>
        <v>0</v>
      </c>
      <c r="AJ673">
        <f>AND(IF(Metadata!J673="",FALSE,ISNUMBER(VALUE(Metadata!J673))),Metadata!J673&gt;0)</f>
        <v>0</v>
      </c>
      <c r="AK673">
        <f>AND(IF(Metadata!K673="",FALSE,TRUE),exact(Metadata!K673,"cm"))</f>
        <v>0</v>
      </c>
      <c r="AL673">
        <f>AND(IF(Metadata!L673="",FALSE,TRUE),exact(Metadata!L673,"Homo sapiens"))</f>
        <v>0</v>
      </c>
      <c r="AM673">
        <f>AND(IF(Metadata!M673="",FALSE,TRUE),exact(Metadata!M673,"9606"))</f>
        <v>0</v>
      </c>
      <c r="AN673">
        <f>AND(IF(Metadata!N673="",FALSE,ISNUMBER(VALUE(Metadata!N673))),Metadata!N673&gt;0)</f>
        <v>0</v>
      </c>
      <c r="AO673">
        <f>AND(IF(Metadata!O673="",FALSE,TRUE),exact(Metadata!O673,"kg"))</f>
        <v>0</v>
      </c>
      <c r="AP673">
        <f>OR(AND(IF(Metadata!P673="",FALSE,TRUE),exact(Metadata!P673,"not provided")),IF(Metadata!P673="",FALSE,TRUE))</f>
        <v>0</v>
      </c>
      <c r="AQ673">
        <f>OR(AND(IF(Metadata!Q673="",FALSE,TRUE),exact(Metadata!Q673,"not provided")),IF(Metadata!Q673="",FALSE,TRUE))</f>
        <v>0</v>
      </c>
    </row>
    <row r="674" spans="1:43">
      <c r="A674" s="4">
        <f>IF(B674=" "," ",HYPERLINK(CONCATENATE("#metadata!",ADDRESS(INDEX($W$2:$W$1001,MATCH(ROWS($U$2:U674),$U$2:$U$1001,0),0),2)),INDEX($Z$2:$Z$1001,MATCH(ROWS($U$2:U674),$U$2:$U$1001,0),0)))</f>
        <v>0</v>
      </c>
      <c r="B674" s="5">
        <f>IF(OR(INDEX($V$2:$V$1001,MATCH(ROWS($U$2:U674),$U$2:$U$1001,0),1)&gt;=100000,INDEX($AB$1005:$AQ$1005,1,MATCH(COLUMNS($AB$1006:AB1006),$AB$1006:$AQ$1006,0))&gt;=100000), " ",IF(INDEX($AB$2:$AQ$1001,MATCH(ROWS($U$2:U674),$U$2:$U$1001,0),MATCH(COLUMNS($AB$1006:AB1006),$AB$1006:$AQ$1006,0)), HYPERLINK("#",""), HYPERLINK(CONCATENATE("#Metadata!", ADDRESS(INDEX($W$2:$W$1001,MATCH(ROWS($U$2:U674),$U$2:$U$1001,0),0), INDEX($AB$1004:$AQ$1004,1,MATCH(COLUMNS($AB$1006:AB1006),$AB$1006:$AQ$1006,0)))),"Fix")))</f>
        <v>0</v>
      </c>
      <c r="C674" s="5">
        <f>IF(OR(INDEX($V$2:$V$1001,MATCH(ROWS($U$2:U674),$U$2:$U$1001,0),1)&gt;=100000,INDEX($AB$1005:$AQ$1005,1,MATCH(COLUMNS($AB$1006:AC1006),$AB$1006:$AQ$1006,0))&gt;=100000), " ",IF(INDEX($AB$2:$AQ$1001,MATCH(ROWS($U$2:U674),$U$2:$U$1001,0),MATCH(COLUMNS($AB$1006:AC1006),$AB$1006:$AQ$1006,0)), HYPERLINK("#",""), HYPERLINK(CONCATENATE("#Metadata!", ADDRESS(INDEX($W$2:$W$1001,MATCH(ROWS($U$2:U674),$U$2:$U$1001,0),0), INDEX($AB$1004:$AQ$1004,1,MATCH(COLUMNS($AB$1006:AC1006),$AB$1006:$AQ$1006,0)))),"Fix")))</f>
        <v>0</v>
      </c>
      <c r="D674" s="5">
        <f>IF(OR(INDEX($V$2:$V$1001,MATCH(ROWS($U$2:U674),$U$2:$U$1001,0),1)&gt;=100000,INDEX($AB$1005:$AQ$1005,1,MATCH(COLUMNS($AB$1006:AD1006),$AB$1006:$AQ$1006,0))&gt;=100000), " ",IF(INDEX($AB$2:$AQ$1001,MATCH(ROWS($U$2:U674),$U$2:$U$1001,0),MATCH(COLUMNS($AB$1006:AD1006),$AB$1006:$AQ$1006,0)), HYPERLINK("#",""), HYPERLINK(CONCATENATE("#Metadata!", ADDRESS(INDEX($W$2:$W$1001,MATCH(ROWS($U$2:U674),$U$2:$U$1001,0),0), INDEX($AB$1004:$AQ$1004,1,MATCH(COLUMNS($AB$1006:AD1006),$AB$1006:$AQ$1006,0)))),"Fix")))</f>
        <v>0</v>
      </c>
      <c r="E674" s="5">
        <f>IF(OR(INDEX($V$2:$V$1001,MATCH(ROWS($U$2:U674),$U$2:$U$1001,0),1)&gt;=100000,INDEX($AB$1005:$AQ$1005,1,MATCH(COLUMNS($AB$1006:AE1006),$AB$1006:$AQ$1006,0))&gt;=100000), " ",IF(INDEX($AB$2:$AQ$1001,MATCH(ROWS($U$2:U674),$U$2:$U$1001,0),MATCH(COLUMNS($AB$1006:AE1006),$AB$1006:$AQ$1006,0)), HYPERLINK("#",""), HYPERLINK(CONCATENATE("#Metadata!", ADDRESS(INDEX($W$2:$W$1001,MATCH(ROWS($U$2:U674),$U$2:$U$1001,0),0), INDEX($AB$1004:$AQ$1004,1,MATCH(COLUMNS($AB$1006:AE1006),$AB$1006:$AQ$1006,0)))),"Fix")))</f>
        <v>0</v>
      </c>
      <c r="F674" s="5">
        <f>IF(OR(INDEX($V$2:$V$1001,MATCH(ROWS($U$2:U674),$U$2:$U$1001,0),1)&gt;=100000,INDEX($AB$1005:$AQ$1005,1,MATCH(COLUMNS($AB$1006:AF1006),$AB$1006:$AQ$1006,0))&gt;=100000), " ",IF(INDEX($AB$2:$AQ$1001,MATCH(ROWS($U$2:U674),$U$2:$U$1001,0),MATCH(COLUMNS($AB$1006:AF1006),$AB$1006:$AQ$1006,0)), HYPERLINK("#",""), HYPERLINK(CONCATENATE("#Metadata!", ADDRESS(INDEX($W$2:$W$1001,MATCH(ROWS($U$2:U674),$U$2:$U$1001,0),0), INDEX($AB$1004:$AQ$1004,1,MATCH(COLUMNS($AB$1006:AF1006),$AB$1006:$AQ$1006,0)))),"Fix")))</f>
        <v>0</v>
      </c>
      <c r="G674" s="5">
        <f>IF(OR(INDEX($V$2:$V$1001,MATCH(ROWS($U$2:U674),$U$2:$U$1001,0),1)&gt;=100000,INDEX($AB$1005:$AQ$1005,1,MATCH(COLUMNS($AB$1006:AG1006),$AB$1006:$AQ$1006,0))&gt;=100000), " ",IF(INDEX($AB$2:$AQ$1001,MATCH(ROWS($U$2:U674),$U$2:$U$1001,0),MATCH(COLUMNS($AB$1006:AG1006),$AB$1006:$AQ$1006,0)), HYPERLINK("#",""), HYPERLINK(CONCATENATE("#Metadata!", ADDRESS(INDEX($W$2:$W$1001,MATCH(ROWS($U$2:U674),$U$2:$U$1001,0),0), INDEX($AB$1004:$AQ$1004,1,MATCH(COLUMNS($AB$1006:AG1006),$AB$1006:$AQ$1006,0)))),"Fix")))</f>
        <v>0</v>
      </c>
      <c r="H674" s="5">
        <f>IF(OR(INDEX($V$2:$V$1001,MATCH(ROWS($U$2:U674),$U$2:$U$1001,0),1)&gt;=100000,INDEX($AB$1005:$AQ$1005,1,MATCH(COLUMNS($AB$1006:AH1006),$AB$1006:$AQ$1006,0))&gt;=100000), " ",IF(INDEX($AB$2:$AQ$1001,MATCH(ROWS($U$2:U674),$U$2:$U$1001,0),MATCH(COLUMNS($AB$1006:AH1006),$AB$1006:$AQ$1006,0)), HYPERLINK("#",""), HYPERLINK(CONCATENATE("#Metadata!", ADDRESS(INDEX($W$2:$W$1001,MATCH(ROWS($U$2:U674),$U$2:$U$1001,0),0), INDEX($AB$1004:$AQ$1004,1,MATCH(COLUMNS($AB$1006:AH1006),$AB$1006:$AQ$1006,0)))),"Fix")))</f>
        <v>0</v>
      </c>
      <c r="I674" s="5">
        <f>IF(OR(INDEX($V$2:$V$1001,MATCH(ROWS($U$2:U674),$U$2:$U$1001,0),1)&gt;=100000,INDEX($AB$1005:$AQ$1005,1,MATCH(COLUMNS($AB$1006:AI1006),$AB$1006:$AQ$1006,0))&gt;=100000), " ",IF(INDEX($AB$2:$AQ$1001,MATCH(ROWS($U$2:U674),$U$2:$U$1001,0),MATCH(COLUMNS($AB$1006:AI1006),$AB$1006:$AQ$1006,0)), HYPERLINK("#",""), HYPERLINK(CONCATENATE("#Metadata!", ADDRESS(INDEX($W$2:$W$1001,MATCH(ROWS($U$2:U674),$U$2:$U$1001,0),0), INDEX($AB$1004:$AQ$1004,1,MATCH(COLUMNS($AB$1006:AI1006),$AB$1006:$AQ$1006,0)))),"Fix")))</f>
        <v>0</v>
      </c>
      <c r="J674" s="5">
        <f>IF(OR(INDEX($V$2:$V$1001,MATCH(ROWS($U$2:U674),$U$2:$U$1001,0),1)&gt;=100000,INDEX($AB$1005:$AQ$1005,1,MATCH(COLUMNS($AB$1006:AJ1006),$AB$1006:$AQ$1006,0))&gt;=100000), " ",IF(INDEX($AB$2:$AQ$1001,MATCH(ROWS($U$2:U674),$U$2:$U$1001,0),MATCH(COLUMNS($AB$1006:AJ1006),$AB$1006:$AQ$1006,0)), HYPERLINK("#",""), HYPERLINK(CONCATENATE("#Metadata!", ADDRESS(INDEX($W$2:$W$1001,MATCH(ROWS($U$2:U674),$U$2:$U$1001,0),0), INDEX($AB$1004:$AQ$1004,1,MATCH(COLUMNS($AB$1006:AJ1006),$AB$1006:$AQ$1006,0)))),"Fix")))</f>
        <v>0</v>
      </c>
      <c r="K674" s="5">
        <f>IF(OR(INDEX($V$2:$V$1001,MATCH(ROWS($U$2:U674),$U$2:$U$1001,0),1)&gt;=100000,INDEX($AB$1005:$AQ$1005,1,MATCH(COLUMNS($AB$1006:AK1006),$AB$1006:$AQ$1006,0))&gt;=100000), " ",IF(INDEX($AB$2:$AQ$1001,MATCH(ROWS($U$2:U674),$U$2:$U$1001,0),MATCH(COLUMNS($AB$1006:AK1006),$AB$1006:$AQ$1006,0)), HYPERLINK("#",""), HYPERLINK(CONCATENATE("#Metadata!", ADDRESS(INDEX($W$2:$W$1001,MATCH(ROWS($U$2:U674),$U$2:$U$1001,0),0), INDEX($AB$1004:$AQ$1004,1,MATCH(COLUMNS($AB$1006:AK1006),$AB$1006:$AQ$1006,0)))),"Fix")))</f>
        <v>0</v>
      </c>
      <c r="L674" s="5">
        <f>IF(OR(INDEX($V$2:$V$1001,MATCH(ROWS($U$2:U674),$U$2:$U$1001,0),1)&gt;=100000,INDEX($AB$1005:$AQ$1005,1,MATCH(COLUMNS($AB$1006:AL1006),$AB$1006:$AQ$1006,0))&gt;=100000), " ",IF(INDEX($AB$2:$AQ$1001,MATCH(ROWS($U$2:U674),$U$2:$U$1001,0),MATCH(COLUMNS($AB$1006:AL1006),$AB$1006:$AQ$1006,0)), HYPERLINK("#",""), HYPERLINK(CONCATENATE("#Metadata!", ADDRESS(INDEX($W$2:$W$1001,MATCH(ROWS($U$2:U674),$U$2:$U$1001,0),0), INDEX($AB$1004:$AQ$1004,1,MATCH(COLUMNS($AB$1006:AL1006),$AB$1006:$AQ$1006,0)))),"Fix")))</f>
        <v>0</v>
      </c>
      <c r="M674" s="5">
        <f>IF(OR(INDEX($V$2:$V$1001,MATCH(ROWS($U$2:U674),$U$2:$U$1001,0),1)&gt;=100000,INDEX($AB$1005:$AQ$1005,1,MATCH(COLUMNS($AB$1006:AM1006),$AB$1006:$AQ$1006,0))&gt;=100000), " ",IF(INDEX($AB$2:$AQ$1001,MATCH(ROWS($U$2:U674),$U$2:$U$1001,0),MATCH(COLUMNS($AB$1006:AM1006),$AB$1006:$AQ$1006,0)), HYPERLINK("#",""), HYPERLINK(CONCATENATE("#Metadata!", ADDRESS(INDEX($W$2:$W$1001,MATCH(ROWS($U$2:U674),$U$2:$U$1001,0),0), INDEX($AB$1004:$AQ$1004,1,MATCH(COLUMNS($AB$1006:AM1006),$AB$1006:$AQ$1006,0)))),"Fix")))</f>
        <v>0</v>
      </c>
      <c r="N674" s="5">
        <f>IF(OR(INDEX($V$2:$V$1001,MATCH(ROWS($U$2:U674),$U$2:$U$1001,0),1)&gt;=100000,INDEX($AB$1005:$AQ$1005,1,MATCH(COLUMNS($AB$1006:AN1006),$AB$1006:$AQ$1006,0))&gt;=100000), " ",IF(INDEX($AB$2:$AQ$1001,MATCH(ROWS($U$2:U674),$U$2:$U$1001,0),MATCH(COLUMNS($AB$1006:AN1006),$AB$1006:$AQ$1006,0)), HYPERLINK("#",""), HYPERLINK(CONCATENATE("#Metadata!", ADDRESS(INDEX($W$2:$W$1001,MATCH(ROWS($U$2:U674),$U$2:$U$1001,0),0), INDEX($AB$1004:$AQ$1004,1,MATCH(COLUMNS($AB$1006:AN1006),$AB$1006:$AQ$1006,0)))),"Fix")))</f>
        <v>0</v>
      </c>
      <c r="O674" s="5">
        <f>IF(OR(INDEX($V$2:$V$1001,MATCH(ROWS($U$2:U674),$U$2:$U$1001,0),1)&gt;=100000,INDEX($AB$1005:$AQ$1005,1,MATCH(COLUMNS($AB$1006:AO1006),$AB$1006:$AQ$1006,0))&gt;=100000), " ",IF(INDEX($AB$2:$AQ$1001,MATCH(ROWS($U$2:U674),$U$2:$U$1001,0),MATCH(COLUMNS($AB$1006:AO1006),$AB$1006:$AQ$1006,0)), HYPERLINK("#",""), HYPERLINK(CONCATENATE("#Metadata!", ADDRESS(INDEX($W$2:$W$1001,MATCH(ROWS($U$2:U674),$U$2:$U$1001,0),0), INDEX($AB$1004:$AQ$1004,1,MATCH(COLUMNS($AB$1006:AO1006),$AB$1006:$AQ$1006,0)))),"Fix")))</f>
        <v>0</v>
      </c>
      <c r="P674" s="5">
        <f>IF(OR(INDEX($V$2:$V$1001,MATCH(ROWS($U$2:U674),$U$2:$U$1001,0),1)&gt;=100000,INDEX($AB$1005:$AQ$1005,1,MATCH(COLUMNS($AB$1006:AP1006),$AB$1006:$AQ$1006,0))&gt;=100000), " ",IF(INDEX($AB$2:$AQ$1001,MATCH(ROWS($U$2:U674),$U$2:$U$1001,0),MATCH(COLUMNS($AB$1006:AP1006),$AB$1006:$AQ$1006,0)), HYPERLINK("#",""), HYPERLINK(CONCATENATE("#Metadata!", ADDRESS(INDEX($W$2:$W$1001,MATCH(ROWS($U$2:U674),$U$2:$U$1001,0),0), INDEX($AB$1004:$AQ$1004,1,MATCH(COLUMNS($AB$1006:AP1006),$AB$1006:$AQ$1006,0)))),"Fix")))</f>
        <v>0</v>
      </c>
      <c r="Q674" s="5">
        <f>IF(OR(INDEX($V$2:$V$1001,MATCH(ROWS($U$2:U674),$U$2:$U$1001,0),1)&gt;=100000,INDEX($AB$1005:$AQ$1005,1,MATCH(COLUMNS($AB$1006:AQ1006),$AB$1006:$AQ$1006,0))&gt;=100000), " ",IF(INDEX($AB$2:$AQ$1001,MATCH(ROWS($U$2:U674),$U$2:$U$1001,0),MATCH(COLUMNS($AB$1006:AQ1006),$AB$1006:$AQ$1006,0)), HYPERLINK("#",""), HYPERLINK(CONCATENATE("#Metadata!", ADDRESS(INDEX($W$2:$W$1001,MATCH(ROWS($U$2:U674),$U$2:$U$1001,0),0), INDEX($AB$1004:$AQ$1004,1,MATCH(COLUMNS($AB$1006:AQ1006),$AB$1006:$AQ$1006,0)))),"Fix")))</f>
        <v>0</v>
      </c>
      <c r="U674">
        <v>0</v>
      </c>
      <c r="V674">
        <v>0</v>
      </c>
      <c r="W674">
        <v>0</v>
      </c>
      <c r="X674">
        <f>IF(Y674,TRUE,AND(AB674:AQ674))</f>
        <v>0</v>
      </c>
      <c r="Y674">
        <f>COUNTBLANK(Metadata!B674:Q674)=COLUMNS(Metadata!B674:Q674)</f>
        <v>0</v>
      </c>
      <c r="Z674">
        <v>0</v>
      </c>
      <c r="AB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AC674">
        <f>AND(IF(Metadata!C674="",FALSE,TRUE),exact(Metadata!C674,"urban biome"))</f>
        <v>0</v>
      </c>
      <c r="AD674">
        <f>AND(IF(Metadata!D674="",FALSE,TRUE),exact(Metadata!D674,"human-associated habitat"))</f>
        <v>0</v>
      </c>
      <c r="AE674">
        <f>AND(IF(Metadata!E674="",FALSE,TRUE),OR(exact(Metadata!E674,"human-associated"),exact(Metadata!E674,"human-skin"),exact(Metadata!E674,"human-oral"),exact(Metadata!E674,"human-gut"),exact(Metadata!E674,"human-vaginal")))</f>
        <v>0</v>
      </c>
      <c r="AF674">
        <f>AND(IF(Metadata!F674="",FALSE,ISNUMBER(VALUE(Metadata!F674))),Metadata!F674&gt;0)</f>
        <v>0</v>
      </c>
      <c r="AG674">
        <f>AND(IF(Metadata!G674="",FALSE,TRUE),exact(Metadata!G674,"years"))</f>
        <v>0</v>
      </c>
      <c r="AH674">
        <f>OR(AND(IF(Metadata!H674="",FALSE,TRUE),OR(exact(Metadata!H674,"not applicable"),exact(Metadata!H674,"not collected"),exact(Metadata!H674,"not provided"),exact(Metadata!H674,"restricted access"))),AND(IF(Metadata!H674="",FALSE,ISNUMBER(VALUE(Metadata!H674))),Metadata!H674&gt;0))</f>
        <v>0</v>
      </c>
      <c r="AI674">
        <f>AND(IF(Metadata!I674="",FALSE,TRUE),exact(Metadata!I674,"human"))</f>
        <v>0</v>
      </c>
      <c r="AJ674">
        <f>AND(IF(Metadata!J674="",FALSE,ISNUMBER(VALUE(Metadata!J674))),Metadata!J674&gt;0)</f>
        <v>0</v>
      </c>
      <c r="AK674">
        <f>AND(IF(Metadata!K674="",FALSE,TRUE),exact(Metadata!K674,"cm"))</f>
        <v>0</v>
      </c>
      <c r="AL674">
        <f>AND(IF(Metadata!L674="",FALSE,TRUE),exact(Metadata!L674,"Homo sapiens"))</f>
        <v>0</v>
      </c>
      <c r="AM674">
        <f>AND(IF(Metadata!M674="",FALSE,TRUE),exact(Metadata!M674,"9606"))</f>
        <v>0</v>
      </c>
      <c r="AN674">
        <f>AND(IF(Metadata!N674="",FALSE,ISNUMBER(VALUE(Metadata!N674))),Metadata!N674&gt;0)</f>
        <v>0</v>
      </c>
      <c r="AO674">
        <f>AND(IF(Metadata!O674="",FALSE,TRUE),exact(Metadata!O674,"kg"))</f>
        <v>0</v>
      </c>
      <c r="AP674">
        <f>OR(AND(IF(Metadata!P674="",FALSE,TRUE),exact(Metadata!P674,"not provided")),IF(Metadata!P674="",FALSE,TRUE))</f>
        <v>0</v>
      </c>
      <c r="AQ674">
        <f>OR(AND(IF(Metadata!Q674="",FALSE,TRUE),exact(Metadata!Q674,"not provided")),IF(Metadata!Q674="",FALSE,TRUE))</f>
        <v>0</v>
      </c>
    </row>
    <row r="675" spans="1:43">
      <c r="A675" s="4">
        <f>IF(B675=" "," ",HYPERLINK(CONCATENATE("#metadata!",ADDRESS(INDEX($W$2:$W$1001,MATCH(ROWS($U$2:U675),$U$2:$U$1001,0),0),2)),INDEX($Z$2:$Z$1001,MATCH(ROWS($U$2:U675),$U$2:$U$1001,0),0)))</f>
        <v>0</v>
      </c>
      <c r="B675" s="5">
        <f>IF(OR(INDEX($V$2:$V$1001,MATCH(ROWS($U$2:U675),$U$2:$U$1001,0),1)&gt;=100000,INDEX($AB$1005:$AQ$1005,1,MATCH(COLUMNS($AB$1006:AB1006),$AB$1006:$AQ$1006,0))&gt;=100000), " ",IF(INDEX($AB$2:$AQ$1001,MATCH(ROWS($U$2:U675),$U$2:$U$1001,0),MATCH(COLUMNS($AB$1006:AB1006),$AB$1006:$AQ$1006,0)), HYPERLINK("#",""), HYPERLINK(CONCATENATE("#Metadata!", ADDRESS(INDEX($W$2:$W$1001,MATCH(ROWS($U$2:U675),$U$2:$U$1001,0),0), INDEX($AB$1004:$AQ$1004,1,MATCH(COLUMNS($AB$1006:AB1006),$AB$1006:$AQ$1006,0)))),"Fix")))</f>
        <v>0</v>
      </c>
      <c r="C675" s="5">
        <f>IF(OR(INDEX($V$2:$V$1001,MATCH(ROWS($U$2:U675),$U$2:$U$1001,0),1)&gt;=100000,INDEX($AB$1005:$AQ$1005,1,MATCH(COLUMNS($AB$1006:AC1006),$AB$1006:$AQ$1006,0))&gt;=100000), " ",IF(INDEX($AB$2:$AQ$1001,MATCH(ROWS($U$2:U675),$U$2:$U$1001,0),MATCH(COLUMNS($AB$1006:AC1006),$AB$1006:$AQ$1006,0)), HYPERLINK("#",""), HYPERLINK(CONCATENATE("#Metadata!", ADDRESS(INDEX($W$2:$W$1001,MATCH(ROWS($U$2:U675),$U$2:$U$1001,0),0), INDEX($AB$1004:$AQ$1004,1,MATCH(COLUMNS($AB$1006:AC1006),$AB$1006:$AQ$1006,0)))),"Fix")))</f>
        <v>0</v>
      </c>
      <c r="D675" s="5">
        <f>IF(OR(INDEX($V$2:$V$1001,MATCH(ROWS($U$2:U675),$U$2:$U$1001,0),1)&gt;=100000,INDEX($AB$1005:$AQ$1005,1,MATCH(COLUMNS($AB$1006:AD1006),$AB$1006:$AQ$1006,0))&gt;=100000), " ",IF(INDEX($AB$2:$AQ$1001,MATCH(ROWS($U$2:U675),$U$2:$U$1001,0),MATCH(COLUMNS($AB$1006:AD1006),$AB$1006:$AQ$1006,0)), HYPERLINK("#",""), HYPERLINK(CONCATENATE("#Metadata!", ADDRESS(INDEX($W$2:$W$1001,MATCH(ROWS($U$2:U675),$U$2:$U$1001,0),0), INDEX($AB$1004:$AQ$1004,1,MATCH(COLUMNS($AB$1006:AD1006),$AB$1006:$AQ$1006,0)))),"Fix")))</f>
        <v>0</v>
      </c>
      <c r="E675" s="5">
        <f>IF(OR(INDEX($V$2:$V$1001,MATCH(ROWS($U$2:U675),$U$2:$U$1001,0),1)&gt;=100000,INDEX($AB$1005:$AQ$1005,1,MATCH(COLUMNS($AB$1006:AE1006),$AB$1006:$AQ$1006,0))&gt;=100000), " ",IF(INDEX($AB$2:$AQ$1001,MATCH(ROWS($U$2:U675),$U$2:$U$1001,0),MATCH(COLUMNS($AB$1006:AE1006),$AB$1006:$AQ$1006,0)), HYPERLINK("#",""), HYPERLINK(CONCATENATE("#Metadata!", ADDRESS(INDEX($W$2:$W$1001,MATCH(ROWS($U$2:U675),$U$2:$U$1001,0),0), INDEX($AB$1004:$AQ$1004,1,MATCH(COLUMNS($AB$1006:AE1006),$AB$1006:$AQ$1006,0)))),"Fix")))</f>
        <v>0</v>
      </c>
      <c r="F675" s="5">
        <f>IF(OR(INDEX($V$2:$V$1001,MATCH(ROWS($U$2:U675),$U$2:$U$1001,0),1)&gt;=100000,INDEX($AB$1005:$AQ$1005,1,MATCH(COLUMNS($AB$1006:AF1006),$AB$1006:$AQ$1006,0))&gt;=100000), " ",IF(INDEX($AB$2:$AQ$1001,MATCH(ROWS($U$2:U675),$U$2:$U$1001,0),MATCH(COLUMNS($AB$1006:AF1006),$AB$1006:$AQ$1006,0)), HYPERLINK("#",""), HYPERLINK(CONCATENATE("#Metadata!", ADDRESS(INDEX($W$2:$W$1001,MATCH(ROWS($U$2:U675),$U$2:$U$1001,0),0), INDEX($AB$1004:$AQ$1004,1,MATCH(COLUMNS($AB$1006:AF1006),$AB$1006:$AQ$1006,0)))),"Fix")))</f>
        <v>0</v>
      </c>
      <c r="G675" s="5">
        <f>IF(OR(INDEX($V$2:$V$1001,MATCH(ROWS($U$2:U675),$U$2:$U$1001,0),1)&gt;=100000,INDEX($AB$1005:$AQ$1005,1,MATCH(COLUMNS($AB$1006:AG1006),$AB$1006:$AQ$1006,0))&gt;=100000), " ",IF(INDEX($AB$2:$AQ$1001,MATCH(ROWS($U$2:U675),$U$2:$U$1001,0),MATCH(COLUMNS($AB$1006:AG1006),$AB$1006:$AQ$1006,0)), HYPERLINK("#",""), HYPERLINK(CONCATENATE("#Metadata!", ADDRESS(INDEX($W$2:$W$1001,MATCH(ROWS($U$2:U675),$U$2:$U$1001,0),0), INDEX($AB$1004:$AQ$1004,1,MATCH(COLUMNS($AB$1006:AG1006),$AB$1006:$AQ$1006,0)))),"Fix")))</f>
        <v>0</v>
      </c>
      <c r="H675" s="5">
        <f>IF(OR(INDEX($V$2:$V$1001,MATCH(ROWS($U$2:U675),$U$2:$U$1001,0),1)&gt;=100000,INDEX($AB$1005:$AQ$1005,1,MATCH(COLUMNS($AB$1006:AH1006),$AB$1006:$AQ$1006,0))&gt;=100000), " ",IF(INDEX($AB$2:$AQ$1001,MATCH(ROWS($U$2:U675),$U$2:$U$1001,0),MATCH(COLUMNS($AB$1006:AH1006),$AB$1006:$AQ$1006,0)), HYPERLINK("#",""), HYPERLINK(CONCATENATE("#Metadata!", ADDRESS(INDEX($W$2:$W$1001,MATCH(ROWS($U$2:U675),$U$2:$U$1001,0),0), INDEX($AB$1004:$AQ$1004,1,MATCH(COLUMNS($AB$1006:AH1006),$AB$1006:$AQ$1006,0)))),"Fix")))</f>
        <v>0</v>
      </c>
      <c r="I675" s="5">
        <f>IF(OR(INDEX($V$2:$V$1001,MATCH(ROWS($U$2:U675),$U$2:$U$1001,0),1)&gt;=100000,INDEX($AB$1005:$AQ$1005,1,MATCH(COLUMNS($AB$1006:AI1006),$AB$1006:$AQ$1006,0))&gt;=100000), " ",IF(INDEX($AB$2:$AQ$1001,MATCH(ROWS($U$2:U675),$U$2:$U$1001,0),MATCH(COLUMNS($AB$1006:AI1006),$AB$1006:$AQ$1006,0)), HYPERLINK("#",""), HYPERLINK(CONCATENATE("#Metadata!", ADDRESS(INDEX($W$2:$W$1001,MATCH(ROWS($U$2:U675),$U$2:$U$1001,0),0), INDEX($AB$1004:$AQ$1004,1,MATCH(COLUMNS($AB$1006:AI1006),$AB$1006:$AQ$1006,0)))),"Fix")))</f>
        <v>0</v>
      </c>
      <c r="J675" s="5">
        <f>IF(OR(INDEX($V$2:$V$1001,MATCH(ROWS($U$2:U675),$U$2:$U$1001,0),1)&gt;=100000,INDEX($AB$1005:$AQ$1005,1,MATCH(COLUMNS($AB$1006:AJ1006),$AB$1006:$AQ$1006,0))&gt;=100000), " ",IF(INDEX($AB$2:$AQ$1001,MATCH(ROWS($U$2:U675),$U$2:$U$1001,0),MATCH(COLUMNS($AB$1006:AJ1006),$AB$1006:$AQ$1006,0)), HYPERLINK("#",""), HYPERLINK(CONCATENATE("#Metadata!", ADDRESS(INDEX($W$2:$W$1001,MATCH(ROWS($U$2:U675),$U$2:$U$1001,0),0), INDEX($AB$1004:$AQ$1004,1,MATCH(COLUMNS($AB$1006:AJ1006),$AB$1006:$AQ$1006,0)))),"Fix")))</f>
        <v>0</v>
      </c>
      <c r="K675" s="5">
        <f>IF(OR(INDEX($V$2:$V$1001,MATCH(ROWS($U$2:U675),$U$2:$U$1001,0),1)&gt;=100000,INDEX($AB$1005:$AQ$1005,1,MATCH(COLUMNS($AB$1006:AK1006),$AB$1006:$AQ$1006,0))&gt;=100000), " ",IF(INDEX($AB$2:$AQ$1001,MATCH(ROWS($U$2:U675),$U$2:$U$1001,0),MATCH(COLUMNS($AB$1006:AK1006),$AB$1006:$AQ$1006,0)), HYPERLINK("#",""), HYPERLINK(CONCATENATE("#Metadata!", ADDRESS(INDEX($W$2:$W$1001,MATCH(ROWS($U$2:U675),$U$2:$U$1001,0),0), INDEX($AB$1004:$AQ$1004,1,MATCH(COLUMNS($AB$1006:AK1006),$AB$1006:$AQ$1006,0)))),"Fix")))</f>
        <v>0</v>
      </c>
      <c r="L675" s="5">
        <f>IF(OR(INDEX($V$2:$V$1001,MATCH(ROWS($U$2:U675),$U$2:$U$1001,0),1)&gt;=100000,INDEX($AB$1005:$AQ$1005,1,MATCH(COLUMNS($AB$1006:AL1006),$AB$1006:$AQ$1006,0))&gt;=100000), " ",IF(INDEX($AB$2:$AQ$1001,MATCH(ROWS($U$2:U675),$U$2:$U$1001,0),MATCH(COLUMNS($AB$1006:AL1006),$AB$1006:$AQ$1006,0)), HYPERLINK("#",""), HYPERLINK(CONCATENATE("#Metadata!", ADDRESS(INDEX($W$2:$W$1001,MATCH(ROWS($U$2:U675),$U$2:$U$1001,0),0), INDEX($AB$1004:$AQ$1004,1,MATCH(COLUMNS($AB$1006:AL1006),$AB$1006:$AQ$1006,0)))),"Fix")))</f>
        <v>0</v>
      </c>
      <c r="M675" s="5">
        <f>IF(OR(INDEX($V$2:$V$1001,MATCH(ROWS($U$2:U675),$U$2:$U$1001,0),1)&gt;=100000,INDEX($AB$1005:$AQ$1005,1,MATCH(COLUMNS($AB$1006:AM1006),$AB$1006:$AQ$1006,0))&gt;=100000), " ",IF(INDEX($AB$2:$AQ$1001,MATCH(ROWS($U$2:U675),$U$2:$U$1001,0),MATCH(COLUMNS($AB$1006:AM1006),$AB$1006:$AQ$1006,0)), HYPERLINK("#",""), HYPERLINK(CONCATENATE("#Metadata!", ADDRESS(INDEX($W$2:$W$1001,MATCH(ROWS($U$2:U675),$U$2:$U$1001,0),0), INDEX($AB$1004:$AQ$1004,1,MATCH(COLUMNS($AB$1006:AM1006),$AB$1006:$AQ$1006,0)))),"Fix")))</f>
        <v>0</v>
      </c>
      <c r="N675" s="5">
        <f>IF(OR(INDEX($V$2:$V$1001,MATCH(ROWS($U$2:U675),$U$2:$U$1001,0),1)&gt;=100000,INDEX($AB$1005:$AQ$1005,1,MATCH(COLUMNS($AB$1006:AN1006),$AB$1006:$AQ$1006,0))&gt;=100000), " ",IF(INDEX($AB$2:$AQ$1001,MATCH(ROWS($U$2:U675),$U$2:$U$1001,0),MATCH(COLUMNS($AB$1006:AN1006),$AB$1006:$AQ$1006,0)), HYPERLINK("#",""), HYPERLINK(CONCATENATE("#Metadata!", ADDRESS(INDEX($W$2:$W$1001,MATCH(ROWS($U$2:U675),$U$2:$U$1001,0),0), INDEX($AB$1004:$AQ$1004,1,MATCH(COLUMNS($AB$1006:AN1006),$AB$1006:$AQ$1006,0)))),"Fix")))</f>
        <v>0</v>
      </c>
      <c r="O675" s="5">
        <f>IF(OR(INDEX($V$2:$V$1001,MATCH(ROWS($U$2:U675),$U$2:$U$1001,0),1)&gt;=100000,INDEX($AB$1005:$AQ$1005,1,MATCH(COLUMNS($AB$1006:AO1006),$AB$1006:$AQ$1006,0))&gt;=100000), " ",IF(INDEX($AB$2:$AQ$1001,MATCH(ROWS($U$2:U675),$U$2:$U$1001,0),MATCH(COLUMNS($AB$1006:AO1006),$AB$1006:$AQ$1006,0)), HYPERLINK("#",""), HYPERLINK(CONCATENATE("#Metadata!", ADDRESS(INDEX($W$2:$W$1001,MATCH(ROWS($U$2:U675),$U$2:$U$1001,0),0), INDEX($AB$1004:$AQ$1004,1,MATCH(COLUMNS($AB$1006:AO1006),$AB$1006:$AQ$1006,0)))),"Fix")))</f>
        <v>0</v>
      </c>
      <c r="P675" s="5">
        <f>IF(OR(INDEX($V$2:$V$1001,MATCH(ROWS($U$2:U675),$U$2:$U$1001,0),1)&gt;=100000,INDEX($AB$1005:$AQ$1005,1,MATCH(COLUMNS($AB$1006:AP1006),$AB$1006:$AQ$1006,0))&gt;=100000), " ",IF(INDEX($AB$2:$AQ$1001,MATCH(ROWS($U$2:U675),$U$2:$U$1001,0),MATCH(COLUMNS($AB$1006:AP1006),$AB$1006:$AQ$1006,0)), HYPERLINK("#",""), HYPERLINK(CONCATENATE("#Metadata!", ADDRESS(INDEX($W$2:$W$1001,MATCH(ROWS($U$2:U675),$U$2:$U$1001,0),0), INDEX($AB$1004:$AQ$1004,1,MATCH(COLUMNS($AB$1006:AP1006),$AB$1006:$AQ$1006,0)))),"Fix")))</f>
        <v>0</v>
      </c>
      <c r="Q675" s="5">
        <f>IF(OR(INDEX($V$2:$V$1001,MATCH(ROWS($U$2:U675),$U$2:$U$1001,0),1)&gt;=100000,INDEX($AB$1005:$AQ$1005,1,MATCH(COLUMNS($AB$1006:AQ1006),$AB$1006:$AQ$1006,0))&gt;=100000), " ",IF(INDEX($AB$2:$AQ$1001,MATCH(ROWS($U$2:U675),$U$2:$U$1001,0),MATCH(COLUMNS($AB$1006:AQ1006),$AB$1006:$AQ$1006,0)), HYPERLINK("#",""), HYPERLINK(CONCATENATE("#Metadata!", ADDRESS(INDEX($W$2:$W$1001,MATCH(ROWS($U$2:U675),$U$2:$U$1001,0),0), INDEX($AB$1004:$AQ$1004,1,MATCH(COLUMNS($AB$1006:AQ1006),$AB$1006:$AQ$1006,0)))),"Fix")))</f>
        <v>0</v>
      </c>
      <c r="U675">
        <v>0</v>
      </c>
      <c r="V675">
        <v>0</v>
      </c>
      <c r="W675">
        <v>0</v>
      </c>
      <c r="X675">
        <f>IF(Y675,TRUE,AND(AB675:AQ675))</f>
        <v>0</v>
      </c>
      <c r="Y675">
        <f>COUNTBLANK(Metadata!B675:Q675)=COLUMNS(Metadata!B675:Q675)</f>
        <v>0</v>
      </c>
      <c r="Z675">
        <v>0</v>
      </c>
      <c r="AB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AC675">
        <f>AND(IF(Metadata!C675="",FALSE,TRUE),exact(Metadata!C675,"urban biome"))</f>
        <v>0</v>
      </c>
      <c r="AD675">
        <f>AND(IF(Metadata!D675="",FALSE,TRUE),exact(Metadata!D675,"human-associated habitat"))</f>
        <v>0</v>
      </c>
      <c r="AE675">
        <f>AND(IF(Metadata!E675="",FALSE,TRUE),OR(exact(Metadata!E675,"human-associated"),exact(Metadata!E675,"human-skin"),exact(Metadata!E675,"human-oral"),exact(Metadata!E675,"human-gut"),exact(Metadata!E675,"human-vaginal")))</f>
        <v>0</v>
      </c>
      <c r="AF675">
        <f>AND(IF(Metadata!F675="",FALSE,ISNUMBER(VALUE(Metadata!F675))),Metadata!F675&gt;0)</f>
        <v>0</v>
      </c>
      <c r="AG675">
        <f>AND(IF(Metadata!G675="",FALSE,TRUE),exact(Metadata!G675,"years"))</f>
        <v>0</v>
      </c>
      <c r="AH675">
        <f>OR(AND(IF(Metadata!H675="",FALSE,TRUE),OR(exact(Metadata!H675,"not applicable"),exact(Metadata!H675,"not collected"),exact(Metadata!H675,"not provided"),exact(Metadata!H675,"restricted access"))),AND(IF(Metadata!H675="",FALSE,ISNUMBER(VALUE(Metadata!H675))),Metadata!H675&gt;0))</f>
        <v>0</v>
      </c>
      <c r="AI675">
        <f>AND(IF(Metadata!I675="",FALSE,TRUE),exact(Metadata!I675,"human"))</f>
        <v>0</v>
      </c>
      <c r="AJ675">
        <f>AND(IF(Metadata!J675="",FALSE,ISNUMBER(VALUE(Metadata!J675))),Metadata!J675&gt;0)</f>
        <v>0</v>
      </c>
      <c r="AK675">
        <f>AND(IF(Metadata!K675="",FALSE,TRUE),exact(Metadata!K675,"cm"))</f>
        <v>0</v>
      </c>
      <c r="AL675">
        <f>AND(IF(Metadata!L675="",FALSE,TRUE),exact(Metadata!L675,"Homo sapiens"))</f>
        <v>0</v>
      </c>
      <c r="AM675">
        <f>AND(IF(Metadata!M675="",FALSE,TRUE),exact(Metadata!M675,"9606"))</f>
        <v>0</v>
      </c>
      <c r="AN675">
        <f>AND(IF(Metadata!N675="",FALSE,ISNUMBER(VALUE(Metadata!N675))),Metadata!N675&gt;0)</f>
        <v>0</v>
      </c>
      <c r="AO675">
        <f>AND(IF(Metadata!O675="",FALSE,TRUE),exact(Metadata!O675,"kg"))</f>
        <v>0</v>
      </c>
      <c r="AP675">
        <f>OR(AND(IF(Metadata!P675="",FALSE,TRUE),exact(Metadata!P675,"not provided")),IF(Metadata!P675="",FALSE,TRUE))</f>
        <v>0</v>
      </c>
      <c r="AQ675">
        <f>OR(AND(IF(Metadata!Q675="",FALSE,TRUE),exact(Metadata!Q675,"not provided")),IF(Metadata!Q675="",FALSE,TRUE))</f>
        <v>0</v>
      </c>
    </row>
    <row r="676" spans="1:43">
      <c r="A676" s="4">
        <f>IF(B676=" "," ",HYPERLINK(CONCATENATE("#metadata!",ADDRESS(INDEX($W$2:$W$1001,MATCH(ROWS($U$2:U676),$U$2:$U$1001,0),0),2)),INDEX($Z$2:$Z$1001,MATCH(ROWS($U$2:U676),$U$2:$U$1001,0),0)))</f>
        <v>0</v>
      </c>
      <c r="B676" s="5">
        <f>IF(OR(INDEX($V$2:$V$1001,MATCH(ROWS($U$2:U676),$U$2:$U$1001,0),1)&gt;=100000,INDEX($AB$1005:$AQ$1005,1,MATCH(COLUMNS($AB$1006:AB1006),$AB$1006:$AQ$1006,0))&gt;=100000), " ",IF(INDEX($AB$2:$AQ$1001,MATCH(ROWS($U$2:U676),$U$2:$U$1001,0),MATCH(COLUMNS($AB$1006:AB1006),$AB$1006:$AQ$1006,0)), HYPERLINK("#",""), HYPERLINK(CONCATENATE("#Metadata!", ADDRESS(INDEX($W$2:$W$1001,MATCH(ROWS($U$2:U676),$U$2:$U$1001,0),0), INDEX($AB$1004:$AQ$1004,1,MATCH(COLUMNS($AB$1006:AB1006),$AB$1006:$AQ$1006,0)))),"Fix")))</f>
        <v>0</v>
      </c>
      <c r="C676" s="5">
        <f>IF(OR(INDEX($V$2:$V$1001,MATCH(ROWS($U$2:U676),$U$2:$U$1001,0),1)&gt;=100000,INDEX($AB$1005:$AQ$1005,1,MATCH(COLUMNS($AB$1006:AC1006),$AB$1006:$AQ$1006,0))&gt;=100000), " ",IF(INDEX($AB$2:$AQ$1001,MATCH(ROWS($U$2:U676),$U$2:$U$1001,0),MATCH(COLUMNS($AB$1006:AC1006),$AB$1006:$AQ$1006,0)), HYPERLINK("#",""), HYPERLINK(CONCATENATE("#Metadata!", ADDRESS(INDEX($W$2:$W$1001,MATCH(ROWS($U$2:U676),$U$2:$U$1001,0),0), INDEX($AB$1004:$AQ$1004,1,MATCH(COLUMNS($AB$1006:AC1006),$AB$1006:$AQ$1006,0)))),"Fix")))</f>
        <v>0</v>
      </c>
      <c r="D676" s="5">
        <f>IF(OR(INDEX($V$2:$V$1001,MATCH(ROWS($U$2:U676),$U$2:$U$1001,0),1)&gt;=100000,INDEX($AB$1005:$AQ$1005,1,MATCH(COLUMNS($AB$1006:AD1006),$AB$1006:$AQ$1006,0))&gt;=100000), " ",IF(INDEX($AB$2:$AQ$1001,MATCH(ROWS($U$2:U676),$U$2:$U$1001,0),MATCH(COLUMNS($AB$1006:AD1006),$AB$1006:$AQ$1006,0)), HYPERLINK("#",""), HYPERLINK(CONCATENATE("#Metadata!", ADDRESS(INDEX($W$2:$W$1001,MATCH(ROWS($U$2:U676),$U$2:$U$1001,0),0), INDEX($AB$1004:$AQ$1004,1,MATCH(COLUMNS($AB$1006:AD1006),$AB$1006:$AQ$1006,0)))),"Fix")))</f>
        <v>0</v>
      </c>
      <c r="E676" s="5">
        <f>IF(OR(INDEX($V$2:$V$1001,MATCH(ROWS($U$2:U676),$U$2:$U$1001,0),1)&gt;=100000,INDEX($AB$1005:$AQ$1005,1,MATCH(COLUMNS($AB$1006:AE1006),$AB$1006:$AQ$1006,0))&gt;=100000), " ",IF(INDEX($AB$2:$AQ$1001,MATCH(ROWS($U$2:U676),$U$2:$U$1001,0),MATCH(COLUMNS($AB$1006:AE1006),$AB$1006:$AQ$1006,0)), HYPERLINK("#",""), HYPERLINK(CONCATENATE("#Metadata!", ADDRESS(INDEX($W$2:$W$1001,MATCH(ROWS($U$2:U676),$U$2:$U$1001,0),0), INDEX($AB$1004:$AQ$1004,1,MATCH(COLUMNS($AB$1006:AE1006),$AB$1006:$AQ$1006,0)))),"Fix")))</f>
        <v>0</v>
      </c>
      <c r="F676" s="5">
        <f>IF(OR(INDEX($V$2:$V$1001,MATCH(ROWS($U$2:U676),$U$2:$U$1001,0),1)&gt;=100000,INDEX($AB$1005:$AQ$1005,1,MATCH(COLUMNS($AB$1006:AF1006),$AB$1006:$AQ$1006,0))&gt;=100000), " ",IF(INDEX($AB$2:$AQ$1001,MATCH(ROWS($U$2:U676),$U$2:$U$1001,0),MATCH(COLUMNS($AB$1006:AF1006),$AB$1006:$AQ$1006,0)), HYPERLINK("#",""), HYPERLINK(CONCATENATE("#Metadata!", ADDRESS(INDEX($W$2:$W$1001,MATCH(ROWS($U$2:U676),$U$2:$U$1001,0),0), INDEX($AB$1004:$AQ$1004,1,MATCH(COLUMNS($AB$1006:AF1006),$AB$1006:$AQ$1006,0)))),"Fix")))</f>
        <v>0</v>
      </c>
      <c r="G676" s="5">
        <f>IF(OR(INDEX($V$2:$V$1001,MATCH(ROWS($U$2:U676),$U$2:$U$1001,0),1)&gt;=100000,INDEX($AB$1005:$AQ$1005,1,MATCH(COLUMNS($AB$1006:AG1006),$AB$1006:$AQ$1006,0))&gt;=100000), " ",IF(INDEX($AB$2:$AQ$1001,MATCH(ROWS($U$2:U676),$U$2:$U$1001,0),MATCH(COLUMNS($AB$1006:AG1006),$AB$1006:$AQ$1006,0)), HYPERLINK("#",""), HYPERLINK(CONCATENATE("#Metadata!", ADDRESS(INDEX($W$2:$W$1001,MATCH(ROWS($U$2:U676),$U$2:$U$1001,0),0), INDEX($AB$1004:$AQ$1004,1,MATCH(COLUMNS($AB$1006:AG1006),$AB$1006:$AQ$1006,0)))),"Fix")))</f>
        <v>0</v>
      </c>
      <c r="H676" s="5">
        <f>IF(OR(INDEX($V$2:$V$1001,MATCH(ROWS($U$2:U676),$U$2:$U$1001,0),1)&gt;=100000,INDEX($AB$1005:$AQ$1005,1,MATCH(COLUMNS($AB$1006:AH1006),$AB$1006:$AQ$1006,0))&gt;=100000), " ",IF(INDEX($AB$2:$AQ$1001,MATCH(ROWS($U$2:U676),$U$2:$U$1001,0),MATCH(COLUMNS($AB$1006:AH1006),$AB$1006:$AQ$1006,0)), HYPERLINK("#",""), HYPERLINK(CONCATENATE("#Metadata!", ADDRESS(INDEX($W$2:$W$1001,MATCH(ROWS($U$2:U676),$U$2:$U$1001,0),0), INDEX($AB$1004:$AQ$1004,1,MATCH(COLUMNS($AB$1006:AH1006),$AB$1006:$AQ$1006,0)))),"Fix")))</f>
        <v>0</v>
      </c>
      <c r="I676" s="5">
        <f>IF(OR(INDEX($V$2:$V$1001,MATCH(ROWS($U$2:U676),$U$2:$U$1001,0),1)&gt;=100000,INDEX($AB$1005:$AQ$1005,1,MATCH(COLUMNS($AB$1006:AI1006),$AB$1006:$AQ$1006,0))&gt;=100000), " ",IF(INDEX($AB$2:$AQ$1001,MATCH(ROWS($U$2:U676),$U$2:$U$1001,0),MATCH(COLUMNS($AB$1006:AI1006),$AB$1006:$AQ$1006,0)), HYPERLINK("#",""), HYPERLINK(CONCATENATE("#Metadata!", ADDRESS(INDEX($W$2:$W$1001,MATCH(ROWS($U$2:U676),$U$2:$U$1001,0),0), INDEX($AB$1004:$AQ$1004,1,MATCH(COLUMNS($AB$1006:AI1006),$AB$1006:$AQ$1006,0)))),"Fix")))</f>
        <v>0</v>
      </c>
      <c r="J676" s="5">
        <f>IF(OR(INDEX($V$2:$V$1001,MATCH(ROWS($U$2:U676),$U$2:$U$1001,0),1)&gt;=100000,INDEX($AB$1005:$AQ$1005,1,MATCH(COLUMNS($AB$1006:AJ1006),$AB$1006:$AQ$1006,0))&gt;=100000), " ",IF(INDEX($AB$2:$AQ$1001,MATCH(ROWS($U$2:U676),$U$2:$U$1001,0),MATCH(COLUMNS($AB$1006:AJ1006),$AB$1006:$AQ$1006,0)), HYPERLINK("#",""), HYPERLINK(CONCATENATE("#Metadata!", ADDRESS(INDEX($W$2:$W$1001,MATCH(ROWS($U$2:U676),$U$2:$U$1001,0),0), INDEX($AB$1004:$AQ$1004,1,MATCH(COLUMNS($AB$1006:AJ1006),$AB$1006:$AQ$1006,0)))),"Fix")))</f>
        <v>0</v>
      </c>
      <c r="K676" s="5">
        <f>IF(OR(INDEX($V$2:$V$1001,MATCH(ROWS($U$2:U676),$U$2:$U$1001,0),1)&gt;=100000,INDEX($AB$1005:$AQ$1005,1,MATCH(COLUMNS($AB$1006:AK1006),$AB$1006:$AQ$1006,0))&gt;=100000), " ",IF(INDEX($AB$2:$AQ$1001,MATCH(ROWS($U$2:U676),$U$2:$U$1001,0),MATCH(COLUMNS($AB$1006:AK1006),$AB$1006:$AQ$1006,0)), HYPERLINK("#",""), HYPERLINK(CONCATENATE("#Metadata!", ADDRESS(INDEX($W$2:$W$1001,MATCH(ROWS($U$2:U676),$U$2:$U$1001,0),0), INDEX($AB$1004:$AQ$1004,1,MATCH(COLUMNS($AB$1006:AK1006),$AB$1006:$AQ$1006,0)))),"Fix")))</f>
        <v>0</v>
      </c>
      <c r="L676" s="5">
        <f>IF(OR(INDEX($V$2:$V$1001,MATCH(ROWS($U$2:U676),$U$2:$U$1001,0),1)&gt;=100000,INDEX($AB$1005:$AQ$1005,1,MATCH(COLUMNS($AB$1006:AL1006),$AB$1006:$AQ$1006,0))&gt;=100000), " ",IF(INDEX($AB$2:$AQ$1001,MATCH(ROWS($U$2:U676),$U$2:$U$1001,0),MATCH(COLUMNS($AB$1006:AL1006),$AB$1006:$AQ$1006,0)), HYPERLINK("#",""), HYPERLINK(CONCATENATE("#Metadata!", ADDRESS(INDEX($W$2:$W$1001,MATCH(ROWS($U$2:U676),$U$2:$U$1001,0),0), INDEX($AB$1004:$AQ$1004,1,MATCH(COLUMNS($AB$1006:AL1006),$AB$1006:$AQ$1006,0)))),"Fix")))</f>
        <v>0</v>
      </c>
      <c r="M676" s="5">
        <f>IF(OR(INDEX($V$2:$V$1001,MATCH(ROWS($U$2:U676),$U$2:$U$1001,0),1)&gt;=100000,INDEX($AB$1005:$AQ$1005,1,MATCH(COLUMNS($AB$1006:AM1006),$AB$1006:$AQ$1006,0))&gt;=100000), " ",IF(INDEX($AB$2:$AQ$1001,MATCH(ROWS($U$2:U676),$U$2:$U$1001,0),MATCH(COLUMNS($AB$1006:AM1006),$AB$1006:$AQ$1006,0)), HYPERLINK("#",""), HYPERLINK(CONCATENATE("#Metadata!", ADDRESS(INDEX($W$2:$W$1001,MATCH(ROWS($U$2:U676),$U$2:$U$1001,0),0), INDEX($AB$1004:$AQ$1004,1,MATCH(COLUMNS($AB$1006:AM1006),$AB$1006:$AQ$1006,0)))),"Fix")))</f>
        <v>0</v>
      </c>
      <c r="N676" s="5">
        <f>IF(OR(INDEX($V$2:$V$1001,MATCH(ROWS($U$2:U676),$U$2:$U$1001,0),1)&gt;=100000,INDEX($AB$1005:$AQ$1005,1,MATCH(COLUMNS($AB$1006:AN1006),$AB$1006:$AQ$1006,0))&gt;=100000), " ",IF(INDEX($AB$2:$AQ$1001,MATCH(ROWS($U$2:U676),$U$2:$U$1001,0),MATCH(COLUMNS($AB$1006:AN1006),$AB$1006:$AQ$1006,0)), HYPERLINK("#",""), HYPERLINK(CONCATENATE("#Metadata!", ADDRESS(INDEX($W$2:$W$1001,MATCH(ROWS($U$2:U676),$U$2:$U$1001,0),0), INDEX($AB$1004:$AQ$1004,1,MATCH(COLUMNS($AB$1006:AN1006),$AB$1006:$AQ$1006,0)))),"Fix")))</f>
        <v>0</v>
      </c>
      <c r="O676" s="5">
        <f>IF(OR(INDEX($V$2:$V$1001,MATCH(ROWS($U$2:U676),$U$2:$U$1001,0),1)&gt;=100000,INDEX($AB$1005:$AQ$1005,1,MATCH(COLUMNS($AB$1006:AO1006),$AB$1006:$AQ$1006,0))&gt;=100000), " ",IF(INDEX($AB$2:$AQ$1001,MATCH(ROWS($U$2:U676),$U$2:$U$1001,0),MATCH(COLUMNS($AB$1006:AO1006),$AB$1006:$AQ$1006,0)), HYPERLINK("#",""), HYPERLINK(CONCATENATE("#Metadata!", ADDRESS(INDEX($W$2:$W$1001,MATCH(ROWS($U$2:U676),$U$2:$U$1001,0),0), INDEX($AB$1004:$AQ$1004,1,MATCH(COLUMNS($AB$1006:AO1006),$AB$1006:$AQ$1006,0)))),"Fix")))</f>
        <v>0</v>
      </c>
      <c r="P676" s="5">
        <f>IF(OR(INDEX($V$2:$V$1001,MATCH(ROWS($U$2:U676),$U$2:$U$1001,0),1)&gt;=100000,INDEX($AB$1005:$AQ$1005,1,MATCH(COLUMNS($AB$1006:AP1006),$AB$1006:$AQ$1006,0))&gt;=100000), " ",IF(INDEX($AB$2:$AQ$1001,MATCH(ROWS($U$2:U676),$U$2:$U$1001,0),MATCH(COLUMNS($AB$1006:AP1006),$AB$1006:$AQ$1006,0)), HYPERLINK("#",""), HYPERLINK(CONCATENATE("#Metadata!", ADDRESS(INDEX($W$2:$W$1001,MATCH(ROWS($U$2:U676),$U$2:$U$1001,0),0), INDEX($AB$1004:$AQ$1004,1,MATCH(COLUMNS($AB$1006:AP1006),$AB$1006:$AQ$1006,0)))),"Fix")))</f>
        <v>0</v>
      </c>
      <c r="Q676" s="5">
        <f>IF(OR(INDEX($V$2:$V$1001,MATCH(ROWS($U$2:U676),$U$2:$U$1001,0),1)&gt;=100000,INDEX($AB$1005:$AQ$1005,1,MATCH(COLUMNS($AB$1006:AQ1006),$AB$1006:$AQ$1006,0))&gt;=100000), " ",IF(INDEX($AB$2:$AQ$1001,MATCH(ROWS($U$2:U676),$U$2:$U$1001,0),MATCH(COLUMNS($AB$1006:AQ1006),$AB$1006:$AQ$1006,0)), HYPERLINK("#",""), HYPERLINK(CONCATENATE("#Metadata!", ADDRESS(INDEX($W$2:$W$1001,MATCH(ROWS($U$2:U676),$U$2:$U$1001,0),0), INDEX($AB$1004:$AQ$1004,1,MATCH(COLUMNS($AB$1006:AQ1006),$AB$1006:$AQ$1006,0)))),"Fix")))</f>
        <v>0</v>
      </c>
      <c r="U676">
        <v>0</v>
      </c>
      <c r="V676">
        <v>0</v>
      </c>
      <c r="W676">
        <v>0</v>
      </c>
      <c r="X676">
        <f>IF(Y676,TRUE,AND(AB676:AQ676))</f>
        <v>0</v>
      </c>
      <c r="Y676">
        <f>COUNTBLANK(Metadata!B676:Q676)=COLUMNS(Metadata!B676:Q676)</f>
        <v>0</v>
      </c>
      <c r="Z676">
        <v>0</v>
      </c>
      <c r="AB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AC676">
        <f>AND(IF(Metadata!C676="",FALSE,TRUE),exact(Metadata!C676,"urban biome"))</f>
        <v>0</v>
      </c>
      <c r="AD676">
        <f>AND(IF(Metadata!D676="",FALSE,TRUE),exact(Metadata!D676,"human-associated habitat"))</f>
        <v>0</v>
      </c>
      <c r="AE676">
        <f>AND(IF(Metadata!E676="",FALSE,TRUE),OR(exact(Metadata!E676,"human-associated"),exact(Metadata!E676,"human-skin"),exact(Metadata!E676,"human-oral"),exact(Metadata!E676,"human-gut"),exact(Metadata!E676,"human-vaginal")))</f>
        <v>0</v>
      </c>
      <c r="AF676">
        <f>AND(IF(Metadata!F676="",FALSE,ISNUMBER(VALUE(Metadata!F676))),Metadata!F676&gt;0)</f>
        <v>0</v>
      </c>
      <c r="AG676">
        <f>AND(IF(Metadata!G676="",FALSE,TRUE),exact(Metadata!G676,"years"))</f>
        <v>0</v>
      </c>
      <c r="AH676">
        <f>OR(AND(IF(Metadata!H676="",FALSE,TRUE),OR(exact(Metadata!H676,"not applicable"),exact(Metadata!H676,"not collected"),exact(Metadata!H676,"not provided"),exact(Metadata!H676,"restricted access"))),AND(IF(Metadata!H676="",FALSE,ISNUMBER(VALUE(Metadata!H676))),Metadata!H676&gt;0))</f>
        <v>0</v>
      </c>
      <c r="AI676">
        <f>AND(IF(Metadata!I676="",FALSE,TRUE),exact(Metadata!I676,"human"))</f>
        <v>0</v>
      </c>
      <c r="AJ676">
        <f>AND(IF(Metadata!J676="",FALSE,ISNUMBER(VALUE(Metadata!J676))),Metadata!J676&gt;0)</f>
        <v>0</v>
      </c>
      <c r="AK676">
        <f>AND(IF(Metadata!K676="",FALSE,TRUE),exact(Metadata!K676,"cm"))</f>
        <v>0</v>
      </c>
      <c r="AL676">
        <f>AND(IF(Metadata!L676="",FALSE,TRUE),exact(Metadata!L676,"Homo sapiens"))</f>
        <v>0</v>
      </c>
      <c r="AM676">
        <f>AND(IF(Metadata!M676="",FALSE,TRUE),exact(Metadata!M676,"9606"))</f>
        <v>0</v>
      </c>
      <c r="AN676">
        <f>AND(IF(Metadata!N676="",FALSE,ISNUMBER(VALUE(Metadata!N676))),Metadata!N676&gt;0)</f>
        <v>0</v>
      </c>
      <c r="AO676">
        <f>AND(IF(Metadata!O676="",FALSE,TRUE),exact(Metadata!O676,"kg"))</f>
        <v>0</v>
      </c>
      <c r="AP676">
        <f>OR(AND(IF(Metadata!P676="",FALSE,TRUE),exact(Metadata!P676,"not provided")),IF(Metadata!P676="",FALSE,TRUE))</f>
        <v>0</v>
      </c>
      <c r="AQ676">
        <f>OR(AND(IF(Metadata!Q676="",FALSE,TRUE),exact(Metadata!Q676,"not provided")),IF(Metadata!Q676="",FALSE,TRUE))</f>
        <v>0</v>
      </c>
    </row>
    <row r="677" spans="1:43">
      <c r="A677" s="4">
        <f>IF(B677=" "," ",HYPERLINK(CONCATENATE("#metadata!",ADDRESS(INDEX($W$2:$W$1001,MATCH(ROWS($U$2:U677),$U$2:$U$1001,0),0),2)),INDEX($Z$2:$Z$1001,MATCH(ROWS($U$2:U677),$U$2:$U$1001,0),0)))</f>
        <v>0</v>
      </c>
      <c r="B677" s="5">
        <f>IF(OR(INDEX($V$2:$V$1001,MATCH(ROWS($U$2:U677),$U$2:$U$1001,0),1)&gt;=100000,INDEX($AB$1005:$AQ$1005,1,MATCH(COLUMNS($AB$1006:AB1006),$AB$1006:$AQ$1006,0))&gt;=100000), " ",IF(INDEX($AB$2:$AQ$1001,MATCH(ROWS($U$2:U677),$U$2:$U$1001,0),MATCH(COLUMNS($AB$1006:AB1006),$AB$1006:$AQ$1006,0)), HYPERLINK("#",""), HYPERLINK(CONCATENATE("#Metadata!", ADDRESS(INDEX($W$2:$W$1001,MATCH(ROWS($U$2:U677),$U$2:$U$1001,0),0), INDEX($AB$1004:$AQ$1004,1,MATCH(COLUMNS($AB$1006:AB1006),$AB$1006:$AQ$1006,0)))),"Fix")))</f>
        <v>0</v>
      </c>
      <c r="C677" s="5">
        <f>IF(OR(INDEX($V$2:$V$1001,MATCH(ROWS($U$2:U677),$U$2:$U$1001,0),1)&gt;=100000,INDEX($AB$1005:$AQ$1005,1,MATCH(COLUMNS($AB$1006:AC1006),$AB$1006:$AQ$1006,0))&gt;=100000), " ",IF(INDEX($AB$2:$AQ$1001,MATCH(ROWS($U$2:U677),$U$2:$U$1001,0),MATCH(COLUMNS($AB$1006:AC1006),$AB$1006:$AQ$1006,0)), HYPERLINK("#",""), HYPERLINK(CONCATENATE("#Metadata!", ADDRESS(INDEX($W$2:$W$1001,MATCH(ROWS($U$2:U677),$U$2:$U$1001,0),0), INDEX($AB$1004:$AQ$1004,1,MATCH(COLUMNS($AB$1006:AC1006),$AB$1006:$AQ$1006,0)))),"Fix")))</f>
        <v>0</v>
      </c>
      <c r="D677" s="5">
        <f>IF(OR(INDEX($V$2:$V$1001,MATCH(ROWS($U$2:U677),$U$2:$U$1001,0),1)&gt;=100000,INDEX($AB$1005:$AQ$1005,1,MATCH(COLUMNS($AB$1006:AD1006),$AB$1006:$AQ$1006,0))&gt;=100000), " ",IF(INDEX($AB$2:$AQ$1001,MATCH(ROWS($U$2:U677),$U$2:$U$1001,0),MATCH(COLUMNS($AB$1006:AD1006),$AB$1006:$AQ$1006,0)), HYPERLINK("#",""), HYPERLINK(CONCATENATE("#Metadata!", ADDRESS(INDEX($W$2:$W$1001,MATCH(ROWS($U$2:U677),$U$2:$U$1001,0),0), INDEX($AB$1004:$AQ$1004,1,MATCH(COLUMNS($AB$1006:AD1006),$AB$1006:$AQ$1006,0)))),"Fix")))</f>
        <v>0</v>
      </c>
      <c r="E677" s="5">
        <f>IF(OR(INDEX($V$2:$V$1001,MATCH(ROWS($U$2:U677),$U$2:$U$1001,0),1)&gt;=100000,INDEX($AB$1005:$AQ$1005,1,MATCH(COLUMNS($AB$1006:AE1006),$AB$1006:$AQ$1006,0))&gt;=100000), " ",IF(INDEX($AB$2:$AQ$1001,MATCH(ROWS($U$2:U677),$U$2:$U$1001,0),MATCH(COLUMNS($AB$1006:AE1006),$AB$1006:$AQ$1006,0)), HYPERLINK("#",""), HYPERLINK(CONCATENATE("#Metadata!", ADDRESS(INDEX($W$2:$W$1001,MATCH(ROWS($U$2:U677),$U$2:$U$1001,0),0), INDEX($AB$1004:$AQ$1004,1,MATCH(COLUMNS($AB$1006:AE1006),$AB$1006:$AQ$1006,0)))),"Fix")))</f>
        <v>0</v>
      </c>
      <c r="F677" s="5">
        <f>IF(OR(INDEX($V$2:$V$1001,MATCH(ROWS($U$2:U677),$U$2:$U$1001,0),1)&gt;=100000,INDEX($AB$1005:$AQ$1005,1,MATCH(COLUMNS($AB$1006:AF1006),$AB$1006:$AQ$1006,0))&gt;=100000), " ",IF(INDEX($AB$2:$AQ$1001,MATCH(ROWS($U$2:U677),$U$2:$U$1001,0),MATCH(COLUMNS($AB$1006:AF1006),$AB$1006:$AQ$1006,0)), HYPERLINK("#",""), HYPERLINK(CONCATENATE("#Metadata!", ADDRESS(INDEX($W$2:$W$1001,MATCH(ROWS($U$2:U677),$U$2:$U$1001,0),0), INDEX($AB$1004:$AQ$1004,1,MATCH(COLUMNS($AB$1006:AF1006),$AB$1006:$AQ$1006,0)))),"Fix")))</f>
        <v>0</v>
      </c>
      <c r="G677" s="5">
        <f>IF(OR(INDEX($V$2:$V$1001,MATCH(ROWS($U$2:U677),$U$2:$U$1001,0),1)&gt;=100000,INDEX($AB$1005:$AQ$1005,1,MATCH(COLUMNS($AB$1006:AG1006),$AB$1006:$AQ$1006,0))&gt;=100000), " ",IF(INDEX($AB$2:$AQ$1001,MATCH(ROWS($U$2:U677),$U$2:$U$1001,0),MATCH(COLUMNS($AB$1006:AG1006),$AB$1006:$AQ$1006,0)), HYPERLINK("#",""), HYPERLINK(CONCATENATE("#Metadata!", ADDRESS(INDEX($W$2:$W$1001,MATCH(ROWS($U$2:U677),$U$2:$U$1001,0),0), INDEX($AB$1004:$AQ$1004,1,MATCH(COLUMNS($AB$1006:AG1006),$AB$1006:$AQ$1006,0)))),"Fix")))</f>
        <v>0</v>
      </c>
      <c r="H677" s="5">
        <f>IF(OR(INDEX($V$2:$V$1001,MATCH(ROWS($U$2:U677),$U$2:$U$1001,0),1)&gt;=100000,INDEX($AB$1005:$AQ$1005,1,MATCH(COLUMNS($AB$1006:AH1006),$AB$1006:$AQ$1006,0))&gt;=100000), " ",IF(INDEX($AB$2:$AQ$1001,MATCH(ROWS($U$2:U677),$U$2:$U$1001,0),MATCH(COLUMNS($AB$1006:AH1006),$AB$1006:$AQ$1006,0)), HYPERLINK("#",""), HYPERLINK(CONCATENATE("#Metadata!", ADDRESS(INDEX($W$2:$W$1001,MATCH(ROWS($U$2:U677),$U$2:$U$1001,0),0), INDEX($AB$1004:$AQ$1004,1,MATCH(COLUMNS($AB$1006:AH1006),$AB$1006:$AQ$1006,0)))),"Fix")))</f>
        <v>0</v>
      </c>
      <c r="I677" s="5">
        <f>IF(OR(INDEX($V$2:$V$1001,MATCH(ROWS($U$2:U677),$U$2:$U$1001,0),1)&gt;=100000,INDEX($AB$1005:$AQ$1005,1,MATCH(COLUMNS($AB$1006:AI1006),$AB$1006:$AQ$1006,0))&gt;=100000), " ",IF(INDEX($AB$2:$AQ$1001,MATCH(ROWS($U$2:U677),$U$2:$U$1001,0),MATCH(COLUMNS($AB$1006:AI1006),$AB$1006:$AQ$1006,0)), HYPERLINK("#",""), HYPERLINK(CONCATENATE("#Metadata!", ADDRESS(INDEX($W$2:$W$1001,MATCH(ROWS($U$2:U677),$U$2:$U$1001,0),0), INDEX($AB$1004:$AQ$1004,1,MATCH(COLUMNS($AB$1006:AI1006),$AB$1006:$AQ$1006,0)))),"Fix")))</f>
        <v>0</v>
      </c>
      <c r="J677" s="5">
        <f>IF(OR(INDEX($V$2:$V$1001,MATCH(ROWS($U$2:U677),$U$2:$U$1001,0),1)&gt;=100000,INDEX($AB$1005:$AQ$1005,1,MATCH(COLUMNS($AB$1006:AJ1006),$AB$1006:$AQ$1006,0))&gt;=100000), " ",IF(INDEX($AB$2:$AQ$1001,MATCH(ROWS($U$2:U677),$U$2:$U$1001,0),MATCH(COLUMNS($AB$1006:AJ1006),$AB$1006:$AQ$1006,0)), HYPERLINK("#",""), HYPERLINK(CONCATENATE("#Metadata!", ADDRESS(INDEX($W$2:$W$1001,MATCH(ROWS($U$2:U677),$U$2:$U$1001,0),0), INDEX($AB$1004:$AQ$1004,1,MATCH(COLUMNS($AB$1006:AJ1006),$AB$1006:$AQ$1006,0)))),"Fix")))</f>
        <v>0</v>
      </c>
      <c r="K677" s="5">
        <f>IF(OR(INDEX($V$2:$V$1001,MATCH(ROWS($U$2:U677),$U$2:$U$1001,0),1)&gt;=100000,INDEX($AB$1005:$AQ$1005,1,MATCH(COLUMNS($AB$1006:AK1006),$AB$1006:$AQ$1006,0))&gt;=100000), " ",IF(INDEX($AB$2:$AQ$1001,MATCH(ROWS($U$2:U677),$U$2:$U$1001,0),MATCH(COLUMNS($AB$1006:AK1006),$AB$1006:$AQ$1006,0)), HYPERLINK("#",""), HYPERLINK(CONCATENATE("#Metadata!", ADDRESS(INDEX($W$2:$W$1001,MATCH(ROWS($U$2:U677),$U$2:$U$1001,0),0), INDEX($AB$1004:$AQ$1004,1,MATCH(COLUMNS($AB$1006:AK1006),$AB$1006:$AQ$1006,0)))),"Fix")))</f>
        <v>0</v>
      </c>
      <c r="L677" s="5">
        <f>IF(OR(INDEX($V$2:$V$1001,MATCH(ROWS($U$2:U677),$U$2:$U$1001,0),1)&gt;=100000,INDEX($AB$1005:$AQ$1005,1,MATCH(COLUMNS($AB$1006:AL1006),$AB$1006:$AQ$1006,0))&gt;=100000), " ",IF(INDEX($AB$2:$AQ$1001,MATCH(ROWS($U$2:U677),$U$2:$U$1001,0),MATCH(COLUMNS($AB$1006:AL1006),$AB$1006:$AQ$1006,0)), HYPERLINK("#",""), HYPERLINK(CONCATENATE("#Metadata!", ADDRESS(INDEX($W$2:$W$1001,MATCH(ROWS($U$2:U677),$U$2:$U$1001,0),0), INDEX($AB$1004:$AQ$1004,1,MATCH(COLUMNS($AB$1006:AL1006),$AB$1006:$AQ$1006,0)))),"Fix")))</f>
        <v>0</v>
      </c>
      <c r="M677" s="5">
        <f>IF(OR(INDEX($V$2:$V$1001,MATCH(ROWS($U$2:U677),$U$2:$U$1001,0),1)&gt;=100000,INDEX($AB$1005:$AQ$1005,1,MATCH(COLUMNS($AB$1006:AM1006),$AB$1006:$AQ$1006,0))&gt;=100000), " ",IF(INDEX($AB$2:$AQ$1001,MATCH(ROWS($U$2:U677),$U$2:$U$1001,0),MATCH(COLUMNS($AB$1006:AM1006),$AB$1006:$AQ$1006,0)), HYPERLINK("#",""), HYPERLINK(CONCATENATE("#Metadata!", ADDRESS(INDEX($W$2:$W$1001,MATCH(ROWS($U$2:U677),$U$2:$U$1001,0),0), INDEX($AB$1004:$AQ$1004,1,MATCH(COLUMNS($AB$1006:AM1006),$AB$1006:$AQ$1006,0)))),"Fix")))</f>
        <v>0</v>
      </c>
      <c r="N677" s="5">
        <f>IF(OR(INDEX($V$2:$V$1001,MATCH(ROWS($U$2:U677),$U$2:$U$1001,0),1)&gt;=100000,INDEX($AB$1005:$AQ$1005,1,MATCH(COLUMNS($AB$1006:AN1006),$AB$1006:$AQ$1006,0))&gt;=100000), " ",IF(INDEX($AB$2:$AQ$1001,MATCH(ROWS($U$2:U677),$U$2:$U$1001,0),MATCH(COLUMNS($AB$1006:AN1006),$AB$1006:$AQ$1006,0)), HYPERLINK("#",""), HYPERLINK(CONCATENATE("#Metadata!", ADDRESS(INDEX($W$2:$W$1001,MATCH(ROWS($U$2:U677),$U$2:$U$1001,0),0), INDEX($AB$1004:$AQ$1004,1,MATCH(COLUMNS($AB$1006:AN1006),$AB$1006:$AQ$1006,0)))),"Fix")))</f>
        <v>0</v>
      </c>
      <c r="O677" s="5">
        <f>IF(OR(INDEX($V$2:$V$1001,MATCH(ROWS($U$2:U677),$U$2:$U$1001,0),1)&gt;=100000,INDEX($AB$1005:$AQ$1005,1,MATCH(COLUMNS($AB$1006:AO1006),$AB$1006:$AQ$1006,0))&gt;=100000), " ",IF(INDEX($AB$2:$AQ$1001,MATCH(ROWS($U$2:U677),$U$2:$U$1001,0),MATCH(COLUMNS($AB$1006:AO1006),$AB$1006:$AQ$1006,0)), HYPERLINK("#",""), HYPERLINK(CONCATENATE("#Metadata!", ADDRESS(INDEX($W$2:$W$1001,MATCH(ROWS($U$2:U677),$U$2:$U$1001,0),0), INDEX($AB$1004:$AQ$1004,1,MATCH(COLUMNS($AB$1006:AO1006),$AB$1006:$AQ$1006,0)))),"Fix")))</f>
        <v>0</v>
      </c>
      <c r="P677" s="5">
        <f>IF(OR(INDEX($V$2:$V$1001,MATCH(ROWS($U$2:U677),$U$2:$U$1001,0),1)&gt;=100000,INDEX($AB$1005:$AQ$1005,1,MATCH(COLUMNS($AB$1006:AP1006),$AB$1006:$AQ$1006,0))&gt;=100000), " ",IF(INDEX($AB$2:$AQ$1001,MATCH(ROWS($U$2:U677),$U$2:$U$1001,0),MATCH(COLUMNS($AB$1006:AP1006),$AB$1006:$AQ$1006,0)), HYPERLINK("#",""), HYPERLINK(CONCATENATE("#Metadata!", ADDRESS(INDEX($W$2:$W$1001,MATCH(ROWS($U$2:U677),$U$2:$U$1001,0),0), INDEX($AB$1004:$AQ$1004,1,MATCH(COLUMNS($AB$1006:AP1006),$AB$1006:$AQ$1006,0)))),"Fix")))</f>
        <v>0</v>
      </c>
      <c r="Q677" s="5">
        <f>IF(OR(INDEX($V$2:$V$1001,MATCH(ROWS($U$2:U677),$U$2:$U$1001,0),1)&gt;=100000,INDEX($AB$1005:$AQ$1005,1,MATCH(COLUMNS($AB$1006:AQ1006),$AB$1006:$AQ$1006,0))&gt;=100000), " ",IF(INDEX($AB$2:$AQ$1001,MATCH(ROWS($U$2:U677),$U$2:$U$1001,0),MATCH(COLUMNS($AB$1006:AQ1006),$AB$1006:$AQ$1006,0)), HYPERLINK("#",""), HYPERLINK(CONCATENATE("#Metadata!", ADDRESS(INDEX($W$2:$W$1001,MATCH(ROWS($U$2:U677),$U$2:$U$1001,0),0), INDEX($AB$1004:$AQ$1004,1,MATCH(COLUMNS($AB$1006:AQ1006),$AB$1006:$AQ$1006,0)))),"Fix")))</f>
        <v>0</v>
      </c>
      <c r="U677">
        <v>0</v>
      </c>
      <c r="V677">
        <v>0</v>
      </c>
      <c r="W677">
        <v>0</v>
      </c>
      <c r="X677">
        <f>IF(Y677,TRUE,AND(AB677:AQ677))</f>
        <v>0</v>
      </c>
      <c r="Y677">
        <f>COUNTBLANK(Metadata!B677:Q677)=COLUMNS(Metadata!B677:Q677)</f>
        <v>0</v>
      </c>
      <c r="Z677">
        <v>0</v>
      </c>
      <c r="AB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AC677">
        <f>AND(IF(Metadata!C677="",FALSE,TRUE),exact(Metadata!C677,"urban biome"))</f>
        <v>0</v>
      </c>
      <c r="AD677">
        <f>AND(IF(Metadata!D677="",FALSE,TRUE),exact(Metadata!D677,"human-associated habitat"))</f>
        <v>0</v>
      </c>
      <c r="AE677">
        <f>AND(IF(Metadata!E677="",FALSE,TRUE),OR(exact(Metadata!E677,"human-associated"),exact(Metadata!E677,"human-skin"),exact(Metadata!E677,"human-oral"),exact(Metadata!E677,"human-gut"),exact(Metadata!E677,"human-vaginal")))</f>
        <v>0</v>
      </c>
      <c r="AF677">
        <f>AND(IF(Metadata!F677="",FALSE,ISNUMBER(VALUE(Metadata!F677))),Metadata!F677&gt;0)</f>
        <v>0</v>
      </c>
      <c r="AG677">
        <f>AND(IF(Metadata!G677="",FALSE,TRUE),exact(Metadata!G677,"years"))</f>
        <v>0</v>
      </c>
      <c r="AH677">
        <f>OR(AND(IF(Metadata!H677="",FALSE,TRUE),OR(exact(Metadata!H677,"not applicable"),exact(Metadata!H677,"not collected"),exact(Metadata!H677,"not provided"),exact(Metadata!H677,"restricted access"))),AND(IF(Metadata!H677="",FALSE,ISNUMBER(VALUE(Metadata!H677))),Metadata!H677&gt;0))</f>
        <v>0</v>
      </c>
      <c r="AI677">
        <f>AND(IF(Metadata!I677="",FALSE,TRUE),exact(Metadata!I677,"human"))</f>
        <v>0</v>
      </c>
      <c r="AJ677">
        <f>AND(IF(Metadata!J677="",FALSE,ISNUMBER(VALUE(Metadata!J677))),Metadata!J677&gt;0)</f>
        <v>0</v>
      </c>
      <c r="AK677">
        <f>AND(IF(Metadata!K677="",FALSE,TRUE),exact(Metadata!K677,"cm"))</f>
        <v>0</v>
      </c>
      <c r="AL677">
        <f>AND(IF(Metadata!L677="",FALSE,TRUE),exact(Metadata!L677,"Homo sapiens"))</f>
        <v>0</v>
      </c>
      <c r="AM677">
        <f>AND(IF(Metadata!M677="",FALSE,TRUE),exact(Metadata!M677,"9606"))</f>
        <v>0</v>
      </c>
      <c r="AN677">
        <f>AND(IF(Metadata!N677="",FALSE,ISNUMBER(VALUE(Metadata!N677))),Metadata!N677&gt;0)</f>
        <v>0</v>
      </c>
      <c r="AO677">
        <f>AND(IF(Metadata!O677="",FALSE,TRUE),exact(Metadata!O677,"kg"))</f>
        <v>0</v>
      </c>
      <c r="AP677">
        <f>OR(AND(IF(Metadata!P677="",FALSE,TRUE),exact(Metadata!P677,"not provided")),IF(Metadata!P677="",FALSE,TRUE))</f>
        <v>0</v>
      </c>
      <c r="AQ677">
        <f>OR(AND(IF(Metadata!Q677="",FALSE,TRUE),exact(Metadata!Q677,"not provided")),IF(Metadata!Q677="",FALSE,TRUE))</f>
        <v>0</v>
      </c>
    </row>
    <row r="678" spans="1:43">
      <c r="A678" s="4">
        <f>IF(B678=" "," ",HYPERLINK(CONCATENATE("#metadata!",ADDRESS(INDEX($W$2:$W$1001,MATCH(ROWS($U$2:U678),$U$2:$U$1001,0),0),2)),INDEX($Z$2:$Z$1001,MATCH(ROWS($U$2:U678),$U$2:$U$1001,0),0)))</f>
        <v>0</v>
      </c>
      <c r="B678" s="5">
        <f>IF(OR(INDEX($V$2:$V$1001,MATCH(ROWS($U$2:U678),$U$2:$U$1001,0),1)&gt;=100000,INDEX($AB$1005:$AQ$1005,1,MATCH(COLUMNS($AB$1006:AB1006),$AB$1006:$AQ$1006,0))&gt;=100000), " ",IF(INDEX($AB$2:$AQ$1001,MATCH(ROWS($U$2:U678),$U$2:$U$1001,0),MATCH(COLUMNS($AB$1006:AB1006),$AB$1006:$AQ$1006,0)), HYPERLINK("#",""), HYPERLINK(CONCATENATE("#Metadata!", ADDRESS(INDEX($W$2:$W$1001,MATCH(ROWS($U$2:U678),$U$2:$U$1001,0),0), INDEX($AB$1004:$AQ$1004,1,MATCH(COLUMNS($AB$1006:AB1006),$AB$1006:$AQ$1006,0)))),"Fix")))</f>
        <v>0</v>
      </c>
      <c r="C678" s="5">
        <f>IF(OR(INDEX($V$2:$V$1001,MATCH(ROWS($U$2:U678),$U$2:$U$1001,0),1)&gt;=100000,INDEX($AB$1005:$AQ$1005,1,MATCH(COLUMNS($AB$1006:AC1006),$AB$1006:$AQ$1006,0))&gt;=100000), " ",IF(INDEX($AB$2:$AQ$1001,MATCH(ROWS($U$2:U678),$U$2:$U$1001,0),MATCH(COLUMNS($AB$1006:AC1006),$AB$1006:$AQ$1006,0)), HYPERLINK("#",""), HYPERLINK(CONCATENATE("#Metadata!", ADDRESS(INDEX($W$2:$W$1001,MATCH(ROWS($U$2:U678),$U$2:$U$1001,0),0), INDEX($AB$1004:$AQ$1004,1,MATCH(COLUMNS($AB$1006:AC1006),$AB$1006:$AQ$1006,0)))),"Fix")))</f>
        <v>0</v>
      </c>
      <c r="D678" s="5">
        <f>IF(OR(INDEX($V$2:$V$1001,MATCH(ROWS($U$2:U678),$U$2:$U$1001,0),1)&gt;=100000,INDEX($AB$1005:$AQ$1005,1,MATCH(COLUMNS($AB$1006:AD1006),$AB$1006:$AQ$1006,0))&gt;=100000), " ",IF(INDEX($AB$2:$AQ$1001,MATCH(ROWS($U$2:U678),$U$2:$U$1001,0),MATCH(COLUMNS($AB$1006:AD1006),$AB$1006:$AQ$1006,0)), HYPERLINK("#",""), HYPERLINK(CONCATENATE("#Metadata!", ADDRESS(INDEX($W$2:$W$1001,MATCH(ROWS($U$2:U678),$U$2:$U$1001,0),0), INDEX($AB$1004:$AQ$1004,1,MATCH(COLUMNS($AB$1006:AD1006),$AB$1006:$AQ$1006,0)))),"Fix")))</f>
        <v>0</v>
      </c>
      <c r="E678" s="5">
        <f>IF(OR(INDEX($V$2:$V$1001,MATCH(ROWS($U$2:U678),$U$2:$U$1001,0),1)&gt;=100000,INDEX($AB$1005:$AQ$1005,1,MATCH(COLUMNS($AB$1006:AE1006),$AB$1006:$AQ$1006,0))&gt;=100000), " ",IF(INDEX($AB$2:$AQ$1001,MATCH(ROWS($U$2:U678),$U$2:$U$1001,0),MATCH(COLUMNS($AB$1006:AE1006),$AB$1006:$AQ$1006,0)), HYPERLINK("#",""), HYPERLINK(CONCATENATE("#Metadata!", ADDRESS(INDEX($W$2:$W$1001,MATCH(ROWS($U$2:U678),$U$2:$U$1001,0),0), INDEX($AB$1004:$AQ$1004,1,MATCH(COLUMNS($AB$1006:AE1006),$AB$1006:$AQ$1006,0)))),"Fix")))</f>
        <v>0</v>
      </c>
      <c r="F678" s="5">
        <f>IF(OR(INDEX($V$2:$V$1001,MATCH(ROWS($U$2:U678),$U$2:$U$1001,0),1)&gt;=100000,INDEX($AB$1005:$AQ$1005,1,MATCH(COLUMNS($AB$1006:AF1006),$AB$1006:$AQ$1006,0))&gt;=100000), " ",IF(INDEX($AB$2:$AQ$1001,MATCH(ROWS($U$2:U678),$U$2:$U$1001,0),MATCH(COLUMNS($AB$1006:AF1006),$AB$1006:$AQ$1006,0)), HYPERLINK("#",""), HYPERLINK(CONCATENATE("#Metadata!", ADDRESS(INDEX($W$2:$W$1001,MATCH(ROWS($U$2:U678),$U$2:$U$1001,0),0), INDEX($AB$1004:$AQ$1004,1,MATCH(COLUMNS($AB$1006:AF1006),$AB$1006:$AQ$1006,0)))),"Fix")))</f>
        <v>0</v>
      </c>
      <c r="G678" s="5">
        <f>IF(OR(INDEX($V$2:$V$1001,MATCH(ROWS($U$2:U678),$U$2:$U$1001,0),1)&gt;=100000,INDEX($AB$1005:$AQ$1005,1,MATCH(COLUMNS($AB$1006:AG1006),$AB$1006:$AQ$1006,0))&gt;=100000), " ",IF(INDEX($AB$2:$AQ$1001,MATCH(ROWS($U$2:U678),$U$2:$U$1001,0),MATCH(COLUMNS($AB$1006:AG1006),$AB$1006:$AQ$1006,0)), HYPERLINK("#",""), HYPERLINK(CONCATENATE("#Metadata!", ADDRESS(INDEX($W$2:$W$1001,MATCH(ROWS($U$2:U678),$U$2:$U$1001,0),0), INDEX($AB$1004:$AQ$1004,1,MATCH(COLUMNS($AB$1006:AG1006),$AB$1006:$AQ$1006,0)))),"Fix")))</f>
        <v>0</v>
      </c>
      <c r="H678" s="5">
        <f>IF(OR(INDEX($V$2:$V$1001,MATCH(ROWS($U$2:U678),$U$2:$U$1001,0),1)&gt;=100000,INDEX($AB$1005:$AQ$1005,1,MATCH(COLUMNS($AB$1006:AH1006),$AB$1006:$AQ$1006,0))&gt;=100000), " ",IF(INDEX($AB$2:$AQ$1001,MATCH(ROWS($U$2:U678),$U$2:$U$1001,0),MATCH(COLUMNS($AB$1006:AH1006),$AB$1006:$AQ$1006,0)), HYPERLINK("#",""), HYPERLINK(CONCATENATE("#Metadata!", ADDRESS(INDEX($W$2:$W$1001,MATCH(ROWS($U$2:U678),$U$2:$U$1001,0),0), INDEX($AB$1004:$AQ$1004,1,MATCH(COLUMNS($AB$1006:AH1006),$AB$1006:$AQ$1006,0)))),"Fix")))</f>
        <v>0</v>
      </c>
      <c r="I678" s="5">
        <f>IF(OR(INDEX($V$2:$V$1001,MATCH(ROWS($U$2:U678),$U$2:$U$1001,0),1)&gt;=100000,INDEX($AB$1005:$AQ$1005,1,MATCH(COLUMNS($AB$1006:AI1006),$AB$1006:$AQ$1006,0))&gt;=100000), " ",IF(INDEX($AB$2:$AQ$1001,MATCH(ROWS($U$2:U678),$U$2:$U$1001,0),MATCH(COLUMNS($AB$1006:AI1006),$AB$1006:$AQ$1006,0)), HYPERLINK("#",""), HYPERLINK(CONCATENATE("#Metadata!", ADDRESS(INDEX($W$2:$W$1001,MATCH(ROWS($U$2:U678),$U$2:$U$1001,0),0), INDEX($AB$1004:$AQ$1004,1,MATCH(COLUMNS($AB$1006:AI1006),$AB$1006:$AQ$1006,0)))),"Fix")))</f>
        <v>0</v>
      </c>
      <c r="J678" s="5">
        <f>IF(OR(INDEX($V$2:$V$1001,MATCH(ROWS($U$2:U678),$U$2:$U$1001,0),1)&gt;=100000,INDEX($AB$1005:$AQ$1005,1,MATCH(COLUMNS($AB$1006:AJ1006),$AB$1006:$AQ$1006,0))&gt;=100000), " ",IF(INDEX($AB$2:$AQ$1001,MATCH(ROWS($U$2:U678),$U$2:$U$1001,0),MATCH(COLUMNS($AB$1006:AJ1006),$AB$1006:$AQ$1006,0)), HYPERLINK("#",""), HYPERLINK(CONCATENATE("#Metadata!", ADDRESS(INDEX($W$2:$W$1001,MATCH(ROWS($U$2:U678),$U$2:$U$1001,0),0), INDEX($AB$1004:$AQ$1004,1,MATCH(COLUMNS($AB$1006:AJ1006),$AB$1006:$AQ$1006,0)))),"Fix")))</f>
        <v>0</v>
      </c>
      <c r="K678" s="5">
        <f>IF(OR(INDEX($V$2:$V$1001,MATCH(ROWS($U$2:U678),$U$2:$U$1001,0),1)&gt;=100000,INDEX($AB$1005:$AQ$1005,1,MATCH(COLUMNS($AB$1006:AK1006),$AB$1006:$AQ$1006,0))&gt;=100000), " ",IF(INDEX($AB$2:$AQ$1001,MATCH(ROWS($U$2:U678),$U$2:$U$1001,0),MATCH(COLUMNS($AB$1006:AK1006),$AB$1006:$AQ$1006,0)), HYPERLINK("#",""), HYPERLINK(CONCATENATE("#Metadata!", ADDRESS(INDEX($W$2:$W$1001,MATCH(ROWS($U$2:U678),$U$2:$U$1001,0),0), INDEX($AB$1004:$AQ$1004,1,MATCH(COLUMNS($AB$1006:AK1006),$AB$1006:$AQ$1006,0)))),"Fix")))</f>
        <v>0</v>
      </c>
      <c r="L678" s="5">
        <f>IF(OR(INDEX($V$2:$V$1001,MATCH(ROWS($U$2:U678),$U$2:$U$1001,0),1)&gt;=100000,INDEX($AB$1005:$AQ$1005,1,MATCH(COLUMNS($AB$1006:AL1006),$AB$1006:$AQ$1006,0))&gt;=100000), " ",IF(INDEX($AB$2:$AQ$1001,MATCH(ROWS($U$2:U678),$U$2:$U$1001,0),MATCH(COLUMNS($AB$1006:AL1006),$AB$1006:$AQ$1006,0)), HYPERLINK("#",""), HYPERLINK(CONCATENATE("#Metadata!", ADDRESS(INDEX($W$2:$W$1001,MATCH(ROWS($U$2:U678),$U$2:$U$1001,0),0), INDEX($AB$1004:$AQ$1004,1,MATCH(COLUMNS($AB$1006:AL1006),$AB$1006:$AQ$1006,0)))),"Fix")))</f>
        <v>0</v>
      </c>
      <c r="M678" s="5">
        <f>IF(OR(INDEX($V$2:$V$1001,MATCH(ROWS($U$2:U678),$U$2:$U$1001,0),1)&gt;=100000,INDEX($AB$1005:$AQ$1005,1,MATCH(COLUMNS($AB$1006:AM1006),$AB$1006:$AQ$1006,0))&gt;=100000), " ",IF(INDEX($AB$2:$AQ$1001,MATCH(ROWS($U$2:U678),$U$2:$U$1001,0),MATCH(COLUMNS($AB$1006:AM1006),$AB$1006:$AQ$1006,0)), HYPERLINK("#",""), HYPERLINK(CONCATENATE("#Metadata!", ADDRESS(INDEX($W$2:$W$1001,MATCH(ROWS($U$2:U678),$U$2:$U$1001,0),0), INDEX($AB$1004:$AQ$1004,1,MATCH(COLUMNS($AB$1006:AM1006),$AB$1006:$AQ$1006,0)))),"Fix")))</f>
        <v>0</v>
      </c>
      <c r="N678" s="5">
        <f>IF(OR(INDEX($V$2:$V$1001,MATCH(ROWS($U$2:U678),$U$2:$U$1001,0),1)&gt;=100000,INDEX($AB$1005:$AQ$1005,1,MATCH(COLUMNS($AB$1006:AN1006),$AB$1006:$AQ$1006,0))&gt;=100000), " ",IF(INDEX($AB$2:$AQ$1001,MATCH(ROWS($U$2:U678),$U$2:$U$1001,0),MATCH(COLUMNS($AB$1006:AN1006),$AB$1006:$AQ$1006,0)), HYPERLINK("#",""), HYPERLINK(CONCATENATE("#Metadata!", ADDRESS(INDEX($W$2:$W$1001,MATCH(ROWS($U$2:U678),$U$2:$U$1001,0),0), INDEX($AB$1004:$AQ$1004,1,MATCH(COLUMNS($AB$1006:AN1006),$AB$1006:$AQ$1006,0)))),"Fix")))</f>
        <v>0</v>
      </c>
      <c r="O678" s="5">
        <f>IF(OR(INDEX($V$2:$V$1001,MATCH(ROWS($U$2:U678),$U$2:$U$1001,0),1)&gt;=100000,INDEX($AB$1005:$AQ$1005,1,MATCH(COLUMNS($AB$1006:AO1006),$AB$1006:$AQ$1006,0))&gt;=100000), " ",IF(INDEX($AB$2:$AQ$1001,MATCH(ROWS($U$2:U678),$U$2:$U$1001,0),MATCH(COLUMNS($AB$1006:AO1006),$AB$1006:$AQ$1006,0)), HYPERLINK("#",""), HYPERLINK(CONCATENATE("#Metadata!", ADDRESS(INDEX($W$2:$W$1001,MATCH(ROWS($U$2:U678),$U$2:$U$1001,0),0), INDEX($AB$1004:$AQ$1004,1,MATCH(COLUMNS($AB$1006:AO1006),$AB$1006:$AQ$1006,0)))),"Fix")))</f>
        <v>0</v>
      </c>
      <c r="P678" s="5">
        <f>IF(OR(INDEX($V$2:$V$1001,MATCH(ROWS($U$2:U678),$U$2:$U$1001,0),1)&gt;=100000,INDEX($AB$1005:$AQ$1005,1,MATCH(COLUMNS($AB$1006:AP1006),$AB$1006:$AQ$1006,0))&gt;=100000), " ",IF(INDEX($AB$2:$AQ$1001,MATCH(ROWS($U$2:U678),$U$2:$U$1001,0),MATCH(COLUMNS($AB$1006:AP1006),$AB$1006:$AQ$1006,0)), HYPERLINK("#",""), HYPERLINK(CONCATENATE("#Metadata!", ADDRESS(INDEX($W$2:$W$1001,MATCH(ROWS($U$2:U678),$U$2:$U$1001,0),0), INDEX($AB$1004:$AQ$1004,1,MATCH(COLUMNS($AB$1006:AP1006),$AB$1006:$AQ$1006,0)))),"Fix")))</f>
        <v>0</v>
      </c>
      <c r="Q678" s="5">
        <f>IF(OR(INDEX($V$2:$V$1001,MATCH(ROWS($U$2:U678),$U$2:$U$1001,0),1)&gt;=100000,INDEX($AB$1005:$AQ$1005,1,MATCH(COLUMNS($AB$1006:AQ1006),$AB$1006:$AQ$1006,0))&gt;=100000), " ",IF(INDEX($AB$2:$AQ$1001,MATCH(ROWS($U$2:U678),$U$2:$U$1001,0),MATCH(COLUMNS($AB$1006:AQ1006),$AB$1006:$AQ$1006,0)), HYPERLINK("#",""), HYPERLINK(CONCATENATE("#Metadata!", ADDRESS(INDEX($W$2:$W$1001,MATCH(ROWS($U$2:U678),$U$2:$U$1001,0),0), INDEX($AB$1004:$AQ$1004,1,MATCH(COLUMNS($AB$1006:AQ1006),$AB$1006:$AQ$1006,0)))),"Fix")))</f>
        <v>0</v>
      </c>
      <c r="U678">
        <v>0</v>
      </c>
      <c r="V678">
        <v>0</v>
      </c>
      <c r="W678">
        <v>0</v>
      </c>
      <c r="X678">
        <f>IF(Y678,TRUE,AND(AB678:AQ678))</f>
        <v>0</v>
      </c>
      <c r="Y678">
        <f>COUNTBLANK(Metadata!B678:Q678)=COLUMNS(Metadata!B678:Q678)</f>
        <v>0</v>
      </c>
      <c r="Z678">
        <v>0</v>
      </c>
      <c r="AB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AC678">
        <f>AND(IF(Metadata!C678="",FALSE,TRUE),exact(Metadata!C678,"urban biome"))</f>
        <v>0</v>
      </c>
      <c r="AD678">
        <f>AND(IF(Metadata!D678="",FALSE,TRUE),exact(Metadata!D678,"human-associated habitat"))</f>
        <v>0</v>
      </c>
      <c r="AE678">
        <f>AND(IF(Metadata!E678="",FALSE,TRUE),OR(exact(Metadata!E678,"human-associated"),exact(Metadata!E678,"human-skin"),exact(Metadata!E678,"human-oral"),exact(Metadata!E678,"human-gut"),exact(Metadata!E678,"human-vaginal")))</f>
        <v>0</v>
      </c>
      <c r="AF678">
        <f>AND(IF(Metadata!F678="",FALSE,ISNUMBER(VALUE(Metadata!F678))),Metadata!F678&gt;0)</f>
        <v>0</v>
      </c>
      <c r="AG678">
        <f>AND(IF(Metadata!G678="",FALSE,TRUE),exact(Metadata!G678,"years"))</f>
        <v>0</v>
      </c>
      <c r="AH678">
        <f>OR(AND(IF(Metadata!H678="",FALSE,TRUE),OR(exact(Metadata!H678,"not applicable"),exact(Metadata!H678,"not collected"),exact(Metadata!H678,"not provided"),exact(Metadata!H678,"restricted access"))),AND(IF(Metadata!H678="",FALSE,ISNUMBER(VALUE(Metadata!H678))),Metadata!H678&gt;0))</f>
        <v>0</v>
      </c>
      <c r="AI678">
        <f>AND(IF(Metadata!I678="",FALSE,TRUE),exact(Metadata!I678,"human"))</f>
        <v>0</v>
      </c>
      <c r="AJ678">
        <f>AND(IF(Metadata!J678="",FALSE,ISNUMBER(VALUE(Metadata!J678))),Metadata!J678&gt;0)</f>
        <v>0</v>
      </c>
      <c r="AK678">
        <f>AND(IF(Metadata!K678="",FALSE,TRUE),exact(Metadata!K678,"cm"))</f>
        <v>0</v>
      </c>
      <c r="AL678">
        <f>AND(IF(Metadata!L678="",FALSE,TRUE),exact(Metadata!L678,"Homo sapiens"))</f>
        <v>0</v>
      </c>
      <c r="AM678">
        <f>AND(IF(Metadata!M678="",FALSE,TRUE),exact(Metadata!M678,"9606"))</f>
        <v>0</v>
      </c>
      <c r="AN678">
        <f>AND(IF(Metadata!N678="",FALSE,ISNUMBER(VALUE(Metadata!N678))),Metadata!N678&gt;0)</f>
        <v>0</v>
      </c>
      <c r="AO678">
        <f>AND(IF(Metadata!O678="",FALSE,TRUE),exact(Metadata!O678,"kg"))</f>
        <v>0</v>
      </c>
      <c r="AP678">
        <f>OR(AND(IF(Metadata!P678="",FALSE,TRUE),exact(Metadata!P678,"not provided")),IF(Metadata!P678="",FALSE,TRUE))</f>
        <v>0</v>
      </c>
      <c r="AQ678">
        <f>OR(AND(IF(Metadata!Q678="",FALSE,TRUE),exact(Metadata!Q678,"not provided")),IF(Metadata!Q678="",FALSE,TRUE))</f>
        <v>0</v>
      </c>
    </row>
    <row r="679" spans="1:43">
      <c r="A679" s="4">
        <f>IF(B679=" "," ",HYPERLINK(CONCATENATE("#metadata!",ADDRESS(INDEX($W$2:$W$1001,MATCH(ROWS($U$2:U679),$U$2:$U$1001,0),0),2)),INDEX($Z$2:$Z$1001,MATCH(ROWS($U$2:U679),$U$2:$U$1001,0),0)))</f>
        <v>0</v>
      </c>
      <c r="B679" s="5">
        <f>IF(OR(INDEX($V$2:$V$1001,MATCH(ROWS($U$2:U679),$U$2:$U$1001,0),1)&gt;=100000,INDEX($AB$1005:$AQ$1005,1,MATCH(COLUMNS($AB$1006:AB1006),$AB$1006:$AQ$1006,0))&gt;=100000), " ",IF(INDEX($AB$2:$AQ$1001,MATCH(ROWS($U$2:U679),$U$2:$U$1001,0),MATCH(COLUMNS($AB$1006:AB1006),$AB$1006:$AQ$1006,0)), HYPERLINK("#",""), HYPERLINK(CONCATENATE("#Metadata!", ADDRESS(INDEX($W$2:$W$1001,MATCH(ROWS($U$2:U679),$U$2:$U$1001,0),0), INDEX($AB$1004:$AQ$1004,1,MATCH(COLUMNS($AB$1006:AB1006),$AB$1006:$AQ$1006,0)))),"Fix")))</f>
        <v>0</v>
      </c>
      <c r="C679" s="5">
        <f>IF(OR(INDEX($V$2:$V$1001,MATCH(ROWS($U$2:U679),$U$2:$U$1001,0),1)&gt;=100000,INDEX($AB$1005:$AQ$1005,1,MATCH(COLUMNS($AB$1006:AC1006),$AB$1006:$AQ$1006,0))&gt;=100000), " ",IF(INDEX($AB$2:$AQ$1001,MATCH(ROWS($U$2:U679),$U$2:$U$1001,0),MATCH(COLUMNS($AB$1006:AC1006),$AB$1006:$AQ$1006,0)), HYPERLINK("#",""), HYPERLINK(CONCATENATE("#Metadata!", ADDRESS(INDEX($W$2:$W$1001,MATCH(ROWS($U$2:U679),$U$2:$U$1001,0),0), INDEX($AB$1004:$AQ$1004,1,MATCH(COLUMNS($AB$1006:AC1006),$AB$1006:$AQ$1006,0)))),"Fix")))</f>
        <v>0</v>
      </c>
      <c r="D679" s="5">
        <f>IF(OR(INDEX($V$2:$V$1001,MATCH(ROWS($U$2:U679),$U$2:$U$1001,0),1)&gt;=100000,INDEX($AB$1005:$AQ$1005,1,MATCH(COLUMNS($AB$1006:AD1006),$AB$1006:$AQ$1006,0))&gt;=100000), " ",IF(INDEX($AB$2:$AQ$1001,MATCH(ROWS($U$2:U679),$U$2:$U$1001,0),MATCH(COLUMNS($AB$1006:AD1006),$AB$1006:$AQ$1006,0)), HYPERLINK("#",""), HYPERLINK(CONCATENATE("#Metadata!", ADDRESS(INDEX($W$2:$W$1001,MATCH(ROWS($U$2:U679),$U$2:$U$1001,0),0), INDEX($AB$1004:$AQ$1004,1,MATCH(COLUMNS($AB$1006:AD1006),$AB$1006:$AQ$1006,0)))),"Fix")))</f>
        <v>0</v>
      </c>
      <c r="E679" s="5">
        <f>IF(OR(INDEX($V$2:$V$1001,MATCH(ROWS($U$2:U679),$U$2:$U$1001,0),1)&gt;=100000,INDEX($AB$1005:$AQ$1005,1,MATCH(COLUMNS($AB$1006:AE1006),$AB$1006:$AQ$1006,0))&gt;=100000), " ",IF(INDEX($AB$2:$AQ$1001,MATCH(ROWS($U$2:U679),$U$2:$U$1001,0),MATCH(COLUMNS($AB$1006:AE1006),$AB$1006:$AQ$1006,0)), HYPERLINK("#",""), HYPERLINK(CONCATENATE("#Metadata!", ADDRESS(INDEX($W$2:$W$1001,MATCH(ROWS($U$2:U679),$U$2:$U$1001,0),0), INDEX($AB$1004:$AQ$1004,1,MATCH(COLUMNS($AB$1006:AE1006),$AB$1006:$AQ$1006,0)))),"Fix")))</f>
        <v>0</v>
      </c>
      <c r="F679" s="5">
        <f>IF(OR(INDEX($V$2:$V$1001,MATCH(ROWS($U$2:U679),$U$2:$U$1001,0),1)&gt;=100000,INDEX($AB$1005:$AQ$1005,1,MATCH(COLUMNS($AB$1006:AF1006),$AB$1006:$AQ$1006,0))&gt;=100000), " ",IF(INDEX($AB$2:$AQ$1001,MATCH(ROWS($U$2:U679),$U$2:$U$1001,0),MATCH(COLUMNS($AB$1006:AF1006),$AB$1006:$AQ$1006,0)), HYPERLINK("#",""), HYPERLINK(CONCATENATE("#Metadata!", ADDRESS(INDEX($W$2:$W$1001,MATCH(ROWS($U$2:U679),$U$2:$U$1001,0),0), INDEX($AB$1004:$AQ$1004,1,MATCH(COLUMNS($AB$1006:AF1006),$AB$1006:$AQ$1006,0)))),"Fix")))</f>
        <v>0</v>
      </c>
      <c r="G679" s="5">
        <f>IF(OR(INDEX($V$2:$V$1001,MATCH(ROWS($U$2:U679),$U$2:$U$1001,0),1)&gt;=100000,INDEX($AB$1005:$AQ$1005,1,MATCH(COLUMNS($AB$1006:AG1006),$AB$1006:$AQ$1006,0))&gt;=100000), " ",IF(INDEX($AB$2:$AQ$1001,MATCH(ROWS($U$2:U679),$U$2:$U$1001,0),MATCH(COLUMNS($AB$1006:AG1006),$AB$1006:$AQ$1006,0)), HYPERLINK("#",""), HYPERLINK(CONCATENATE("#Metadata!", ADDRESS(INDEX($W$2:$W$1001,MATCH(ROWS($U$2:U679),$U$2:$U$1001,0),0), INDEX($AB$1004:$AQ$1004,1,MATCH(COLUMNS($AB$1006:AG1006),$AB$1006:$AQ$1006,0)))),"Fix")))</f>
        <v>0</v>
      </c>
      <c r="H679" s="5">
        <f>IF(OR(INDEX($V$2:$V$1001,MATCH(ROWS($U$2:U679),$U$2:$U$1001,0),1)&gt;=100000,INDEX($AB$1005:$AQ$1005,1,MATCH(COLUMNS($AB$1006:AH1006),$AB$1006:$AQ$1006,0))&gt;=100000), " ",IF(INDEX($AB$2:$AQ$1001,MATCH(ROWS($U$2:U679),$U$2:$U$1001,0),MATCH(COLUMNS($AB$1006:AH1006),$AB$1006:$AQ$1006,0)), HYPERLINK("#",""), HYPERLINK(CONCATENATE("#Metadata!", ADDRESS(INDEX($W$2:$W$1001,MATCH(ROWS($U$2:U679),$U$2:$U$1001,0),0), INDEX($AB$1004:$AQ$1004,1,MATCH(COLUMNS($AB$1006:AH1006),$AB$1006:$AQ$1006,0)))),"Fix")))</f>
        <v>0</v>
      </c>
      <c r="I679" s="5">
        <f>IF(OR(INDEX($V$2:$V$1001,MATCH(ROWS($U$2:U679),$U$2:$U$1001,0),1)&gt;=100000,INDEX($AB$1005:$AQ$1005,1,MATCH(COLUMNS($AB$1006:AI1006),$AB$1006:$AQ$1006,0))&gt;=100000), " ",IF(INDEX($AB$2:$AQ$1001,MATCH(ROWS($U$2:U679),$U$2:$U$1001,0),MATCH(COLUMNS($AB$1006:AI1006),$AB$1006:$AQ$1006,0)), HYPERLINK("#",""), HYPERLINK(CONCATENATE("#Metadata!", ADDRESS(INDEX($W$2:$W$1001,MATCH(ROWS($U$2:U679),$U$2:$U$1001,0),0), INDEX($AB$1004:$AQ$1004,1,MATCH(COLUMNS($AB$1006:AI1006),$AB$1006:$AQ$1006,0)))),"Fix")))</f>
        <v>0</v>
      </c>
      <c r="J679" s="5">
        <f>IF(OR(INDEX($V$2:$V$1001,MATCH(ROWS($U$2:U679),$U$2:$U$1001,0),1)&gt;=100000,INDEX($AB$1005:$AQ$1005,1,MATCH(COLUMNS($AB$1006:AJ1006),$AB$1006:$AQ$1006,0))&gt;=100000), " ",IF(INDEX($AB$2:$AQ$1001,MATCH(ROWS($U$2:U679),$U$2:$U$1001,0),MATCH(COLUMNS($AB$1006:AJ1006),$AB$1006:$AQ$1006,0)), HYPERLINK("#",""), HYPERLINK(CONCATENATE("#Metadata!", ADDRESS(INDEX($W$2:$W$1001,MATCH(ROWS($U$2:U679),$U$2:$U$1001,0),0), INDEX($AB$1004:$AQ$1004,1,MATCH(COLUMNS($AB$1006:AJ1006),$AB$1006:$AQ$1006,0)))),"Fix")))</f>
        <v>0</v>
      </c>
      <c r="K679" s="5">
        <f>IF(OR(INDEX($V$2:$V$1001,MATCH(ROWS($U$2:U679),$U$2:$U$1001,0),1)&gt;=100000,INDEX($AB$1005:$AQ$1005,1,MATCH(COLUMNS($AB$1006:AK1006),$AB$1006:$AQ$1006,0))&gt;=100000), " ",IF(INDEX($AB$2:$AQ$1001,MATCH(ROWS($U$2:U679),$U$2:$U$1001,0),MATCH(COLUMNS($AB$1006:AK1006),$AB$1006:$AQ$1006,0)), HYPERLINK("#",""), HYPERLINK(CONCATENATE("#Metadata!", ADDRESS(INDEX($W$2:$W$1001,MATCH(ROWS($U$2:U679),$U$2:$U$1001,0),0), INDEX($AB$1004:$AQ$1004,1,MATCH(COLUMNS($AB$1006:AK1006),$AB$1006:$AQ$1006,0)))),"Fix")))</f>
        <v>0</v>
      </c>
      <c r="L679" s="5">
        <f>IF(OR(INDEX($V$2:$V$1001,MATCH(ROWS($U$2:U679),$U$2:$U$1001,0),1)&gt;=100000,INDEX($AB$1005:$AQ$1005,1,MATCH(COLUMNS($AB$1006:AL1006),$AB$1006:$AQ$1006,0))&gt;=100000), " ",IF(INDEX($AB$2:$AQ$1001,MATCH(ROWS($U$2:U679),$U$2:$U$1001,0),MATCH(COLUMNS($AB$1006:AL1006),$AB$1006:$AQ$1006,0)), HYPERLINK("#",""), HYPERLINK(CONCATENATE("#Metadata!", ADDRESS(INDEX($W$2:$W$1001,MATCH(ROWS($U$2:U679),$U$2:$U$1001,0),0), INDEX($AB$1004:$AQ$1004,1,MATCH(COLUMNS($AB$1006:AL1006),$AB$1006:$AQ$1006,0)))),"Fix")))</f>
        <v>0</v>
      </c>
      <c r="M679" s="5">
        <f>IF(OR(INDEX($V$2:$V$1001,MATCH(ROWS($U$2:U679),$U$2:$U$1001,0),1)&gt;=100000,INDEX($AB$1005:$AQ$1005,1,MATCH(COLUMNS($AB$1006:AM1006),$AB$1006:$AQ$1006,0))&gt;=100000), " ",IF(INDEX($AB$2:$AQ$1001,MATCH(ROWS($U$2:U679),$U$2:$U$1001,0),MATCH(COLUMNS($AB$1006:AM1006),$AB$1006:$AQ$1006,0)), HYPERLINK("#",""), HYPERLINK(CONCATENATE("#Metadata!", ADDRESS(INDEX($W$2:$W$1001,MATCH(ROWS($U$2:U679),$U$2:$U$1001,0),0), INDEX($AB$1004:$AQ$1004,1,MATCH(COLUMNS($AB$1006:AM1006),$AB$1006:$AQ$1006,0)))),"Fix")))</f>
        <v>0</v>
      </c>
      <c r="N679" s="5">
        <f>IF(OR(INDEX($V$2:$V$1001,MATCH(ROWS($U$2:U679),$U$2:$U$1001,0),1)&gt;=100000,INDEX($AB$1005:$AQ$1005,1,MATCH(COLUMNS($AB$1006:AN1006),$AB$1006:$AQ$1006,0))&gt;=100000), " ",IF(INDEX($AB$2:$AQ$1001,MATCH(ROWS($U$2:U679),$U$2:$U$1001,0),MATCH(COLUMNS($AB$1006:AN1006),$AB$1006:$AQ$1006,0)), HYPERLINK("#",""), HYPERLINK(CONCATENATE("#Metadata!", ADDRESS(INDEX($W$2:$W$1001,MATCH(ROWS($U$2:U679),$U$2:$U$1001,0),0), INDEX($AB$1004:$AQ$1004,1,MATCH(COLUMNS($AB$1006:AN1006),$AB$1006:$AQ$1006,0)))),"Fix")))</f>
        <v>0</v>
      </c>
      <c r="O679" s="5">
        <f>IF(OR(INDEX($V$2:$V$1001,MATCH(ROWS($U$2:U679),$U$2:$U$1001,0),1)&gt;=100000,INDEX($AB$1005:$AQ$1005,1,MATCH(COLUMNS($AB$1006:AO1006),$AB$1006:$AQ$1006,0))&gt;=100000), " ",IF(INDEX($AB$2:$AQ$1001,MATCH(ROWS($U$2:U679),$U$2:$U$1001,0),MATCH(COLUMNS($AB$1006:AO1006),$AB$1006:$AQ$1006,0)), HYPERLINK("#",""), HYPERLINK(CONCATENATE("#Metadata!", ADDRESS(INDEX($W$2:$W$1001,MATCH(ROWS($U$2:U679),$U$2:$U$1001,0),0), INDEX($AB$1004:$AQ$1004,1,MATCH(COLUMNS($AB$1006:AO1006),$AB$1006:$AQ$1006,0)))),"Fix")))</f>
        <v>0</v>
      </c>
      <c r="P679" s="5">
        <f>IF(OR(INDEX($V$2:$V$1001,MATCH(ROWS($U$2:U679),$U$2:$U$1001,0),1)&gt;=100000,INDEX($AB$1005:$AQ$1005,1,MATCH(COLUMNS($AB$1006:AP1006),$AB$1006:$AQ$1006,0))&gt;=100000), " ",IF(INDEX($AB$2:$AQ$1001,MATCH(ROWS($U$2:U679),$U$2:$U$1001,0),MATCH(COLUMNS($AB$1006:AP1006),$AB$1006:$AQ$1006,0)), HYPERLINK("#",""), HYPERLINK(CONCATENATE("#Metadata!", ADDRESS(INDEX($W$2:$W$1001,MATCH(ROWS($U$2:U679),$U$2:$U$1001,0),0), INDEX($AB$1004:$AQ$1004,1,MATCH(COLUMNS($AB$1006:AP1006),$AB$1006:$AQ$1006,0)))),"Fix")))</f>
        <v>0</v>
      </c>
      <c r="Q679" s="5">
        <f>IF(OR(INDEX($V$2:$V$1001,MATCH(ROWS($U$2:U679),$U$2:$U$1001,0),1)&gt;=100000,INDEX($AB$1005:$AQ$1005,1,MATCH(COLUMNS($AB$1006:AQ1006),$AB$1006:$AQ$1006,0))&gt;=100000), " ",IF(INDEX($AB$2:$AQ$1001,MATCH(ROWS($U$2:U679),$U$2:$U$1001,0),MATCH(COLUMNS($AB$1006:AQ1006),$AB$1006:$AQ$1006,0)), HYPERLINK("#",""), HYPERLINK(CONCATENATE("#Metadata!", ADDRESS(INDEX($W$2:$W$1001,MATCH(ROWS($U$2:U679),$U$2:$U$1001,0),0), INDEX($AB$1004:$AQ$1004,1,MATCH(COLUMNS($AB$1006:AQ1006),$AB$1006:$AQ$1006,0)))),"Fix")))</f>
        <v>0</v>
      </c>
      <c r="U679">
        <v>0</v>
      </c>
      <c r="V679">
        <v>0</v>
      </c>
      <c r="W679">
        <v>0</v>
      </c>
      <c r="X679">
        <f>IF(Y679,TRUE,AND(AB679:AQ679))</f>
        <v>0</v>
      </c>
      <c r="Y679">
        <f>COUNTBLANK(Metadata!B679:Q679)=COLUMNS(Metadata!B679:Q679)</f>
        <v>0</v>
      </c>
      <c r="Z679">
        <v>0</v>
      </c>
      <c r="AB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AC679">
        <f>AND(IF(Metadata!C679="",FALSE,TRUE),exact(Metadata!C679,"urban biome"))</f>
        <v>0</v>
      </c>
      <c r="AD679">
        <f>AND(IF(Metadata!D679="",FALSE,TRUE),exact(Metadata!D679,"human-associated habitat"))</f>
        <v>0</v>
      </c>
      <c r="AE679">
        <f>AND(IF(Metadata!E679="",FALSE,TRUE),OR(exact(Metadata!E679,"human-associated"),exact(Metadata!E679,"human-skin"),exact(Metadata!E679,"human-oral"),exact(Metadata!E679,"human-gut"),exact(Metadata!E679,"human-vaginal")))</f>
        <v>0</v>
      </c>
      <c r="AF679">
        <f>AND(IF(Metadata!F679="",FALSE,ISNUMBER(VALUE(Metadata!F679))),Metadata!F679&gt;0)</f>
        <v>0</v>
      </c>
      <c r="AG679">
        <f>AND(IF(Metadata!G679="",FALSE,TRUE),exact(Metadata!G679,"years"))</f>
        <v>0</v>
      </c>
      <c r="AH679">
        <f>OR(AND(IF(Metadata!H679="",FALSE,TRUE),OR(exact(Metadata!H679,"not applicable"),exact(Metadata!H679,"not collected"),exact(Metadata!H679,"not provided"),exact(Metadata!H679,"restricted access"))),AND(IF(Metadata!H679="",FALSE,ISNUMBER(VALUE(Metadata!H679))),Metadata!H679&gt;0))</f>
        <v>0</v>
      </c>
      <c r="AI679">
        <f>AND(IF(Metadata!I679="",FALSE,TRUE),exact(Metadata!I679,"human"))</f>
        <v>0</v>
      </c>
      <c r="AJ679">
        <f>AND(IF(Metadata!J679="",FALSE,ISNUMBER(VALUE(Metadata!J679))),Metadata!J679&gt;0)</f>
        <v>0</v>
      </c>
      <c r="AK679">
        <f>AND(IF(Metadata!K679="",FALSE,TRUE),exact(Metadata!K679,"cm"))</f>
        <v>0</v>
      </c>
      <c r="AL679">
        <f>AND(IF(Metadata!L679="",FALSE,TRUE),exact(Metadata!L679,"Homo sapiens"))</f>
        <v>0</v>
      </c>
      <c r="AM679">
        <f>AND(IF(Metadata!M679="",FALSE,TRUE),exact(Metadata!M679,"9606"))</f>
        <v>0</v>
      </c>
      <c r="AN679">
        <f>AND(IF(Metadata!N679="",FALSE,ISNUMBER(VALUE(Metadata!N679))),Metadata!N679&gt;0)</f>
        <v>0</v>
      </c>
      <c r="AO679">
        <f>AND(IF(Metadata!O679="",FALSE,TRUE),exact(Metadata!O679,"kg"))</f>
        <v>0</v>
      </c>
      <c r="AP679">
        <f>OR(AND(IF(Metadata!P679="",FALSE,TRUE),exact(Metadata!P679,"not provided")),IF(Metadata!P679="",FALSE,TRUE))</f>
        <v>0</v>
      </c>
      <c r="AQ679">
        <f>OR(AND(IF(Metadata!Q679="",FALSE,TRUE),exact(Metadata!Q679,"not provided")),IF(Metadata!Q679="",FALSE,TRUE))</f>
        <v>0</v>
      </c>
    </row>
    <row r="680" spans="1:43">
      <c r="A680" s="4">
        <f>IF(B680=" "," ",HYPERLINK(CONCATENATE("#metadata!",ADDRESS(INDEX($W$2:$W$1001,MATCH(ROWS($U$2:U680),$U$2:$U$1001,0),0),2)),INDEX($Z$2:$Z$1001,MATCH(ROWS($U$2:U680),$U$2:$U$1001,0),0)))</f>
        <v>0</v>
      </c>
      <c r="B680" s="5">
        <f>IF(OR(INDEX($V$2:$V$1001,MATCH(ROWS($U$2:U680),$U$2:$U$1001,0),1)&gt;=100000,INDEX($AB$1005:$AQ$1005,1,MATCH(COLUMNS($AB$1006:AB1006),$AB$1006:$AQ$1006,0))&gt;=100000), " ",IF(INDEX($AB$2:$AQ$1001,MATCH(ROWS($U$2:U680),$U$2:$U$1001,0),MATCH(COLUMNS($AB$1006:AB1006),$AB$1006:$AQ$1006,0)), HYPERLINK("#",""), HYPERLINK(CONCATENATE("#Metadata!", ADDRESS(INDEX($W$2:$W$1001,MATCH(ROWS($U$2:U680),$U$2:$U$1001,0),0), INDEX($AB$1004:$AQ$1004,1,MATCH(COLUMNS($AB$1006:AB1006),$AB$1006:$AQ$1006,0)))),"Fix")))</f>
        <v>0</v>
      </c>
      <c r="C680" s="5">
        <f>IF(OR(INDEX($V$2:$V$1001,MATCH(ROWS($U$2:U680),$U$2:$U$1001,0),1)&gt;=100000,INDEX($AB$1005:$AQ$1005,1,MATCH(COLUMNS($AB$1006:AC1006),$AB$1006:$AQ$1006,0))&gt;=100000), " ",IF(INDEX($AB$2:$AQ$1001,MATCH(ROWS($U$2:U680),$U$2:$U$1001,0),MATCH(COLUMNS($AB$1006:AC1006),$AB$1006:$AQ$1006,0)), HYPERLINK("#",""), HYPERLINK(CONCATENATE("#Metadata!", ADDRESS(INDEX($W$2:$W$1001,MATCH(ROWS($U$2:U680),$U$2:$U$1001,0),0), INDEX($AB$1004:$AQ$1004,1,MATCH(COLUMNS($AB$1006:AC1006),$AB$1006:$AQ$1006,0)))),"Fix")))</f>
        <v>0</v>
      </c>
      <c r="D680" s="5">
        <f>IF(OR(INDEX($V$2:$V$1001,MATCH(ROWS($U$2:U680),$U$2:$U$1001,0),1)&gt;=100000,INDEX($AB$1005:$AQ$1005,1,MATCH(COLUMNS($AB$1006:AD1006),$AB$1006:$AQ$1006,0))&gt;=100000), " ",IF(INDEX($AB$2:$AQ$1001,MATCH(ROWS($U$2:U680),$U$2:$U$1001,0),MATCH(COLUMNS($AB$1006:AD1006),$AB$1006:$AQ$1006,0)), HYPERLINK("#",""), HYPERLINK(CONCATENATE("#Metadata!", ADDRESS(INDEX($W$2:$W$1001,MATCH(ROWS($U$2:U680),$U$2:$U$1001,0),0), INDEX($AB$1004:$AQ$1004,1,MATCH(COLUMNS($AB$1006:AD1006),$AB$1006:$AQ$1006,0)))),"Fix")))</f>
        <v>0</v>
      </c>
      <c r="E680" s="5">
        <f>IF(OR(INDEX($V$2:$V$1001,MATCH(ROWS($U$2:U680),$U$2:$U$1001,0),1)&gt;=100000,INDEX($AB$1005:$AQ$1005,1,MATCH(COLUMNS($AB$1006:AE1006),$AB$1006:$AQ$1006,0))&gt;=100000), " ",IF(INDEX($AB$2:$AQ$1001,MATCH(ROWS($U$2:U680),$U$2:$U$1001,0),MATCH(COLUMNS($AB$1006:AE1006),$AB$1006:$AQ$1006,0)), HYPERLINK("#",""), HYPERLINK(CONCATENATE("#Metadata!", ADDRESS(INDEX($W$2:$W$1001,MATCH(ROWS($U$2:U680),$U$2:$U$1001,0),0), INDEX($AB$1004:$AQ$1004,1,MATCH(COLUMNS($AB$1006:AE1006),$AB$1006:$AQ$1006,0)))),"Fix")))</f>
        <v>0</v>
      </c>
      <c r="F680" s="5">
        <f>IF(OR(INDEX($V$2:$V$1001,MATCH(ROWS($U$2:U680),$U$2:$U$1001,0),1)&gt;=100000,INDEX($AB$1005:$AQ$1005,1,MATCH(COLUMNS($AB$1006:AF1006),$AB$1006:$AQ$1006,0))&gt;=100000), " ",IF(INDEX($AB$2:$AQ$1001,MATCH(ROWS($U$2:U680),$U$2:$U$1001,0),MATCH(COLUMNS($AB$1006:AF1006),$AB$1006:$AQ$1006,0)), HYPERLINK("#",""), HYPERLINK(CONCATENATE("#Metadata!", ADDRESS(INDEX($W$2:$W$1001,MATCH(ROWS($U$2:U680),$U$2:$U$1001,0),0), INDEX($AB$1004:$AQ$1004,1,MATCH(COLUMNS($AB$1006:AF1006),$AB$1006:$AQ$1006,0)))),"Fix")))</f>
        <v>0</v>
      </c>
      <c r="G680" s="5">
        <f>IF(OR(INDEX($V$2:$V$1001,MATCH(ROWS($U$2:U680),$U$2:$U$1001,0),1)&gt;=100000,INDEX($AB$1005:$AQ$1005,1,MATCH(COLUMNS($AB$1006:AG1006),$AB$1006:$AQ$1006,0))&gt;=100000), " ",IF(INDEX($AB$2:$AQ$1001,MATCH(ROWS($U$2:U680),$U$2:$U$1001,0),MATCH(COLUMNS($AB$1006:AG1006),$AB$1006:$AQ$1006,0)), HYPERLINK("#",""), HYPERLINK(CONCATENATE("#Metadata!", ADDRESS(INDEX($W$2:$W$1001,MATCH(ROWS($U$2:U680),$U$2:$U$1001,0),0), INDEX($AB$1004:$AQ$1004,1,MATCH(COLUMNS($AB$1006:AG1006),$AB$1006:$AQ$1006,0)))),"Fix")))</f>
        <v>0</v>
      </c>
      <c r="H680" s="5">
        <f>IF(OR(INDEX($V$2:$V$1001,MATCH(ROWS($U$2:U680),$U$2:$U$1001,0),1)&gt;=100000,INDEX($AB$1005:$AQ$1005,1,MATCH(COLUMNS($AB$1006:AH1006),$AB$1006:$AQ$1006,0))&gt;=100000), " ",IF(INDEX($AB$2:$AQ$1001,MATCH(ROWS($U$2:U680),$U$2:$U$1001,0),MATCH(COLUMNS($AB$1006:AH1006),$AB$1006:$AQ$1006,0)), HYPERLINK("#",""), HYPERLINK(CONCATENATE("#Metadata!", ADDRESS(INDEX($W$2:$W$1001,MATCH(ROWS($U$2:U680),$U$2:$U$1001,0),0), INDEX($AB$1004:$AQ$1004,1,MATCH(COLUMNS($AB$1006:AH1006),$AB$1006:$AQ$1006,0)))),"Fix")))</f>
        <v>0</v>
      </c>
      <c r="I680" s="5">
        <f>IF(OR(INDEX($V$2:$V$1001,MATCH(ROWS($U$2:U680),$U$2:$U$1001,0),1)&gt;=100000,INDEX($AB$1005:$AQ$1005,1,MATCH(COLUMNS($AB$1006:AI1006),$AB$1006:$AQ$1006,0))&gt;=100000), " ",IF(INDEX($AB$2:$AQ$1001,MATCH(ROWS($U$2:U680),$U$2:$U$1001,0),MATCH(COLUMNS($AB$1006:AI1006),$AB$1006:$AQ$1006,0)), HYPERLINK("#",""), HYPERLINK(CONCATENATE("#Metadata!", ADDRESS(INDEX($W$2:$W$1001,MATCH(ROWS($U$2:U680),$U$2:$U$1001,0),0), INDEX($AB$1004:$AQ$1004,1,MATCH(COLUMNS($AB$1006:AI1006),$AB$1006:$AQ$1006,0)))),"Fix")))</f>
        <v>0</v>
      </c>
      <c r="J680" s="5">
        <f>IF(OR(INDEX($V$2:$V$1001,MATCH(ROWS($U$2:U680),$U$2:$U$1001,0),1)&gt;=100000,INDEX($AB$1005:$AQ$1005,1,MATCH(COLUMNS($AB$1006:AJ1006),$AB$1006:$AQ$1006,0))&gt;=100000), " ",IF(INDEX($AB$2:$AQ$1001,MATCH(ROWS($U$2:U680),$U$2:$U$1001,0),MATCH(COLUMNS($AB$1006:AJ1006),$AB$1006:$AQ$1006,0)), HYPERLINK("#",""), HYPERLINK(CONCATENATE("#Metadata!", ADDRESS(INDEX($W$2:$W$1001,MATCH(ROWS($U$2:U680),$U$2:$U$1001,0),0), INDEX($AB$1004:$AQ$1004,1,MATCH(COLUMNS($AB$1006:AJ1006),$AB$1006:$AQ$1006,0)))),"Fix")))</f>
        <v>0</v>
      </c>
      <c r="K680" s="5">
        <f>IF(OR(INDEX($V$2:$V$1001,MATCH(ROWS($U$2:U680),$U$2:$U$1001,0),1)&gt;=100000,INDEX($AB$1005:$AQ$1005,1,MATCH(COLUMNS($AB$1006:AK1006),$AB$1006:$AQ$1006,0))&gt;=100000), " ",IF(INDEX($AB$2:$AQ$1001,MATCH(ROWS($U$2:U680),$U$2:$U$1001,0),MATCH(COLUMNS($AB$1006:AK1006),$AB$1006:$AQ$1006,0)), HYPERLINK("#",""), HYPERLINK(CONCATENATE("#Metadata!", ADDRESS(INDEX($W$2:$W$1001,MATCH(ROWS($U$2:U680),$U$2:$U$1001,0),0), INDEX($AB$1004:$AQ$1004,1,MATCH(COLUMNS($AB$1006:AK1006),$AB$1006:$AQ$1006,0)))),"Fix")))</f>
        <v>0</v>
      </c>
      <c r="L680" s="5">
        <f>IF(OR(INDEX($V$2:$V$1001,MATCH(ROWS($U$2:U680),$U$2:$U$1001,0),1)&gt;=100000,INDEX($AB$1005:$AQ$1005,1,MATCH(COLUMNS($AB$1006:AL1006),$AB$1006:$AQ$1006,0))&gt;=100000), " ",IF(INDEX($AB$2:$AQ$1001,MATCH(ROWS($U$2:U680),$U$2:$U$1001,0),MATCH(COLUMNS($AB$1006:AL1006),$AB$1006:$AQ$1006,0)), HYPERLINK("#",""), HYPERLINK(CONCATENATE("#Metadata!", ADDRESS(INDEX($W$2:$W$1001,MATCH(ROWS($U$2:U680),$U$2:$U$1001,0),0), INDEX($AB$1004:$AQ$1004,1,MATCH(COLUMNS($AB$1006:AL1006),$AB$1006:$AQ$1006,0)))),"Fix")))</f>
        <v>0</v>
      </c>
      <c r="M680" s="5">
        <f>IF(OR(INDEX($V$2:$V$1001,MATCH(ROWS($U$2:U680),$U$2:$U$1001,0),1)&gt;=100000,INDEX($AB$1005:$AQ$1005,1,MATCH(COLUMNS($AB$1006:AM1006),$AB$1006:$AQ$1006,0))&gt;=100000), " ",IF(INDEX($AB$2:$AQ$1001,MATCH(ROWS($U$2:U680),$U$2:$U$1001,0),MATCH(COLUMNS($AB$1006:AM1006),$AB$1006:$AQ$1006,0)), HYPERLINK("#",""), HYPERLINK(CONCATENATE("#Metadata!", ADDRESS(INDEX($W$2:$W$1001,MATCH(ROWS($U$2:U680),$U$2:$U$1001,0),0), INDEX($AB$1004:$AQ$1004,1,MATCH(COLUMNS($AB$1006:AM1006),$AB$1006:$AQ$1006,0)))),"Fix")))</f>
        <v>0</v>
      </c>
      <c r="N680" s="5">
        <f>IF(OR(INDEX($V$2:$V$1001,MATCH(ROWS($U$2:U680),$U$2:$U$1001,0),1)&gt;=100000,INDEX($AB$1005:$AQ$1005,1,MATCH(COLUMNS($AB$1006:AN1006),$AB$1006:$AQ$1006,0))&gt;=100000), " ",IF(INDEX($AB$2:$AQ$1001,MATCH(ROWS($U$2:U680),$U$2:$U$1001,0),MATCH(COLUMNS($AB$1006:AN1006),$AB$1006:$AQ$1006,0)), HYPERLINK("#",""), HYPERLINK(CONCATENATE("#Metadata!", ADDRESS(INDEX($W$2:$W$1001,MATCH(ROWS($U$2:U680),$U$2:$U$1001,0),0), INDEX($AB$1004:$AQ$1004,1,MATCH(COLUMNS($AB$1006:AN1006),$AB$1006:$AQ$1006,0)))),"Fix")))</f>
        <v>0</v>
      </c>
      <c r="O680" s="5">
        <f>IF(OR(INDEX($V$2:$V$1001,MATCH(ROWS($U$2:U680),$U$2:$U$1001,0),1)&gt;=100000,INDEX($AB$1005:$AQ$1005,1,MATCH(COLUMNS($AB$1006:AO1006),$AB$1006:$AQ$1006,0))&gt;=100000), " ",IF(INDEX($AB$2:$AQ$1001,MATCH(ROWS($U$2:U680),$U$2:$U$1001,0),MATCH(COLUMNS($AB$1006:AO1006),$AB$1006:$AQ$1006,0)), HYPERLINK("#",""), HYPERLINK(CONCATENATE("#Metadata!", ADDRESS(INDEX($W$2:$W$1001,MATCH(ROWS($U$2:U680),$U$2:$U$1001,0),0), INDEX($AB$1004:$AQ$1004,1,MATCH(COLUMNS($AB$1006:AO1006),$AB$1006:$AQ$1006,0)))),"Fix")))</f>
        <v>0</v>
      </c>
      <c r="P680" s="5">
        <f>IF(OR(INDEX($V$2:$V$1001,MATCH(ROWS($U$2:U680),$U$2:$U$1001,0),1)&gt;=100000,INDEX($AB$1005:$AQ$1005,1,MATCH(COLUMNS($AB$1006:AP1006),$AB$1006:$AQ$1006,0))&gt;=100000), " ",IF(INDEX($AB$2:$AQ$1001,MATCH(ROWS($U$2:U680),$U$2:$U$1001,0),MATCH(COLUMNS($AB$1006:AP1006),$AB$1006:$AQ$1006,0)), HYPERLINK("#",""), HYPERLINK(CONCATENATE("#Metadata!", ADDRESS(INDEX($W$2:$W$1001,MATCH(ROWS($U$2:U680),$U$2:$U$1001,0),0), INDEX($AB$1004:$AQ$1004,1,MATCH(COLUMNS($AB$1006:AP1006),$AB$1006:$AQ$1006,0)))),"Fix")))</f>
        <v>0</v>
      </c>
      <c r="Q680" s="5">
        <f>IF(OR(INDEX($V$2:$V$1001,MATCH(ROWS($U$2:U680),$U$2:$U$1001,0),1)&gt;=100000,INDEX($AB$1005:$AQ$1005,1,MATCH(COLUMNS($AB$1006:AQ1006),$AB$1006:$AQ$1006,0))&gt;=100000), " ",IF(INDEX($AB$2:$AQ$1001,MATCH(ROWS($U$2:U680),$U$2:$U$1001,0),MATCH(COLUMNS($AB$1006:AQ1006),$AB$1006:$AQ$1006,0)), HYPERLINK("#",""), HYPERLINK(CONCATENATE("#Metadata!", ADDRESS(INDEX($W$2:$W$1001,MATCH(ROWS($U$2:U680),$U$2:$U$1001,0),0), INDEX($AB$1004:$AQ$1004,1,MATCH(COLUMNS($AB$1006:AQ1006),$AB$1006:$AQ$1006,0)))),"Fix")))</f>
        <v>0</v>
      </c>
      <c r="U680">
        <v>0</v>
      </c>
      <c r="V680">
        <v>0</v>
      </c>
      <c r="W680">
        <v>0</v>
      </c>
      <c r="X680">
        <f>IF(Y680,TRUE,AND(AB680:AQ680))</f>
        <v>0</v>
      </c>
      <c r="Y680">
        <f>COUNTBLANK(Metadata!B680:Q680)=COLUMNS(Metadata!B680:Q680)</f>
        <v>0</v>
      </c>
      <c r="Z680">
        <v>0</v>
      </c>
      <c r="AB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AC680">
        <f>AND(IF(Metadata!C680="",FALSE,TRUE),exact(Metadata!C680,"urban biome"))</f>
        <v>0</v>
      </c>
      <c r="AD680">
        <f>AND(IF(Metadata!D680="",FALSE,TRUE),exact(Metadata!D680,"human-associated habitat"))</f>
        <v>0</v>
      </c>
      <c r="AE680">
        <f>AND(IF(Metadata!E680="",FALSE,TRUE),OR(exact(Metadata!E680,"human-associated"),exact(Metadata!E680,"human-skin"),exact(Metadata!E680,"human-oral"),exact(Metadata!E680,"human-gut"),exact(Metadata!E680,"human-vaginal")))</f>
        <v>0</v>
      </c>
      <c r="AF680">
        <f>AND(IF(Metadata!F680="",FALSE,ISNUMBER(VALUE(Metadata!F680))),Metadata!F680&gt;0)</f>
        <v>0</v>
      </c>
      <c r="AG680">
        <f>AND(IF(Metadata!G680="",FALSE,TRUE),exact(Metadata!G680,"years"))</f>
        <v>0</v>
      </c>
      <c r="AH680">
        <f>OR(AND(IF(Metadata!H680="",FALSE,TRUE),OR(exact(Metadata!H680,"not applicable"),exact(Metadata!H680,"not collected"),exact(Metadata!H680,"not provided"),exact(Metadata!H680,"restricted access"))),AND(IF(Metadata!H680="",FALSE,ISNUMBER(VALUE(Metadata!H680))),Metadata!H680&gt;0))</f>
        <v>0</v>
      </c>
      <c r="AI680">
        <f>AND(IF(Metadata!I680="",FALSE,TRUE),exact(Metadata!I680,"human"))</f>
        <v>0</v>
      </c>
      <c r="AJ680">
        <f>AND(IF(Metadata!J680="",FALSE,ISNUMBER(VALUE(Metadata!J680))),Metadata!J680&gt;0)</f>
        <v>0</v>
      </c>
      <c r="AK680">
        <f>AND(IF(Metadata!K680="",FALSE,TRUE),exact(Metadata!K680,"cm"))</f>
        <v>0</v>
      </c>
      <c r="AL680">
        <f>AND(IF(Metadata!L680="",FALSE,TRUE),exact(Metadata!L680,"Homo sapiens"))</f>
        <v>0</v>
      </c>
      <c r="AM680">
        <f>AND(IF(Metadata!M680="",FALSE,TRUE),exact(Metadata!M680,"9606"))</f>
        <v>0</v>
      </c>
      <c r="AN680">
        <f>AND(IF(Metadata!N680="",FALSE,ISNUMBER(VALUE(Metadata!N680))),Metadata!N680&gt;0)</f>
        <v>0</v>
      </c>
      <c r="AO680">
        <f>AND(IF(Metadata!O680="",FALSE,TRUE),exact(Metadata!O680,"kg"))</f>
        <v>0</v>
      </c>
      <c r="AP680">
        <f>OR(AND(IF(Metadata!P680="",FALSE,TRUE),exact(Metadata!P680,"not provided")),IF(Metadata!P680="",FALSE,TRUE))</f>
        <v>0</v>
      </c>
      <c r="AQ680">
        <f>OR(AND(IF(Metadata!Q680="",FALSE,TRUE),exact(Metadata!Q680,"not provided")),IF(Metadata!Q680="",FALSE,TRUE))</f>
        <v>0</v>
      </c>
    </row>
    <row r="681" spans="1:43">
      <c r="A681" s="4">
        <f>IF(B681=" "," ",HYPERLINK(CONCATENATE("#metadata!",ADDRESS(INDEX($W$2:$W$1001,MATCH(ROWS($U$2:U681),$U$2:$U$1001,0),0),2)),INDEX($Z$2:$Z$1001,MATCH(ROWS($U$2:U681),$U$2:$U$1001,0),0)))</f>
        <v>0</v>
      </c>
      <c r="B681" s="5">
        <f>IF(OR(INDEX($V$2:$V$1001,MATCH(ROWS($U$2:U681),$U$2:$U$1001,0),1)&gt;=100000,INDEX($AB$1005:$AQ$1005,1,MATCH(COLUMNS($AB$1006:AB1006),$AB$1006:$AQ$1006,0))&gt;=100000), " ",IF(INDEX($AB$2:$AQ$1001,MATCH(ROWS($U$2:U681),$U$2:$U$1001,0),MATCH(COLUMNS($AB$1006:AB1006),$AB$1006:$AQ$1006,0)), HYPERLINK("#",""), HYPERLINK(CONCATENATE("#Metadata!", ADDRESS(INDEX($W$2:$W$1001,MATCH(ROWS($U$2:U681),$U$2:$U$1001,0),0), INDEX($AB$1004:$AQ$1004,1,MATCH(COLUMNS($AB$1006:AB1006),$AB$1006:$AQ$1006,0)))),"Fix")))</f>
        <v>0</v>
      </c>
      <c r="C681" s="5">
        <f>IF(OR(INDEX($V$2:$V$1001,MATCH(ROWS($U$2:U681),$U$2:$U$1001,0),1)&gt;=100000,INDEX($AB$1005:$AQ$1005,1,MATCH(COLUMNS($AB$1006:AC1006),$AB$1006:$AQ$1006,0))&gt;=100000), " ",IF(INDEX($AB$2:$AQ$1001,MATCH(ROWS($U$2:U681),$U$2:$U$1001,0),MATCH(COLUMNS($AB$1006:AC1006),$AB$1006:$AQ$1006,0)), HYPERLINK("#",""), HYPERLINK(CONCATENATE("#Metadata!", ADDRESS(INDEX($W$2:$W$1001,MATCH(ROWS($U$2:U681),$U$2:$U$1001,0),0), INDEX($AB$1004:$AQ$1004,1,MATCH(COLUMNS($AB$1006:AC1006),$AB$1006:$AQ$1006,0)))),"Fix")))</f>
        <v>0</v>
      </c>
      <c r="D681" s="5">
        <f>IF(OR(INDEX($V$2:$V$1001,MATCH(ROWS($U$2:U681),$U$2:$U$1001,0),1)&gt;=100000,INDEX($AB$1005:$AQ$1005,1,MATCH(COLUMNS($AB$1006:AD1006),$AB$1006:$AQ$1006,0))&gt;=100000), " ",IF(INDEX($AB$2:$AQ$1001,MATCH(ROWS($U$2:U681),$U$2:$U$1001,0),MATCH(COLUMNS($AB$1006:AD1006),$AB$1006:$AQ$1006,0)), HYPERLINK("#",""), HYPERLINK(CONCATENATE("#Metadata!", ADDRESS(INDEX($W$2:$W$1001,MATCH(ROWS($U$2:U681),$U$2:$U$1001,0),0), INDEX($AB$1004:$AQ$1004,1,MATCH(COLUMNS($AB$1006:AD1006),$AB$1006:$AQ$1006,0)))),"Fix")))</f>
        <v>0</v>
      </c>
      <c r="E681" s="5">
        <f>IF(OR(INDEX($V$2:$V$1001,MATCH(ROWS($U$2:U681),$U$2:$U$1001,0),1)&gt;=100000,INDEX($AB$1005:$AQ$1005,1,MATCH(COLUMNS($AB$1006:AE1006),$AB$1006:$AQ$1006,0))&gt;=100000), " ",IF(INDEX($AB$2:$AQ$1001,MATCH(ROWS($U$2:U681),$U$2:$U$1001,0),MATCH(COLUMNS($AB$1006:AE1006),$AB$1006:$AQ$1006,0)), HYPERLINK("#",""), HYPERLINK(CONCATENATE("#Metadata!", ADDRESS(INDEX($W$2:$W$1001,MATCH(ROWS($U$2:U681),$U$2:$U$1001,0),0), INDEX($AB$1004:$AQ$1004,1,MATCH(COLUMNS($AB$1006:AE1006),$AB$1006:$AQ$1006,0)))),"Fix")))</f>
        <v>0</v>
      </c>
      <c r="F681" s="5">
        <f>IF(OR(INDEX($V$2:$V$1001,MATCH(ROWS($U$2:U681),$U$2:$U$1001,0),1)&gt;=100000,INDEX($AB$1005:$AQ$1005,1,MATCH(COLUMNS($AB$1006:AF1006),$AB$1006:$AQ$1006,0))&gt;=100000), " ",IF(INDEX($AB$2:$AQ$1001,MATCH(ROWS($U$2:U681),$U$2:$U$1001,0),MATCH(COLUMNS($AB$1006:AF1006),$AB$1006:$AQ$1006,0)), HYPERLINK("#",""), HYPERLINK(CONCATENATE("#Metadata!", ADDRESS(INDEX($W$2:$W$1001,MATCH(ROWS($U$2:U681),$U$2:$U$1001,0),0), INDEX($AB$1004:$AQ$1004,1,MATCH(COLUMNS($AB$1006:AF1006),$AB$1006:$AQ$1006,0)))),"Fix")))</f>
        <v>0</v>
      </c>
      <c r="G681" s="5">
        <f>IF(OR(INDEX($V$2:$V$1001,MATCH(ROWS($U$2:U681),$U$2:$U$1001,0),1)&gt;=100000,INDEX($AB$1005:$AQ$1005,1,MATCH(COLUMNS($AB$1006:AG1006),$AB$1006:$AQ$1006,0))&gt;=100000), " ",IF(INDEX($AB$2:$AQ$1001,MATCH(ROWS($U$2:U681),$U$2:$U$1001,0),MATCH(COLUMNS($AB$1006:AG1006),$AB$1006:$AQ$1006,0)), HYPERLINK("#",""), HYPERLINK(CONCATENATE("#Metadata!", ADDRESS(INDEX($W$2:$W$1001,MATCH(ROWS($U$2:U681),$U$2:$U$1001,0),0), INDEX($AB$1004:$AQ$1004,1,MATCH(COLUMNS($AB$1006:AG1006),$AB$1006:$AQ$1006,0)))),"Fix")))</f>
        <v>0</v>
      </c>
      <c r="H681" s="5">
        <f>IF(OR(INDEX($V$2:$V$1001,MATCH(ROWS($U$2:U681),$U$2:$U$1001,0),1)&gt;=100000,INDEX($AB$1005:$AQ$1005,1,MATCH(COLUMNS($AB$1006:AH1006),$AB$1006:$AQ$1006,0))&gt;=100000), " ",IF(INDEX($AB$2:$AQ$1001,MATCH(ROWS($U$2:U681),$U$2:$U$1001,0),MATCH(COLUMNS($AB$1006:AH1006),$AB$1006:$AQ$1006,0)), HYPERLINK("#",""), HYPERLINK(CONCATENATE("#Metadata!", ADDRESS(INDEX($W$2:$W$1001,MATCH(ROWS($U$2:U681),$U$2:$U$1001,0),0), INDEX($AB$1004:$AQ$1004,1,MATCH(COLUMNS($AB$1006:AH1006),$AB$1006:$AQ$1006,0)))),"Fix")))</f>
        <v>0</v>
      </c>
      <c r="I681" s="5">
        <f>IF(OR(INDEX($V$2:$V$1001,MATCH(ROWS($U$2:U681),$U$2:$U$1001,0),1)&gt;=100000,INDEX($AB$1005:$AQ$1005,1,MATCH(COLUMNS($AB$1006:AI1006),$AB$1006:$AQ$1006,0))&gt;=100000), " ",IF(INDEX($AB$2:$AQ$1001,MATCH(ROWS($U$2:U681),$U$2:$U$1001,0),MATCH(COLUMNS($AB$1006:AI1006),$AB$1006:$AQ$1006,0)), HYPERLINK("#",""), HYPERLINK(CONCATENATE("#Metadata!", ADDRESS(INDEX($W$2:$W$1001,MATCH(ROWS($U$2:U681),$U$2:$U$1001,0),0), INDEX($AB$1004:$AQ$1004,1,MATCH(COLUMNS($AB$1006:AI1006),$AB$1006:$AQ$1006,0)))),"Fix")))</f>
        <v>0</v>
      </c>
      <c r="J681" s="5">
        <f>IF(OR(INDEX($V$2:$V$1001,MATCH(ROWS($U$2:U681),$U$2:$U$1001,0),1)&gt;=100000,INDEX($AB$1005:$AQ$1005,1,MATCH(COLUMNS($AB$1006:AJ1006),$AB$1006:$AQ$1006,0))&gt;=100000), " ",IF(INDEX($AB$2:$AQ$1001,MATCH(ROWS($U$2:U681),$U$2:$U$1001,0),MATCH(COLUMNS($AB$1006:AJ1006),$AB$1006:$AQ$1006,0)), HYPERLINK("#",""), HYPERLINK(CONCATENATE("#Metadata!", ADDRESS(INDEX($W$2:$W$1001,MATCH(ROWS($U$2:U681),$U$2:$U$1001,0),0), INDEX($AB$1004:$AQ$1004,1,MATCH(COLUMNS($AB$1006:AJ1006),$AB$1006:$AQ$1006,0)))),"Fix")))</f>
        <v>0</v>
      </c>
      <c r="K681" s="5">
        <f>IF(OR(INDEX($V$2:$V$1001,MATCH(ROWS($U$2:U681),$U$2:$U$1001,0),1)&gt;=100000,INDEX($AB$1005:$AQ$1005,1,MATCH(COLUMNS($AB$1006:AK1006),$AB$1006:$AQ$1006,0))&gt;=100000), " ",IF(INDEX($AB$2:$AQ$1001,MATCH(ROWS($U$2:U681),$U$2:$U$1001,0),MATCH(COLUMNS($AB$1006:AK1006),$AB$1006:$AQ$1006,0)), HYPERLINK("#",""), HYPERLINK(CONCATENATE("#Metadata!", ADDRESS(INDEX($W$2:$W$1001,MATCH(ROWS($U$2:U681),$U$2:$U$1001,0),0), INDEX($AB$1004:$AQ$1004,1,MATCH(COLUMNS($AB$1006:AK1006),$AB$1006:$AQ$1006,0)))),"Fix")))</f>
        <v>0</v>
      </c>
      <c r="L681" s="5">
        <f>IF(OR(INDEX($V$2:$V$1001,MATCH(ROWS($U$2:U681),$U$2:$U$1001,0),1)&gt;=100000,INDEX($AB$1005:$AQ$1005,1,MATCH(COLUMNS($AB$1006:AL1006),$AB$1006:$AQ$1006,0))&gt;=100000), " ",IF(INDEX($AB$2:$AQ$1001,MATCH(ROWS($U$2:U681),$U$2:$U$1001,0),MATCH(COLUMNS($AB$1006:AL1006),$AB$1006:$AQ$1006,0)), HYPERLINK("#",""), HYPERLINK(CONCATENATE("#Metadata!", ADDRESS(INDEX($W$2:$W$1001,MATCH(ROWS($U$2:U681),$U$2:$U$1001,0),0), INDEX($AB$1004:$AQ$1004,1,MATCH(COLUMNS($AB$1006:AL1006),$AB$1006:$AQ$1006,0)))),"Fix")))</f>
        <v>0</v>
      </c>
      <c r="M681" s="5">
        <f>IF(OR(INDEX($V$2:$V$1001,MATCH(ROWS($U$2:U681),$U$2:$U$1001,0),1)&gt;=100000,INDEX($AB$1005:$AQ$1005,1,MATCH(COLUMNS($AB$1006:AM1006),$AB$1006:$AQ$1006,0))&gt;=100000), " ",IF(INDEX($AB$2:$AQ$1001,MATCH(ROWS($U$2:U681),$U$2:$U$1001,0),MATCH(COLUMNS($AB$1006:AM1006),$AB$1006:$AQ$1006,0)), HYPERLINK("#",""), HYPERLINK(CONCATENATE("#Metadata!", ADDRESS(INDEX($W$2:$W$1001,MATCH(ROWS($U$2:U681),$U$2:$U$1001,0),0), INDEX($AB$1004:$AQ$1004,1,MATCH(COLUMNS($AB$1006:AM1006),$AB$1006:$AQ$1006,0)))),"Fix")))</f>
        <v>0</v>
      </c>
      <c r="N681" s="5">
        <f>IF(OR(INDEX($V$2:$V$1001,MATCH(ROWS($U$2:U681),$U$2:$U$1001,0),1)&gt;=100000,INDEX($AB$1005:$AQ$1005,1,MATCH(COLUMNS($AB$1006:AN1006),$AB$1006:$AQ$1006,0))&gt;=100000), " ",IF(INDEX($AB$2:$AQ$1001,MATCH(ROWS($U$2:U681),$U$2:$U$1001,0),MATCH(COLUMNS($AB$1006:AN1006),$AB$1006:$AQ$1006,0)), HYPERLINK("#",""), HYPERLINK(CONCATENATE("#Metadata!", ADDRESS(INDEX($W$2:$W$1001,MATCH(ROWS($U$2:U681),$U$2:$U$1001,0),0), INDEX($AB$1004:$AQ$1004,1,MATCH(COLUMNS($AB$1006:AN1006),$AB$1006:$AQ$1006,0)))),"Fix")))</f>
        <v>0</v>
      </c>
      <c r="O681" s="5">
        <f>IF(OR(INDEX($V$2:$V$1001,MATCH(ROWS($U$2:U681),$U$2:$U$1001,0),1)&gt;=100000,INDEX($AB$1005:$AQ$1005,1,MATCH(COLUMNS($AB$1006:AO1006),$AB$1006:$AQ$1006,0))&gt;=100000), " ",IF(INDEX($AB$2:$AQ$1001,MATCH(ROWS($U$2:U681),$U$2:$U$1001,0),MATCH(COLUMNS($AB$1006:AO1006),$AB$1006:$AQ$1006,0)), HYPERLINK("#",""), HYPERLINK(CONCATENATE("#Metadata!", ADDRESS(INDEX($W$2:$W$1001,MATCH(ROWS($U$2:U681),$U$2:$U$1001,0),0), INDEX($AB$1004:$AQ$1004,1,MATCH(COLUMNS($AB$1006:AO1006),$AB$1006:$AQ$1006,0)))),"Fix")))</f>
        <v>0</v>
      </c>
      <c r="P681" s="5">
        <f>IF(OR(INDEX($V$2:$V$1001,MATCH(ROWS($U$2:U681),$U$2:$U$1001,0),1)&gt;=100000,INDEX($AB$1005:$AQ$1005,1,MATCH(COLUMNS($AB$1006:AP1006),$AB$1006:$AQ$1006,0))&gt;=100000), " ",IF(INDEX($AB$2:$AQ$1001,MATCH(ROWS($U$2:U681),$U$2:$U$1001,0),MATCH(COLUMNS($AB$1006:AP1006),$AB$1006:$AQ$1006,0)), HYPERLINK("#",""), HYPERLINK(CONCATENATE("#Metadata!", ADDRESS(INDEX($W$2:$W$1001,MATCH(ROWS($U$2:U681),$U$2:$U$1001,0),0), INDEX($AB$1004:$AQ$1004,1,MATCH(COLUMNS($AB$1006:AP1006),$AB$1006:$AQ$1006,0)))),"Fix")))</f>
        <v>0</v>
      </c>
      <c r="Q681" s="5">
        <f>IF(OR(INDEX($V$2:$V$1001,MATCH(ROWS($U$2:U681),$U$2:$U$1001,0),1)&gt;=100000,INDEX($AB$1005:$AQ$1005,1,MATCH(COLUMNS($AB$1006:AQ1006),$AB$1006:$AQ$1006,0))&gt;=100000), " ",IF(INDEX($AB$2:$AQ$1001,MATCH(ROWS($U$2:U681),$U$2:$U$1001,0),MATCH(COLUMNS($AB$1006:AQ1006),$AB$1006:$AQ$1006,0)), HYPERLINK("#",""), HYPERLINK(CONCATENATE("#Metadata!", ADDRESS(INDEX($W$2:$W$1001,MATCH(ROWS($U$2:U681),$U$2:$U$1001,0),0), INDEX($AB$1004:$AQ$1004,1,MATCH(COLUMNS($AB$1006:AQ1006),$AB$1006:$AQ$1006,0)))),"Fix")))</f>
        <v>0</v>
      </c>
      <c r="U681">
        <v>0</v>
      </c>
      <c r="V681">
        <v>0</v>
      </c>
      <c r="W681">
        <v>0</v>
      </c>
      <c r="X681">
        <f>IF(Y681,TRUE,AND(AB681:AQ681))</f>
        <v>0</v>
      </c>
      <c r="Y681">
        <f>COUNTBLANK(Metadata!B681:Q681)=COLUMNS(Metadata!B681:Q681)</f>
        <v>0</v>
      </c>
      <c r="Z681">
        <v>0</v>
      </c>
      <c r="AB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AC681">
        <f>AND(IF(Metadata!C681="",FALSE,TRUE),exact(Metadata!C681,"urban biome"))</f>
        <v>0</v>
      </c>
      <c r="AD681">
        <f>AND(IF(Metadata!D681="",FALSE,TRUE),exact(Metadata!D681,"human-associated habitat"))</f>
        <v>0</v>
      </c>
      <c r="AE681">
        <f>AND(IF(Metadata!E681="",FALSE,TRUE),OR(exact(Metadata!E681,"human-associated"),exact(Metadata!E681,"human-skin"),exact(Metadata!E681,"human-oral"),exact(Metadata!E681,"human-gut"),exact(Metadata!E681,"human-vaginal")))</f>
        <v>0</v>
      </c>
      <c r="AF681">
        <f>AND(IF(Metadata!F681="",FALSE,ISNUMBER(VALUE(Metadata!F681))),Metadata!F681&gt;0)</f>
        <v>0</v>
      </c>
      <c r="AG681">
        <f>AND(IF(Metadata!G681="",FALSE,TRUE),exact(Metadata!G681,"years"))</f>
        <v>0</v>
      </c>
      <c r="AH681">
        <f>OR(AND(IF(Metadata!H681="",FALSE,TRUE),OR(exact(Metadata!H681,"not applicable"),exact(Metadata!H681,"not collected"),exact(Metadata!H681,"not provided"),exact(Metadata!H681,"restricted access"))),AND(IF(Metadata!H681="",FALSE,ISNUMBER(VALUE(Metadata!H681))),Metadata!H681&gt;0))</f>
        <v>0</v>
      </c>
      <c r="AI681">
        <f>AND(IF(Metadata!I681="",FALSE,TRUE),exact(Metadata!I681,"human"))</f>
        <v>0</v>
      </c>
      <c r="AJ681">
        <f>AND(IF(Metadata!J681="",FALSE,ISNUMBER(VALUE(Metadata!J681))),Metadata!J681&gt;0)</f>
        <v>0</v>
      </c>
      <c r="AK681">
        <f>AND(IF(Metadata!K681="",FALSE,TRUE),exact(Metadata!K681,"cm"))</f>
        <v>0</v>
      </c>
      <c r="AL681">
        <f>AND(IF(Metadata!L681="",FALSE,TRUE),exact(Metadata!L681,"Homo sapiens"))</f>
        <v>0</v>
      </c>
      <c r="AM681">
        <f>AND(IF(Metadata!M681="",FALSE,TRUE),exact(Metadata!M681,"9606"))</f>
        <v>0</v>
      </c>
      <c r="AN681">
        <f>AND(IF(Metadata!N681="",FALSE,ISNUMBER(VALUE(Metadata!N681))),Metadata!N681&gt;0)</f>
        <v>0</v>
      </c>
      <c r="AO681">
        <f>AND(IF(Metadata!O681="",FALSE,TRUE),exact(Metadata!O681,"kg"))</f>
        <v>0</v>
      </c>
      <c r="AP681">
        <f>OR(AND(IF(Metadata!P681="",FALSE,TRUE),exact(Metadata!P681,"not provided")),IF(Metadata!P681="",FALSE,TRUE))</f>
        <v>0</v>
      </c>
      <c r="AQ681">
        <f>OR(AND(IF(Metadata!Q681="",FALSE,TRUE),exact(Metadata!Q681,"not provided")),IF(Metadata!Q681="",FALSE,TRUE))</f>
        <v>0</v>
      </c>
    </row>
    <row r="682" spans="1:43">
      <c r="A682" s="4">
        <f>IF(B682=" "," ",HYPERLINK(CONCATENATE("#metadata!",ADDRESS(INDEX($W$2:$W$1001,MATCH(ROWS($U$2:U682),$U$2:$U$1001,0),0),2)),INDEX($Z$2:$Z$1001,MATCH(ROWS($U$2:U682),$U$2:$U$1001,0),0)))</f>
        <v>0</v>
      </c>
      <c r="B682" s="5">
        <f>IF(OR(INDEX($V$2:$V$1001,MATCH(ROWS($U$2:U682),$U$2:$U$1001,0),1)&gt;=100000,INDEX($AB$1005:$AQ$1005,1,MATCH(COLUMNS($AB$1006:AB1006),$AB$1006:$AQ$1006,0))&gt;=100000), " ",IF(INDEX($AB$2:$AQ$1001,MATCH(ROWS($U$2:U682),$U$2:$U$1001,0),MATCH(COLUMNS($AB$1006:AB1006),$AB$1006:$AQ$1006,0)), HYPERLINK("#",""), HYPERLINK(CONCATENATE("#Metadata!", ADDRESS(INDEX($W$2:$W$1001,MATCH(ROWS($U$2:U682),$U$2:$U$1001,0),0), INDEX($AB$1004:$AQ$1004,1,MATCH(COLUMNS($AB$1006:AB1006),$AB$1006:$AQ$1006,0)))),"Fix")))</f>
        <v>0</v>
      </c>
      <c r="C682" s="5">
        <f>IF(OR(INDEX($V$2:$V$1001,MATCH(ROWS($U$2:U682),$U$2:$U$1001,0),1)&gt;=100000,INDEX($AB$1005:$AQ$1005,1,MATCH(COLUMNS($AB$1006:AC1006),$AB$1006:$AQ$1006,0))&gt;=100000), " ",IF(INDEX($AB$2:$AQ$1001,MATCH(ROWS($U$2:U682),$U$2:$U$1001,0),MATCH(COLUMNS($AB$1006:AC1006),$AB$1006:$AQ$1006,0)), HYPERLINK("#",""), HYPERLINK(CONCATENATE("#Metadata!", ADDRESS(INDEX($W$2:$W$1001,MATCH(ROWS($U$2:U682),$U$2:$U$1001,0),0), INDEX($AB$1004:$AQ$1004,1,MATCH(COLUMNS($AB$1006:AC1006),$AB$1006:$AQ$1006,0)))),"Fix")))</f>
        <v>0</v>
      </c>
      <c r="D682" s="5">
        <f>IF(OR(INDEX($V$2:$V$1001,MATCH(ROWS($U$2:U682),$U$2:$U$1001,0),1)&gt;=100000,INDEX($AB$1005:$AQ$1005,1,MATCH(COLUMNS($AB$1006:AD1006),$AB$1006:$AQ$1006,0))&gt;=100000), " ",IF(INDEX($AB$2:$AQ$1001,MATCH(ROWS($U$2:U682),$U$2:$U$1001,0),MATCH(COLUMNS($AB$1006:AD1006),$AB$1006:$AQ$1006,0)), HYPERLINK("#",""), HYPERLINK(CONCATENATE("#Metadata!", ADDRESS(INDEX($W$2:$W$1001,MATCH(ROWS($U$2:U682),$U$2:$U$1001,0),0), INDEX($AB$1004:$AQ$1004,1,MATCH(COLUMNS($AB$1006:AD1006),$AB$1006:$AQ$1006,0)))),"Fix")))</f>
        <v>0</v>
      </c>
      <c r="E682" s="5">
        <f>IF(OR(INDEX($V$2:$V$1001,MATCH(ROWS($U$2:U682),$U$2:$U$1001,0),1)&gt;=100000,INDEX($AB$1005:$AQ$1005,1,MATCH(COLUMNS($AB$1006:AE1006),$AB$1006:$AQ$1006,0))&gt;=100000), " ",IF(INDEX($AB$2:$AQ$1001,MATCH(ROWS($U$2:U682),$U$2:$U$1001,0),MATCH(COLUMNS($AB$1006:AE1006),$AB$1006:$AQ$1006,0)), HYPERLINK("#",""), HYPERLINK(CONCATENATE("#Metadata!", ADDRESS(INDEX($W$2:$W$1001,MATCH(ROWS($U$2:U682),$U$2:$U$1001,0),0), INDEX($AB$1004:$AQ$1004,1,MATCH(COLUMNS($AB$1006:AE1006),$AB$1006:$AQ$1006,0)))),"Fix")))</f>
        <v>0</v>
      </c>
      <c r="F682" s="5">
        <f>IF(OR(INDEX($V$2:$V$1001,MATCH(ROWS($U$2:U682),$U$2:$U$1001,0),1)&gt;=100000,INDEX($AB$1005:$AQ$1005,1,MATCH(COLUMNS($AB$1006:AF1006),$AB$1006:$AQ$1006,0))&gt;=100000), " ",IF(INDEX($AB$2:$AQ$1001,MATCH(ROWS($U$2:U682),$U$2:$U$1001,0),MATCH(COLUMNS($AB$1006:AF1006),$AB$1006:$AQ$1006,0)), HYPERLINK("#",""), HYPERLINK(CONCATENATE("#Metadata!", ADDRESS(INDEX($W$2:$W$1001,MATCH(ROWS($U$2:U682),$U$2:$U$1001,0),0), INDEX($AB$1004:$AQ$1004,1,MATCH(COLUMNS($AB$1006:AF1006),$AB$1006:$AQ$1006,0)))),"Fix")))</f>
        <v>0</v>
      </c>
      <c r="G682" s="5">
        <f>IF(OR(INDEX($V$2:$V$1001,MATCH(ROWS($U$2:U682),$U$2:$U$1001,0),1)&gt;=100000,INDEX($AB$1005:$AQ$1005,1,MATCH(COLUMNS($AB$1006:AG1006),$AB$1006:$AQ$1006,0))&gt;=100000), " ",IF(INDEX($AB$2:$AQ$1001,MATCH(ROWS($U$2:U682),$U$2:$U$1001,0),MATCH(COLUMNS($AB$1006:AG1006),$AB$1006:$AQ$1006,0)), HYPERLINK("#",""), HYPERLINK(CONCATENATE("#Metadata!", ADDRESS(INDEX($W$2:$W$1001,MATCH(ROWS($U$2:U682),$U$2:$U$1001,0),0), INDEX($AB$1004:$AQ$1004,1,MATCH(COLUMNS($AB$1006:AG1006),$AB$1006:$AQ$1006,0)))),"Fix")))</f>
        <v>0</v>
      </c>
      <c r="H682" s="5">
        <f>IF(OR(INDEX($V$2:$V$1001,MATCH(ROWS($U$2:U682),$U$2:$U$1001,0),1)&gt;=100000,INDEX($AB$1005:$AQ$1005,1,MATCH(COLUMNS($AB$1006:AH1006),$AB$1006:$AQ$1006,0))&gt;=100000), " ",IF(INDEX($AB$2:$AQ$1001,MATCH(ROWS($U$2:U682),$U$2:$U$1001,0),MATCH(COLUMNS($AB$1006:AH1006),$AB$1006:$AQ$1006,0)), HYPERLINK("#",""), HYPERLINK(CONCATENATE("#Metadata!", ADDRESS(INDEX($W$2:$W$1001,MATCH(ROWS($U$2:U682),$U$2:$U$1001,0),0), INDEX($AB$1004:$AQ$1004,1,MATCH(COLUMNS($AB$1006:AH1006),$AB$1006:$AQ$1006,0)))),"Fix")))</f>
        <v>0</v>
      </c>
      <c r="I682" s="5">
        <f>IF(OR(INDEX($V$2:$V$1001,MATCH(ROWS($U$2:U682),$U$2:$U$1001,0),1)&gt;=100000,INDEX($AB$1005:$AQ$1005,1,MATCH(COLUMNS($AB$1006:AI1006),$AB$1006:$AQ$1006,0))&gt;=100000), " ",IF(INDEX($AB$2:$AQ$1001,MATCH(ROWS($U$2:U682),$U$2:$U$1001,0),MATCH(COLUMNS($AB$1006:AI1006),$AB$1006:$AQ$1006,0)), HYPERLINK("#",""), HYPERLINK(CONCATENATE("#Metadata!", ADDRESS(INDEX($W$2:$W$1001,MATCH(ROWS($U$2:U682),$U$2:$U$1001,0),0), INDEX($AB$1004:$AQ$1004,1,MATCH(COLUMNS($AB$1006:AI1006),$AB$1006:$AQ$1006,0)))),"Fix")))</f>
        <v>0</v>
      </c>
      <c r="J682" s="5">
        <f>IF(OR(INDEX($V$2:$V$1001,MATCH(ROWS($U$2:U682),$U$2:$U$1001,0),1)&gt;=100000,INDEX($AB$1005:$AQ$1005,1,MATCH(COLUMNS($AB$1006:AJ1006),$AB$1006:$AQ$1006,0))&gt;=100000), " ",IF(INDEX($AB$2:$AQ$1001,MATCH(ROWS($U$2:U682),$U$2:$U$1001,0),MATCH(COLUMNS($AB$1006:AJ1006),$AB$1006:$AQ$1006,0)), HYPERLINK("#",""), HYPERLINK(CONCATENATE("#Metadata!", ADDRESS(INDEX($W$2:$W$1001,MATCH(ROWS($U$2:U682),$U$2:$U$1001,0),0), INDEX($AB$1004:$AQ$1004,1,MATCH(COLUMNS($AB$1006:AJ1006),$AB$1006:$AQ$1006,0)))),"Fix")))</f>
        <v>0</v>
      </c>
      <c r="K682" s="5">
        <f>IF(OR(INDEX($V$2:$V$1001,MATCH(ROWS($U$2:U682),$U$2:$U$1001,0),1)&gt;=100000,INDEX($AB$1005:$AQ$1005,1,MATCH(COLUMNS($AB$1006:AK1006),$AB$1006:$AQ$1006,0))&gt;=100000), " ",IF(INDEX($AB$2:$AQ$1001,MATCH(ROWS($U$2:U682),$U$2:$U$1001,0),MATCH(COLUMNS($AB$1006:AK1006),$AB$1006:$AQ$1006,0)), HYPERLINK("#",""), HYPERLINK(CONCATENATE("#Metadata!", ADDRESS(INDEX($W$2:$W$1001,MATCH(ROWS($U$2:U682),$U$2:$U$1001,0),0), INDEX($AB$1004:$AQ$1004,1,MATCH(COLUMNS($AB$1006:AK1006),$AB$1006:$AQ$1006,0)))),"Fix")))</f>
        <v>0</v>
      </c>
      <c r="L682" s="5">
        <f>IF(OR(INDEX($V$2:$V$1001,MATCH(ROWS($U$2:U682),$U$2:$U$1001,0),1)&gt;=100000,INDEX($AB$1005:$AQ$1005,1,MATCH(COLUMNS($AB$1006:AL1006),$AB$1006:$AQ$1006,0))&gt;=100000), " ",IF(INDEX($AB$2:$AQ$1001,MATCH(ROWS($U$2:U682),$U$2:$U$1001,0),MATCH(COLUMNS($AB$1006:AL1006),$AB$1006:$AQ$1006,0)), HYPERLINK("#",""), HYPERLINK(CONCATENATE("#Metadata!", ADDRESS(INDEX($W$2:$W$1001,MATCH(ROWS($U$2:U682),$U$2:$U$1001,0),0), INDEX($AB$1004:$AQ$1004,1,MATCH(COLUMNS($AB$1006:AL1006),$AB$1006:$AQ$1006,0)))),"Fix")))</f>
        <v>0</v>
      </c>
      <c r="M682" s="5">
        <f>IF(OR(INDEX($V$2:$V$1001,MATCH(ROWS($U$2:U682),$U$2:$U$1001,0),1)&gt;=100000,INDEX($AB$1005:$AQ$1005,1,MATCH(COLUMNS($AB$1006:AM1006),$AB$1006:$AQ$1006,0))&gt;=100000), " ",IF(INDEX($AB$2:$AQ$1001,MATCH(ROWS($U$2:U682),$U$2:$U$1001,0),MATCH(COLUMNS($AB$1006:AM1006),$AB$1006:$AQ$1006,0)), HYPERLINK("#",""), HYPERLINK(CONCATENATE("#Metadata!", ADDRESS(INDEX($W$2:$W$1001,MATCH(ROWS($U$2:U682),$U$2:$U$1001,0),0), INDEX($AB$1004:$AQ$1004,1,MATCH(COLUMNS($AB$1006:AM1006),$AB$1006:$AQ$1006,0)))),"Fix")))</f>
        <v>0</v>
      </c>
      <c r="N682" s="5">
        <f>IF(OR(INDEX($V$2:$V$1001,MATCH(ROWS($U$2:U682),$U$2:$U$1001,0),1)&gt;=100000,INDEX($AB$1005:$AQ$1005,1,MATCH(COLUMNS($AB$1006:AN1006),$AB$1006:$AQ$1006,0))&gt;=100000), " ",IF(INDEX($AB$2:$AQ$1001,MATCH(ROWS($U$2:U682),$U$2:$U$1001,0),MATCH(COLUMNS($AB$1006:AN1006),$AB$1006:$AQ$1006,0)), HYPERLINK("#",""), HYPERLINK(CONCATENATE("#Metadata!", ADDRESS(INDEX($W$2:$W$1001,MATCH(ROWS($U$2:U682),$U$2:$U$1001,0),0), INDEX($AB$1004:$AQ$1004,1,MATCH(COLUMNS($AB$1006:AN1006),$AB$1006:$AQ$1006,0)))),"Fix")))</f>
        <v>0</v>
      </c>
      <c r="O682" s="5">
        <f>IF(OR(INDEX($V$2:$V$1001,MATCH(ROWS($U$2:U682),$U$2:$U$1001,0),1)&gt;=100000,INDEX($AB$1005:$AQ$1005,1,MATCH(COLUMNS($AB$1006:AO1006),$AB$1006:$AQ$1006,0))&gt;=100000), " ",IF(INDEX($AB$2:$AQ$1001,MATCH(ROWS($U$2:U682),$U$2:$U$1001,0),MATCH(COLUMNS($AB$1006:AO1006),$AB$1006:$AQ$1006,0)), HYPERLINK("#",""), HYPERLINK(CONCATENATE("#Metadata!", ADDRESS(INDEX($W$2:$W$1001,MATCH(ROWS($U$2:U682),$U$2:$U$1001,0),0), INDEX($AB$1004:$AQ$1004,1,MATCH(COLUMNS($AB$1006:AO1006),$AB$1006:$AQ$1006,0)))),"Fix")))</f>
        <v>0</v>
      </c>
      <c r="P682" s="5">
        <f>IF(OR(INDEX($V$2:$V$1001,MATCH(ROWS($U$2:U682),$U$2:$U$1001,0),1)&gt;=100000,INDEX($AB$1005:$AQ$1005,1,MATCH(COLUMNS($AB$1006:AP1006),$AB$1006:$AQ$1006,0))&gt;=100000), " ",IF(INDEX($AB$2:$AQ$1001,MATCH(ROWS($U$2:U682),$U$2:$U$1001,0),MATCH(COLUMNS($AB$1006:AP1006),$AB$1006:$AQ$1006,0)), HYPERLINK("#",""), HYPERLINK(CONCATENATE("#Metadata!", ADDRESS(INDEX($W$2:$W$1001,MATCH(ROWS($U$2:U682),$U$2:$U$1001,0),0), INDEX($AB$1004:$AQ$1004,1,MATCH(COLUMNS($AB$1006:AP1006),$AB$1006:$AQ$1006,0)))),"Fix")))</f>
        <v>0</v>
      </c>
      <c r="Q682" s="5">
        <f>IF(OR(INDEX($V$2:$V$1001,MATCH(ROWS($U$2:U682),$U$2:$U$1001,0),1)&gt;=100000,INDEX($AB$1005:$AQ$1005,1,MATCH(COLUMNS($AB$1006:AQ1006),$AB$1006:$AQ$1006,0))&gt;=100000), " ",IF(INDEX($AB$2:$AQ$1001,MATCH(ROWS($U$2:U682),$U$2:$U$1001,0),MATCH(COLUMNS($AB$1006:AQ1006),$AB$1006:$AQ$1006,0)), HYPERLINK("#",""), HYPERLINK(CONCATENATE("#Metadata!", ADDRESS(INDEX($W$2:$W$1001,MATCH(ROWS($U$2:U682),$U$2:$U$1001,0),0), INDEX($AB$1004:$AQ$1004,1,MATCH(COLUMNS($AB$1006:AQ1006),$AB$1006:$AQ$1006,0)))),"Fix")))</f>
        <v>0</v>
      </c>
      <c r="U682">
        <v>0</v>
      </c>
      <c r="V682">
        <v>0</v>
      </c>
      <c r="W682">
        <v>0</v>
      </c>
      <c r="X682">
        <f>IF(Y682,TRUE,AND(AB682:AQ682))</f>
        <v>0</v>
      </c>
      <c r="Y682">
        <f>COUNTBLANK(Metadata!B682:Q682)=COLUMNS(Metadata!B682:Q682)</f>
        <v>0</v>
      </c>
      <c r="Z682">
        <v>0</v>
      </c>
      <c r="AB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AC682">
        <f>AND(IF(Metadata!C682="",FALSE,TRUE),exact(Metadata!C682,"urban biome"))</f>
        <v>0</v>
      </c>
      <c r="AD682">
        <f>AND(IF(Metadata!D682="",FALSE,TRUE),exact(Metadata!D682,"human-associated habitat"))</f>
        <v>0</v>
      </c>
      <c r="AE682">
        <f>AND(IF(Metadata!E682="",FALSE,TRUE),OR(exact(Metadata!E682,"human-associated"),exact(Metadata!E682,"human-skin"),exact(Metadata!E682,"human-oral"),exact(Metadata!E682,"human-gut"),exact(Metadata!E682,"human-vaginal")))</f>
        <v>0</v>
      </c>
      <c r="AF682">
        <f>AND(IF(Metadata!F682="",FALSE,ISNUMBER(VALUE(Metadata!F682))),Metadata!F682&gt;0)</f>
        <v>0</v>
      </c>
      <c r="AG682">
        <f>AND(IF(Metadata!G682="",FALSE,TRUE),exact(Metadata!G682,"years"))</f>
        <v>0</v>
      </c>
      <c r="AH682">
        <f>OR(AND(IF(Metadata!H682="",FALSE,TRUE),OR(exact(Metadata!H682,"not applicable"),exact(Metadata!H682,"not collected"),exact(Metadata!H682,"not provided"),exact(Metadata!H682,"restricted access"))),AND(IF(Metadata!H682="",FALSE,ISNUMBER(VALUE(Metadata!H682))),Metadata!H682&gt;0))</f>
        <v>0</v>
      </c>
      <c r="AI682">
        <f>AND(IF(Metadata!I682="",FALSE,TRUE),exact(Metadata!I682,"human"))</f>
        <v>0</v>
      </c>
      <c r="AJ682">
        <f>AND(IF(Metadata!J682="",FALSE,ISNUMBER(VALUE(Metadata!J682))),Metadata!J682&gt;0)</f>
        <v>0</v>
      </c>
      <c r="AK682">
        <f>AND(IF(Metadata!K682="",FALSE,TRUE),exact(Metadata!K682,"cm"))</f>
        <v>0</v>
      </c>
      <c r="AL682">
        <f>AND(IF(Metadata!L682="",FALSE,TRUE),exact(Metadata!L682,"Homo sapiens"))</f>
        <v>0</v>
      </c>
      <c r="AM682">
        <f>AND(IF(Metadata!M682="",FALSE,TRUE),exact(Metadata!M682,"9606"))</f>
        <v>0</v>
      </c>
      <c r="AN682">
        <f>AND(IF(Metadata!N682="",FALSE,ISNUMBER(VALUE(Metadata!N682))),Metadata!N682&gt;0)</f>
        <v>0</v>
      </c>
      <c r="AO682">
        <f>AND(IF(Metadata!O682="",FALSE,TRUE),exact(Metadata!O682,"kg"))</f>
        <v>0</v>
      </c>
      <c r="AP682">
        <f>OR(AND(IF(Metadata!P682="",FALSE,TRUE),exact(Metadata!P682,"not provided")),IF(Metadata!P682="",FALSE,TRUE))</f>
        <v>0</v>
      </c>
      <c r="AQ682">
        <f>OR(AND(IF(Metadata!Q682="",FALSE,TRUE),exact(Metadata!Q682,"not provided")),IF(Metadata!Q682="",FALSE,TRUE))</f>
        <v>0</v>
      </c>
    </row>
    <row r="683" spans="1:43">
      <c r="A683" s="4">
        <f>IF(B683=" "," ",HYPERLINK(CONCATENATE("#metadata!",ADDRESS(INDEX($W$2:$W$1001,MATCH(ROWS($U$2:U683),$U$2:$U$1001,0),0),2)),INDEX($Z$2:$Z$1001,MATCH(ROWS($U$2:U683),$U$2:$U$1001,0),0)))</f>
        <v>0</v>
      </c>
      <c r="B683" s="5">
        <f>IF(OR(INDEX($V$2:$V$1001,MATCH(ROWS($U$2:U683),$U$2:$U$1001,0),1)&gt;=100000,INDEX($AB$1005:$AQ$1005,1,MATCH(COLUMNS($AB$1006:AB1006),$AB$1006:$AQ$1006,0))&gt;=100000), " ",IF(INDEX($AB$2:$AQ$1001,MATCH(ROWS($U$2:U683),$U$2:$U$1001,0),MATCH(COLUMNS($AB$1006:AB1006),$AB$1006:$AQ$1006,0)), HYPERLINK("#",""), HYPERLINK(CONCATENATE("#Metadata!", ADDRESS(INDEX($W$2:$W$1001,MATCH(ROWS($U$2:U683),$U$2:$U$1001,0),0), INDEX($AB$1004:$AQ$1004,1,MATCH(COLUMNS($AB$1006:AB1006),$AB$1006:$AQ$1006,0)))),"Fix")))</f>
        <v>0</v>
      </c>
      <c r="C683" s="5">
        <f>IF(OR(INDEX($V$2:$V$1001,MATCH(ROWS($U$2:U683),$U$2:$U$1001,0),1)&gt;=100000,INDEX($AB$1005:$AQ$1005,1,MATCH(COLUMNS($AB$1006:AC1006),$AB$1006:$AQ$1006,0))&gt;=100000), " ",IF(INDEX($AB$2:$AQ$1001,MATCH(ROWS($U$2:U683),$U$2:$U$1001,0),MATCH(COLUMNS($AB$1006:AC1006),$AB$1006:$AQ$1006,0)), HYPERLINK("#",""), HYPERLINK(CONCATENATE("#Metadata!", ADDRESS(INDEX($W$2:$W$1001,MATCH(ROWS($U$2:U683),$U$2:$U$1001,0),0), INDEX($AB$1004:$AQ$1004,1,MATCH(COLUMNS($AB$1006:AC1006),$AB$1006:$AQ$1006,0)))),"Fix")))</f>
        <v>0</v>
      </c>
      <c r="D683" s="5">
        <f>IF(OR(INDEX($V$2:$V$1001,MATCH(ROWS($U$2:U683),$U$2:$U$1001,0),1)&gt;=100000,INDEX($AB$1005:$AQ$1005,1,MATCH(COLUMNS($AB$1006:AD1006),$AB$1006:$AQ$1006,0))&gt;=100000), " ",IF(INDEX($AB$2:$AQ$1001,MATCH(ROWS($U$2:U683),$U$2:$U$1001,0),MATCH(COLUMNS($AB$1006:AD1006),$AB$1006:$AQ$1006,0)), HYPERLINK("#",""), HYPERLINK(CONCATENATE("#Metadata!", ADDRESS(INDEX($W$2:$W$1001,MATCH(ROWS($U$2:U683),$U$2:$U$1001,0),0), INDEX($AB$1004:$AQ$1004,1,MATCH(COLUMNS($AB$1006:AD1006),$AB$1006:$AQ$1006,0)))),"Fix")))</f>
        <v>0</v>
      </c>
      <c r="E683" s="5">
        <f>IF(OR(INDEX($V$2:$V$1001,MATCH(ROWS($U$2:U683),$U$2:$U$1001,0),1)&gt;=100000,INDEX($AB$1005:$AQ$1005,1,MATCH(COLUMNS($AB$1006:AE1006),$AB$1006:$AQ$1006,0))&gt;=100000), " ",IF(INDEX($AB$2:$AQ$1001,MATCH(ROWS($U$2:U683),$U$2:$U$1001,0),MATCH(COLUMNS($AB$1006:AE1006),$AB$1006:$AQ$1006,0)), HYPERLINK("#",""), HYPERLINK(CONCATENATE("#Metadata!", ADDRESS(INDEX($W$2:$W$1001,MATCH(ROWS($U$2:U683),$U$2:$U$1001,0),0), INDEX($AB$1004:$AQ$1004,1,MATCH(COLUMNS($AB$1006:AE1006),$AB$1006:$AQ$1006,0)))),"Fix")))</f>
        <v>0</v>
      </c>
      <c r="F683" s="5">
        <f>IF(OR(INDEX($V$2:$V$1001,MATCH(ROWS($U$2:U683),$U$2:$U$1001,0),1)&gt;=100000,INDEX($AB$1005:$AQ$1005,1,MATCH(COLUMNS($AB$1006:AF1006),$AB$1006:$AQ$1006,0))&gt;=100000), " ",IF(INDEX($AB$2:$AQ$1001,MATCH(ROWS($U$2:U683),$U$2:$U$1001,0),MATCH(COLUMNS($AB$1006:AF1006),$AB$1006:$AQ$1006,0)), HYPERLINK("#",""), HYPERLINK(CONCATENATE("#Metadata!", ADDRESS(INDEX($W$2:$W$1001,MATCH(ROWS($U$2:U683),$U$2:$U$1001,0),0), INDEX($AB$1004:$AQ$1004,1,MATCH(COLUMNS($AB$1006:AF1006),$AB$1006:$AQ$1006,0)))),"Fix")))</f>
        <v>0</v>
      </c>
      <c r="G683" s="5">
        <f>IF(OR(INDEX($V$2:$V$1001,MATCH(ROWS($U$2:U683),$U$2:$U$1001,0),1)&gt;=100000,INDEX($AB$1005:$AQ$1005,1,MATCH(COLUMNS($AB$1006:AG1006),$AB$1006:$AQ$1006,0))&gt;=100000), " ",IF(INDEX($AB$2:$AQ$1001,MATCH(ROWS($U$2:U683),$U$2:$U$1001,0),MATCH(COLUMNS($AB$1006:AG1006),$AB$1006:$AQ$1006,0)), HYPERLINK("#",""), HYPERLINK(CONCATENATE("#Metadata!", ADDRESS(INDEX($W$2:$W$1001,MATCH(ROWS($U$2:U683),$U$2:$U$1001,0),0), INDEX($AB$1004:$AQ$1004,1,MATCH(COLUMNS($AB$1006:AG1006),$AB$1006:$AQ$1006,0)))),"Fix")))</f>
        <v>0</v>
      </c>
      <c r="H683" s="5">
        <f>IF(OR(INDEX($V$2:$V$1001,MATCH(ROWS($U$2:U683),$U$2:$U$1001,0),1)&gt;=100000,INDEX($AB$1005:$AQ$1005,1,MATCH(COLUMNS($AB$1006:AH1006),$AB$1006:$AQ$1006,0))&gt;=100000), " ",IF(INDEX($AB$2:$AQ$1001,MATCH(ROWS($U$2:U683),$U$2:$U$1001,0),MATCH(COLUMNS($AB$1006:AH1006),$AB$1006:$AQ$1006,0)), HYPERLINK("#",""), HYPERLINK(CONCATENATE("#Metadata!", ADDRESS(INDEX($W$2:$W$1001,MATCH(ROWS($U$2:U683),$U$2:$U$1001,0),0), INDEX($AB$1004:$AQ$1004,1,MATCH(COLUMNS($AB$1006:AH1006),$AB$1006:$AQ$1006,0)))),"Fix")))</f>
        <v>0</v>
      </c>
      <c r="I683" s="5">
        <f>IF(OR(INDEX($V$2:$V$1001,MATCH(ROWS($U$2:U683),$U$2:$U$1001,0),1)&gt;=100000,INDEX($AB$1005:$AQ$1005,1,MATCH(COLUMNS($AB$1006:AI1006),$AB$1006:$AQ$1006,0))&gt;=100000), " ",IF(INDEX($AB$2:$AQ$1001,MATCH(ROWS($U$2:U683),$U$2:$U$1001,0),MATCH(COLUMNS($AB$1006:AI1006),$AB$1006:$AQ$1006,0)), HYPERLINK("#",""), HYPERLINK(CONCATENATE("#Metadata!", ADDRESS(INDEX($W$2:$W$1001,MATCH(ROWS($U$2:U683),$U$2:$U$1001,0),0), INDEX($AB$1004:$AQ$1004,1,MATCH(COLUMNS($AB$1006:AI1006),$AB$1006:$AQ$1006,0)))),"Fix")))</f>
        <v>0</v>
      </c>
      <c r="J683" s="5">
        <f>IF(OR(INDEX($V$2:$V$1001,MATCH(ROWS($U$2:U683),$U$2:$U$1001,0),1)&gt;=100000,INDEX($AB$1005:$AQ$1005,1,MATCH(COLUMNS($AB$1006:AJ1006),$AB$1006:$AQ$1006,0))&gt;=100000), " ",IF(INDEX($AB$2:$AQ$1001,MATCH(ROWS($U$2:U683),$U$2:$U$1001,0),MATCH(COLUMNS($AB$1006:AJ1006),$AB$1006:$AQ$1006,0)), HYPERLINK("#",""), HYPERLINK(CONCATENATE("#Metadata!", ADDRESS(INDEX($W$2:$W$1001,MATCH(ROWS($U$2:U683),$U$2:$U$1001,0),0), INDEX($AB$1004:$AQ$1004,1,MATCH(COLUMNS($AB$1006:AJ1006),$AB$1006:$AQ$1006,0)))),"Fix")))</f>
        <v>0</v>
      </c>
      <c r="K683" s="5">
        <f>IF(OR(INDEX($V$2:$V$1001,MATCH(ROWS($U$2:U683),$U$2:$U$1001,0),1)&gt;=100000,INDEX($AB$1005:$AQ$1005,1,MATCH(COLUMNS($AB$1006:AK1006),$AB$1006:$AQ$1006,0))&gt;=100000), " ",IF(INDEX($AB$2:$AQ$1001,MATCH(ROWS($U$2:U683),$U$2:$U$1001,0),MATCH(COLUMNS($AB$1006:AK1006),$AB$1006:$AQ$1006,0)), HYPERLINK("#",""), HYPERLINK(CONCATENATE("#Metadata!", ADDRESS(INDEX($W$2:$W$1001,MATCH(ROWS($U$2:U683),$U$2:$U$1001,0),0), INDEX($AB$1004:$AQ$1004,1,MATCH(COLUMNS($AB$1006:AK1006),$AB$1006:$AQ$1006,0)))),"Fix")))</f>
        <v>0</v>
      </c>
      <c r="L683" s="5">
        <f>IF(OR(INDEX($V$2:$V$1001,MATCH(ROWS($U$2:U683),$U$2:$U$1001,0),1)&gt;=100000,INDEX($AB$1005:$AQ$1005,1,MATCH(COLUMNS($AB$1006:AL1006),$AB$1006:$AQ$1006,0))&gt;=100000), " ",IF(INDEX($AB$2:$AQ$1001,MATCH(ROWS($U$2:U683),$U$2:$U$1001,0),MATCH(COLUMNS($AB$1006:AL1006),$AB$1006:$AQ$1006,0)), HYPERLINK("#",""), HYPERLINK(CONCATENATE("#Metadata!", ADDRESS(INDEX($W$2:$W$1001,MATCH(ROWS($U$2:U683),$U$2:$U$1001,0),0), INDEX($AB$1004:$AQ$1004,1,MATCH(COLUMNS($AB$1006:AL1006),$AB$1006:$AQ$1006,0)))),"Fix")))</f>
        <v>0</v>
      </c>
      <c r="M683" s="5">
        <f>IF(OR(INDEX($V$2:$V$1001,MATCH(ROWS($U$2:U683),$U$2:$U$1001,0),1)&gt;=100000,INDEX($AB$1005:$AQ$1005,1,MATCH(COLUMNS($AB$1006:AM1006),$AB$1006:$AQ$1006,0))&gt;=100000), " ",IF(INDEX($AB$2:$AQ$1001,MATCH(ROWS($U$2:U683),$U$2:$U$1001,0),MATCH(COLUMNS($AB$1006:AM1006),$AB$1006:$AQ$1006,0)), HYPERLINK("#",""), HYPERLINK(CONCATENATE("#Metadata!", ADDRESS(INDEX($W$2:$W$1001,MATCH(ROWS($U$2:U683),$U$2:$U$1001,0),0), INDEX($AB$1004:$AQ$1004,1,MATCH(COLUMNS($AB$1006:AM1006),$AB$1006:$AQ$1006,0)))),"Fix")))</f>
        <v>0</v>
      </c>
      <c r="N683" s="5">
        <f>IF(OR(INDEX($V$2:$V$1001,MATCH(ROWS($U$2:U683),$U$2:$U$1001,0),1)&gt;=100000,INDEX($AB$1005:$AQ$1005,1,MATCH(COLUMNS($AB$1006:AN1006),$AB$1006:$AQ$1006,0))&gt;=100000), " ",IF(INDEX($AB$2:$AQ$1001,MATCH(ROWS($U$2:U683),$U$2:$U$1001,0),MATCH(COLUMNS($AB$1006:AN1006),$AB$1006:$AQ$1006,0)), HYPERLINK("#",""), HYPERLINK(CONCATENATE("#Metadata!", ADDRESS(INDEX($W$2:$W$1001,MATCH(ROWS($U$2:U683),$U$2:$U$1001,0),0), INDEX($AB$1004:$AQ$1004,1,MATCH(COLUMNS($AB$1006:AN1006),$AB$1006:$AQ$1006,0)))),"Fix")))</f>
        <v>0</v>
      </c>
      <c r="O683" s="5">
        <f>IF(OR(INDEX($V$2:$V$1001,MATCH(ROWS($U$2:U683),$U$2:$U$1001,0),1)&gt;=100000,INDEX($AB$1005:$AQ$1005,1,MATCH(COLUMNS($AB$1006:AO1006),$AB$1006:$AQ$1006,0))&gt;=100000), " ",IF(INDEX($AB$2:$AQ$1001,MATCH(ROWS($U$2:U683),$U$2:$U$1001,0),MATCH(COLUMNS($AB$1006:AO1006),$AB$1006:$AQ$1006,0)), HYPERLINK("#",""), HYPERLINK(CONCATENATE("#Metadata!", ADDRESS(INDEX($W$2:$W$1001,MATCH(ROWS($U$2:U683),$U$2:$U$1001,0),0), INDEX($AB$1004:$AQ$1004,1,MATCH(COLUMNS($AB$1006:AO1006),$AB$1006:$AQ$1006,0)))),"Fix")))</f>
        <v>0</v>
      </c>
      <c r="P683" s="5">
        <f>IF(OR(INDEX($V$2:$V$1001,MATCH(ROWS($U$2:U683),$U$2:$U$1001,0),1)&gt;=100000,INDEX($AB$1005:$AQ$1005,1,MATCH(COLUMNS($AB$1006:AP1006),$AB$1006:$AQ$1006,0))&gt;=100000), " ",IF(INDEX($AB$2:$AQ$1001,MATCH(ROWS($U$2:U683),$U$2:$U$1001,0),MATCH(COLUMNS($AB$1006:AP1006),$AB$1006:$AQ$1006,0)), HYPERLINK("#",""), HYPERLINK(CONCATENATE("#Metadata!", ADDRESS(INDEX($W$2:$W$1001,MATCH(ROWS($U$2:U683),$U$2:$U$1001,0),0), INDEX($AB$1004:$AQ$1004,1,MATCH(COLUMNS($AB$1006:AP1006),$AB$1006:$AQ$1006,0)))),"Fix")))</f>
        <v>0</v>
      </c>
      <c r="Q683" s="5">
        <f>IF(OR(INDEX($V$2:$V$1001,MATCH(ROWS($U$2:U683),$U$2:$U$1001,0),1)&gt;=100000,INDEX($AB$1005:$AQ$1005,1,MATCH(COLUMNS($AB$1006:AQ1006),$AB$1006:$AQ$1006,0))&gt;=100000), " ",IF(INDEX($AB$2:$AQ$1001,MATCH(ROWS($U$2:U683),$U$2:$U$1001,0),MATCH(COLUMNS($AB$1006:AQ1006),$AB$1006:$AQ$1006,0)), HYPERLINK("#",""), HYPERLINK(CONCATENATE("#Metadata!", ADDRESS(INDEX($W$2:$W$1001,MATCH(ROWS($U$2:U683),$U$2:$U$1001,0),0), INDEX($AB$1004:$AQ$1004,1,MATCH(COLUMNS($AB$1006:AQ1006),$AB$1006:$AQ$1006,0)))),"Fix")))</f>
        <v>0</v>
      </c>
      <c r="U683">
        <v>0</v>
      </c>
      <c r="V683">
        <v>0</v>
      </c>
      <c r="W683">
        <v>0</v>
      </c>
      <c r="X683">
        <f>IF(Y683,TRUE,AND(AB683:AQ683))</f>
        <v>0</v>
      </c>
      <c r="Y683">
        <f>COUNTBLANK(Metadata!B683:Q683)=COLUMNS(Metadata!B683:Q683)</f>
        <v>0</v>
      </c>
      <c r="Z683">
        <v>0</v>
      </c>
      <c r="AB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AC683">
        <f>AND(IF(Metadata!C683="",FALSE,TRUE),exact(Metadata!C683,"urban biome"))</f>
        <v>0</v>
      </c>
      <c r="AD683">
        <f>AND(IF(Metadata!D683="",FALSE,TRUE),exact(Metadata!D683,"human-associated habitat"))</f>
        <v>0</v>
      </c>
      <c r="AE683">
        <f>AND(IF(Metadata!E683="",FALSE,TRUE),OR(exact(Metadata!E683,"human-associated"),exact(Metadata!E683,"human-skin"),exact(Metadata!E683,"human-oral"),exact(Metadata!E683,"human-gut"),exact(Metadata!E683,"human-vaginal")))</f>
        <v>0</v>
      </c>
      <c r="AF683">
        <f>AND(IF(Metadata!F683="",FALSE,ISNUMBER(VALUE(Metadata!F683))),Metadata!F683&gt;0)</f>
        <v>0</v>
      </c>
      <c r="AG683">
        <f>AND(IF(Metadata!G683="",FALSE,TRUE),exact(Metadata!G683,"years"))</f>
        <v>0</v>
      </c>
      <c r="AH683">
        <f>OR(AND(IF(Metadata!H683="",FALSE,TRUE),OR(exact(Metadata!H683,"not applicable"),exact(Metadata!H683,"not collected"),exact(Metadata!H683,"not provided"),exact(Metadata!H683,"restricted access"))),AND(IF(Metadata!H683="",FALSE,ISNUMBER(VALUE(Metadata!H683))),Metadata!H683&gt;0))</f>
        <v>0</v>
      </c>
      <c r="AI683">
        <f>AND(IF(Metadata!I683="",FALSE,TRUE),exact(Metadata!I683,"human"))</f>
        <v>0</v>
      </c>
      <c r="AJ683">
        <f>AND(IF(Metadata!J683="",FALSE,ISNUMBER(VALUE(Metadata!J683))),Metadata!J683&gt;0)</f>
        <v>0</v>
      </c>
      <c r="AK683">
        <f>AND(IF(Metadata!K683="",FALSE,TRUE),exact(Metadata!K683,"cm"))</f>
        <v>0</v>
      </c>
      <c r="AL683">
        <f>AND(IF(Metadata!L683="",FALSE,TRUE),exact(Metadata!L683,"Homo sapiens"))</f>
        <v>0</v>
      </c>
      <c r="AM683">
        <f>AND(IF(Metadata!M683="",FALSE,TRUE),exact(Metadata!M683,"9606"))</f>
        <v>0</v>
      </c>
      <c r="AN683">
        <f>AND(IF(Metadata!N683="",FALSE,ISNUMBER(VALUE(Metadata!N683))),Metadata!N683&gt;0)</f>
        <v>0</v>
      </c>
      <c r="AO683">
        <f>AND(IF(Metadata!O683="",FALSE,TRUE),exact(Metadata!O683,"kg"))</f>
        <v>0</v>
      </c>
      <c r="AP683">
        <f>OR(AND(IF(Metadata!P683="",FALSE,TRUE),exact(Metadata!P683,"not provided")),IF(Metadata!P683="",FALSE,TRUE))</f>
        <v>0</v>
      </c>
      <c r="AQ683">
        <f>OR(AND(IF(Metadata!Q683="",FALSE,TRUE),exact(Metadata!Q683,"not provided")),IF(Metadata!Q683="",FALSE,TRUE))</f>
        <v>0</v>
      </c>
    </row>
    <row r="684" spans="1:43">
      <c r="A684" s="4">
        <f>IF(B684=" "," ",HYPERLINK(CONCATENATE("#metadata!",ADDRESS(INDEX($W$2:$W$1001,MATCH(ROWS($U$2:U684),$U$2:$U$1001,0),0),2)),INDEX($Z$2:$Z$1001,MATCH(ROWS($U$2:U684),$U$2:$U$1001,0),0)))</f>
        <v>0</v>
      </c>
      <c r="B684" s="5">
        <f>IF(OR(INDEX($V$2:$V$1001,MATCH(ROWS($U$2:U684),$U$2:$U$1001,0),1)&gt;=100000,INDEX($AB$1005:$AQ$1005,1,MATCH(COLUMNS($AB$1006:AB1006),$AB$1006:$AQ$1006,0))&gt;=100000), " ",IF(INDEX($AB$2:$AQ$1001,MATCH(ROWS($U$2:U684),$U$2:$U$1001,0),MATCH(COLUMNS($AB$1006:AB1006),$AB$1006:$AQ$1006,0)), HYPERLINK("#",""), HYPERLINK(CONCATENATE("#Metadata!", ADDRESS(INDEX($W$2:$W$1001,MATCH(ROWS($U$2:U684),$U$2:$U$1001,0),0), INDEX($AB$1004:$AQ$1004,1,MATCH(COLUMNS($AB$1006:AB1006),$AB$1006:$AQ$1006,0)))),"Fix")))</f>
        <v>0</v>
      </c>
      <c r="C684" s="5">
        <f>IF(OR(INDEX($V$2:$V$1001,MATCH(ROWS($U$2:U684),$U$2:$U$1001,0),1)&gt;=100000,INDEX($AB$1005:$AQ$1005,1,MATCH(COLUMNS($AB$1006:AC1006),$AB$1006:$AQ$1006,0))&gt;=100000), " ",IF(INDEX($AB$2:$AQ$1001,MATCH(ROWS($U$2:U684),$U$2:$U$1001,0),MATCH(COLUMNS($AB$1006:AC1006),$AB$1006:$AQ$1006,0)), HYPERLINK("#",""), HYPERLINK(CONCATENATE("#Metadata!", ADDRESS(INDEX($W$2:$W$1001,MATCH(ROWS($U$2:U684),$U$2:$U$1001,0),0), INDEX($AB$1004:$AQ$1004,1,MATCH(COLUMNS($AB$1006:AC1006),$AB$1006:$AQ$1006,0)))),"Fix")))</f>
        <v>0</v>
      </c>
      <c r="D684" s="5">
        <f>IF(OR(INDEX($V$2:$V$1001,MATCH(ROWS($U$2:U684),$U$2:$U$1001,0),1)&gt;=100000,INDEX($AB$1005:$AQ$1005,1,MATCH(COLUMNS($AB$1006:AD1006),$AB$1006:$AQ$1006,0))&gt;=100000), " ",IF(INDEX($AB$2:$AQ$1001,MATCH(ROWS($U$2:U684),$U$2:$U$1001,0),MATCH(COLUMNS($AB$1006:AD1006),$AB$1006:$AQ$1006,0)), HYPERLINK("#",""), HYPERLINK(CONCATENATE("#Metadata!", ADDRESS(INDEX($W$2:$W$1001,MATCH(ROWS($U$2:U684),$U$2:$U$1001,0),0), INDEX($AB$1004:$AQ$1004,1,MATCH(COLUMNS($AB$1006:AD1006),$AB$1006:$AQ$1006,0)))),"Fix")))</f>
        <v>0</v>
      </c>
      <c r="E684" s="5">
        <f>IF(OR(INDEX($V$2:$V$1001,MATCH(ROWS($U$2:U684),$U$2:$U$1001,0),1)&gt;=100000,INDEX($AB$1005:$AQ$1005,1,MATCH(COLUMNS($AB$1006:AE1006),$AB$1006:$AQ$1006,0))&gt;=100000), " ",IF(INDEX($AB$2:$AQ$1001,MATCH(ROWS($U$2:U684),$U$2:$U$1001,0),MATCH(COLUMNS($AB$1006:AE1006),$AB$1006:$AQ$1006,0)), HYPERLINK("#",""), HYPERLINK(CONCATENATE("#Metadata!", ADDRESS(INDEX($W$2:$W$1001,MATCH(ROWS($U$2:U684),$U$2:$U$1001,0),0), INDEX($AB$1004:$AQ$1004,1,MATCH(COLUMNS($AB$1006:AE1006),$AB$1006:$AQ$1006,0)))),"Fix")))</f>
        <v>0</v>
      </c>
      <c r="F684" s="5">
        <f>IF(OR(INDEX($V$2:$V$1001,MATCH(ROWS($U$2:U684),$U$2:$U$1001,0),1)&gt;=100000,INDEX($AB$1005:$AQ$1005,1,MATCH(COLUMNS($AB$1006:AF1006),$AB$1006:$AQ$1006,0))&gt;=100000), " ",IF(INDEX($AB$2:$AQ$1001,MATCH(ROWS($U$2:U684),$U$2:$U$1001,0),MATCH(COLUMNS($AB$1006:AF1006),$AB$1006:$AQ$1006,0)), HYPERLINK("#",""), HYPERLINK(CONCATENATE("#Metadata!", ADDRESS(INDEX($W$2:$W$1001,MATCH(ROWS($U$2:U684),$U$2:$U$1001,0),0), INDEX($AB$1004:$AQ$1004,1,MATCH(COLUMNS($AB$1006:AF1006),$AB$1006:$AQ$1006,0)))),"Fix")))</f>
        <v>0</v>
      </c>
      <c r="G684" s="5">
        <f>IF(OR(INDEX($V$2:$V$1001,MATCH(ROWS($U$2:U684),$U$2:$U$1001,0),1)&gt;=100000,INDEX($AB$1005:$AQ$1005,1,MATCH(COLUMNS($AB$1006:AG1006),$AB$1006:$AQ$1006,0))&gt;=100000), " ",IF(INDEX($AB$2:$AQ$1001,MATCH(ROWS($U$2:U684),$U$2:$U$1001,0),MATCH(COLUMNS($AB$1006:AG1006),$AB$1006:$AQ$1006,0)), HYPERLINK("#",""), HYPERLINK(CONCATENATE("#Metadata!", ADDRESS(INDEX($W$2:$W$1001,MATCH(ROWS($U$2:U684),$U$2:$U$1001,0),0), INDEX($AB$1004:$AQ$1004,1,MATCH(COLUMNS($AB$1006:AG1006),$AB$1006:$AQ$1006,0)))),"Fix")))</f>
        <v>0</v>
      </c>
      <c r="H684" s="5">
        <f>IF(OR(INDEX($V$2:$V$1001,MATCH(ROWS($U$2:U684),$U$2:$U$1001,0),1)&gt;=100000,INDEX($AB$1005:$AQ$1005,1,MATCH(COLUMNS($AB$1006:AH1006),$AB$1006:$AQ$1006,0))&gt;=100000), " ",IF(INDEX($AB$2:$AQ$1001,MATCH(ROWS($U$2:U684),$U$2:$U$1001,0),MATCH(COLUMNS($AB$1006:AH1006),$AB$1006:$AQ$1006,0)), HYPERLINK("#",""), HYPERLINK(CONCATENATE("#Metadata!", ADDRESS(INDEX($W$2:$W$1001,MATCH(ROWS($U$2:U684),$U$2:$U$1001,0),0), INDEX($AB$1004:$AQ$1004,1,MATCH(COLUMNS($AB$1006:AH1006),$AB$1006:$AQ$1006,0)))),"Fix")))</f>
        <v>0</v>
      </c>
      <c r="I684" s="5">
        <f>IF(OR(INDEX($V$2:$V$1001,MATCH(ROWS($U$2:U684),$U$2:$U$1001,0),1)&gt;=100000,INDEX($AB$1005:$AQ$1005,1,MATCH(COLUMNS($AB$1006:AI1006),$AB$1006:$AQ$1006,0))&gt;=100000), " ",IF(INDEX($AB$2:$AQ$1001,MATCH(ROWS($U$2:U684),$U$2:$U$1001,0),MATCH(COLUMNS($AB$1006:AI1006),$AB$1006:$AQ$1006,0)), HYPERLINK("#",""), HYPERLINK(CONCATENATE("#Metadata!", ADDRESS(INDEX($W$2:$W$1001,MATCH(ROWS($U$2:U684),$U$2:$U$1001,0),0), INDEX($AB$1004:$AQ$1004,1,MATCH(COLUMNS($AB$1006:AI1006),$AB$1006:$AQ$1006,0)))),"Fix")))</f>
        <v>0</v>
      </c>
      <c r="J684" s="5">
        <f>IF(OR(INDEX($V$2:$V$1001,MATCH(ROWS($U$2:U684),$U$2:$U$1001,0),1)&gt;=100000,INDEX($AB$1005:$AQ$1005,1,MATCH(COLUMNS($AB$1006:AJ1006),$AB$1006:$AQ$1006,0))&gt;=100000), " ",IF(INDEX($AB$2:$AQ$1001,MATCH(ROWS($U$2:U684),$U$2:$U$1001,0),MATCH(COLUMNS($AB$1006:AJ1006),$AB$1006:$AQ$1006,0)), HYPERLINK("#",""), HYPERLINK(CONCATENATE("#Metadata!", ADDRESS(INDEX($W$2:$W$1001,MATCH(ROWS($U$2:U684),$U$2:$U$1001,0),0), INDEX($AB$1004:$AQ$1004,1,MATCH(COLUMNS($AB$1006:AJ1006),$AB$1006:$AQ$1006,0)))),"Fix")))</f>
        <v>0</v>
      </c>
      <c r="K684" s="5">
        <f>IF(OR(INDEX($V$2:$V$1001,MATCH(ROWS($U$2:U684),$U$2:$U$1001,0),1)&gt;=100000,INDEX($AB$1005:$AQ$1005,1,MATCH(COLUMNS($AB$1006:AK1006),$AB$1006:$AQ$1006,0))&gt;=100000), " ",IF(INDEX($AB$2:$AQ$1001,MATCH(ROWS($U$2:U684),$U$2:$U$1001,0),MATCH(COLUMNS($AB$1006:AK1006),$AB$1006:$AQ$1006,0)), HYPERLINK("#",""), HYPERLINK(CONCATENATE("#Metadata!", ADDRESS(INDEX($W$2:$W$1001,MATCH(ROWS($U$2:U684),$U$2:$U$1001,0),0), INDEX($AB$1004:$AQ$1004,1,MATCH(COLUMNS($AB$1006:AK1006),$AB$1006:$AQ$1006,0)))),"Fix")))</f>
        <v>0</v>
      </c>
      <c r="L684" s="5">
        <f>IF(OR(INDEX($V$2:$V$1001,MATCH(ROWS($U$2:U684),$U$2:$U$1001,0),1)&gt;=100000,INDEX($AB$1005:$AQ$1005,1,MATCH(COLUMNS($AB$1006:AL1006),$AB$1006:$AQ$1006,0))&gt;=100000), " ",IF(INDEX($AB$2:$AQ$1001,MATCH(ROWS($U$2:U684),$U$2:$U$1001,0),MATCH(COLUMNS($AB$1006:AL1006),$AB$1006:$AQ$1006,0)), HYPERLINK("#",""), HYPERLINK(CONCATENATE("#Metadata!", ADDRESS(INDEX($W$2:$W$1001,MATCH(ROWS($U$2:U684),$U$2:$U$1001,0),0), INDEX($AB$1004:$AQ$1004,1,MATCH(COLUMNS($AB$1006:AL1006),$AB$1006:$AQ$1006,0)))),"Fix")))</f>
        <v>0</v>
      </c>
      <c r="M684" s="5">
        <f>IF(OR(INDEX($V$2:$V$1001,MATCH(ROWS($U$2:U684),$U$2:$U$1001,0),1)&gt;=100000,INDEX($AB$1005:$AQ$1005,1,MATCH(COLUMNS($AB$1006:AM1006),$AB$1006:$AQ$1006,0))&gt;=100000), " ",IF(INDEX($AB$2:$AQ$1001,MATCH(ROWS($U$2:U684),$U$2:$U$1001,0),MATCH(COLUMNS($AB$1006:AM1006),$AB$1006:$AQ$1006,0)), HYPERLINK("#",""), HYPERLINK(CONCATENATE("#Metadata!", ADDRESS(INDEX($W$2:$W$1001,MATCH(ROWS($U$2:U684),$U$2:$U$1001,0),0), INDEX($AB$1004:$AQ$1004,1,MATCH(COLUMNS($AB$1006:AM1006),$AB$1006:$AQ$1006,0)))),"Fix")))</f>
        <v>0</v>
      </c>
      <c r="N684" s="5">
        <f>IF(OR(INDEX($V$2:$V$1001,MATCH(ROWS($U$2:U684),$U$2:$U$1001,0),1)&gt;=100000,INDEX($AB$1005:$AQ$1005,1,MATCH(COLUMNS($AB$1006:AN1006),$AB$1006:$AQ$1006,0))&gt;=100000), " ",IF(INDEX($AB$2:$AQ$1001,MATCH(ROWS($U$2:U684),$U$2:$U$1001,0),MATCH(COLUMNS($AB$1006:AN1006),$AB$1006:$AQ$1006,0)), HYPERLINK("#",""), HYPERLINK(CONCATENATE("#Metadata!", ADDRESS(INDEX($W$2:$W$1001,MATCH(ROWS($U$2:U684),$U$2:$U$1001,0),0), INDEX($AB$1004:$AQ$1004,1,MATCH(COLUMNS($AB$1006:AN1006),$AB$1006:$AQ$1006,0)))),"Fix")))</f>
        <v>0</v>
      </c>
      <c r="O684" s="5">
        <f>IF(OR(INDEX($V$2:$V$1001,MATCH(ROWS($U$2:U684),$U$2:$U$1001,0),1)&gt;=100000,INDEX($AB$1005:$AQ$1005,1,MATCH(COLUMNS($AB$1006:AO1006),$AB$1006:$AQ$1006,0))&gt;=100000), " ",IF(INDEX($AB$2:$AQ$1001,MATCH(ROWS($U$2:U684),$U$2:$U$1001,0),MATCH(COLUMNS($AB$1006:AO1006),$AB$1006:$AQ$1006,0)), HYPERLINK("#",""), HYPERLINK(CONCATENATE("#Metadata!", ADDRESS(INDEX($W$2:$W$1001,MATCH(ROWS($U$2:U684),$U$2:$U$1001,0),0), INDEX($AB$1004:$AQ$1004,1,MATCH(COLUMNS($AB$1006:AO1006),$AB$1006:$AQ$1006,0)))),"Fix")))</f>
        <v>0</v>
      </c>
      <c r="P684" s="5">
        <f>IF(OR(INDEX($V$2:$V$1001,MATCH(ROWS($U$2:U684),$U$2:$U$1001,0),1)&gt;=100000,INDEX($AB$1005:$AQ$1005,1,MATCH(COLUMNS($AB$1006:AP1006),$AB$1006:$AQ$1006,0))&gt;=100000), " ",IF(INDEX($AB$2:$AQ$1001,MATCH(ROWS($U$2:U684),$U$2:$U$1001,0),MATCH(COLUMNS($AB$1006:AP1006),$AB$1006:$AQ$1006,0)), HYPERLINK("#",""), HYPERLINK(CONCATENATE("#Metadata!", ADDRESS(INDEX($W$2:$W$1001,MATCH(ROWS($U$2:U684),$U$2:$U$1001,0),0), INDEX($AB$1004:$AQ$1004,1,MATCH(COLUMNS($AB$1006:AP1006),$AB$1006:$AQ$1006,0)))),"Fix")))</f>
        <v>0</v>
      </c>
      <c r="Q684" s="5">
        <f>IF(OR(INDEX($V$2:$V$1001,MATCH(ROWS($U$2:U684),$U$2:$U$1001,0),1)&gt;=100000,INDEX($AB$1005:$AQ$1005,1,MATCH(COLUMNS($AB$1006:AQ1006),$AB$1006:$AQ$1006,0))&gt;=100000), " ",IF(INDEX($AB$2:$AQ$1001,MATCH(ROWS($U$2:U684),$U$2:$U$1001,0),MATCH(COLUMNS($AB$1006:AQ1006),$AB$1006:$AQ$1006,0)), HYPERLINK("#",""), HYPERLINK(CONCATENATE("#Metadata!", ADDRESS(INDEX($W$2:$W$1001,MATCH(ROWS($U$2:U684),$U$2:$U$1001,0),0), INDEX($AB$1004:$AQ$1004,1,MATCH(COLUMNS($AB$1006:AQ1006),$AB$1006:$AQ$1006,0)))),"Fix")))</f>
        <v>0</v>
      </c>
      <c r="U684">
        <v>0</v>
      </c>
      <c r="V684">
        <v>0</v>
      </c>
      <c r="W684">
        <v>0</v>
      </c>
      <c r="X684">
        <f>IF(Y684,TRUE,AND(AB684:AQ684))</f>
        <v>0</v>
      </c>
      <c r="Y684">
        <f>COUNTBLANK(Metadata!B684:Q684)=COLUMNS(Metadata!B684:Q684)</f>
        <v>0</v>
      </c>
      <c r="Z684">
        <v>0</v>
      </c>
      <c r="AB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AC684">
        <f>AND(IF(Metadata!C684="",FALSE,TRUE),exact(Metadata!C684,"urban biome"))</f>
        <v>0</v>
      </c>
      <c r="AD684">
        <f>AND(IF(Metadata!D684="",FALSE,TRUE),exact(Metadata!D684,"human-associated habitat"))</f>
        <v>0</v>
      </c>
      <c r="AE684">
        <f>AND(IF(Metadata!E684="",FALSE,TRUE),OR(exact(Metadata!E684,"human-associated"),exact(Metadata!E684,"human-skin"),exact(Metadata!E684,"human-oral"),exact(Metadata!E684,"human-gut"),exact(Metadata!E684,"human-vaginal")))</f>
        <v>0</v>
      </c>
      <c r="AF684">
        <f>AND(IF(Metadata!F684="",FALSE,ISNUMBER(VALUE(Metadata!F684))),Metadata!F684&gt;0)</f>
        <v>0</v>
      </c>
      <c r="AG684">
        <f>AND(IF(Metadata!G684="",FALSE,TRUE),exact(Metadata!G684,"years"))</f>
        <v>0</v>
      </c>
      <c r="AH684">
        <f>OR(AND(IF(Metadata!H684="",FALSE,TRUE),OR(exact(Metadata!H684,"not applicable"),exact(Metadata!H684,"not collected"),exact(Metadata!H684,"not provided"),exact(Metadata!H684,"restricted access"))),AND(IF(Metadata!H684="",FALSE,ISNUMBER(VALUE(Metadata!H684))),Metadata!H684&gt;0))</f>
        <v>0</v>
      </c>
      <c r="AI684">
        <f>AND(IF(Metadata!I684="",FALSE,TRUE),exact(Metadata!I684,"human"))</f>
        <v>0</v>
      </c>
      <c r="AJ684">
        <f>AND(IF(Metadata!J684="",FALSE,ISNUMBER(VALUE(Metadata!J684))),Metadata!J684&gt;0)</f>
        <v>0</v>
      </c>
      <c r="AK684">
        <f>AND(IF(Metadata!K684="",FALSE,TRUE),exact(Metadata!K684,"cm"))</f>
        <v>0</v>
      </c>
      <c r="AL684">
        <f>AND(IF(Metadata!L684="",FALSE,TRUE),exact(Metadata!L684,"Homo sapiens"))</f>
        <v>0</v>
      </c>
      <c r="AM684">
        <f>AND(IF(Metadata!M684="",FALSE,TRUE),exact(Metadata!M684,"9606"))</f>
        <v>0</v>
      </c>
      <c r="AN684">
        <f>AND(IF(Metadata!N684="",FALSE,ISNUMBER(VALUE(Metadata!N684))),Metadata!N684&gt;0)</f>
        <v>0</v>
      </c>
      <c r="AO684">
        <f>AND(IF(Metadata!O684="",FALSE,TRUE),exact(Metadata!O684,"kg"))</f>
        <v>0</v>
      </c>
      <c r="AP684">
        <f>OR(AND(IF(Metadata!P684="",FALSE,TRUE),exact(Metadata!P684,"not provided")),IF(Metadata!P684="",FALSE,TRUE))</f>
        <v>0</v>
      </c>
      <c r="AQ684">
        <f>OR(AND(IF(Metadata!Q684="",FALSE,TRUE),exact(Metadata!Q684,"not provided")),IF(Metadata!Q684="",FALSE,TRUE))</f>
        <v>0</v>
      </c>
    </row>
    <row r="685" spans="1:43">
      <c r="A685" s="4">
        <f>IF(B685=" "," ",HYPERLINK(CONCATENATE("#metadata!",ADDRESS(INDEX($W$2:$W$1001,MATCH(ROWS($U$2:U685),$U$2:$U$1001,0),0),2)),INDEX($Z$2:$Z$1001,MATCH(ROWS($U$2:U685),$U$2:$U$1001,0),0)))</f>
        <v>0</v>
      </c>
      <c r="B685" s="5">
        <f>IF(OR(INDEX($V$2:$V$1001,MATCH(ROWS($U$2:U685),$U$2:$U$1001,0),1)&gt;=100000,INDEX($AB$1005:$AQ$1005,1,MATCH(COLUMNS($AB$1006:AB1006),$AB$1006:$AQ$1006,0))&gt;=100000), " ",IF(INDEX($AB$2:$AQ$1001,MATCH(ROWS($U$2:U685),$U$2:$U$1001,0),MATCH(COLUMNS($AB$1006:AB1006),$AB$1006:$AQ$1006,0)), HYPERLINK("#",""), HYPERLINK(CONCATENATE("#Metadata!", ADDRESS(INDEX($W$2:$W$1001,MATCH(ROWS($U$2:U685),$U$2:$U$1001,0),0), INDEX($AB$1004:$AQ$1004,1,MATCH(COLUMNS($AB$1006:AB1006),$AB$1006:$AQ$1006,0)))),"Fix")))</f>
        <v>0</v>
      </c>
      <c r="C685" s="5">
        <f>IF(OR(INDEX($V$2:$V$1001,MATCH(ROWS($U$2:U685),$U$2:$U$1001,0),1)&gt;=100000,INDEX($AB$1005:$AQ$1005,1,MATCH(COLUMNS($AB$1006:AC1006),$AB$1006:$AQ$1006,0))&gt;=100000), " ",IF(INDEX($AB$2:$AQ$1001,MATCH(ROWS($U$2:U685),$U$2:$U$1001,0),MATCH(COLUMNS($AB$1006:AC1006),$AB$1006:$AQ$1006,0)), HYPERLINK("#",""), HYPERLINK(CONCATENATE("#Metadata!", ADDRESS(INDEX($W$2:$W$1001,MATCH(ROWS($U$2:U685),$U$2:$U$1001,0),0), INDEX($AB$1004:$AQ$1004,1,MATCH(COLUMNS($AB$1006:AC1006),$AB$1006:$AQ$1006,0)))),"Fix")))</f>
        <v>0</v>
      </c>
      <c r="D685" s="5">
        <f>IF(OR(INDEX($V$2:$V$1001,MATCH(ROWS($U$2:U685),$U$2:$U$1001,0),1)&gt;=100000,INDEX($AB$1005:$AQ$1005,1,MATCH(COLUMNS($AB$1006:AD1006),$AB$1006:$AQ$1006,0))&gt;=100000), " ",IF(INDEX($AB$2:$AQ$1001,MATCH(ROWS($U$2:U685),$U$2:$U$1001,0),MATCH(COLUMNS($AB$1006:AD1006),$AB$1006:$AQ$1006,0)), HYPERLINK("#",""), HYPERLINK(CONCATENATE("#Metadata!", ADDRESS(INDEX($W$2:$W$1001,MATCH(ROWS($U$2:U685),$U$2:$U$1001,0),0), INDEX($AB$1004:$AQ$1004,1,MATCH(COLUMNS($AB$1006:AD1006),$AB$1006:$AQ$1006,0)))),"Fix")))</f>
        <v>0</v>
      </c>
      <c r="E685" s="5">
        <f>IF(OR(INDEX($V$2:$V$1001,MATCH(ROWS($U$2:U685),$U$2:$U$1001,0),1)&gt;=100000,INDEX($AB$1005:$AQ$1005,1,MATCH(COLUMNS($AB$1006:AE1006),$AB$1006:$AQ$1006,0))&gt;=100000), " ",IF(INDEX($AB$2:$AQ$1001,MATCH(ROWS($U$2:U685),$U$2:$U$1001,0),MATCH(COLUMNS($AB$1006:AE1006),$AB$1006:$AQ$1006,0)), HYPERLINK("#",""), HYPERLINK(CONCATENATE("#Metadata!", ADDRESS(INDEX($W$2:$W$1001,MATCH(ROWS($U$2:U685),$U$2:$U$1001,0),0), INDEX($AB$1004:$AQ$1004,1,MATCH(COLUMNS($AB$1006:AE1006),$AB$1006:$AQ$1006,0)))),"Fix")))</f>
        <v>0</v>
      </c>
      <c r="F685" s="5">
        <f>IF(OR(INDEX($V$2:$V$1001,MATCH(ROWS($U$2:U685),$U$2:$U$1001,0),1)&gt;=100000,INDEX($AB$1005:$AQ$1005,1,MATCH(COLUMNS($AB$1006:AF1006),$AB$1006:$AQ$1006,0))&gt;=100000), " ",IF(INDEX($AB$2:$AQ$1001,MATCH(ROWS($U$2:U685),$U$2:$U$1001,0),MATCH(COLUMNS($AB$1006:AF1006),$AB$1006:$AQ$1006,0)), HYPERLINK("#",""), HYPERLINK(CONCATENATE("#Metadata!", ADDRESS(INDEX($W$2:$W$1001,MATCH(ROWS($U$2:U685),$U$2:$U$1001,0),0), INDEX($AB$1004:$AQ$1004,1,MATCH(COLUMNS($AB$1006:AF1006),$AB$1006:$AQ$1006,0)))),"Fix")))</f>
        <v>0</v>
      </c>
      <c r="G685" s="5">
        <f>IF(OR(INDEX($V$2:$V$1001,MATCH(ROWS($U$2:U685),$U$2:$U$1001,0),1)&gt;=100000,INDEX($AB$1005:$AQ$1005,1,MATCH(COLUMNS($AB$1006:AG1006),$AB$1006:$AQ$1006,0))&gt;=100000), " ",IF(INDEX($AB$2:$AQ$1001,MATCH(ROWS($U$2:U685),$U$2:$U$1001,0),MATCH(COLUMNS($AB$1006:AG1006),$AB$1006:$AQ$1006,0)), HYPERLINK("#",""), HYPERLINK(CONCATENATE("#Metadata!", ADDRESS(INDEX($W$2:$W$1001,MATCH(ROWS($U$2:U685),$U$2:$U$1001,0),0), INDEX($AB$1004:$AQ$1004,1,MATCH(COLUMNS($AB$1006:AG1006),$AB$1006:$AQ$1006,0)))),"Fix")))</f>
        <v>0</v>
      </c>
      <c r="H685" s="5">
        <f>IF(OR(INDEX($V$2:$V$1001,MATCH(ROWS($U$2:U685),$U$2:$U$1001,0),1)&gt;=100000,INDEX($AB$1005:$AQ$1005,1,MATCH(COLUMNS($AB$1006:AH1006),$AB$1006:$AQ$1006,0))&gt;=100000), " ",IF(INDEX($AB$2:$AQ$1001,MATCH(ROWS($U$2:U685),$U$2:$U$1001,0),MATCH(COLUMNS($AB$1006:AH1006),$AB$1006:$AQ$1006,0)), HYPERLINK("#",""), HYPERLINK(CONCATENATE("#Metadata!", ADDRESS(INDEX($W$2:$W$1001,MATCH(ROWS($U$2:U685),$U$2:$U$1001,0),0), INDEX($AB$1004:$AQ$1004,1,MATCH(COLUMNS($AB$1006:AH1006),$AB$1006:$AQ$1006,0)))),"Fix")))</f>
        <v>0</v>
      </c>
      <c r="I685" s="5">
        <f>IF(OR(INDEX($V$2:$V$1001,MATCH(ROWS($U$2:U685),$U$2:$U$1001,0),1)&gt;=100000,INDEX($AB$1005:$AQ$1005,1,MATCH(COLUMNS($AB$1006:AI1006),$AB$1006:$AQ$1006,0))&gt;=100000), " ",IF(INDEX($AB$2:$AQ$1001,MATCH(ROWS($U$2:U685),$U$2:$U$1001,0),MATCH(COLUMNS($AB$1006:AI1006),$AB$1006:$AQ$1006,0)), HYPERLINK("#",""), HYPERLINK(CONCATENATE("#Metadata!", ADDRESS(INDEX($W$2:$W$1001,MATCH(ROWS($U$2:U685),$U$2:$U$1001,0),0), INDEX($AB$1004:$AQ$1004,1,MATCH(COLUMNS($AB$1006:AI1006),$AB$1006:$AQ$1006,0)))),"Fix")))</f>
        <v>0</v>
      </c>
      <c r="J685" s="5">
        <f>IF(OR(INDEX($V$2:$V$1001,MATCH(ROWS($U$2:U685),$U$2:$U$1001,0),1)&gt;=100000,INDEX($AB$1005:$AQ$1005,1,MATCH(COLUMNS($AB$1006:AJ1006),$AB$1006:$AQ$1006,0))&gt;=100000), " ",IF(INDEX($AB$2:$AQ$1001,MATCH(ROWS($U$2:U685),$U$2:$U$1001,0),MATCH(COLUMNS($AB$1006:AJ1006),$AB$1006:$AQ$1006,0)), HYPERLINK("#",""), HYPERLINK(CONCATENATE("#Metadata!", ADDRESS(INDEX($W$2:$W$1001,MATCH(ROWS($U$2:U685),$U$2:$U$1001,0),0), INDEX($AB$1004:$AQ$1004,1,MATCH(COLUMNS($AB$1006:AJ1006),$AB$1006:$AQ$1006,0)))),"Fix")))</f>
        <v>0</v>
      </c>
      <c r="K685" s="5">
        <f>IF(OR(INDEX($V$2:$V$1001,MATCH(ROWS($U$2:U685),$U$2:$U$1001,0),1)&gt;=100000,INDEX($AB$1005:$AQ$1005,1,MATCH(COLUMNS($AB$1006:AK1006),$AB$1006:$AQ$1006,0))&gt;=100000), " ",IF(INDEX($AB$2:$AQ$1001,MATCH(ROWS($U$2:U685),$U$2:$U$1001,0),MATCH(COLUMNS($AB$1006:AK1006),$AB$1006:$AQ$1006,0)), HYPERLINK("#",""), HYPERLINK(CONCATENATE("#Metadata!", ADDRESS(INDEX($W$2:$W$1001,MATCH(ROWS($U$2:U685),$U$2:$U$1001,0),0), INDEX($AB$1004:$AQ$1004,1,MATCH(COLUMNS($AB$1006:AK1006),$AB$1006:$AQ$1006,0)))),"Fix")))</f>
        <v>0</v>
      </c>
      <c r="L685" s="5">
        <f>IF(OR(INDEX($V$2:$V$1001,MATCH(ROWS($U$2:U685),$U$2:$U$1001,0),1)&gt;=100000,INDEX($AB$1005:$AQ$1005,1,MATCH(COLUMNS($AB$1006:AL1006),$AB$1006:$AQ$1006,0))&gt;=100000), " ",IF(INDEX($AB$2:$AQ$1001,MATCH(ROWS($U$2:U685),$U$2:$U$1001,0),MATCH(COLUMNS($AB$1006:AL1006),$AB$1006:$AQ$1006,0)), HYPERLINK("#",""), HYPERLINK(CONCATENATE("#Metadata!", ADDRESS(INDEX($W$2:$W$1001,MATCH(ROWS($U$2:U685),$U$2:$U$1001,0),0), INDEX($AB$1004:$AQ$1004,1,MATCH(COLUMNS($AB$1006:AL1006),$AB$1006:$AQ$1006,0)))),"Fix")))</f>
        <v>0</v>
      </c>
      <c r="M685" s="5">
        <f>IF(OR(INDEX($V$2:$V$1001,MATCH(ROWS($U$2:U685),$U$2:$U$1001,0),1)&gt;=100000,INDEX($AB$1005:$AQ$1005,1,MATCH(COLUMNS($AB$1006:AM1006),$AB$1006:$AQ$1006,0))&gt;=100000), " ",IF(INDEX($AB$2:$AQ$1001,MATCH(ROWS($U$2:U685),$U$2:$U$1001,0),MATCH(COLUMNS($AB$1006:AM1006),$AB$1006:$AQ$1006,0)), HYPERLINK("#",""), HYPERLINK(CONCATENATE("#Metadata!", ADDRESS(INDEX($W$2:$W$1001,MATCH(ROWS($U$2:U685),$U$2:$U$1001,0),0), INDEX($AB$1004:$AQ$1004,1,MATCH(COLUMNS($AB$1006:AM1006),$AB$1006:$AQ$1006,0)))),"Fix")))</f>
        <v>0</v>
      </c>
      <c r="N685" s="5">
        <f>IF(OR(INDEX($V$2:$V$1001,MATCH(ROWS($U$2:U685),$U$2:$U$1001,0),1)&gt;=100000,INDEX($AB$1005:$AQ$1005,1,MATCH(COLUMNS($AB$1006:AN1006),$AB$1006:$AQ$1006,0))&gt;=100000), " ",IF(INDEX($AB$2:$AQ$1001,MATCH(ROWS($U$2:U685),$U$2:$U$1001,0),MATCH(COLUMNS($AB$1006:AN1006),$AB$1006:$AQ$1006,0)), HYPERLINK("#",""), HYPERLINK(CONCATENATE("#Metadata!", ADDRESS(INDEX($W$2:$W$1001,MATCH(ROWS($U$2:U685),$U$2:$U$1001,0),0), INDEX($AB$1004:$AQ$1004,1,MATCH(COLUMNS($AB$1006:AN1006),$AB$1006:$AQ$1006,0)))),"Fix")))</f>
        <v>0</v>
      </c>
      <c r="O685" s="5">
        <f>IF(OR(INDEX($V$2:$V$1001,MATCH(ROWS($U$2:U685),$U$2:$U$1001,0),1)&gt;=100000,INDEX($AB$1005:$AQ$1005,1,MATCH(COLUMNS($AB$1006:AO1006),$AB$1006:$AQ$1006,0))&gt;=100000), " ",IF(INDEX($AB$2:$AQ$1001,MATCH(ROWS($U$2:U685),$U$2:$U$1001,0),MATCH(COLUMNS($AB$1006:AO1006),$AB$1006:$AQ$1006,0)), HYPERLINK("#",""), HYPERLINK(CONCATENATE("#Metadata!", ADDRESS(INDEX($W$2:$W$1001,MATCH(ROWS($U$2:U685),$U$2:$U$1001,0),0), INDEX($AB$1004:$AQ$1004,1,MATCH(COLUMNS($AB$1006:AO1006),$AB$1006:$AQ$1006,0)))),"Fix")))</f>
        <v>0</v>
      </c>
      <c r="P685" s="5">
        <f>IF(OR(INDEX($V$2:$V$1001,MATCH(ROWS($U$2:U685),$U$2:$U$1001,0),1)&gt;=100000,INDEX($AB$1005:$AQ$1005,1,MATCH(COLUMNS($AB$1006:AP1006),$AB$1006:$AQ$1006,0))&gt;=100000), " ",IF(INDEX($AB$2:$AQ$1001,MATCH(ROWS($U$2:U685),$U$2:$U$1001,0),MATCH(COLUMNS($AB$1006:AP1006),$AB$1006:$AQ$1006,0)), HYPERLINK("#",""), HYPERLINK(CONCATENATE("#Metadata!", ADDRESS(INDEX($W$2:$W$1001,MATCH(ROWS($U$2:U685),$U$2:$U$1001,0),0), INDEX($AB$1004:$AQ$1004,1,MATCH(COLUMNS($AB$1006:AP1006),$AB$1006:$AQ$1006,0)))),"Fix")))</f>
        <v>0</v>
      </c>
      <c r="Q685" s="5">
        <f>IF(OR(INDEX($V$2:$V$1001,MATCH(ROWS($U$2:U685),$U$2:$U$1001,0),1)&gt;=100000,INDEX($AB$1005:$AQ$1005,1,MATCH(COLUMNS($AB$1006:AQ1006),$AB$1006:$AQ$1006,0))&gt;=100000), " ",IF(INDEX($AB$2:$AQ$1001,MATCH(ROWS($U$2:U685),$U$2:$U$1001,0),MATCH(COLUMNS($AB$1006:AQ1006),$AB$1006:$AQ$1006,0)), HYPERLINK("#",""), HYPERLINK(CONCATENATE("#Metadata!", ADDRESS(INDEX($W$2:$W$1001,MATCH(ROWS($U$2:U685),$U$2:$U$1001,0),0), INDEX($AB$1004:$AQ$1004,1,MATCH(COLUMNS($AB$1006:AQ1006),$AB$1006:$AQ$1006,0)))),"Fix")))</f>
        <v>0</v>
      </c>
      <c r="U685">
        <v>0</v>
      </c>
      <c r="V685">
        <v>0</v>
      </c>
      <c r="W685">
        <v>0</v>
      </c>
      <c r="X685">
        <f>IF(Y685,TRUE,AND(AB685:AQ685))</f>
        <v>0</v>
      </c>
      <c r="Y685">
        <f>COUNTBLANK(Metadata!B685:Q685)=COLUMNS(Metadata!B685:Q685)</f>
        <v>0</v>
      </c>
      <c r="Z685">
        <v>0</v>
      </c>
      <c r="AB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AC685">
        <f>AND(IF(Metadata!C685="",FALSE,TRUE),exact(Metadata!C685,"urban biome"))</f>
        <v>0</v>
      </c>
      <c r="AD685">
        <f>AND(IF(Metadata!D685="",FALSE,TRUE),exact(Metadata!D685,"human-associated habitat"))</f>
        <v>0</v>
      </c>
      <c r="AE685">
        <f>AND(IF(Metadata!E685="",FALSE,TRUE),OR(exact(Metadata!E685,"human-associated"),exact(Metadata!E685,"human-skin"),exact(Metadata!E685,"human-oral"),exact(Metadata!E685,"human-gut"),exact(Metadata!E685,"human-vaginal")))</f>
        <v>0</v>
      </c>
      <c r="AF685">
        <f>AND(IF(Metadata!F685="",FALSE,ISNUMBER(VALUE(Metadata!F685))),Metadata!F685&gt;0)</f>
        <v>0</v>
      </c>
      <c r="AG685">
        <f>AND(IF(Metadata!G685="",FALSE,TRUE),exact(Metadata!G685,"years"))</f>
        <v>0</v>
      </c>
      <c r="AH685">
        <f>OR(AND(IF(Metadata!H685="",FALSE,TRUE),OR(exact(Metadata!H685,"not applicable"),exact(Metadata!H685,"not collected"),exact(Metadata!H685,"not provided"),exact(Metadata!H685,"restricted access"))),AND(IF(Metadata!H685="",FALSE,ISNUMBER(VALUE(Metadata!H685))),Metadata!H685&gt;0))</f>
        <v>0</v>
      </c>
      <c r="AI685">
        <f>AND(IF(Metadata!I685="",FALSE,TRUE),exact(Metadata!I685,"human"))</f>
        <v>0</v>
      </c>
      <c r="AJ685">
        <f>AND(IF(Metadata!J685="",FALSE,ISNUMBER(VALUE(Metadata!J685))),Metadata!J685&gt;0)</f>
        <v>0</v>
      </c>
      <c r="AK685">
        <f>AND(IF(Metadata!K685="",FALSE,TRUE),exact(Metadata!K685,"cm"))</f>
        <v>0</v>
      </c>
      <c r="AL685">
        <f>AND(IF(Metadata!L685="",FALSE,TRUE),exact(Metadata!L685,"Homo sapiens"))</f>
        <v>0</v>
      </c>
      <c r="AM685">
        <f>AND(IF(Metadata!M685="",FALSE,TRUE),exact(Metadata!M685,"9606"))</f>
        <v>0</v>
      </c>
      <c r="AN685">
        <f>AND(IF(Metadata!N685="",FALSE,ISNUMBER(VALUE(Metadata!N685))),Metadata!N685&gt;0)</f>
        <v>0</v>
      </c>
      <c r="AO685">
        <f>AND(IF(Metadata!O685="",FALSE,TRUE),exact(Metadata!O685,"kg"))</f>
        <v>0</v>
      </c>
      <c r="AP685">
        <f>OR(AND(IF(Metadata!P685="",FALSE,TRUE),exact(Metadata!P685,"not provided")),IF(Metadata!P685="",FALSE,TRUE))</f>
        <v>0</v>
      </c>
      <c r="AQ685">
        <f>OR(AND(IF(Metadata!Q685="",FALSE,TRUE),exact(Metadata!Q685,"not provided")),IF(Metadata!Q685="",FALSE,TRUE))</f>
        <v>0</v>
      </c>
    </row>
    <row r="686" spans="1:43">
      <c r="A686" s="4">
        <f>IF(B686=" "," ",HYPERLINK(CONCATENATE("#metadata!",ADDRESS(INDEX($W$2:$W$1001,MATCH(ROWS($U$2:U686),$U$2:$U$1001,0),0),2)),INDEX($Z$2:$Z$1001,MATCH(ROWS($U$2:U686),$U$2:$U$1001,0),0)))</f>
        <v>0</v>
      </c>
      <c r="B686" s="5">
        <f>IF(OR(INDEX($V$2:$V$1001,MATCH(ROWS($U$2:U686),$U$2:$U$1001,0),1)&gt;=100000,INDEX($AB$1005:$AQ$1005,1,MATCH(COLUMNS($AB$1006:AB1006),$AB$1006:$AQ$1006,0))&gt;=100000), " ",IF(INDEX($AB$2:$AQ$1001,MATCH(ROWS($U$2:U686),$U$2:$U$1001,0),MATCH(COLUMNS($AB$1006:AB1006),$AB$1006:$AQ$1006,0)), HYPERLINK("#",""), HYPERLINK(CONCATENATE("#Metadata!", ADDRESS(INDEX($W$2:$W$1001,MATCH(ROWS($U$2:U686),$U$2:$U$1001,0),0), INDEX($AB$1004:$AQ$1004,1,MATCH(COLUMNS($AB$1006:AB1006),$AB$1006:$AQ$1006,0)))),"Fix")))</f>
        <v>0</v>
      </c>
      <c r="C686" s="5">
        <f>IF(OR(INDEX($V$2:$V$1001,MATCH(ROWS($U$2:U686),$U$2:$U$1001,0),1)&gt;=100000,INDEX($AB$1005:$AQ$1005,1,MATCH(COLUMNS($AB$1006:AC1006),$AB$1006:$AQ$1006,0))&gt;=100000), " ",IF(INDEX($AB$2:$AQ$1001,MATCH(ROWS($U$2:U686),$U$2:$U$1001,0),MATCH(COLUMNS($AB$1006:AC1006),$AB$1006:$AQ$1006,0)), HYPERLINK("#",""), HYPERLINK(CONCATENATE("#Metadata!", ADDRESS(INDEX($W$2:$W$1001,MATCH(ROWS($U$2:U686),$U$2:$U$1001,0),0), INDEX($AB$1004:$AQ$1004,1,MATCH(COLUMNS($AB$1006:AC1006),$AB$1006:$AQ$1006,0)))),"Fix")))</f>
        <v>0</v>
      </c>
      <c r="D686" s="5">
        <f>IF(OR(INDEX($V$2:$V$1001,MATCH(ROWS($U$2:U686),$U$2:$U$1001,0),1)&gt;=100000,INDEX($AB$1005:$AQ$1005,1,MATCH(COLUMNS($AB$1006:AD1006),$AB$1006:$AQ$1006,0))&gt;=100000), " ",IF(INDEX($AB$2:$AQ$1001,MATCH(ROWS($U$2:U686),$U$2:$U$1001,0),MATCH(COLUMNS($AB$1006:AD1006),$AB$1006:$AQ$1006,0)), HYPERLINK("#",""), HYPERLINK(CONCATENATE("#Metadata!", ADDRESS(INDEX($W$2:$W$1001,MATCH(ROWS($U$2:U686),$U$2:$U$1001,0),0), INDEX($AB$1004:$AQ$1004,1,MATCH(COLUMNS($AB$1006:AD1006),$AB$1006:$AQ$1006,0)))),"Fix")))</f>
        <v>0</v>
      </c>
      <c r="E686" s="5">
        <f>IF(OR(INDEX($V$2:$V$1001,MATCH(ROWS($U$2:U686),$U$2:$U$1001,0),1)&gt;=100000,INDEX($AB$1005:$AQ$1005,1,MATCH(COLUMNS($AB$1006:AE1006),$AB$1006:$AQ$1006,0))&gt;=100000), " ",IF(INDEX($AB$2:$AQ$1001,MATCH(ROWS($U$2:U686),$U$2:$U$1001,0),MATCH(COLUMNS($AB$1006:AE1006),$AB$1006:$AQ$1006,0)), HYPERLINK("#",""), HYPERLINK(CONCATENATE("#Metadata!", ADDRESS(INDEX($W$2:$W$1001,MATCH(ROWS($U$2:U686),$U$2:$U$1001,0),0), INDEX($AB$1004:$AQ$1004,1,MATCH(COLUMNS($AB$1006:AE1006),$AB$1006:$AQ$1006,0)))),"Fix")))</f>
        <v>0</v>
      </c>
      <c r="F686" s="5">
        <f>IF(OR(INDEX($V$2:$V$1001,MATCH(ROWS($U$2:U686),$U$2:$U$1001,0),1)&gt;=100000,INDEX($AB$1005:$AQ$1005,1,MATCH(COLUMNS($AB$1006:AF1006),$AB$1006:$AQ$1006,0))&gt;=100000), " ",IF(INDEX($AB$2:$AQ$1001,MATCH(ROWS($U$2:U686),$U$2:$U$1001,0),MATCH(COLUMNS($AB$1006:AF1006),$AB$1006:$AQ$1006,0)), HYPERLINK("#",""), HYPERLINK(CONCATENATE("#Metadata!", ADDRESS(INDEX($W$2:$W$1001,MATCH(ROWS($U$2:U686),$U$2:$U$1001,0),0), INDEX($AB$1004:$AQ$1004,1,MATCH(COLUMNS($AB$1006:AF1006),$AB$1006:$AQ$1006,0)))),"Fix")))</f>
        <v>0</v>
      </c>
      <c r="G686" s="5">
        <f>IF(OR(INDEX($V$2:$V$1001,MATCH(ROWS($U$2:U686),$U$2:$U$1001,0),1)&gt;=100000,INDEX($AB$1005:$AQ$1005,1,MATCH(COLUMNS($AB$1006:AG1006),$AB$1006:$AQ$1006,0))&gt;=100000), " ",IF(INDEX($AB$2:$AQ$1001,MATCH(ROWS($U$2:U686),$U$2:$U$1001,0),MATCH(COLUMNS($AB$1006:AG1006),$AB$1006:$AQ$1006,0)), HYPERLINK("#",""), HYPERLINK(CONCATENATE("#Metadata!", ADDRESS(INDEX($W$2:$W$1001,MATCH(ROWS($U$2:U686),$U$2:$U$1001,0),0), INDEX($AB$1004:$AQ$1004,1,MATCH(COLUMNS($AB$1006:AG1006),$AB$1006:$AQ$1006,0)))),"Fix")))</f>
        <v>0</v>
      </c>
      <c r="H686" s="5">
        <f>IF(OR(INDEX($V$2:$V$1001,MATCH(ROWS($U$2:U686),$U$2:$U$1001,0),1)&gt;=100000,INDEX($AB$1005:$AQ$1005,1,MATCH(COLUMNS($AB$1006:AH1006),$AB$1006:$AQ$1006,0))&gt;=100000), " ",IF(INDEX($AB$2:$AQ$1001,MATCH(ROWS($U$2:U686),$U$2:$U$1001,0),MATCH(COLUMNS($AB$1006:AH1006),$AB$1006:$AQ$1006,0)), HYPERLINK("#",""), HYPERLINK(CONCATENATE("#Metadata!", ADDRESS(INDEX($W$2:$W$1001,MATCH(ROWS($U$2:U686),$U$2:$U$1001,0),0), INDEX($AB$1004:$AQ$1004,1,MATCH(COLUMNS($AB$1006:AH1006),$AB$1006:$AQ$1006,0)))),"Fix")))</f>
        <v>0</v>
      </c>
      <c r="I686" s="5">
        <f>IF(OR(INDEX($V$2:$V$1001,MATCH(ROWS($U$2:U686),$U$2:$U$1001,0),1)&gt;=100000,INDEX($AB$1005:$AQ$1005,1,MATCH(COLUMNS($AB$1006:AI1006),$AB$1006:$AQ$1006,0))&gt;=100000), " ",IF(INDEX($AB$2:$AQ$1001,MATCH(ROWS($U$2:U686),$U$2:$U$1001,0),MATCH(COLUMNS($AB$1006:AI1006),$AB$1006:$AQ$1006,0)), HYPERLINK("#",""), HYPERLINK(CONCATENATE("#Metadata!", ADDRESS(INDEX($W$2:$W$1001,MATCH(ROWS($U$2:U686),$U$2:$U$1001,0),0), INDEX($AB$1004:$AQ$1004,1,MATCH(COLUMNS($AB$1006:AI1006),$AB$1006:$AQ$1006,0)))),"Fix")))</f>
        <v>0</v>
      </c>
      <c r="J686" s="5">
        <f>IF(OR(INDEX($V$2:$V$1001,MATCH(ROWS($U$2:U686),$U$2:$U$1001,0),1)&gt;=100000,INDEX($AB$1005:$AQ$1005,1,MATCH(COLUMNS($AB$1006:AJ1006),$AB$1006:$AQ$1006,0))&gt;=100000), " ",IF(INDEX($AB$2:$AQ$1001,MATCH(ROWS($U$2:U686),$U$2:$U$1001,0),MATCH(COLUMNS($AB$1006:AJ1006),$AB$1006:$AQ$1006,0)), HYPERLINK("#",""), HYPERLINK(CONCATENATE("#Metadata!", ADDRESS(INDEX($W$2:$W$1001,MATCH(ROWS($U$2:U686),$U$2:$U$1001,0),0), INDEX($AB$1004:$AQ$1004,1,MATCH(COLUMNS($AB$1006:AJ1006),$AB$1006:$AQ$1006,0)))),"Fix")))</f>
        <v>0</v>
      </c>
      <c r="K686" s="5">
        <f>IF(OR(INDEX($V$2:$V$1001,MATCH(ROWS($U$2:U686),$U$2:$U$1001,0),1)&gt;=100000,INDEX($AB$1005:$AQ$1005,1,MATCH(COLUMNS($AB$1006:AK1006),$AB$1006:$AQ$1006,0))&gt;=100000), " ",IF(INDEX($AB$2:$AQ$1001,MATCH(ROWS($U$2:U686),$U$2:$U$1001,0),MATCH(COLUMNS($AB$1006:AK1006),$AB$1006:$AQ$1006,0)), HYPERLINK("#",""), HYPERLINK(CONCATENATE("#Metadata!", ADDRESS(INDEX($W$2:$W$1001,MATCH(ROWS($U$2:U686),$U$2:$U$1001,0),0), INDEX($AB$1004:$AQ$1004,1,MATCH(COLUMNS($AB$1006:AK1006),$AB$1006:$AQ$1006,0)))),"Fix")))</f>
        <v>0</v>
      </c>
      <c r="L686" s="5">
        <f>IF(OR(INDEX($V$2:$V$1001,MATCH(ROWS($U$2:U686),$U$2:$U$1001,0),1)&gt;=100000,INDEX($AB$1005:$AQ$1005,1,MATCH(COLUMNS($AB$1006:AL1006),$AB$1006:$AQ$1006,0))&gt;=100000), " ",IF(INDEX($AB$2:$AQ$1001,MATCH(ROWS($U$2:U686),$U$2:$U$1001,0),MATCH(COLUMNS($AB$1006:AL1006),$AB$1006:$AQ$1006,0)), HYPERLINK("#",""), HYPERLINK(CONCATENATE("#Metadata!", ADDRESS(INDEX($W$2:$W$1001,MATCH(ROWS($U$2:U686),$U$2:$U$1001,0),0), INDEX($AB$1004:$AQ$1004,1,MATCH(COLUMNS($AB$1006:AL1006),$AB$1006:$AQ$1006,0)))),"Fix")))</f>
        <v>0</v>
      </c>
      <c r="M686" s="5">
        <f>IF(OR(INDEX($V$2:$V$1001,MATCH(ROWS($U$2:U686),$U$2:$U$1001,0),1)&gt;=100000,INDEX($AB$1005:$AQ$1005,1,MATCH(COLUMNS($AB$1006:AM1006),$AB$1006:$AQ$1006,0))&gt;=100000), " ",IF(INDEX($AB$2:$AQ$1001,MATCH(ROWS($U$2:U686),$U$2:$U$1001,0),MATCH(COLUMNS($AB$1006:AM1006),$AB$1006:$AQ$1006,0)), HYPERLINK("#",""), HYPERLINK(CONCATENATE("#Metadata!", ADDRESS(INDEX($W$2:$W$1001,MATCH(ROWS($U$2:U686),$U$2:$U$1001,0),0), INDEX($AB$1004:$AQ$1004,1,MATCH(COLUMNS($AB$1006:AM1006),$AB$1006:$AQ$1006,0)))),"Fix")))</f>
        <v>0</v>
      </c>
      <c r="N686" s="5">
        <f>IF(OR(INDEX($V$2:$V$1001,MATCH(ROWS($U$2:U686),$U$2:$U$1001,0),1)&gt;=100000,INDEX($AB$1005:$AQ$1005,1,MATCH(COLUMNS($AB$1006:AN1006),$AB$1006:$AQ$1006,0))&gt;=100000), " ",IF(INDEX($AB$2:$AQ$1001,MATCH(ROWS($U$2:U686),$U$2:$U$1001,0),MATCH(COLUMNS($AB$1006:AN1006),$AB$1006:$AQ$1006,0)), HYPERLINK("#",""), HYPERLINK(CONCATENATE("#Metadata!", ADDRESS(INDEX($W$2:$W$1001,MATCH(ROWS($U$2:U686),$U$2:$U$1001,0),0), INDEX($AB$1004:$AQ$1004,1,MATCH(COLUMNS($AB$1006:AN1006),$AB$1006:$AQ$1006,0)))),"Fix")))</f>
        <v>0</v>
      </c>
      <c r="O686" s="5">
        <f>IF(OR(INDEX($V$2:$V$1001,MATCH(ROWS($U$2:U686),$U$2:$U$1001,0),1)&gt;=100000,INDEX($AB$1005:$AQ$1005,1,MATCH(COLUMNS($AB$1006:AO1006),$AB$1006:$AQ$1006,0))&gt;=100000), " ",IF(INDEX($AB$2:$AQ$1001,MATCH(ROWS($U$2:U686),$U$2:$U$1001,0),MATCH(COLUMNS($AB$1006:AO1006),$AB$1006:$AQ$1006,0)), HYPERLINK("#",""), HYPERLINK(CONCATENATE("#Metadata!", ADDRESS(INDEX($W$2:$W$1001,MATCH(ROWS($U$2:U686),$U$2:$U$1001,0),0), INDEX($AB$1004:$AQ$1004,1,MATCH(COLUMNS($AB$1006:AO1006),$AB$1006:$AQ$1006,0)))),"Fix")))</f>
        <v>0</v>
      </c>
      <c r="P686" s="5">
        <f>IF(OR(INDEX($V$2:$V$1001,MATCH(ROWS($U$2:U686),$U$2:$U$1001,0),1)&gt;=100000,INDEX($AB$1005:$AQ$1005,1,MATCH(COLUMNS($AB$1006:AP1006),$AB$1006:$AQ$1006,0))&gt;=100000), " ",IF(INDEX($AB$2:$AQ$1001,MATCH(ROWS($U$2:U686),$U$2:$U$1001,0),MATCH(COLUMNS($AB$1006:AP1006),$AB$1006:$AQ$1006,0)), HYPERLINK("#",""), HYPERLINK(CONCATENATE("#Metadata!", ADDRESS(INDEX($W$2:$W$1001,MATCH(ROWS($U$2:U686),$U$2:$U$1001,0),0), INDEX($AB$1004:$AQ$1004,1,MATCH(COLUMNS($AB$1006:AP1006),$AB$1006:$AQ$1006,0)))),"Fix")))</f>
        <v>0</v>
      </c>
      <c r="Q686" s="5">
        <f>IF(OR(INDEX($V$2:$V$1001,MATCH(ROWS($U$2:U686),$U$2:$U$1001,0),1)&gt;=100000,INDEX($AB$1005:$AQ$1005,1,MATCH(COLUMNS($AB$1006:AQ1006),$AB$1006:$AQ$1006,0))&gt;=100000), " ",IF(INDEX($AB$2:$AQ$1001,MATCH(ROWS($U$2:U686),$U$2:$U$1001,0),MATCH(COLUMNS($AB$1006:AQ1006),$AB$1006:$AQ$1006,0)), HYPERLINK("#",""), HYPERLINK(CONCATENATE("#Metadata!", ADDRESS(INDEX($W$2:$W$1001,MATCH(ROWS($U$2:U686),$U$2:$U$1001,0),0), INDEX($AB$1004:$AQ$1004,1,MATCH(COLUMNS($AB$1006:AQ1006),$AB$1006:$AQ$1006,0)))),"Fix")))</f>
        <v>0</v>
      </c>
      <c r="U686">
        <v>0</v>
      </c>
      <c r="V686">
        <v>0</v>
      </c>
      <c r="W686">
        <v>0</v>
      </c>
      <c r="X686">
        <f>IF(Y686,TRUE,AND(AB686:AQ686))</f>
        <v>0</v>
      </c>
      <c r="Y686">
        <f>COUNTBLANK(Metadata!B686:Q686)=COLUMNS(Metadata!B686:Q686)</f>
        <v>0</v>
      </c>
      <c r="Z686">
        <v>0</v>
      </c>
      <c r="AB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AC686">
        <f>AND(IF(Metadata!C686="",FALSE,TRUE),exact(Metadata!C686,"urban biome"))</f>
        <v>0</v>
      </c>
      <c r="AD686">
        <f>AND(IF(Metadata!D686="",FALSE,TRUE),exact(Metadata!D686,"human-associated habitat"))</f>
        <v>0</v>
      </c>
      <c r="AE686">
        <f>AND(IF(Metadata!E686="",FALSE,TRUE),OR(exact(Metadata!E686,"human-associated"),exact(Metadata!E686,"human-skin"),exact(Metadata!E686,"human-oral"),exact(Metadata!E686,"human-gut"),exact(Metadata!E686,"human-vaginal")))</f>
        <v>0</v>
      </c>
      <c r="AF686">
        <f>AND(IF(Metadata!F686="",FALSE,ISNUMBER(VALUE(Metadata!F686))),Metadata!F686&gt;0)</f>
        <v>0</v>
      </c>
      <c r="AG686">
        <f>AND(IF(Metadata!G686="",FALSE,TRUE),exact(Metadata!G686,"years"))</f>
        <v>0</v>
      </c>
      <c r="AH686">
        <f>OR(AND(IF(Metadata!H686="",FALSE,TRUE),OR(exact(Metadata!H686,"not applicable"),exact(Metadata!H686,"not collected"),exact(Metadata!H686,"not provided"),exact(Metadata!H686,"restricted access"))),AND(IF(Metadata!H686="",FALSE,ISNUMBER(VALUE(Metadata!H686))),Metadata!H686&gt;0))</f>
        <v>0</v>
      </c>
      <c r="AI686">
        <f>AND(IF(Metadata!I686="",FALSE,TRUE),exact(Metadata!I686,"human"))</f>
        <v>0</v>
      </c>
      <c r="AJ686">
        <f>AND(IF(Metadata!J686="",FALSE,ISNUMBER(VALUE(Metadata!J686))),Metadata!J686&gt;0)</f>
        <v>0</v>
      </c>
      <c r="AK686">
        <f>AND(IF(Metadata!K686="",FALSE,TRUE),exact(Metadata!K686,"cm"))</f>
        <v>0</v>
      </c>
      <c r="AL686">
        <f>AND(IF(Metadata!L686="",FALSE,TRUE),exact(Metadata!L686,"Homo sapiens"))</f>
        <v>0</v>
      </c>
      <c r="AM686">
        <f>AND(IF(Metadata!M686="",FALSE,TRUE),exact(Metadata!M686,"9606"))</f>
        <v>0</v>
      </c>
      <c r="AN686">
        <f>AND(IF(Metadata!N686="",FALSE,ISNUMBER(VALUE(Metadata!N686))),Metadata!N686&gt;0)</f>
        <v>0</v>
      </c>
      <c r="AO686">
        <f>AND(IF(Metadata!O686="",FALSE,TRUE),exact(Metadata!O686,"kg"))</f>
        <v>0</v>
      </c>
      <c r="AP686">
        <f>OR(AND(IF(Metadata!P686="",FALSE,TRUE),exact(Metadata!P686,"not provided")),IF(Metadata!P686="",FALSE,TRUE))</f>
        <v>0</v>
      </c>
      <c r="AQ686">
        <f>OR(AND(IF(Metadata!Q686="",FALSE,TRUE),exact(Metadata!Q686,"not provided")),IF(Metadata!Q686="",FALSE,TRUE))</f>
        <v>0</v>
      </c>
    </row>
    <row r="687" spans="1:43">
      <c r="A687" s="4">
        <f>IF(B687=" "," ",HYPERLINK(CONCATENATE("#metadata!",ADDRESS(INDEX($W$2:$W$1001,MATCH(ROWS($U$2:U687),$U$2:$U$1001,0),0),2)),INDEX($Z$2:$Z$1001,MATCH(ROWS($U$2:U687),$U$2:$U$1001,0),0)))</f>
        <v>0</v>
      </c>
      <c r="B687" s="5">
        <f>IF(OR(INDEX($V$2:$V$1001,MATCH(ROWS($U$2:U687),$U$2:$U$1001,0),1)&gt;=100000,INDEX($AB$1005:$AQ$1005,1,MATCH(COLUMNS($AB$1006:AB1006),$AB$1006:$AQ$1006,0))&gt;=100000), " ",IF(INDEX($AB$2:$AQ$1001,MATCH(ROWS($U$2:U687),$U$2:$U$1001,0),MATCH(COLUMNS($AB$1006:AB1006),$AB$1006:$AQ$1006,0)), HYPERLINK("#",""), HYPERLINK(CONCATENATE("#Metadata!", ADDRESS(INDEX($W$2:$W$1001,MATCH(ROWS($U$2:U687),$U$2:$U$1001,0),0), INDEX($AB$1004:$AQ$1004,1,MATCH(COLUMNS($AB$1006:AB1006),$AB$1006:$AQ$1006,0)))),"Fix")))</f>
        <v>0</v>
      </c>
      <c r="C687" s="5">
        <f>IF(OR(INDEX($V$2:$V$1001,MATCH(ROWS($U$2:U687),$U$2:$U$1001,0),1)&gt;=100000,INDEX($AB$1005:$AQ$1005,1,MATCH(COLUMNS($AB$1006:AC1006),$AB$1006:$AQ$1006,0))&gt;=100000), " ",IF(INDEX($AB$2:$AQ$1001,MATCH(ROWS($U$2:U687),$U$2:$U$1001,0),MATCH(COLUMNS($AB$1006:AC1006),$AB$1006:$AQ$1006,0)), HYPERLINK("#",""), HYPERLINK(CONCATENATE("#Metadata!", ADDRESS(INDEX($W$2:$W$1001,MATCH(ROWS($U$2:U687),$U$2:$U$1001,0),0), INDEX($AB$1004:$AQ$1004,1,MATCH(COLUMNS($AB$1006:AC1006),$AB$1006:$AQ$1006,0)))),"Fix")))</f>
        <v>0</v>
      </c>
      <c r="D687" s="5">
        <f>IF(OR(INDEX($V$2:$V$1001,MATCH(ROWS($U$2:U687),$U$2:$U$1001,0),1)&gt;=100000,INDEX($AB$1005:$AQ$1005,1,MATCH(COLUMNS($AB$1006:AD1006),$AB$1006:$AQ$1006,0))&gt;=100000), " ",IF(INDEX($AB$2:$AQ$1001,MATCH(ROWS($U$2:U687),$U$2:$U$1001,0),MATCH(COLUMNS($AB$1006:AD1006),$AB$1006:$AQ$1006,0)), HYPERLINK("#",""), HYPERLINK(CONCATENATE("#Metadata!", ADDRESS(INDEX($W$2:$W$1001,MATCH(ROWS($U$2:U687),$U$2:$U$1001,0),0), INDEX($AB$1004:$AQ$1004,1,MATCH(COLUMNS($AB$1006:AD1006),$AB$1006:$AQ$1006,0)))),"Fix")))</f>
        <v>0</v>
      </c>
      <c r="E687" s="5">
        <f>IF(OR(INDEX($V$2:$V$1001,MATCH(ROWS($U$2:U687),$U$2:$U$1001,0),1)&gt;=100000,INDEX($AB$1005:$AQ$1005,1,MATCH(COLUMNS($AB$1006:AE1006),$AB$1006:$AQ$1006,0))&gt;=100000), " ",IF(INDEX($AB$2:$AQ$1001,MATCH(ROWS($U$2:U687),$U$2:$U$1001,0),MATCH(COLUMNS($AB$1006:AE1006),$AB$1006:$AQ$1006,0)), HYPERLINK("#",""), HYPERLINK(CONCATENATE("#Metadata!", ADDRESS(INDEX($W$2:$W$1001,MATCH(ROWS($U$2:U687),$U$2:$U$1001,0),0), INDEX($AB$1004:$AQ$1004,1,MATCH(COLUMNS($AB$1006:AE1006),$AB$1006:$AQ$1006,0)))),"Fix")))</f>
        <v>0</v>
      </c>
      <c r="F687" s="5">
        <f>IF(OR(INDEX($V$2:$V$1001,MATCH(ROWS($U$2:U687),$U$2:$U$1001,0),1)&gt;=100000,INDEX($AB$1005:$AQ$1005,1,MATCH(COLUMNS($AB$1006:AF1006),$AB$1006:$AQ$1006,0))&gt;=100000), " ",IF(INDEX($AB$2:$AQ$1001,MATCH(ROWS($U$2:U687),$U$2:$U$1001,0),MATCH(COLUMNS($AB$1006:AF1006),$AB$1006:$AQ$1006,0)), HYPERLINK("#",""), HYPERLINK(CONCATENATE("#Metadata!", ADDRESS(INDEX($W$2:$W$1001,MATCH(ROWS($U$2:U687),$U$2:$U$1001,0),0), INDEX($AB$1004:$AQ$1004,1,MATCH(COLUMNS($AB$1006:AF1006),$AB$1006:$AQ$1006,0)))),"Fix")))</f>
        <v>0</v>
      </c>
      <c r="G687" s="5">
        <f>IF(OR(INDEX($V$2:$V$1001,MATCH(ROWS($U$2:U687),$U$2:$U$1001,0),1)&gt;=100000,INDEX($AB$1005:$AQ$1005,1,MATCH(COLUMNS($AB$1006:AG1006),$AB$1006:$AQ$1006,0))&gt;=100000), " ",IF(INDEX($AB$2:$AQ$1001,MATCH(ROWS($U$2:U687),$U$2:$U$1001,0),MATCH(COLUMNS($AB$1006:AG1006),$AB$1006:$AQ$1006,0)), HYPERLINK("#",""), HYPERLINK(CONCATENATE("#Metadata!", ADDRESS(INDEX($W$2:$W$1001,MATCH(ROWS($U$2:U687),$U$2:$U$1001,0),0), INDEX($AB$1004:$AQ$1004,1,MATCH(COLUMNS($AB$1006:AG1006),$AB$1006:$AQ$1006,0)))),"Fix")))</f>
        <v>0</v>
      </c>
      <c r="H687" s="5">
        <f>IF(OR(INDEX($V$2:$V$1001,MATCH(ROWS($U$2:U687),$U$2:$U$1001,0),1)&gt;=100000,INDEX($AB$1005:$AQ$1005,1,MATCH(COLUMNS($AB$1006:AH1006),$AB$1006:$AQ$1006,0))&gt;=100000), " ",IF(INDEX($AB$2:$AQ$1001,MATCH(ROWS($U$2:U687),$U$2:$U$1001,0),MATCH(COLUMNS($AB$1006:AH1006),$AB$1006:$AQ$1006,0)), HYPERLINK("#",""), HYPERLINK(CONCATENATE("#Metadata!", ADDRESS(INDEX($W$2:$W$1001,MATCH(ROWS($U$2:U687),$U$2:$U$1001,0),0), INDEX($AB$1004:$AQ$1004,1,MATCH(COLUMNS($AB$1006:AH1006),$AB$1006:$AQ$1006,0)))),"Fix")))</f>
        <v>0</v>
      </c>
      <c r="I687" s="5">
        <f>IF(OR(INDEX($V$2:$V$1001,MATCH(ROWS($U$2:U687),$U$2:$U$1001,0),1)&gt;=100000,INDEX($AB$1005:$AQ$1005,1,MATCH(COLUMNS($AB$1006:AI1006),$AB$1006:$AQ$1006,0))&gt;=100000), " ",IF(INDEX($AB$2:$AQ$1001,MATCH(ROWS($U$2:U687),$U$2:$U$1001,0),MATCH(COLUMNS($AB$1006:AI1006),$AB$1006:$AQ$1006,0)), HYPERLINK("#",""), HYPERLINK(CONCATENATE("#Metadata!", ADDRESS(INDEX($W$2:$W$1001,MATCH(ROWS($U$2:U687),$U$2:$U$1001,0),0), INDEX($AB$1004:$AQ$1004,1,MATCH(COLUMNS($AB$1006:AI1006),$AB$1006:$AQ$1006,0)))),"Fix")))</f>
        <v>0</v>
      </c>
      <c r="J687" s="5">
        <f>IF(OR(INDEX($V$2:$V$1001,MATCH(ROWS($U$2:U687),$U$2:$U$1001,0),1)&gt;=100000,INDEX($AB$1005:$AQ$1005,1,MATCH(COLUMNS($AB$1006:AJ1006),$AB$1006:$AQ$1006,0))&gt;=100000), " ",IF(INDEX($AB$2:$AQ$1001,MATCH(ROWS($U$2:U687),$U$2:$U$1001,0),MATCH(COLUMNS($AB$1006:AJ1006),$AB$1006:$AQ$1006,0)), HYPERLINK("#",""), HYPERLINK(CONCATENATE("#Metadata!", ADDRESS(INDEX($W$2:$W$1001,MATCH(ROWS($U$2:U687),$U$2:$U$1001,0),0), INDEX($AB$1004:$AQ$1004,1,MATCH(COLUMNS($AB$1006:AJ1006),$AB$1006:$AQ$1006,0)))),"Fix")))</f>
        <v>0</v>
      </c>
      <c r="K687" s="5">
        <f>IF(OR(INDEX($V$2:$V$1001,MATCH(ROWS($U$2:U687),$U$2:$U$1001,0),1)&gt;=100000,INDEX($AB$1005:$AQ$1005,1,MATCH(COLUMNS($AB$1006:AK1006),$AB$1006:$AQ$1006,0))&gt;=100000), " ",IF(INDEX($AB$2:$AQ$1001,MATCH(ROWS($U$2:U687),$U$2:$U$1001,0),MATCH(COLUMNS($AB$1006:AK1006),$AB$1006:$AQ$1006,0)), HYPERLINK("#",""), HYPERLINK(CONCATENATE("#Metadata!", ADDRESS(INDEX($W$2:$W$1001,MATCH(ROWS($U$2:U687),$U$2:$U$1001,0),0), INDEX($AB$1004:$AQ$1004,1,MATCH(COLUMNS($AB$1006:AK1006),$AB$1006:$AQ$1006,0)))),"Fix")))</f>
        <v>0</v>
      </c>
      <c r="L687" s="5">
        <f>IF(OR(INDEX($V$2:$V$1001,MATCH(ROWS($U$2:U687),$U$2:$U$1001,0),1)&gt;=100000,INDEX($AB$1005:$AQ$1005,1,MATCH(COLUMNS($AB$1006:AL1006),$AB$1006:$AQ$1006,0))&gt;=100000), " ",IF(INDEX($AB$2:$AQ$1001,MATCH(ROWS($U$2:U687),$U$2:$U$1001,0),MATCH(COLUMNS($AB$1006:AL1006),$AB$1006:$AQ$1006,0)), HYPERLINK("#",""), HYPERLINK(CONCATENATE("#Metadata!", ADDRESS(INDEX($W$2:$W$1001,MATCH(ROWS($U$2:U687),$U$2:$U$1001,0),0), INDEX($AB$1004:$AQ$1004,1,MATCH(COLUMNS($AB$1006:AL1006),$AB$1006:$AQ$1006,0)))),"Fix")))</f>
        <v>0</v>
      </c>
      <c r="M687" s="5">
        <f>IF(OR(INDEX($V$2:$V$1001,MATCH(ROWS($U$2:U687),$U$2:$U$1001,0),1)&gt;=100000,INDEX($AB$1005:$AQ$1005,1,MATCH(COLUMNS($AB$1006:AM1006),$AB$1006:$AQ$1006,0))&gt;=100000), " ",IF(INDEX($AB$2:$AQ$1001,MATCH(ROWS($U$2:U687),$U$2:$U$1001,0),MATCH(COLUMNS($AB$1006:AM1006),$AB$1006:$AQ$1006,0)), HYPERLINK("#",""), HYPERLINK(CONCATENATE("#Metadata!", ADDRESS(INDEX($W$2:$W$1001,MATCH(ROWS($U$2:U687),$U$2:$U$1001,0),0), INDEX($AB$1004:$AQ$1004,1,MATCH(COLUMNS($AB$1006:AM1006),$AB$1006:$AQ$1006,0)))),"Fix")))</f>
        <v>0</v>
      </c>
      <c r="N687" s="5">
        <f>IF(OR(INDEX($V$2:$V$1001,MATCH(ROWS($U$2:U687),$U$2:$U$1001,0),1)&gt;=100000,INDEX($AB$1005:$AQ$1005,1,MATCH(COLUMNS($AB$1006:AN1006),$AB$1006:$AQ$1006,0))&gt;=100000), " ",IF(INDEX($AB$2:$AQ$1001,MATCH(ROWS($U$2:U687),$U$2:$U$1001,0),MATCH(COLUMNS($AB$1006:AN1006),$AB$1006:$AQ$1006,0)), HYPERLINK("#",""), HYPERLINK(CONCATENATE("#Metadata!", ADDRESS(INDEX($W$2:$W$1001,MATCH(ROWS($U$2:U687),$U$2:$U$1001,0),0), INDEX($AB$1004:$AQ$1004,1,MATCH(COLUMNS($AB$1006:AN1006),$AB$1006:$AQ$1006,0)))),"Fix")))</f>
        <v>0</v>
      </c>
      <c r="O687" s="5">
        <f>IF(OR(INDEX($V$2:$V$1001,MATCH(ROWS($U$2:U687),$U$2:$U$1001,0),1)&gt;=100000,INDEX($AB$1005:$AQ$1005,1,MATCH(COLUMNS($AB$1006:AO1006),$AB$1006:$AQ$1006,0))&gt;=100000), " ",IF(INDEX($AB$2:$AQ$1001,MATCH(ROWS($U$2:U687),$U$2:$U$1001,0),MATCH(COLUMNS($AB$1006:AO1006),$AB$1006:$AQ$1006,0)), HYPERLINK("#",""), HYPERLINK(CONCATENATE("#Metadata!", ADDRESS(INDEX($W$2:$W$1001,MATCH(ROWS($U$2:U687),$U$2:$U$1001,0),0), INDEX($AB$1004:$AQ$1004,1,MATCH(COLUMNS($AB$1006:AO1006),$AB$1006:$AQ$1006,0)))),"Fix")))</f>
        <v>0</v>
      </c>
      <c r="P687" s="5">
        <f>IF(OR(INDEX($V$2:$V$1001,MATCH(ROWS($U$2:U687),$U$2:$U$1001,0),1)&gt;=100000,INDEX($AB$1005:$AQ$1005,1,MATCH(COLUMNS($AB$1006:AP1006),$AB$1006:$AQ$1006,0))&gt;=100000), " ",IF(INDEX($AB$2:$AQ$1001,MATCH(ROWS($U$2:U687),$U$2:$U$1001,0),MATCH(COLUMNS($AB$1006:AP1006),$AB$1006:$AQ$1006,0)), HYPERLINK("#",""), HYPERLINK(CONCATENATE("#Metadata!", ADDRESS(INDEX($W$2:$W$1001,MATCH(ROWS($U$2:U687),$U$2:$U$1001,0),0), INDEX($AB$1004:$AQ$1004,1,MATCH(COLUMNS($AB$1006:AP1006),$AB$1006:$AQ$1006,0)))),"Fix")))</f>
        <v>0</v>
      </c>
      <c r="Q687" s="5">
        <f>IF(OR(INDEX($V$2:$V$1001,MATCH(ROWS($U$2:U687),$U$2:$U$1001,0),1)&gt;=100000,INDEX($AB$1005:$AQ$1005,1,MATCH(COLUMNS($AB$1006:AQ1006),$AB$1006:$AQ$1006,0))&gt;=100000), " ",IF(INDEX($AB$2:$AQ$1001,MATCH(ROWS($U$2:U687),$U$2:$U$1001,0),MATCH(COLUMNS($AB$1006:AQ1006),$AB$1006:$AQ$1006,0)), HYPERLINK("#",""), HYPERLINK(CONCATENATE("#Metadata!", ADDRESS(INDEX($W$2:$W$1001,MATCH(ROWS($U$2:U687),$U$2:$U$1001,0),0), INDEX($AB$1004:$AQ$1004,1,MATCH(COLUMNS($AB$1006:AQ1006),$AB$1006:$AQ$1006,0)))),"Fix")))</f>
        <v>0</v>
      </c>
      <c r="U687">
        <v>0</v>
      </c>
      <c r="V687">
        <v>0</v>
      </c>
      <c r="W687">
        <v>0</v>
      </c>
      <c r="X687">
        <f>IF(Y687,TRUE,AND(AB687:AQ687))</f>
        <v>0</v>
      </c>
      <c r="Y687">
        <f>COUNTBLANK(Metadata!B687:Q687)=COLUMNS(Metadata!B687:Q687)</f>
        <v>0</v>
      </c>
      <c r="Z687">
        <v>0</v>
      </c>
      <c r="AB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AC687">
        <f>AND(IF(Metadata!C687="",FALSE,TRUE),exact(Metadata!C687,"urban biome"))</f>
        <v>0</v>
      </c>
      <c r="AD687">
        <f>AND(IF(Metadata!D687="",FALSE,TRUE),exact(Metadata!D687,"human-associated habitat"))</f>
        <v>0</v>
      </c>
      <c r="AE687">
        <f>AND(IF(Metadata!E687="",FALSE,TRUE),OR(exact(Metadata!E687,"human-associated"),exact(Metadata!E687,"human-skin"),exact(Metadata!E687,"human-oral"),exact(Metadata!E687,"human-gut"),exact(Metadata!E687,"human-vaginal")))</f>
        <v>0</v>
      </c>
      <c r="AF687">
        <f>AND(IF(Metadata!F687="",FALSE,ISNUMBER(VALUE(Metadata!F687))),Metadata!F687&gt;0)</f>
        <v>0</v>
      </c>
      <c r="AG687">
        <f>AND(IF(Metadata!G687="",FALSE,TRUE),exact(Metadata!G687,"years"))</f>
        <v>0</v>
      </c>
      <c r="AH687">
        <f>OR(AND(IF(Metadata!H687="",FALSE,TRUE),OR(exact(Metadata!H687,"not applicable"),exact(Metadata!H687,"not collected"),exact(Metadata!H687,"not provided"),exact(Metadata!H687,"restricted access"))),AND(IF(Metadata!H687="",FALSE,ISNUMBER(VALUE(Metadata!H687))),Metadata!H687&gt;0))</f>
        <v>0</v>
      </c>
      <c r="AI687">
        <f>AND(IF(Metadata!I687="",FALSE,TRUE),exact(Metadata!I687,"human"))</f>
        <v>0</v>
      </c>
      <c r="AJ687">
        <f>AND(IF(Metadata!J687="",FALSE,ISNUMBER(VALUE(Metadata!J687))),Metadata!J687&gt;0)</f>
        <v>0</v>
      </c>
      <c r="AK687">
        <f>AND(IF(Metadata!K687="",FALSE,TRUE),exact(Metadata!K687,"cm"))</f>
        <v>0</v>
      </c>
      <c r="AL687">
        <f>AND(IF(Metadata!L687="",FALSE,TRUE),exact(Metadata!L687,"Homo sapiens"))</f>
        <v>0</v>
      </c>
      <c r="AM687">
        <f>AND(IF(Metadata!M687="",FALSE,TRUE),exact(Metadata!M687,"9606"))</f>
        <v>0</v>
      </c>
      <c r="AN687">
        <f>AND(IF(Metadata!N687="",FALSE,ISNUMBER(VALUE(Metadata!N687))),Metadata!N687&gt;0)</f>
        <v>0</v>
      </c>
      <c r="AO687">
        <f>AND(IF(Metadata!O687="",FALSE,TRUE),exact(Metadata!O687,"kg"))</f>
        <v>0</v>
      </c>
      <c r="AP687">
        <f>OR(AND(IF(Metadata!P687="",FALSE,TRUE),exact(Metadata!P687,"not provided")),IF(Metadata!P687="",FALSE,TRUE))</f>
        <v>0</v>
      </c>
      <c r="AQ687">
        <f>OR(AND(IF(Metadata!Q687="",FALSE,TRUE),exact(Metadata!Q687,"not provided")),IF(Metadata!Q687="",FALSE,TRUE))</f>
        <v>0</v>
      </c>
    </row>
    <row r="688" spans="1:43">
      <c r="A688" s="4">
        <f>IF(B688=" "," ",HYPERLINK(CONCATENATE("#metadata!",ADDRESS(INDEX($W$2:$W$1001,MATCH(ROWS($U$2:U688),$U$2:$U$1001,0),0),2)),INDEX($Z$2:$Z$1001,MATCH(ROWS($U$2:U688),$U$2:$U$1001,0),0)))</f>
        <v>0</v>
      </c>
      <c r="B688" s="5">
        <f>IF(OR(INDEX($V$2:$V$1001,MATCH(ROWS($U$2:U688),$U$2:$U$1001,0),1)&gt;=100000,INDEX($AB$1005:$AQ$1005,1,MATCH(COLUMNS($AB$1006:AB1006),$AB$1006:$AQ$1006,0))&gt;=100000), " ",IF(INDEX($AB$2:$AQ$1001,MATCH(ROWS($U$2:U688),$U$2:$U$1001,0),MATCH(COLUMNS($AB$1006:AB1006),$AB$1006:$AQ$1006,0)), HYPERLINK("#",""), HYPERLINK(CONCATENATE("#Metadata!", ADDRESS(INDEX($W$2:$W$1001,MATCH(ROWS($U$2:U688),$U$2:$U$1001,0),0), INDEX($AB$1004:$AQ$1004,1,MATCH(COLUMNS($AB$1006:AB1006),$AB$1006:$AQ$1006,0)))),"Fix")))</f>
        <v>0</v>
      </c>
      <c r="C688" s="5">
        <f>IF(OR(INDEX($V$2:$V$1001,MATCH(ROWS($U$2:U688),$U$2:$U$1001,0),1)&gt;=100000,INDEX($AB$1005:$AQ$1005,1,MATCH(COLUMNS($AB$1006:AC1006),$AB$1006:$AQ$1006,0))&gt;=100000), " ",IF(INDEX($AB$2:$AQ$1001,MATCH(ROWS($U$2:U688),$U$2:$U$1001,0),MATCH(COLUMNS($AB$1006:AC1006),$AB$1006:$AQ$1006,0)), HYPERLINK("#",""), HYPERLINK(CONCATENATE("#Metadata!", ADDRESS(INDEX($W$2:$W$1001,MATCH(ROWS($U$2:U688),$U$2:$U$1001,0),0), INDEX($AB$1004:$AQ$1004,1,MATCH(COLUMNS($AB$1006:AC1006),$AB$1006:$AQ$1006,0)))),"Fix")))</f>
        <v>0</v>
      </c>
      <c r="D688" s="5">
        <f>IF(OR(INDEX($V$2:$V$1001,MATCH(ROWS($U$2:U688),$U$2:$U$1001,0),1)&gt;=100000,INDEX($AB$1005:$AQ$1005,1,MATCH(COLUMNS($AB$1006:AD1006),$AB$1006:$AQ$1006,0))&gt;=100000), " ",IF(INDEX($AB$2:$AQ$1001,MATCH(ROWS($U$2:U688),$U$2:$U$1001,0),MATCH(COLUMNS($AB$1006:AD1006),$AB$1006:$AQ$1006,0)), HYPERLINK("#",""), HYPERLINK(CONCATENATE("#Metadata!", ADDRESS(INDEX($W$2:$W$1001,MATCH(ROWS($U$2:U688),$U$2:$U$1001,0),0), INDEX($AB$1004:$AQ$1004,1,MATCH(COLUMNS($AB$1006:AD1006),$AB$1006:$AQ$1006,0)))),"Fix")))</f>
        <v>0</v>
      </c>
      <c r="E688" s="5">
        <f>IF(OR(INDEX($V$2:$V$1001,MATCH(ROWS($U$2:U688),$U$2:$U$1001,0),1)&gt;=100000,INDEX($AB$1005:$AQ$1005,1,MATCH(COLUMNS($AB$1006:AE1006),$AB$1006:$AQ$1006,0))&gt;=100000), " ",IF(INDEX($AB$2:$AQ$1001,MATCH(ROWS($U$2:U688),$U$2:$U$1001,0),MATCH(COLUMNS($AB$1006:AE1006),$AB$1006:$AQ$1006,0)), HYPERLINK("#",""), HYPERLINK(CONCATENATE("#Metadata!", ADDRESS(INDEX($W$2:$W$1001,MATCH(ROWS($U$2:U688),$U$2:$U$1001,0),0), INDEX($AB$1004:$AQ$1004,1,MATCH(COLUMNS($AB$1006:AE1006),$AB$1006:$AQ$1006,0)))),"Fix")))</f>
        <v>0</v>
      </c>
      <c r="F688" s="5">
        <f>IF(OR(INDEX($V$2:$V$1001,MATCH(ROWS($U$2:U688),$U$2:$U$1001,0),1)&gt;=100000,INDEX($AB$1005:$AQ$1005,1,MATCH(COLUMNS($AB$1006:AF1006),$AB$1006:$AQ$1006,0))&gt;=100000), " ",IF(INDEX($AB$2:$AQ$1001,MATCH(ROWS($U$2:U688),$U$2:$U$1001,0),MATCH(COLUMNS($AB$1006:AF1006),$AB$1006:$AQ$1006,0)), HYPERLINK("#",""), HYPERLINK(CONCATENATE("#Metadata!", ADDRESS(INDEX($W$2:$W$1001,MATCH(ROWS($U$2:U688),$U$2:$U$1001,0),0), INDEX($AB$1004:$AQ$1004,1,MATCH(COLUMNS($AB$1006:AF1006),$AB$1006:$AQ$1006,0)))),"Fix")))</f>
        <v>0</v>
      </c>
      <c r="G688" s="5">
        <f>IF(OR(INDEX($V$2:$V$1001,MATCH(ROWS($U$2:U688),$U$2:$U$1001,0),1)&gt;=100000,INDEX($AB$1005:$AQ$1005,1,MATCH(COLUMNS($AB$1006:AG1006),$AB$1006:$AQ$1006,0))&gt;=100000), " ",IF(INDEX($AB$2:$AQ$1001,MATCH(ROWS($U$2:U688),$U$2:$U$1001,0),MATCH(COLUMNS($AB$1006:AG1006),$AB$1006:$AQ$1006,0)), HYPERLINK("#",""), HYPERLINK(CONCATENATE("#Metadata!", ADDRESS(INDEX($W$2:$W$1001,MATCH(ROWS($U$2:U688),$U$2:$U$1001,0),0), INDEX($AB$1004:$AQ$1004,1,MATCH(COLUMNS($AB$1006:AG1006),$AB$1006:$AQ$1006,0)))),"Fix")))</f>
        <v>0</v>
      </c>
      <c r="H688" s="5">
        <f>IF(OR(INDEX($V$2:$V$1001,MATCH(ROWS($U$2:U688),$U$2:$U$1001,0),1)&gt;=100000,INDEX($AB$1005:$AQ$1005,1,MATCH(COLUMNS($AB$1006:AH1006),$AB$1006:$AQ$1006,0))&gt;=100000), " ",IF(INDEX($AB$2:$AQ$1001,MATCH(ROWS($U$2:U688),$U$2:$U$1001,0),MATCH(COLUMNS($AB$1006:AH1006),$AB$1006:$AQ$1006,0)), HYPERLINK("#",""), HYPERLINK(CONCATENATE("#Metadata!", ADDRESS(INDEX($W$2:$W$1001,MATCH(ROWS($U$2:U688),$U$2:$U$1001,0),0), INDEX($AB$1004:$AQ$1004,1,MATCH(COLUMNS($AB$1006:AH1006),$AB$1006:$AQ$1006,0)))),"Fix")))</f>
        <v>0</v>
      </c>
      <c r="I688" s="5">
        <f>IF(OR(INDEX($V$2:$V$1001,MATCH(ROWS($U$2:U688),$U$2:$U$1001,0),1)&gt;=100000,INDEX($AB$1005:$AQ$1005,1,MATCH(COLUMNS($AB$1006:AI1006),$AB$1006:$AQ$1006,0))&gt;=100000), " ",IF(INDEX($AB$2:$AQ$1001,MATCH(ROWS($U$2:U688),$U$2:$U$1001,0),MATCH(COLUMNS($AB$1006:AI1006),$AB$1006:$AQ$1006,0)), HYPERLINK("#",""), HYPERLINK(CONCATENATE("#Metadata!", ADDRESS(INDEX($W$2:$W$1001,MATCH(ROWS($U$2:U688),$U$2:$U$1001,0),0), INDEX($AB$1004:$AQ$1004,1,MATCH(COLUMNS($AB$1006:AI1006),$AB$1006:$AQ$1006,0)))),"Fix")))</f>
        <v>0</v>
      </c>
      <c r="J688" s="5">
        <f>IF(OR(INDEX($V$2:$V$1001,MATCH(ROWS($U$2:U688),$U$2:$U$1001,0),1)&gt;=100000,INDEX($AB$1005:$AQ$1005,1,MATCH(COLUMNS($AB$1006:AJ1006),$AB$1006:$AQ$1006,0))&gt;=100000), " ",IF(INDEX($AB$2:$AQ$1001,MATCH(ROWS($U$2:U688),$U$2:$U$1001,0),MATCH(COLUMNS($AB$1006:AJ1006),$AB$1006:$AQ$1006,0)), HYPERLINK("#",""), HYPERLINK(CONCATENATE("#Metadata!", ADDRESS(INDEX($W$2:$W$1001,MATCH(ROWS($U$2:U688),$U$2:$U$1001,0),0), INDEX($AB$1004:$AQ$1004,1,MATCH(COLUMNS($AB$1006:AJ1006),$AB$1006:$AQ$1006,0)))),"Fix")))</f>
        <v>0</v>
      </c>
      <c r="K688" s="5">
        <f>IF(OR(INDEX($V$2:$V$1001,MATCH(ROWS($U$2:U688),$U$2:$U$1001,0),1)&gt;=100000,INDEX($AB$1005:$AQ$1005,1,MATCH(COLUMNS($AB$1006:AK1006),$AB$1006:$AQ$1006,0))&gt;=100000), " ",IF(INDEX($AB$2:$AQ$1001,MATCH(ROWS($U$2:U688),$U$2:$U$1001,0),MATCH(COLUMNS($AB$1006:AK1006),$AB$1006:$AQ$1006,0)), HYPERLINK("#",""), HYPERLINK(CONCATENATE("#Metadata!", ADDRESS(INDEX($W$2:$W$1001,MATCH(ROWS($U$2:U688),$U$2:$U$1001,0),0), INDEX($AB$1004:$AQ$1004,1,MATCH(COLUMNS($AB$1006:AK1006),$AB$1006:$AQ$1006,0)))),"Fix")))</f>
        <v>0</v>
      </c>
      <c r="L688" s="5">
        <f>IF(OR(INDEX($V$2:$V$1001,MATCH(ROWS($U$2:U688),$U$2:$U$1001,0),1)&gt;=100000,INDEX($AB$1005:$AQ$1005,1,MATCH(COLUMNS($AB$1006:AL1006),$AB$1006:$AQ$1006,0))&gt;=100000), " ",IF(INDEX($AB$2:$AQ$1001,MATCH(ROWS($U$2:U688),$U$2:$U$1001,0),MATCH(COLUMNS($AB$1006:AL1006),$AB$1006:$AQ$1006,0)), HYPERLINK("#",""), HYPERLINK(CONCATENATE("#Metadata!", ADDRESS(INDEX($W$2:$W$1001,MATCH(ROWS($U$2:U688),$U$2:$U$1001,0),0), INDEX($AB$1004:$AQ$1004,1,MATCH(COLUMNS($AB$1006:AL1006),$AB$1006:$AQ$1006,0)))),"Fix")))</f>
        <v>0</v>
      </c>
      <c r="M688" s="5">
        <f>IF(OR(INDEX($V$2:$V$1001,MATCH(ROWS($U$2:U688),$U$2:$U$1001,0),1)&gt;=100000,INDEX($AB$1005:$AQ$1005,1,MATCH(COLUMNS($AB$1006:AM1006),$AB$1006:$AQ$1006,0))&gt;=100000), " ",IF(INDEX($AB$2:$AQ$1001,MATCH(ROWS($U$2:U688),$U$2:$U$1001,0),MATCH(COLUMNS($AB$1006:AM1006),$AB$1006:$AQ$1006,0)), HYPERLINK("#",""), HYPERLINK(CONCATENATE("#Metadata!", ADDRESS(INDEX($W$2:$W$1001,MATCH(ROWS($U$2:U688),$U$2:$U$1001,0),0), INDEX($AB$1004:$AQ$1004,1,MATCH(COLUMNS($AB$1006:AM1006),$AB$1006:$AQ$1006,0)))),"Fix")))</f>
        <v>0</v>
      </c>
      <c r="N688" s="5">
        <f>IF(OR(INDEX($V$2:$V$1001,MATCH(ROWS($U$2:U688),$U$2:$U$1001,0),1)&gt;=100000,INDEX($AB$1005:$AQ$1005,1,MATCH(COLUMNS($AB$1006:AN1006),$AB$1006:$AQ$1006,0))&gt;=100000), " ",IF(INDEX($AB$2:$AQ$1001,MATCH(ROWS($U$2:U688),$U$2:$U$1001,0),MATCH(COLUMNS($AB$1006:AN1006),$AB$1006:$AQ$1006,0)), HYPERLINK("#",""), HYPERLINK(CONCATENATE("#Metadata!", ADDRESS(INDEX($W$2:$W$1001,MATCH(ROWS($U$2:U688),$U$2:$U$1001,0),0), INDEX($AB$1004:$AQ$1004,1,MATCH(COLUMNS($AB$1006:AN1006),$AB$1006:$AQ$1006,0)))),"Fix")))</f>
        <v>0</v>
      </c>
      <c r="O688" s="5">
        <f>IF(OR(INDEX($V$2:$V$1001,MATCH(ROWS($U$2:U688),$U$2:$U$1001,0),1)&gt;=100000,INDEX($AB$1005:$AQ$1005,1,MATCH(COLUMNS($AB$1006:AO1006),$AB$1006:$AQ$1006,0))&gt;=100000), " ",IF(INDEX($AB$2:$AQ$1001,MATCH(ROWS($U$2:U688),$U$2:$U$1001,0),MATCH(COLUMNS($AB$1006:AO1006),$AB$1006:$AQ$1006,0)), HYPERLINK("#",""), HYPERLINK(CONCATENATE("#Metadata!", ADDRESS(INDEX($W$2:$W$1001,MATCH(ROWS($U$2:U688),$U$2:$U$1001,0),0), INDEX($AB$1004:$AQ$1004,1,MATCH(COLUMNS($AB$1006:AO1006),$AB$1006:$AQ$1006,0)))),"Fix")))</f>
        <v>0</v>
      </c>
      <c r="P688" s="5">
        <f>IF(OR(INDEX($V$2:$V$1001,MATCH(ROWS($U$2:U688),$U$2:$U$1001,0),1)&gt;=100000,INDEX($AB$1005:$AQ$1005,1,MATCH(COLUMNS($AB$1006:AP1006),$AB$1006:$AQ$1006,0))&gt;=100000), " ",IF(INDEX($AB$2:$AQ$1001,MATCH(ROWS($U$2:U688),$U$2:$U$1001,0),MATCH(COLUMNS($AB$1006:AP1006),$AB$1006:$AQ$1006,0)), HYPERLINK("#",""), HYPERLINK(CONCATENATE("#Metadata!", ADDRESS(INDEX($W$2:$W$1001,MATCH(ROWS($U$2:U688),$U$2:$U$1001,0),0), INDEX($AB$1004:$AQ$1004,1,MATCH(COLUMNS($AB$1006:AP1006),$AB$1006:$AQ$1006,0)))),"Fix")))</f>
        <v>0</v>
      </c>
      <c r="Q688" s="5">
        <f>IF(OR(INDEX($V$2:$V$1001,MATCH(ROWS($U$2:U688),$U$2:$U$1001,0),1)&gt;=100000,INDEX($AB$1005:$AQ$1005,1,MATCH(COLUMNS($AB$1006:AQ1006),$AB$1006:$AQ$1006,0))&gt;=100000), " ",IF(INDEX($AB$2:$AQ$1001,MATCH(ROWS($U$2:U688),$U$2:$U$1001,0),MATCH(COLUMNS($AB$1006:AQ1006),$AB$1006:$AQ$1006,0)), HYPERLINK("#",""), HYPERLINK(CONCATENATE("#Metadata!", ADDRESS(INDEX($W$2:$W$1001,MATCH(ROWS($U$2:U688),$U$2:$U$1001,0),0), INDEX($AB$1004:$AQ$1004,1,MATCH(COLUMNS($AB$1006:AQ1006),$AB$1006:$AQ$1006,0)))),"Fix")))</f>
        <v>0</v>
      </c>
      <c r="U688">
        <v>0</v>
      </c>
      <c r="V688">
        <v>0</v>
      </c>
      <c r="W688">
        <v>0</v>
      </c>
      <c r="X688">
        <f>IF(Y688,TRUE,AND(AB688:AQ688))</f>
        <v>0</v>
      </c>
      <c r="Y688">
        <f>COUNTBLANK(Metadata!B688:Q688)=COLUMNS(Metadata!B688:Q688)</f>
        <v>0</v>
      </c>
      <c r="Z688">
        <v>0</v>
      </c>
      <c r="AB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AC688">
        <f>AND(IF(Metadata!C688="",FALSE,TRUE),exact(Metadata!C688,"urban biome"))</f>
        <v>0</v>
      </c>
      <c r="AD688">
        <f>AND(IF(Metadata!D688="",FALSE,TRUE),exact(Metadata!D688,"human-associated habitat"))</f>
        <v>0</v>
      </c>
      <c r="AE688">
        <f>AND(IF(Metadata!E688="",FALSE,TRUE),OR(exact(Metadata!E688,"human-associated"),exact(Metadata!E688,"human-skin"),exact(Metadata!E688,"human-oral"),exact(Metadata!E688,"human-gut"),exact(Metadata!E688,"human-vaginal")))</f>
        <v>0</v>
      </c>
      <c r="AF688">
        <f>AND(IF(Metadata!F688="",FALSE,ISNUMBER(VALUE(Metadata!F688))),Metadata!F688&gt;0)</f>
        <v>0</v>
      </c>
      <c r="AG688">
        <f>AND(IF(Metadata!G688="",FALSE,TRUE),exact(Metadata!G688,"years"))</f>
        <v>0</v>
      </c>
      <c r="AH688">
        <f>OR(AND(IF(Metadata!H688="",FALSE,TRUE),OR(exact(Metadata!H688,"not applicable"),exact(Metadata!H688,"not collected"),exact(Metadata!H688,"not provided"),exact(Metadata!H688,"restricted access"))),AND(IF(Metadata!H688="",FALSE,ISNUMBER(VALUE(Metadata!H688))),Metadata!H688&gt;0))</f>
        <v>0</v>
      </c>
      <c r="AI688">
        <f>AND(IF(Metadata!I688="",FALSE,TRUE),exact(Metadata!I688,"human"))</f>
        <v>0</v>
      </c>
      <c r="AJ688">
        <f>AND(IF(Metadata!J688="",FALSE,ISNUMBER(VALUE(Metadata!J688))),Metadata!J688&gt;0)</f>
        <v>0</v>
      </c>
      <c r="AK688">
        <f>AND(IF(Metadata!K688="",FALSE,TRUE),exact(Metadata!K688,"cm"))</f>
        <v>0</v>
      </c>
      <c r="AL688">
        <f>AND(IF(Metadata!L688="",FALSE,TRUE),exact(Metadata!L688,"Homo sapiens"))</f>
        <v>0</v>
      </c>
      <c r="AM688">
        <f>AND(IF(Metadata!M688="",FALSE,TRUE),exact(Metadata!M688,"9606"))</f>
        <v>0</v>
      </c>
      <c r="AN688">
        <f>AND(IF(Metadata!N688="",FALSE,ISNUMBER(VALUE(Metadata!N688))),Metadata!N688&gt;0)</f>
        <v>0</v>
      </c>
      <c r="AO688">
        <f>AND(IF(Metadata!O688="",FALSE,TRUE),exact(Metadata!O688,"kg"))</f>
        <v>0</v>
      </c>
      <c r="AP688">
        <f>OR(AND(IF(Metadata!P688="",FALSE,TRUE),exact(Metadata!P688,"not provided")),IF(Metadata!P688="",FALSE,TRUE))</f>
        <v>0</v>
      </c>
      <c r="AQ688">
        <f>OR(AND(IF(Metadata!Q688="",FALSE,TRUE),exact(Metadata!Q688,"not provided")),IF(Metadata!Q688="",FALSE,TRUE))</f>
        <v>0</v>
      </c>
    </row>
    <row r="689" spans="1:43">
      <c r="A689" s="4">
        <f>IF(B689=" "," ",HYPERLINK(CONCATENATE("#metadata!",ADDRESS(INDEX($W$2:$W$1001,MATCH(ROWS($U$2:U689),$U$2:$U$1001,0),0),2)),INDEX($Z$2:$Z$1001,MATCH(ROWS($U$2:U689),$U$2:$U$1001,0),0)))</f>
        <v>0</v>
      </c>
      <c r="B689" s="5">
        <f>IF(OR(INDEX($V$2:$V$1001,MATCH(ROWS($U$2:U689),$U$2:$U$1001,0),1)&gt;=100000,INDEX($AB$1005:$AQ$1005,1,MATCH(COLUMNS($AB$1006:AB1006),$AB$1006:$AQ$1006,0))&gt;=100000), " ",IF(INDEX($AB$2:$AQ$1001,MATCH(ROWS($U$2:U689),$U$2:$U$1001,0),MATCH(COLUMNS($AB$1006:AB1006),$AB$1006:$AQ$1006,0)), HYPERLINK("#",""), HYPERLINK(CONCATENATE("#Metadata!", ADDRESS(INDEX($W$2:$W$1001,MATCH(ROWS($U$2:U689),$U$2:$U$1001,0),0), INDEX($AB$1004:$AQ$1004,1,MATCH(COLUMNS($AB$1006:AB1006),$AB$1006:$AQ$1006,0)))),"Fix")))</f>
        <v>0</v>
      </c>
      <c r="C689" s="5">
        <f>IF(OR(INDEX($V$2:$V$1001,MATCH(ROWS($U$2:U689),$U$2:$U$1001,0),1)&gt;=100000,INDEX($AB$1005:$AQ$1005,1,MATCH(COLUMNS($AB$1006:AC1006),$AB$1006:$AQ$1006,0))&gt;=100000), " ",IF(INDEX($AB$2:$AQ$1001,MATCH(ROWS($U$2:U689),$U$2:$U$1001,0),MATCH(COLUMNS($AB$1006:AC1006),$AB$1006:$AQ$1006,0)), HYPERLINK("#",""), HYPERLINK(CONCATENATE("#Metadata!", ADDRESS(INDEX($W$2:$W$1001,MATCH(ROWS($U$2:U689),$U$2:$U$1001,0),0), INDEX($AB$1004:$AQ$1004,1,MATCH(COLUMNS($AB$1006:AC1006),$AB$1006:$AQ$1006,0)))),"Fix")))</f>
        <v>0</v>
      </c>
      <c r="D689" s="5">
        <f>IF(OR(INDEX($V$2:$V$1001,MATCH(ROWS($U$2:U689),$U$2:$U$1001,0),1)&gt;=100000,INDEX($AB$1005:$AQ$1005,1,MATCH(COLUMNS($AB$1006:AD1006),$AB$1006:$AQ$1006,0))&gt;=100000), " ",IF(INDEX($AB$2:$AQ$1001,MATCH(ROWS($U$2:U689),$U$2:$U$1001,0),MATCH(COLUMNS($AB$1006:AD1006),$AB$1006:$AQ$1006,0)), HYPERLINK("#",""), HYPERLINK(CONCATENATE("#Metadata!", ADDRESS(INDEX($W$2:$W$1001,MATCH(ROWS($U$2:U689),$U$2:$U$1001,0),0), INDEX($AB$1004:$AQ$1004,1,MATCH(COLUMNS($AB$1006:AD1006),$AB$1006:$AQ$1006,0)))),"Fix")))</f>
        <v>0</v>
      </c>
      <c r="E689" s="5">
        <f>IF(OR(INDEX($V$2:$V$1001,MATCH(ROWS($U$2:U689),$U$2:$U$1001,0),1)&gt;=100000,INDEX($AB$1005:$AQ$1005,1,MATCH(COLUMNS($AB$1006:AE1006),$AB$1006:$AQ$1006,0))&gt;=100000), " ",IF(INDEX($AB$2:$AQ$1001,MATCH(ROWS($U$2:U689),$U$2:$U$1001,0),MATCH(COLUMNS($AB$1006:AE1006),$AB$1006:$AQ$1006,0)), HYPERLINK("#",""), HYPERLINK(CONCATENATE("#Metadata!", ADDRESS(INDEX($W$2:$W$1001,MATCH(ROWS($U$2:U689),$U$2:$U$1001,0),0), INDEX($AB$1004:$AQ$1004,1,MATCH(COLUMNS($AB$1006:AE1006),$AB$1006:$AQ$1006,0)))),"Fix")))</f>
        <v>0</v>
      </c>
      <c r="F689" s="5">
        <f>IF(OR(INDEX($V$2:$V$1001,MATCH(ROWS($U$2:U689),$U$2:$U$1001,0),1)&gt;=100000,INDEX($AB$1005:$AQ$1005,1,MATCH(COLUMNS($AB$1006:AF1006),$AB$1006:$AQ$1006,0))&gt;=100000), " ",IF(INDEX($AB$2:$AQ$1001,MATCH(ROWS($U$2:U689),$U$2:$U$1001,0),MATCH(COLUMNS($AB$1006:AF1006),$AB$1006:$AQ$1006,0)), HYPERLINK("#",""), HYPERLINK(CONCATENATE("#Metadata!", ADDRESS(INDEX($W$2:$W$1001,MATCH(ROWS($U$2:U689),$U$2:$U$1001,0),0), INDEX($AB$1004:$AQ$1004,1,MATCH(COLUMNS($AB$1006:AF1006),$AB$1006:$AQ$1006,0)))),"Fix")))</f>
        <v>0</v>
      </c>
      <c r="G689" s="5">
        <f>IF(OR(INDEX($V$2:$V$1001,MATCH(ROWS($U$2:U689),$U$2:$U$1001,0),1)&gt;=100000,INDEX($AB$1005:$AQ$1005,1,MATCH(COLUMNS($AB$1006:AG1006),$AB$1006:$AQ$1006,0))&gt;=100000), " ",IF(INDEX($AB$2:$AQ$1001,MATCH(ROWS($U$2:U689),$U$2:$U$1001,0),MATCH(COLUMNS($AB$1006:AG1006),$AB$1006:$AQ$1006,0)), HYPERLINK("#",""), HYPERLINK(CONCATENATE("#Metadata!", ADDRESS(INDEX($W$2:$W$1001,MATCH(ROWS($U$2:U689),$U$2:$U$1001,0),0), INDEX($AB$1004:$AQ$1004,1,MATCH(COLUMNS($AB$1006:AG1006),$AB$1006:$AQ$1006,0)))),"Fix")))</f>
        <v>0</v>
      </c>
      <c r="H689" s="5">
        <f>IF(OR(INDEX($V$2:$V$1001,MATCH(ROWS($U$2:U689),$U$2:$U$1001,0),1)&gt;=100000,INDEX($AB$1005:$AQ$1005,1,MATCH(COLUMNS($AB$1006:AH1006),$AB$1006:$AQ$1006,0))&gt;=100000), " ",IF(INDEX($AB$2:$AQ$1001,MATCH(ROWS($U$2:U689),$U$2:$U$1001,0),MATCH(COLUMNS($AB$1006:AH1006),$AB$1006:$AQ$1006,0)), HYPERLINK("#",""), HYPERLINK(CONCATENATE("#Metadata!", ADDRESS(INDEX($W$2:$W$1001,MATCH(ROWS($U$2:U689),$U$2:$U$1001,0),0), INDEX($AB$1004:$AQ$1004,1,MATCH(COLUMNS($AB$1006:AH1006),$AB$1006:$AQ$1006,0)))),"Fix")))</f>
        <v>0</v>
      </c>
      <c r="I689" s="5">
        <f>IF(OR(INDEX($V$2:$V$1001,MATCH(ROWS($U$2:U689),$U$2:$U$1001,0),1)&gt;=100000,INDEX($AB$1005:$AQ$1005,1,MATCH(COLUMNS($AB$1006:AI1006),$AB$1006:$AQ$1006,0))&gt;=100000), " ",IF(INDEX($AB$2:$AQ$1001,MATCH(ROWS($U$2:U689),$U$2:$U$1001,0),MATCH(COLUMNS($AB$1006:AI1006),$AB$1006:$AQ$1006,0)), HYPERLINK("#",""), HYPERLINK(CONCATENATE("#Metadata!", ADDRESS(INDEX($W$2:$W$1001,MATCH(ROWS($U$2:U689),$U$2:$U$1001,0),0), INDEX($AB$1004:$AQ$1004,1,MATCH(COLUMNS($AB$1006:AI1006),$AB$1006:$AQ$1006,0)))),"Fix")))</f>
        <v>0</v>
      </c>
      <c r="J689" s="5">
        <f>IF(OR(INDEX($V$2:$V$1001,MATCH(ROWS($U$2:U689),$U$2:$U$1001,0),1)&gt;=100000,INDEX($AB$1005:$AQ$1005,1,MATCH(COLUMNS($AB$1006:AJ1006),$AB$1006:$AQ$1006,0))&gt;=100000), " ",IF(INDEX($AB$2:$AQ$1001,MATCH(ROWS($U$2:U689),$U$2:$U$1001,0),MATCH(COLUMNS($AB$1006:AJ1006),$AB$1006:$AQ$1006,0)), HYPERLINK("#",""), HYPERLINK(CONCATENATE("#Metadata!", ADDRESS(INDEX($W$2:$W$1001,MATCH(ROWS($U$2:U689),$U$2:$U$1001,0),0), INDEX($AB$1004:$AQ$1004,1,MATCH(COLUMNS($AB$1006:AJ1006),$AB$1006:$AQ$1006,0)))),"Fix")))</f>
        <v>0</v>
      </c>
      <c r="K689" s="5">
        <f>IF(OR(INDEX($V$2:$V$1001,MATCH(ROWS($U$2:U689),$U$2:$U$1001,0),1)&gt;=100000,INDEX($AB$1005:$AQ$1005,1,MATCH(COLUMNS($AB$1006:AK1006),$AB$1006:$AQ$1006,0))&gt;=100000), " ",IF(INDEX($AB$2:$AQ$1001,MATCH(ROWS($U$2:U689),$U$2:$U$1001,0),MATCH(COLUMNS($AB$1006:AK1006),$AB$1006:$AQ$1006,0)), HYPERLINK("#",""), HYPERLINK(CONCATENATE("#Metadata!", ADDRESS(INDEX($W$2:$W$1001,MATCH(ROWS($U$2:U689),$U$2:$U$1001,0),0), INDEX($AB$1004:$AQ$1004,1,MATCH(COLUMNS($AB$1006:AK1006),$AB$1006:$AQ$1006,0)))),"Fix")))</f>
        <v>0</v>
      </c>
      <c r="L689" s="5">
        <f>IF(OR(INDEX($V$2:$V$1001,MATCH(ROWS($U$2:U689),$U$2:$U$1001,0),1)&gt;=100000,INDEX($AB$1005:$AQ$1005,1,MATCH(COLUMNS($AB$1006:AL1006),$AB$1006:$AQ$1006,0))&gt;=100000), " ",IF(INDEX($AB$2:$AQ$1001,MATCH(ROWS($U$2:U689),$U$2:$U$1001,0),MATCH(COLUMNS($AB$1006:AL1006),$AB$1006:$AQ$1006,0)), HYPERLINK("#",""), HYPERLINK(CONCATENATE("#Metadata!", ADDRESS(INDEX($W$2:$W$1001,MATCH(ROWS($U$2:U689),$U$2:$U$1001,0),0), INDEX($AB$1004:$AQ$1004,1,MATCH(COLUMNS($AB$1006:AL1006),$AB$1006:$AQ$1006,0)))),"Fix")))</f>
        <v>0</v>
      </c>
      <c r="M689" s="5">
        <f>IF(OR(INDEX($V$2:$V$1001,MATCH(ROWS($U$2:U689),$U$2:$U$1001,0),1)&gt;=100000,INDEX($AB$1005:$AQ$1005,1,MATCH(COLUMNS($AB$1006:AM1006),$AB$1006:$AQ$1006,0))&gt;=100000), " ",IF(INDEX($AB$2:$AQ$1001,MATCH(ROWS($U$2:U689),$U$2:$U$1001,0),MATCH(COLUMNS($AB$1006:AM1006),$AB$1006:$AQ$1006,0)), HYPERLINK("#",""), HYPERLINK(CONCATENATE("#Metadata!", ADDRESS(INDEX($W$2:$W$1001,MATCH(ROWS($U$2:U689),$U$2:$U$1001,0),0), INDEX($AB$1004:$AQ$1004,1,MATCH(COLUMNS($AB$1006:AM1006),$AB$1006:$AQ$1006,0)))),"Fix")))</f>
        <v>0</v>
      </c>
      <c r="N689" s="5">
        <f>IF(OR(INDEX($V$2:$V$1001,MATCH(ROWS($U$2:U689),$U$2:$U$1001,0),1)&gt;=100000,INDEX($AB$1005:$AQ$1005,1,MATCH(COLUMNS($AB$1006:AN1006),$AB$1006:$AQ$1006,0))&gt;=100000), " ",IF(INDEX($AB$2:$AQ$1001,MATCH(ROWS($U$2:U689),$U$2:$U$1001,0),MATCH(COLUMNS($AB$1006:AN1006),$AB$1006:$AQ$1006,0)), HYPERLINK("#",""), HYPERLINK(CONCATENATE("#Metadata!", ADDRESS(INDEX($W$2:$W$1001,MATCH(ROWS($U$2:U689),$U$2:$U$1001,0),0), INDEX($AB$1004:$AQ$1004,1,MATCH(COLUMNS($AB$1006:AN1006),$AB$1006:$AQ$1006,0)))),"Fix")))</f>
        <v>0</v>
      </c>
      <c r="O689" s="5">
        <f>IF(OR(INDEX($V$2:$V$1001,MATCH(ROWS($U$2:U689),$U$2:$U$1001,0),1)&gt;=100000,INDEX($AB$1005:$AQ$1005,1,MATCH(COLUMNS($AB$1006:AO1006),$AB$1006:$AQ$1006,0))&gt;=100000), " ",IF(INDEX($AB$2:$AQ$1001,MATCH(ROWS($U$2:U689),$U$2:$U$1001,0),MATCH(COLUMNS($AB$1006:AO1006),$AB$1006:$AQ$1006,0)), HYPERLINK("#",""), HYPERLINK(CONCATENATE("#Metadata!", ADDRESS(INDEX($W$2:$W$1001,MATCH(ROWS($U$2:U689),$U$2:$U$1001,0),0), INDEX($AB$1004:$AQ$1004,1,MATCH(COLUMNS($AB$1006:AO1006),$AB$1006:$AQ$1006,0)))),"Fix")))</f>
        <v>0</v>
      </c>
      <c r="P689" s="5">
        <f>IF(OR(INDEX($V$2:$V$1001,MATCH(ROWS($U$2:U689),$U$2:$U$1001,0),1)&gt;=100000,INDEX($AB$1005:$AQ$1005,1,MATCH(COLUMNS($AB$1006:AP1006),$AB$1006:$AQ$1006,0))&gt;=100000), " ",IF(INDEX($AB$2:$AQ$1001,MATCH(ROWS($U$2:U689),$U$2:$U$1001,0),MATCH(COLUMNS($AB$1006:AP1006),$AB$1006:$AQ$1006,0)), HYPERLINK("#",""), HYPERLINK(CONCATENATE("#Metadata!", ADDRESS(INDEX($W$2:$W$1001,MATCH(ROWS($U$2:U689),$U$2:$U$1001,0),0), INDEX($AB$1004:$AQ$1004,1,MATCH(COLUMNS($AB$1006:AP1006),$AB$1006:$AQ$1006,0)))),"Fix")))</f>
        <v>0</v>
      </c>
      <c r="Q689" s="5">
        <f>IF(OR(INDEX($V$2:$V$1001,MATCH(ROWS($U$2:U689),$U$2:$U$1001,0),1)&gt;=100000,INDEX($AB$1005:$AQ$1005,1,MATCH(COLUMNS($AB$1006:AQ1006),$AB$1006:$AQ$1006,0))&gt;=100000), " ",IF(INDEX($AB$2:$AQ$1001,MATCH(ROWS($U$2:U689),$U$2:$U$1001,0),MATCH(COLUMNS($AB$1006:AQ1006),$AB$1006:$AQ$1006,0)), HYPERLINK("#",""), HYPERLINK(CONCATENATE("#Metadata!", ADDRESS(INDEX($W$2:$W$1001,MATCH(ROWS($U$2:U689),$U$2:$U$1001,0),0), INDEX($AB$1004:$AQ$1004,1,MATCH(COLUMNS($AB$1006:AQ1006),$AB$1006:$AQ$1006,0)))),"Fix")))</f>
        <v>0</v>
      </c>
      <c r="U689">
        <v>0</v>
      </c>
      <c r="V689">
        <v>0</v>
      </c>
      <c r="W689">
        <v>0</v>
      </c>
      <c r="X689">
        <f>IF(Y689,TRUE,AND(AB689:AQ689))</f>
        <v>0</v>
      </c>
      <c r="Y689">
        <f>COUNTBLANK(Metadata!B689:Q689)=COLUMNS(Metadata!B689:Q689)</f>
        <v>0</v>
      </c>
      <c r="Z689">
        <v>0</v>
      </c>
      <c r="AB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AC689">
        <f>AND(IF(Metadata!C689="",FALSE,TRUE),exact(Metadata!C689,"urban biome"))</f>
        <v>0</v>
      </c>
      <c r="AD689">
        <f>AND(IF(Metadata!D689="",FALSE,TRUE),exact(Metadata!D689,"human-associated habitat"))</f>
        <v>0</v>
      </c>
      <c r="AE689">
        <f>AND(IF(Metadata!E689="",FALSE,TRUE),OR(exact(Metadata!E689,"human-associated"),exact(Metadata!E689,"human-skin"),exact(Metadata!E689,"human-oral"),exact(Metadata!E689,"human-gut"),exact(Metadata!E689,"human-vaginal")))</f>
        <v>0</v>
      </c>
      <c r="AF689">
        <f>AND(IF(Metadata!F689="",FALSE,ISNUMBER(VALUE(Metadata!F689))),Metadata!F689&gt;0)</f>
        <v>0</v>
      </c>
      <c r="AG689">
        <f>AND(IF(Metadata!G689="",FALSE,TRUE),exact(Metadata!G689,"years"))</f>
        <v>0</v>
      </c>
      <c r="AH689">
        <f>OR(AND(IF(Metadata!H689="",FALSE,TRUE),OR(exact(Metadata!H689,"not applicable"),exact(Metadata!H689,"not collected"),exact(Metadata!H689,"not provided"),exact(Metadata!H689,"restricted access"))),AND(IF(Metadata!H689="",FALSE,ISNUMBER(VALUE(Metadata!H689))),Metadata!H689&gt;0))</f>
        <v>0</v>
      </c>
      <c r="AI689">
        <f>AND(IF(Metadata!I689="",FALSE,TRUE),exact(Metadata!I689,"human"))</f>
        <v>0</v>
      </c>
      <c r="AJ689">
        <f>AND(IF(Metadata!J689="",FALSE,ISNUMBER(VALUE(Metadata!J689))),Metadata!J689&gt;0)</f>
        <v>0</v>
      </c>
      <c r="AK689">
        <f>AND(IF(Metadata!K689="",FALSE,TRUE),exact(Metadata!K689,"cm"))</f>
        <v>0</v>
      </c>
      <c r="AL689">
        <f>AND(IF(Metadata!L689="",FALSE,TRUE),exact(Metadata!L689,"Homo sapiens"))</f>
        <v>0</v>
      </c>
      <c r="AM689">
        <f>AND(IF(Metadata!M689="",FALSE,TRUE),exact(Metadata!M689,"9606"))</f>
        <v>0</v>
      </c>
      <c r="AN689">
        <f>AND(IF(Metadata!N689="",FALSE,ISNUMBER(VALUE(Metadata!N689))),Metadata!N689&gt;0)</f>
        <v>0</v>
      </c>
      <c r="AO689">
        <f>AND(IF(Metadata!O689="",FALSE,TRUE),exact(Metadata!O689,"kg"))</f>
        <v>0</v>
      </c>
      <c r="AP689">
        <f>OR(AND(IF(Metadata!P689="",FALSE,TRUE),exact(Metadata!P689,"not provided")),IF(Metadata!P689="",FALSE,TRUE))</f>
        <v>0</v>
      </c>
      <c r="AQ689">
        <f>OR(AND(IF(Metadata!Q689="",FALSE,TRUE),exact(Metadata!Q689,"not provided")),IF(Metadata!Q689="",FALSE,TRUE))</f>
        <v>0</v>
      </c>
    </row>
    <row r="690" spans="1:43">
      <c r="A690" s="4">
        <f>IF(B690=" "," ",HYPERLINK(CONCATENATE("#metadata!",ADDRESS(INDEX($W$2:$W$1001,MATCH(ROWS($U$2:U690),$U$2:$U$1001,0),0),2)),INDEX($Z$2:$Z$1001,MATCH(ROWS($U$2:U690),$U$2:$U$1001,0),0)))</f>
        <v>0</v>
      </c>
      <c r="B690" s="5">
        <f>IF(OR(INDEX($V$2:$V$1001,MATCH(ROWS($U$2:U690),$U$2:$U$1001,0),1)&gt;=100000,INDEX($AB$1005:$AQ$1005,1,MATCH(COLUMNS($AB$1006:AB1006),$AB$1006:$AQ$1006,0))&gt;=100000), " ",IF(INDEX($AB$2:$AQ$1001,MATCH(ROWS($U$2:U690),$U$2:$U$1001,0),MATCH(COLUMNS($AB$1006:AB1006),$AB$1006:$AQ$1006,0)), HYPERLINK("#",""), HYPERLINK(CONCATENATE("#Metadata!", ADDRESS(INDEX($W$2:$W$1001,MATCH(ROWS($U$2:U690),$U$2:$U$1001,0),0), INDEX($AB$1004:$AQ$1004,1,MATCH(COLUMNS($AB$1006:AB1006),$AB$1006:$AQ$1006,0)))),"Fix")))</f>
        <v>0</v>
      </c>
      <c r="C690" s="5">
        <f>IF(OR(INDEX($V$2:$V$1001,MATCH(ROWS($U$2:U690),$U$2:$U$1001,0),1)&gt;=100000,INDEX($AB$1005:$AQ$1005,1,MATCH(COLUMNS($AB$1006:AC1006),$AB$1006:$AQ$1006,0))&gt;=100000), " ",IF(INDEX($AB$2:$AQ$1001,MATCH(ROWS($U$2:U690),$U$2:$U$1001,0),MATCH(COLUMNS($AB$1006:AC1006),$AB$1006:$AQ$1006,0)), HYPERLINK("#",""), HYPERLINK(CONCATENATE("#Metadata!", ADDRESS(INDEX($W$2:$W$1001,MATCH(ROWS($U$2:U690),$U$2:$U$1001,0),0), INDEX($AB$1004:$AQ$1004,1,MATCH(COLUMNS($AB$1006:AC1006),$AB$1006:$AQ$1006,0)))),"Fix")))</f>
        <v>0</v>
      </c>
      <c r="D690" s="5">
        <f>IF(OR(INDEX($V$2:$V$1001,MATCH(ROWS($U$2:U690),$U$2:$U$1001,0),1)&gt;=100000,INDEX($AB$1005:$AQ$1005,1,MATCH(COLUMNS($AB$1006:AD1006),$AB$1006:$AQ$1006,0))&gt;=100000), " ",IF(INDEX($AB$2:$AQ$1001,MATCH(ROWS($U$2:U690),$U$2:$U$1001,0),MATCH(COLUMNS($AB$1006:AD1006),$AB$1006:$AQ$1006,0)), HYPERLINK("#",""), HYPERLINK(CONCATENATE("#Metadata!", ADDRESS(INDEX($W$2:$W$1001,MATCH(ROWS($U$2:U690),$U$2:$U$1001,0),0), INDEX($AB$1004:$AQ$1004,1,MATCH(COLUMNS($AB$1006:AD1006),$AB$1006:$AQ$1006,0)))),"Fix")))</f>
        <v>0</v>
      </c>
      <c r="E690" s="5">
        <f>IF(OR(INDEX($V$2:$V$1001,MATCH(ROWS($U$2:U690),$U$2:$U$1001,0),1)&gt;=100000,INDEX($AB$1005:$AQ$1005,1,MATCH(COLUMNS($AB$1006:AE1006),$AB$1006:$AQ$1006,0))&gt;=100000), " ",IF(INDEX($AB$2:$AQ$1001,MATCH(ROWS($U$2:U690),$U$2:$U$1001,0),MATCH(COLUMNS($AB$1006:AE1006),$AB$1006:$AQ$1006,0)), HYPERLINK("#",""), HYPERLINK(CONCATENATE("#Metadata!", ADDRESS(INDEX($W$2:$W$1001,MATCH(ROWS($U$2:U690),$U$2:$U$1001,0),0), INDEX($AB$1004:$AQ$1004,1,MATCH(COLUMNS($AB$1006:AE1006),$AB$1006:$AQ$1006,0)))),"Fix")))</f>
        <v>0</v>
      </c>
      <c r="F690" s="5">
        <f>IF(OR(INDEX($V$2:$V$1001,MATCH(ROWS($U$2:U690),$U$2:$U$1001,0),1)&gt;=100000,INDEX($AB$1005:$AQ$1005,1,MATCH(COLUMNS($AB$1006:AF1006),$AB$1006:$AQ$1006,0))&gt;=100000), " ",IF(INDEX($AB$2:$AQ$1001,MATCH(ROWS($U$2:U690),$U$2:$U$1001,0),MATCH(COLUMNS($AB$1006:AF1006),$AB$1006:$AQ$1006,0)), HYPERLINK("#",""), HYPERLINK(CONCATENATE("#Metadata!", ADDRESS(INDEX($W$2:$W$1001,MATCH(ROWS($U$2:U690),$U$2:$U$1001,0),0), INDEX($AB$1004:$AQ$1004,1,MATCH(COLUMNS($AB$1006:AF1006),$AB$1006:$AQ$1006,0)))),"Fix")))</f>
        <v>0</v>
      </c>
      <c r="G690" s="5">
        <f>IF(OR(INDEX($V$2:$V$1001,MATCH(ROWS($U$2:U690),$U$2:$U$1001,0),1)&gt;=100000,INDEX($AB$1005:$AQ$1005,1,MATCH(COLUMNS($AB$1006:AG1006),$AB$1006:$AQ$1006,0))&gt;=100000), " ",IF(INDEX($AB$2:$AQ$1001,MATCH(ROWS($U$2:U690),$U$2:$U$1001,0),MATCH(COLUMNS($AB$1006:AG1006),$AB$1006:$AQ$1006,0)), HYPERLINK("#",""), HYPERLINK(CONCATENATE("#Metadata!", ADDRESS(INDEX($W$2:$W$1001,MATCH(ROWS($U$2:U690),$U$2:$U$1001,0),0), INDEX($AB$1004:$AQ$1004,1,MATCH(COLUMNS($AB$1006:AG1006),$AB$1006:$AQ$1006,0)))),"Fix")))</f>
        <v>0</v>
      </c>
      <c r="H690" s="5">
        <f>IF(OR(INDEX($V$2:$V$1001,MATCH(ROWS($U$2:U690),$U$2:$U$1001,0),1)&gt;=100000,INDEX($AB$1005:$AQ$1005,1,MATCH(COLUMNS($AB$1006:AH1006),$AB$1006:$AQ$1006,0))&gt;=100000), " ",IF(INDEX($AB$2:$AQ$1001,MATCH(ROWS($U$2:U690),$U$2:$U$1001,0),MATCH(COLUMNS($AB$1006:AH1006),$AB$1006:$AQ$1006,0)), HYPERLINK("#",""), HYPERLINK(CONCATENATE("#Metadata!", ADDRESS(INDEX($W$2:$W$1001,MATCH(ROWS($U$2:U690),$U$2:$U$1001,0),0), INDEX($AB$1004:$AQ$1004,1,MATCH(COLUMNS($AB$1006:AH1006),$AB$1006:$AQ$1006,0)))),"Fix")))</f>
        <v>0</v>
      </c>
      <c r="I690" s="5">
        <f>IF(OR(INDEX($V$2:$V$1001,MATCH(ROWS($U$2:U690),$U$2:$U$1001,0),1)&gt;=100000,INDEX($AB$1005:$AQ$1005,1,MATCH(COLUMNS($AB$1006:AI1006),$AB$1006:$AQ$1006,0))&gt;=100000), " ",IF(INDEX($AB$2:$AQ$1001,MATCH(ROWS($U$2:U690),$U$2:$U$1001,0),MATCH(COLUMNS($AB$1006:AI1006),$AB$1006:$AQ$1006,0)), HYPERLINK("#",""), HYPERLINK(CONCATENATE("#Metadata!", ADDRESS(INDEX($W$2:$W$1001,MATCH(ROWS($U$2:U690),$U$2:$U$1001,0),0), INDEX($AB$1004:$AQ$1004,1,MATCH(COLUMNS($AB$1006:AI1006),$AB$1006:$AQ$1006,0)))),"Fix")))</f>
        <v>0</v>
      </c>
      <c r="J690" s="5">
        <f>IF(OR(INDEX($V$2:$V$1001,MATCH(ROWS($U$2:U690),$U$2:$U$1001,0),1)&gt;=100000,INDEX($AB$1005:$AQ$1005,1,MATCH(COLUMNS($AB$1006:AJ1006),$AB$1006:$AQ$1006,0))&gt;=100000), " ",IF(INDEX($AB$2:$AQ$1001,MATCH(ROWS($U$2:U690),$U$2:$U$1001,0),MATCH(COLUMNS($AB$1006:AJ1006),$AB$1006:$AQ$1006,0)), HYPERLINK("#",""), HYPERLINK(CONCATENATE("#Metadata!", ADDRESS(INDEX($W$2:$W$1001,MATCH(ROWS($U$2:U690),$U$2:$U$1001,0),0), INDEX($AB$1004:$AQ$1004,1,MATCH(COLUMNS($AB$1006:AJ1006),$AB$1006:$AQ$1006,0)))),"Fix")))</f>
        <v>0</v>
      </c>
      <c r="K690" s="5">
        <f>IF(OR(INDEX($V$2:$V$1001,MATCH(ROWS($U$2:U690),$U$2:$U$1001,0),1)&gt;=100000,INDEX($AB$1005:$AQ$1005,1,MATCH(COLUMNS($AB$1006:AK1006),$AB$1006:$AQ$1006,0))&gt;=100000), " ",IF(INDEX($AB$2:$AQ$1001,MATCH(ROWS($U$2:U690),$U$2:$U$1001,0),MATCH(COLUMNS($AB$1006:AK1006),$AB$1006:$AQ$1006,0)), HYPERLINK("#",""), HYPERLINK(CONCATENATE("#Metadata!", ADDRESS(INDEX($W$2:$W$1001,MATCH(ROWS($U$2:U690),$U$2:$U$1001,0),0), INDEX($AB$1004:$AQ$1004,1,MATCH(COLUMNS($AB$1006:AK1006),$AB$1006:$AQ$1006,0)))),"Fix")))</f>
        <v>0</v>
      </c>
      <c r="L690" s="5">
        <f>IF(OR(INDEX($V$2:$V$1001,MATCH(ROWS($U$2:U690),$U$2:$U$1001,0),1)&gt;=100000,INDEX($AB$1005:$AQ$1005,1,MATCH(COLUMNS($AB$1006:AL1006),$AB$1006:$AQ$1006,0))&gt;=100000), " ",IF(INDEX($AB$2:$AQ$1001,MATCH(ROWS($U$2:U690),$U$2:$U$1001,0),MATCH(COLUMNS($AB$1006:AL1006),$AB$1006:$AQ$1006,0)), HYPERLINK("#",""), HYPERLINK(CONCATENATE("#Metadata!", ADDRESS(INDEX($W$2:$W$1001,MATCH(ROWS($U$2:U690),$U$2:$U$1001,0),0), INDEX($AB$1004:$AQ$1004,1,MATCH(COLUMNS($AB$1006:AL1006),$AB$1006:$AQ$1006,0)))),"Fix")))</f>
        <v>0</v>
      </c>
      <c r="M690" s="5">
        <f>IF(OR(INDEX($V$2:$V$1001,MATCH(ROWS($U$2:U690),$U$2:$U$1001,0),1)&gt;=100000,INDEX($AB$1005:$AQ$1005,1,MATCH(COLUMNS($AB$1006:AM1006),$AB$1006:$AQ$1006,0))&gt;=100000), " ",IF(INDEX($AB$2:$AQ$1001,MATCH(ROWS($U$2:U690),$U$2:$U$1001,0),MATCH(COLUMNS($AB$1006:AM1006),$AB$1006:$AQ$1006,0)), HYPERLINK("#",""), HYPERLINK(CONCATENATE("#Metadata!", ADDRESS(INDEX($W$2:$W$1001,MATCH(ROWS($U$2:U690),$U$2:$U$1001,0),0), INDEX($AB$1004:$AQ$1004,1,MATCH(COLUMNS($AB$1006:AM1006),$AB$1006:$AQ$1006,0)))),"Fix")))</f>
        <v>0</v>
      </c>
      <c r="N690" s="5">
        <f>IF(OR(INDEX($V$2:$V$1001,MATCH(ROWS($U$2:U690),$U$2:$U$1001,0),1)&gt;=100000,INDEX($AB$1005:$AQ$1005,1,MATCH(COLUMNS($AB$1006:AN1006),$AB$1006:$AQ$1006,0))&gt;=100000), " ",IF(INDEX($AB$2:$AQ$1001,MATCH(ROWS($U$2:U690),$U$2:$U$1001,0),MATCH(COLUMNS($AB$1006:AN1006),$AB$1006:$AQ$1006,0)), HYPERLINK("#",""), HYPERLINK(CONCATENATE("#Metadata!", ADDRESS(INDEX($W$2:$W$1001,MATCH(ROWS($U$2:U690),$U$2:$U$1001,0),0), INDEX($AB$1004:$AQ$1004,1,MATCH(COLUMNS($AB$1006:AN1006),$AB$1006:$AQ$1006,0)))),"Fix")))</f>
        <v>0</v>
      </c>
      <c r="O690" s="5">
        <f>IF(OR(INDEX($V$2:$V$1001,MATCH(ROWS($U$2:U690),$U$2:$U$1001,0),1)&gt;=100000,INDEX($AB$1005:$AQ$1005,1,MATCH(COLUMNS($AB$1006:AO1006),$AB$1006:$AQ$1006,0))&gt;=100000), " ",IF(INDEX($AB$2:$AQ$1001,MATCH(ROWS($U$2:U690),$U$2:$U$1001,0),MATCH(COLUMNS($AB$1006:AO1006),$AB$1006:$AQ$1006,0)), HYPERLINK("#",""), HYPERLINK(CONCATENATE("#Metadata!", ADDRESS(INDEX($W$2:$W$1001,MATCH(ROWS($U$2:U690),$U$2:$U$1001,0),0), INDEX($AB$1004:$AQ$1004,1,MATCH(COLUMNS($AB$1006:AO1006),$AB$1006:$AQ$1006,0)))),"Fix")))</f>
        <v>0</v>
      </c>
      <c r="P690" s="5">
        <f>IF(OR(INDEX($V$2:$V$1001,MATCH(ROWS($U$2:U690),$U$2:$U$1001,0),1)&gt;=100000,INDEX($AB$1005:$AQ$1005,1,MATCH(COLUMNS($AB$1006:AP1006),$AB$1006:$AQ$1006,0))&gt;=100000), " ",IF(INDEX($AB$2:$AQ$1001,MATCH(ROWS($U$2:U690),$U$2:$U$1001,0),MATCH(COLUMNS($AB$1006:AP1006),$AB$1006:$AQ$1006,0)), HYPERLINK("#",""), HYPERLINK(CONCATENATE("#Metadata!", ADDRESS(INDEX($W$2:$W$1001,MATCH(ROWS($U$2:U690),$U$2:$U$1001,0),0), INDEX($AB$1004:$AQ$1004,1,MATCH(COLUMNS($AB$1006:AP1006),$AB$1006:$AQ$1006,0)))),"Fix")))</f>
        <v>0</v>
      </c>
      <c r="Q690" s="5">
        <f>IF(OR(INDEX($V$2:$V$1001,MATCH(ROWS($U$2:U690),$U$2:$U$1001,0),1)&gt;=100000,INDEX($AB$1005:$AQ$1005,1,MATCH(COLUMNS($AB$1006:AQ1006),$AB$1006:$AQ$1006,0))&gt;=100000), " ",IF(INDEX($AB$2:$AQ$1001,MATCH(ROWS($U$2:U690),$U$2:$U$1001,0),MATCH(COLUMNS($AB$1006:AQ1006),$AB$1006:$AQ$1006,0)), HYPERLINK("#",""), HYPERLINK(CONCATENATE("#Metadata!", ADDRESS(INDEX($W$2:$W$1001,MATCH(ROWS($U$2:U690),$U$2:$U$1001,0),0), INDEX($AB$1004:$AQ$1004,1,MATCH(COLUMNS($AB$1006:AQ1006),$AB$1006:$AQ$1006,0)))),"Fix")))</f>
        <v>0</v>
      </c>
      <c r="U690">
        <v>0</v>
      </c>
      <c r="V690">
        <v>0</v>
      </c>
      <c r="W690">
        <v>0</v>
      </c>
      <c r="X690">
        <f>IF(Y690,TRUE,AND(AB690:AQ690))</f>
        <v>0</v>
      </c>
      <c r="Y690">
        <f>COUNTBLANK(Metadata!B690:Q690)=COLUMNS(Metadata!B690:Q690)</f>
        <v>0</v>
      </c>
      <c r="Z690">
        <v>0</v>
      </c>
      <c r="AB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AC690">
        <f>AND(IF(Metadata!C690="",FALSE,TRUE),exact(Metadata!C690,"urban biome"))</f>
        <v>0</v>
      </c>
      <c r="AD690">
        <f>AND(IF(Metadata!D690="",FALSE,TRUE),exact(Metadata!D690,"human-associated habitat"))</f>
        <v>0</v>
      </c>
      <c r="AE690">
        <f>AND(IF(Metadata!E690="",FALSE,TRUE),OR(exact(Metadata!E690,"human-associated"),exact(Metadata!E690,"human-skin"),exact(Metadata!E690,"human-oral"),exact(Metadata!E690,"human-gut"),exact(Metadata!E690,"human-vaginal")))</f>
        <v>0</v>
      </c>
      <c r="AF690">
        <f>AND(IF(Metadata!F690="",FALSE,ISNUMBER(VALUE(Metadata!F690))),Metadata!F690&gt;0)</f>
        <v>0</v>
      </c>
      <c r="AG690">
        <f>AND(IF(Metadata!G690="",FALSE,TRUE),exact(Metadata!G690,"years"))</f>
        <v>0</v>
      </c>
      <c r="AH690">
        <f>OR(AND(IF(Metadata!H690="",FALSE,TRUE),OR(exact(Metadata!H690,"not applicable"),exact(Metadata!H690,"not collected"),exact(Metadata!H690,"not provided"),exact(Metadata!H690,"restricted access"))),AND(IF(Metadata!H690="",FALSE,ISNUMBER(VALUE(Metadata!H690))),Metadata!H690&gt;0))</f>
        <v>0</v>
      </c>
      <c r="AI690">
        <f>AND(IF(Metadata!I690="",FALSE,TRUE),exact(Metadata!I690,"human"))</f>
        <v>0</v>
      </c>
      <c r="AJ690">
        <f>AND(IF(Metadata!J690="",FALSE,ISNUMBER(VALUE(Metadata!J690))),Metadata!J690&gt;0)</f>
        <v>0</v>
      </c>
      <c r="AK690">
        <f>AND(IF(Metadata!K690="",FALSE,TRUE),exact(Metadata!K690,"cm"))</f>
        <v>0</v>
      </c>
      <c r="AL690">
        <f>AND(IF(Metadata!L690="",FALSE,TRUE),exact(Metadata!L690,"Homo sapiens"))</f>
        <v>0</v>
      </c>
      <c r="AM690">
        <f>AND(IF(Metadata!M690="",FALSE,TRUE),exact(Metadata!M690,"9606"))</f>
        <v>0</v>
      </c>
      <c r="AN690">
        <f>AND(IF(Metadata!N690="",FALSE,ISNUMBER(VALUE(Metadata!N690))),Metadata!N690&gt;0)</f>
        <v>0</v>
      </c>
      <c r="AO690">
        <f>AND(IF(Metadata!O690="",FALSE,TRUE),exact(Metadata!O690,"kg"))</f>
        <v>0</v>
      </c>
      <c r="AP690">
        <f>OR(AND(IF(Metadata!P690="",FALSE,TRUE),exact(Metadata!P690,"not provided")),IF(Metadata!P690="",FALSE,TRUE))</f>
        <v>0</v>
      </c>
      <c r="AQ690">
        <f>OR(AND(IF(Metadata!Q690="",FALSE,TRUE),exact(Metadata!Q690,"not provided")),IF(Metadata!Q690="",FALSE,TRUE))</f>
        <v>0</v>
      </c>
    </row>
    <row r="691" spans="1:43">
      <c r="A691" s="4">
        <f>IF(B691=" "," ",HYPERLINK(CONCATENATE("#metadata!",ADDRESS(INDEX($W$2:$W$1001,MATCH(ROWS($U$2:U691),$U$2:$U$1001,0),0),2)),INDEX($Z$2:$Z$1001,MATCH(ROWS($U$2:U691),$U$2:$U$1001,0),0)))</f>
        <v>0</v>
      </c>
      <c r="B691" s="5">
        <f>IF(OR(INDEX($V$2:$V$1001,MATCH(ROWS($U$2:U691),$U$2:$U$1001,0),1)&gt;=100000,INDEX($AB$1005:$AQ$1005,1,MATCH(COLUMNS($AB$1006:AB1006),$AB$1006:$AQ$1006,0))&gt;=100000), " ",IF(INDEX($AB$2:$AQ$1001,MATCH(ROWS($U$2:U691),$U$2:$U$1001,0),MATCH(COLUMNS($AB$1006:AB1006),$AB$1006:$AQ$1006,0)), HYPERLINK("#",""), HYPERLINK(CONCATENATE("#Metadata!", ADDRESS(INDEX($W$2:$W$1001,MATCH(ROWS($U$2:U691),$U$2:$U$1001,0),0), INDEX($AB$1004:$AQ$1004,1,MATCH(COLUMNS($AB$1006:AB1006),$AB$1006:$AQ$1006,0)))),"Fix")))</f>
        <v>0</v>
      </c>
      <c r="C691" s="5">
        <f>IF(OR(INDEX($V$2:$V$1001,MATCH(ROWS($U$2:U691),$U$2:$U$1001,0),1)&gt;=100000,INDEX($AB$1005:$AQ$1005,1,MATCH(COLUMNS($AB$1006:AC1006),$AB$1006:$AQ$1006,0))&gt;=100000), " ",IF(INDEX($AB$2:$AQ$1001,MATCH(ROWS($U$2:U691),$U$2:$U$1001,0),MATCH(COLUMNS($AB$1006:AC1006),$AB$1006:$AQ$1006,0)), HYPERLINK("#",""), HYPERLINK(CONCATENATE("#Metadata!", ADDRESS(INDEX($W$2:$W$1001,MATCH(ROWS($U$2:U691),$U$2:$U$1001,0),0), INDEX($AB$1004:$AQ$1004,1,MATCH(COLUMNS($AB$1006:AC1006),$AB$1006:$AQ$1006,0)))),"Fix")))</f>
        <v>0</v>
      </c>
      <c r="D691" s="5">
        <f>IF(OR(INDEX($V$2:$V$1001,MATCH(ROWS($U$2:U691),$U$2:$U$1001,0),1)&gt;=100000,INDEX($AB$1005:$AQ$1005,1,MATCH(COLUMNS($AB$1006:AD1006),$AB$1006:$AQ$1006,0))&gt;=100000), " ",IF(INDEX($AB$2:$AQ$1001,MATCH(ROWS($U$2:U691),$U$2:$U$1001,0),MATCH(COLUMNS($AB$1006:AD1006),$AB$1006:$AQ$1006,0)), HYPERLINK("#",""), HYPERLINK(CONCATENATE("#Metadata!", ADDRESS(INDEX($W$2:$W$1001,MATCH(ROWS($U$2:U691),$U$2:$U$1001,0),0), INDEX($AB$1004:$AQ$1004,1,MATCH(COLUMNS($AB$1006:AD1006),$AB$1006:$AQ$1006,0)))),"Fix")))</f>
        <v>0</v>
      </c>
      <c r="E691" s="5">
        <f>IF(OR(INDEX($V$2:$V$1001,MATCH(ROWS($U$2:U691),$U$2:$U$1001,0),1)&gt;=100000,INDEX($AB$1005:$AQ$1005,1,MATCH(COLUMNS($AB$1006:AE1006),$AB$1006:$AQ$1006,0))&gt;=100000), " ",IF(INDEX($AB$2:$AQ$1001,MATCH(ROWS($U$2:U691),$U$2:$U$1001,0),MATCH(COLUMNS($AB$1006:AE1006),$AB$1006:$AQ$1006,0)), HYPERLINK("#",""), HYPERLINK(CONCATENATE("#Metadata!", ADDRESS(INDEX($W$2:$W$1001,MATCH(ROWS($U$2:U691),$U$2:$U$1001,0),0), INDEX($AB$1004:$AQ$1004,1,MATCH(COLUMNS($AB$1006:AE1006),$AB$1006:$AQ$1006,0)))),"Fix")))</f>
        <v>0</v>
      </c>
      <c r="F691" s="5">
        <f>IF(OR(INDEX($V$2:$V$1001,MATCH(ROWS($U$2:U691),$U$2:$U$1001,0),1)&gt;=100000,INDEX($AB$1005:$AQ$1005,1,MATCH(COLUMNS($AB$1006:AF1006),$AB$1006:$AQ$1006,0))&gt;=100000), " ",IF(INDEX($AB$2:$AQ$1001,MATCH(ROWS($U$2:U691),$U$2:$U$1001,0),MATCH(COLUMNS($AB$1006:AF1006),$AB$1006:$AQ$1006,0)), HYPERLINK("#",""), HYPERLINK(CONCATENATE("#Metadata!", ADDRESS(INDEX($W$2:$W$1001,MATCH(ROWS($U$2:U691),$U$2:$U$1001,0),0), INDEX($AB$1004:$AQ$1004,1,MATCH(COLUMNS($AB$1006:AF1006),$AB$1006:$AQ$1006,0)))),"Fix")))</f>
        <v>0</v>
      </c>
      <c r="G691" s="5">
        <f>IF(OR(INDEX($V$2:$V$1001,MATCH(ROWS($U$2:U691),$U$2:$U$1001,0),1)&gt;=100000,INDEX($AB$1005:$AQ$1005,1,MATCH(COLUMNS($AB$1006:AG1006),$AB$1006:$AQ$1006,0))&gt;=100000), " ",IF(INDEX($AB$2:$AQ$1001,MATCH(ROWS($U$2:U691),$U$2:$U$1001,0),MATCH(COLUMNS($AB$1006:AG1006),$AB$1006:$AQ$1006,0)), HYPERLINK("#",""), HYPERLINK(CONCATENATE("#Metadata!", ADDRESS(INDEX($W$2:$W$1001,MATCH(ROWS($U$2:U691),$U$2:$U$1001,0),0), INDEX($AB$1004:$AQ$1004,1,MATCH(COLUMNS($AB$1006:AG1006),$AB$1006:$AQ$1006,0)))),"Fix")))</f>
        <v>0</v>
      </c>
      <c r="H691" s="5">
        <f>IF(OR(INDEX($V$2:$V$1001,MATCH(ROWS($U$2:U691),$U$2:$U$1001,0),1)&gt;=100000,INDEX($AB$1005:$AQ$1005,1,MATCH(COLUMNS($AB$1006:AH1006),$AB$1006:$AQ$1006,0))&gt;=100000), " ",IF(INDEX($AB$2:$AQ$1001,MATCH(ROWS($U$2:U691),$U$2:$U$1001,0),MATCH(COLUMNS($AB$1006:AH1006),$AB$1006:$AQ$1006,0)), HYPERLINK("#",""), HYPERLINK(CONCATENATE("#Metadata!", ADDRESS(INDEX($W$2:$W$1001,MATCH(ROWS($U$2:U691),$U$2:$U$1001,0),0), INDEX($AB$1004:$AQ$1004,1,MATCH(COLUMNS($AB$1006:AH1006),$AB$1006:$AQ$1006,0)))),"Fix")))</f>
        <v>0</v>
      </c>
      <c r="I691" s="5">
        <f>IF(OR(INDEX($V$2:$V$1001,MATCH(ROWS($U$2:U691),$U$2:$U$1001,0),1)&gt;=100000,INDEX($AB$1005:$AQ$1005,1,MATCH(COLUMNS($AB$1006:AI1006),$AB$1006:$AQ$1006,0))&gt;=100000), " ",IF(INDEX($AB$2:$AQ$1001,MATCH(ROWS($U$2:U691),$U$2:$U$1001,0),MATCH(COLUMNS($AB$1006:AI1006),$AB$1006:$AQ$1006,0)), HYPERLINK("#",""), HYPERLINK(CONCATENATE("#Metadata!", ADDRESS(INDEX($W$2:$W$1001,MATCH(ROWS($U$2:U691),$U$2:$U$1001,0),0), INDEX($AB$1004:$AQ$1004,1,MATCH(COLUMNS($AB$1006:AI1006),$AB$1006:$AQ$1006,0)))),"Fix")))</f>
        <v>0</v>
      </c>
      <c r="J691" s="5">
        <f>IF(OR(INDEX($V$2:$V$1001,MATCH(ROWS($U$2:U691),$U$2:$U$1001,0),1)&gt;=100000,INDEX($AB$1005:$AQ$1005,1,MATCH(COLUMNS($AB$1006:AJ1006),$AB$1006:$AQ$1006,0))&gt;=100000), " ",IF(INDEX($AB$2:$AQ$1001,MATCH(ROWS($U$2:U691),$U$2:$U$1001,0),MATCH(COLUMNS($AB$1006:AJ1006),$AB$1006:$AQ$1006,0)), HYPERLINK("#",""), HYPERLINK(CONCATENATE("#Metadata!", ADDRESS(INDEX($W$2:$W$1001,MATCH(ROWS($U$2:U691),$U$2:$U$1001,0),0), INDEX($AB$1004:$AQ$1004,1,MATCH(COLUMNS($AB$1006:AJ1006),$AB$1006:$AQ$1006,0)))),"Fix")))</f>
        <v>0</v>
      </c>
      <c r="K691" s="5">
        <f>IF(OR(INDEX($V$2:$V$1001,MATCH(ROWS($U$2:U691),$U$2:$U$1001,0),1)&gt;=100000,INDEX($AB$1005:$AQ$1005,1,MATCH(COLUMNS($AB$1006:AK1006),$AB$1006:$AQ$1006,0))&gt;=100000), " ",IF(INDEX($AB$2:$AQ$1001,MATCH(ROWS($U$2:U691),$U$2:$U$1001,0),MATCH(COLUMNS($AB$1006:AK1006),$AB$1006:$AQ$1006,0)), HYPERLINK("#",""), HYPERLINK(CONCATENATE("#Metadata!", ADDRESS(INDEX($W$2:$W$1001,MATCH(ROWS($U$2:U691),$U$2:$U$1001,0),0), INDEX($AB$1004:$AQ$1004,1,MATCH(COLUMNS($AB$1006:AK1006),$AB$1006:$AQ$1006,0)))),"Fix")))</f>
        <v>0</v>
      </c>
      <c r="L691" s="5">
        <f>IF(OR(INDEX($V$2:$V$1001,MATCH(ROWS($U$2:U691),$U$2:$U$1001,0),1)&gt;=100000,INDEX($AB$1005:$AQ$1005,1,MATCH(COLUMNS($AB$1006:AL1006),$AB$1006:$AQ$1006,0))&gt;=100000), " ",IF(INDEX($AB$2:$AQ$1001,MATCH(ROWS($U$2:U691),$U$2:$U$1001,0),MATCH(COLUMNS($AB$1006:AL1006),$AB$1006:$AQ$1006,0)), HYPERLINK("#",""), HYPERLINK(CONCATENATE("#Metadata!", ADDRESS(INDEX($W$2:$W$1001,MATCH(ROWS($U$2:U691),$U$2:$U$1001,0),0), INDEX($AB$1004:$AQ$1004,1,MATCH(COLUMNS($AB$1006:AL1006),$AB$1006:$AQ$1006,0)))),"Fix")))</f>
        <v>0</v>
      </c>
      <c r="M691" s="5">
        <f>IF(OR(INDEX($V$2:$V$1001,MATCH(ROWS($U$2:U691),$U$2:$U$1001,0),1)&gt;=100000,INDEX($AB$1005:$AQ$1005,1,MATCH(COLUMNS($AB$1006:AM1006),$AB$1006:$AQ$1006,0))&gt;=100000), " ",IF(INDEX($AB$2:$AQ$1001,MATCH(ROWS($U$2:U691),$U$2:$U$1001,0),MATCH(COLUMNS($AB$1006:AM1006),$AB$1006:$AQ$1006,0)), HYPERLINK("#",""), HYPERLINK(CONCATENATE("#Metadata!", ADDRESS(INDEX($W$2:$W$1001,MATCH(ROWS($U$2:U691),$U$2:$U$1001,0),0), INDEX($AB$1004:$AQ$1004,1,MATCH(COLUMNS($AB$1006:AM1006),$AB$1006:$AQ$1006,0)))),"Fix")))</f>
        <v>0</v>
      </c>
      <c r="N691" s="5">
        <f>IF(OR(INDEX($V$2:$V$1001,MATCH(ROWS($U$2:U691),$U$2:$U$1001,0),1)&gt;=100000,INDEX($AB$1005:$AQ$1005,1,MATCH(COLUMNS($AB$1006:AN1006),$AB$1006:$AQ$1006,0))&gt;=100000), " ",IF(INDEX($AB$2:$AQ$1001,MATCH(ROWS($U$2:U691),$U$2:$U$1001,0),MATCH(COLUMNS($AB$1006:AN1006),$AB$1006:$AQ$1006,0)), HYPERLINK("#",""), HYPERLINK(CONCATENATE("#Metadata!", ADDRESS(INDEX($W$2:$W$1001,MATCH(ROWS($U$2:U691),$U$2:$U$1001,0),0), INDEX($AB$1004:$AQ$1004,1,MATCH(COLUMNS($AB$1006:AN1006),$AB$1006:$AQ$1006,0)))),"Fix")))</f>
        <v>0</v>
      </c>
      <c r="O691" s="5">
        <f>IF(OR(INDEX($V$2:$V$1001,MATCH(ROWS($U$2:U691),$U$2:$U$1001,0),1)&gt;=100000,INDEX($AB$1005:$AQ$1005,1,MATCH(COLUMNS($AB$1006:AO1006),$AB$1006:$AQ$1006,0))&gt;=100000), " ",IF(INDEX($AB$2:$AQ$1001,MATCH(ROWS($U$2:U691),$U$2:$U$1001,0),MATCH(COLUMNS($AB$1006:AO1006),$AB$1006:$AQ$1006,0)), HYPERLINK("#",""), HYPERLINK(CONCATENATE("#Metadata!", ADDRESS(INDEX($W$2:$W$1001,MATCH(ROWS($U$2:U691),$U$2:$U$1001,0),0), INDEX($AB$1004:$AQ$1004,1,MATCH(COLUMNS($AB$1006:AO1006),$AB$1006:$AQ$1006,0)))),"Fix")))</f>
        <v>0</v>
      </c>
      <c r="P691" s="5">
        <f>IF(OR(INDEX($V$2:$V$1001,MATCH(ROWS($U$2:U691),$U$2:$U$1001,0),1)&gt;=100000,INDEX($AB$1005:$AQ$1005,1,MATCH(COLUMNS($AB$1006:AP1006),$AB$1006:$AQ$1006,0))&gt;=100000), " ",IF(INDEX($AB$2:$AQ$1001,MATCH(ROWS($U$2:U691),$U$2:$U$1001,0),MATCH(COLUMNS($AB$1006:AP1006),$AB$1006:$AQ$1006,0)), HYPERLINK("#",""), HYPERLINK(CONCATENATE("#Metadata!", ADDRESS(INDEX($W$2:$W$1001,MATCH(ROWS($U$2:U691),$U$2:$U$1001,0),0), INDEX($AB$1004:$AQ$1004,1,MATCH(COLUMNS($AB$1006:AP1006),$AB$1006:$AQ$1006,0)))),"Fix")))</f>
        <v>0</v>
      </c>
      <c r="Q691" s="5">
        <f>IF(OR(INDEX($V$2:$V$1001,MATCH(ROWS($U$2:U691),$U$2:$U$1001,0),1)&gt;=100000,INDEX($AB$1005:$AQ$1005,1,MATCH(COLUMNS($AB$1006:AQ1006),$AB$1006:$AQ$1006,0))&gt;=100000), " ",IF(INDEX($AB$2:$AQ$1001,MATCH(ROWS($U$2:U691),$U$2:$U$1001,0),MATCH(COLUMNS($AB$1006:AQ1006),$AB$1006:$AQ$1006,0)), HYPERLINK("#",""), HYPERLINK(CONCATENATE("#Metadata!", ADDRESS(INDEX($W$2:$W$1001,MATCH(ROWS($U$2:U691),$U$2:$U$1001,0),0), INDEX($AB$1004:$AQ$1004,1,MATCH(COLUMNS($AB$1006:AQ1006),$AB$1006:$AQ$1006,0)))),"Fix")))</f>
        <v>0</v>
      </c>
      <c r="U691">
        <v>0</v>
      </c>
      <c r="V691">
        <v>0</v>
      </c>
      <c r="W691">
        <v>0</v>
      </c>
      <c r="X691">
        <f>IF(Y691,TRUE,AND(AB691:AQ691))</f>
        <v>0</v>
      </c>
      <c r="Y691">
        <f>COUNTBLANK(Metadata!B691:Q691)=COLUMNS(Metadata!B691:Q691)</f>
        <v>0</v>
      </c>
      <c r="Z691">
        <v>0</v>
      </c>
      <c r="AB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AC691">
        <f>AND(IF(Metadata!C691="",FALSE,TRUE),exact(Metadata!C691,"urban biome"))</f>
        <v>0</v>
      </c>
      <c r="AD691">
        <f>AND(IF(Metadata!D691="",FALSE,TRUE),exact(Metadata!D691,"human-associated habitat"))</f>
        <v>0</v>
      </c>
      <c r="AE691">
        <f>AND(IF(Metadata!E691="",FALSE,TRUE),OR(exact(Metadata!E691,"human-associated"),exact(Metadata!E691,"human-skin"),exact(Metadata!E691,"human-oral"),exact(Metadata!E691,"human-gut"),exact(Metadata!E691,"human-vaginal")))</f>
        <v>0</v>
      </c>
      <c r="AF691">
        <f>AND(IF(Metadata!F691="",FALSE,ISNUMBER(VALUE(Metadata!F691))),Metadata!F691&gt;0)</f>
        <v>0</v>
      </c>
      <c r="AG691">
        <f>AND(IF(Metadata!G691="",FALSE,TRUE),exact(Metadata!G691,"years"))</f>
        <v>0</v>
      </c>
      <c r="AH691">
        <f>OR(AND(IF(Metadata!H691="",FALSE,TRUE),OR(exact(Metadata!H691,"not applicable"),exact(Metadata!H691,"not collected"),exact(Metadata!H691,"not provided"),exact(Metadata!H691,"restricted access"))),AND(IF(Metadata!H691="",FALSE,ISNUMBER(VALUE(Metadata!H691))),Metadata!H691&gt;0))</f>
        <v>0</v>
      </c>
      <c r="AI691">
        <f>AND(IF(Metadata!I691="",FALSE,TRUE),exact(Metadata!I691,"human"))</f>
        <v>0</v>
      </c>
      <c r="AJ691">
        <f>AND(IF(Metadata!J691="",FALSE,ISNUMBER(VALUE(Metadata!J691))),Metadata!J691&gt;0)</f>
        <v>0</v>
      </c>
      <c r="AK691">
        <f>AND(IF(Metadata!K691="",FALSE,TRUE),exact(Metadata!K691,"cm"))</f>
        <v>0</v>
      </c>
      <c r="AL691">
        <f>AND(IF(Metadata!L691="",FALSE,TRUE),exact(Metadata!L691,"Homo sapiens"))</f>
        <v>0</v>
      </c>
      <c r="AM691">
        <f>AND(IF(Metadata!M691="",FALSE,TRUE),exact(Metadata!M691,"9606"))</f>
        <v>0</v>
      </c>
      <c r="AN691">
        <f>AND(IF(Metadata!N691="",FALSE,ISNUMBER(VALUE(Metadata!N691))),Metadata!N691&gt;0)</f>
        <v>0</v>
      </c>
      <c r="AO691">
        <f>AND(IF(Metadata!O691="",FALSE,TRUE),exact(Metadata!O691,"kg"))</f>
        <v>0</v>
      </c>
      <c r="AP691">
        <f>OR(AND(IF(Metadata!P691="",FALSE,TRUE),exact(Metadata!P691,"not provided")),IF(Metadata!P691="",FALSE,TRUE))</f>
        <v>0</v>
      </c>
      <c r="AQ691">
        <f>OR(AND(IF(Metadata!Q691="",FALSE,TRUE),exact(Metadata!Q691,"not provided")),IF(Metadata!Q691="",FALSE,TRUE))</f>
        <v>0</v>
      </c>
    </row>
    <row r="692" spans="1:43">
      <c r="A692" s="4">
        <f>IF(B692=" "," ",HYPERLINK(CONCATENATE("#metadata!",ADDRESS(INDEX($W$2:$W$1001,MATCH(ROWS($U$2:U692),$U$2:$U$1001,0),0),2)),INDEX($Z$2:$Z$1001,MATCH(ROWS($U$2:U692),$U$2:$U$1001,0),0)))</f>
        <v>0</v>
      </c>
      <c r="B692" s="5">
        <f>IF(OR(INDEX($V$2:$V$1001,MATCH(ROWS($U$2:U692),$U$2:$U$1001,0),1)&gt;=100000,INDEX($AB$1005:$AQ$1005,1,MATCH(COLUMNS($AB$1006:AB1006),$AB$1006:$AQ$1006,0))&gt;=100000), " ",IF(INDEX($AB$2:$AQ$1001,MATCH(ROWS($U$2:U692),$U$2:$U$1001,0),MATCH(COLUMNS($AB$1006:AB1006),$AB$1006:$AQ$1006,0)), HYPERLINK("#",""), HYPERLINK(CONCATENATE("#Metadata!", ADDRESS(INDEX($W$2:$W$1001,MATCH(ROWS($U$2:U692),$U$2:$U$1001,0),0), INDEX($AB$1004:$AQ$1004,1,MATCH(COLUMNS($AB$1006:AB1006),$AB$1006:$AQ$1006,0)))),"Fix")))</f>
        <v>0</v>
      </c>
      <c r="C692" s="5">
        <f>IF(OR(INDEX($V$2:$V$1001,MATCH(ROWS($U$2:U692),$U$2:$U$1001,0),1)&gt;=100000,INDEX($AB$1005:$AQ$1005,1,MATCH(COLUMNS($AB$1006:AC1006),$AB$1006:$AQ$1006,0))&gt;=100000), " ",IF(INDEX($AB$2:$AQ$1001,MATCH(ROWS($U$2:U692),$U$2:$U$1001,0),MATCH(COLUMNS($AB$1006:AC1006),$AB$1006:$AQ$1006,0)), HYPERLINK("#",""), HYPERLINK(CONCATENATE("#Metadata!", ADDRESS(INDEX($W$2:$W$1001,MATCH(ROWS($U$2:U692),$U$2:$U$1001,0),0), INDEX($AB$1004:$AQ$1004,1,MATCH(COLUMNS($AB$1006:AC1006),$AB$1006:$AQ$1006,0)))),"Fix")))</f>
        <v>0</v>
      </c>
      <c r="D692" s="5">
        <f>IF(OR(INDEX($V$2:$V$1001,MATCH(ROWS($U$2:U692),$U$2:$U$1001,0),1)&gt;=100000,INDEX($AB$1005:$AQ$1005,1,MATCH(COLUMNS($AB$1006:AD1006),$AB$1006:$AQ$1006,0))&gt;=100000), " ",IF(INDEX($AB$2:$AQ$1001,MATCH(ROWS($U$2:U692),$U$2:$U$1001,0),MATCH(COLUMNS($AB$1006:AD1006),$AB$1006:$AQ$1006,0)), HYPERLINK("#",""), HYPERLINK(CONCATENATE("#Metadata!", ADDRESS(INDEX($W$2:$W$1001,MATCH(ROWS($U$2:U692),$U$2:$U$1001,0),0), INDEX($AB$1004:$AQ$1004,1,MATCH(COLUMNS($AB$1006:AD1006),$AB$1006:$AQ$1006,0)))),"Fix")))</f>
        <v>0</v>
      </c>
      <c r="E692" s="5">
        <f>IF(OR(INDEX($V$2:$V$1001,MATCH(ROWS($U$2:U692),$U$2:$U$1001,0),1)&gt;=100000,INDEX($AB$1005:$AQ$1005,1,MATCH(COLUMNS($AB$1006:AE1006),$AB$1006:$AQ$1006,0))&gt;=100000), " ",IF(INDEX($AB$2:$AQ$1001,MATCH(ROWS($U$2:U692),$U$2:$U$1001,0),MATCH(COLUMNS($AB$1006:AE1006),$AB$1006:$AQ$1006,0)), HYPERLINK("#",""), HYPERLINK(CONCATENATE("#Metadata!", ADDRESS(INDEX($W$2:$W$1001,MATCH(ROWS($U$2:U692),$U$2:$U$1001,0),0), INDEX($AB$1004:$AQ$1004,1,MATCH(COLUMNS($AB$1006:AE1006),$AB$1006:$AQ$1006,0)))),"Fix")))</f>
        <v>0</v>
      </c>
      <c r="F692" s="5">
        <f>IF(OR(INDEX($V$2:$V$1001,MATCH(ROWS($U$2:U692),$U$2:$U$1001,0),1)&gt;=100000,INDEX($AB$1005:$AQ$1005,1,MATCH(COLUMNS($AB$1006:AF1006),$AB$1006:$AQ$1006,0))&gt;=100000), " ",IF(INDEX($AB$2:$AQ$1001,MATCH(ROWS($U$2:U692),$U$2:$U$1001,0),MATCH(COLUMNS($AB$1006:AF1006),$AB$1006:$AQ$1006,0)), HYPERLINK("#",""), HYPERLINK(CONCATENATE("#Metadata!", ADDRESS(INDEX($W$2:$W$1001,MATCH(ROWS($U$2:U692),$U$2:$U$1001,0),0), INDEX($AB$1004:$AQ$1004,1,MATCH(COLUMNS($AB$1006:AF1006),$AB$1006:$AQ$1006,0)))),"Fix")))</f>
        <v>0</v>
      </c>
      <c r="G692" s="5">
        <f>IF(OR(INDEX($V$2:$V$1001,MATCH(ROWS($U$2:U692),$U$2:$U$1001,0),1)&gt;=100000,INDEX($AB$1005:$AQ$1005,1,MATCH(COLUMNS($AB$1006:AG1006),$AB$1006:$AQ$1006,0))&gt;=100000), " ",IF(INDEX($AB$2:$AQ$1001,MATCH(ROWS($U$2:U692),$U$2:$U$1001,0),MATCH(COLUMNS($AB$1006:AG1006),$AB$1006:$AQ$1006,0)), HYPERLINK("#",""), HYPERLINK(CONCATENATE("#Metadata!", ADDRESS(INDEX($W$2:$W$1001,MATCH(ROWS($U$2:U692),$U$2:$U$1001,0),0), INDEX($AB$1004:$AQ$1004,1,MATCH(COLUMNS($AB$1006:AG1006),$AB$1006:$AQ$1006,0)))),"Fix")))</f>
        <v>0</v>
      </c>
      <c r="H692" s="5">
        <f>IF(OR(INDEX($V$2:$V$1001,MATCH(ROWS($U$2:U692),$U$2:$U$1001,0),1)&gt;=100000,INDEX($AB$1005:$AQ$1005,1,MATCH(COLUMNS($AB$1006:AH1006),$AB$1006:$AQ$1006,0))&gt;=100000), " ",IF(INDEX($AB$2:$AQ$1001,MATCH(ROWS($U$2:U692),$U$2:$U$1001,0),MATCH(COLUMNS($AB$1006:AH1006),$AB$1006:$AQ$1006,0)), HYPERLINK("#",""), HYPERLINK(CONCATENATE("#Metadata!", ADDRESS(INDEX($W$2:$W$1001,MATCH(ROWS($U$2:U692),$U$2:$U$1001,0),0), INDEX($AB$1004:$AQ$1004,1,MATCH(COLUMNS($AB$1006:AH1006),$AB$1006:$AQ$1006,0)))),"Fix")))</f>
        <v>0</v>
      </c>
      <c r="I692" s="5">
        <f>IF(OR(INDEX($V$2:$V$1001,MATCH(ROWS($U$2:U692),$U$2:$U$1001,0),1)&gt;=100000,INDEX($AB$1005:$AQ$1005,1,MATCH(COLUMNS($AB$1006:AI1006),$AB$1006:$AQ$1006,0))&gt;=100000), " ",IF(INDEX($AB$2:$AQ$1001,MATCH(ROWS($U$2:U692),$U$2:$U$1001,0),MATCH(COLUMNS($AB$1006:AI1006),$AB$1006:$AQ$1006,0)), HYPERLINK("#",""), HYPERLINK(CONCATENATE("#Metadata!", ADDRESS(INDEX($W$2:$W$1001,MATCH(ROWS($U$2:U692),$U$2:$U$1001,0),0), INDEX($AB$1004:$AQ$1004,1,MATCH(COLUMNS($AB$1006:AI1006),$AB$1006:$AQ$1006,0)))),"Fix")))</f>
        <v>0</v>
      </c>
      <c r="J692" s="5">
        <f>IF(OR(INDEX($V$2:$V$1001,MATCH(ROWS($U$2:U692),$U$2:$U$1001,0),1)&gt;=100000,INDEX($AB$1005:$AQ$1005,1,MATCH(COLUMNS($AB$1006:AJ1006),$AB$1006:$AQ$1006,0))&gt;=100000), " ",IF(INDEX($AB$2:$AQ$1001,MATCH(ROWS($U$2:U692),$U$2:$U$1001,0),MATCH(COLUMNS($AB$1006:AJ1006),$AB$1006:$AQ$1006,0)), HYPERLINK("#",""), HYPERLINK(CONCATENATE("#Metadata!", ADDRESS(INDEX($W$2:$W$1001,MATCH(ROWS($U$2:U692),$U$2:$U$1001,0),0), INDEX($AB$1004:$AQ$1004,1,MATCH(COLUMNS($AB$1006:AJ1006),$AB$1006:$AQ$1006,0)))),"Fix")))</f>
        <v>0</v>
      </c>
      <c r="K692" s="5">
        <f>IF(OR(INDEX($V$2:$V$1001,MATCH(ROWS($U$2:U692),$U$2:$U$1001,0),1)&gt;=100000,INDEX($AB$1005:$AQ$1005,1,MATCH(COLUMNS($AB$1006:AK1006),$AB$1006:$AQ$1006,0))&gt;=100000), " ",IF(INDEX($AB$2:$AQ$1001,MATCH(ROWS($U$2:U692),$U$2:$U$1001,0),MATCH(COLUMNS($AB$1006:AK1006),$AB$1006:$AQ$1006,0)), HYPERLINK("#",""), HYPERLINK(CONCATENATE("#Metadata!", ADDRESS(INDEX($W$2:$W$1001,MATCH(ROWS($U$2:U692),$U$2:$U$1001,0),0), INDEX($AB$1004:$AQ$1004,1,MATCH(COLUMNS($AB$1006:AK1006),$AB$1006:$AQ$1006,0)))),"Fix")))</f>
        <v>0</v>
      </c>
      <c r="L692" s="5">
        <f>IF(OR(INDEX($V$2:$V$1001,MATCH(ROWS($U$2:U692),$U$2:$U$1001,0),1)&gt;=100000,INDEX($AB$1005:$AQ$1005,1,MATCH(COLUMNS($AB$1006:AL1006),$AB$1006:$AQ$1006,0))&gt;=100000), " ",IF(INDEX($AB$2:$AQ$1001,MATCH(ROWS($U$2:U692),$U$2:$U$1001,0),MATCH(COLUMNS($AB$1006:AL1006),$AB$1006:$AQ$1006,0)), HYPERLINK("#",""), HYPERLINK(CONCATENATE("#Metadata!", ADDRESS(INDEX($W$2:$W$1001,MATCH(ROWS($U$2:U692),$U$2:$U$1001,0),0), INDEX($AB$1004:$AQ$1004,1,MATCH(COLUMNS($AB$1006:AL1006),$AB$1006:$AQ$1006,0)))),"Fix")))</f>
        <v>0</v>
      </c>
      <c r="M692" s="5">
        <f>IF(OR(INDEX($V$2:$V$1001,MATCH(ROWS($U$2:U692),$U$2:$U$1001,0),1)&gt;=100000,INDEX($AB$1005:$AQ$1005,1,MATCH(COLUMNS($AB$1006:AM1006),$AB$1006:$AQ$1006,0))&gt;=100000), " ",IF(INDEX($AB$2:$AQ$1001,MATCH(ROWS($U$2:U692),$U$2:$U$1001,0),MATCH(COLUMNS($AB$1006:AM1006),$AB$1006:$AQ$1006,0)), HYPERLINK("#",""), HYPERLINK(CONCATENATE("#Metadata!", ADDRESS(INDEX($W$2:$W$1001,MATCH(ROWS($U$2:U692),$U$2:$U$1001,0),0), INDEX($AB$1004:$AQ$1004,1,MATCH(COLUMNS($AB$1006:AM1006),$AB$1006:$AQ$1006,0)))),"Fix")))</f>
        <v>0</v>
      </c>
      <c r="N692" s="5">
        <f>IF(OR(INDEX($V$2:$V$1001,MATCH(ROWS($U$2:U692),$U$2:$U$1001,0),1)&gt;=100000,INDEX($AB$1005:$AQ$1005,1,MATCH(COLUMNS($AB$1006:AN1006),$AB$1006:$AQ$1006,0))&gt;=100000), " ",IF(INDEX($AB$2:$AQ$1001,MATCH(ROWS($U$2:U692),$U$2:$U$1001,0),MATCH(COLUMNS($AB$1006:AN1006),$AB$1006:$AQ$1006,0)), HYPERLINK("#",""), HYPERLINK(CONCATENATE("#Metadata!", ADDRESS(INDEX($W$2:$W$1001,MATCH(ROWS($U$2:U692),$U$2:$U$1001,0),0), INDEX($AB$1004:$AQ$1004,1,MATCH(COLUMNS($AB$1006:AN1006),$AB$1006:$AQ$1006,0)))),"Fix")))</f>
        <v>0</v>
      </c>
      <c r="O692" s="5">
        <f>IF(OR(INDEX($V$2:$V$1001,MATCH(ROWS($U$2:U692),$U$2:$U$1001,0),1)&gt;=100000,INDEX($AB$1005:$AQ$1005,1,MATCH(COLUMNS($AB$1006:AO1006),$AB$1006:$AQ$1006,0))&gt;=100000), " ",IF(INDEX($AB$2:$AQ$1001,MATCH(ROWS($U$2:U692),$U$2:$U$1001,0),MATCH(COLUMNS($AB$1006:AO1006),$AB$1006:$AQ$1006,0)), HYPERLINK("#",""), HYPERLINK(CONCATENATE("#Metadata!", ADDRESS(INDEX($W$2:$W$1001,MATCH(ROWS($U$2:U692),$U$2:$U$1001,0),0), INDEX($AB$1004:$AQ$1004,1,MATCH(COLUMNS($AB$1006:AO1006),$AB$1006:$AQ$1006,0)))),"Fix")))</f>
        <v>0</v>
      </c>
      <c r="P692" s="5">
        <f>IF(OR(INDEX($V$2:$V$1001,MATCH(ROWS($U$2:U692),$U$2:$U$1001,0),1)&gt;=100000,INDEX($AB$1005:$AQ$1005,1,MATCH(COLUMNS($AB$1006:AP1006),$AB$1006:$AQ$1006,0))&gt;=100000), " ",IF(INDEX($AB$2:$AQ$1001,MATCH(ROWS($U$2:U692),$U$2:$U$1001,0),MATCH(COLUMNS($AB$1006:AP1006),$AB$1006:$AQ$1006,0)), HYPERLINK("#",""), HYPERLINK(CONCATENATE("#Metadata!", ADDRESS(INDEX($W$2:$W$1001,MATCH(ROWS($U$2:U692),$U$2:$U$1001,0),0), INDEX($AB$1004:$AQ$1004,1,MATCH(COLUMNS($AB$1006:AP1006),$AB$1006:$AQ$1006,0)))),"Fix")))</f>
        <v>0</v>
      </c>
      <c r="Q692" s="5">
        <f>IF(OR(INDEX($V$2:$V$1001,MATCH(ROWS($U$2:U692),$U$2:$U$1001,0),1)&gt;=100000,INDEX($AB$1005:$AQ$1005,1,MATCH(COLUMNS($AB$1006:AQ1006),$AB$1006:$AQ$1006,0))&gt;=100000), " ",IF(INDEX($AB$2:$AQ$1001,MATCH(ROWS($U$2:U692),$U$2:$U$1001,0),MATCH(COLUMNS($AB$1006:AQ1006),$AB$1006:$AQ$1006,0)), HYPERLINK("#",""), HYPERLINK(CONCATENATE("#Metadata!", ADDRESS(INDEX($W$2:$W$1001,MATCH(ROWS($U$2:U692),$U$2:$U$1001,0),0), INDEX($AB$1004:$AQ$1004,1,MATCH(COLUMNS($AB$1006:AQ1006),$AB$1006:$AQ$1006,0)))),"Fix")))</f>
        <v>0</v>
      </c>
      <c r="U692">
        <v>0</v>
      </c>
      <c r="V692">
        <v>0</v>
      </c>
      <c r="W692">
        <v>0</v>
      </c>
      <c r="X692">
        <f>IF(Y692,TRUE,AND(AB692:AQ692))</f>
        <v>0</v>
      </c>
      <c r="Y692">
        <f>COUNTBLANK(Metadata!B692:Q692)=COLUMNS(Metadata!B692:Q692)</f>
        <v>0</v>
      </c>
      <c r="Z692">
        <v>0</v>
      </c>
      <c r="AB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AC692">
        <f>AND(IF(Metadata!C692="",FALSE,TRUE),exact(Metadata!C692,"urban biome"))</f>
        <v>0</v>
      </c>
      <c r="AD692">
        <f>AND(IF(Metadata!D692="",FALSE,TRUE),exact(Metadata!D692,"human-associated habitat"))</f>
        <v>0</v>
      </c>
      <c r="AE692">
        <f>AND(IF(Metadata!E692="",FALSE,TRUE),OR(exact(Metadata!E692,"human-associated"),exact(Metadata!E692,"human-skin"),exact(Metadata!E692,"human-oral"),exact(Metadata!E692,"human-gut"),exact(Metadata!E692,"human-vaginal")))</f>
        <v>0</v>
      </c>
      <c r="AF692">
        <f>AND(IF(Metadata!F692="",FALSE,ISNUMBER(VALUE(Metadata!F692))),Metadata!F692&gt;0)</f>
        <v>0</v>
      </c>
      <c r="AG692">
        <f>AND(IF(Metadata!G692="",FALSE,TRUE),exact(Metadata!G692,"years"))</f>
        <v>0</v>
      </c>
      <c r="AH692">
        <f>OR(AND(IF(Metadata!H692="",FALSE,TRUE),OR(exact(Metadata!H692,"not applicable"),exact(Metadata!H692,"not collected"),exact(Metadata!H692,"not provided"),exact(Metadata!H692,"restricted access"))),AND(IF(Metadata!H692="",FALSE,ISNUMBER(VALUE(Metadata!H692))),Metadata!H692&gt;0))</f>
        <v>0</v>
      </c>
      <c r="AI692">
        <f>AND(IF(Metadata!I692="",FALSE,TRUE),exact(Metadata!I692,"human"))</f>
        <v>0</v>
      </c>
      <c r="AJ692">
        <f>AND(IF(Metadata!J692="",FALSE,ISNUMBER(VALUE(Metadata!J692))),Metadata!J692&gt;0)</f>
        <v>0</v>
      </c>
      <c r="AK692">
        <f>AND(IF(Metadata!K692="",FALSE,TRUE),exact(Metadata!K692,"cm"))</f>
        <v>0</v>
      </c>
      <c r="AL692">
        <f>AND(IF(Metadata!L692="",FALSE,TRUE),exact(Metadata!L692,"Homo sapiens"))</f>
        <v>0</v>
      </c>
      <c r="AM692">
        <f>AND(IF(Metadata!M692="",FALSE,TRUE),exact(Metadata!M692,"9606"))</f>
        <v>0</v>
      </c>
      <c r="AN692">
        <f>AND(IF(Metadata!N692="",FALSE,ISNUMBER(VALUE(Metadata!N692))),Metadata!N692&gt;0)</f>
        <v>0</v>
      </c>
      <c r="AO692">
        <f>AND(IF(Metadata!O692="",FALSE,TRUE),exact(Metadata!O692,"kg"))</f>
        <v>0</v>
      </c>
      <c r="AP692">
        <f>OR(AND(IF(Metadata!P692="",FALSE,TRUE),exact(Metadata!P692,"not provided")),IF(Metadata!P692="",FALSE,TRUE))</f>
        <v>0</v>
      </c>
      <c r="AQ692">
        <f>OR(AND(IF(Metadata!Q692="",FALSE,TRUE),exact(Metadata!Q692,"not provided")),IF(Metadata!Q692="",FALSE,TRUE))</f>
        <v>0</v>
      </c>
    </row>
    <row r="693" spans="1:43">
      <c r="A693" s="4">
        <f>IF(B693=" "," ",HYPERLINK(CONCATENATE("#metadata!",ADDRESS(INDEX($W$2:$W$1001,MATCH(ROWS($U$2:U693),$U$2:$U$1001,0),0),2)),INDEX($Z$2:$Z$1001,MATCH(ROWS($U$2:U693),$U$2:$U$1001,0),0)))</f>
        <v>0</v>
      </c>
      <c r="B693" s="5">
        <f>IF(OR(INDEX($V$2:$V$1001,MATCH(ROWS($U$2:U693),$U$2:$U$1001,0),1)&gt;=100000,INDEX($AB$1005:$AQ$1005,1,MATCH(COLUMNS($AB$1006:AB1006),$AB$1006:$AQ$1006,0))&gt;=100000), " ",IF(INDEX($AB$2:$AQ$1001,MATCH(ROWS($U$2:U693),$U$2:$U$1001,0),MATCH(COLUMNS($AB$1006:AB1006),$AB$1006:$AQ$1006,0)), HYPERLINK("#",""), HYPERLINK(CONCATENATE("#Metadata!", ADDRESS(INDEX($W$2:$W$1001,MATCH(ROWS($U$2:U693),$U$2:$U$1001,0),0), INDEX($AB$1004:$AQ$1004,1,MATCH(COLUMNS($AB$1006:AB1006),$AB$1006:$AQ$1006,0)))),"Fix")))</f>
        <v>0</v>
      </c>
      <c r="C693" s="5">
        <f>IF(OR(INDEX($V$2:$V$1001,MATCH(ROWS($U$2:U693),$U$2:$U$1001,0),1)&gt;=100000,INDEX($AB$1005:$AQ$1005,1,MATCH(COLUMNS($AB$1006:AC1006),$AB$1006:$AQ$1006,0))&gt;=100000), " ",IF(INDEX($AB$2:$AQ$1001,MATCH(ROWS($U$2:U693),$U$2:$U$1001,0),MATCH(COLUMNS($AB$1006:AC1006),$AB$1006:$AQ$1006,0)), HYPERLINK("#",""), HYPERLINK(CONCATENATE("#Metadata!", ADDRESS(INDEX($W$2:$W$1001,MATCH(ROWS($U$2:U693),$U$2:$U$1001,0),0), INDEX($AB$1004:$AQ$1004,1,MATCH(COLUMNS($AB$1006:AC1006),$AB$1006:$AQ$1006,0)))),"Fix")))</f>
        <v>0</v>
      </c>
      <c r="D693" s="5">
        <f>IF(OR(INDEX($V$2:$V$1001,MATCH(ROWS($U$2:U693),$U$2:$U$1001,0),1)&gt;=100000,INDEX($AB$1005:$AQ$1005,1,MATCH(COLUMNS($AB$1006:AD1006),$AB$1006:$AQ$1006,0))&gt;=100000), " ",IF(INDEX($AB$2:$AQ$1001,MATCH(ROWS($U$2:U693),$U$2:$U$1001,0),MATCH(COLUMNS($AB$1006:AD1006),$AB$1006:$AQ$1006,0)), HYPERLINK("#",""), HYPERLINK(CONCATENATE("#Metadata!", ADDRESS(INDEX($W$2:$W$1001,MATCH(ROWS($U$2:U693),$U$2:$U$1001,0),0), INDEX($AB$1004:$AQ$1004,1,MATCH(COLUMNS($AB$1006:AD1006),$AB$1006:$AQ$1006,0)))),"Fix")))</f>
        <v>0</v>
      </c>
      <c r="E693" s="5">
        <f>IF(OR(INDEX($V$2:$V$1001,MATCH(ROWS($U$2:U693),$U$2:$U$1001,0),1)&gt;=100000,INDEX($AB$1005:$AQ$1005,1,MATCH(COLUMNS($AB$1006:AE1006),$AB$1006:$AQ$1006,0))&gt;=100000), " ",IF(INDEX($AB$2:$AQ$1001,MATCH(ROWS($U$2:U693),$U$2:$U$1001,0),MATCH(COLUMNS($AB$1006:AE1006),$AB$1006:$AQ$1006,0)), HYPERLINK("#",""), HYPERLINK(CONCATENATE("#Metadata!", ADDRESS(INDEX($W$2:$W$1001,MATCH(ROWS($U$2:U693),$U$2:$U$1001,0),0), INDEX($AB$1004:$AQ$1004,1,MATCH(COLUMNS($AB$1006:AE1006),$AB$1006:$AQ$1006,0)))),"Fix")))</f>
        <v>0</v>
      </c>
      <c r="F693" s="5">
        <f>IF(OR(INDEX($V$2:$V$1001,MATCH(ROWS($U$2:U693),$U$2:$U$1001,0),1)&gt;=100000,INDEX($AB$1005:$AQ$1005,1,MATCH(COLUMNS($AB$1006:AF1006),$AB$1006:$AQ$1006,0))&gt;=100000), " ",IF(INDEX($AB$2:$AQ$1001,MATCH(ROWS($U$2:U693),$U$2:$U$1001,0),MATCH(COLUMNS($AB$1006:AF1006),$AB$1006:$AQ$1006,0)), HYPERLINK("#",""), HYPERLINK(CONCATENATE("#Metadata!", ADDRESS(INDEX($W$2:$W$1001,MATCH(ROWS($U$2:U693),$U$2:$U$1001,0),0), INDEX($AB$1004:$AQ$1004,1,MATCH(COLUMNS($AB$1006:AF1006),$AB$1006:$AQ$1006,0)))),"Fix")))</f>
        <v>0</v>
      </c>
      <c r="G693" s="5">
        <f>IF(OR(INDEX($V$2:$V$1001,MATCH(ROWS($U$2:U693),$U$2:$U$1001,0),1)&gt;=100000,INDEX($AB$1005:$AQ$1005,1,MATCH(COLUMNS($AB$1006:AG1006),$AB$1006:$AQ$1006,0))&gt;=100000), " ",IF(INDEX($AB$2:$AQ$1001,MATCH(ROWS($U$2:U693),$U$2:$U$1001,0),MATCH(COLUMNS($AB$1006:AG1006),$AB$1006:$AQ$1006,0)), HYPERLINK("#",""), HYPERLINK(CONCATENATE("#Metadata!", ADDRESS(INDEX($W$2:$W$1001,MATCH(ROWS($U$2:U693),$U$2:$U$1001,0),0), INDEX($AB$1004:$AQ$1004,1,MATCH(COLUMNS($AB$1006:AG1006),$AB$1006:$AQ$1006,0)))),"Fix")))</f>
        <v>0</v>
      </c>
      <c r="H693" s="5">
        <f>IF(OR(INDEX($V$2:$V$1001,MATCH(ROWS($U$2:U693),$U$2:$U$1001,0),1)&gt;=100000,INDEX($AB$1005:$AQ$1005,1,MATCH(COLUMNS($AB$1006:AH1006),$AB$1006:$AQ$1006,0))&gt;=100000), " ",IF(INDEX($AB$2:$AQ$1001,MATCH(ROWS($U$2:U693),$U$2:$U$1001,0),MATCH(COLUMNS($AB$1006:AH1006),$AB$1006:$AQ$1006,0)), HYPERLINK("#",""), HYPERLINK(CONCATENATE("#Metadata!", ADDRESS(INDEX($W$2:$W$1001,MATCH(ROWS($U$2:U693),$U$2:$U$1001,0),0), INDEX($AB$1004:$AQ$1004,1,MATCH(COLUMNS($AB$1006:AH1006),$AB$1006:$AQ$1006,0)))),"Fix")))</f>
        <v>0</v>
      </c>
      <c r="I693" s="5">
        <f>IF(OR(INDEX($V$2:$V$1001,MATCH(ROWS($U$2:U693),$U$2:$U$1001,0),1)&gt;=100000,INDEX($AB$1005:$AQ$1005,1,MATCH(COLUMNS($AB$1006:AI1006),$AB$1006:$AQ$1006,0))&gt;=100000), " ",IF(INDEX($AB$2:$AQ$1001,MATCH(ROWS($U$2:U693),$U$2:$U$1001,0),MATCH(COLUMNS($AB$1006:AI1006),$AB$1006:$AQ$1006,0)), HYPERLINK("#",""), HYPERLINK(CONCATENATE("#Metadata!", ADDRESS(INDEX($W$2:$W$1001,MATCH(ROWS($U$2:U693),$U$2:$U$1001,0),0), INDEX($AB$1004:$AQ$1004,1,MATCH(COLUMNS($AB$1006:AI1006),$AB$1006:$AQ$1006,0)))),"Fix")))</f>
        <v>0</v>
      </c>
      <c r="J693" s="5">
        <f>IF(OR(INDEX($V$2:$V$1001,MATCH(ROWS($U$2:U693),$U$2:$U$1001,0),1)&gt;=100000,INDEX($AB$1005:$AQ$1005,1,MATCH(COLUMNS($AB$1006:AJ1006),$AB$1006:$AQ$1006,0))&gt;=100000), " ",IF(INDEX($AB$2:$AQ$1001,MATCH(ROWS($U$2:U693),$U$2:$U$1001,0),MATCH(COLUMNS($AB$1006:AJ1006),$AB$1006:$AQ$1006,0)), HYPERLINK("#",""), HYPERLINK(CONCATENATE("#Metadata!", ADDRESS(INDEX($W$2:$W$1001,MATCH(ROWS($U$2:U693),$U$2:$U$1001,0),0), INDEX($AB$1004:$AQ$1004,1,MATCH(COLUMNS($AB$1006:AJ1006),$AB$1006:$AQ$1006,0)))),"Fix")))</f>
        <v>0</v>
      </c>
      <c r="K693" s="5">
        <f>IF(OR(INDEX($V$2:$V$1001,MATCH(ROWS($U$2:U693),$U$2:$U$1001,0),1)&gt;=100000,INDEX($AB$1005:$AQ$1005,1,MATCH(COLUMNS($AB$1006:AK1006),$AB$1006:$AQ$1006,0))&gt;=100000), " ",IF(INDEX($AB$2:$AQ$1001,MATCH(ROWS($U$2:U693),$U$2:$U$1001,0),MATCH(COLUMNS($AB$1006:AK1006),$AB$1006:$AQ$1006,0)), HYPERLINK("#",""), HYPERLINK(CONCATENATE("#Metadata!", ADDRESS(INDEX($W$2:$W$1001,MATCH(ROWS($U$2:U693),$U$2:$U$1001,0),0), INDEX($AB$1004:$AQ$1004,1,MATCH(COLUMNS($AB$1006:AK1006),$AB$1006:$AQ$1006,0)))),"Fix")))</f>
        <v>0</v>
      </c>
      <c r="L693" s="5">
        <f>IF(OR(INDEX($V$2:$V$1001,MATCH(ROWS($U$2:U693),$U$2:$U$1001,0),1)&gt;=100000,INDEX($AB$1005:$AQ$1005,1,MATCH(COLUMNS($AB$1006:AL1006),$AB$1006:$AQ$1006,0))&gt;=100000), " ",IF(INDEX($AB$2:$AQ$1001,MATCH(ROWS($U$2:U693),$U$2:$U$1001,0),MATCH(COLUMNS($AB$1006:AL1006),$AB$1006:$AQ$1006,0)), HYPERLINK("#",""), HYPERLINK(CONCATENATE("#Metadata!", ADDRESS(INDEX($W$2:$W$1001,MATCH(ROWS($U$2:U693),$U$2:$U$1001,0),0), INDEX($AB$1004:$AQ$1004,1,MATCH(COLUMNS($AB$1006:AL1006),$AB$1006:$AQ$1006,0)))),"Fix")))</f>
        <v>0</v>
      </c>
      <c r="M693" s="5">
        <f>IF(OR(INDEX($V$2:$V$1001,MATCH(ROWS($U$2:U693),$U$2:$U$1001,0),1)&gt;=100000,INDEX($AB$1005:$AQ$1005,1,MATCH(COLUMNS($AB$1006:AM1006),$AB$1006:$AQ$1006,0))&gt;=100000), " ",IF(INDEX($AB$2:$AQ$1001,MATCH(ROWS($U$2:U693),$U$2:$U$1001,0),MATCH(COLUMNS($AB$1006:AM1006),$AB$1006:$AQ$1006,0)), HYPERLINK("#",""), HYPERLINK(CONCATENATE("#Metadata!", ADDRESS(INDEX($W$2:$W$1001,MATCH(ROWS($U$2:U693),$U$2:$U$1001,0),0), INDEX($AB$1004:$AQ$1004,1,MATCH(COLUMNS($AB$1006:AM1006),$AB$1006:$AQ$1006,0)))),"Fix")))</f>
        <v>0</v>
      </c>
      <c r="N693" s="5">
        <f>IF(OR(INDEX($V$2:$V$1001,MATCH(ROWS($U$2:U693),$U$2:$U$1001,0),1)&gt;=100000,INDEX($AB$1005:$AQ$1005,1,MATCH(COLUMNS($AB$1006:AN1006),$AB$1006:$AQ$1006,0))&gt;=100000), " ",IF(INDEX($AB$2:$AQ$1001,MATCH(ROWS($U$2:U693),$U$2:$U$1001,0),MATCH(COLUMNS($AB$1006:AN1006),$AB$1006:$AQ$1006,0)), HYPERLINK("#",""), HYPERLINK(CONCATENATE("#Metadata!", ADDRESS(INDEX($W$2:$W$1001,MATCH(ROWS($U$2:U693),$U$2:$U$1001,0),0), INDEX($AB$1004:$AQ$1004,1,MATCH(COLUMNS($AB$1006:AN1006),$AB$1006:$AQ$1006,0)))),"Fix")))</f>
        <v>0</v>
      </c>
      <c r="O693" s="5">
        <f>IF(OR(INDEX($V$2:$V$1001,MATCH(ROWS($U$2:U693),$U$2:$U$1001,0),1)&gt;=100000,INDEX($AB$1005:$AQ$1005,1,MATCH(COLUMNS($AB$1006:AO1006),$AB$1006:$AQ$1006,0))&gt;=100000), " ",IF(INDEX($AB$2:$AQ$1001,MATCH(ROWS($U$2:U693),$U$2:$U$1001,0),MATCH(COLUMNS($AB$1006:AO1006),$AB$1006:$AQ$1006,0)), HYPERLINK("#",""), HYPERLINK(CONCATENATE("#Metadata!", ADDRESS(INDEX($W$2:$W$1001,MATCH(ROWS($U$2:U693),$U$2:$U$1001,0),0), INDEX($AB$1004:$AQ$1004,1,MATCH(COLUMNS($AB$1006:AO1006),$AB$1006:$AQ$1006,0)))),"Fix")))</f>
        <v>0</v>
      </c>
      <c r="P693" s="5">
        <f>IF(OR(INDEX($V$2:$V$1001,MATCH(ROWS($U$2:U693),$U$2:$U$1001,0),1)&gt;=100000,INDEX($AB$1005:$AQ$1005,1,MATCH(COLUMNS($AB$1006:AP1006),$AB$1006:$AQ$1006,0))&gt;=100000), " ",IF(INDEX($AB$2:$AQ$1001,MATCH(ROWS($U$2:U693),$U$2:$U$1001,0),MATCH(COLUMNS($AB$1006:AP1006),$AB$1006:$AQ$1006,0)), HYPERLINK("#",""), HYPERLINK(CONCATENATE("#Metadata!", ADDRESS(INDEX($W$2:$W$1001,MATCH(ROWS($U$2:U693),$U$2:$U$1001,0),0), INDEX($AB$1004:$AQ$1004,1,MATCH(COLUMNS($AB$1006:AP1006),$AB$1006:$AQ$1006,0)))),"Fix")))</f>
        <v>0</v>
      </c>
      <c r="Q693" s="5">
        <f>IF(OR(INDEX($V$2:$V$1001,MATCH(ROWS($U$2:U693),$U$2:$U$1001,0),1)&gt;=100000,INDEX($AB$1005:$AQ$1005,1,MATCH(COLUMNS($AB$1006:AQ1006),$AB$1006:$AQ$1006,0))&gt;=100000), " ",IF(INDEX($AB$2:$AQ$1001,MATCH(ROWS($U$2:U693),$U$2:$U$1001,0),MATCH(COLUMNS($AB$1006:AQ1006),$AB$1006:$AQ$1006,0)), HYPERLINK("#",""), HYPERLINK(CONCATENATE("#Metadata!", ADDRESS(INDEX($W$2:$W$1001,MATCH(ROWS($U$2:U693),$U$2:$U$1001,0),0), INDEX($AB$1004:$AQ$1004,1,MATCH(COLUMNS($AB$1006:AQ1006),$AB$1006:$AQ$1006,0)))),"Fix")))</f>
        <v>0</v>
      </c>
      <c r="U693">
        <v>0</v>
      </c>
      <c r="V693">
        <v>0</v>
      </c>
      <c r="W693">
        <v>0</v>
      </c>
      <c r="X693">
        <f>IF(Y693,TRUE,AND(AB693:AQ693))</f>
        <v>0</v>
      </c>
      <c r="Y693">
        <f>COUNTBLANK(Metadata!B693:Q693)=COLUMNS(Metadata!B693:Q693)</f>
        <v>0</v>
      </c>
      <c r="Z693">
        <v>0</v>
      </c>
      <c r="AB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AC693">
        <f>AND(IF(Metadata!C693="",FALSE,TRUE),exact(Metadata!C693,"urban biome"))</f>
        <v>0</v>
      </c>
      <c r="AD693">
        <f>AND(IF(Metadata!D693="",FALSE,TRUE),exact(Metadata!D693,"human-associated habitat"))</f>
        <v>0</v>
      </c>
      <c r="AE693">
        <f>AND(IF(Metadata!E693="",FALSE,TRUE),OR(exact(Metadata!E693,"human-associated"),exact(Metadata!E693,"human-skin"),exact(Metadata!E693,"human-oral"),exact(Metadata!E693,"human-gut"),exact(Metadata!E693,"human-vaginal")))</f>
        <v>0</v>
      </c>
      <c r="AF693">
        <f>AND(IF(Metadata!F693="",FALSE,ISNUMBER(VALUE(Metadata!F693))),Metadata!F693&gt;0)</f>
        <v>0</v>
      </c>
      <c r="AG693">
        <f>AND(IF(Metadata!G693="",FALSE,TRUE),exact(Metadata!G693,"years"))</f>
        <v>0</v>
      </c>
      <c r="AH693">
        <f>OR(AND(IF(Metadata!H693="",FALSE,TRUE),OR(exact(Metadata!H693,"not applicable"),exact(Metadata!H693,"not collected"),exact(Metadata!H693,"not provided"),exact(Metadata!H693,"restricted access"))),AND(IF(Metadata!H693="",FALSE,ISNUMBER(VALUE(Metadata!H693))),Metadata!H693&gt;0))</f>
        <v>0</v>
      </c>
      <c r="AI693">
        <f>AND(IF(Metadata!I693="",FALSE,TRUE),exact(Metadata!I693,"human"))</f>
        <v>0</v>
      </c>
      <c r="AJ693">
        <f>AND(IF(Metadata!J693="",FALSE,ISNUMBER(VALUE(Metadata!J693))),Metadata!J693&gt;0)</f>
        <v>0</v>
      </c>
      <c r="AK693">
        <f>AND(IF(Metadata!K693="",FALSE,TRUE),exact(Metadata!K693,"cm"))</f>
        <v>0</v>
      </c>
      <c r="AL693">
        <f>AND(IF(Metadata!L693="",FALSE,TRUE),exact(Metadata!L693,"Homo sapiens"))</f>
        <v>0</v>
      </c>
      <c r="AM693">
        <f>AND(IF(Metadata!M693="",FALSE,TRUE),exact(Metadata!M693,"9606"))</f>
        <v>0</v>
      </c>
      <c r="AN693">
        <f>AND(IF(Metadata!N693="",FALSE,ISNUMBER(VALUE(Metadata!N693))),Metadata!N693&gt;0)</f>
        <v>0</v>
      </c>
      <c r="AO693">
        <f>AND(IF(Metadata!O693="",FALSE,TRUE),exact(Metadata!O693,"kg"))</f>
        <v>0</v>
      </c>
      <c r="AP693">
        <f>OR(AND(IF(Metadata!P693="",FALSE,TRUE),exact(Metadata!P693,"not provided")),IF(Metadata!P693="",FALSE,TRUE))</f>
        <v>0</v>
      </c>
      <c r="AQ693">
        <f>OR(AND(IF(Metadata!Q693="",FALSE,TRUE),exact(Metadata!Q693,"not provided")),IF(Metadata!Q693="",FALSE,TRUE))</f>
        <v>0</v>
      </c>
    </row>
    <row r="694" spans="1:43">
      <c r="A694" s="4">
        <f>IF(B694=" "," ",HYPERLINK(CONCATENATE("#metadata!",ADDRESS(INDEX($W$2:$W$1001,MATCH(ROWS($U$2:U694),$U$2:$U$1001,0),0),2)),INDEX($Z$2:$Z$1001,MATCH(ROWS($U$2:U694),$U$2:$U$1001,0),0)))</f>
        <v>0</v>
      </c>
      <c r="B694" s="5">
        <f>IF(OR(INDEX($V$2:$V$1001,MATCH(ROWS($U$2:U694),$U$2:$U$1001,0),1)&gt;=100000,INDEX($AB$1005:$AQ$1005,1,MATCH(COLUMNS($AB$1006:AB1006),$AB$1006:$AQ$1006,0))&gt;=100000), " ",IF(INDEX($AB$2:$AQ$1001,MATCH(ROWS($U$2:U694),$U$2:$U$1001,0),MATCH(COLUMNS($AB$1006:AB1006),$AB$1006:$AQ$1006,0)), HYPERLINK("#",""), HYPERLINK(CONCATENATE("#Metadata!", ADDRESS(INDEX($W$2:$W$1001,MATCH(ROWS($U$2:U694),$U$2:$U$1001,0),0), INDEX($AB$1004:$AQ$1004,1,MATCH(COLUMNS($AB$1006:AB1006),$AB$1006:$AQ$1006,0)))),"Fix")))</f>
        <v>0</v>
      </c>
      <c r="C694" s="5">
        <f>IF(OR(INDEX($V$2:$V$1001,MATCH(ROWS($U$2:U694),$U$2:$U$1001,0),1)&gt;=100000,INDEX($AB$1005:$AQ$1005,1,MATCH(COLUMNS($AB$1006:AC1006),$AB$1006:$AQ$1006,0))&gt;=100000), " ",IF(INDEX($AB$2:$AQ$1001,MATCH(ROWS($U$2:U694),$U$2:$U$1001,0),MATCH(COLUMNS($AB$1006:AC1006),$AB$1006:$AQ$1006,0)), HYPERLINK("#",""), HYPERLINK(CONCATENATE("#Metadata!", ADDRESS(INDEX($W$2:$W$1001,MATCH(ROWS($U$2:U694),$U$2:$U$1001,0),0), INDEX($AB$1004:$AQ$1004,1,MATCH(COLUMNS($AB$1006:AC1006),$AB$1006:$AQ$1006,0)))),"Fix")))</f>
        <v>0</v>
      </c>
      <c r="D694" s="5">
        <f>IF(OR(INDEX($V$2:$V$1001,MATCH(ROWS($U$2:U694),$U$2:$U$1001,0),1)&gt;=100000,INDEX($AB$1005:$AQ$1005,1,MATCH(COLUMNS($AB$1006:AD1006),$AB$1006:$AQ$1006,0))&gt;=100000), " ",IF(INDEX($AB$2:$AQ$1001,MATCH(ROWS($U$2:U694),$U$2:$U$1001,0),MATCH(COLUMNS($AB$1006:AD1006),$AB$1006:$AQ$1006,0)), HYPERLINK("#",""), HYPERLINK(CONCATENATE("#Metadata!", ADDRESS(INDEX($W$2:$W$1001,MATCH(ROWS($U$2:U694),$U$2:$U$1001,0),0), INDEX($AB$1004:$AQ$1004,1,MATCH(COLUMNS($AB$1006:AD1006),$AB$1006:$AQ$1006,0)))),"Fix")))</f>
        <v>0</v>
      </c>
      <c r="E694" s="5">
        <f>IF(OR(INDEX($V$2:$V$1001,MATCH(ROWS($U$2:U694),$U$2:$U$1001,0),1)&gt;=100000,INDEX($AB$1005:$AQ$1005,1,MATCH(COLUMNS($AB$1006:AE1006),$AB$1006:$AQ$1006,0))&gt;=100000), " ",IF(INDEX($AB$2:$AQ$1001,MATCH(ROWS($U$2:U694),$U$2:$U$1001,0),MATCH(COLUMNS($AB$1006:AE1006),$AB$1006:$AQ$1006,0)), HYPERLINK("#",""), HYPERLINK(CONCATENATE("#Metadata!", ADDRESS(INDEX($W$2:$W$1001,MATCH(ROWS($U$2:U694),$U$2:$U$1001,0),0), INDEX($AB$1004:$AQ$1004,1,MATCH(COLUMNS($AB$1006:AE1006),$AB$1006:$AQ$1006,0)))),"Fix")))</f>
        <v>0</v>
      </c>
      <c r="F694" s="5">
        <f>IF(OR(INDEX($V$2:$V$1001,MATCH(ROWS($U$2:U694),$U$2:$U$1001,0),1)&gt;=100000,INDEX($AB$1005:$AQ$1005,1,MATCH(COLUMNS($AB$1006:AF1006),$AB$1006:$AQ$1006,0))&gt;=100000), " ",IF(INDEX($AB$2:$AQ$1001,MATCH(ROWS($U$2:U694),$U$2:$U$1001,0),MATCH(COLUMNS($AB$1006:AF1006),$AB$1006:$AQ$1006,0)), HYPERLINK("#",""), HYPERLINK(CONCATENATE("#Metadata!", ADDRESS(INDEX($W$2:$W$1001,MATCH(ROWS($U$2:U694),$U$2:$U$1001,0),0), INDEX($AB$1004:$AQ$1004,1,MATCH(COLUMNS($AB$1006:AF1006),$AB$1006:$AQ$1006,0)))),"Fix")))</f>
        <v>0</v>
      </c>
      <c r="G694" s="5">
        <f>IF(OR(INDEX($V$2:$V$1001,MATCH(ROWS($U$2:U694),$U$2:$U$1001,0),1)&gt;=100000,INDEX($AB$1005:$AQ$1005,1,MATCH(COLUMNS($AB$1006:AG1006),$AB$1006:$AQ$1006,0))&gt;=100000), " ",IF(INDEX($AB$2:$AQ$1001,MATCH(ROWS($U$2:U694),$U$2:$U$1001,0),MATCH(COLUMNS($AB$1006:AG1006),$AB$1006:$AQ$1006,0)), HYPERLINK("#",""), HYPERLINK(CONCATENATE("#Metadata!", ADDRESS(INDEX($W$2:$W$1001,MATCH(ROWS($U$2:U694),$U$2:$U$1001,0),0), INDEX($AB$1004:$AQ$1004,1,MATCH(COLUMNS($AB$1006:AG1006),$AB$1006:$AQ$1006,0)))),"Fix")))</f>
        <v>0</v>
      </c>
      <c r="H694" s="5">
        <f>IF(OR(INDEX($V$2:$V$1001,MATCH(ROWS($U$2:U694),$U$2:$U$1001,0),1)&gt;=100000,INDEX($AB$1005:$AQ$1005,1,MATCH(COLUMNS($AB$1006:AH1006),$AB$1006:$AQ$1006,0))&gt;=100000), " ",IF(INDEX($AB$2:$AQ$1001,MATCH(ROWS($U$2:U694),$U$2:$U$1001,0),MATCH(COLUMNS($AB$1006:AH1006),$AB$1006:$AQ$1006,0)), HYPERLINK("#",""), HYPERLINK(CONCATENATE("#Metadata!", ADDRESS(INDEX($W$2:$W$1001,MATCH(ROWS($U$2:U694),$U$2:$U$1001,0),0), INDEX($AB$1004:$AQ$1004,1,MATCH(COLUMNS($AB$1006:AH1006),$AB$1006:$AQ$1006,0)))),"Fix")))</f>
        <v>0</v>
      </c>
      <c r="I694" s="5">
        <f>IF(OR(INDEX($V$2:$V$1001,MATCH(ROWS($U$2:U694),$U$2:$U$1001,0),1)&gt;=100000,INDEX($AB$1005:$AQ$1005,1,MATCH(COLUMNS($AB$1006:AI1006),$AB$1006:$AQ$1006,0))&gt;=100000), " ",IF(INDEX($AB$2:$AQ$1001,MATCH(ROWS($U$2:U694),$U$2:$U$1001,0),MATCH(COLUMNS($AB$1006:AI1006),$AB$1006:$AQ$1006,0)), HYPERLINK("#",""), HYPERLINK(CONCATENATE("#Metadata!", ADDRESS(INDEX($W$2:$W$1001,MATCH(ROWS($U$2:U694),$U$2:$U$1001,0),0), INDEX($AB$1004:$AQ$1004,1,MATCH(COLUMNS($AB$1006:AI1006),$AB$1006:$AQ$1006,0)))),"Fix")))</f>
        <v>0</v>
      </c>
      <c r="J694" s="5">
        <f>IF(OR(INDEX($V$2:$V$1001,MATCH(ROWS($U$2:U694),$U$2:$U$1001,0),1)&gt;=100000,INDEX($AB$1005:$AQ$1005,1,MATCH(COLUMNS($AB$1006:AJ1006),$AB$1006:$AQ$1006,0))&gt;=100000), " ",IF(INDEX($AB$2:$AQ$1001,MATCH(ROWS($U$2:U694),$U$2:$U$1001,0),MATCH(COLUMNS($AB$1006:AJ1006),$AB$1006:$AQ$1006,0)), HYPERLINK("#",""), HYPERLINK(CONCATENATE("#Metadata!", ADDRESS(INDEX($W$2:$W$1001,MATCH(ROWS($U$2:U694),$U$2:$U$1001,0),0), INDEX($AB$1004:$AQ$1004,1,MATCH(COLUMNS($AB$1006:AJ1006),$AB$1006:$AQ$1006,0)))),"Fix")))</f>
        <v>0</v>
      </c>
      <c r="K694" s="5">
        <f>IF(OR(INDEX($V$2:$V$1001,MATCH(ROWS($U$2:U694),$U$2:$U$1001,0),1)&gt;=100000,INDEX($AB$1005:$AQ$1005,1,MATCH(COLUMNS($AB$1006:AK1006),$AB$1006:$AQ$1006,0))&gt;=100000), " ",IF(INDEX($AB$2:$AQ$1001,MATCH(ROWS($U$2:U694),$U$2:$U$1001,0),MATCH(COLUMNS($AB$1006:AK1006),$AB$1006:$AQ$1006,0)), HYPERLINK("#",""), HYPERLINK(CONCATENATE("#Metadata!", ADDRESS(INDEX($W$2:$W$1001,MATCH(ROWS($U$2:U694),$U$2:$U$1001,0),0), INDEX($AB$1004:$AQ$1004,1,MATCH(COLUMNS($AB$1006:AK1006),$AB$1006:$AQ$1006,0)))),"Fix")))</f>
        <v>0</v>
      </c>
      <c r="L694" s="5">
        <f>IF(OR(INDEX($V$2:$V$1001,MATCH(ROWS($U$2:U694),$U$2:$U$1001,0),1)&gt;=100000,INDEX($AB$1005:$AQ$1005,1,MATCH(COLUMNS($AB$1006:AL1006),$AB$1006:$AQ$1006,0))&gt;=100000), " ",IF(INDEX($AB$2:$AQ$1001,MATCH(ROWS($U$2:U694),$U$2:$U$1001,0),MATCH(COLUMNS($AB$1006:AL1006),$AB$1006:$AQ$1006,0)), HYPERLINK("#",""), HYPERLINK(CONCATENATE("#Metadata!", ADDRESS(INDEX($W$2:$W$1001,MATCH(ROWS($U$2:U694),$U$2:$U$1001,0),0), INDEX($AB$1004:$AQ$1004,1,MATCH(COLUMNS($AB$1006:AL1006),$AB$1006:$AQ$1006,0)))),"Fix")))</f>
        <v>0</v>
      </c>
      <c r="M694" s="5">
        <f>IF(OR(INDEX($V$2:$V$1001,MATCH(ROWS($U$2:U694),$U$2:$U$1001,0),1)&gt;=100000,INDEX($AB$1005:$AQ$1005,1,MATCH(COLUMNS($AB$1006:AM1006),$AB$1006:$AQ$1006,0))&gt;=100000), " ",IF(INDEX($AB$2:$AQ$1001,MATCH(ROWS($U$2:U694),$U$2:$U$1001,0),MATCH(COLUMNS($AB$1006:AM1006),$AB$1006:$AQ$1006,0)), HYPERLINK("#",""), HYPERLINK(CONCATENATE("#Metadata!", ADDRESS(INDEX($W$2:$W$1001,MATCH(ROWS($U$2:U694),$U$2:$U$1001,0),0), INDEX($AB$1004:$AQ$1004,1,MATCH(COLUMNS($AB$1006:AM1006),$AB$1006:$AQ$1006,0)))),"Fix")))</f>
        <v>0</v>
      </c>
      <c r="N694" s="5">
        <f>IF(OR(INDEX($V$2:$V$1001,MATCH(ROWS($U$2:U694),$U$2:$U$1001,0),1)&gt;=100000,INDEX($AB$1005:$AQ$1005,1,MATCH(COLUMNS($AB$1006:AN1006),$AB$1006:$AQ$1006,0))&gt;=100000), " ",IF(INDEX($AB$2:$AQ$1001,MATCH(ROWS($U$2:U694),$U$2:$U$1001,0),MATCH(COLUMNS($AB$1006:AN1006),$AB$1006:$AQ$1006,0)), HYPERLINK("#",""), HYPERLINK(CONCATENATE("#Metadata!", ADDRESS(INDEX($W$2:$W$1001,MATCH(ROWS($U$2:U694),$U$2:$U$1001,0),0), INDEX($AB$1004:$AQ$1004,1,MATCH(COLUMNS($AB$1006:AN1006),$AB$1006:$AQ$1006,0)))),"Fix")))</f>
        <v>0</v>
      </c>
      <c r="O694" s="5">
        <f>IF(OR(INDEX($V$2:$V$1001,MATCH(ROWS($U$2:U694),$U$2:$U$1001,0),1)&gt;=100000,INDEX($AB$1005:$AQ$1005,1,MATCH(COLUMNS($AB$1006:AO1006),$AB$1006:$AQ$1006,0))&gt;=100000), " ",IF(INDEX($AB$2:$AQ$1001,MATCH(ROWS($U$2:U694),$U$2:$U$1001,0),MATCH(COLUMNS($AB$1006:AO1006),$AB$1006:$AQ$1006,0)), HYPERLINK("#",""), HYPERLINK(CONCATENATE("#Metadata!", ADDRESS(INDEX($W$2:$W$1001,MATCH(ROWS($U$2:U694),$U$2:$U$1001,0),0), INDEX($AB$1004:$AQ$1004,1,MATCH(COLUMNS($AB$1006:AO1006),$AB$1006:$AQ$1006,0)))),"Fix")))</f>
        <v>0</v>
      </c>
      <c r="P694" s="5">
        <f>IF(OR(INDEX($V$2:$V$1001,MATCH(ROWS($U$2:U694),$U$2:$U$1001,0),1)&gt;=100000,INDEX($AB$1005:$AQ$1005,1,MATCH(COLUMNS($AB$1006:AP1006),$AB$1006:$AQ$1006,0))&gt;=100000), " ",IF(INDEX($AB$2:$AQ$1001,MATCH(ROWS($U$2:U694),$U$2:$U$1001,0),MATCH(COLUMNS($AB$1006:AP1006),$AB$1006:$AQ$1006,0)), HYPERLINK("#",""), HYPERLINK(CONCATENATE("#Metadata!", ADDRESS(INDEX($W$2:$W$1001,MATCH(ROWS($U$2:U694),$U$2:$U$1001,0),0), INDEX($AB$1004:$AQ$1004,1,MATCH(COLUMNS($AB$1006:AP1006),$AB$1006:$AQ$1006,0)))),"Fix")))</f>
        <v>0</v>
      </c>
      <c r="Q694" s="5">
        <f>IF(OR(INDEX($V$2:$V$1001,MATCH(ROWS($U$2:U694),$U$2:$U$1001,0),1)&gt;=100000,INDEX($AB$1005:$AQ$1005,1,MATCH(COLUMNS($AB$1006:AQ1006),$AB$1006:$AQ$1006,0))&gt;=100000), " ",IF(INDEX($AB$2:$AQ$1001,MATCH(ROWS($U$2:U694),$U$2:$U$1001,0),MATCH(COLUMNS($AB$1006:AQ1006),$AB$1006:$AQ$1006,0)), HYPERLINK("#",""), HYPERLINK(CONCATENATE("#Metadata!", ADDRESS(INDEX($W$2:$W$1001,MATCH(ROWS($U$2:U694),$U$2:$U$1001,0),0), INDEX($AB$1004:$AQ$1004,1,MATCH(COLUMNS($AB$1006:AQ1006),$AB$1006:$AQ$1006,0)))),"Fix")))</f>
        <v>0</v>
      </c>
      <c r="U694">
        <v>0</v>
      </c>
      <c r="V694">
        <v>0</v>
      </c>
      <c r="W694">
        <v>0</v>
      </c>
      <c r="X694">
        <f>IF(Y694,TRUE,AND(AB694:AQ694))</f>
        <v>0</v>
      </c>
      <c r="Y694">
        <f>COUNTBLANK(Metadata!B694:Q694)=COLUMNS(Metadata!B694:Q694)</f>
        <v>0</v>
      </c>
      <c r="Z694">
        <v>0</v>
      </c>
      <c r="AB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AC694">
        <f>AND(IF(Metadata!C694="",FALSE,TRUE),exact(Metadata!C694,"urban biome"))</f>
        <v>0</v>
      </c>
      <c r="AD694">
        <f>AND(IF(Metadata!D694="",FALSE,TRUE),exact(Metadata!D694,"human-associated habitat"))</f>
        <v>0</v>
      </c>
      <c r="AE694">
        <f>AND(IF(Metadata!E694="",FALSE,TRUE),OR(exact(Metadata!E694,"human-associated"),exact(Metadata!E694,"human-skin"),exact(Metadata!E694,"human-oral"),exact(Metadata!E694,"human-gut"),exact(Metadata!E694,"human-vaginal")))</f>
        <v>0</v>
      </c>
      <c r="AF694">
        <f>AND(IF(Metadata!F694="",FALSE,ISNUMBER(VALUE(Metadata!F694))),Metadata!F694&gt;0)</f>
        <v>0</v>
      </c>
      <c r="AG694">
        <f>AND(IF(Metadata!G694="",FALSE,TRUE),exact(Metadata!G694,"years"))</f>
        <v>0</v>
      </c>
      <c r="AH694">
        <f>OR(AND(IF(Metadata!H694="",FALSE,TRUE),OR(exact(Metadata!H694,"not applicable"),exact(Metadata!H694,"not collected"),exact(Metadata!H694,"not provided"),exact(Metadata!H694,"restricted access"))),AND(IF(Metadata!H694="",FALSE,ISNUMBER(VALUE(Metadata!H694))),Metadata!H694&gt;0))</f>
        <v>0</v>
      </c>
      <c r="AI694">
        <f>AND(IF(Metadata!I694="",FALSE,TRUE),exact(Metadata!I694,"human"))</f>
        <v>0</v>
      </c>
      <c r="AJ694">
        <f>AND(IF(Metadata!J694="",FALSE,ISNUMBER(VALUE(Metadata!J694))),Metadata!J694&gt;0)</f>
        <v>0</v>
      </c>
      <c r="AK694">
        <f>AND(IF(Metadata!K694="",FALSE,TRUE),exact(Metadata!K694,"cm"))</f>
        <v>0</v>
      </c>
      <c r="AL694">
        <f>AND(IF(Metadata!L694="",FALSE,TRUE),exact(Metadata!L694,"Homo sapiens"))</f>
        <v>0</v>
      </c>
      <c r="AM694">
        <f>AND(IF(Metadata!M694="",FALSE,TRUE),exact(Metadata!M694,"9606"))</f>
        <v>0</v>
      </c>
      <c r="AN694">
        <f>AND(IF(Metadata!N694="",FALSE,ISNUMBER(VALUE(Metadata!N694))),Metadata!N694&gt;0)</f>
        <v>0</v>
      </c>
      <c r="AO694">
        <f>AND(IF(Metadata!O694="",FALSE,TRUE),exact(Metadata!O694,"kg"))</f>
        <v>0</v>
      </c>
      <c r="AP694">
        <f>OR(AND(IF(Metadata!P694="",FALSE,TRUE),exact(Metadata!P694,"not provided")),IF(Metadata!P694="",FALSE,TRUE))</f>
        <v>0</v>
      </c>
      <c r="AQ694">
        <f>OR(AND(IF(Metadata!Q694="",FALSE,TRUE),exact(Metadata!Q694,"not provided")),IF(Metadata!Q694="",FALSE,TRUE))</f>
        <v>0</v>
      </c>
    </row>
    <row r="695" spans="1:43">
      <c r="A695" s="4">
        <f>IF(B695=" "," ",HYPERLINK(CONCATENATE("#metadata!",ADDRESS(INDEX($W$2:$W$1001,MATCH(ROWS($U$2:U695),$U$2:$U$1001,0),0),2)),INDEX($Z$2:$Z$1001,MATCH(ROWS($U$2:U695),$U$2:$U$1001,0),0)))</f>
        <v>0</v>
      </c>
      <c r="B695" s="5">
        <f>IF(OR(INDEX($V$2:$V$1001,MATCH(ROWS($U$2:U695),$U$2:$U$1001,0),1)&gt;=100000,INDEX($AB$1005:$AQ$1005,1,MATCH(COLUMNS($AB$1006:AB1006),$AB$1006:$AQ$1006,0))&gt;=100000), " ",IF(INDEX($AB$2:$AQ$1001,MATCH(ROWS($U$2:U695),$U$2:$U$1001,0),MATCH(COLUMNS($AB$1006:AB1006),$AB$1006:$AQ$1006,0)), HYPERLINK("#",""), HYPERLINK(CONCATENATE("#Metadata!", ADDRESS(INDEX($W$2:$W$1001,MATCH(ROWS($U$2:U695),$U$2:$U$1001,0),0), INDEX($AB$1004:$AQ$1004,1,MATCH(COLUMNS($AB$1006:AB1006),$AB$1006:$AQ$1006,0)))),"Fix")))</f>
        <v>0</v>
      </c>
      <c r="C695" s="5">
        <f>IF(OR(INDEX($V$2:$V$1001,MATCH(ROWS($U$2:U695),$U$2:$U$1001,0),1)&gt;=100000,INDEX($AB$1005:$AQ$1005,1,MATCH(COLUMNS($AB$1006:AC1006),$AB$1006:$AQ$1006,0))&gt;=100000), " ",IF(INDEX($AB$2:$AQ$1001,MATCH(ROWS($U$2:U695),$U$2:$U$1001,0),MATCH(COLUMNS($AB$1006:AC1006),$AB$1006:$AQ$1006,0)), HYPERLINK("#",""), HYPERLINK(CONCATENATE("#Metadata!", ADDRESS(INDEX($W$2:$W$1001,MATCH(ROWS($U$2:U695),$U$2:$U$1001,0),0), INDEX($AB$1004:$AQ$1004,1,MATCH(COLUMNS($AB$1006:AC1006),$AB$1006:$AQ$1006,0)))),"Fix")))</f>
        <v>0</v>
      </c>
      <c r="D695" s="5">
        <f>IF(OR(INDEX($V$2:$V$1001,MATCH(ROWS($U$2:U695),$U$2:$U$1001,0),1)&gt;=100000,INDEX($AB$1005:$AQ$1005,1,MATCH(COLUMNS($AB$1006:AD1006),$AB$1006:$AQ$1006,0))&gt;=100000), " ",IF(INDEX($AB$2:$AQ$1001,MATCH(ROWS($U$2:U695),$U$2:$U$1001,0),MATCH(COLUMNS($AB$1006:AD1006),$AB$1006:$AQ$1006,0)), HYPERLINK("#",""), HYPERLINK(CONCATENATE("#Metadata!", ADDRESS(INDEX($W$2:$W$1001,MATCH(ROWS($U$2:U695),$U$2:$U$1001,0),0), INDEX($AB$1004:$AQ$1004,1,MATCH(COLUMNS($AB$1006:AD1006),$AB$1006:$AQ$1006,0)))),"Fix")))</f>
        <v>0</v>
      </c>
      <c r="E695" s="5">
        <f>IF(OR(INDEX($V$2:$V$1001,MATCH(ROWS($U$2:U695),$U$2:$U$1001,0),1)&gt;=100000,INDEX($AB$1005:$AQ$1005,1,MATCH(COLUMNS($AB$1006:AE1006),$AB$1006:$AQ$1006,0))&gt;=100000), " ",IF(INDEX($AB$2:$AQ$1001,MATCH(ROWS($U$2:U695),$U$2:$U$1001,0),MATCH(COLUMNS($AB$1006:AE1006),$AB$1006:$AQ$1006,0)), HYPERLINK("#",""), HYPERLINK(CONCATENATE("#Metadata!", ADDRESS(INDEX($W$2:$W$1001,MATCH(ROWS($U$2:U695),$U$2:$U$1001,0),0), INDEX($AB$1004:$AQ$1004,1,MATCH(COLUMNS($AB$1006:AE1006),$AB$1006:$AQ$1006,0)))),"Fix")))</f>
        <v>0</v>
      </c>
      <c r="F695" s="5">
        <f>IF(OR(INDEX($V$2:$V$1001,MATCH(ROWS($U$2:U695),$U$2:$U$1001,0),1)&gt;=100000,INDEX($AB$1005:$AQ$1005,1,MATCH(COLUMNS($AB$1006:AF1006),$AB$1006:$AQ$1006,0))&gt;=100000), " ",IF(INDEX($AB$2:$AQ$1001,MATCH(ROWS($U$2:U695),$U$2:$U$1001,0),MATCH(COLUMNS($AB$1006:AF1006),$AB$1006:$AQ$1006,0)), HYPERLINK("#",""), HYPERLINK(CONCATENATE("#Metadata!", ADDRESS(INDEX($W$2:$W$1001,MATCH(ROWS($U$2:U695),$U$2:$U$1001,0),0), INDEX($AB$1004:$AQ$1004,1,MATCH(COLUMNS($AB$1006:AF1006),$AB$1006:$AQ$1006,0)))),"Fix")))</f>
        <v>0</v>
      </c>
      <c r="G695" s="5">
        <f>IF(OR(INDEX($V$2:$V$1001,MATCH(ROWS($U$2:U695),$U$2:$U$1001,0),1)&gt;=100000,INDEX($AB$1005:$AQ$1005,1,MATCH(COLUMNS($AB$1006:AG1006),$AB$1006:$AQ$1006,0))&gt;=100000), " ",IF(INDEX($AB$2:$AQ$1001,MATCH(ROWS($U$2:U695),$U$2:$U$1001,0),MATCH(COLUMNS($AB$1006:AG1006),$AB$1006:$AQ$1006,0)), HYPERLINK("#",""), HYPERLINK(CONCATENATE("#Metadata!", ADDRESS(INDEX($W$2:$W$1001,MATCH(ROWS($U$2:U695),$U$2:$U$1001,0),0), INDEX($AB$1004:$AQ$1004,1,MATCH(COLUMNS($AB$1006:AG1006),$AB$1006:$AQ$1006,0)))),"Fix")))</f>
        <v>0</v>
      </c>
      <c r="H695" s="5">
        <f>IF(OR(INDEX($V$2:$V$1001,MATCH(ROWS($U$2:U695),$U$2:$U$1001,0),1)&gt;=100000,INDEX($AB$1005:$AQ$1005,1,MATCH(COLUMNS($AB$1006:AH1006),$AB$1006:$AQ$1006,0))&gt;=100000), " ",IF(INDEX($AB$2:$AQ$1001,MATCH(ROWS($U$2:U695),$U$2:$U$1001,0),MATCH(COLUMNS($AB$1006:AH1006),$AB$1006:$AQ$1006,0)), HYPERLINK("#",""), HYPERLINK(CONCATENATE("#Metadata!", ADDRESS(INDEX($W$2:$W$1001,MATCH(ROWS($U$2:U695),$U$2:$U$1001,0),0), INDEX($AB$1004:$AQ$1004,1,MATCH(COLUMNS($AB$1006:AH1006),$AB$1006:$AQ$1006,0)))),"Fix")))</f>
        <v>0</v>
      </c>
      <c r="I695" s="5">
        <f>IF(OR(INDEX($V$2:$V$1001,MATCH(ROWS($U$2:U695),$U$2:$U$1001,0),1)&gt;=100000,INDEX($AB$1005:$AQ$1005,1,MATCH(COLUMNS($AB$1006:AI1006),$AB$1006:$AQ$1006,0))&gt;=100000), " ",IF(INDEX($AB$2:$AQ$1001,MATCH(ROWS($U$2:U695),$U$2:$U$1001,0),MATCH(COLUMNS($AB$1006:AI1006),$AB$1006:$AQ$1006,0)), HYPERLINK("#",""), HYPERLINK(CONCATENATE("#Metadata!", ADDRESS(INDEX($W$2:$W$1001,MATCH(ROWS($U$2:U695),$U$2:$U$1001,0),0), INDEX($AB$1004:$AQ$1004,1,MATCH(COLUMNS($AB$1006:AI1006),$AB$1006:$AQ$1006,0)))),"Fix")))</f>
        <v>0</v>
      </c>
      <c r="J695" s="5">
        <f>IF(OR(INDEX($V$2:$V$1001,MATCH(ROWS($U$2:U695),$U$2:$U$1001,0),1)&gt;=100000,INDEX($AB$1005:$AQ$1005,1,MATCH(COLUMNS($AB$1006:AJ1006),$AB$1006:$AQ$1006,0))&gt;=100000), " ",IF(INDEX($AB$2:$AQ$1001,MATCH(ROWS($U$2:U695),$U$2:$U$1001,0),MATCH(COLUMNS($AB$1006:AJ1006),$AB$1006:$AQ$1006,0)), HYPERLINK("#",""), HYPERLINK(CONCATENATE("#Metadata!", ADDRESS(INDEX($W$2:$W$1001,MATCH(ROWS($U$2:U695),$U$2:$U$1001,0),0), INDEX($AB$1004:$AQ$1004,1,MATCH(COLUMNS($AB$1006:AJ1006),$AB$1006:$AQ$1006,0)))),"Fix")))</f>
        <v>0</v>
      </c>
      <c r="K695" s="5">
        <f>IF(OR(INDEX($V$2:$V$1001,MATCH(ROWS($U$2:U695),$U$2:$U$1001,0),1)&gt;=100000,INDEX($AB$1005:$AQ$1005,1,MATCH(COLUMNS($AB$1006:AK1006),$AB$1006:$AQ$1006,0))&gt;=100000), " ",IF(INDEX($AB$2:$AQ$1001,MATCH(ROWS($U$2:U695),$U$2:$U$1001,0),MATCH(COLUMNS($AB$1006:AK1006),$AB$1006:$AQ$1006,0)), HYPERLINK("#",""), HYPERLINK(CONCATENATE("#Metadata!", ADDRESS(INDEX($W$2:$W$1001,MATCH(ROWS($U$2:U695),$U$2:$U$1001,0),0), INDEX($AB$1004:$AQ$1004,1,MATCH(COLUMNS($AB$1006:AK1006),$AB$1006:$AQ$1006,0)))),"Fix")))</f>
        <v>0</v>
      </c>
      <c r="L695" s="5">
        <f>IF(OR(INDEX($V$2:$V$1001,MATCH(ROWS($U$2:U695),$U$2:$U$1001,0),1)&gt;=100000,INDEX($AB$1005:$AQ$1005,1,MATCH(COLUMNS($AB$1006:AL1006),$AB$1006:$AQ$1006,0))&gt;=100000), " ",IF(INDEX($AB$2:$AQ$1001,MATCH(ROWS($U$2:U695),$U$2:$U$1001,0),MATCH(COLUMNS($AB$1006:AL1006),$AB$1006:$AQ$1006,0)), HYPERLINK("#",""), HYPERLINK(CONCATENATE("#Metadata!", ADDRESS(INDEX($W$2:$W$1001,MATCH(ROWS($U$2:U695),$U$2:$U$1001,0),0), INDEX($AB$1004:$AQ$1004,1,MATCH(COLUMNS($AB$1006:AL1006),$AB$1006:$AQ$1006,0)))),"Fix")))</f>
        <v>0</v>
      </c>
      <c r="M695" s="5">
        <f>IF(OR(INDEX($V$2:$V$1001,MATCH(ROWS($U$2:U695),$U$2:$U$1001,0),1)&gt;=100000,INDEX($AB$1005:$AQ$1005,1,MATCH(COLUMNS($AB$1006:AM1006),$AB$1006:$AQ$1006,0))&gt;=100000), " ",IF(INDEX($AB$2:$AQ$1001,MATCH(ROWS($U$2:U695),$U$2:$U$1001,0),MATCH(COLUMNS($AB$1006:AM1006),$AB$1006:$AQ$1006,0)), HYPERLINK("#",""), HYPERLINK(CONCATENATE("#Metadata!", ADDRESS(INDEX($W$2:$W$1001,MATCH(ROWS($U$2:U695),$U$2:$U$1001,0),0), INDEX($AB$1004:$AQ$1004,1,MATCH(COLUMNS($AB$1006:AM1006),$AB$1006:$AQ$1006,0)))),"Fix")))</f>
        <v>0</v>
      </c>
      <c r="N695" s="5">
        <f>IF(OR(INDEX($V$2:$V$1001,MATCH(ROWS($U$2:U695),$U$2:$U$1001,0),1)&gt;=100000,INDEX($AB$1005:$AQ$1005,1,MATCH(COLUMNS($AB$1006:AN1006),$AB$1006:$AQ$1006,0))&gt;=100000), " ",IF(INDEX($AB$2:$AQ$1001,MATCH(ROWS($U$2:U695),$U$2:$U$1001,0),MATCH(COLUMNS($AB$1006:AN1006),$AB$1006:$AQ$1006,0)), HYPERLINK("#",""), HYPERLINK(CONCATENATE("#Metadata!", ADDRESS(INDEX($W$2:$W$1001,MATCH(ROWS($U$2:U695),$U$2:$U$1001,0),0), INDEX($AB$1004:$AQ$1004,1,MATCH(COLUMNS($AB$1006:AN1006),$AB$1006:$AQ$1006,0)))),"Fix")))</f>
        <v>0</v>
      </c>
      <c r="O695" s="5">
        <f>IF(OR(INDEX($V$2:$V$1001,MATCH(ROWS($U$2:U695),$U$2:$U$1001,0),1)&gt;=100000,INDEX($AB$1005:$AQ$1005,1,MATCH(COLUMNS($AB$1006:AO1006),$AB$1006:$AQ$1006,0))&gt;=100000), " ",IF(INDEX($AB$2:$AQ$1001,MATCH(ROWS($U$2:U695),$U$2:$U$1001,0),MATCH(COLUMNS($AB$1006:AO1006),$AB$1006:$AQ$1006,0)), HYPERLINK("#",""), HYPERLINK(CONCATENATE("#Metadata!", ADDRESS(INDEX($W$2:$W$1001,MATCH(ROWS($U$2:U695),$U$2:$U$1001,0),0), INDEX($AB$1004:$AQ$1004,1,MATCH(COLUMNS($AB$1006:AO1006),$AB$1006:$AQ$1006,0)))),"Fix")))</f>
        <v>0</v>
      </c>
      <c r="P695" s="5">
        <f>IF(OR(INDEX($V$2:$V$1001,MATCH(ROWS($U$2:U695),$U$2:$U$1001,0),1)&gt;=100000,INDEX($AB$1005:$AQ$1005,1,MATCH(COLUMNS($AB$1006:AP1006),$AB$1006:$AQ$1006,0))&gt;=100000), " ",IF(INDEX($AB$2:$AQ$1001,MATCH(ROWS($U$2:U695),$U$2:$U$1001,0),MATCH(COLUMNS($AB$1006:AP1006),$AB$1006:$AQ$1006,0)), HYPERLINK("#",""), HYPERLINK(CONCATENATE("#Metadata!", ADDRESS(INDEX($W$2:$W$1001,MATCH(ROWS($U$2:U695),$U$2:$U$1001,0),0), INDEX($AB$1004:$AQ$1004,1,MATCH(COLUMNS($AB$1006:AP1006),$AB$1006:$AQ$1006,0)))),"Fix")))</f>
        <v>0</v>
      </c>
      <c r="Q695" s="5">
        <f>IF(OR(INDEX($V$2:$V$1001,MATCH(ROWS($U$2:U695),$U$2:$U$1001,0),1)&gt;=100000,INDEX($AB$1005:$AQ$1005,1,MATCH(COLUMNS($AB$1006:AQ1006),$AB$1006:$AQ$1006,0))&gt;=100000), " ",IF(INDEX($AB$2:$AQ$1001,MATCH(ROWS($U$2:U695),$U$2:$U$1001,0),MATCH(COLUMNS($AB$1006:AQ1006),$AB$1006:$AQ$1006,0)), HYPERLINK("#",""), HYPERLINK(CONCATENATE("#Metadata!", ADDRESS(INDEX($W$2:$W$1001,MATCH(ROWS($U$2:U695),$U$2:$U$1001,0),0), INDEX($AB$1004:$AQ$1004,1,MATCH(COLUMNS($AB$1006:AQ1006),$AB$1006:$AQ$1006,0)))),"Fix")))</f>
        <v>0</v>
      </c>
      <c r="U695">
        <v>0</v>
      </c>
      <c r="V695">
        <v>0</v>
      </c>
      <c r="W695">
        <v>0</v>
      </c>
      <c r="X695">
        <f>IF(Y695,TRUE,AND(AB695:AQ695))</f>
        <v>0</v>
      </c>
      <c r="Y695">
        <f>COUNTBLANK(Metadata!B695:Q695)=COLUMNS(Metadata!B695:Q695)</f>
        <v>0</v>
      </c>
      <c r="Z695">
        <v>0</v>
      </c>
      <c r="AB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AC695">
        <f>AND(IF(Metadata!C695="",FALSE,TRUE),exact(Metadata!C695,"urban biome"))</f>
        <v>0</v>
      </c>
      <c r="AD695">
        <f>AND(IF(Metadata!D695="",FALSE,TRUE),exact(Metadata!D695,"human-associated habitat"))</f>
        <v>0</v>
      </c>
      <c r="AE695">
        <f>AND(IF(Metadata!E695="",FALSE,TRUE),OR(exact(Metadata!E695,"human-associated"),exact(Metadata!E695,"human-skin"),exact(Metadata!E695,"human-oral"),exact(Metadata!E695,"human-gut"),exact(Metadata!E695,"human-vaginal")))</f>
        <v>0</v>
      </c>
      <c r="AF695">
        <f>AND(IF(Metadata!F695="",FALSE,ISNUMBER(VALUE(Metadata!F695))),Metadata!F695&gt;0)</f>
        <v>0</v>
      </c>
      <c r="AG695">
        <f>AND(IF(Metadata!G695="",FALSE,TRUE),exact(Metadata!G695,"years"))</f>
        <v>0</v>
      </c>
      <c r="AH695">
        <f>OR(AND(IF(Metadata!H695="",FALSE,TRUE),OR(exact(Metadata!H695,"not applicable"),exact(Metadata!H695,"not collected"),exact(Metadata!H695,"not provided"),exact(Metadata!H695,"restricted access"))),AND(IF(Metadata!H695="",FALSE,ISNUMBER(VALUE(Metadata!H695))),Metadata!H695&gt;0))</f>
        <v>0</v>
      </c>
      <c r="AI695">
        <f>AND(IF(Metadata!I695="",FALSE,TRUE),exact(Metadata!I695,"human"))</f>
        <v>0</v>
      </c>
      <c r="AJ695">
        <f>AND(IF(Metadata!J695="",FALSE,ISNUMBER(VALUE(Metadata!J695))),Metadata!J695&gt;0)</f>
        <v>0</v>
      </c>
      <c r="AK695">
        <f>AND(IF(Metadata!K695="",FALSE,TRUE),exact(Metadata!K695,"cm"))</f>
        <v>0</v>
      </c>
      <c r="AL695">
        <f>AND(IF(Metadata!L695="",FALSE,TRUE),exact(Metadata!L695,"Homo sapiens"))</f>
        <v>0</v>
      </c>
      <c r="AM695">
        <f>AND(IF(Metadata!M695="",FALSE,TRUE),exact(Metadata!M695,"9606"))</f>
        <v>0</v>
      </c>
      <c r="AN695">
        <f>AND(IF(Metadata!N695="",FALSE,ISNUMBER(VALUE(Metadata!N695))),Metadata!N695&gt;0)</f>
        <v>0</v>
      </c>
      <c r="AO695">
        <f>AND(IF(Metadata!O695="",FALSE,TRUE),exact(Metadata!O695,"kg"))</f>
        <v>0</v>
      </c>
      <c r="AP695">
        <f>OR(AND(IF(Metadata!P695="",FALSE,TRUE),exact(Metadata!P695,"not provided")),IF(Metadata!P695="",FALSE,TRUE))</f>
        <v>0</v>
      </c>
      <c r="AQ695">
        <f>OR(AND(IF(Metadata!Q695="",FALSE,TRUE),exact(Metadata!Q695,"not provided")),IF(Metadata!Q695="",FALSE,TRUE))</f>
        <v>0</v>
      </c>
    </row>
    <row r="696" spans="1:43">
      <c r="A696" s="4">
        <f>IF(B696=" "," ",HYPERLINK(CONCATENATE("#metadata!",ADDRESS(INDEX($W$2:$W$1001,MATCH(ROWS($U$2:U696),$U$2:$U$1001,0),0),2)),INDEX($Z$2:$Z$1001,MATCH(ROWS($U$2:U696),$U$2:$U$1001,0),0)))</f>
        <v>0</v>
      </c>
      <c r="B696" s="5">
        <f>IF(OR(INDEX($V$2:$V$1001,MATCH(ROWS($U$2:U696),$U$2:$U$1001,0),1)&gt;=100000,INDEX($AB$1005:$AQ$1005,1,MATCH(COLUMNS($AB$1006:AB1006),$AB$1006:$AQ$1006,0))&gt;=100000), " ",IF(INDEX($AB$2:$AQ$1001,MATCH(ROWS($U$2:U696),$U$2:$U$1001,0),MATCH(COLUMNS($AB$1006:AB1006),$AB$1006:$AQ$1006,0)), HYPERLINK("#",""), HYPERLINK(CONCATENATE("#Metadata!", ADDRESS(INDEX($W$2:$W$1001,MATCH(ROWS($U$2:U696),$U$2:$U$1001,0),0), INDEX($AB$1004:$AQ$1004,1,MATCH(COLUMNS($AB$1006:AB1006),$AB$1006:$AQ$1006,0)))),"Fix")))</f>
        <v>0</v>
      </c>
      <c r="C696" s="5">
        <f>IF(OR(INDEX($V$2:$V$1001,MATCH(ROWS($U$2:U696),$U$2:$U$1001,0),1)&gt;=100000,INDEX($AB$1005:$AQ$1005,1,MATCH(COLUMNS($AB$1006:AC1006),$AB$1006:$AQ$1006,0))&gt;=100000), " ",IF(INDEX($AB$2:$AQ$1001,MATCH(ROWS($U$2:U696),$U$2:$U$1001,0),MATCH(COLUMNS($AB$1006:AC1006),$AB$1006:$AQ$1006,0)), HYPERLINK("#",""), HYPERLINK(CONCATENATE("#Metadata!", ADDRESS(INDEX($W$2:$W$1001,MATCH(ROWS($U$2:U696),$U$2:$U$1001,0),0), INDEX($AB$1004:$AQ$1004,1,MATCH(COLUMNS($AB$1006:AC1006),$AB$1006:$AQ$1006,0)))),"Fix")))</f>
        <v>0</v>
      </c>
      <c r="D696" s="5">
        <f>IF(OR(INDEX($V$2:$V$1001,MATCH(ROWS($U$2:U696),$U$2:$U$1001,0),1)&gt;=100000,INDEX($AB$1005:$AQ$1005,1,MATCH(COLUMNS($AB$1006:AD1006),$AB$1006:$AQ$1006,0))&gt;=100000), " ",IF(INDEX($AB$2:$AQ$1001,MATCH(ROWS($U$2:U696),$U$2:$U$1001,0),MATCH(COLUMNS($AB$1006:AD1006),$AB$1006:$AQ$1006,0)), HYPERLINK("#",""), HYPERLINK(CONCATENATE("#Metadata!", ADDRESS(INDEX($W$2:$W$1001,MATCH(ROWS($U$2:U696),$U$2:$U$1001,0),0), INDEX($AB$1004:$AQ$1004,1,MATCH(COLUMNS($AB$1006:AD1006),$AB$1006:$AQ$1006,0)))),"Fix")))</f>
        <v>0</v>
      </c>
      <c r="E696" s="5">
        <f>IF(OR(INDEX($V$2:$V$1001,MATCH(ROWS($U$2:U696),$U$2:$U$1001,0),1)&gt;=100000,INDEX($AB$1005:$AQ$1005,1,MATCH(COLUMNS($AB$1006:AE1006),$AB$1006:$AQ$1006,0))&gt;=100000), " ",IF(INDEX($AB$2:$AQ$1001,MATCH(ROWS($U$2:U696),$U$2:$U$1001,0),MATCH(COLUMNS($AB$1006:AE1006),$AB$1006:$AQ$1006,0)), HYPERLINK("#",""), HYPERLINK(CONCATENATE("#Metadata!", ADDRESS(INDEX($W$2:$W$1001,MATCH(ROWS($U$2:U696),$U$2:$U$1001,0),0), INDEX($AB$1004:$AQ$1004,1,MATCH(COLUMNS($AB$1006:AE1006),$AB$1006:$AQ$1006,0)))),"Fix")))</f>
        <v>0</v>
      </c>
      <c r="F696" s="5">
        <f>IF(OR(INDEX($V$2:$V$1001,MATCH(ROWS($U$2:U696),$U$2:$U$1001,0),1)&gt;=100000,INDEX($AB$1005:$AQ$1005,1,MATCH(COLUMNS($AB$1006:AF1006),$AB$1006:$AQ$1006,0))&gt;=100000), " ",IF(INDEX($AB$2:$AQ$1001,MATCH(ROWS($U$2:U696),$U$2:$U$1001,0),MATCH(COLUMNS($AB$1006:AF1006),$AB$1006:$AQ$1006,0)), HYPERLINK("#",""), HYPERLINK(CONCATENATE("#Metadata!", ADDRESS(INDEX($W$2:$W$1001,MATCH(ROWS($U$2:U696),$U$2:$U$1001,0),0), INDEX($AB$1004:$AQ$1004,1,MATCH(COLUMNS($AB$1006:AF1006),$AB$1006:$AQ$1006,0)))),"Fix")))</f>
        <v>0</v>
      </c>
      <c r="G696" s="5">
        <f>IF(OR(INDEX($V$2:$V$1001,MATCH(ROWS($U$2:U696),$U$2:$U$1001,0),1)&gt;=100000,INDEX($AB$1005:$AQ$1005,1,MATCH(COLUMNS($AB$1006:AG1006),$AB$1006:$AQ$1006,0))&gt;=100000), " ",IF(INDEX($AB$2:$AQ$1001,MATCH(ROWS($U$2:U696),$U$2:$U$1001,0),MATCH(COLUMNS($AB$1006:AG1006),$AB$1006:$AQ$1006,0)), HYPERLINK("#",""), HYPERLINK(CONCATENATE("#Metadata!", ADDRESS(INDEX($W$2:$W$1001,MATCH(ROWS($U$2:U696),$U$2:$U$1001,0),0), INDEX($AB$1004:$AQ$1004,1,MATCH(COLUMNS($AB$1006:AG1006),$AB$1006:$AQ$1006,0)))),"Fix")))</f>
        <v>0</v>
      </c>
      <c r="H696" s="5">
        <f>IF(OR(INDEX($V$2:$V$1001,MATCH(ROWS($U$2:U696),$U$2:$U$1001,0),1)&gt;=100000,INDEX($AB$1005:$AQ$1005,1,MATCH(COLUMNS($AB$1006:AH1006),$AB$1006:$AQ$1006,0))&gt;=100000), " ",IF(INDEX($AB$2:$AQ$1001,MATCH(ROWS($U$2:U696),$U$2:$U$1001,0),MATCH(COLUMNS($AB$1006:AH1006),$AB$1006:$AQ$1006,0)), HYPERLINK("#",""), HYPERLINK(CONCATENATE("#Metadata!", ADDRESS(INDEX($W$2:$W$1001,MATCH(ROWS($U$2:U696),$U$2:$U$1001,0),0), INDEX($AB$1004:$AQ$1004,1,MATCH(COLUMNS($AB$1006:AH1006),$AB$1006:$AQ$1006,0)))),"Fix")))</f>
        <v>0</v>
      </c>
      <c r="I696" s="5">
        <f>IF(OR(INDEX($V$2:$V$1001,MATCH(ROWS($U$2:U696),$U$2:$U$1001,0),1)&gt;=100000,INDEX($AB$1005:$AQ$1005,1,MATCH(COLUMNS($AB$1006:AI1006),$AB$1006:$AQ$1006,0))&gt;=100000), " ",IF(INDEX($AB$2:$AQ$1001,MATCH(ROWS($U$2:U696),$U$2:$U$1001,0),MATCH(COLUMNS($AB$1006:AI1006),$AB$1006:$AQ$1006,0)), HYPERLINK("#",""), HYPERLINK(CONCATENATE("#Metadata!", ADDRESS(INDEX($W$2:$W$1001,MATCH(ROWS($U$2:U696),$U$2:$U$1001,0),0), INDEX($AB$1004:$AQ$1004,1,MATCH(COLUMNS($AB$1006:AI1006),$AB$1006:$AQ$1006,0)))),"Fix")))</f>
        <v>0</v>
      </c>
      <c r="J696" s="5">
        <f>IF(OR(INDEX($V$2:$V$1001,MATCH(ROWS($U$2:U696),$U$2:$U$1001,0),1)&gt;=100000,INDEX($AB$1005:$AQ$1005,1,MATCH(COLUMNS($AB$1006:AJ1006),$AB$1006:$AQ$1006,0))&gt;=100000), " ",IF(INDEX($AB$2:$AQ$1001,MATCH(ROWS($U$2:U696),$U$2:$U$1001,0),MATCH(COLUMNS($AB$1006:AJ1006),$AB$1006:$AQ$1006,0)), HYPERLINK("#",""), HYPERLINK(CONCATENATE("#Metadata!", ADDRESS(INDEX($W$2:$W$1001,MATCH(ROWS($U$2:U696),$U$2:$U$1001,0),0), INDEX($AB$1004:$AQ$1004,1,MATCH(COLUMNS($AB$1006:AJ1006),$AB$1006:$AQ$1006,0)))),"Fix")))</f>
        <v>0</v>
      </c>
      <c r="K696" s="5">
        <f>IF(OR(INDEX($V$2:$V$1001,MATCH(ROWS($U$2:U696),$U$2:$U$1001,0),1)&gt;=100000,INDEX($AB$1005:$AQ$1005,1,MATCH(COLUMNS($AB$1006:AK1006),$AB$1006:$AQ$1006,0))&gt;=100000), " ",IF(INDEX($AB$2:$AQ$1001,MATCH(ROWS($U$2:U696),$U$2:$U$1001,0),MATCH(COLUMNS($AB$1006:AK1006),$AB$1006:$AQ$1006,0)), HYPERLINK("#",""), HYPERLINK(CONCATENATE("#Metadata!", ADDRESS(INDEX($W$2:$W$1001,MATCH(ROWS($U$2:U696),$U$2:$U$1001,0),0), INDEX($AB$1004:$AQ$1004,1,MATCH(COLUMNS($AB$1006:AK1006),$AB$1006:$AQ$1006,0)))),"Fix")))</f>
        <v>0</v>
      </c>
      <c r="L696" s="5">
        <f>IF(OR(INDEX($V$2:$V$1001,MATCH(ROWS($U$2:U696),$U$2:$U$1001,0),1)&gt;=100000,INDEX($AB$1005:$AQ$1005,1,MATCH(COLUMNS($AB$1006:AL1006),$AB$1006:$AQ$1006,0))&gt;=100000), " ",IF(INDEX($AB$2:$AQ$1001,MATCH(ROWS($U$2:U696),$U$2:$U$1001,0),MATCH(COLUMNS($AB$1006:AL1006),$AB$1006:$AQ$1006,0)), HYPERLINK("#",""), HYPERLINK(CONCATENATE("#Metadata!", ADDRESS(INDEX($W$2:$W$1001,MATCH(ROWS($U$2:U696),$U$2:$U$1001,0),0), INDEX($AB$1004:$AQ$1004,1,MATCH(COLUMNS($AB$1006:AL1006),$AB$1006:$AQ$1006,0)))),"Fix")))</f>
        <v>0</v>
      </c>
      <c r="M696" s="5">
        <f>IF(OR(INDEX($V$2:$V$1001,MATCH(ROWS($U$2:U696),$U$2:$U$1001,0),1)&gt;=100000,INDEX($AB$1005:$AQ$1005,1,MATCH(COLUMNS($AB$1006:AM1006),$AB$1006:$AQ$1006,0))&gt;=100000), " ",IF(INDEX($AB$2:$AQ$1001,MATCH(ROWS($U$2:U696),$U$2:$U$1001,0),MATCH(COLUMNS($AB$1006:AM1006),$AB$1006:$AQ$1006,0)), HYPERLINK("#",""), HYPERLINK(CONCATENATE("#Metadata!", ADDRESS(INDEX($W$2:$W$1001,MATCH(ROWS($U$2:U696),$U$2:$U$1001,0),0), INDEX($AB$1004:$AQ$1004,1,MATCH(COLUMNS($AB$1006:AM1006),$AB$1006:$AQ$1006,0)))),"Fix")))</f>
        <v>0</v>
      </c>
      <c r="N696" s="5">
        <f>IF(OR(INDEX($V$2:$V$1001,MATCH(ROWS($U$2:U696),$U$2:$U$1001,0),1)&gt;=100000,INDEX($AB$1005:$AQ$1005,1,MATCH(COLUMNS($AB$1006:AN1006),$AB$1006:$AQ$1006,0))&gt;=100000), " ",IF(INDEX($AB$2:$AQ$1001,MATCH(ROWS($U$2:U696),$U$2:$U$1001,0),MATCH(COLUMNS($AB$1006:AN1006),$AB$1006:$AQ$1006,0)), HYPERLINK("#",""), HYPERLINK(CONCATENATE("#Metadata!", ADDRESS(INDEX($W$2:$W$1001,MATCH(ROWS($U$2:U696),$U$2:$U$1001,0),0), INDEX($AB$1004:$AQ$1004,1,MATCH(COLUMNS($AB$1006:AN1006),$AB$1006:$AQ$1006,0)))),"Fix")))</f>
        <v>0</v>
      </c>
      <c r="O696" s="5">
        <f>IF(OR(INDEX($V$2:$V$1001,MATCH(ROWS($U$2:U696),$U$2:$U$1001,0),1)&gt;=100000,INDEX($AB$1005:$AQ$1005,1,MATCH(COLUMNS($AB$1006:AO1006),$AB$1006:$AQ$1006,0))&gt;=100000), " ",IF(INDEX($AB$2:$AQ$1001,MATCH(ROWS($U$2:U696),$U$2:$U$1001,0),MATCH(COLUMNS($AB$1006:AO1006),$AB$1006:$AQ$1006,0)), HYPERLINK("#",""), HYPERLINK(CONCATENATE("#Metadata!", ADDRESS(INDEX($W$2:$W$1001,MATCH(ROWS($U$2:U696),$U$2:$U$1001,0),0), INDEX($AB$1004:$AQ$1004,1,MATCH(COLUMNS($AB$1006:AO1006),$AB$1006:$AQ$1006,0)))),"Fix")))</f>
        <v>0</v>
      </c>
      <c r="P696" s="5">
        <f>IF(OR(INDEX($V$2:$V$1001,MATCH(ROWS($U$2:U696),$U$2:$U$1001,0),1)&gt;=100000,INDEX($AB$1005:$AQ$1005,1,MATCH(COLUMNS($AB$1006:AP1006),$AB$1006:$AQ$1006,0))&gt;=100000), " ",IF(INDEX($AB$2:$AQ$1001,MATCH(ROWS($U$2:U696),$U$2:$U$1001,0),MATCH(COLUMNS($AB$1006:AP1006),$AB$1006:$AQ$1006,0)), HYPERLINK("#",""), HYPERLINK(CONCATENATE("#Metadata!", ADDRESS(INDEX($W$2:$W$1001,MATCH(ROWS($U$2:U696),$U$2:$U$1001,0),0), INDEX($AB$1004:$AQ$1004,1,MATCH(COLUMNS($AB$1006:AP1006),$AB$1006:$AQ$1006,0)))),"Fix")))</f>
        <v>0</v>
      </c>
      <c r="Q696" s="5">
        <f>IF(OR(INDEX($V$2:$V$1001,MATCH(ROWS($U$2:U696),$U$2:$U$1001,0),1)&gt;=100000,INDEX($AB$1005:$AQ$1005,1,MATCH(COLUMNS($AB$1006:AQ1006),$AB$1006:$AQ$1006,0))&gt;=100000), " ",IF(INDEX($AB$2:$AQ$1001,MATCH(ROWS($U$2:U696),$U$2:$U$1001,0),MATCH(COLUMNS($AB$1006:AQ1006),$AB$1006:$AQ$1006,0)), HYPERLINK("#",""), HYPERLINK(CONCATENATE("#Metadata!", ADDRESS(INDEX($W$2:$W$1001,MATCH(ROWS($U$2:U696),$U$2:$U$1001,0),0), INDEX($AB$1004:$AQ$1004,1,MATCH(COLUMNS($AB$1006:AQ1006),$AB$1006:$AQ$1006,0)))),"Fix")))</f>
        <v>0</v>
      </c>
      <c r="U696">
        <v>0</v>
      </c>
      <c r="V696">
        <v>0</v>
      </c>
      <c r="W696">
        <v>0</v>
      </c>
      <c r="X696">
        <f>IF(Y696,TRUE,AND(AB696:AQ696))</f>
        <v>0</v>
      </c>
      <c r="Y696">
        <f>COUNTBLANK(Metadata!B696:Q696)=COLUMNS(Metadata!B696:Q696)</f>
        <v>0</v>
      </c>
      <c r="Z696">
        <v>0</v>
      </c>
      <c r="AB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AC696">
        <f>AND(IF(Metadata!C696="",FALSE,TRUE),exact(Metadata!C696,"urban biome"))</f>
        <v>0</v>
      </c>
      <c r="AD696">
        <f>AND(IF(Metadata!D696="",FALSE,TRUE),exact(Metadata!D696,"human-associated habitat"))</f>
        <v>0</v>
      </c>
      <c r="AE696">
        <f>AND(IF(Metadata!E696="",FALSE,TRUE),OR(exact(Metadata!E696,"human-associated"),exact(Metadata!E696,"human-skin"),exact(Metadata!E696,"human-oral"),exact(Metadata!E696,"human-gut"),exact(Metadata!E696,"human-vaginal")))</f>
        <v>0</v>
      </c>
      <c r="AF696">
        <f>AND(IF(Metadata!F696="",FALSE,ISNUMBER(VALUE(Metadata!F696))),Metadata!F696&gt;0)</f>
        <v>0</v>
      </c>
      <c r="AG696">
        <f>AND(IF(Metadata!G696="",FALSE,TRUE),exact(Metadata!G696,"years"))</f>
        <v>0</v>
      </c>
      <c r="AH696">
        <f>OR(AND(IF(Metadata!H696="",FALSE,TRUE),OR(exact(Metadata!H696,"not applicable"),exact(Metadata!H696,"not collected"),exact(Metadata!H696,"not provided"),exact(Metadata!H696,"restricted access"))),AND(IF(Metadata!H696="",FALSE,ISNUMBER(VALUE(Metadata!H696))),Metadata!H696&gt;0))</f>
        <v>0</v>
      </c>
      <c r="AI696">
        <f>AND(IF(Metadata!I696="",FALSE,TRUE),exact(Metadata!I696,"human"))</f>
        <v>0</v>
      </c>
      <c r="AJ696">
        <f>AND(IF(Metadata!J696="",FALSE,ISNUMBER(VALUE(Metadata!J696))),Metadata!J696&gt;0)</f>
        <v>0</v>
      </c>
      <c r="AK696">
        <f>AND(IF(Metadata!K696="",FALSE,TRUE),exact(Metadata!K696,"cm"))</f>
        <v>0</v>
      </c>
      <c r="AL696">
        <f>AND(IF(Metadata!L696="",FALSE,TRUE),exact(Metadata!L696,"Homo sapiens"))</f>
        <v>0</v>
      </c>
      <c r="AM696">
        <f>AND(IF(Metadata!M696="",FALSE,TRUE),exact(Metadata!M696,"9606"))</f>
        <v>0</v>
      </c>
      <c r="AN696">
        <f>AND(IF(Metadata!N696="",FALSE,ISNUMBER(VALUE(Metadata!N696))),Metadata!N696&gt;0)</f>
        <v>0</v>
      </c>
      <c r="AO696">
        <f>AND(IF(Metadata!O696="",FALSE,TRUE),exact(Metadata!O696,"kg"))</f>
        <v>0</v>
      </c>
      <c r="AP696">
        <f>OR(AND(IF(Metadata!P696="",FALSE,TRUE),exact(Metadata!P696,"not provided")),IF(Metadata!P696="",FALSE,TRUE))</f>
        <v>0</v>
      </c>
      <c r="AQ696">
        <f>OR(AND(IF(Metadata!Q696="",FALSE,TRUE),exact(Metadata!Q696,"not provided")),IF(Metadata!Q696="",FALSE,TRUE))</f>
        <v>0</v>
      </c>
    </row>
    <row r="697" spans="1:43">
      <c r="A697" s="4">
        <f>IF(B697=" "," ",HYPERLINK(CONCATENATE("#metadata!",ADDRESS(INDEX($W$2:$W$1001,MATCH(ROWS($U$2:U697),$U$2:$U$1001,0),0),2)),INDEX($Z$2:$Z$1001,MATCH(ROWS($U$2:U697),$U$2:$U$1001,0),0)))</f>
        <v>0</v>
      </c>
      <c r="B697" s="5">
        <f>IF(OR(INDEX($V$2:$V$1001,MATCH(ROWS($U$2:U697),$U$2:$U$1001,0),1)&gt;=100000,INDEX($AB$1005:$AQ$1005,1,MATCH(COLUMNS($AB$1006:AB1006),$AB$1006:$AQ$1006,0))&gt;=100000), " ",IF(INDEX($AB$2:$AQ$1001,MATCH(ROWS($U$2:U697),$U$2:$U$1001,0),MATCH(COLUMNS($AB$1006:AB1006),$AB$1006:$AQ$1006,0)), HYPERLINK("#",""), HYPERLINK(CONCATENATE("#Metadata!", ADDRESS(INDEX($W$2:$W$1001,MATCH(ROWS($U$2:U697),$U$2:$U$1001,0),0), INDEX($AB$1004:$AQ$1004,1,MATCH(COLUMNS($AB$1006:AB1006),$AB$1006:$AQ$1006,0)))),"Fix")))</f>
        <v>0</v>
      </c>
      <c r="C697" s="5">
        <f>IF(OR(INDEX($V$2:$V$1001,MATCH(ROWS($U$2:U697),$U$2:$U$1001,0),1)&gt;=100000,INDEX($AB$1005:$AQ$1005,1,MATCH(COLUMNS($AB$1006:AC1006),$AB$1006:$AQ$1006,0))&gt;=100000), " ",IF(INDEX($AB$2:$AQ$1001,MATCH(ROWS($U$2:U697),$U$2:$U$1001,0),MATCH(COLUMNS($AB$1006:AC1006),$AB$1006:$AQ$1006,0)), HYPERLINK("#",""), HYPERLINK(CONCATENATE("#Metadata!", ADDRESS(INDEX($W$2:$W$1001,MATCH(ROWS($U$2:U697),$U$2:$U$1001,0),0), INDEX($AB$1004:$AQ$1004,1,MATCH(COLUMNS($AB$1006:AC1006),$AB$1006:$AQ$1006,0)))),"Fix")))</f>
        <v>0</v>
      </c>
      <c r="D697" s="5">
        <f>IF(OR(INDEX($V$2:$V$1001,MATCH(ROWS($U$2:U697),$U$2:$U$1001,0),1)&gt;=100000,INDEX($AB$1005:$AQ$1005,1,MATCH(COLUMNS($AB$1006:AD1006),$AB$1006:$AQ$1006,0))&gt;=100000), " ",IF(INDEX($AB$2:$AQ$1001,MATCH(ROWS($U$2:U697),$U$2:$U$1001,0),MATCH(COLUMNS($AB$1006:AD1006),$AB$1006:$AQ$1006,0)), HYPERLINK("#",""), HYPERLINK(CONCATENATE("#Metadata!", ADDRESS(INDEX($W$2:$W$1001,MATCH(ROWS($U$2:U697),$U$2:$U$1001,0),0), INDEX($AB$1004:$AQ$1004,1,MATCH(COLUMNS($AB$1006:AD1006),$AB$1006:$AQ$1006,0)))),"Fix")))</f>
        <v>0</v>
      </c>
      <c r="E697" s="5">
        <f>IF(OR(INDEX($V$2:$V$1001,MATCH(ROWS($U$2:U697),$U$2:$U$1001,0),1)&gt;=100000,INDEX($AB$1005:$AQ$1005,1,MATCH(COLUMNS($AB$1006:AE1006),$AB$1006:$AQ$1006,0))&gt;=100000), " ",IF(INDEX($AB$2:$AQ$1001,MATCH(ROWS($U$2:U697),$U$2:$U$1001,0),MATCH(COLUMNS($AB$1006:AE1006),$AB$1006:$AQ$1006,0)), HYPERLINK("#",""), HYPERLINK(CONCATENATE("#Metadata!", ADDRESS(INDEX($W$2:$W$1001,MATCH(ROWS($U$2:U697),$U$2:$U$1001,0),0), INDEX($AB$1004:$AQ$1004,1,MATCH(COLUMNS($AB$1006:AE1006),$AB$1006:$AQ$1006,0)))),"Fix")))</f>
        <v>0</v>
      </c>
      <c r="F697" s="5">
        <f>IF(OR(INDEX($V$2:$V$1001,MATCH(ROWS($U$2:U697),$U$2:$U$1001,0),1)&gt;=100000,INDEX($AB$1005:$AQ$1005,1,MATCH(COLUMNS($AB$1006:AF1006),$AB$1006:$AQ$1006,0))&gt;=100000), " ",IF(INDEX($AB$2:$AQ$1001,MATCH(ROWS($U$2:U697),$U$2:$U$1001,0),MATCH(COLUMNS($AB$1006:AF1006),$AB$1006:$AQ$1006,0)), HYPERLINK("#",""), HYPERLINK(CONCATENATE("#Metadata!", ADDRESS(INDEX($W$2:$W$1001,MATCH(ROWS($U$2:U697),$U$2:$U$1001,0),0), INDEX($AB$1004:$AQ$1004,1,MATCH(COLUMNS($AB$1006:AF1006),$AB$1006:$AQ$1006,0)))),"Fix")))</f>
        <v>0</v>
      </c>
      <c r="G697" s="5">
        <f>IF(OR(INDEX($V$2:$V$1001,MATCH(ROWS($U$2:U697),$U$2:$U$1001,0),1)&gt;=100000,INDEX($AB$1005:$AQ$1005,1,MATCH(COLUMNS($AB$1006:AG1006),$AB$1006:$AQ$1006,0))&gt;=100000), " ",IF(INDEX($AB$2:$AQ$1001,MATCH(ROWS($U$2:U697),$U$2:$U$1001,0),MATCH(COLUMNS($AB$1006:AG1006),$AB$1006:$AQ$1006,0)), HYPERLINK("#",""), HYPERLINK(CONCATENATE("#Metadata!", ADDRESS(INDEX($W$2:$W$1001,MATCH(ROWS($U$2:U697),$U$2:$U$1001,0),0), INDEX($AB$1004:$AQ$1004,1,MATCH(COLUMNS($AB$1006:AG1006),$AB$1006:$AQ$1006,0)))),"Fix")))</f>
        <v>0</v>
      </c>
      <c r="H697" s="5">
        <f>IF(OR(INDEX($V$2:$V$1001,MATCH(ROWS($U$2:U697),$U$2:$U$1001,0),1)&gt;=100000,INDEX($AB$1005:$AQ$1005,1,MATCH(COLUMNS($AB$1006:AH1006),$AB$1006:$AQ$1006,0))&gt;=100000), " ",IF(INDEX($AB$2:$AQ$1001,MATCH(ROWS($U$2:U697),$U$2:$U$1001,0),MATCH(COLUMNS($AB$1006:AH1006),$AB$1006:$AQ$1006,0)), HYPERLINK("#",""), HYPERLINK(CONCATENATE("#Metadata!", ADDRESS(INDEX($W$2:$W$1001,MATCH(ROWS($U$2:U697),$U$2:$U$1001,0),0), INDEX($AB$1004:$AQ$1004,1,MATCH(COLUMNS($AB$1006:AH1006),$AB$1006:$AQ$1006,0)))),"Fix")))</f>
        <v>0</v>
      </c>
      <c r="I697" s="5">
        <f>IF(OR(INDEX($V$2:$V$1001,MATCH(ROWS($U$2:U697),$U$2:$U$1001,0),1)&gt;=100000,INDEX($AB$1005:$AQ$1005,1,MATCH(COLUMNS($AB$1006:AI1006),$AB$1006:$AQ$1006,0))&gt;=100000), " ",IF(INDEX($AB$2:$AQ$1001,MATCH(ROWS($U$2:U697),$U$2:$U$1001,0),MATCH(COLUMNS($AB$1006:AI1006),$AB$1006:$AQ$1006,0)), HYPERLINK("#",""), HYPERLINK(CONCATENATE("#Metadata!", ADDRESS(INDEX($W$2:$W$1001,MATCH(ROWS($U$2:U697),$U$2:$U$1001,0),0), INDEX($AB$1004:$AQ$1004,1,MATCH(COLUMNS($AB$1006:AI1006),$AB$1006:$AQ$1006,0)))),"Fix")))</f>
        <v>0</v>
      </c>
      <c r="J697" s="5">
        <f>IF(OR(INDEX($V$2:$V$1001,MATCH(ROWS($U$2:U697),$U$2:$U$1001,0),1)&gt;=100000,INDEX($AB$1005:$AQ$1005,1,MATCH(COLUMNS($AB$1006:AJ1006),$AB$1006:$AQ$1006,0))&gt;=100000), " ",IF(INDEX($AB$2:$AQ$1001,MATCH(ROWS($U$2:U697),$U$2:$U$1001,0),MATCH(COLUMNS($AB$1006:AJ1006),$AB$1006:$AQ$1006,0)), HYPERLINK("#",""), HYPERLINK(CONCATENATE("#Metadata!", ADDRESS(INDEX($W$2:$W$1001,MATCH(ROWS($U$2:U697),$U$2:$U$1001,0),0), INDEX($AB$1004:$AQ$1004,1,MATCH(COLUMNS($AB$1006:AJ1006),$AB$1006:$AQ$1006,0)))),"Fix")))</f>
        <v>0</v>
      </c>
      <c r="K697" s="5">
        <f>IF(OR(INDEX($V$2:$V$1001,MATCH(ROWS($U$2:U697),$U$2:$U$1001,0),1)&gt;=100000,INDEX($AB$1005:$AQ$1005,1,MATCH(COLUMNS($AB$1006:AK1006),$AB$1006:$AQ$1006,0))&gt;=100000), " ",IF(INDEX($AB$2:$AQ$1001,MATCH(ROWS($U$2:U697),$U$2:$U$1001,0),MATCH(COLUMNS($AB$1006:AK1006),$AB$1006:$AQ$1006,0)), HYPERLINK("#",""), HYPERLINK(CONCATENATE("#Metadata!", ADDRESS(INDEX($W$2:$W$1001,MATCH(ROWS($U$2:U697),$U$2:$U$1001,0),0), INDEX($AB$1004:$AQ$1004,1,MATCH(COLUMNS($AB$1006:AK1006),$AB$1006:$AQ$1006,0)))),"Fix")))</f>
        <v>0</v>
      </c>
      <c r="L697" s="5">
        <f>IF(OR(INDEX($V$2:$V$1001,MATCH(ROWS($U$2:U697),$U$2:$U$1001,0),1)&gt;=100000,INDEX($AB$1005:$AQ$1005,1,MATCH(COLUMNS($AB$1006:AL1006),$AB$1006:$AQ$1006,0))&gt;=100000), " ",IF(INDEX($AB$2:$AQ$1001,MATCH(ROWS($U$2:U697),$U$2:$U$1001,0),MATCH(COLUMNS($AB$1006:AL1006),$AB$1006:$AQ$1006,0)), HYPERLINK("#",""), HYPERLINK(CONCATENATE("#Metadata!", ADDRESS(INDEX($W$2:$W$1001,MATCH(ROWS($U$2:U697),$U$2:$U$1001,0),0), INDEX($AB$1004:$AQ$1004,1,MATCH(COLUMNS($AB$1006:AL1006),$AB$1006:$AQ$1006,0)))),"Fix")))</f>
        <v>0</v>
      </c>
      <c r="M697" s="5">
        <f>IF(OR(INDEX($V$2:$V$1001,MATCH(ROWS($U$2:U697),$U$2:$U$1001,0),1)&gt;=100000,INDEX($AB$1005:$AQ$1005,1,MATCH(COLUMNS($AB$1006:AM1006),$AB$1006:$AQ$1006,0))&gt;=100000), " ",IF(INDEX($AB$2:$AQ$1001,MATCH(ROWS($U$2:U697),$U$2:$U$1001,0),MATCH(COLUMNS($AB$1006:AM1006),$AB$1006:$AQ$1006,0)), HYPERLINK("#",""), HYPERLINK(CONCATENATE("#Metadata!", ADDRESS(INDEX($W$2:$W$1001,MATCH(ROWS($U$2:U697),$U$2:$U$1001,0),0), INDEX($AB$1004:$AQ$1004,1,MATCH(COLUMNS($AB$1006:AM1006),$AB$1006:$AQ$1006,0)))),"Fix")))</f>
        <v>0</v>
      </c>
      <c r="N697" s="5">
        <f>IF(OR(INDEX($V$2:$V$1001,MATCH(ROWS($U$2:U697),$U$2:$U$1001,0),1)&gt;=100000,INDEX($AB$1005:$AQ$1005,1,MATCH(COLUMNS($AB$1006:AN1006),$AB$1006:$AQ$1006,0))&gt;=100000), " ",IF(INDEX($AB$2:$AQ$1001,MATCH(ROWS($U$2:U697),$U$2:$U$1001,0),MATCH(COLUMNS($AB$1006:AN1006),$AB$1006:$AQ$1006,0)), HYPERLINK("#",""), HYPERLINK(CONCATENATE("#Metadata!", ADDRESS(INDEX($W$2:$W$1001,MATCH(ROWS($U$2:U697),$U$2:$U$1001,0),0), INDEX($AB$1004:$AQ$1004,1,MATCH(COLUMNS($AB$1006:AN1006),$AB$1006:$AQ$1006,0)))),"Fix")))</f>
        <v>0</v>
      </c>
      <c r="O697" s="5">
        <f>IF(OR(INDEX($V$2:$V$1001,MATCH(ROWS($U$2:U697),$U$2:$U$1001,0),1)&gt;=100000,INDEX($AB$1005:$AQ$1005,1,MATCH(COLUMNS($AB$1006:AO1006),$AB$1006:$AQ$1006,0))&gt;=100000), " ",IF(INDEX($AB$2:$AQ$1001,MATCH(ROWS($U$2:U697),$U$2:$U$1001,0),MATCH(COLUMNS($AB$1006:AO1006),$AB$1006:$AQ$1006,0)), HYPERLINK("#",""), HYPERLINK(CONCATENATE("#Metadata!", ADDRESS(INDEX($W$2:$W$1001,MATCH(ROWS($U$2:U697),$U$2:$U$1001,0),0), INDEX($AB$1004:$AQ$1004,1,MATCH(COLUMNS($AB$1006:AO1006),$AB$1006:$AQ$1006,0)))),"Fix")))</f>
        <v>0</v>
      </c>
      <c r="P697" s="5">
        <f>IF(OR(INDEX($V$2:$V$1001,MATCH(ROWS($U$2:U697),$U$2:$U$1001,0),1)&gt;=100000,INDEX($AB$1005:$AQ$1005,1,MATCH(COLUMNS($AB$1006:AP1006),$AB$1006:$AQ$1006,0))&gt;=100000), " ",IF(INDEX($AB$2:$AQ$1001,MATCH(ROWS($U$2:U697),$U$2:$U$1001,0),MATCH(COLUMNS($AB$1006:AP1006),$AB$1006:$AQ$1006,0)), HYPERLINK("#",""), HYPERLINK(CONCATENATE("#Metadata!", ADDRESS(INDEX($W$2:$W$1001,MATCH(ROWS($U$2:U697),$U$2:$U$1001,0),0), INDEX($AB$1004:$AQ$1004,1,MATCH(COLUMNS($AB$1006:AP1006),$AB$1006:$AQ$1006,0)))),"Fix")))</f>
        <v>0</v>
      </c>
      <c r="Q697" s="5">
        <f>IF(OR(INDEX($V$2:$V$1001,MATCH(ROWS($U$2:U697),$U$2:$U$1001,0),1)&gt;=100000,INDEX($AB$1005:$AQ$1005,1,MATCH(COLUMNS($AB$1006:AQ1006),$AB$1006:$AQ$1006,0))&gt;=100000), " ",IF(INDEX($AB$2:$AQ$1001,MATCH(ROWS($U$2:U697),$U$2:$U$1001,0),MATCH(COLUMNS($AB$1006:AQ1006),$AB$1006:$AQ$1006,0)), HYPERLINK("#",""), HYPERLINK(CONCATENATE("#Metadata!", ADDRESS(INDEX($W$2:$W$1001,MATCH(ROWS($U$2:U697),$U$2:$U$1001,0),0), INDEX($AB$1004:$AQ$1004,1,MATCH(COLUMNS($AB$1006:AQ1006),$AB$1006:$AQ$1006,0)))),"Fix")))</f>
        <v>0</v>
      </c>
      <c r="U697">
        <v>0</v>
      </c>
      <c r="V697">
        <v>0</v>
      </c>
      <c r="W697">
        <v>0</v>
      </c>
      <c r="X697">
        <f>IF(Y697,TRUE,AND(AB697:AQ697))</f>
        <v>0</v>
      </c>
      <c r="Y697">
        <f>COUNTBLANK(Metadata!B697:Q697)=COLUMNS(Metadata!B697:Q697)</f>
        <v>0</v>
      </c>
      <c r="Z697">
        <v>0</v>
      </c>
      <c r="AB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AC697">
        <f>AND(IF(Metadata!C697="",FALSE,TRUE),exact(Metadata!C697,"urban biome"))</f>
        <v>0</v>
      </c>
      <c r="AD697">
        <f>AND(IF(Metadata!D697="",FALSE,TRUE),exact(Metadata!D697,"human-associated habitat"))</f>
        <v>0</v>
      </c>
      <c r="AE697">
        <f>AND(IF(Metadata!E697="",FALSE,TRUE),OR(exact(Metadata!E697,"human-associated"),exact(Metadata!E697,"human-skin"),exact(Metadata!E697,"human-oral"),exact(Metadata!E697,"human-gut"),exact(Metadata!E697,"human-vaginal")))</f>
        <v>0</v>
      </c>
      <c r="AF697">
        <f>AND(IF(Metadata!F697="",FALSE,ISNUMBER(VALUE(Metadata!F697))),Metadata!F697&gt;0)</f>
        <v>0</v>
      </c>
      <c r="AG697">
        <f>AND(IF(Metadata!G697="",FALSE,TRUE),exact(Metadata!G697,"years"))</f>
        <v>0</v>
      </c>
      <c r="AH697">
        <f>OR(AND(IF(Metadata!H697="",FALSE,TRUE),OR(exact(Metadata!H697,"not applicable"),exact(Metadata!H697,"not collected"),exact(Metadata!H697,"not provided"),exact(Metadata!H697,"restricted access"))),AND(IF(Metadata!H697="",FALSE,ISNUMBER(VALUE(Metadata!H697))),Metadata!H697&gt;0))</f>
        <v>0</v>
      </c>
      <c r="AI697">
        <f>AND(IF(Metadata!I697="",FALSE,TRUE),exact(Metadata!I697,"human"))</f>
        <v>0</v>
      </c>
      <c r="AJ697">
        <f>AND(IF(Metadata!J697="",FALSE,ISNUMBER(VALUE(Metadata!J697))),Metadata!J697&gt;0)</f>
        <v>0</v>
      </c>
      <c r="AK697">
        <f>AND(IF(Metadata!K697="",FALSE,TRUE),exact(Metadata!K697,"cm"))</f>
        <v>0</v>
      </c>
      <c r="AL697">
        <f>AND(IF(Metadata!L697="",FALSE,TRUE),exact(Metadata!L697,"Homo sapiens"))</f>
        <v>0</v>
      </c>
      <c r="AM697">
        <f>AND(IF(Metadata!M697="",FALSE,TRUE),exact(Metadata!M697,"9606"))</f>
        <v>0</v>
      </c>
      <c r="AN697">
        <f>AND(IF(Metadata!N697="",FALSE,ISNUMBER(VALUE(Metadata!N697))),Metadata!N697&gt;0)</f>
        <v>0</v>
      </c>
      <c r="AO697">
        <f>AND(IF(Metadata!O697="",FALSE,TRUE),exact(Metadata!O697,"kg"))</f>
        <v>0</v>
      </c>
      <c r="AP697">
        <f>OR(AND(IF(Metadata!P697="",FALSE,TRUE),exact(Metadata!P697,"not provided")),IF(Metadata!P697="",FALSE,TRUE))</f>
        <v>0</v>
      </c>
      <c r="AQ697">
        <f>OR(AND(IF(Metadata!Q697="",FALSE,TRUE),exact(Metadata!Q697,"not provided")),IF(Metadata!Q697="",FALSE,TRUE))</f>
        <v>0</v>
      </c>
    </row>
    <row r="698" spans="1:43">
      <c r="A698" s="4">
        <f>IF(B698=" "," ",HYPERLINK(CONCATENATE("#metadata!",ADDRESS(INDEX($W$2:$W$1001,MATCH(ROWS($U$2:U698),$U$2:$U$1001,0),0),2)),INDEX($Z$2:$Z$1001,MATCH(ROWS($U$2:U698),$U$2:$U$1001,0),0)))</f>
        <v>0</v>
      </c>
      <c r="B698" s="5">
        <f>IF(OR(INDEX($V$2:$V$1001,MATCH(ROWS($U$2:U698),$U$2:$U$1001,0),1)&gt;=100000,INDEX($AB$1005:$AQ$1005,1,MATCH(COLUMNS($AB$1006:AB1006),$AB$1006:$AQ$1006,0))&gt;=100000), " ",IF(INDEX($AB$2:$AQ$1001,MATCH(ROWS($U$2:U698),$U$2:$U$1001,0),MATCH(COLUMNS($AB$1006:AB1006),$AB$1006:$AQ$1006,0)), HYPERLINK("#",""), HYPERLINK(CONCATENATE("#Metadata!", ADDRESS(INDEX($W$2:$W$1001,MATCH(ROWS($U$2:U698),$U$2:$U$1001,0),0), INDEX($AB$1004:$AQ$1004,1,MATCH(COLUMNS($AB$1006:AB1006),$AB$1006:$AQ$1006,0)))),"Fix")))</f>
        <v>0</v>
      </c>
      <c r="C698" s="5">
        <f>IF(OR(INDEX($V$2:$V$1001,MATCH(ROWS($U$2:U698),$U$2:$U$1001,0),1)&gt;=100000,INDEX($AB$1005:$AQ$1005,1,MATCH(COLUMNS($AB$1006:AC1006),$AB$1006:$AQ$1006,0))&gt;=100000), " ",IF(INDEX($AB$2:$AQ$1001,MATCH(ROWS($U$2:U698),$U$2:$U$1001,0),MATCH(COLUMNS($AB$1006:AC1006),$AB$1006:$AQ$1006,0)), HYPERLINK("#",""), HYPERLINK(CONCATENATE("#Metadata!", ADDRESS(INDEX($W$2:$W$1001,MATCH(ROWS($U$2:U698),$U$2:$U$1001,0),0), INDEX($AB$1004:$AQ$1004,1,MATCH(COLUMNS($AB$1006:AC1006),$AB$1006:$AQ$1006,0)))),"Fix")))</f>
        <v>0</v>
      </c>
      <c r="D698" s="5">
        <f>IF(OR(INDEX($V$2:$V$1001,MATCH(ROWS($U$2:U698),$U$2:$U$1001,0),1)&gt;=100000,INDEX($AB$1005:$AQ$1005,1,MATCH(COLUMNS($AB$1006:AD1006),$AB$1006:$AQ$1006,0))&gt;=100000), " ",IF(INDEX($AB$2:$AQ$1001,MATCH(ROWS($U$2:U698),$U$2:$U$1001,0),MATCH(COLUMNS($AB$1006:AD1006),$AB$1006:$AQ$1006,0)), HYPERLINK("#",""), HYPERLINK(CONCATENATE("#Metadata!", ADDRESS(INDEX($W$2:$W$1001,MATCH(ROWS($U$2:U698),$U$2:$U$1001,0),0), INDEX($AB$1004:$AQ$1004,1,MATCH(COLUMNS($AB$1006:AD1006),$AB$1006:$AQ$1006,0)))),"Fix")))</f>
        <v>0</v>
      </c>
      <c r="E698" s="5">
        <f>IF(OR(INDEX($V$2:$V$1001,MATCH(ROWS($U$2:U698),$U$2:$U$1001,0),1)&gt;=100000,INDEX($AB$1005:$AQ$1005,1,MATCH(COLUMNS($AB$1006:AE1006),$AB$1006:$AQ$1006,0))&gt;=100000), " ",IF(INDEX($AB$2:$AQ$1001,MATCH(ROWS($U$2:U698),$U$2:$U$1001,0),MATCH(COLUMNS($AB$1006:AE1006),$AB$1006:$AQ$1006,0)), HYPERLINK("#",""), HYPERLINK(CONCATENATE("#Metadata!", ADDRESS(INDEX($W$2:$W$1001,MATCH(ROWS($U$2:U698),$U$2:$U$1001,0),0), INDEX($AB$1004:$AQ$1004,1,MATCH(COLUMNS($AB$1006:AE1006),$AB$1006:$AQ$1006,0)))),"Fix")))</f>
        <v>0</v>
      </c>
      <c r="F698" s="5">
        <f>IF(OR(INDEX($V$2:$V$1001,MATCH(ROWS($U$2:U698),$U$2:$U$1001,0),1)&gt;=100000,INDEX($AB$1005:$AQ$1005,1,MATCH(COLUMNS($AB$1006:AF1006),$AB$1006:$AQ$1006,0))&gt;=100000), " ",IF(INDEX($AB$2:$AQ$1001,MATCH(ROWS($U$2:U698),$U$2:$U$1001,0),MATCH(COLUMNS($AB$1006:AF1006),$AB$1006:$AQ$1006,0)), HYPERLINK("#",""), HYPERLINK(CONCATENATE("#Metadata!", ADDRESS(INDEX($W$2:$W$1001,MATCH(ROWS($U$2:U698),$U$2:$U$1001,0),0), INDEX($AB$1004:$AQ$1004,1,MATCH(COLUMNS($AB$1006:AF1006),$AB$1006:$AQ$1006,0)))),"Fix")))</f>
        <v>0</v>
      </c>
      <c r="G698" s="5">
        <f>IF(OR(INDEX($V$2:$V$1001,MATCH(ROWS($U$2:U698),$U$2:$U$1001,0),1)&gt;=100000,INDEX($AB$1005:$AQ$1005,1,MATCH(COLUMNS($AB$1006:AG1006),$AB$1006:$AQ$1006,0))&gt;=100000), " ",IF(INDEX($AB$2:$AQ$1001,MATCH(ROWS($U$2:U698),$U$2:$U$1001,0),MATCH(COLUMNS($AB$1006:AG1006),$AB$1006:$AQ$1006,0)), HYPERLINK("#",""), HYPERLINK(CONCATENATE("#Metadata!", ADDRESS(INDEX($W$2:$W$1001,MATCH(ROWS($U$2:U698),$U$2:$U$1001,0),0), INDEX($AB$1004:$AQ$1004,1,MATCH(COLUMNS($AB$1006:AG1006),$AB$1006:$AQ$1006,0)))),"Fix")))</f>
        <v>0</v>
      </c>
      <c r="H698" s="5">
        <f>IF(OR(INDEX($V$2:$V$1001,MATCH(ROWS($U$2:U698),$U$2:$U$1001,0),1)&gt;=100000,INDEX($AB$1005:$AQ$1005,1,MATCH(COLUMNS($AB$1006:AH1006),$AB$1006:$AQ$1006,0))&gt;=100000), " ",IF(INDEX($AB$2:$AQ$1001,MATCH(ROWS($U$2:U698),$U$2:$U$1001,0),MATCH(COLUMNS($AB$1006:AH1006),$AB$1006:$AQ$1006,0)), HYPERLINK("#",""), HYPERLINK(CONCATENATE("#Metadata!", ADDRESS(INDEX($W$2:$W$1001,MATCH(ROWS($U$2:U698),$U$2:$U$1001,0),0), INDEX($AB$1004:$AQ$1004,1,MATCH(COLUMNS($AB$1006:AH1006),$AB$1006:$AQ$1006,0)))),"Fix")))</f>
        <v>0</v>
      </c>
      <c r="I698" s="5">
        <f>IF(OR(INDEX($V$2:$V$1001,MATCH(ROWS($U$2:U698),$U$2:$U$1001,0),1)&gt;=100000,INDEX($AB$1005:$AQ$1005,1,MATCH(COLUMNS($AB$1006:AI1006),$AB$1006:$AQ$1006,0))&gt;=100000), " ",IF(INDEX($AB$2:$AQ$1001,MATCH(ROWS($U$2:U698),$U$2:$U$1001,0),MATCH(COLUMNS($AB$1006:AI1006),$AB$1006:$AQ$1006,0)), HYPERLINK("#",""), HYPERLINK(CONCATENATE("#Metadata!", ADDRESS(INDEX($W$2:$W$1001,MATCH(ROWS($U$2:U698),$U$2:$U$1001,0),0), INDEX($AB$1004:$AQ$1004,1,MATCH(COLUMNS($AB$1006:AI1006),$AB$1006:$AQ$1006,0)))),"Fix")))</f>
        <v>0</v>
      </c>
      <c r="J698" s="5">
        <f>IF(OR(INDEX($V$2:$V$1001,MATCH(ROWS($U$2:U698),$U$2:$U$1001,0),1)&gt;=100000,INDEX($AB$1005:$AQ$1005,1,MATCH(COLUMNS($AB$1006:AJ1006),$AB$1006:$AQ$1006,0))&gt;=100000), " ",IF(INDEX($AB$2:$AQ$1001,MATCH(ROWS($U$2:U698),$U$2:$U$1001,0),MATCH(COLUMNS($AB$1006:AJ1006),$AB$1006:$AQ$1006,0)), HYPERLINK("#",""), HYPERLINK(CONCATENATE("#Metadata!", ADDRESS(INDEX($W$2:$W$1001,MATCH(ROWS($U$2:U698),$U$2:$U$1001,0),0), INDEX($AB$1004:$AQ$1004,1,MATCH(COLUMNS($AB$1006:AJ1006),$AB$1006:$AQ$1006,0)))),"Fix")))</f>
        <v>0</v>
      </c>
      <c r="K698" s="5">
        <f>IF(OR(INDEX($V$2:$V$1001,MATCH(ROWS($U$2:U698),$U$2:$U$1001,0),1)&gt;=100000,INDEX($AB$1005:$AQ$1005,1,MATCH(COLUMNS($AB$1006:AK1006),$AB$1006:$AQ$1006,0))&gt;=100000), " ",IF(INDEX($AB$2:$AQ$1001,MATCH(ROWS($U$2:U698),$U$2:$U$1001,0),MATCH(COLUMNS($AB$1006:AK1006),$AB$1006:$AQ$1006,0)), HYPERLINK("#",""), HYPERLINK(CONCATENATE("#Metadata!", ADDRESS(INDEX($W$2:$W$1001,MATCH(ROWS($U$2:U698),$U$2:$U$1001,0),0), INDEX($AB$1004:$AQ$1004,1,MATCH(COLUMNS($AB$1006:AK1006),$AB$1006:$AQ$1006,0)))),"Fix")))</f>
        <v>0</v>
      </c>
      <c r="L698" s="5">
        <f>IF(OR(INDEX($V$2:$V$1001,MATCH(ROWS($U$2:U698),$U$2:$U$1001,0),1)&gt;=100000,INDEX($AB$1005:$AQ$1005,1,MATCH(COLUMNS($AB$1006:AL1006),$AB$1006:$AQ$1006,0))&gt;=100000), " ",IF(INDEX($AB$2:$AQ$1001,MATCH(ROWS($U$2:U698),$U$2:$U$1001,0),MATCH(COLUMNS($AB$1006:AL1006),$AB$1006:$AQ$1006,0)), HYPERLINK("#",""), HYPERLINK(CONCATENATE("#Metadata!", ADDRESS(INDEX($W$2:$W$1001,MATCH(ROWS($U$2:U698),$U$2:$U$1001,0),0), INDEX($AB$1004:$AQ$1004,1,MATCH(COLUMNS($AB$1006:AL1006),$AB$1006:$AQ$1006,0)))),"Fix")))</f>
        <v>0</v>
      </c>
      <c r="M698" s="5">
        <f>IF(OR(INDEX($V$2:$V$1001,MATCH(ROWS($U$2:U698),$U$2:$U$1001,0),1)&gt;=100000,INDEX($AB$1005:$AQ$1005,1,MATCH(COLUMNS($AB$1006:AM1006),$AB$1006:$AQ$1006,0))&gt;=100000), " ",IF(INDEX($AB$2:$AQ$1001,MATCH(ROWS($U$2:U698),$U$2:$U$1001,0),MATCH(COLUMNS($AB$1006:AM1006),$AB$1006:$AQ$1006,0)), HYPERLINK("#",""), HYPERLINK(CONCATENATE("#Metadata!", ADDRESS(INDEX($W$2:$W$1001,MATCH(ROWS($U$2:U698),$U$2:$U$1001,0),0), INDEX($AB$1004:$AQ$1004,1,MATCH(COLUMNS($AB$1006:AM1006),$AB$1006:$AQ$1006,0)))),"Fix")))</f>
        <v>0</v>
      </c>
      <c r="N698" s="5">
        <f>IF(OR(INDEX($V$2:$V$1001,MATCH(ROWS($U$2:U698),$U$2:$U$1001,0),1)&gt;=100000,INDEX($AB$1005:$AQ$1005,1,MATCH(COLUMNS($AB$1006:AN1006),$AB$1006:$AQ$1006,0))&gt;=100000), " ",IF(INDEX($AB$2:$AQ$1001,MATCH(ROWS($U$2:U698),$U$2:$U$1001,0),MATCH(COLUMNS($AB$1006:AN1006),$AB$1006:$AQ$1006,0)), HYPERLINK("#",""), HYPERLINK(CONCATENATE("#Metadata!", ADDRESS(INDEX($W$2:$W$1001,MATCH(ROWS($U$2:U698),$U$2:$U$1001,0),0), INDEX($AB$1004:$AQ$1004,1,MATCH(COLUMNS($AB$1006:AN1006),$AB$1006:$AQ$1006,0)))),"Fix")))</f>
        <v>0</v>
      </c>
      <c r="O698" s="5">
        <f>IF(OR(INDEX($V$2:$V$1001,MATCH(ROWS($U$2:U698),$U$2:$U$1001,0),1)&gt;=100000,INDEX($AB$1005:$AQ$1005,1,MATCH(COLUMNS($AB$1006:AO1006),$AB$1006:$AQ$1006,0))&gt;=100000), " ",IF(INDEX($AB$2:$AQ$1001,MATCH(ROWS($U$2:U698),$U$2:$U$1001,0),MATCH(COLUMNS($AB$1006:AO1006),$AB$1006:$AQ$1006,0)), HYPERLINK("#",""), HYPERLINK(CONCATENATE("#Metadata!", ADDRESS(INDEX($W$2:$W$1001,MATCH(ROWS($U$2:U698),$U$2:$U$1001,0),0), INDEX($AB$1004:$AQ$1004,1,MATCH(COLUMNS($AB$1006:AO1006),$AB$1006:$AQ$1006,0)))),"Fix")))</f>
        <v>0</v>
      </c>
      <c r="P698" s="5">
        <f>IF(OR(INDEX($V$2:$V$1001,MATCH(ROWS($U$2:U698),$U$2:$U$1001,0),1)&gt;=100000,INDEX($AB$1005:$AQ$1005,1,MATCH(COLUMNS($AB$1006:AP1006),$AB$1006:$AQ$1006,0))&gt;=100000), " ",IF(INDEX($AB$2:$AQ$1001,MATCH(ROWS($U$2:U698),$U$2:$U$1001,0),MATCH(COLUMNS($AB$1006:AP1006),$AB$1006:$AQ$1006,0)), HYPERLINK("#",""), HYPERLINK(CONCATENATE("#Metadata!", ADDRESS(INDEX($W$2:$W$1001,MATCH(ROWS($U$2:U698),$U$2:$U$1001,0),0), INDEX($AB$1004:$AQ$1004,1,MATCH(COLUMNS($AB$1006:AP1006),$AB$1006:$AQ$1006,0)))),"Fix")))</f>
        <v>0</v>
      </c>
      <c r="Q698" s="5">
        <f>IF(OR(INDEX($V$2:$V$1001,MATCH(ROWS($U$2:U698),$U$2:$U$1001,0),1)&gt;=100000,INDEX($AB$1005:$AQ$1005,1,MATCH(COLUMNS($AB$1006:AQ1006),$AB$1006:$AQ$1006,0))&gt;=100000), " ",IF(INDEX($AB$2:$AQ$1001,MATCH(ROWS($U$2:U698),$U$2:$U$1001,0),MATCH(COLUMNS($AB$1006:AQ1006),$AB$1006:$AQ$1006,0)), HYPERLINK("#",""), HYPERLINK(CONCATENATE("#Metadata!", ADDRESS(INDEX($W$2:$W$1001,MATCH(ROWS($U$2:U698),$U$2:$U$1001,0),0), INDEX($AB$1004:$AQ$1004,1,MATCH(COLUMNS($AB$1006:AQ1006),$AB$1006:$AQ$1006,0)))),"Fix")))</f>
        <v>0</v>
      </c>
      <c r="U698">
        <v>0</v>
      </c>
      <c r="V698">
        <v>0</v>
      </c>
      <c r="W698">
        <v>0</v>
      </c>
      <c r="X698">
        <f>IF(Y698,TRUE,AND(AB698:AQ698))</f>
        <v>0</v>
      </c>
      <c r="Y698">
        <f>COUNTBLANK(Metadata!B698:Q698)=COLUMNS(Metadata!B698:Q698)</f>
        <v>0</v>
      </c>
      <c r="Z698">
        <v>0</v>
      </c>
      <c r="AB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AC698">
        <f>AND(IF(Metadata!C698="",FALSE,TRUE),exact(Metadata!C698,"urban biome"))</f>
        <v>0</v>
      </c>
      <c r="AD698">
        <f>AND(IF(Metadata!D698="",FALSE,TRUE),exact(Metadata!D698,"human-associated habitat"))</f>
        <v>0</v>
      </c>
      <c r="AE698">
        <f>AND(IF(Metadata!E698="",FALSE,TRUE),OR(exact(Metadata!E698,"human-associated"),exact(Metadata!E698,"human-skin"),exact(Metadata!E698,"human-oral"),exact(Metadata!E698,"human-gut"),exact(Metadata!E698,"human-vaginal")))</f>
        <v>0</v>
      </c>
      <c r="AF698">
        <f>AND(IF(Metadata!F698="",FALSE,ISNUMBER(VALUE(Metadata!F698))),Metadata!F698&gt;0)</f>
        <v>0</v>
      </c>
      <c r="AG698">
        <f>AND(IF(Metadata!G698="",FALSE,TRUE),exact(Metadata!G698,"years"))</f>
        <v>0</v>
      </c>
      <c r="AH698">
        <f>OR(AND(IF(Metadata!H698="",FALSE,TRUE),OR(exact(Metadata!H698,"not applicable"),exact(Metadata!H698,"not collected"),exact(Metadata!H698,"not provided"),exact(Metadata!H698,"restricted access"))),AND(IF(Metadata!H698="",FALSE,ISNUMBER(VALUE(Metadata!H698))),Metadata!H698&gt;0))</f>
        <v>0</v>
      </c>
      <c r="AI698">
        <f>AND(IF(Metadata!I698="",FALSE,TRUE),exact(Metadata!I698,"human"))</f>
        <v>0</v>
      </c>
      <c r="AJ698">
        <f>AND(IF(Metadata!J698="",FALSE,ISNUMBER(VALUE(Metadata!J698))),Metadata!J698&gt;0)</f>
        <v>0</v>
      </c>
      <c r="AK698">
        <f>AND(IF(Metadata!K698="",FALSE,TRUE),exact(Metadata!K698,"cm"))</f>
        <v>0</v>
      </c>
      <c r="AL698">
        <f>AND(IF(Metadata!L698="",FALSE,TRUE),exact(Metadata!L698,"Homo sapiens"))</f>
        <v>0</v>
      </c>
      <c r="AM698">
        <f>AND(IF(Metadata!M698="",FALSE,TRUE),exact(Metadata!M698,"9606"))</f>
        <v>0</v>
      </c>
      <c r="AN698">
        <f>AND(IF(Metadata!N698="",FALSE,ISNUMBER(VALUE(Metadata!N698))),Metadata!N698&gt;0)</f>
        <v>0</v>
      </c>
      <c r="AO698">
        <f>AND(IF(Metadata!O698="",FALSE,TRUE),exact(Metadata!O698,"kg"))</f>
        <v>0</v>
      </c>
      <c r="AP698">
        <f>OR(AND(IF(Metadata!P698="",FALSE,TRUE),exact(Metadata!P698,"not provided")),IF(Metadata!P698="",FALSE,TRUE))</f>
        <v>0</v>
      </c>
      <c r="AQ698">
        <f>OR(AND(IF(Metadata!Q698="",FALSE,TRUE),exact(Metadata!Q698,"not provided")),IF(Metadata!Q698="",FALSE,TRUE))</f>
        <v>0</v>
      </c>
    </row>
    <row r="699" spans="1:43">
      <c r="A699" s="4">
        <f>IF(B699=" "," ",HYPERLINK(CONCATENATE("#metadata!",ADDRESS(INDEX($W$2:$W$1001,MATCH(ROWS($U$2:U699),$U$2:$U$1001,0),0),2)),INDEX($Z$2:$Z$1001,MATCH(ROWS($U$2:U699),$U$2:$U$1001,0),0)))</f>
        <v>0</v>
      </c>
      <c r="B699" s="5">
        <f>IF(OR(INDEX($V$2:$V$1001,MATCH(ROWS($U$2:U699),$U$2:$U$1001,0),1)&gt;=100000,INDEX($AB$1005:$AQ$1005,1,MATCH(COLUMNS($AB$1006:AB1006),$AB$1006:$AQ$1006,0))&gt;=100000), " ",IF(INDEX($AB$2:$AQ$1001,MATCH(ROWS($U$2:U699),$U$2:$U$1001,0),MATCH(COLUMNS($AB$1006:AB1006),$AB$1006:$AQ$1006,0)), HYPERLINK("#",""), HYPERLINK(CONCATENATE("#Metadata!", ADDRESS(INDEX($W$2:$W$1001,MATCH(ROWS($U$2:U699),$U$2:$U$1001,0),0), INDEX($AB$1004:$AQ$1004,1,MATCH(COLUMNS($AB$1006:AB1006),$AB$1006:$AQ$1006,0)))),"Fix")))</f>
        <v>0</v>
      </c>
      <c r="C699" s="5">
        <f>IF(OR(INDEX($V$2:$V$1001,MATCH(ROWS($U$2:U699),$U$2:$U$1001,0),1)&gt;=100000,INDEX($AB$1005:$AQ$1005,1,MATCH(COLUMNS($AB$1006:AC1006),$AB$1006:$AQ$1006,0))&gt;=100000), " ",IF(INDEX($AB$2:$AQ$1001,MATCH(ROWS($U$2:U699),$U$2:$U$1001,0),MATCH(COLUMNS($AB$1006:AC1006),$AB$1006:$AQ$1006,0)), HYPERLINK("#",""), HYPERLINK(CONCATENATE("#Metadata!", ADDRESS(INDEX($W$2:$W$1001,MATCH(ROWS($U$2:U699),$U$2:$U$1001,0),0), INDEX($AB$1004:$AQ$1004,1,MATCH(COLUMNS($AB$1006:AC1006),$AB$1006:$AQ$1006,0)))),"Fix")))</f>
        <v>0</v>
      </c>
      <c r="D699" s="5">
        <f>IF(OR(INDEX($V$2:$V$1001,MATCH(ROWS($U$2:U699),$U$2:$U$1001,0),1)&gt;=100000,INDEX($AB$1005:$AQ$1005,1,MATCH(COLUMNS($AB$1006:AD1006),$AB$1006:$AQ$1006,0))&gt;=100000), " ",IF(INDEX($AB$2:$AQ$1001,MATCH(ROWS($U$2:U699),$U$2:$U$1001,0),MATCH(COLUMNS($AB$1006:AD1006),$AB$1006:$AQ$1006,0)), HYPERLINK("#",""), HYPERLINK(CONCATENATE("#Metadata!", ADDRESS(INDEX($W$2:$W$1001,MATCH(ROWS($U$2:U699),$U$2:$U$1001,0),0), INDEX($AB$1004:$AQ$1004,1,MATCH(COLUMNS($AB$1006:AD1006),$AB$1006:$AQ$1006,0)))),"Fix")))</f>
        <v>0</v>
      </c>
      <c r="E699" s="5">
        <f>IF(OR(INDEX($V$2:$V$1001,MATCH(ROWS($U$2:U699),$U$2:$U$1001,0),1)&gt;=100000,INDEX($AB$1005:$AQ$1005,1,MATCH(COLUMNS($AB$1006:AE1006),$AB$1006:$AQ$1006,0))&gt;=100000), " ",IF(INDEX($AB$2:$AQ$1001,MATCH(ROWS($U$2:U699),$U$2:$U$1001,0),MATCH(COLUMNS($AB$1006:AE1006),$AB$1006:$AQ$1006,0)), HYPERLINK("#",""), HYPERLINK(CONCATENATE("#Metadata!", ADDRESS(INDEX($W$2:$W$1001,MATCH(ROWS($U$2:U699),$U$2:$U$1001,0),0), INDEX($AB$1004:$AQ$1004,1,MATCH(COLUMNS($AB$1006:AE1006),$AB$1006:$AQ$1006,0)))),"Fix")))</f>
        <v>0</v>
      </c>
      <c r="F699" s="5">
        <f>IF(OR(INDEX($V$2:$V$1001,MATCH(ROWS($U$2:U699),$U$2:$U$1001,0),1)&gt;=100000,INDEX($AB$1005:$AQ$1005,1,MATCH(COLUMNS($AB$1006:AF1006),$AB$1006:$AQ$1006,0))&gt;=100000), " ",IF(INDEX($AB$2:$AQ$1001,MATCH(ROWS($U$2:U699),$U$2:$U$1001,0),MATCH(COLUMNS($AB$1006:AF1006),$AB$1006:$AQ$1006,0)), HYPERLINK("#",""), HYPERLINK(CONCATENATE("#Metadata!", ADDRESS(INDEX($W$2:$W$1001,MATCH(ROWS($U$2:U699),$U$2:$U$1001,0),0), INDEX($AB$1004:$AQ$1004,1,MATCH(COLUMNS($AB$1006:AF1006),$AB$1006:$AQ$1006,0)))),"Fix")))</f>
        <v>0</v>
      </c>
      <c r="G699" s="5">
        <f>IF(OR(INDEX($V$2:$V$1001,MATCH(ROWS($U$2:U699),$U$2:$U$1001,0),1)&gt;=100000,INDEX($AB$1005:$AQ$1005,1,MATCH(COLUMNS($AB$1006:AG1006),$AB$1006:$AQ$1006,0))&gt;=100000), " ",IF(INDEX($AB$2:$AQ$1001,MATCH(ROWS($U$2:U699),$U$2:$U$1001,0),MATCH(COLUMNS($AB$1006:AG1006),$AB$1006:$AQ$1006,0)), HYPERLINK("#",""), HYPERLINK(CONCATENATE("#Metadata!", ADDRESS(INDEX($W$2:$W$1001,MATCH(ROWS($U$2:U699),$U$2:$U$1001,0),0), INDEX($AB$1004:$AQ$1004,1,MATCH(COLUMNS($AB$1006:AG1006),$AB$1006:$AQ$1006,0)))),"Fix")))</f>
        <v>0</v>
      </c>
      <c r="H699" s="5">
        <f>IF(OR(INDEX($V$2:$V$1001,MATCH(ROWS($U$2:U699),$U$2:$U$1001,0),1)&gt;=100000,INDEX($AB$1005:$AQ$1005,1,MATCH(COLUMNS($AB$1006:AH1006),$AB$1006:$AQ$1006,0))&gt;=100000), " ",IF(INDEX($AB$2:$AQ$1001,MATCH(ROWS($U$2:U699),$U$2:$U$1001,0),MATCH(COLUMNS($AB$1006:AH1006),$AB$1006:$AQ$1006,0)), HYPERLINK("#",""), HYPERLINK(CONCATENATE("#Metadata!", ADDRESS(INDEX($W$2:$W$1001,MATCH(ROWS($U$2:U699),$U$2:$U$1001,0),0), INDEX($AB$1004:$AQ$1004,1,MATCH(COLUMNS($AB$1006:AH1006),$AB$1006:$AQ$1006,0)))),"Fix")))</f>
        <v>0</v>
      </c>
      <c r="I699" s="5">
        <f>IF(OR(INDEX($V$2:$V$1001,MATCH(ROWS($U$2:U699),$U$2:$U$1001,0),1)&gt;=100000,INDEX($AB$1005:$AQ$1005,1,MATCH(COLUMNS($AB$1006:AI1006),$AB$1006:$AQ$1006,0))&gt;=100000), " ",IF(INDEX($AB$2:$AQ$1001,MATCH(ROWS($U$2:U699),$U$2:$U$1001,0),MATCH(COLUMNS($AB$1006:AI1006),$AB$1006:$AQ$1006,0)), HYPERLINK("#",""), HYPERLINK(CONCATENATE("#Metadata!", ADDRESS(INDEX($W$2:$W$1001,MATCH(ROWS($U$2:U699),$U$2:$U$1001,0),0), INDEX($AB$1004:$AQ$1004,1,MATCH(COLUMNS($AB$1006:AI1006),$AB$1006:$AQ$1006,0)))),"Fix")))</f>
        <v>0</v>
      </c>
      <c r="J699" s="5">
        <f>IF(OR(INDEX($V$2:$V$1001,MATCH(ROWS($U$2:U699),$U$2:$U$1001,0),1)&gt;=100000,INDEX($AB$1005:$AQ$1005,1,MATCH(COLUMNS($AB$1006:AJ1006),$AB$1006:$AQ$1006,0))&gt;=100000), " ",IF(INDEX($AB$2:$AQ$1001,MATCH(ROWS($U$2:U699),$U$2:$U$1001,0),MATCH(COLUMNS($AB$1006:AJ1006),$AB$1006:$AQ$1006,0)), HYPERLINK("#",""), HYPERLINK(CONCATENATE("#Metadata!", ADDRESS(INDEX($W$2:$W$1001,MATCH(ROWS($U$2:U699),$U$2:$U$1001,0),0), INDEX($AB$1004:$AQ$1004,1,MATCH(COLUMNS($AB$1006:AJ1006),$AB$1006:$AQ$1006,0)))),"Fix")))</f>
        <v>0</v>
      </c>
      <c r="K699" s="5">
        <f>IF(OR(INDEX($V$2:$V$1001,MATCH(ROWS($U$2:U699),$U$2:$U$1001,0),1)&gt;=100000,INDEX($AB$1005:$AQ$1005,1,MATCH(COLUMNS($AB$1006:AK1006),$AB$1006:$AQ$1006,0))&gt;=100000), " ",IF(INDEX($AB$2:$AQ$1001,MATCH(ROWS($U$2:U699),$U$2:$U$1001,0),MATCH(COLUMNS($AB$1006:AK1006),$AB$1006:$AQ$1006,0)), HYPERLINK("#",""), HYPERLINK(CONCATENATE("#Metadata!", ADDRESS(INDEX($W$2:$W$1001,MATCH(ROWS($U$2:U699),$U$2:$U$1001,0),0), INDEX($AB$1004:$AQ$1004,1,MATCH(COLUMNS($AB$1006:AK1006),$AB$1006:$AQ$1006,0)))),"Fix")))</f>
        <v>0</v>
      </c>
      <c r="L699" s="5">
        <f>IF(OR(INDEX($V$2:$V$1001,MATCH(ROWS($U$2:U699),$U$2:$U$1001,0),1)&gt;=100000,INDEX($AB$1005:$AQ$1005,1,MATCH(COLUMNS($AB$1006:AL1006),$AB$1006:$AQ$1006,0))&gt;=100000), " ",IF(INDEX($AB$2:$AQ$1001,MATCH(ROWS($U$2:U699),$U$2:$U$1001,0),MATCH(COLUMNS($AB$1006:AL1006),$AB$1006:$AQ$1006,0)), HYPERLINK("#",""), HYPERLINK(CONCATENATE("#Metadata!", ADDRESS(INDEX($W$2:$W$1001,MATCH(ROWS($U$2:U699),$U$2:$U$1001,0),0), INDEX($AB$1004:$AQ$1004,1,MATCH(COLUMNS($AB$1006:AL1006),$AB$1006:$AQ$1006,0)))),"Fix")))</f>
        <v>0</v>
      </c>
      <c r="M699" s="5">
        <f>IF(OR(INDEX($V$2:$V$1001,MATCH(ROWS($U$2:U699),$U$2:$U$1001,0),1)&gt;=100000,INDEX($AB$1005:$AQ$1005,1,MATCH(COLUMNS($AB$1006:AM1006),$AB$1006:$AQ$1006,0))&gt;=100000), " ",IF(INDEX($AB$2:$AQ$1001,MATCH(ROWS($U$2:U699),$U$2:$U$1001,0),MATCH(COLUMNS($AB$1006:AM1006),$AB$1006:$AQ$1006,0)), HYPERLINK("#",""), HYPERLINK(CONCATENATE("#Metadata!", ADDRESS(INDEX($W$2:$W$1001,MATCH(ROWS($U$2:U699),$U$2:$U$1001,0),0), INDEX($AB$1004:$AQ$1004,1,MATCH(COLUMNS($AB$1006:AM1006),$AB$1006:$AQ$1006,0)))),"Fix")))</f>
        <v>0</v>
      </c>
      <c r="N699" s="5">
        <f>IF(OR(INDEX($V$2:$V$1001,MATCH(ROWS($U$2:U699),$U$2:$U$1001,0),1)&gt;=100000,INDEX($AB$1005:$AQ$1005,1,MATCH(COLUMNS($AB$1006:AN1006),$AB$1006:$AQ$1006,0))&gt;=100000), " ",IF(INDEX($AB$2:$AQ$1001,MATCH(ROWS($U$2:U699),$U$2:$U$1001,0),MATCH(COLUMNS($AB$1006:AN1006),$AB$1006:$AQ$1006,0)), HYPERLINK("#",""), HYPERLINK(CONCATENATE("#Metadata!", ADDRESS(INDEX($W$2:$W$1001,MATCH(ROWS($U$2:U699),$U$2:$U$1001,0),0), INDEX($AB$1004:$AQ$1004,1,MATCH(COLUMNS($AB$1006:AN1006),$AB$1006:$AQ$1006,0)))),"Fix")))</f>
        <v>0</v>
      </c>
      <c r="O699" s="5">
        <f>IF(OR(INDEX($V$2:$V$1001,MATCH(ROWS($U$2:U699),$U$2:$U$1001,0),1)&gt;=100000,INDEX($AB$1005:$AQ$1005,1,MATCH(COLUMNS($AB$1006:AO1006),$AB$1006:$AQ$1006,0))&gt;=100000), " ",IF(INDEX($AB$2:$AQ$1001,MATCH(ROWS($U$2:U699),$U$2:$U$1001,0),MATCH(COLUMNS($AB$1006:AO1006),$AB$1006:$AQ$1006,0)), HYPERLINK("#",""), HYPERLINK(CONCATENATE("#Metadata!", ADDRESS(INDEX($W$2:$W$1001,MATCH(ROWS($U$2:U699),$U$2:$U$1001,0),0), INDEX($AB$1004:$AQ$1004,1,MATCH(COLUMNS($AB$1006:AO1006),$AB$1006:$AQ$1006,0)))),"Fix")))</f>
        <v>0</v>
      </c>
      <c r="P699" s="5">
        <f>IF(OR(INDEX($V$2:$V$1001,MATCH(ROWS($U$2:U699),$U$2:$U$1001,0),1)&gt;=100000,INDEX($AB$1005:$AQ$1005,1,MATCH(COLUMNS($AB$1006:AP1006),$AB$1006:$AQ$1006,0))&gt;=100000), " ",IF(INDEX($AB$2:$AQ$1001,MATCH(ROWS($U$2:U699),$U$2:$U$1001,0),MATCH(COLUMNS($AB$1006:AP1006),$AB$1006:$AQ$1006,0)), HYPERLINK("#",""), HYPERLINK(CONCATENATE("#Metadata!", ADDRESS(INDEX($W$2:$W$1001,MATCH(ROWS($U$2:U699),$U$2:$U$1001,0),0), INDEX($AB$1004:$AQ$1004,1,MATCH(COLUMNS($AB$1006:AP1006),$AB$1006:$AQ$1006,0)))),"Fix")))</f>
        <v>0</v>
      </c>
      <c r="Q699" s="5">
        <f>IF(OR(INDEX($V$2:$V$1001,MATCH(ROWS($U$2:U699),$U$2:$U$1001,0),1)&gt;=100000,INDEX($AB$1005:$AQ$1005,1,MATCH(COLUMNS($AB$1006:AQ1006),$AB$1006:$AQ$1006,0))&gt;=100000), " ",IF(INDEX($AB$2:$AQ$1001,MATCH(ROWS($U$2:U699),$U$2:$U$1001,0),MATCH(COLUMNS($AB$1006:AQ1006),$AB$1006:$AQ$1006,0)), HYPERLINK("#",""), HYPERLINK(CONCATENATE("#Metadata!", ADDRESS(INDEX($W$2:$W$1001,MATCH(ROWS($U$2:U699),$U$2:$U$1001,0),0), INDEX($AB$1004:$AQ$1004,1,MATCH(COLUMNS($AB$1006:AQ1006),$AB$1006:$AQ$1006,0)))),"Fix")))</f>
        <v>0</v>
      </c>
      <c r="U699">
        <v>0</v>
      </c>
      <c r="V699">
        <v>0</v>
      </c>
      <c r="W699">
        <v>0</v>
      </c>
      <c r="X699">
        <f>IF(Y699,TRUE,AND(AB699:AQ699))</f>
        <v>0</v>
      </c>
      <c r="Y699">
        <f>COUNTBLANK(Metadata!B699:Q699)=COLUMNS(Metadata!B699:Q699)</f>
        <v>0</v>
      </c>
      <c r="Z699">
        <v>0</v>
      </c>
      <c r="AB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AC699">
        <f>AND(IF(Metadata!C699="",FALSE,TRUE),exact(Metadata!C699,"urban biome"))</f>
        <v>0</v>
      </c>
      <c r="AD699">
        <f>AND(IF(Metadata!D699="",FALSE,TRUE),exact(Metadata!D699,"human-associated habitat"))</f>
        <v>0</v>
      </c>
      <c r="AE699">
        <f>AND(IF(Metadata!E699="",FALSE,TRUE),OR(exact(Metadata!E699,"human-associated"),exact(Metadata!E699,"human-skin"),exact(Metadata!E699,"human-oral"),exact(Metadata!E699,"human-gut"),exact(Metadata!E699,"human-vaginal")))</f>
        <v>0</v>
      </c>
      <c r="AF699">
        <f>AND(IF(Metadata!F699="",FALSE,ISNUMBER(VALUE(Metadata!F699))),Metadata!F699&gt;0)</f>
        <v>0</v>
      </c>
      <c r="AG699">
        <f>AND(IF(Metadata!G699="",FALSE,TRUE),exact(Metadata!G699,"years"))</f>
        <v>0</v>
      </c>
      <c r="AH699">
        <f>OR(AND(IF(Metadata!H699="",FALSE,TRUE),OR(exact(Metadata!H699,"not applicable"),exact(Metadata!H699,"not collected"),exact(Metadata!H699,"not provided"),exact(Metadata!H699,"restricted access"))),AND(IF(Metadata!H699="",FALSE,ISNUMBER(VALUE(Metadata!H699))),Metadata!H699&gt;0))</f>
        <v>0</v>
      </c>
      <c r="AI699">
        <f>AND(IF(Metadata!I699="",FALSE,TRUE),exact(Metadata!I699,"human"))</f>
        <v>0</v>
      </c>
      <c r="AJ699">
        <f>AND(IF(Metadata!J699="",FALSE,ISNUMBER(VALUE(Metadata!J699))),Metadata!J699&gt;0)</f>
        <v>0</v>
      </c>
      <c r="AK699">
        <f>AND(IF(Metadata!K699="",FALSE,TRUE),exact(Metadata!K699,"cm"))</f>
        <v>0</v>
      </c>
      <c r="AL699">
        <f>AND(IF(Metadata!L699="",FALSE,TRUE),exact(Metadata!L699,"Homo sapiens"))</f>
        <v>0</v>
      </c>
      <c r="AM699">
        <f>AND(IF(Metadata!M699="",FALSE,TRUE),exact(Metadata!M699,"9606"))</f>
        <v>0</v>
      </c>
      <c r="AN699">
        <f>AND(IF(Metadata!N699="",FALSE,ISNUMBER(VALUE(Metadata!N699))),Metadata!N699&gt;0)</f>
        <v>0</v>
      </c>
      <c r="AO699">
        <f>AND(IF(Metadata!O699="",FALSE,TRUE),exact(Metadata!O699,"kg"))</f>
        <v>0</v>
      </c>
      <c r="AP699">
        <f>OR(AND(IF(Metadata!P699="",FALSE,TRUE),exact(Metadata!P699,"not provided")),IF(Metadata!P699="",FALSE,TRUE))</f>
        <v>0</v>
      </c>
      <c r="AQ699">
        <f>OR(AND(IF(Metadata!Q699="",FALSE,TRUE),exact(Metadata!Q699,"not provided")),IF(Metadata!Q699="",FALSE,TRUE))</f>
        <v>0</v>
      </c>
    </row>
    <row r="700" spans="1:43">
      <c r="A700" s="4">
        <f>IF(B700=" "," ",HYPERLINK(CONCATENATE("#metadata!",ADDRESS(INDEX($W$2:$W$1001,MATCH(ROWS($U$2:U700),$U$2:$U$1001,0),0),2)),INDEX($Z$2:$Z$1001,MATCH(ROWS($U$2:U700),$U$2:$U$1001,0),0)))</f>
        <v>0</v>
      </c>
      <c r="B700" s="5">
        <f>IF(OR(INDEX($V$2:$V$1001,MATCH(ROWS($U$2:U700),$U$2:$U$1001,0),1)&gt;=100000,INDEX($AB$1005:$AQ$1005,1,MATCH(COLUMNS($AB$1006:AB1006),$AB$1006:$AQ$1006,0))&gt;=100000), " ",IF(INDEX($AB$2:$AQ$1001,MATCH(ROWS($U$2:U700),$U$2:$U$1001,0),MATCH(COLUMNS($AB$1006:AB1006),$AB$1006:$AQ$1006,0)), HYPERLINK("#",""), HYPERLINK(CONCATENATE("#Metadata!", ADDRESS(INDEX($W$2:$W$1001,MATCH(ROWS($U$2:U700),$U$2:$U$1001,0),0), INDEX($AB$1004:$AQ$1004,1,MATCH(COLUMNS($AB$1006:AB1006),$AB$1006:$AQ$1006,0)))),"Fix")))</f>
        <v>0</v>
      </c>
      <c r="C700" s="5">
        <f>IF(OR(INDEX($V$2:$V$1001,MATCH(ROWS($U$2:U700),$U$2:$U$1001,0),1)&gt;=100000,INDEX($AB$1005:$AQ$1005,1,MATCH(COLUMNS($AB$1006:AC1006),$AB$1006:$AQ$1006,0))&gt;=100000), " ",IF(INDEX($AB$2:$AQ$1001,MATCH(ROWS($U$2:U700),$U$2:$U$1001,0),MATCH(COLUMNS($AB$1006:AC1006),$AB$1006:$AQ$1006,0)), HYPERLINK("#",""), HYPERLINK(CONCATENATE("#Metadata!", ADDRESS(INDEX($W$2:$W$1001,MATCH(ROWS($U$2:U700),$U$2:$U$1001,0),0), INDEX($AB$1004:$AQ$1004,1,MATCH(COLUMNS($AB$1006:AC1006),$AB$1006:$AQ$1006,0)))),"Fix")))</f>
        <v>0</v>
      </c>
      <c r="D700" s="5">
        <f>IF(OR(INDEX($V$2:$V$1001,MATCH(ROWS($U$2:U700),$U$2:$U$1001,0),1)&gt;=100000,INDEX($AB$1005:$AQ$1005,1,MATCH(COLUMNS($AB$1006:AD1006),$AB$1006:$AQ$1006,0))&gt;=100000), " ",IF(INDEX($AB$2:$AQ$1001,MATCH(ROWS($U$2:U700),$U$2:$U$1001,0),MATCH(COLUMNS($AB$1006:AD1006),$AB$1006:$AQ$1006,0)), HYPERLINK("#",""), HYPERLINK(CONCATENATE("#Metadata!", ADDRESS(INDEX($W$2:$W$1001,MATCH(ROWS($U$2:U700),$U$2:$U$1001,0),0), INDEX($AB$1004:$AQ$1004,1,MATCH(COLUMNS($AB$1006:AD1006),$AB$1006:$AQ$1006,0)))),"Fix")))</f>
        <v>0</v>
      </c>
      <c r="E700" s="5">
        <f>IF(OR(INDEX($V$2:$V$1001,MATCH(ROWS($U$2:U700),$U$2:$U$1001,0),1)&gt;=100000,INDEX($AB$1005:$AQ$1005,1,MATCH(COLUMNS($AB$1006:AE1006),$AB$1006:$AQ$1006,0))&gt;=100000), " ",IF(INDEX($AB$2:$AQ$1001,MATCH(ROWS($U$2:U700),$U$2:$U$1001,0),MATCH(COLUMNS($AB$1006:AE1006),$AB$1006:$AQ$1006,0)), HYPERLINK("#",""), HYPERLINK(CONCATENATE("#Metadata!", ADDRESS(INDEX($W$2:$W$1001,MATCH(ROWS($U$2:U700),$U$2:$U$1001,0),0), INDEX($AB$1004:$AQ$1004,1,MATCH(COLUMNS($AB$1006:AE1006),$AB$1006:$AQ$1006,0)))),"Fix")))</f>
        <v>0</v>
      </c>
      <c r="F700" s="5">
        <f>IF(OR(INDEX($V$2:$V$1001,MATCH(ROWS($U$2:U700),$U$2:$U$1001,0),1)&gt;=100000,INDEX($AB$1005:$AQ$1005,1,MATCH(COLUMNS($AB$1006:AF1006),$AB$1006:$AQ$1006,0))&gt;=100000), " ",IF(INDEX($AB$2:$AQ$1001,MATCH(ROWS($U$2:U700),$U$2:$U$1001,0),MATCH(COLUMNS($AB$1006:AF1006),$AB$1006:$AQ$1006,0)), HYPERLINK("#",""), HYPERLINK(CONCATENATE("#Metadata!", ADDRESS(INDEX($W$2:$W$1001,MATCH(ROWS($U$2:U700),$U$2:$U$1001,0),0), INDEX($AB$1004:$AQ$1004,1,MATCH(COLUMNS($AB$1006:AF1006),$AB$1006:$AQ$1006,0)))),"Fix")))</f>
        <v>0</v>
      </c>
      <c r="G700" s="5">
        <f>IF(OR(INDEX($V$2:$V$1001,MATCH(ROWS($U$2:U700),$U$2:$U$1001,0),1)&gt;=100000,INDEX($AB$1005:$AQ$1005,1,MATCH(COLUMNS($AB$1006:AG1006),$AB$1006:$AQ$1006,0))&gt;=100000), " ",IF(INDEX($AB$2:$AQ$1001,MATCH(ROWS($U$2:U700),$U$2:$U$1001,0),MATCH(COLUMNS($AB$1006:AG1006),$AB$1006:$AQ$1006,0)), HYPERLINK("#",""), HYPERLINK(CONCATENATE("#Metadata!", ADDRESS(INDEX($W$2:$W$1001,MATCH(ROWS($U$2:U700),$U$2:$U$1001,0),0), INDEX($AB$1004:$AQ$1004,1,MATCH(COLUMNS($AB$1006:AG1006),$AB$1006:$AQ$1006,0)))),"Fix")))</f>
        <v>0</v>
      </c>
      <c r="H700" s="5">
        <f>IF(OR(INDEX($V$2:$V$1001,MATCH(ROWS($U$2:U700),$U$2:$U$1001,0),1)&gt;=100000,INDEX($AB$1005:$AQ$1005,1,MATCH(COLUMNS($AB$1006:AH1006),$AB$1006:$AQ$1006,0))&gt;=100000), " ",IF(INDEX($AB$2:$AQ$1001,MATCH(ROWS($U$2:U700),$U$2:$U$1001,0),MATCH(COLUMNS($AB$1006:AH1006),$AB$1006:$AQ$1006,0)), HYPERLINK("#",""), HYPERLINK(CONCATENATE("#Metadata!", ADDRESS(INDEX($W$2:$W$1001,MATCH(ROWS($U$2:U700),$U$2:$U$1001,0),0), INDEX($AB$1004:$AQ$1004,1,MATCH(COLUMNS($AB$1006:AH1006),$AB$1006:$AQ$1006,0)))),"Fix")))</f>
        <v>0</v>
      </c>
      <c r="I700" s="5">
        <f>IF(OR(INDEX($V$2:$V$1001,MATCH(ROWS($U$2:U700),$U$2:$U$1001,0),1)&gt;=100000,INDEX($AB$1005:$AQ$1005,1,MATCH(COLUMNS($AB$1006:AI1006),$AB$1006:$AQ$1006,0))&gt;=100000), " ",IF(INDEX($AB$2:$AQ$1001,MATCH(ROWS($U$2:U700),$U$2:$U$1001,0),MATCH(COLUMNS($AB$1006:AI1006),$AB$1006:$AQ$1006,0)), HYPERLINK("#",""), HYPERLINK(CONCATENATE("#Metadata!", ADDRESS(INDEX($W$2:$W$1001,MATCH(ROWS($U$2:U700),$U$2:$U$1001,0),0), INDEX($AB$1004:$AQ$1004,1,MATCH(COLUMNS($AB$1006:AI1006),$AB$1006:$AQ$1006,0)))),"Fix")))</f>
        <v>0</v>
      </c>
      <c r="J700" s="5">
        <f>IF(OR(INDEX($V$2:$V$1001,MATCH(ROWS($U$2:U700),$U$2:$U$1001,0),1)&gt;=100000,INDEX($AB$1005:$AQ$1005,1,MATCH(COLUMNS($AB$1006:AJ1006),$AB$1006:$AQ$1006,0))&gt;=100000), " ",IF(INDEX($AB$2:$AQ$1001,MATCH(ROWS($U$2:U700),$U$2:$U$1001,0),MATCH(COLUMNS($AB$1006:AJ1006),$AB$1006:$AQ$1006,0)), HYPERLINK("#",""), HYPERLINK(CONCATENATE("#Metadata!", ADDRESS(INDEX($W$2:$W$1001,MATCH(ROWS($U$2:U700),$U$2:$U$1001,0),0), INDEX($AB$1004:$AQ$1004,1,MATCH(COLUMNS($AB$1006:AJ1006),$AB$1006:$AQ$1006,0)))),"Fix")))</f>
        <v>0</v>
      </c>
      <c r="K700" s="5">
        <f>IF(OR(INDEX($V$2:$V$1001,MATCH(ROWS($U$2:U700),$U$2:$U$1001,0),1)&gt;=100000,INDEX($AB$1005:$AQ$1005,1,MATCH(COLUMNS($AB$1006:AK1006),$AB$1006:$AQ$1006,0))&gt;=100000), " ",IF(INDEX($AB$2:$AQ$1001,MATCH(ROWS($U$2:U700),$U$2:$U$1001,0),MATCH(COLUMNS($AB$1006:AK1006),$AB$1006:$AQ$1006,0)), HYPERLINK("#",""), HYPERLINK(CONCATENATE("#Metadata!", ADDRESS(INDEX($W$2:$W$1001,MATCH(ROWS($U$2:U700),$U$2:$U$1001,0),0), INDEX($AB$1004:$AQ$1004,1,MATCH(COLUMNS($AB$1006:AK1006),$AB$1006:$AQ$1006,0)))),"Fix")))</f>
        <v>0</v>
      </c>
      <c r="L700" s="5">
        <f>IF(OR(INDEX($V$2:$V$1001,MATCH(ROWS($U$2:U700),$U$2:$U$1001,0),1)&gt;=100000,INDEX($AB$1005:$AQ$1005,1,MATCH(COLUMNS($AB$1006:AL1006),$AB$1006:$AQ$1006,0))&gt;=100000), " ",IF(INDEX($AB$2:$AQ$1001,MATCH(ROWS($U$2:U700),$U$2:$U$1001,0),MATCH(COLUMNS($AB$1006:AL1006),$AB$1006:$AQ$1006,0)), HYPERLINK("#",""), HYPERLINK(CONCATENATE("#Metadata!", ADDRESS(INDEX($W$2:$W$1001,MATCH(ROWS($U$2:U700),$U$2:$U$1001,0),0), INDEX($AB$1004:$AQ$1004,1,MATCH(COLUMNS($AB$1006:AL1006),$AB$1006:$AQ$1006,0)))),"Fix")))</f>
        <v>0</v>
      </c>
      <c r="M700" s="5">
        <f>IF(OR(INDEX($V$2:$V$1001,MATCH(ROWS($U$2:U700),$U$2:$U$1001,0),1)&gt;=100000,INDEX($AB$1005:$AQ$1005,1,MATCH(COLUMNS($AB$1006:AM1006),$AB$1006:$AQ$1006,0))&gt;=100000), " ",IF(INDEX($AB$2:$AQ$1001,MATCH(ROWS($U$2:U700),$U$2:$U$1001,0),MATCH(COLUMNS($AB$1006:AM1006),$AB$1006:$AQ$1006,0)), HYPERLINK("#",""), HYPERLINK(CONCATENATE("#Metadata!", ADDRESS(INDEX($W$2:$W$1001,MATCH(ROWS($U$2:U700),$U$2:$U$1001,0),0), INDEX($AB$1004:$AQ$1004,1,MATCH(COLUMNS($AB$1006:AM1006),$AB$1006:$AQ$1006,0)))),"Fix")))</f>
        <v>0</v>
      </c>
      <c r="N700" s="5">
        <f>IF(OR(INDEX($V$2:$V$1001,MATCH(ROWS($U$2:U700),$U$2:$U$1001,0),1)&gt;=100000,INDEX($AB$1005:$AQ$1005,1,MATCH(COLUMNS($AB$1006:AN1006),$AB$1006:$AQ$1006,0))&gt;=100000), " ",IF(INDEX($AB$2:$AQ$1001,MATCH(ROWS($U$2:U700),$U$2:$U$1001,0),MATCH(COLUMNS($AB$1006:AN1006),$AB$1006:$AQ$1006,0)), HYPERLINK("#",""), HYPERLINK(CONCATENATE("#Metadata!", ADDRESS(INDEX($W$2:$W$1001,MATCH(ROWS($U$2:U700),$U$2:$U$1001,0),0), INDEX($AB$1004:$AQ$1004,1,MATCH(COLUMNS($AB$1006:AN1006),$AB$1006:$AQ$1006,0)))),"Fix")))</f>
        <v>0</v>
      </c>
      <c r="O700" s="5">
        <f>IF(OR(INDEX($V$2:$V$1001,MATCH(ROWS($U$2:U700),$U$2:$U$1001,0),1)&gt;=100000,INDEX($AB$1005:$AQ$1005,1,MATCH(COLUMNS($AB$1006:AO1006),$AB$1006:$AQ$1006,0))&gt;=100000), " ",IF(INDEX($AB$2:$AQ$1001,MATCH(ROWS($U$2:U700),$U$2:$U$1001,0),MATCH(COLUMNS($AB$1006:AO1006),$AB$1006:$AQ$1006,0)), HYPERLINK("#",""), HYPERLINK(CONCATENATE("#Metadata!", ADDRESS(INDEX($W$2:$W$1001,MATCH(ROWS($U$2:U700),$U$2:$U$1001,0),0), INDEX($AB$1004:$AQ$1004,1,MATCH(COLUMNS($AB$1006:AO1006),$AB$1006:$AQ$1006,0)))),"Fix")))</f>
        <v>0</v>
      </c>
      <c r="P700" s="5">
        <f>IF(OR(INDEX($V$2:$V$1001,MATCH(ROWS($U$2:U700),$U$2:$U$1001,0),1)&gt;=100000,INDEX($AB$1005:$AQ$1005,1,MATCH(COLUMNS($AB$1006:AP1006),$AB$1006:$AQ$1006,0))&gt;=100000), " ",IF(INDEX($AB$2:$AQ$1001,MATCH(ROWS($U$2:U700),$U$2:$U$1001,0),MATCH(COLUMNS($AB$1006:AP1006),$AB$1006:$AQ$1006,0)), HYPERLINK("#",""), HYPERLINK(CONCATENATE("#Metadata!", ADDRESS(INDEX($W$2:$W$1001,MATCH(ROWS($U$2:U700),$U$2:$U$1001,0),0), INDEX($AB$1004:$AQ$1004,1,MATCH(COLUMNS($AB$1006:AP1006),$AB$1006:$AQ$1006,0)))),"Fix")))</f>
        <v>0</v>
      </c>
      <c r="Q700" s="5">
        <f>IF(OR(INDEX($V$2:$V$1001,MATCH(ROWS($U$2:U700),$U$2:$U$1001,0),1)&gt;=100000,INDEX($AB$1005:$AQ$1005,1,MATCH(COLUMNS($AB$1006:AQ1006),$AB$1006:$AQ$1006,0))&gt;=100000), " ",IF(INDEX($AB$2:$AQ$1001,MATCH(ROWS($U$2:U700),$U$2:$U$1001,0),MATCH(COLUMNS($AB$1006:AQ1006),$AB$1006:$AQ$1006,0)), HYPERLINK("#",""), HYPERLINK(CONCATENATE("#Metadata!", ADDRESS(INDEX($W$2:$W$1001,MATCH(ROWS($U$2:U700),$U$2:$U$1001,0),0), INDEX($AB$1004:$AQ$1004,1,MATCH(COLUMNS($AB$1006:AQ1006),$AB$1006:$AQ$1006,0)))),"Fix")))</f>
        <v>0</v>
      </c>
      <c r="U700">
        <v>0</v>
      </c>
      <c r="V700">
        <v>0</v>
      </c>
      <c r="W700">
        <v>0</v>
      </c>
      <c r="X700">
        <f>IF(Y700,TRUE,AND(AB700:AQ700))</f>
        <v>0</v>
      </c>
      <c r="Y700">
        <f>COUNTBLANK(Metadata!B700:Q700)=COLUMNS(Metadata!B700:Q700)</f>
        <v>0</v>
      </c>
      <c r="Z700">
        <v>0</v>
      </c>
      <c r="AB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AC700">
        <f>AND(IF(Metadata!C700="",FALSE,TRUE),exact(Metadata!C700,"urban biome"))</f>
        <v>0</v>
      </c>
      <c r="AD700">
        <f>AND(IF(Metadata!D700="",FALSE,TRUE),exact(Metadata!D700,"human-associated habitat"))</f>
        <v>0</v>
      </c>
      <c r="AE700">
        <f>AND(IF(Metadata!E700="",FALSE,TRUE),OR(exact(Metadata!E700,"human-associated"),exact(Metadata!E700,"human-skin"),exact(Metadata!E700,"human-oral"),exact(Metadata!E700,"human-gut"),exact(Metadata!E700,"human-vaginal")))</f>
        <v>0</v>
      </c>
      <c r="AF700">
        <f>AND(IF(Metadata!F700="",FALSE,ISNUMBER(VALUE(Metadata!F700))),Metadata!F700&gt;0)</f>
        <v>0</v>
      </c>
      <c r="AG700">
        <f>AND(IF(Metadata!G700="",FALSE,TRUE),exact(Metadata!G700,"years"))</f>
        <v>0</v>
      </c>
      <c r="AH700">
        <f>OR(AND(IF(Metadata!H700="",FALSE,TRUE),OR(exact(Metadata!H700,"not applicable"),exact(Metadata!H700,"not collected"),exact(Metadata!H700,"not provided"),exact(Metadata!H700,"restricted access"))),AND(IF(Metadata!H700="",FALSE,ISNUMBER(VALUE(Metadata!H700))),Metadata!H700&gt;0))</f>
        <v>0</v>
      </c>
      <c r="AI700">
        <f>AND(IF(Metadata!I700="",FALSE,TRUE),exact(Metadata!I700,"human"))</f>
        <v>0</v>
      </c>
      <c r="AJ700">
        <f>AND(IF(Metadata!J700="",FALSE,ISNUMBER(VALUE(Metadata!J700))),Metadata!J700&gt;0)</f>
        <v>0</v>
      </c>
      <c r="AK700">
        <f>AND(IF(Metadata!K700="",FALSE,TRUE),exact(Metadata!K700,"cm"))</f>
        <v>0</v>
      </c>
      <c r="AL700">
        <f>AND(IF(Metadata!L700="",FALSE,TRUE),exact(Metadata!L700,"Homo sapiens"))</f>
        <v>0</v>
      </c>
      <c r="AM700">
        <f>AND(IF(Metadata!M700="",FALSE,TRUE),exact(Metadata!M700,"9606"))</f>
        <v>0</v>
      </c>
      <c r="AN700">
        <f>AND(IF(Metadata!N700="",FALSE,ISNUMBER(VALUE(Metadata!N700))),Metadata!N700&gt;0)</f>
        <v>0</v>
      </c>
      <c r="AO700">
        <f>AND(IF(Metadata!O700="",FALSE,TRUE),exact(Metadata!O700,"kg"))</f>
        <v>0</v>
      </c>
      <c r="AP700">
        <f>OR(AND(IF(Metadata!P700="",FALSE,TRUE),exact(Metadata!P700,"not provided")),IF(Metadata!P700="",FALSE,TRUE))</f>
        <v>0</v>
      </c>
      <c r="AQ700">
        <f>OR(AND(IF(Metadata!Q700="",FALSE,TRUE),exact(Metadata!Q700,"not provided")),IF(Metadata!Q700="",FALSE,TRUE))</f>
        <v>0</v>
      </c>
    </row>
    <row r="701" spans="1:43">
      <c r="A701" s="4">
        <f>IF(B701=" "," ",HYPERLINK(CONCATENATE("#metadata!",ADDRESS(INDEX($W$2:$W$1001,MATCH(ROWS($U$2:U701),$U$2:$U$1001,0),0),2)),INDEX($Z$2:$Z$1001,MATCH(ROWS($U$2:U701),$U$2:$U$1001,0),0)))</f>
        <v>0</v>
      </c>
      <c r="B701" s="5">
        <f>IF(OR(INDEX($V$2:$V$1001,MATCH(ROWS($U$2:U701),$U$2:$U$1001,0),1)&gt;=100000,INDEX($AB$1005:$AQ$1005,1,MATCH(COLUMNS($AB$1006:AB1006),$AB$1006:$AQ$1006,0))&gt;=100000), " ",IF(INDEX($AB$2:$AQ$1001,MATCH(ROWS($U$2:U701),$U$2:$U$1001,0),MATCH(COLUMNS($AB$1006:AB1006),$AB$1006:$AQ$1006,0)), HYPERLINK("#",""), HYPERLINK(CONCATENATE("#Metadata!", ADDRESS(INDEX($W$2:$W$1001,MATCH(ROWS($U$2:U701),$U$2:$U$1001,0),0), INDEX($AB$1004:$AQ$1004,1,MATCH(COLUMNS($AB$1006:AB1006),$AB$1006:$AQ$1006,0)))),"Fix")))</f>
        <v>0</v>
      </c>
      <c r="C701" s="5">
        <f>IF(OR(INDEX($V$2:$V$1001,MATCH(ROWS($U$2:U701),$U$2:$U$1001,0),1)&gt;=100000,INDEX($AB$1005:$AQ$1005,1,MATCH(COLUMNS($AB$1006:AC1006),$AB$1006:$AQ$1006,0))&gt;=100000), " ",IF(INDEX($AB$2:$AQ$1001,MATCH(ROWS($U$2:U701),$U$2:$U$1001,0),MATCH(COLUMNS($AB$1006:AC1006),$AB$1006:$AQ$1006,0)), HYPERLINK("#",""), HYPERLINK(CONCATENATE("#Metadata!", ADDRESS(INDEX($W$2:$W$1001,MATCH(ROWS($U$2:U701),$U$2:$U$1001,0),0), INDEX($AB$1004:$AQ$1004,1,MATCH(COLUMNS($AB$1006:AC1006),$AB$1006:$AQ$1006,0)))),"Fix")))</f>
        <v>0</v>
      </c>
      <c r="D701" s="5">
        <f>IF(OR(INDEX($V$2:$V$1001,MATCH(ROWS($U$2:U701),$U$2:$U$1001,0),1)&gt;=100000,INDEX($AB$1005:$AQ$1005,1,MATCH(COLUMNS($AB$1006:AD1006),$AB$1006:$AQ$1006,0))&gt;=100000), " ",IF(INDEX($AB$2:$AQ$1001,MATCH(ROWS($U$2:U701),$U$2:$U$1001,0),MATCH(COLUMNS($AB$1006:AD1006),$AB$1006:$AQ$1006,0)), HYPERLINK("#",""), HYPERLINK(CONCATENATE("#Metadata!", ADDRESS(INDEX($W$2:$W$1001,MATCH(ROWS($U$2:U701),$U$2:$U$1001,0),0), INDEX($AB$1004:$AQ$1004,1,MATCH(COLUMNS($AB$1006:AD1006),$AB$1006:$AQ$1006,0)))),"Fix")))</f>
        <v>0</v>
      </c>
      <c r="E701" s="5">
        <f>IF(OR(INDEX($V$2:$V$1001,MATCH(ROWS($U$2:U701),$U$2:$U$1001,0),1)&gt;=100000,INDEX($AB$1005:$AQ$1005,1,MATCH(COLUMNS($AB$1006:AE1006),$AB$1006:$AQ$1006,0))&gt;=100000), " ",IF(INDEX($AB$2:$AQ$1001,MATCH(ROWS($U$2:U701),$U$2:$U$1001,0),MATCH(COLUMNS($AB$1006:AE1006),$AB$1006:$AQ$1006,0)), HYPERLINK("#",""), HYPERLINK(CONCATENATE("#Metadata!", ADDRESS(INDEX($W$2:$W$1001,MATCH(ROWS($U$2:U701),$U$2:$U$1001,0),0), INDEX($AB$1004:$AQ$1004,1,MATCH(COLUMNS($AB$1006:AE1006),$AB$1006:$AQ$1006,0)))),"Fix")))</f>
        <v>0</v>
      </c>
      <c r="F701" s="5">
        <f>IF(OR(INDEX($V$2:$V$1001,MATCH(ROWS($U$2:U701),$U$2:$U$1001,0),1)&gt;=100000,INDEX($AB$1005:$AQ$1005,1,MATCH(COLUMNS($AB$1006:AF1006),$AB$1006:$AQ$1006,0))&gt;=100000), " ",IF(INDEX($AB$2:$AQ$1001,MATCH(ROWS($U$2:U701),$U$2:$U$1001,0),MATCH(COLUMNS($AB$1006:AF1006),$AB$1006:$AQ$1006,0)), HYPERLINK("#",""), HYPERLINK(CONCATENATE("#Metadata!", ADDRESS(INDEX($W$2:$W$1001,MATCH(ROWS($U$2:U701),$U$2:$U$1001,0),0), INDEX($AB$1004:$AQ$1004,1,MATCH(COLUMNS($AB$1006:AF1006),$AB$1006:$AQ$1006,0)))),"Fix")))</f>
        <v>0</v>
      </c>
      <c r="G701" s="5">
        <f>IF(OR(INDEX($V$2:$V$1001,MATCH(ROWS($U$2:U701),$U$2:$U$1001,0),1)&gt;=100000,INDEX($AB$1005:$AQ$1005,1,MATCH(COLUMNS($AB$1006:AG1006),$AB$1006:$AQ$1006,0))&gt;=100000), " ",IF(INDEX($AB$2:$AQ$1001,MATCH(ROWS($U$2:U701),$U$2:$U$1001,0),MATCH(COLUMNS($AB$1006:AG1006),$AB$1006:$AQ$1006,0)), HYPERLINK("#",""), HYPERLINK(CONCATENATE("#Metadata!", ADDRESS(INDEX($W$2:$W$1001,MATCH(ROWS($U$2:U701),$U$2:$U$1001,0),0), INDEX($AB$1004:$AQ$1004,1,MATCH(COLUMNS($AB$1006:AG1006),$AB$1006:$AQ$1006,0)))),"Fix")))</f>
        <v>0</v>
      </c>
      <c r="H701" s="5">
        <f>IF(OR(INDEX($V$2:$V$1001,MATCH(ROWS($U$2:U701),$U$2:$U$1001,0),1)&gt;=100000,INDEX($AB$1005:$AQ$1005,1,MATCH(COLUMNS($AB$1006:AH1006),$AB$1006:$AQ$1006,0))&gt;=100000), " ",IF(INDEX($AB$2:$AQ$1001,MATCH(ROWS($U$2:U701),$U$2:$U$1001,0),MATCH(COLUMNS($AB$1006:AH1006),$AB$1006:$AQ$1006,0)), HYPERLINK("#",""), HYPERLINK(CONCATENATE("#Metadata!", ADDRESS(INDEX($W$2:$W$1001,MATCH(ROWS($U$2:U701),$U$2:$U$1001,0),0), INDEX($AB$1004:$AQ$1004,1,MATCH(COLUMNS($AB$1006:AH1006),$AB$1006:$AQ$1006,0)))),"Fix")))</f>
        <v>0</v>
      </c>
      <c r="I701" s="5">
        <f>IF(OR(INDEX($V$2:$V$1001,MATCH(ROWS($U$2:U701),$U$2:$U$1001,0),1)&gt;=100000,INDEX($AB$1005:$AQ$1005,1,MATCH(COLUMNS($AB$1006:AI1006),$AB$1006:$AQ$1006,0))&gt;=100000), " ",IF(INDEX($AB$2:$AQ$1001,MATCH(ROWS($U$2:U701),$U$2:$U$1001,0),MATCH(COLUMNS($AB$1006:AI1006),$AB$1006:$AQ$1006,0)), HYPERLINK("#",""), HYPERLINK(CONCATENATE("#Metadata!", ADDRESS(INDEX($W$2:$W$1001,MATCH(ROWS($U$2:U701),$U$2:$U$1001,0),0), INDEX($AB$1004:$AQ$1004,1,MATCH(COLUMNS($AB$1006:AI1006),$AB$1006:$AQ$1006,0)))),"Fix")))</f>
        <v>0</v>
      </c>
      <c r="J701" s="5">
        <f>IF(OR(INDEX($V$2:$V$1001,MATCH(ROWS($U$2:U701),$U$2:$U$1001,0),1)&gt;=100000,INDEX($AB$1005:$AQ$1005,1,MATCH(COLUMNS($AB$1006:AJ1006),$AB$1006:$AQ$1006,0))&gt;=100000), " ",IF(INDEX($AB$2:$AQ$1001,MATCH(ROWS($U$2:U701),$U$2:$U$1001,0),MATCH(COLUMNS($AB$1006:AJ1006),$AB$1006:$AQ$1006,0)), HYPERLINK("#",""), HYPERLINK(CONCATENATE("#Metadata!", ADDRESS(INDEX($W$2:$W$1001,MATCH(ROWS($U$2:U701),$U$2:$U$1001,0),0), INDEX($AB$1004:$AQ$1004,1,MATCH(COLUMNS($AB$1006:AJ1006),$AB$1006:$AQ$1006,0)))),"Fix")))</f>
        <v>0</v>
      </c>
      <c r="K701" s="5">
        <f>IF(OR(INDEX($V$2:$V$1001,MATCH(ROWS($U$2:U701),$U$2:$U$1001,0),1)&gt;=100000,INDEX($AB$1005:$AQ$1005,1,MATCH(COLUMNS($AB$1006:AK1006),$AB$1006:$AQ$1006,0))&gt;=100000), " ",IF(INDEX($AB$2:$AQ$1001,MATCH(ROWS($U$2:U701),$U$2:$U$1001,0),MATCH(COLUMNS($AB$1006:AK1006),$AB$1006:$AQ$1006,0)), HYPERLINK("#",""), HYPERLINK(CONCATENATE("#Metadata!", ADDRESS(INDEX($W$2:$W$1001,MATCH(ROWS($U$2:U701),$U$2:$U$1001,0),0), INDEX($AB$1004:$AQ$1004,1,MATCH(COLUMNS($AB$1006:AK1006),$AB$1006:$AQ$1006,0)))),"Fix")))</f>
        <v>0</v>
      </c>
      <c r="L701" s="5">
        <f>IF(OR(INDEX($V$2:$V$1001,MATCH(ROWS($U$2:U701),$U$2:$U$1001,0),1)&gt;=100000,INDEX($AB$1005:$AQ$1005,1,MATCH(COLUMNS($AB$1006:AL1006),$AB$1006:$AQ$1006,0))&gt;=100000), " ",IF(INDEX($AB$2:$AQ$1001,MATCH(ROWS($U$2:U701),$U$2:$U$1001,0),MATCH(COLUMNS($AB$1006:AL1006),$AB$1006:$AQ$1006,0)), HYPERLINK("#",""), HYPERLINK(CONCATENATE("#Metadata!", ADDRESS(INDEX($W$2:$W$1001,MATCH(ROWS($U$2:U701),$U$2:$U$1001,0),0), INDEX($AB$1004:$AQ$1004,1,MATCH(COLUMNS($AB$1006:AL1006),$AB$1006:$AQ$1006,0)))),"Fix")))</f>
        <v>0</v>
      </c>
      <c r="M701" s="5">
        <f>IF(OR(INDEX($V$2:$V$1001,MATCH(ROWS($U$2:U701),$U$2:$U$1001,0),1)&gt;=100000,INDEX($AB$1005:$AQ$1005,1,MATCH(COLUMNS($AB$1006:AM1006),$AB$1006:$AQ$1006,0))&gt;=100000), " ",IF(INDEX($AB$2:$AQ$1001,MATCH(ROWS($U$2:U701),$U$2:$U$1001,0),MATCH(COLUMNS($AB$1006:AM1006),$AB$1006:$AQ$1006,0)), HYPERLINK("#",""), HYPERLINK(CONCATENATE("#Metadata!", ADDRESS(INDEX($W$2:$W$1001,MATCH(ROWS($U$2:U701),$U$2:$U$1001,0),0), INDEX($AB$1004:$AQ$1004,1,MATCH(COLUMNS($AB$1006:AM1006),$AB$1006:$AQ$1006,0)))),"Fix")))</f>
        <v>0</v>
      </c>
      <c r="N701" s="5">
        <f>IF(OR(INDEX($V$2:$V$1001,MATCH(ROWS($U$2:U701),$U$2:$U$1001,0),1)&gt;=100000,INDEX($AB$1005:$AQ$1005,1,MATCH(COLUMNS($AB$1006:AN1006),$AB$1006:$AQ$1006,0))&gt;=100000), " ",IF(INDEX($AB$2:$AQ$1001,MATCH(ROWS($U$2:U701),$U$2:$U$1001,0),MATCH(COLUMNS($AB$1006:AN1006),$AB$1006:$AQ$1006,0)), HYPERLINK("#",""), HYPERLINK(CONCATENATE("#Metadata!", ADDRESS(INDEX($W$2:$W$1001,MATCH(ROWS($U$2:U701),$U$2:$U$1001,0),0), INDEX($AB$1004:$AQ$1004,1,MATCH(COLUMNS($AB$1006:AN1006),$AB$1006:$AQ$1006,0)))),"Fix")))</f>
        <v>0</v>
      </c>
      <c r="O701" s="5">
        <f>IF(OR(INDEX($V$2:$V$1001,MATCH(ROWS($U$2:U701),$U$2:$U$1001,0),1)&gt;=100000,INDEX($AB$1005:$AQ$1005,1,MATCH(COLUMNS($AB$1006:AO1006),$AB$1006:$AQ$1006,0))&gt;=100000), " ",IF(INDEX($AB$2:$AQ$1001,MATCH(ROWS($U$2:U701),$U$2:$U$1001,0),MATCH(COLUMNS($AB$1006:AO1006),$AB$1006:$AQ$1006,0)), HYPERLINK("#",""), HYPERLINK(CONCATENATE("#Metadata!", ADDRESS(INDEX($W$2:$W$1001,MATCH(ROWS($U$2:U701),$U$2:$U$1001,0),0), INDEX($AB$1004:$AQ$1004,1,MATCH(COLUMNS($AB$1006:AO1006),$AB$1006:$AQ$1006,0)))),"Fix")))</f>
        <v>0</v>
      </c>
      <c r="P701" s="5">
        <f>IF(OR(INDEX($V$2:$V$1001,MATCH(ROWS($U$2:U701),$U$2:$U$1001,0),1)&gt;=100000,INDEX($AB$1005:$AQ$1005,1,MATCH(COLUMNS($AB$1006:AP1006),$AB$1006:$AQ$1006,0))&gt;=100000), " ",IF(INDEX($AB$2:$AQ$1001,MATCH(ROWS($U$2:U701),$U$2:$U$1001,0),MATCH(COLUMNS($AB$1006:AP1006),$AB$1006:$AQ$1006,0)), HYPERLINK("#",""), HYPERLINK(CONCATENATE("#Metadata!", ADDRESS(INDEX($W$2:$W$1001,MATCH(ROWS($U$2:U701),$U$2:$U$1001,0),0), INDEX($AB$1004:$AQ$1004,1,MATCH(COLUMNS($AB$1006:AP1006),$AB$1006:$AQ$1006,0)))),"Fix")))</f>
        <v>0</v>
      </c>
      <c r="Q701" s="5">
        <f>IF(OR(INDEX($V$2:$V$1001,MATCH(ROWS($U$2:U701),$U$2:$U$1001,0),1)&gt;=100000,INDEX($AB$1005:$AQ$1005,1,MATCH(COLUMNS($AB$1006:AQ1006),$AB$1006:$AQ$1006,0))&gt;=100000), " ",IF(INDEX($AB$2:$AQ$1001,MATCH(ROWS($U$2:U701),$U$2:$U$1001,0),MATCH(COLUMNS($AB$1006:AQ1006),$AB$1006:$AQ$1006,0)), HYPERLINK("#",""), HYPERLINK(CONCATENATE("#Metadata!", ADDRESS(INDEX($W$2:$W$1001,MATCH(ROWS($U$2:U701),$U$2:$U$1001,0),0), INDEX($AB$1004:$AQ$1004,1,MATCH(COLUMNS($AB$1006:AQ1006),$AB$1006:$AQ$1006,0)))),"Fix")))</f>
        <v>0</v>
      </c>
      <c r="U701">
        <v>0</v>
      </c>
      <c r="V701">
        <v>0</v>
      </c>
      <c r="W701">
        <v>0</v>
      </c>
      <c r="X701">
        <f>IF(Y701,TRUE,AND(AB701:AQ701))</f>
        <v>0</v>
      </c>
      <c r="Y701">
        <f>COUNTBLANK(Metadata!B701:Q701)=COLUMNS(Metadata!B701:Q701)</f>
        <v>0</v>
      </c>
      <c r="Z701">
        <v>0</v>
      </c>
      <c r="AB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AC701">
        <f>AND(IF(Metadata!C701="",FALSE,TRUE),exact(Metadata!C701,"urban biome"))</f>
        <v>0</v>
      </c>
      <c r="AD701">
        <f>AND(IF(Metadata!D701="",FALSE,TRUE),exact(Metadata!D701,"human-associated habitat"))</f>
        <v>0</v>
      </c>
      <c r="AE701">
        <f>AND(IF(Metadata!E701="",FALSE,TRUE),OR(exact(Metadata!E701,"human-associated"),exact(Metadata!E701,"human-skin"),exact(Metadata!E701,"human-oral"),exact(Metadata!E701,"human-gut"),exact(Metadata!E701,"human-vaginal")))</f>
        <v>0</v>
      </c>
      <c r="AF701">
        <f>AND(IF(Metadata!F701="",FALSE,ISNUMBER(VALUE(Metadata!F701))),Metadata!F701&gt;0)</f>
        <v>0</v>
      </c>
      <c r="AG701">
        <f>AND(IF(Metadata!G701="",FALSE,TRUE),exact(Metadata!G701,"years"))</f>
        <v>0</v>
      </c>
      <c r="AH701">
        <f>OR(AND(IF(Metadata!H701="",FALSE,TRUE),OR(exact(Metadata!H701,"not applicable"),exact(Metadata!H701,"not collected"),exact(Metadata!H701,"not provided"),exact(Metadata!H701,"restricted access"))),AND(IF(Metadata!H701="",FALSE,ISNUMBER(VALUE(Metadata!H701))),Metadata!H701&gt;0))</f>
        <v>0</v>
      </c>
      <c r="AI701">
        <f>AND(IF(Metadata!I701="",FALSE,TRUE),exact(Metadata!I701,"human"))</f>
        <v>0</v>
      </c>
      <c r="AJ701">
        <f>AND(IF(Metadata!J701="",FALSE,ISNUMBER(VALUE(Metadata!J701))),Metadata!J701&gt;0)</f>
        <v>0</v>
      </c>
      <c r="AK701">
        <f>AND(IF(Metadata!K701="",FALSE,TRUE),exact(Metadata!K701,"cm"))</f>
        <v>0</v>
      </c>
      <c r="AL701">
        <f>AND(IF(Metadata!L701="",FALSE,TRUE),exact(Metadata!L701,"Homo sapiens"))</f>
        <v>0</v>
      </c>
      <c r="AM701">
        <f>AND(IF(Metadata!M701="",FALSE,TRUE),exact(Metadata!M701,"9606"))</f>
        <v>0</v>
      </c>
      <c r="AN701">
        <f>AND(IF(Metadata!N701="",FALSE,ISNUMBER(VALUE(Metadata!N701))),Metadata!N701&gt;0)</f>
        <v>0</v>
      </c>
      <c r="AO701">
        <f>AND(IF(Metadata!O701="",FALSE,TRUE),exact(Metadata!O701,"kg"))</f>
        <v>0</v>
      </c>
      <c r="AP701">
        <f>OR(AND(IF(Metadata!P701="",FALSE,TRUE),exact(Metadata!P701,"not provided")),IF(Metadata!P701="",FALSE,TRUE))</f>
        <v>0</v>
      </c>
      <c r="AQ701">
        <f>OR(AND(IF(Metadata!Q701="",FALSE,TRUE),exact(Metadata!Q701,"not provided")),IF(Metadata!Q701="",FALSE,TRUE))</f>
        <v>0</v>
      </c>
    </row>
    <row r="702" spans="1:43">
      <c r="A702" s="4">
        <f>IF(B702=" "," ",HYPERLINK(CONCATENATE("#metadata!",ADDRESS(INDEX($W$2:$W$1001,MATCH(ROWS($U$2:U702),$U$2:$U$1001,0),0),2)),INDEX($Z$2:$Z$1001,MATCH(ROWS($U$2:U702),$U$2:$U$1001,0),0)))</f>
        <v>0</v>
      </c>
      <c r="B702" s="5">
        <f>IF(OR(INDEX($V$2:$V$1001,MATCH(ROWS($U$2:U702),$U$2:$U$1001,0),1)&gt;=100000,INDEX($AB$1005:$AQ$1005,1,MATCH(COLUMNS($AB$1006:AB1006),$AB$1006:$AQ$1006,0))&gt;=100000), " ",IF(INDEX($AB$2:$AQ$1001,MATCH(ROWS($U$2:U702),$U$2:$U$1001,0),MATCH(COLUMNS($AB$1006:AB1006),$AB$1006:$AQ$1006,0)), HYPERLINK("#",""), HYPERLINK(CONCATENATE("#Metadata!", ADDRESS(INDEX($W$2:$W$1001,MATCH(ROWS($U$2:U702),$U$2:$U$1001,0),0), INDEX($AB$1004:$AQ$1004,1,MATCH(COLUMNS($AB$1006:AB1006),$AB$1006:$AQ$1006,0)))),"Fix")))</f>
        <v>0</v>
      </c>
      <c r="C702" s="5">
        <f>IF(OR(INDEX($V$2:$V$1001,MATCH(ROWS($U$2:U702),$U$2:$U$1001,0),1)&gt;=100000,INDEX($AB$1005:$AQ$1005,1,MATCH(COLUMNS($AB$1006:AC1006),$AB$1006:$AQ$1006,0))&gt;=100000), " ",IF(INDEX($AB$2:$AQ$1001,MATCH(ROWS($U$2:U702),$U$2:$U$1001,0),MATCH(COLUMNS($AB$1006:AC1006),$AB$1006:$AQ$1006,0)), HYPERLINK("#",""), HYPERLINK(CONCATENATE("#Metadata!", ADDRESS(INDEX($W$2:$W$1001,MATCH(ROWS($U$2:U702),$U$2:$U$1001,0),0), INDEX($AB$1004:$AQ$1004,1,MATCH(COLUMNS($AB$1006:AC1006),$AB$1006:$AQ$1006,0)))),"Fix")))</f>
        <v>0</v>
      </c>
      <c r="D702" s="5">
        <f>IF(OR(INDEX($V$2:$V$1001,MATCH(ROWS($U$2:U702),$U$2:$U$1001,0),1)&gt;=100000,INDEX($AB$1005:$AQ$1005,1,MATCH(COLUMNS($AB$1006:AD1006),$AB$1006:$AQ$1006,0))&gt;=100000), " ",IF(INDEX($AB$2:$AQ$1001,MATCH(ROWS($U$2:U702),$U$2:$U$1001,0),MATCH(COLUMNS($AB$1006:AD1006),$AB$1006:$AQ$1006,0)), HYPERLINK("#",""), HYPERLINK(CONCATENATE("#Metadata!", ADDRESS(INDEX($W$2:$W$1001,MATCH(ROWS($U$2:U702),$U$2:$U$1001,0),0), INDEX($AB$1004:$AQ$1004,1,MATCH(COLUMNS($AB$1006:AD1006),$AB$1006:$AQ$1006,0)))),"Fix")))</f>
        <v>0</v>
      </c>
      <c r="E702" s="5">
        <f>IF(OR(INDEX($V$2:$V$1001,MATCH(ROWS($U$2:U702),$U$2:$U$1001,0),1)&gt;=100000,INDEX($AB$1005:$AQ$1005,1,MATCH(COLUMNS($AB$1006:AE1006),$AB$1006:$AQ$1006,0))&gt;=100000), " ",IF(INDEX($AB$2:$AQ$1001,MATCH(ROWS($U$2:U702),$U$2:$U$1001,0),MATCH(COLUMNS($AB$1006:AE1006),$AB$1006:$AQ$1006,0)), HYPERLINK("#",""), HYPERLINK(CONCATENATE("#Metadata!", ADDRESS(INDEX($W$2:$W$1001,MATCH(ROWS($U$2:U702),$U$2:$U$1001,0),0), INDEX($AB$1004:$AQ$1004,1,MATCH(COLUMNS($AB$1006:AE1006),$AB$1006:$AQ$1006,0)))),"Fix")))</f>
        <v>0</v>
      </c>
      <c r="F702" s="5">
        <f>IF(OR(INDEX($V$2:$V$1001,MATCH(ROWS($U$2:U702),$U$2:$U$1001,0),1)&gt;=100000,INDEX($AB$1005:$AQ$1005,1,MATCH(COLUMNS($AB$1006:AF1006),$AB$1006:$AQ$1006,0))&gt;=100000), " ",IF(INDEX($AB$2:$AQ$1001,MATCH(ROWS($U$2:U702),$U$2:$U$1001,0),MATCH(COLUMNS($AB$1006:AF1006),$AB$1006:$AQ$1006,0)), HYPERLINK("#",""), HYPERLINK(CONCATENATE("#Metadata!", ADDRESS(INDEX($W$2:$W$1001,MATCH(ROWS($U$2:U702),$U$2:$U$1001,0),0), INDEX($AB$1004:$AQ$1004,1,MATCH(COLUMNS($AB$1006:AF1006),$AB$1006:$AQ$1006,0)))),"Fix")))</f>
        <v>0</v>
      </c>
      <c r="G702" s="5">
        <f>IF(OR(INDEX($V$2:$V$1001,MATCH(ROWS($U$2:U702),$U$2:$U$1001,0),1)&gt;=100000,INDEX($AB$1005:$AQ$1005,1,MATCH(COLUMNS($AB$1006:AG1006),$AB$1006:$AQ$1006,0))&gt;=100000), " ",IF(INDEX($AB$2:$AQ$1001,MATCH(ROWS($U$2:U702),$U$2:$U$1001,0),MATCH(COLUMNS($AB$1006:AG1006),$AB$1006:$AQ$1006,0)), HYPERLINK("#",""), HYPERLINK(CONCATENATE("#Metadata!", ADDRESS(INDEX($W$2:$W$1001,MATCH(ROWS($U$2:U702),$U$2:$U$1001,0),0), INDEX($AB$1004:$AQ$1004,1,MATCH(COLUMNS($AB$1006:AG1006),$AB$1006:$AQ$1006,0)))),"Fix")))</f>
        <v>0</v>
      </c>
      <c r="H702" s="5">
        <f>IF(OR(INDEX($V$2:$V$1001,MATCH(ROWS($U$2:U702),$U$2:$U$1001,0),1)&gt;=100000,INDEX($AB$1005:$AQ$1005,1,MATCH(COLUMNS($AB$1006:AH1006),$AB$1006:$AQ$1006,0))&gt;=100000), " ",IF(INDEX($AB$2:$AQ$1001,MATCH(ROWS($U$2:U702),$U$2:$U$1001,0),MATCH(COLUMNS($AB$1006:AH1006),$AB$1006:$AQ$1006,0)), HYPERLINK("#",""), HYPERLINK(CONCATENATE("#Metadata!", ADDRESS(INDEX($W$2:$W$1001,MATCH(ROWS($U$2:U702),$U$2:$U$1001,0),0), INDEX($AB$1004:$AQ$1004,1,MATCH(COLUMNS($AB$1006:AH1006),$AB$1006:$AQ$1006,0)))),"Fix")))</f>
        <v>0</v>
      </c>
      <c r="I702" s="5">
        <f>IF(OR(INDEX($V$2:$V$1001,MATCH(ROWS($U$2:U702),$U$2:$U$1001,0),1)&gt;=100000,INDEX($AB$1005:$AQ$1005,1,MATCH(COLUMNS($AB$1006:AI1006),$AB$1006:$AQ$1006,0))&gt;=100000), " ",IF(INDEX($AB$2:$AQ$1001,MATCH(ROWS($U$2:U702),$U$2:$U$1001,0),MATCH(COLUMNS($AB$1006:AI1006),$AB$1006:$AQ$1006,0)), HYPERLINK("#",""), HYPERLINK(CONCATENATE("#Metadata!", ADDRESS(INDEX($W$2:$W$1001,MATCH(ROWS($U$2:U702),$U$2:$U$1001,0),0), INDEX($AB$1004:$AQ$1004,1,MATCH(COLUMNS($AB$1006:AI1006),$AB$1006:$AQ$1006,0)))),"Fix")))</f>
        <v>0</v>
      </c>
      <c r="J702" s="5">
        <f>IF(OR(INDEX($V$2:$V$1001,MATCH(ROWS($U$2:U702),$U$2:$U$1001,0),1)&gt;=100000,INDEX($AB$1005:$AQ$1005,1,MATCH(COLUMNS($AB$1006:AJ1006),$AB$1006:$AQ$1006,0))&gt;=100000), " ",IF(INDEX($AB$2:$AQ$1001,MATCH(ROWS($U$2:U702),$U$2:$U$1001,0),MATCH(COLUMNS($AB$1006:AJ1006),$AB$1006:$AQ$1006,0)), HYPERLINK("#",""), HYPERLINK(CONCATENATE("#Metadata!", ADDRESS(INDEX($W$2:$W$1001,MATCH(ROWS($U$2:U702),$U$2:$U$1001,0),0), INDEX($AB$1004:$AQ$1004,1,MATCH(COLUMNS($AB$1006:AJ1006),$AB$1006:$AQ$1006,0)))),"Fix")))</f>
        <v>0</v>
      </c>
      <c r="K702" s="5">
        <f>IF(OR(INDEX($V$2:$V$1001,MATCH(ROWS($U$2:U702),$U$2:$U$1001,0),1)&gt;=100000,INDEX($AB$1005:$AQ$1005,1,MATCH(COLUMNS($AB$1006:AK1006),$AB$1006:$AQ$1006,0))&gt;=100000), " ",IF(INDEX($AB$2:$AQ$1001,MATCH(ROWS($U$2:U702),$U$2:$U$1001,0),MATCH(COLUMNS($AB$1006:AK1006),$AB$1006:$AQ$1006,0)), HYPERLINK("#",""), HYPERLINK(CONCATENATE("#Metadata!", ADDRESS(INDEX($W$2:$W$1001,MATCH(ROWS($U$2:U702),$U$2:$U$1001,0),0), INDEX($AB$1004:$AQ$1004,1,MATCH(COLUMNS($AB$1006:AK1006),$AB$1006:$AQ$1006,0)))),"Fix")))</f>
        <v>0</v>
      </c>
      <c r="L702" s="5">
        <f>IF(OR(INDEX($V$2:$V$1001,MATCH(ROWS($U$2:U702),$U$2:$U$1001,0),1)&gt;=100000,INDEX($AB$1005:$AQ$1005,1,MATCH(COLUMNS($AB$1006:AL1006),$AB$1006:$AQ$1006,0))&gt;=100000), " ",IF(INDEX($AB$2:$AQ$1001,MATCH(ROWS($U$2:U702),$U$2:$U$1001,0),MATCH(COLUMNS($AB$1006:AL1006),$AB$1006:$AQ$1006,0)), HYPERLINK("#",""), HYPERLINK(CONCATENATE("#Metadata!", ADDRESS(INDEX($W$2:$W$1001,MATCH(ROWS($U$2:U702),$U$2:$U$1001,0),0), INDEX($AB$1004:$AQ$1004,1,MATCH(COLUMNS($AB$1006:AL1006),$AB$1006:$AQ$1006,0)))),"Fix")))</f>
        <v>0</v>
      </c>
      <c r="M702" s="5">
        <f>IF(OR(INDEX($V$2:$V$1001,MATCH(ROWS($U$2:U702),$U$2:$U$1001,0),1)&gt;=100000,INDEX($AB$1005:$AQ$1005,1,MATCH(COLUMNS($AB$1006:AM1006),$AB$1006:$AQ$1006,0))&gt;=100000), " ",IF(INDEX($AB$2:$AQ$1001,MATCH(ROWS($U$2:U702),$U$2:$U$1001,0),MATCH(COLUMNS($AB$1006:AM1006),$AB$1006:$AQ$1006,0)), HYPERLINK("#",""), HYPERLINK(CONCATENATE("#Metadata!", ADDRESS(INDEX($W$2:$W$1001,MATCH(ROWS($U$2:U702),$U$2:$U$1001,0),0), INDEX($AB$1004:$AQ$1004,1,MATCH(COLUMNS($AB$1006:AM1006),$AB$1006:$AQ$1006,0)))),"Fix")))</f>
        <v>0</v>
      </c>
      <c r="N702" s="5">
        <f>IF(OR(INDEX($V$2:$V$1001,MATCH(ROWS($U$2:U702),$U$2:$U$1001,0),1)&gt;=100000,INDEX($AB$1005:$AQ$1005,1,MATCH(COLUMNS($AB$1006:AN1006),$AB$1006:$AQ$1006,0))&gt;=100000), " ",IF(INDEX($AB$2:$AQ$1001,MATCH(ROWS($U$2:U702),$U$2:$U$1001,0),MATCH(COLUMNS($AB$1006:AN1006),$AB$1006:$AQ$1006,0)), HYPERLINK("#",""), HYPERLINK(CONCATENATE("#Metadata!", ADDRESS(INDEX($W$2:$W$1001,MATCH(ROWS($U$2:U702),$U$2:$U$1001,0),0), INDEX($AB$1004:$AQ$1004,1,MATCH(COLUMNS($AB$1006:AN1006),$AB$1006:$AQ$1006,0)))),"Fix")))</f>
        <v>0</v>
      </c>
      <c r="O702" s="5">
        <f>IF(OR(INDEX($V$2:$V$1001,MATCH(ROWS($U$2:U702),$U$2:$U$1001,0),1)&gt;=100000,INDEX($AB$1005:$AQ$1005,1,MATCH(COLUMNS($AB$1006:AO1006),$AB$1006:$AQ$1006,0))&gt;=100000), " ",IF(INDEX($AB$2:$AQ$1001,MATCH(ROWS($U$2:U702),$U$2:$U$1001,0),MATCH(COLUMNS($AB$1006:AO1006),$AB$1006:$AQ$1006,0)), HYPERLINK("#",""), HYPERLINK(CONCATENATE("#Metadata!", ADDRESS(INDEX($W$2:$W$1001,MATCH(ROWS($U$2:U702),$U$2:$U$1001,0),0), INDEX($AB$1004:$AQ$1004,1,MATCH(COLUMNS($AB$1006:AO1006),$AB$1006:$AQ$1006,0)))),"Fix")))</f>
        <v>0</v>
      </c>
      <c r="P702" s="5">
        <f>IF(OR(INDEX($V$2:$V$1001,MATCH(ROWS($U$2:U702),$U$2:$U$1001,0),1)&gt;=100000,INDEX($AB$1005:$AQ$1005,1,MATCH(COLUMNS($AB$1006:AP1006),$AB$1006:$AQ$1006,0))&gt;=100000), " ",IF(INDEX($AB$2:$AQ$1001,MATCH(ROWS($U$2:U702),$U$2:$U$1001,0),MATCH(COLUMNS($AB$1006:AP1006),$AB$1006:$AQ$1006,0)), HYPERLINK("#",""), HYPERLINK(CONCATENATE("#Metadata!", ADDRESS(INDEX($W$2:$W$1001,MATCH(ROWS($U$2:U702),$U$2:$U$1001,0),0), INDEX($AB$1004:$AQ$1004,1,MATCH(COLUMNS($AB$1006:AP1006),$AB$1006:$AQ$1006,0)))),"Fix")))</f>
        <v>0</v>
      </c>
      <c r="Q702" s="5">
        <f>IF(OR(INDEX($V$2:$V$1001,MATCH(ROWS($U$2:U702),$U$2:$U$1001,0),1)&gt;=100000,INDEX($AB$1005:$AQ$1005,1,MATCH(COLUMNS($AB$1006:AQ1006),$AB$1006:$AQ$1006,0))&gt;=100000), " ",IF(INDEX($AB$2:$AQ$1001,MATCH(ROWS($U$2:U702),$U$2:$U$1001,0),MATCH(COLUMNS($AB$1006:AQ1006),$AB$1006:$AQ$1006,0)), HYPERLINK("#",""), HYPERLINK(CONCATENATE("#Metadata!", ADDRESS(INDEX($W$2:$W$1001,MATCH(ROWS($U$2:U702),$U$2:$U$1001,0),0), INDEX($AB$1004:$AQ$1004,1,MATCH(COLUMNS($AB$1006:AQ1006),$AB$1006:$AQ$1006,0)))),"Fix")))</f>
        <v>0</v>
      </c>
      <c r="U702">
        <v>0</v>
      </c>
      <c r="V702">
        <v>0</v>
      </c>
      <c r="W702">
        <v>0</v>
      </c>
      <c r="X702">
        <f>IF(Y702,TRUE,AND(AB702:AQ702))</f>
        <v>0</v>
      </c>
      <c r="Y702">
        <f>COUNTBLANK(Metadata!B702:Q702)=COLUMNS(Metadata!B702:Q702)</f>
        <v>0</v>
      </c>
      <c r="Z702">
        <v>0</v>
      </c>
      <c r="AB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AC702">
        <f>AND(IF(Metadata!C702="",FALSE,TRUE),exact(Metadata!C702,"urban biome"))</f>
        <v>0</v>
      </c>
      <c r="AD702">
        <f>AND(IF(Metadata!D702="",FALSE,TRUE),exact(Metadata!D702,"human-associated habitat"))</f>
        <v>0</v>
      </c>
      <c r="AE702">
        <f>AND(IF(Metadata!E702="",FALSE,TRUE),OR(exact(Metadata!E702,"human-associated"),exact(Metadata!E702,"human-skin"),exact(Metadata!E702,"human-oral"),exact(Metadata!E702,"human-gut"),exact(Metadata!E702,"human-vaginal")))</f>
        <v>0</v>
      </c>
      <c r="AF702">
        <f>AND(IF(Metadata!F702="",FALSE,ISNUMBER(VALUE(Metadata!F702))),Metadata!F702&gt;0)</f>
        <v>0</v>
      </c>
      <c r="AG702">
        <f>AND(IF(Metadata!G702="",FALSE,TRUE),exact(Metadata!G702,"years"))</f>
        <v>0</v>
      </c>
      <c r="AH702">
        <f>OR(AND(IF(Metadata!H702="",FALSE,TRUE),OR(exact(Metadata!H702,"not applicable"),exact(Metadata!H702,"not collected"),exact(Metadata!H702,"not provided"),exact(Metadata!H702,"restricted access"))),AND(IF(Metadata!H702="",FALSE,ISNUMBER(VALUE(Metadata!H702))),Metadata!H702&gt;0))</f>
        <v>0</v>
      </c>
      <c r="AI702">
        <f>AND(IF(Metadata!I702="",FALSE,TRUE),exact(Metadata!I702,"human"))</f>
        <v>0</v>
      </c>
      <c r="AJ702">
        <f>AND(IF(Metadata!J702="",FALSE,ISNUMBER(VALUE(Metadata!J702))),Metadata!J702&gt;0)</f>
        <v>0</v>
      </c>
      <c r="AK702">
        <f>AND(IF(Metadata!K702="",FALSE,TRUE),exact(Metadata!K702,"cm"))</f>
        <v>0</v>
      </c>
      <c r="AL702">
        <f>AND(IF(Metadata!L702="",FALSE,TRUE),exact(Metadata!L702,"Homo sapiens"))</f>
        <v>0</v>
      </c>
      <c r="AM702">
        <f>AND(IF(Metadata!M702="",FALSE,TRUE),exact(Metadata!M702,"9606"))</f>
        <v>0</v>
      </c>
      <c r="AN702">
        <f>AND(IF(Metadata!N702="",FALSE,ISNUMBER(VALUE(Metadata!N702))),Metadata!N702&gt;0)</f>
        <v>0</v>
      </c>
      <c r="AO702">
        <f>AND(IF(Metadata!O702="",FALSE,TRUE),exact(Metadata!O702,"kg"))</f>
        <v>0</v>
      </c>
      <c r="AP702">
        <f>OR(AND(IF(Metadata!P702="",FALSE,TRUE),exact(Metadata!P702,"not provided")),IF(Metadata!P702="",FALSE,TRUE))</f>
        <v>0</v>
      </c>
      <c r="AQ702">
        <f>OR(AND(IF(Metadata!Q702="",FALSE,TRUE),exact(Metadata!Q702,"not provided")),IF(Metadata!Q702="",FALSE,TRUE))</f>
        <v>0</v>
      </c>
    </row>
    <row r="703" spans="1:43">
      <c r="A703" s="4">
        <f>IF(B703=" "," ",HYPERLINK(CONCATENATE("#metadata!",ADDRESS(INDEX($W$2:$W$1001,MATCH(ROWS($U$2:U703),$U$2:$U$1001,0),0),2)),INDEX($Z$2:$Z$1001,MATCH(ROWS($U$2:U703),$U$2:$U$1001,0),0)))</f>
        <v>0</v>
      </c>
      <c r="B703" s="5">
        <f>IF(OR(INDEX($V$2:$V$1001,MATCH(ROWS($U$2:U703),$U$2:$U$1001,0),1)&gt;=100000,INDEX($AB$1005:$AQ$1005,1,MATCH(COLUMNS($AB$1006:AB1006),$AB$1006:$AQ$1006,0))&gt;=100000), " ",IF(INDEX($AB$2:$AQ$1001,MATCH(ROWS($U$2:U703),$U$2:$U$1001,0),MATCH(COLUMNS($AB$1006:AB1006),$AB$1006:$AQ$1006,0)), HYPERLINK("#",""), HYPERLINK(CONCATENATE("#Metadata!", ADDRESS(INDEX($W$2:$W$1001,MATCH(ROWS($U$2:U703),$U$2:$U$1001,0),0), INDEX($AB$1004:$AQ$1004,1,MATCH(COLUMNS($AB$1006:AB1006),$AB$1006:$AQ$1006,0)))),"Fix")))</f>
        <v>0</v>
      </c>
      <c r="C703" s="5">
        <f>IF(OR(INDEX($V$2:$V$1001,MATCH(ROWS($U$2:U703),$U$2:$U$1001,0),1)&gt;=100000,INDEX($AB$1005:$AQ$1005,1,MATCH(COLUMNS($AB$1006:AC1006),$AB$1006:$AQ$1006,0))&gt;=100000), " ",IF(INDEX($AB$2:$AQ$1001,MATCH(ROWS($U$2:U703),$U$2:$U$1001,0),MATCH(COLUMNS($AB$1006:AC1006),$AB$1006:$AQ$1006,0)), HYPERLINK("#",""), HYPERLINK(CONCATENATE("#Metadata!", ADDRESS(INDEX($W$2:$W$1001,MATCH(ROWS($U$2:U703),$U$2:$U$1001,0),0), INDEX($AB$1004:$AQ$1004,1,MATCH(COLUMNS($AB$1006:AC1006),$AB$1006:$AQ$1006,0)))),"Fix")))</f>
        <v>0</v>
      </c>
      <c r="D703" s="5">
        <f>IF(OR(INDEX($V$2:$V$1001,MATCH(ROWS($U$2:U703),$U$2:$U$1001,0),1)&gt;=100000,INDEX($AB$1005:$AQ$1005,1,MATCH(COLUMNS($AB$1006:AD1006),$AB$1006:$AQ$1006,0))&gt;=100000), " ",IF(INDEX($AB$2:$AQ$1001,MATCH(ROWS($U$2:U703),$U$2:$U$1001,0),MATCH(COLUMNS($AB$1006:AD1006),$AB$1006:$AQ$1006,0)), HYPERLINK("#",""), HYPERLINK(CONCATENATE("#Metadata!", ADDRESS(INDEX($W$2:$W$1001,MATCH(ROWS($U$2:U703),$U$2:$U$1001,0),0), INDEX($AB$1004:$AQ$1004,1,MATCH(COLUMNS($AB$1006:AD1006),$AB$1006:$AQ$1006,0)))),"Fix")))</f>
        <v>0</v>
      </c>
      <c r="E703" s="5">
        <f>IF(OR(INDEX($V$2:$V$1001,MATCH(ROWS($U$2:U703),$U$2:$U$1001,0),1)&gt;=100000,INDEX($AB$1005:$AQ$1005,1,MATCH(COLUMNS($AB$1006:AE1006),$AB$1006:$AQ$1006,0))&gt;=100000), " ",IF(INDEX($AB$2:$AQ$1001,MATCH(ROWS($U$2:U703),$U$2:$U$1001,0),MATCH(COLUMNS($AB$1006:AE1006),$AB$1006:$AQ$1006,0)), HYPERLINK("#",""), HYPERLINK(CONCATENATE("#Metadata!", ADDRESS(INDEX($W$2:$W$1001,MATCH(ROWS($U$2:U703),$U$2:$U$1001,0),0), INDEX($AB$1004:$AQ$1004,1,MATCH(COLUMNS($AB$1006:AE1006),$AB$1006:$AQ$1006,0)))),"Fix")))</f>
        <v>0</v>
      </c>
      <c r="F703" s="5">
        <f>IF(OR(INDEX($V$2:$V$1001,MATCH(ROWS($U$2:U703),$U$2:$U$1001,0),1)&gt;=100000,INDEX($AB$1005:$AQ$1005,1,MATCH(COLUMNS($AB$1006:AF1006),$AB$1006:$AQ$1006,0))&gt;=100000), " ",IF(INDEX($AB$2:$AQ$1001,MATCH(ROWS($U$2:U703),$U$2:$U$1001,0),MATCH(COLUMNS($AB$1006:AF1006),$AB$1006:$AQ$1006,0)), HYPERLINK("#",""), HYPERLINK(CONCATENATE("#Metadata!", ADDRESS(INDEX($W$2:$W$1001,MATCH(ROWS($U$2:U703),$U$2:$U$1001,0),0), INDEX($AB$1004:$AQ$1004,1,MATCH(COLUMNS($AB$1006:AF1006),$AB$1006:$AQ$1006,0)))),"Fix")))</f>
        <v>0</v>
      </c>
      <c r="G703" s="5">
        <f>IF(OR(INDEX($V$2:$V$1001,MATCH(ROWS($U$2:U703),$U$2:$U$1001,0),1)&gt;=100000,INDEX($AB$1005:$AQ$1005,1,MATCH(COLUMNS($AB$1006:AG1006),$AB$1006:$AQ$1006,0))&gt;=100000), " ",IF(INDEX($AB$2:$AQ$1001,MATCH(ROWS($U$2:U703),$U$2:$U$1001,0),MATCH(COLUMNS($AB$1006:AG1006),$AB$1006:$AQ$1006,0)), HYPERLINK("#",""), HYPERLINK(CONCATENATE("#Metadata!", ADDRESS(INDEX($W$2:$W$1001,MATCH(ROWS($U$2:U703),$U$2:$U$1001,0),0), INDEX($AB$1004:$AQ$1004,1,MATCH(COLUMNS($AB$1006:AG1006),$AB$1006:$AQ$1006,0)))),"Fix")))</f>
        <v>0</v>
      </c>
      <c r="H703" s="5">
        <f>IF(OR(INDEX($V$2:$V$1001,MATCH(ROWS($U$2:U703),$U$2:$U$1001,0),1)&gt;=100000,INDEX($AB$1005:$AQ$1005,1,MATCH(COLUMNS($AB$1006:AH1006),$AB$1006:$AQ$1006,0))&gt;=100000), " ",IF(INDEX($AB$2:$AQ$1001,MATCH(ROWS($U$2:U703),$U$2:$U$1001,0),MATCH(COLUMNS($AB$1006:AH1006),$AB$1006:$AQ$1006,0)), HYPERLINK("#",""), HYPERLINK(CONCATENATE("#Metadata!", ADDRESS(INDEX($W$2:$W$1001,MATCH(ROWS($U$2:U703),$U$2:$U$1001,0),0), INDEX($AB$1004:$AQ$1004,1,MATCH(COLUMNS($AB$1006:AH1006),$AB$1006:$AQ$1006,0)))),"Fix")))</f>
        <v>0</v>
      </c>
      <c r="I703" s="5">
        <f>IF(OR(INDEX($V$2:$V$1001,MATCH(ROWS($U$2:U703),$U$2:$U$1001,0),1)&gt;=100000,INDEX($AB$1005:$AQ$1005,1,MATCH(COLUMNS($AB$1006:AI1006),$AB$1006:$AQ$1006,0))&gt;=100000), " ",IF(INDEX($AB$2:$AQ$1001,MATCH(ROWS($U$2:U703),$U$2:$U$1001,0),MATCH(COLUMNS($AB$1006:AI1006),$AB$1006:$AQ$1006,0)), HYPERLINK("#",""), HYPERLINK(CONCATENATE("#Metadata!", ADDRESS(INDEX($W$2:$W$1001,MATCH(ROWS($U$2:U703),$U$2:$U$1001,0),0), INDEX($AB$1004:$AQ$1004,1,MATCH(COLUMNS($AB$1006:AI1006),$AB$1006:$AQ$1006,0)))),"Fix")))</f>
        <v>0</v>
      </c>
      <c r="J703" s="5">
        <f>IF(OR(INDEX($V$2:$V$1001,MATCH(ROWS($U$2:U703),$U$2:$U$1001,0),1)&gt;=100000,INDEX($AB$1005:$AQ$1005,1,MATCH(COLUMNS($AB$1006:AJ1006),$AB$1006:$AQ$1006,0))&gt;=100000), " ",IF(INDEX($AB$2:$AQ$1001,MATCH(ROWS($U$2:U703),$U$2:$U$1001,0),MATCH(COLUMNS($AB$1006:AJ1006),$AB$1006:$AQ$1006,0)), HYPERLINK("#",""), HYPERLINK(CONCATENATE("#Metadata!", ADDRESS(INDEX($W$2:$W$1001,MATCH(ROWS($U$2:U703),$U$2:$U$1001,0),0), INDEX($AB$1004:$AQ$1004,1,MATCH(COLUMNS($AB$1006:AJ1006),$AB$1006:$AQ$1006,0)))),"Fix")))</f>
        <v>0</v>
      </c>
      <c r="K703" s="5">
        <f>IF(OR(INDEX($V$2:$V$1001,MATCH(ROWS($U$2:U703),$U$2:$U$1001,0),1)&gt;=100000,INDEX($AB$1005:$AQ$1005,1,MATCH(COLUMNS($AB$1006:AK1006),$AB$1006:$AQ$1006,0))&gt;=100000), " ",IF(INDEX($AB$2:$AQ$1001,MATCH(ROWS($U$2:U703),$U$2:$U$1001,0),MATCH(COLUMNS($AB$1006:AK1006),$AB$1006:$AQ$1006,0)), HYPERLINK("#",""), HYPERLINK(CONCATENATE("#Metadata!", ADDRESS(INDEX($W$2:$W$1001,MATCH(ROWS($U$2:U703),$U$2:$U$1001,0),0), INDEX($AB$1004:$AQ$1004,1,MATCH(COLUMNS($AB$1006:AK1006),$AB$1006:$AQ$1006,0)))),"Fix")))</f>
        <v>0</v>
      </c>
      <c r="L703" s="5">
        <f>IF(OR(INDEX($V$2:$V$1001,MATCH(ROWS($U$2:U703),$U$2:$U$1001,0),1)&gt;=100000,INDEX($AB$1005:$AQ$1005,1,MATCH(COLUMNS($AB$1006:AL1006),$AB$1006:$AQ$1006,0))&gt;=100000), " ",IF(INDEX($AB$2:$AQ$1001,MATCH(ROWS($U$2:U703),$U$2:$U$1001,0),MATCH(COLUMNS($AB$1006:AL1006),$AB$1006:$AQ$1006,0)), HYPERLINK("#",""), HYPERLINK(CONCATENATE("#Metadata!", ADDRESS(INDEX($W$2:$W$1001,MATCH(ROWS($U$2:U703),$U$2:$U$1001,0),0), INDEX($AB$1004:$AQ$1004,1,MATCH(COLUMNS($AB$1006:AL1006),$AB$1006:$AQ$1006,0)))),"Fix")))</f>
        <v>0</v>
      </c>
      <c r="M703" s="5">
        <f>IF(OR(INDEX($V$2:$V$1001,MATCH(ROWS($U$2:U703),$U$2:$U$1001,0),1)&gt;=100000,INDEX($AB$1005:$AQ$1005,1,MATCH(COLUMNS($AB$1006:AM1006),$AB$1006:$AQ$1006,0))&gt;=100000), " ",IF(INDEX($AB$2:$AQ$1001,MATCH(ROWS($U$2:U703),$U$2:$U$1001,0),MATCH(COLUMNS($AB$1006:AM1006),$AB$1006:$AQ$1006,0)), HYPERLINK("#",""), HYPERLINK(CONCATENATE("#Metadata!", ADDRESS(INDEX($W$2:$W$1001,MATCH(ROWS($U$2:U703),$U$2:$U$1001,0),0), INDEX($AB$1004:$AQ$1004,1,MATCH(COLUMNS($AB$1006:AM1006),$AB$1006:$AQ$1006,0)))),"Fix")))</f>
        <v>0</v>
      </c>
      <c r="N703" s="5">
        <f>IF(OR(INDEX($V$2:$V$1001,MATCH(ROWS($U$2:U703),$U$2:$U$1001,0),1)&gt;=100000,INDEX($AB$1005:$AQ$1005,1,MATCH(COLUMNS($AB$1006:AN1006),$AB$1006:$AQ$1006,0))&gt;=100000), " ",IF(INDEX($AB$2:$AQ$1001,MATCH(ROWS($U$2:U703),$U$2:$U$1001,0),MATCH(COLUMNS($AB$1006:AN1006),$AB$1006:$AQ$1006,0)), HYPERLINK("#",""), HYPERLINK(CONCATENATE("#Metadata!", ADDRESS(INDEX($W$2:$W$1001,MATCH(ROWS($U$2:U703),$U$2:$U$1001,0),0), INDEX($AB$1004:$AQ$1004,1,MATCH(COLUMNS($AB$1006:AN1006),$AB$1006:$AQ$1006,0)))),"Fix")))</f>
        <v>0</v>
      </c>
      <c r="O703" s="5">
        <f>IF(OR(INDEX($V$2:$V$1001,MATCH(ROWS($U$2:U703),$U$2:$U$1001,0),1)&gt;=100000,INDEX($AB$1005:$AQ$1005,1,MATCH(COLUMNS($AB$1006:AO1006),$AB$1006:$AQ$1006,0))&gt;=100000), " ",IF(INDEX($AB$2:$AQ$1001,MATCH(ROWS($U$2:U703),$U$2:$U$1001,0),MATCH(COLUMNS($AB$1006:AO1006),$AB$1006:$AQ$1006,0)), HYPERLINK("#",""), HYPERLINK(CONCATENATE("#Metadata!", ADDRESS(INDEX($W$2:$W$1001,MATCH(ROWS($U$2:U703),$U$2:$U$1001,0),0), INDEX($AB$1004:$AQ$1004,1,MATCH(COLUMNS($AB$1006:AO1006),$AB$1006:$AQ$1006,0)))),"Fix")))</f>
        <v>0</v>
      </c>
      <c r="P703" s="5">
        <f>IF(OR(INDEX($V$2:$V$1001,MATCH(ROWS($U$2:U703),$U$2:$U$1001,0),1)&gt;=100000,INDEX($AB$1005:$AQ$1005,1,MATCH(COLUMNS($AB$1006:AP1006),$AB$1006:$AQ$1006,0))&gt;=100000), " ",IF(INDEX($AB$2:$AQ$1001,MATCH(ROWS($U$2:U703),$U$2:$U$1001,0),MATCH(COLUMNS($AB$1006:AP1006),$AB$1006:$AQ$1006,0)), HYPERLINK("#",""), HYPERLINK(CONCATENATE("#Metadata!", ADDRESS(INDEX($W$2:$W$1001,MATCH(ROWS($U$2:U703),$U$2:$U$1001,0),0), INDEX($AB$1004:$AQ$1004,1,MATCH(COLUMNS($AB$1006:AP1006),$AB$1006:$AQ$1006,0)))),"Fix")))</f>
        <v>0</v>
      </c>
      <c r="Q703" s="5">
        <f>IF(OR(INDEX($V$2:$V$1001,MATCH(ROWS($U$2:U703),$U$2:$U$1001,0),1)&gt;=100000,INDEX($AB$1005:$AQ$1005,1,MATCH(COLUMNS($AB$1006:AQ1006),$AB$1006:$AQ$1006,0))&gt;=100000), " ",IF(INDEX($AB$2:$AQ$1001,MATCH(ROWS($U$2:U703),$U$2:$U$1001,0),MATCH(COLUMNS($AB$1006:AQ1006),$AB$1006:$AQ$1006,0)), HYPERLINK("#",""), HYPERLINK(CONCATENATE("#Metadata!", ADDRESS(INDEX($W$2:$W$1001,MATCH(ROWS($U$2:U703),$U$2:$U$1001,0),0), INDEX($AB$1004:$AQ$1004,1,MATCH(COLUMNS($AB$1006:AQ1006),$AB$1006:$AQ$1006,0)))),"Fix")))</f>
        <v>0</v>
      </c>
      <c r="U703">
        <v>0</v>
      </c>
      <c r="V703">
        <v>0</v>
      </c>
      <c r="W703">
        <v>0</v>
      </c>
      <c r="X703">
        <f>IF(Y703,TRUE,AND(AB703:AQ703))</f>
        <v>0</v>
      </c>
      <c r="Y703">
        <f>COUNTBLANK(Metadata!B703:Q703)=COLUMNS(Metadata!B703:Q703)</f>
        <v>0</v>
      </c>
      <c r="Z703">
        <v>0</v>
      </c>
      <c r="AB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AC703">
        <f>AND(IF(Metadata!C703="",FALSE,TRUE),exact(Metadata!C703,"urban biome"))</f>
        <v>0</v>
      </c>
      <c r="AD703">
        <f>AND(IF(Metadata!D703="",FALSE,TRUE),exact(Metadata!D703,"human-associated habitat"))</f>
        <v>0</v>
      </c>
      <c r="AE703">
        <f>AND(IF(Metadata!E703="",FALSE,TRUE),OR(exact(Metadata!E703,"human-associated"),exact(Metadata!E703,"human-skin"),exact(Metadata!E703,"human-oral"),exact(Metadata!E703,"human-gut"),exact(Metadata!E703,"human-vaginal")))</f>
        <v>0</v>
      </c>
      <c r="AF703">
        <f>AND(IF(Metadata!F703="",FALSE,ISNUMBER(VALUE(Metadata!F703))),Metadata!F703&gt;0)</f>
        <v>0</v>
      </c>
      <c r="AG703">
        <f>AND(IF(Metadata!G703="",FALSE,TRUE),exact(Metadata!G703,"years"))</f>
        <v>0</v>
      </c>
      <c r="AH703">
        <f>OR(AND(IF(Metadata!H703="",FALSE,TRUE),OR(exact(Metadata!H703,"not applicable"),exact(Metadata!H703,"not collected"),exact(Metadata!H703,"not provided"),exact(Metadata!H703,"restricted access"))),AND(IF(Metadata!H703="",FALSE,ISNUMBER(VALUE(Metadata!H703))),Metadata!H703&gt;0))</f>
        <v>0</v>
      </c>
      <c r="AI703">
        <f>AND(IF(Metadata!I703="",FALSE,TRUE),exact(Metadata!I703,"human"))</f>
        <v>0</v>
      </c>
      <c r="AJ703">
        <f>AND(IF(Metadata!J703="",FALSE,ISNUMBER(VALUE(Metadata!J703))),Metadata!J703&gt;0)</f>
        <v>0</v>
      </c>
      <c r="AK703">
        <f>AND(IF(Metadata!K703="",FALSE,TRUE),exact(Metadata!K703,"cm"))</f>
        <v>0</v>
      </c>
      <c r="AL703">
        <f>AND(IF(Metadata!L703="",FALSE,TRUE),exact(Metadata!L703,"Homo sapiens"))</f>
        <v>0</v>
      </c>
      <c r="AM703">
        <f>AND(IF(Metadata!M703="",FALSE,TRUE),exact(Metadata!M703,"9606"))</f>
        <v>0</v>
      </c>
      <c r="AN703">
        <f>AND(IF(Metadata!N703="",FALSE,ISNUMBER(VALUE(Metadata!N703))),Metadata!N703&gt;0)</f>
        <v>0</v>
      </c>
      <c r="AO703">
        <f>AND(IF(Metadata!O703="",FALSE,TRUE),exact(Metadata!O703,"kg"))</f>
        <v>0</v>
      </c>
      <c r="AP703">
        <f>OR(AND(IF(Metadata!P703="",FALSE,TRUE),exact(Metadata!P703,"not provided")),IF(Metadata!P703="",FALSE,TRUE))</f>
        <v>0</v>
      </c>
      <c r="AQ703">
        <f>OR(AND(IF(Metadata!Q703="",FALSE,TRUE),exact(Metadata!Q703,"not provided")),IF(Metadata!Q703="",FALSE,TRUE))</f>
        <v>0</v>
      </c>
    </row>
    <row r="704" spans="1:43">
      <c r="A704" s="4">
        <f>IF(B704=" "," ",HYPERLINK(CONCATENATE("#metadata!",ADDRESS(INDEX($W$2:$W$1001,MATCH(ROWS($U$2:U704),$U$2:$U$1001,0),0),2)),INDEX($Z$2:$Z$1001,MATCH(ROWS($U$2:U704),$U$2:$U$1001,0),0)))</f>
        <v>0</v>
      </c>
      <c r="B704" s="5">
        <f>IF(OR(INDEX($V$2:$V$1001,MATCH(ROWS($U$2:U704),$U$2:$U$1001,0),1)&gt;=100000,INDEX($AB$1005:$AQ$1005,1,MATCH(COLUMNS($AB$1006:AB1006),$AB$1006:$AQ$1006,0))&gt;=100000), " ",IF(INDEX($AB$2:$AQ$1001,MATCH(ROWS($U$2:U704),$U$2:$U$1001,0),MATCH(COLUMNS($AB$1006:AB1006),$AB$1006:$AQ$1006,0)), HYPERLINK("#",""), HYPERLINK(CONCATENATE("#Metadata!", ADDRESS(INDEX($W$2:$W$1001,MATCH(ROWS($U$2:U704),$U$2:$U$1001,0),0), INDEX($AB$1004:$AQ$1004,1,MATCH(COLUMNS($AB$1006:AB1006),$AB$1006:$AQ$1006,0)))),"Fix")))</f>
        <v>0</v>
      </c>
      <c r="C704" s="5">
        <f>IF(OR(INDEX($V$2:$V$1001,MATCH(ROWS($U$2:U704),$U$2:$U$1001,0),1)&gt;=100000,INDEX($AB$1005:$AQ$1005,1,MATCH(COLUMNS($AB$1006:AC1006),$AB$1006:$AQ$1006,0))&gt;=100000), " ",IF(INDEX($AB$2:$AQ$1001,MATCH(ROWS($U$2:U704),$U$2:$U$1001,0),MATCH(COLUMNS($AB$1006:AC1006),$AB$1006:$AQ$1006,0)), HYPERLINK("#",""), HYPERLINK(CONCATENATE("#Metadata!", ADDRESS(INDEX($W$2:$W$1001,MATCH(ROWS($U$2:U704),$U$2:$U$1001,0),0), INDEX($AB$1004:$AQ$1004,1,MATCH(COLUMNS($AB$1006:AC1006),$AB$1006:$AQ$1006,0)))),"Fix")))</f>
        <v>0</v>
      </c>
      <c r="D704" s="5">
        <f>IF(OR(INDEX($V$2:$V$1001,MATCH(ROWS($U$2:U704),$U$2:$U$1001,0),1)&gt;=100000,INDEX($AB$1005:$AQ$1005,1,MATCH(COLUMNS($AB$1006:AD1006),$AB$1006:$AQ$1006,0))&gt;=100000), " ",IF(INDEX($AB$2:$AQ$1001,MATCH(ROWS($U$2:U704),$U$2:$U$1001,0),MATCH(COLUMNS($AB$1006:AD1006),$AB$1006:$AQ$1006,0)), HYPERLINK("#",""), HYPERLINK(CONCATENATE("#Metadata!", ADDRESS(INDEX($W$2:$W$1001,MATCH(ROWS($U$2:U704),$U$2:$U$1001,0),0), INDEX($AB$1004:$AQ$1004,1,MATCH(COLUMNS($AB$1006:AD1006),$AB$1006:$AQ$1006,0)))),"Fix")))</f>
        <v>0</v>
      </c>
      <c r="E704" s="5">
        <f>IF(OR(INDEX($V$2:$V$1001,MATCH(ROWS($U$2:U704),$U$2:$U$1001,0),1)&gt;=100000,INDEX($AB$1005:$AQ$1005,1,MATCH(COLUMNS($AB$1006:AE1006),$AB$1006:$AQ$1006,0))&gt;=100000), " ",IF(INDEX($AB$2:$AQ$1001,MATCH(ROWS($U$2:U704),$U$2:$U$1001,0),MATCH(COLUMNS($AB$1006:AE1006),$AB$1006:$AQ$1006,0)), HYPERLINK("#",""), HYPERLINK(CONCATENATE("#Metadata!", ADDRESS(INDEX($W$2:$W$1001,MATCH(ROWS($U$2:U704),$U$2:$U$1001,0),0), INDEX($AB$1004:$AQ$1004,1,MATCH(COLUMNS($AB$1006:AE1006),$AB$1006:$AQ$1006,0)))),"Fix")))</f>
        <v>0</v>
      </c>
      <c r="F704" s="5">
        <f>IF(OR(INDEX($V$2:$V$1001,MATCH(ROWS($U$2:U704),$U$2:$U$1001,0),1)&gt;=100000,INDEX($AB$1005:$AQ$1005,1,MATCH(COLUMNS($AB$1006:AF1006),$AB$1006:$AQ$1006,0))&gt;=100000), " ",IF(INDEX($AB$2:$AQ$1001,MATCH(ROWS($U$2:U704),$U$2:$U$1001,0),MATCH(COLUMNS($AB$1006:AF1006),$AB$1006:$AQ$1006,0)), HYPERLINK("#",""), HYPERLINK(CONCATENATE("#Metadata!", ADDRESS(INDEX($W$2:$W$1001,MATCH(ROWS($U$2:U704),$U$2:$U$1001,0),0), INDEX($AB$1004:$AQ$1004,1,MATCH(COLUMNS($AB$1006:AF1006),$AB$1006:$AQ$1006,0)))),"Fix")))</f>
        <v>0</v>
      </c>
      <c r="G704" s="5">
        <f>IF(OR(INDEX($V$2:$V$1001,MATCH(ROWS($U$2:U704),$U$2:$U$1001,0),1)&gt;=100000,INDEX($AB$1005:$AQ$1005,1,MATCH(COLUMNS($AB$1006:AG1006),$AB$1006:$AQ$1006,0))&gt;=100000), " ",IF(INDEX($AB$2:$AQ$1001,MATCH(ROWS($U$2:U704),$U$2:$U$1001,0),MATCH(COLUMNS($AB$1006:AG1006),$AB$1006:$AQ$1006,0)), HYPERLINK("#",""), HYPERLINK(CONCATENATE("#Metadata!", ADDRESS(INDEX($W$2:$W$1001,MATCH(ROWS($U$2:U704),$U$2:$U$1001,0),0), INDEX($AB$1004:$AQ$1004,1,MATCH(COLUMNS($AB$1006:AG1006),$AB$1006:$AQ$1006,0)))),"Fix")))</f>
        <v>0</v>
      </c>
      <c r="H704" s="5">
        <f>IF(OR(INDEX($V$2:$V$1001,MATCH(ROWS($U$2:U704),$U$2:$U$1001,0),1)&gt;=100000,INDEX($AB$1005:$AQ$1005,1,MATCH(COLUMNS($AB$1006:AH1006),$AB$1006:$AQ$1006,0))&gt;=100000), " ",IF(INDEX($AB$2:$AQ$1001,MATCH(ROWS($U$2:U704),$U$2:$U$1001,0),MATCH(COLUMNS($AB$1006:AH1006),$AB$1006:$AQ$1006,0)), HYPERLINK("#",""), HYPERLINK(CONCATENATE("#Metadata!", ADDRESS(INDEX($W$2:$W$1001,MATCH(ROWS($U$2:U704),$U$2:$U$1001,0),0), INDEX($AB$1004:$AQ$1004,1,MATCH(COLUMNS($AB$1006:AH1006),$AB$1006:$AQ$1006,0)))),"Fix")))</f>
        <v>0</v>
      </c>
      <c r="I704" s="5">
        <f>IF(OR(INDEX($V$2:$V$1001,MATCH(ROWS($U$2:U704),$U$2:$U$1001,0),1)&gt;=100000,INDEX($AB$1005:$AQ$1005,1,MATCH(COLUMNS($AB$1006:AI1006),$AB$1006:$AQ$1006,0))&gt;=100000), " ",IF(INDEX($AB$2:$AQ$1001,MATCH(ROWS($U$2:U704),$U$2:$U$1001,0),MATCH(COLUMNS($AB$1006:AI1006),$AB$1006:$AQ$1006,0)), HYPERLINK("#",""), HYPERLINK(CONCATENATE("#Metadata!", ADDRESS(INDEX($W$2:$W$1001,MATCH(ROWS($U$2:U704),$U$2:$U$1001,0),0), INDEX($AB$1004:$AQ$1004,1,MATCH(COLUMNS($AB$1006:AI1006),$AB$1006:$AQ$1006,0)))),"Fix")))</f>
        <v>0</v>
      </c>
      <c r="J704" s="5">
        <f>IF(OR(INDEX($V$2:$V$1001,MATCH(ROWS($U$2:U704),$U$2:$U$1001,0),1)&gt;=100000,INDEX($AB$1005:$AQ$1005,1,MATCH(COLUMNS($AB$1006:AJ1006),$AB$1006:$AQ$1006,0))&gt;=100000), " ",IF(INDEX($AB$2:$AQ$1001,MATCH(ROWS($U$2:U704),$U$2:$U$1001,0),MATCH(COLUMNS($AB$1006:AJ1006),$AB$1006:$AQ$1006,0)), HYPERLINK("#",""), HYPERLINK(CONCATENATE("#Metadata!", ADDRESS(INDEX($W$2:$W$1001,MATCH(ROWS($U$2:U704),$U$2:$U$1001,0),0), INDEX($AB$1004:$AQ$1004,1,MATCH(COLUMNS($AB$1006:AJ1006),$AB$1006:$AQ$1006,0)))),"Fix")))</f>
        <v>0</v>
      </c>
      <c r="K704" s="5">
        <f>IF(OR(INDEX($V$2:$V$1001,MATCH(ROWS($U$2:U704),$U$2:$U$1001,0),1)&gt;=100000,INDEX($AB$1005:$AQ$1005,1,MATCH(COLUMNS($AB$1006:AK1006),$AB$1006:$AQ$1006,0))&gt;=100000), " ",IF(INDEX($AB$2:$AQ$1001,MATCH(ROWS($U$2:U704),$U$2:$U$1001,0),MATCH(COLUMNS($AB$1006:AK1006),$AB$1006:$AQ$1006,0)), HYPERLINK("#",""), HYPERLINK(CONCATENATE("#Metadata!", ADDRESS(INDEX($W$2:$W$1001,MATCH(ROWS($U$2:U704),$U$2:$U$1001,0),0), INDEX($AB$1004:$AQ$1004,1,MATCH(COLUMNS($AB$1006:AK1006),$AB$1006:$AQ$1006,0)))),"Fix")))</f>
        <v>0</v>
      </c>
      <c r="L704" s="5">
        <f>IF(OR(INDEX($V$2:$V$1001,MATCH(ROWS($U$2:U704),$U$2:$U$1001,0),1)&gt;=100000,INDEX($AB$1005:$AQ$1005,1,MATCH(COLUMNS($AB$1006:AL1006),$AB$1006:$AQ$1006,0))&gt;=100000), " ",IF(INDEX($AB$2:$AQ$1001,MATCH(ROWS($U$2:U704),$U$2:$U$1001,0),MATCH(COLUMNS($AB$1006:AL1006),$AB$1006:$AQ$1006,0)), HYPERLINK("#",""), HYPERLINK(CONCATENATE("#Metadata!", ADDRESS(INDEX($W$2:$W$1001,MATCH(ROWS($U$2:U704),$U$2:$U$1001,0),0), INDEX($AB$1004:$AQ$1004,1,MATCH(COLUMNS($AB$1006:AL1006),$AB$1006:$AQ$1006,0)))),"Fix")))</f>
        <v>0</v>
      </c>
      <c r="M704" s="5">
        <f>IF(OR(INDEX($V$2:$V$1001,MATCH(ROWS($U$2:U704),$U$2:$U$1001,0),1)&gt;=100000,INDEX($AB$1005:$AQ$1005,1,MATCH(COLUMNS($AB$1006:AM1006),$AB$1006:$AQ$1006,0))&gt;=100000), " ",IF(INDEX($AB$2:$AQ$1001,MATCH(ROWS($U$2:U704),$U$2:$U$1001,0),MATCH(COLUMNS($AB$1006:AM1006),$AB$1006:$AQ$1006,0)), HYPERLINK("#",""), HYPERLINK(CONCATENATE("#Metadata!", ADDRESS(INDEX($W$2:$W$1001,MATCH(ROWS($U$2:U704),$U$2:$U$1001,0),0), INDEX($AB$1004:$AQ$1004,1,MATCH(COLUMNS($AB$1006:AM1006),$AB$1006:$AQ$1006,0)))),"Fix")))</f>
        <v>0</v>
      </c>
      <c r="N704" s="5">
        <f>IF(OR(INDEX($V$2:$V$1001,MATCH(ROWS($U$2:U704),$U$2:$U$1001,0),1)&gt;=100000,INDEX($AB$1005:$AQ$1005,1,MATCH(COLUMNS($AB$1006:AN1006),$AB$1006:$AQ$1006,0))&gt;=100000), " ",IF(INDEX($AB$2:$AQ$1001,MATCH(ROWS($U$2:U704),$U$2:$U$1001,0),MATCH(COLUMNS($AB$1006:AN1006),$AB$1006:$AQ$1006,0)), HYPERLINK("#",""), HYPERLINK(CONCATENATE("#Metadata!", ADDRESS(INDEX($W$2:$W$1001,MATCH(ROWS($U$2:U704),$U$2:$U$1001,0),0), INDEX($AB$1004:$AQ$1004,1,MATCH(COLUMNS($AB$1006:AN1006),$AB$1006:$AQ$1006,0)))),"Fix")))</f>
        <v>0</v>
      </c>
      <c r="O704" s="5">
        <f>IF(OR(INDEX($V$2:$V$1001,MATCH(ROWS($U$2:U704),$U$2:$U$1001,0),1)&gt;=100000,INDEX($AB$1005:$AQ$1005,1,MATCH(COLUMNS($AB$1006:AO1006),$AB$1006:$AQ$1006,0))&gt;=100000), " ",IF(INDEX($AB$2:$AQ$1001,MATCH(ROWS($U$2:U704),$U$2:$U$1001,0),MATCH(COLUMNS($AB$1006:AO1006),$AB$1006:$AQ$1006,0)), HYPERLINK("#",""), HYPERLINK(CONCATENATE("#Metadata!", ADDRESS(INDEX($W$2:$W$1001,MATCH(ROWS($U$2:U704),$U$2:$U$1001,0),0), INDEX($AB$1004:$AQ$1004,1,MATCH(COLUMNS($AB$1006:AO1006),$AB$1006:$AQ$1006,0)))),"Fix")))</f>
        <v>0</v>
      </c>
      <c r="P704" s="5">
        <f>IF(OR(INDEX($V$2:$V$1001,MATCH(ROWS($U$2:U704),$U$2:$U$1001,0),1)&gt;=100000,INDEX($AB$1005:$AQ$1005,1,MATCH(COLUMNS($AB$1006:AP1006),$AB$1006:$AQ$1006,0))&gt;=100000), " ",IF(INDEX($AB$2:$AQ$1001,MATCH(ROWS($U$2:U704),$U$2:$U$1001,0),MATCH(COLUMNS($AB$1006:AP1006),$AB$1006:$AQ$1006,0)), HYPERLINK("#",""), HYPERLINK(CONCATENATE("#Metadata!", ADDRESS(INDEX($W$2:$W$1001,MATCH(ROWS($U$2:U704),$U$2:$U$1001,0),0), INDEX($AB$1004:$AQ$1004,1,MATCH(COLUMNS($AB$1006:AP1006),$AB$1006:$AQ$1006,0)))),"Fix")))</f>
        <v>0</v>
      </c>
      <c r="Q704" s="5">
        <f>IF(OR(INDEX($V$2:$V$1001,MATCH(ROWS($U$2:U704),$U$2:$U$1001,0),1)&gt;=100000,INDEX($AB$1005:$AQ$1005,1,MATCH(COLUMNS($AB$1006:AQ1006),$AB$1006:$AQ$1006,0))&gt;=100000), " ",IF(INDEX($AB$2:$AQ$1001,MATCH(ROWS($U$2:U704),$U$2:$U$1001,0),MATCH(COLUMNS($AB$1006:AQ1006),$AB$1006:$AQ$1006,0)), HYPERLINK("#",""), HYPERLINK(CONCATENATE("#Metadata!", ADDRESS(INDEX($W$2:$W$1001,MATCH(ROWS($U$2:U704),$U$2:$U$1001,0),0), INDEX($AB$1004:$AQ$1004,1,MATCH(COLUMNS($AB$1006:AQ1006),$AB$1006:$AQ$1006,0)))),"Fix")))</f>
        <v>0</v>
      </c>
      <c r="U704">
        <v>0</v>
      </c>
      <c r="V704">
        <v>0</v>
      </c>
      <c r="W704">
        <v>0</v>
      </c>
      <c r="X704">
        <f>IF(Y704,TRUE,AND(AB704:AQ704))</f>
        <v>0</v>
      </c>
      <c r="Y704">
        <f>COUNTBLANK(Metadata!B704:Q704)=COLUMNS(Metadata!B704:Q704)</f>
        <v>0</v>
      </c>
      <c r="Z704">
        <v>0</v>
      </c>
      <c r="AB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AC704">
        <f>AND(IF(Metadata!C704="",FALSE,TRUE),exact(Metadata!C704,"urban biome"))</f>
        <v>0</v>
      </c>
      <c r="AD704">
        <f>AND(IF(Metadata!D704="",FALSE,TRUE),exact(Metadata!D704,"human-associated habitat"))</f>
        <v>0</v>
      </c>
      <c r="AE704">
        <f>AND(IF(Metadata!E704="",FALSE,TRUE),OR(exact(Metadata!E704,"human-associated"),exact(Metadata!E704,"human-skin"),exact(Metadata!E704,"human-oral"),exact(Metadata!E704,"human-gut"),exact(Metadata!E704,"human-vaginal")))</f>
        <v>0</v>
      </c>
      <c r="AF704">
        <f>AND(IF(Metadata!F704="",FALSE,ISNUMBER(VALUE(Metadata!F704))),Metadata!F704&gt;0)</f>
        <v>0</v>
      </c>
      <c r="AG704">
        <f>AND(IF(Metadata!G704="",FALSE,TRUE),exact(Metadata!G704,"years"))</f>
        <v>0</v>
      </c>
      <c r="AH704">
        <f>OR(AND(IF(Metadata!H704="",FALSE,TRUE),OR(exact(Metadata!H704,"not applicable"),exact(Metadata!H704,"not collected"),exact(Metadata!H704,"not provided"),exact(Metadata!H704,"restricted access"))),AND(IF(Metadata!H704="",FALSE,ISNUMBER(VALUE(Metadata!H704))),Metadata!H704&gt;0))</f>
        <v>0</v>
      </c>
      <c r="AI704">
        <f>AND(IF(Metadata!I704="",FALSE,TRUE),exact(Metadata!I704,"human"))</f>
        <v>0</v>
      </c>
      <c r="AJ704">
        <f>AND(IF(Metadata!J704="",FALSE,ISNUMBER(VALUE(Metadata!J704))),Metadata!J704&gt;0)</f>
        <v>0</v>
      </c>
      <c r="AK704">
        <f>AND(IF(Metadata!K704="",FALSE,TRUE),exact(Metadata!K704,"cm"))</f>
        <v>0</v>
      </c>
      <c r="AL704">
        <f>AND(IF(Metadata!L704="",FALSE,TRUE),exact(Metadata!L704,"Homo sapiens"))</f>
        <v>0</v>
      </c>
      <c r="AM704">
        <f>AND(IF(Metadata!M704="",FALSE,TRUE),exact(Metadata!M704,"9606"))</f>
        <v>0</v>
      </c>
      <c r="AN704">
        <f>AND(IF(Metadata!N704="",FALSE,ISNUMBER(VALUE(Metadata!N704))),Metadata!N704&gt;0)</f>
        <v>0</v>
      </c>
      <c r="AO704">
        <f>AND(IF(Metadata!O704="",FALSE,TRUE),exact(Metadata!O704,"kg"))</f>
        <v>0</v>
      </c>
      <c r="AP704">
        <f>OR(AND(IF(Metadata!P704="",FALSE,TRUE),exact(Metadata!P704,"not provided")),IF(Metadata!P704="",FALSE,TRUE))</f>
        <v>0</v>
      </c>
      <c r="AQ704">
        <f>OR(AND(IF(Metadata!Q704="",FALSE,TRUE),exact(Metadata!Q704,"not provided")),IF(Metadata!Q704="",FALSE,TRUE))</f>
        <v>0</v>
      </c>
    </row>
    <row r="705" spans="1:43">
      <c r="A705" s="4">
        <f>IF(B705=" "," ",HYPERLINK(CONCATENATE("#metadata!",ADDRESS(INDEX($W$2:$W$1001,MATCH(ROWS($U$2:U705),$U$2:$U$1001,0),0),2)),INDEX($Z$2:$Z$1001,MATCH(ROWS($U$2:U705),$U$2:$U$1001,0),0)))</f>
        <v>0</v>
      </c>
      <c r="B705" s="5">
        <f>IF(OR(INDEX($V$2:$V$1001,MATCH(ROWS($U$2:U705),$U$2:$U$1001,0),1)&gt;=100000,INDEX($AB$1005:$AQ$1005,1,MATCH(COLUMNS($AB$1006:AB1006),$AB$1006:$AQ$1006,0))&gt;=100000), " ",IF(INDEX($AB$2:$AQ$1001,MATCH(ROWS($U$2:U705),$U$2:$U$1001,0),MATCH(COLUMNS($AB$1006:AB1006),$AB$1006:$AQ$1006,0)), HYPERLINK("#",""), HYPERLINK(CONCATENATE("#Metadata!", ADDRESS(INDEX($W$2:$W$1001,MATCH(ROWS($U$2:U705),$U$2:$U$1001,0),0), INDEX($AB$1004:$AQ$1004,1,MATCH(COLUMNS($AB$1006:AB1006),$AB$1006:$AQ$1006,0)))),"Fix")))</f>
        <v>0</v>
      </c>
      <c r="C705" s="5">
        <f>IF(OR(INDEX($V$2:$V$1001,MATCH(ROWS($U$2:U705),$U$2:$U$1001,0),1)&gt;=100000,INDEX($AB$1005:$AQ$1005,1,MATCH(COLUMNS($AB$1006:AC1006),$AB$1006:$AQ$1006,0))&gt;=100000), " ",IF(INDEX($AB$2:$AQ$1001,MATCH(ROWS($U$2:U705),$U$2:$U$1001,0),MATCH(COLUMNS($AB$1006:AC1006),$AB$1006:$AQ$1006,0)), HYPERLINK("#",""), HYPERLINK(CONCATENATE("#Metadata!", ADDRESS(INDEX($W$2:$W$1001,MATCH(ROWS($U$2:U705),$U$2:$U$1001,0),0), INDEX($AB$1004:$AQ$1004,1,MATCH(COLUMNS($AB$1006:AC1006),$AB$1006:$AQ$1006,0)))),"Fix")))</f>
        <v>0</v>
      </c>
      <c r="D705" s="5">
        <f>IF(OR(INDEX($V$2:$V$1001,MATCH(ROWS($U$2:U705),$U$2:$U$1001,0),1)&gt;=100000,INDEX($AB$1005:$AQ$1005,1,MATCH(COLUMNS($AB$1006:AD1006),$AB$1006:$AQ$1006,0))&gt;=100000), " ",IF(INDEX($AB$2:$AQ$1001,MATCH(ROWS($U$2:U705),$U$2:$U$1001,0),MATCH(COLUMNS($AB$1006:AD1006),$AB$1006:$AQ$1006,0)), HYPERLINK("#",""), HYPERLINK(CONCATENATE("#Metadata!", ADDRESS(INDEX($W$2:$W$1001,MATCH(ROWS($U$2:U705),$U$2:$U$1001,0),0), INDEX($AB$1004:$AQ$1004,1,MATCH(COLUMNS($AB$1006:AD1006),$AB$1006:$AQ$1006,0)))),"Fix")))</f>
        <v>0</v>
      </c>
      <c r="E705" s="5">
        <f>IF(OR(INDEX($V$2:$V$1001,MATCH(ROWS($U$2:U705),$U$2:$U$1001,0),1)&gt;=100000,INDEX($AB$1005:$AQ$1005,1,MATCH(COLUMNS($AB$1006:AE1006),$AB$1006:$AQ$1006,0))&gt;=100000), " ",IF(INDEX($AB$2:$AQ$1001,MATCH(ROWS($U$2:U705),$U$2:$U$1001,0),MATCH(COLUMNS($AB$1006:AE1006),$AB$1006:$AQ$1006,0)), HYPERLINK("#",""), HYPERLINK(CONCATENATE("#Metadata!", ADDRESS(INDEX($W$2:$W$1001,MATCH(ROWS($U$2:U705),$U$2:$U$1001,0),0), INDEX($AB$1004:$AQ$1004,1,MATCH(COLUMNS($AB$1006:AE1006),$AB$1006:$AQ$1006,0)))),"Fix")))</f>
        <v>0</v>
      </c>
      <c r="F705" s="5">
        <f>IF(OR(INDEX($V$2:$V$1001,MATCH(ROWS($U$2:U705),$U$2:$U$1001,0),1)&gt;=100000,INDEX($AB$1005:$AQ$1005,1,MATCH(COLUMNS($AB$1006:AF1006),$AB$1006:$AQ$1006,0))&gt;=100000), " ",IF(INDEX($AB$2:$AQ$1001,MATCH(ROWS($U$2:U705),$U$2:$U$1001,0),MATCH(COLUMNS($AB$1006:AF1006),$AB$1006:$AQ$1006,0)), HYPERLINK("#",""), HYPERLINK(CONCATENATE("#Metadata!", ADDRESS(INDEX($W$2:$W$1001,MATCH(ROWS($U$2:U705),$U$2:$U$1001,0),0), INDEX($AB$1004:$AQ$1004,1,MATCH(COLUMNS($AB$1006:AF1006),$AB$1006:$AQ$1006,0)))),"Fix")))</f>
        <v>0</v>
      </c>
      <c r="G705" s="5">
        <f>IF(OR(INDEX($V$2:$V$1001,MATCH(ROWS($U$2:U705),$U$2:$U$1001,0),1)&gt;=100000,INDEX($AB$1005:$AQ$1005,1,MATCH(COLUMNS($AB$1006:AG1006),$AB$1006:$AQ$1006,0))&gt;=100000), " ",IF(INDEX($AB$2:$AQ$1001,MATCH(ROWS($U$2:U705),$U$2:$U$1001,0),MATCH(COLUMNS($AB$1006:AG1006),$AB$1006:$AQ$1006,0)), HYPERLINK("#",""), HYPERLINK(CONCATENATE("#Metadata!", ADDRESS(INDEX($W$2:$W$1001,MATCH(ROWS($U$2:U705),$U$2:$U$1001,0),0), INDEX($AB$1004:$AQ$1004,1,MATCH(COLUMNS($AB$1006:AG1006),$AB$1006:$AQ$1006,0)))),"Fix")))</f>
        <v>0</v>
      </c>
      <c r="H705" s="5">
        <f>IF(OR(INDEX($V$2:$V$1001,MATCH(ROWS($U$2:U705),$U$2:$U$1001,0),1)&gt;=100000,INDEX($AB$1005:$AQ$1005,1,MATCH(COLUMNS($AB$1006:AH1006),$AB$1006:$AQ$1006,0))&gt;=100000), " ",IF(INDEX($AB$2:$AQ$1001,MATCH(ROWS($U$2:U705),$U$2:$U$1001,0),MATCH(COLUMNS($AB$1006:AH1006),$AB$1006:$AQ$1006,0)), HYPERLINK("#",""), HYPERLINK(CONCATENATE("#Metadata!", ADDRESS(INDEX($W$2:$W$1001,MATCH(ROWS($U$2:U705),$U$2:$U$1001,0),0), INDEX($AB$1004:$AQ$1004,1,MATCH(COLUMNS($AB$1006:AH1006),$AB$1006:$AQ$1006,0)))),"Fix")))</f>
        <v>0</v>
      </c>
      <c r="I705" s="5">
        <f>IF(OR(INDEX($V$2:$V$1001,MATCH(ROWS($U$2:U705),$U$2:$U$1001,0),1)&gt;=100000,INDEX($AB$1005:$AQ$1005,1,MATCH(COLUMNS($AB$1006:AI1006),$AB$1006:$AQ$1006,0))&gt;=100000), " ",IF(INDEX($AB$2:$AQ$1001,MATCH(ROWS($U$2:U705),$U$2:$U$1001,0),MATCH(COLUMNS($AB$1006:AI1006),$AB$1006:$AQ$1006,0)), HYPERLINK("#",""), HYPERLINK(CONCATENATE("#Metadata!", ADDRESS(INDEX($W$2:$W$1001,MATCH(ROWS($U$2:U705),$U$2:$U$1001,0),0), INDEX($AB$1004:$AQ$1004,1,MATCH(COLUMNS($AB$1006:AI1006),$AB$1006:$AQ$1006,0)))),"Fix")))</f>
        <v>0</v>
      </c>
      <c r="J705" s="5">
        <f>IF(OR(INDEX($V$2:$V$1001,MATCH(ROWS($U$2:U705),$U$2:$U$1001,0),1)&gt;=100000,INDEX($AB$1005:$AQ$1005,1,MATCH(COLUMNS($AB$1006:AJ1006),$AB$1006:$AQ$1006,0))&gt;=100000), " ",IF(INDEX($AB$2:$AQ$1001,MATCH(ROWS($U$2:U705),$U$2:$U$1001,0),MATCH(COLUMNS($AB$1006:AJ1006),$AB$1006:$AQ$1006,0)), HYPERLINK("#",""), HYPERLINK(CONCATENATE("#Metadata!", ADDRESS(INDEX($W$2:$W$1001,MATCH(ROWS($U$2:U705),$U$2:$U$1001,0),0), INDEX($AB$1004:$AQ$1004,1,MATCH(COLUMNS($AB$1006:AJ1006),$AB$1006:$AQ$1006,0)))),"Fix")))</f>
        <v>0</v>
      </c>
      <c r="K705" s="5">
        <f>IF(OR(INDEX($V$2:$V$1001,MATCH(ROWS($U$2:U705),$U$2:$U$1001,0),1)&gt;=100000,INDEX($AB$1005:$AQ$1005,1,MATCH(COLUMNS($AB$1006:AK1006),$AB$1006:$AQ$1006,0))&gt;=100000), " ",IF(INDEX($AB$2:$AQ$1001,MATCH(ROWS($U$2:U705),$U$2:$U$1001,0),MATCH(COLUMNS($AB$1006:AK1006),$AB$1006:$AQ$1006,0)), HYPERLINK("#",""), HYPERLINK(CONCATENATE("#Metadata!", ADDRESS(INDEX($W$2:$W$1001,MATCH(ROWS($U$2:U705),$U$2:$U$1001,0),0), INDEX($AB$1004:$AQ$1004,1,MATCH(COLUMNS($AB$1006:AK1006),$AB$1006:$AQ$1006,0)))),"Fix")))</f>
        <v>0</v>
      </c>
      <c r="L705" s="5">
        <f>IF(OR(INDEX($V$2:$V$1001,MATCH(ROWS($U$2:U705),$U$2:$U$1001,0),1)&gt;=100000,INDEX($AB$1005:$AQ$1005,1,MATCH(COLUMNS($AB$1006:AL1006),$AB$1006:$AQ$1006,0))&gt;=100000), " ",IF(INDEX($AB$2:$AQ$1001,MATCH(ROWS($U$2:U705),$U$2:$U$1001,0),MATCH(COLUMNS($AB$1006:AL1006),$AB$1006:$AQ$1006,0)), HYPERLINK("#",""), HYPERLINK(CONCATENATE("#Metadata!", ADDRESS(INDEX($W$2:$W$1001,MATCH(ROWS($U$2:U705),$U$2:$U$1001,0),0), INDEX($AB$1004:$AQ$1004,1,MATCH(COLUMNS($AB$1006:AL1006),$AB$1006:$AQ$1006,0)))),"Fix")))</f>
        <v>0</v>
      </c>
      <c r="M705" s="5">
        <f>IF(OR(INDEX($V$2:$V$1001,MATCH(ROWS($U$2:U705),$U$2:$U$1001,0),1)&gt;=100000,INDEX($AB$1005:$AQ$1005,1,MATCH(COLUMNS($AB$1006:AM1006),$AB$1006:$AQ$1006,0))&gt;=100000), " ",IF(INDEX($AB$2:$AQ$1001,MATCH(ROWS($U$2:U705),$U$2:$U$1001,0),MATCH(COLUMNS($AB$1006:AM1006),$AB$1006:$AQ$1006,0)), HYPERLINK("#",""), HYPERLINK(CONCATENATE("#Metadata!", ADDRESS(INDEX($W$2:$W$1001,MATCH(ROWS($U$2:U705),$U$2:$U$1001,0),0), INDEX($AB$1004:$AQ$1004,1,MATCH(COLUMNS($AB$1006:AM1006),$AB$1006:$AQ$1006,0)))),"Fix")))</f>
        <v>0</v>
      </c>
      <c r="N705" s="5">
        <f>IF(OR(INDEX($V$2:$V$1001,MATCH(ROWS($U$2:U705),$U$2:$U$1001,0),1)&gt;=100000,INDEX($AB$1005:$AQ$1005,1,MATCH(COLUMNS($AB$1006:AN1006),$AB$1006:$AQ$1006,0))&gt;=100000), " ",IF(INDEX($AB$2:$AQ$1001,MATCH(ROWS($U$2:U705),$U$2:$U$1001,0),MATCH(COLUMNS($AB$1006:AN1006),$AB$1006:$AQ$1006,0)), HYPERLINK("#",""), HYPERLINK(CONCATENATE("#Metadata!", ADDRESS(INDEX($W$2:$W$1001,MATCH(ROWS($U$2:U705),$U$2:$U$1001,0),0), INDEX($AB$1004:$AQ$1004,1,MATCH(COLUMNS($AB$1006:AN1006),$AB$1006:$AQ$1006,0)))),"Fix")))</f>
        <v>0</v>
      </c>
      <c r="O705" s="5">
        <f>IF(OR(INDEX($V$2:$V$1001,MATCH(ROWS($U$2:U705),$U$2:$U$1001,0),1)&gt;=100000,INDEX($AB$1005:$AQ$1005,1,MATCH(COLUMNS($AB$1006:AO1006),$AB$1006:$AQ$1006,0))&gt;=100000), " ",IF(INDEX($AB$2:$AQ$1001,MATCH(ROWS($U$2:U705),$U$2:$U$1001,0),MATCH(COLUMNS($AB$1006:AO1006),$AB$1006:$AQ$1006,0)), HYPERLINK("#",""), HYPERLINK(CONCATENATE("#Metadata!", ADDRESS(INDEX($W$2:$W$1001,MATCH(ROWS($U$2:U705),$U$2:$U$1001,0),0), INDEX($AB$1004:$AQ$1004,1,MATCH(COLUMNS($AB$1006:AO1006),$AB$1006:$AQ$1006,0)))),"Fix")))</f>
        <v>0</v>
      </c>
      <c r="P705" s="5">
        <f>IF(OR(INDEX($V$2:$V$1001,MATCH(ROWS($U$2:U705),$U$2:$U$1001,0),1)&gt;=100000,INDEX($AB$1005:$AQ$1005,1,MATCH(COLUMNS($AB$1006:AP1006),$AB$1006:$AQ$1006,0))&gt;=100000), " ",IF(INDEX($AB$2:$AQ$1001,MATCH(ROWS($U$2:U705),$U$2:$U$1001,0),MATCH(COLUMNS($AB$1006:AP1006),$AB$1006:$AQ$1006,0)), HYPERLINK("#",""), HYPERLINK(CONCATENATE("#Metadata!", ADDRESS(INDEX($W$2:$W$1001,MATCH(ROWS($U$2:U705),$U$2:$U$1001,0),0), INDEX($AB$1004:$AQ$1004,1,MATCH(COLUMNS($AB$1006:AP1006),$AB$1006:$AQ$1006,0)))),"Fix")))</f>
        <v>0</v>
      </c>
      <c r="Q705" s="5">
        <f>IF(OR(INDEX($V$2:$V$1001,MATCH(ROWS($U$2:U705),$U$2:$U$1001,0),1)&gt;=100000,INDEX($AB$1005:$AQ$1005,1,MATCH(COLUMNS($AB$1006:AQ1006),$AB$1006:$AQ$1006,0))&gt;=100000), " ",IF(INDEX($AB$2:$AQ$1001,MATCH(ROWS($U$2:U705),$U$2:$U$1001,0),MATCH(COLUMNS($AB$1006:AQ1006),$AB$1006:$AQ$1006,0)), HYPERLINK("#",""), HYPERLINK(CONCATENATE("#Metadata!", ADDRESS(INDEX($W$2:$W$1001,MATCH(ROWS($U$2:U705),$U$2:$U$1001,0),0), INDEX($AB$1004:$AQ$1004,1,MATCH(COLUMNS($AB$1006:AQ1006),$AB$1006:$AQ$1006,0)))),"Fix")))</f>
        <v>0</v>
      </c>
      <c r="U705">
        <v>0</v>
      </c>
      <c r="V705">
        <v>0</v>
      </c>
      <c r="W705">
        <v>0</v>
      </c>
      <c r="X705">
        <f>IF(Y705,TRUE,AND(AB705:AQ705))</f>
        <v>0</v>
      </c>
      <c r="Y705">
        <f>COUNTBLANK(Metadata!B705:Q705)=COLUMNS(Metadata!B705:Q705)</f>
        <v>0</v>
      </c>
      <c r="Z705">
        <v>0</v>
      </c>
      <c r="AB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AC705">
        <f>AND(IF(Metadata!C705="",FALSE,TRUE),exact(Metadata!C705,"urban biome"))</f>
        <v>0</v>
      </c>
      <c r="AD705">
        <f>AND(IF(Metadata!D705="",FALSE,TRUE),exact(Metadata!D705,"human-associated habitat"))</f>
        <v>0</v>
      </c>
      <c r="AE705">
        <f>AND(IF(Metadata!E705="",FALSE,TRUE),OR(exact(Metadata!E705,"human-associated"),exact(Metadata!E705,"human-skin"),exact(Metadata!E705,"human-oral"),exact(Metadata!E705,"human-gut"),exact(Metadata!E705,"human-vaginal")))</f>
        <v>0</v>
      </c>
      <c r="AF705">
        <f>AND(IF(Metadata!F705="",FALSE,ISNUMBER(VALUE(Metadata!F705))),Metadata!F705&gt;0)</f>
        <v>0</v>
      </c>
      <c r="AG705">
        <f>AND(IF(Metadata!G705="",FALSE,TRUE),exact(Metadata!G705,"years"))</f>
        <v>0</v>
      </c>
      <c r="AH705">
        <f>OR(AND(IF(Metadata!H705="",FALSE,TRUE),OR(exact(Metadata!H705,"not applicable"),exact(Metadata!H705,"not collected"),exact(Metadata!H705,"not provided"),exact(Metadata!H705,"restricted access"))),AND(IF(Metadata!H705="",FALSE,ISNUMBER(VALUE(Metadata!H705))),Metadata!H705&gt;0))</f>
        <v>0</v>
      </c>
      <c r="AI705">
        <f>AND(IF(Metadata!I705="",FALSE,TRUE),exact(Metadata!I705,"human"))</f>
        <v>0</v>
      </c>
      <c r="AJ705">
        <f>AND(IF(Metadata!J705="",FALSE,ISNUMBER(VALUE(Metadata!J705))),Metadata!J705&gt;0)</f>
        <v>0</v>
      </c>
      <c r="AK705">
        <f>AND(IF(Metadata!K705="",FALSE,TRUE),exact(Metadata!K705,"cm"))</f>
        <v>0</v>
      </c>
      <c r="AL705">
        <f>AND(IF(Metadata!L705="",FALSE,TRUE),exact(Metadata!L705,"Homo sapiens"))</f>
        <v>0</v>
      </c>
      <c r="AM705">
        <f>AND(IF(Metadata!M705="",FALSE,TRUE),exact(Metadata!M705,"9606"))</f>
        <v>0</v>
      </c>
      <c r="AN705">
        <f>AND(IF(Metadata!N705="",FALSE,ISNUMBER(VALUE(Metadata!N705))),Metadata!N705&gt;0)</f>
        <v>0</v>
      </c>
      <c r="AO705">
        <f>AND(IF(Metadata!O705="",FALSE,TRUE),exact(Metadata!O705,"kg"))</f>
        <v>0</v>
      </c>
      <c r="AP705">
        <f>OR(AND(IF(Metadata!P705="",FALSE,TRUE),exact(Metadata!P705,"not provided")),IF(Metadata!P705="",FALSE,TRUE))</f>
        <v>0</v>
      </c>
      <c r="AQ705">
        <f>OR(AND(IF(Metadata!Q705="",FALSE,TRUE),exact(Metadata!Q705,"not provided")),IF(Metadata!Q705="",FALSE,TRUE))</f>
        <v>0</v>
      </c>
    </row>
    <row r="706" spans="1:43">
      <c r="A706" s="4">
        <f>IF(B706=" "," ",HYPERLINK(CONCATENATE("#metadata!",ADDRESS(INDEX($W$2:$W$1001,MATCH(ROWS($U$2:U706),$U$2:$U$1001,0),0),2)),INDEX($Z$2:$Z$1001,MATCH(ROWS($U$2:U706),$U$2:$U$1001,0),0)))</f>
        <v>0</v>
      </c>
      <c r="B706" s="5">
        <f>IF(OR(INDEX($V$2:$V$1001,MATCH(ROWS($U$2:U706),$U$2:$U$1001,0),1)&gt;=100000,INDEX($AB$1005:$AQ$1005,1,MATCH(COLUMNS($AB$1006:AB1006),$AB$1006:$AQ$1006,0))&gt;=100000), " ",IF(INDEX($AB$2:$AQ$1001,MATCH(ROWS($U$2:U706),$U$2:$U$1001,0),MATCH(COLUMNS($AB$1006:AB1006),$AB$1006:$AQ$1006,0)), HYPERLINK("#",""), HYPERLINK(CONCATENATE("#Metadata!", ADDRESS(INDEX($W$2:$W$1001,MATCH(ROWS($U$2:U706),$U$2:$U$1001,0),0), INDEX($AB$1004:$AQ$1004,1,MATCH(COLUMNS($AB$1006:AB1006),$AB$1006:$AQ$1006,0)))),"Fix")))</f>
        <v>0</v>
      </c>
      <c r="C706" s="5">
        <f>IF(OR(INDEX($V$2:$V$1001,MATCH(ROWS($U$2:U706),$U$2:$U$1001,0),1)&gt;=100000,INDEX($AB$1005:$AQ$1005,1,MATCH(COLUMNS($AB$1006:AC1006),$AB$1006:$AQ$1006,0))&gt;=100000), " ",IF(INDEX($AB$2:$AQ$1001,MATCH(ROWS($U$2:U706),$U$2:$U$1001,0),MATCH(COLUMNS($AB$1006:AC1006),$AB$1006:$AQ$1006,0)), HYPERLINK("#",""), HYPERLINK(CONCATENATE("#Metadata!", ADDRESS(INDEX($W$2:$W$1001,MATCH(ROWS($U$2:U706),$U$2:$U$1001,0),0), INDEX($AB$1004:$AQ$1004,1,MATCH(COLUMNS($AB$1006:AC1006),$AB$1006:$AQ$1006,0)))),"Fix")))</f>
        <v>0</v>
      </c>
      <c r="D706" s="5">
        <f>IF(OR(INDEX($V$2:$V$1001,MATCH(ROWS($U$2:U706),$U$2:$U$1001,0),1)&gt;=100000,INDEX($AB$1005:$AQ$1005,1,MATCH(COLUMNS($AB$1006:AD1006),$AB$1006:$AQ$1006,0))&gt;=100000), " ",IF(INDEX($AB$2:$AQ$1001,MATCH(ROWS($U$2:U706),$U$2:$U$1001,0),MATCH(COLUMNS($AB$1006:AD1006),$AB$1006:$AQ$1006,0)), HYPERLINK("#",""), HYPERLINK(CONCATENATE("#Metadata!", ADDRESS(INDEX($W$2:$W$1001,MATCH(ROWS($U$2:U706),$U$2:$U$1001,0),0), INDEX($AB$1004:$AQ$1004,1,MATCH(COLUMNS($AB$1006:AD1006),$AB$1006:$AQ$1006,0)))),"Fix")))</f>
        <v>0</v>
      </c>
      <c r="E706" s="5">
        <f>IF(OR(INDEX($V$2:$V$1001,MATCH(ROWS($U$2:U706),$U$2:$U$1001,0),1)&gt;=100000,INDEX($AB$1005:$AQ$1005,1,MATCH(COLUMNS($AB$1006:AE1006),$AB$1006:$AQ$1006,0))&gt;=100000), " ",IF(INDEX($AB$2:$AQ$1001,MATCH(ROWS($U$2:U706),$U$2:$U$1001,0),MATCH(COLUMNS($AB$1006:AE1006),$AB$1006:$AQ$1006,0)), HYPERLINK("#",""), HYPERLINK(CONCATENATE("#Metadata!", ADDRESS(INDEX($W$2:$W$1001,MATCH(ROWS($U$2:U706),$U$2:$U$1001,0),0), INDEX($AB$1004:$AQ$1004,1,MATCH(COLUMNS($AB$1006:AE1006),$AB$1006:$AQ$1006,0)))),"Fix")))</f>
        <v>0</v>
      </c>
      <c r="F706" s="5">
        <f>IF(OR(INDEX($V$2:$V$1001,MATCH(ROWS($U$2:U706),$U$2:$U$1001,0),1)&gt;=100000,INDEX($AB$1005:$AQ$1005,1,MATCH(COLUMNS($AB$1006:AF1006),$AB$1006:$AQ$1006,0))&gt;=100000), " ",IF(INDEX($AB$2:$AQ$1001,MATCH(ROWS($U$2:U706),$U$2:$U$1001,0),MATCH(COLUMNS($AB$1006:AF1006),$AB$1006:$AQ$1006,0)), HYPERLINK("#",""), HYPERLINK(CONCATENATE("#Metadata!", ADDRESS(INDEX($W$2:$W$1001,MATCH(ROWS($U$2:U706),$U$2:$U$1001,0),0), INDEX($AB$1004:$AQ$1004,1,MATCH(COLUMNS($AB$1006:AF1006),$AB$1006:$AQ$1006,0)))),"Fix")))</f>
        <v>0</v>
      </c>
      <c r="G706" s="5">
        <f>IF(OR(INDEX($V$2:$V$1001,MATCH(ROWS($U$2:U706),$U$2:$U$1001,0),1)&gt;=100000,INDEX($AB$1005:$AQ$1005,1,MATCH(COLUMNS($AB$1006:AG1006),$AB$1006:$AQ$1006,0))&gt;=100000), " ",IF(INDEX($AB$2:$AQ$1001,MATCH(ROWS($U$2:U706),$U$2:$U$1001,0),MATCH(COLUMNS($AB$1006:AG1006),$AB$1006:$AQ$1006,0)), HYPERLINK("#",""), HYPERLINK(CONCATENATE("#Metadata!", ADDRESS(INDEX($W$2:$W$1001,MATCH(ROWS($U$2:U706),$U$2:$U$1001,0),0), INDEX($AB$1004:$AQ$1004,1,MATCH(COLUMNS($AB$1006:AG1006),$AB$1006:$AQ$1006,0)))),"Fix")))</f>
        <v>0</v>
      </c>
      <c r="H706" s="5">
        <f>IF(OR(INDEX($V$2:$V$1001,MATCH(ROWS($U$2:U706),$U$2:$U$1001,0),1)&gt;=100000,INDEX($AB$1005:$AQ$1005,1,MATCH(COLUMNS($AB$1006:AH1006),$AB$1006:$AQ$1006,0))&gt;=100000), " ",IF(INDEX($AB$2:$AQ$1001,MATCH(ROWS($U$2:U706),$U$2:$U$1001,0),MATCH(COLUMNS($AB$1006:AH1006),$AB$1006:$AQ$1006,0)), HYPERLINK("#",""), HYPERLINK(CONCATENATE("#Metadata!", ADDRESS(INDEX($W$2:$W$1001,MATCH(ROWS($U$2:U706),$U$2:$U$1001,0),0), INDEX($AB$1004:$AQ$1004,1,MATCH(COLUMNS($AB$1006:AH1006),$AB$1006:$AQ$1006,0)))),"Fix")))</f>
        <v>0</v>
      </c>
      <c r="I706" s="5">
        <f>IF(OR(INDEX($V$2:$V$1001,MATCH(ROWS($U$2:U706),$U$2:$U$1001,0),1)&gt;=100000,INDEX($AB$1005:$AQ$1005,1,MATCH(COLUMNS($AB$1006:AI1006),$AB$1006:$AQ$1006,0))&gt;=100000), " ",IF(INDEX($AB$2:$AQ$1001,MATCH(ROWS($U$2:U706),$U$2:$U$1001,0),MATCH(COLUMNS($AB$1006:AI1006),$AB$1006:$AQ$1006,0)), HYPERLINK("#",""), HYPERLINK(CONCATENATE("#Metadata!", ADDRESS(INDEX($W$2:$W$1001,MATCH(ROWS($U$2:U706),$U$2:$U$1001,0),0), INDEX($AB$1004:$AQ$1004,1,MATCH(COLUMNS($AB$1006:AI1006),$AB$1006:$AQ$1006,0)))),"Fix")))</f>
        <v>0</v>
      </c>
      <c r="J706" s="5">
        <f>IF(OR(INDEX($V$2:$V$1001,MATCH(ROWS($U$2:U706),$U$2:$U$1001,0),1)&gt;=100000,INDEX($AB$1005:$AQ$1005,1,MATCH(COLUMNS($AB$1006:AJ1006),$AB$1006:$AQ$1006,0))&gt;=100000), " ",IF(INDEX($AB$2:$AQ$1001,MATCH(ROWS($U$2:U706),$U$2:$U$1001,0),MATCH(COLUMNS($AB$1006:AJ1006),$AB$1006:$AQ$1006,0)), HYPERLINK("#",""), HYPERLINK(CONCATENATE("#Metadata!", ADDRESS(INDEX($W$2:$W$1001,MATCH(ROWS($U$2:U706),$U$2:$U$1001,0),0), INDEX($AB$1004:$AQ$1004,1,MATCH(COLUMNS($AB$1006:AJ1006),$AB$1006:$AQ$1006,0)))),"Fix")))</f>
        <v>0</v>
      </c>
      <c r="K706" s="5">
        <f>IF(OR(INDEX($V$2:$V$1001,MATCH(ROWS($U$2:U706),$U$2:$U$1001,0),1)&gt;=100000,INDEX($AB$1005:$AQ$1005,1,MATCH(COLUMNS($AB$1006:AK1006),$AB$1006:$AQ$1006,0))&gt;=100000), " ",IF(INDEX($AB$2:$AQ$1001,MATCH(ROWS($U$2:U706),$U$2:$U$1001,0),MATCH(COLUMNS($AB$1006:AK1006),$AB$1006:$AQ$1006,0)), HYPERLINK("#",""), HYPERLINK(CONCATENATE("#Metadata!", ADDRESS(INDEX($W$2:$W$1001,MATCH(ROWS($U$2:U706),$U$2:$U$1001,0),0), INDEX($AB$1004:$AQ$1004,1,MATCH(COLUMNS($AB$1006:AK1006),$AB$1006:$AQ$1006,0)))),"Fix")))</f>
        <v>0</v>
      </c>
      <c r="L706" s="5">
        <f>IF(OR(INDEX($V$2:$V$1001,MATCH(ROWS($U$2:U706),$U$2:$U$1001,0),1)&gt;=100000,INDEX($AB$1005:$AQ$1005,1,MATCH(COLUMNS($AB$1006:AL1006),$AB$1006:$AQ$1006,0))&gt;=100000), " ",IF(INDEX($AB$2:$AQ$1001,MATCH(ROWS($U$2:U706),$U$2:$U$1001,0),MATCH(COLUMNS($AB$1006:AL1006),$AB$1006:$AQ$1006,0)), HYPERLINK("#",""), HYPERLINK(CONCATENATE("#Metadata!", ADDRESS(INDEX($W$2:$W$1001,MATCH(ROWS($U$2:U706),$U$2:$U$1001,0),0), INDEX($AB$1004:$AQ$1004,1,MATCH(COLUMNS($AB$1006:AL1006),$AB$1006:$AQ$1006,0)))),"Fix")))</f>
        <v>0</v>
      </c>
      <c r="M706" s="5">
        <f>IF(OR(INDEX($V$2:$V$1001,MATCH(ROWS($U$2:U706),$U$2:$U$1001,0),1)&gt;=100000,INDEX($AB$1005:$AQ$1005,1,MATCH(COLUMNS($AB$1006:AM1006),$AB$1006:$AQ$1006,0))&gt;=100000), " ",IF(INDEX($AB$2:$AQ$1001,MATCH(ROWS($U$2:U706),$U$2:$U$1001,0),MATCH(COLUMNS($AB$1006:AM1006),$AB$1006:$AQ$1006,0)), HYPERLINK("#",""), HYPERLINK(CONCATENATE("#Metadata!", ADDRESS(INDEX($W$2:$W$1001,MATCH(ROWS($U$2:U706),$U$2:$U$1001,0),0), INDEX($AB$1004:$AQ$1004,1,MATCH(COLUMNS($AB$1006:AM1006),$AB$1006:$AQ$1006,0)))),"Fix")))</f>
        <v>0</v>
      </c>
      <c r="N706" s="5">
        <f>IF(OR(INDEX($V$2:$V$1001,MATCH(ROWS($U$2:U706),$U$2:$U$1001,0),1)&gt;=100000,INDEX($AB$1005:$AQ$1005,1,MATCH(COLUMNS($AB$1006:AN1006),$AB$1006:$AQ$1006,0))&gt;=100000), " ",IF(INDEX($AB$2:$AQ$1001,MATCH(ROWS($U$2:U706),$U$2:$U$1001,0),MATCH(COLUMNS($AB$1006:AN1006),$AB$1006:$AQ$1006,0)), HYPERLINK("#",""), HYPERLINK(CONCATENATE("#Metadata!", ADDRESS(INDEX($W$2:$W$1001,MATCH(ROWS($U$2:U706),$U$2:$U$1001,0),0), INDEX($AB$1004:$AQ$1004,1,MATCH(COLUMNS($AB$1006:AN1006),$AB$1006:$AQ$1006,0)))),"Fix")))</f>
        <v>0</v>
      </c>
      <c r="O706" s="5">
        <f>IF(OR(INDEX($V$2:$V$1001,MATCH(ROWS($U$2:U706),$U$2:$U$1001,0),1)&gt;=100000,INDEX($AB$1005:$AQ$1005,1,MATCH(COLUMNS($AB$1006:AO1006),$AB$1006:$AQ$1006,0))&gt;=100000), " ",IF(INDEX($AB$2:$AQ$1001,MATCH(ROWS($U$2:U706),$U$2:$U$1001,0),MATCH(COLUMNS($AB$1006:AO1006),$AB$1006:$AQ$1006,0)), HYPERLINK("#",""), HYPERLINK(CONCATENATE("#Metadata!", ADDRESS(INDEX($W$2:$W$1001,MATCH(ROWS($U$2:U706),$U$2:$U$1001,0),0), INDEX($AB$1004:$AQ$1004,1,MATCH(COLUMNS($AB$1006:AO1006),$AB$1006:$AQ$1006,0)))),"Fix")))</f>
        <v>0</v>
      </c>
      <c r="P706" s="5">
        <f>IF(OR(INDEX($V$2:$V$1001,MATCH(ROWS($U$2:U706),$U$2:$U$1001,0),1)&gt;=100000,INDEX($AB$1005:$AQ$1005,1,MATCH(COLUMNS($AB$1006:AP1006),$AB$1006:$AQ$1006,0))&gt;=100000), " ",IF(INDEX($AB$2:$AQ$1001,MATCH(ROWS($U$2:U706),$U$2:$U$1001,0),MATCH(COLUMNS($AB$1006:AP1006),$AB$1006:$AQ$1006,0)), HYPERLINK("#",""), HYPERLINK(CONCATENATE("#Metadata!", ADDRESS(INDEX($W$2:$W$1001,MATCH(ROWS($U$2:U706),$U$2:$U$1001,0),0), INDEX($AB$1004:$AQ$1004,1,MATCH(COLUMNS($AB$1006:AP1006),$AB$1006:$AQ$1006,0)))),"Fix")))</f>
        <v>0</v>
      </c>
      <c r="Q706" s="5">
        <f>IF(OR(INDEX($V$2:$V$1001,MATCH(ROWS($U$2:U706),$U$2:$U$1001,0),1)&gt;=100000,INDEX($AB$1005:$AQ$1005,1,MATCH(COLUMNS($AB$1006:AQ1006),$AB$1006:$AQ$1006,0))&gt;=100000), " ",IF(INDEX($AB$2:$AQ$1001,MATCH(ROWS($U$2:U706),$U$2:$U$1001,0),MATCH(COLUMNS($AB$1006:AQ1006),$AB$1006:$AQ$1006,0)), HYPERLINK("#",""), HYPERLINK(CONCATENATE("#Metadata!", ADDRESS(INDEX($W$2:$W$1001,MATCH(ROWS($U$2:U706),$U$2:$U$1001,0),0), INDEX($AB$1004:$AQ$1004,1,MATCH(COLUMNS($AB$1006:AQ1006),$AB$1006:$AQ$1006,0)))),"Fix")))</f>
        <v>0</v>
      </c>
      <c r="U706">
        <v>0</v>
      </c>
      <c r="V706">
        <v>0</v>
      </c>
      <c r="W706">
        <v>0</v>
      </c>
      <c r="X706">
        <f>IF(Y706,TRUE,AND(AB706:AQ706))</f>
        <v>0</v>
      </c>
      <c r="Y706">
        <f>COUNTBLANK(Metadata!B706:Q706)=COLUMNS(Metadata!B706:Q706)</f>
        <v>0</v>
      </c>
      <c r="Z706">
        <v>0</v>
      </c>
      <c r="AB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AC706">
        <f>AND(IF(Metadata!C706="",FALSE,TRUE),exact(Metadata!C706,"urban biome"))</f>
        <v>0</v>
      </c>
      <c r="AD706">
        <f>AND(IF(Metadata!D706="",FALSE,TRUE),exact(Metadata!D706,"human-associated habitat"))</f>
        <v>0</v>
      </c>
      <c r="AE706">
        <f>AND(IF(Metadata!E706="",FALSE,TRUE),OR(exact(Metadata!E706,"human-associated"),exact(Metadata!E706,"human-skin"),exact(Metadata!E706,"human-oral"),exact(Metadata!E706,"human-gut"),exact(Metadata!E706,"human-vaginal")))</f>
        <v>0</v>
      </c>
      <c r="AF706">
        <f>AND(IF(Metadata!F706="",FALSE,ISNUMBER(VALUE(Metadata!F706))),Metadata!F706&gt;0)</f>
        <v>0</v>
      </c>
      <c r="AG706">
        <f>AND(IF(Metadata!G706="",FALSE,TRUE),exact(Metadata!G706,"years"))</f>
        <v>0</v>
      </c>
      <c r="AH706">
        <f>OR(AND(IF(Metadata!H706="",FALSE,TRUE),OR(exact(Metadata!H706,"not applicable"),exact(Metadata!H706,"not collected"),exact(Metadata!H706,"not provided"),exact(Metadata!H706,"restricted access"))),AND(IF(Metadata!H706="",FALSE,ISNUMBER(VALUE(Metadata!H706))),Metadata!H706&gt;0))</f>
        <v>0</v>
      </c>
      <c r="AI706">
        <f>AND(IF(Metadata!I706="",FALSE,TRUE),exact(Metadata!I706,"human"))</f>
        <v>0</v>
      </c>
      <c r="AJ706">
        <f>AND(IF(Metadata!J706="",FALSE,ISNUMBER(VALUE(Metadata!J706))),Metadata!J706&gt;0)</f>
        <v>0</v>
      </c>
      <c r="AK706">
        <f>AND(IF(Metadata!K706="",FALSE,TRUE),exact(Metadata!K706,"cm"))</f>
        <v>0</v>
      </c>
      <c r="AL706">
        <f>AND(IF(Metadata!L706="",FALSE,TRUE),exact(Metadata!L706,"Homo sapiens"))</f>
        <v>0</v>
      </c>
      <c r="AM706">
        <f>AND(IF(Metadata!M706="",FALSE,TRUE),exact(Metadata!M706,"9606"))</f>
        <v>0</v>
      </c>
      <c r="AN706">
        <f>AND(IF(Metadata!N706="",FALSE,ISNUMBER(VALUE(Metadata!N706))),Metadata!N706&gt;0)</f>
        <v>0</v>
      </c>
      <c r="AO706">
        <f>AND(IF(Metadata!O706="",FALSE,TRUE),exact(Metadata!O706,"kg"))</f>
        <v>0</v>
      </c>
      <c r="AP706">
        <f>OR(AND(IF(Metadata!P706="",FALSE,TRUE),exact(Metadata!P706,"not provided")),IF(Metadata!P706="",FALSE,TRUE))</f>
        <v>0</v>
      </c>
      <c r="AQ706">
        <f>OR(AND(IF(Metadata!Q706="",FALSE,TRUE),exact(Metadata!Q706,"not provided")),IF(Metadata!Q706="",FALSE,TRUE))</f>
        <v>0</v>
      </c>
    </row>
    <row r="707" spans="1:43">
      <c r="A707" s="4">
        <f>IF(B707=" "," ",HYPERLINK(CONCATENATE("#metadata!",ADDRESS(INDEX($W$2:$W$1001,MATCH(ROWS($U$2:U707),$U$2:$U$1001,0),0),2)),INDEX($Z$2:$Z$1001,MATCH(ROWS($U$2:U707),$U$2:$U$1001,0),0)))</f>
        <v>0</v>
      </c>
      <c r="B707" s="5">
        <f>IF(OR(INDEX($V$2:$V$1001,MATCH(ROWS($U$2:U707),$U$2:$U$1001,0),1)&gt;=100000,INDEX($AB$1005:$AQ$1005,1,MATCH(COLUMNS($AB$1006:AB1006),$AB$1006:$AQ$1006,0))&gt;=100000), " ",IF(INDEX($AB$2:$AQ$1001,MATCH(ROWS($U$2:U707),$U$2:$U$1001,0),MATCH(COLUMNS($AB$1006:AB1006),$AB$1006:$AQ$1006,0)), HYPERLINK("#",""), HYPERLINK(CONCATENATE("#Metadata!", ADDRESS(INDEX($W$2:$W$1001,MATCH(ROWS($U$2:U707),$U$2:$U$1001,0),0), INDEX($AB$1004:$AQ$1004,1,MATCH(COLUMNS($AB$1006:AB1006),$AB$1006:$AQ$1006,0)))),"Fix")))</f>
        <v>0</v>
      </c>
      <c r="C707" s="5">
        <f>IF(OR(INDEX($V$2:$V$1001,MATCH(ROWS($U$2:U707),$U$2:$U$1001,0),1)&gt;=100000,INDEX($AB$1005:$AQ$1005,1,MATCH(COLUMNS($AB$1006:AC1006),$AB$1006:$AQ$1006,0))&gt;=100000), " ",IF(INDEX($AB$2:$AQ$1001,MATCH(ROWS($U$2:U707),$U$2:$U$1001,0),MATCH(COLUMNS($AB$1006:AC1006),$AB$1006:$AQ$1006,0)), HYPERLINK("#",""), HYPERLINK(CONCATENATE("#Metadata!", ADDRESS(INDEX($W$2:$W$1001,MATCH(ROWS($U$2:U707),$U$2:$U$1001,0),0), INDEX($AB$1004:$AQ$1004,1,MATCH(COLUMNS($AB$1006:AC1006),$AB$1006:$AQ$1006,0)))),"Fix")))</f>
        <v>0</v>
      </c>
      <c r="D707" s="5">
        <f>IF(OR(INDEX($V$2:$V$1001,MATCH(ROWS($U$2:U707),$U$2:$U$1001,0),1)&gt;=100000,INDEX($AB$1005:$AQ$1005,1,MATCH(COLUMNS($AB$1006:AD1006),$AB$1006:$AQ$1006,0))&gt;=100000), " ",IF(INDEX($AB$2:$AQ$1001,MATCH(ROWS($U$2:U707),$U$2:$U$1001,0),MATCH(COLUMNS($AB$1006:AD1006),$AB$1006:$AQ$1006,0)), HYPERLINK("#",""), HYPERLINK(CONCATENATE("#Metadata!", ADDRESS(INDEX($W$2:$W$1001,MATCH(ROWS($U$2:U707),$U$2:$U$1001,0),0), INDEX($AB$1004:$AQ$1004,1,MATCH(COLUMNS($AB$1006:AD1006),$AB$1006:$AQ$1006,0)))),"Fix")))</f>
        <v>0</v>
      </c>
      <c r="E707" s="5">
        <f>IF(OR(INDEX($V$2:$V$1001,MATCH(ROWS($U$2:U707),$U$2:$U$1001,0),1)&gt;=100000,INDEX($AB$1005:$AQ$1005,1,MATCH(COLUMNS($AB$1006:AE1006),$AB$1006:$AQ$1006,0))&gt;=100000), " ",IF(INDEX($AB$2:$AQ$1001,MATCH(ROWS($U$2:U707),$U$2:$U$1001,0),MATCH(COLUMNS($AB$1006:AE1006),$AB$1006:$AQ$1006,0)), HYPERLINK("#",""), HYPERLINK(CONCATENATE("#Metadata!", ADDRESS(INDEX($W$2:$W$1001,MATCH(ROWS($U$2:U707),$U$2:$U$1001,0),0), INDEX($AB$1004:$AQ$1004,1,MATCH(COLUMNS($AB$1006:AE1006),$AB$1006:$AQ$1006,0)))),"Fix")))</f>
        <v>0</v>
      </c>
      <c r="F707" s="5">
        <f>IF(OR(INDEX($V$2:$V$1001,MATCH(ROWS($U$2:U707),$U$2:$U$1001,0),1)&gt;=100000,INDEX($AB$1005:$AQ$1005,1,MATCH(COLUMNS($AB$1006:AF1006),$AB$1006:$AQ$1006,0))&gt;=100000), " ",IF(INDEX($AB$2:$AQ$1001,MATCH(ROWS($U$2:U707),$U$2:$U$1001,0),MATCH(COLUMNS($AB$1006:AF1006),$AB$1006:$AQ$1006,0)), HYPERLINK("#",""), HYPERLINK(CONCATENATE("#Metadata!", ADDRESS(INDEX($W$2:$W$1001,MATCH(ROWS($U$2:U707),$U$2:$U$1001,0),0), INDEX($AB$1004:$AQ$1004,1,MATCH(COLUMNS($AB$1006:AF1006),$AB$1006:$AQ$1006,0)))),"Fix")))</f>
        <v>0</v>
      </c>
      <c r="G707" s="5">
        <f>IF(OR(INDEX($V$2:$V$1001,MATCH(ROWS($U$2:U707),$U$2:$U$1001,0),1)&gt;=100000,INDEX($AB$1005:$AQ$1005,1,MATCH(COLUMNS($AB$1006:AG1006),$AB$1006:$AQ$1006,0))&gt;=100000), " ",IF(INDEX($AB$2:$AQ$1001,MATCH(ROWS($U$2:U707),$U$2:$U$1001,0),MATCH(COLUMNS($AB$1006:AG1006),$AB$1006:$AQ$1006,0)), HYPERLINK("#",""), HYPERLINK(CONCATENATE("#Metadata!", ADDRESS(INDEX($W$2:$W$1001,MATCH(ROWS($U$2:U707),$U$2:$U$1001,0),0), INDEX($AB$1004:$AQ$1004,1,MATCH(COLUMNS($AB$1006:AG1006),$AB$1006:$AQ$1006,0)))),"Fix")))</f>
        <v>0</v>
      </c>
      <c r="H707" s="5">
        <f>IF(OR(INDEX($V$2:$V$1001,MATCH(ROWS($U$2:U707),$U$2:$U$1001,0),1)&gt;=100000,INDEX($AB$1005:$AQ$1005,1,MATCH(COLUMNS($AB$1006:AH1006),$AB$1006:$AQ$1006,0))&gt;=100000), " ",IF(INDEX($AB$2:$AQ$1001,MATCH(ROWS($U$2:U707),$U$2:$U$1001,0),MATCH(COLUMNS($AB$1006:AH1006),$AB$1006:$AQ$1006,0)), HYPERLINK("#",""), HYPERLINK(CONCATENATE("#Metadata!", ADDRESS(INDEX($W$2:$W$1001,MATCH(ROWS($U$2:U707),$U$2:$U$1001,0),0), INDEX($AB$1004:$AQ$1004,1,MATCH(COLUMNS($AB$1006:AH1006),$AB$1006:$AQ$1006,0)))),"Fix")))</f>
        <v>0</v>
      </c>
      <c r="I707" s="5">
        <f>IF(OR(INDEX($V$2:$V$1001,MATCH(ROWS($U$2:U707),$U$2:$U$1001,0),1)&gt;=100000,INDEX($AB$1005:$AQ$1005,1,MATCH(COLUMNS($AB$1006:AI1006),$AB$1006:$AQ$1006,0))&gt;=100000), " ",IF(INDEX($AB$2:$AQ$1001,MATCH(ROWS($U$2:U707),$U$2:$U$1001,0),MATCH(COLUMNS($AB$1006:AI1006),$AB$1006:$AQ$1006,0)), HYPERLINK("#",""), HYPERLINK(CONCATENATE("#Metadata!", ADDRESS(INDEX($W$2:$W$1001,MATCH(ROWS($U$2:U707),$U$2:$U$1001,0),0), INDEX($AB$1004:$AQ$1004,1,MATCH(COLUMNS($AB$1006:AI1006),$AB$1006:$AQ$1006,0)))),"Fix")))</f>
        <v>0</v>
      </c>
      <c r="J707" s="5">
        <f>IF(OR(INDEX($V$2:$V$1001,MATCH(ROWS($U$2:U707),$U$2:$U$1001,0),1)&gt;=100000,INDEX($AB$1005:$AQ$1005,1,MATCH(COLUMNS($AB$1006:AJ1006),$AB$1006:$AQ$1006,0))&gt;=100000), " ",IF(INDEX($AB$2:$AQ$1001,MATCH(ROWS($U$2:U707),$U$2:$U$1001,0),MATCH(COLUMNS($AB$1006:AJ1006),$AB$1006:$AQ$1006,0)), HYPERLINK("#",""), HYPERLINK(CONCATENATE("#Metadata!", ADDRESS(INDEX($W$2:$W$1001,MATCH(ROWS($U$2:U707),$U$2:$U$1001,0),0), INDEX($AB$1004:$AQ$1004,1,MATCH(COLUMNS($AB$1006:AJ1006),$AB$1006:$AQ$1006,0)))),"Fix")))</f>
        <v>0</v>
      </c>
      <c r="K707" s="5">
        <f>IF(OR(INDEX($V$2:$V$1001,MATCH(ROWS($U$2:U707),$U$2:$U$1001,0),1)&gt;=100000,INDEX($AB$1005:$AQ$1005,1,MATCH(COLUMNS($AB$1006:AK1006),$AB$1006:$AQ$1006,0))&gt;=100000), " ",IF(INDEX($AB$2:$AQ$1001,MATCH(ROWS($U$2:U707),$U$2:$U$1001,0),MATCH(COLUMNS($AB$1006:AK1006),$AB$1006:$AQ$1006,0)), HYPERLINK("#",""), HYPERLINK(CONCATENATE("#Metadata!", ADDRESS(INDEX($W$2:$W$1001,MATCH(ROWS($U$2:U707),$U$2:$U$1001,0),0), INDEX($AB$1004:$AQ$1004,1,MATCH(COLUMNS($AB$1006:AK1006),$AB$1006:$AQ$1006,0)))),"Fix")))</f>
        <v>0</v>
      </c>
      <c r="L707" s="5">
        <f>IF(OR(INDEX($V$2:$V$1001,MATCH(ROWS($U$2:U707),$U$2:$U$1001,0),1)&gt;=100000,INDEX($AB$1005:$AQ$1005,1,MATCH(COLUMNS($AB$1006:AL1006),$AB$1006:$AQ$1006,0))&gt;=100000), " ",IF(INDEX($AB$2:$AQ$1001,MATCH(ROWS($U$2:U707),$U$2:$U$1001,0),MATCH(COLUMNS($AB$1006:AL1006),$AB$1006:$AQ$1006,0)), HYPERLINK("#",""), HYPERLINK(CONCATENATE("#Metadata!", ADDRESS(INDEX($W$2:$W$1001,MATCH(ROWS($U$2:U707),$U$2:$U$1001,0),0), INDEX($AB$1004:$AQ$1004,1,MATCH(COLUMNS($AB$1006:AL1006),$AB$1006:$AQ$1006,0)))),"Fix")))</f>
        <v>0</v>
      </c>
      <c r="M707" s="5">
        <f>IF(OR(INDEX($V$2:$V$1001,MATCH(ROWS($U$2:U707),$U$2:$U$1001,0),1)&gt;=100000,INDEX($AB$1005:$AQ$1005,1,MATCH(COLUMNS($AB$1006:AM1006),$AB$1006:$AQ$1006,0))&gt;=100000), " ",IF(INDEX($AB$2:$AQ$1001,MATCH(ROWS($U$2:U707),$U$2:$U$1001,0),MATCH(COLUMNS($AB$1006:AM1006),$AB$1006:$AQ$1006,0)), HYPERLINK("#",""), HYPERLINK(CONCATENATE("#Metadata!", ADDRESS(INDEX($W$2:$W$1001,MATCH(ROWS($U$2:U707),$U$2:$U$1001,0),0), INDEX($AB$1004:$AQ$1004,1,MATCH(COLUMNS($AB$1006:AM1006),$AB$1006:$AQ$1006,0)))),"Fix")))</f>
        <v>0</v>
      </c>
      <c r="N707" s="5">
        <f>IF(OR(INDEX($V$2:$V$1001,MATCH(ROWS($U$2:U707),$U$2:$U$1001,0),1)&gt;=100000,INDEX($AB$1005:$AQ$1005,1,MATCH(COLUMNS($AB$1006:AN1006),$AB$1006:$AQ$1006,0))&gt;=100000), " ",IF(INDEX($AB$2:$AQ$1001,MATCH(ROWS($U$2:U707),$U$2:$U$1001,0),MATCH(COLUMNS($AB$1006:AN1006),$AB$1006:$AQ$1006,0)), HYPERLINK("#",""), HYPERLINK(CONCATENATE("#Metadata!", ADDRESS(INDEX($W$2:$W$1001,MATCH(ROWS($U$2:U707),$U$2:$U$1001,0),0), INDEX($AB$1004:$AQ$1004,1,MATCH(COLUMNS($AB$1006:AN1006),$AB$1006:$AQ$1006,0)))),"Fix")))</f>
        <v>0</v>
      </c>
      <c r="O707" s="5">
        <f>IF(OR(INDEX($V$2:$V$1001,MATCH(ROWS($U$2:U707),$U$2:$U$1001,0),1)&gt;=100000,INDEX($AB$1005:$AQ$1005,1,MATCH(COLUMNS($AB$1006:AO1006),$AB$1006:$AQ$1006,0))&gt;=100000), " ",IF(INDEX($AB$2:$AQ$1001,MATCH(ROWS($U$2:U707),$U$2:$U$1001,0),MATCH(COLUMNS($AB$1006:AO1006),$AB$1006:$AQ$1006,0)), HYPERLINK("#",""), HYPERLINK(CONCATENATE("#Metadata!", ADDRESS(INDEX($W$2:$W$1001,MATCH(ROWS($U$2:U707),$U$2:$U$1001,0),0), INDEX($AB$1004:$AQ$1004,1,MATCH(COLUMNS($AB$1006:AO1006),$AB$1006:$AQ$1006,0)))),"Fix")))</f>
        <v>0</v>
      </c>
      <c r="P707" s="5">
        <f>IF(OR(INDEX($V$2:$V$1001,MATCH(ROWS($U$2:U707),$U$2:$U$1001,0),1)&gt;=100000,INDEX($AB$1005:$AQ$1005,1,MATCH(COLUMNS($AB$1006:AP1006),$AB$1006:$AQ$1006,0))&gt;=100000), " ",IF(INDEX($AB$2:$AQ$1001,MATCH(ROWS($U$2:U707),$U$2:$U$1001,0),MATCH(COLUMNS($AB$1006:AP1006),$AB$1006:$AQ$1006,0)), HYPERLINK("#",""), HYPERLINK(CONCATENATE("#Metadata!", ADDRESS(INDEX($W$2:$W$1001,MATCH(ROWS($U$2:U707),$U$2:$U$1001,0),0), INDEX($AB$1004:$AQ$1004,1,MATCH(COLUMNS($AB$1006:AP1006),$AB$1006:$AQ$1006,0)))),"Fix")))</f>
        <v>0</v>
      </c>
      <c r="Q707" s="5">
        <f>IF(OR(INDEX($V$2:$V$1001,MATCH(ROWS($U$2:U707),$U$2:$U$1001,0),1)&gt;=100000,INDEX($AB$1005:$AQ$1005,1,MATCH(COLUMNS($AB$1006:AQ1006),$AB$1006:$AQ$1006,0))&gt;=100000), " ",IF(INDEX($AB$2:$AQ$1001,MATCH(ROWS($U$2:U707),$U$2:$U$1001,0),MATCH(COLUMNS($AB$1006:AQ1006),$AB$1006:$AQ$1006,0)), HYPERLINK("#",""), HYPERLINK(CONCATENATE("#Metadata!", ADDRESS(INDEX($W$2:$W$1001,MATCH(ROWS($U$2:U707),$U$2:$U$1001,0),0), INDEX($AB$1004:$AQ$1004,1,MATCH(COLUMNS($AB$1006:AQ1006),$AB$1006:$AQ$1006,0)))),"Fix")))</f>
        <v>0</v>
      </c>
      <c r="U707">
        <v>0</v>
      </c>
      <c r="V707">
        <v>0</v>
      </c>
      <c r="W707">
        <v>0</v>
      </c>
      <c r="X707">
        <f>IF(Y707,TRUE,AND(AB707:AQ707))</f>
        <v>0</v>
      </c>
      <c r="Y707">
        <f>COUNTBLANK(Metadata!B707:Q707)=COLUMNS(Metadata!B707:Q707)</f>
        <v>0</v>
      </c>
      <c r="Z707">
        <v>0</v>
      </c>
      <c r="AB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AC707">
        <f>AND(IF(Metadata!C707="",FALSE,TRUE),exact(Metadata!C707,"urban biome"))</f>
        <v>0</v>
      </c>
      <c r="AD707">
        <f>AND(IF(Metadata!D707="",FALSE,TRUE),exact(Metadata!D707,"human-associated habitat"))</f>
        <v>0</v>
      </c>
      <c r="AE707">
        <f>AND(IF(Metadata!E707="",FALSE,TRUE),OR(exact(Metadata!E707,"human-associated"),exact(Metadata!E707,"human-skin"),exact(Metadata!E707,"human-oral"),exact(Metadata!E707,"human-gut"),exact(Metadata!E707,"human-vaginal")))</f>
        <v>0</v>
      </c>
      <c r="AF707">
        <f>AND(IF(Metadata!F707="",FALSE,ISNUMBER(VALUE(Metadata!F707))),Metadata!F707&gt;0)</f>
        <v>0</v>
      </c>
      <c r="AG707">
        <f>AND(IF(Metadata!G707="",FALSE,TRUE),exact(Metadata!G707,"years"))</f>
        <v>0</v>
      </c>
      <c r="AH707">
        <f>OR(AND(IF(Metadata!H707="",FALSE,TRUE),OR(exact(Metadata!H707,"not applicable"),exact(Metadata!H707,"not collected"),exact(Metadata!H707,"not provided"),exact(Metadata!H707,"restricted access"))),AND(IF(Metadata!H707="",FALSE,ISNUMBER(VALUE(Metadata!H707))),Metadata!H707&gt;0))</f>
        <v>0</v>
      </c>
      <c r="AI707">
        <f>AND(IF(Metadata!I707="",FALSE,TRUE),exact(Metadata!I707,"human"))</f>
        <v>0</v>
      </c>
      <c r="AJ707">
        <f>AND(IF(Metadata!J707="",FALSE,ISNUMBER(VALUE(Metadata!J707))),Metadata!J707&gt;0)</f>
        <v>0</v>
      </c>
      <c r="AK707">
        <f>AND(IF(Metadata!K707="",FALSE,TRUE),exact(Metadata!K707,"cm"))</f>
        <v>0</v>
      </c>
      <c r="AL707">
        <f>AND(IF(Metadata!L707="",FALSE,TRUE),exact(Metadata!L707,"Homo sapiens"))</f>
        <v>0</v>
      </c>
      <c r="AM707">
        <f>AND(IF(Metadata!M707="",FALSE,TRUE),exact(Metadata!M707,"9606"))</f>
        <v>0</v>
      </c>
      <c r="AN707">
        <f>AND(IF(Metadata!N707="",FALSE,ISNUMBER(VALUE(Metadata!N707))),Metadata!N707&gt;0)</f>
        <v>0</v>
      </c>
      <c r="AO707">
        <f>AND(IF(Metadata!O707="",FALSE,TRUE),exact(Metadata!O707,"kg"))</f>
        <v>0</v>
      </c>
      <c r="AP707">
        <f>OR(AND(IF(Metadata!P707="",FALSE,TRUE),exact(Metadata!P707,"not provided")),IF(Metadata!P707="",FALSE,TRUE))</f>
        <v>0</v>
      </c>
      <c r="AQ707">
        <f>OR(AND(IF(Metadata!Q707="",FALSE,TRUE),exact(Metadata!Q707,"not provided")),IF(Metadata!Q707="",FALSE,TRUE))</f>
        <v>0</v>
      </c>
    </row>
    <row r="708" spans="1:43">
      <c r="A708" s="4">
        <f>IF(B708=" "," ",HYPERLINK(CONCATENATE("#metadata!",ADDRESS(INDEX($W$2:$W$1001,MATCH(ROWS($U$2:U708),$U$2:$U$1001,0),0),2)),INDEX($Z$2:$Z$1001,MATCH(ROWS($U$2:U708),$U$2:$U$1001,0),0)))</f>
        <v>0</v>
      </c>
      <c r="B708" s="5">
        <f>IF(OR(INDEX($V$2:$V$1001,MATCH(ROWS($U$2:U708),$U$2:$U$1001,0),1)&gt;=100000,INDEX($AB$1005:$AQ$1005,1,MATCH(COLUMNS($AB$1006:AB1006),$AB$1006:$AQ$1006,0))&gt;=100000), " ",IF(INDEX($AB$2:$AQ$1001,MATCH(ROWS($U$2:U708),$U$2:$U$1001,0),MATCH(COLUMNS($AB$1006:AB1006),$AB$1006:$AQ$1006,0)), HYPERLINK("#",""), HYPERLINK(CONCATENATE("#Metadata!", ADDRESS(INDEX($W$2:$W$1001,MATCH(ROWS($U$2:U708),$U$2:$U$1001,0),0), INDEX($AB$1004:$AQ$1004,1,MATCH(COLUMNS($AB$1006:AB1006),$AB$1006:$AQ$1006,0)))),"Fix")))</f>
        <v>0</v>
      </c>
      <c r="C708" s="5">
        <f>IF(OR(INDEX($V$2:$V$1001,MATCH(ROWS($U$2:U708),$U$2:$U$1001,0),1)&gt;=100000,INDEX($AB$1005:$AQ$1005,1,MATCH(COLUMNS($AB$1006:AC1006),$AB$1006:$AQ$1006,0))&gt;=100000), " ",IF(INDEX($AB$2:$AQ$1001,MATCH(ROWS($U$2:U708),$U$2:$U$1001,0),MATCH(COLUMNS($AB$1006:AC1006),$AB$1006:$AQ$1006,0)), HYPERLINK("#",""), HYPERLINK(CONCATENATE("#Metadata!", ADDRESS(INDEX($W$2:$W$1001,MATCH(ROWS($U$2:U708),$U$2:$U$1001,0),0), INDEX($AB$1004:$AQ$1004,1,MATCH(COLUMNS($AB$1006:AC1006),$AB$1006:$AQ$1006,0)))),"Fix")))</f>
        <v>0</v>
      </c>
      <c r="D708" s="5">
        <f>IF(OR(INDEX($V$2:$V$1001,MATCH(ROWS($U$2:U708),$U$2:$U$1001,0),1)&gt;=100000,INDEX($AB$1005:$AQ$1005,1,MATCH(COLUMNS($AB$1006:AD1006),$AB$1006:$AQ$1006,0))&gt;=100000), " ",IF(INDEX($AB$2:$AQ$1001,MATCH(ROWS($U$2:U708),$U$2:$U$1001,0),MATCH(COLUMNS($AB$1006:AD1006),$AB$1006:$AQ$1006,0)), HYPERLINK("#",""), HYPERLINK(CONCATENATE("#Metadata!", ADDRESS(INDEX($W$2:$W$1001,MATCH(ROWS($U$2:U708),$U$2:$U$1001,0),0), INDEX($AB$1004:$AQ$1004,1,MATCH(COLUMNS($AB$1006:AD1006),$AB$1006:$AQ$1006,0)))),"Fix")))</f>
        <v>0</v>
      </c>
      <c r="E708" s="5">
        <f>IF(OR(INDEX($V$2:$V$1001,MATCH(ROWS($U$2:U708),$U$2:$U$1001,0),1)&gt;=100000,INDEX($AB$1005:$AQ$1005,1,MATCH(COLUMNS($AB$1006:AE1006),$AB$1006:$AQ$1006,0))&gt;=100000), " ",IF(INDEX($AB$2:$AQ$1001,MATCH(ROWS($U$2:U708),$U$2:$U$1001,0),MATCH(COLUMNS($AB$1006:AE1006),$AB$1006:$AQ$1006,0)), HYPERLINK("#",""), HYPERLINK(CONCATENATE("#Metadata!", ADDRESS(INDEX($W$2:$W$1001,MATCH(ROWS($U$2:U708),$U$2:$U$1001,0),0), INDEX($AB$1004:$AQ$1004,1,MATCH(COLUMNS($AB$1006:AE1006),$AB$1006:$AQ$1006,0)))),"Fix")))</f>
        <v>0</v>
      </c>
      <c r="F708" s="5">
        <f>IF(OR(INDEX($V$2:$V$1001,MATCH(ROWS($U$2:U708),$U$2:$U$1001,0),1)&gt;=100000,INDEX($AB$1005:$AQ$1005,1,MATCH(COLUMNS($AB$1006:AF1006),$AB$1006:$AQ$1006,0))&gt;=100000), " ",IF(INDEX($AB$2:$AQ$1001,MATCH(ROWS($U$2:U708),$U$2:$U$1001,0),MATCH(COLUMNS($AB$1006:AF1006),$AB$1006:$AQ$1006,0)), HYPERLINK("#",""), HYPERLINK(CONCATENATE("#Metadata!", ADDRESS(INDEX($W$2:$W$1001,MATCH(ROWS($U$2:U708),$U$2:$U$1001,0),0), INDEX($AB$1004:$AQ$1004,1,MATCH(COLUMNS($AB$1006:AF1006),$AB$1006:$AQ$1006,0)))),"Fix")))</f>
        <v>0</v>
      </c>
      <c r="G708" s="5">
        <f>IF(OR(INDEX($V$2:$V$1001,MATCH(ROWS($U$2:U708),$U$2:$U$1001,0),1)&gt;=100000,INDEX($AB$1005:$AQ$1005,1,MATCH(COLUMNS($AB$1006:AG1006),$AB$1006:$AQ$1006,0))&gt;=100000), " ",IF(INDEX($AB$2:$AQ$1001,MATCH(ROWS($U$2:U708),$U$2:$U$1001,0),MATCH(COLUMNS($AB$1006:AG1006),$AB$1006:$AQ$1006,0)), HYPERLINK("#",""), HYPERLINK(CONCATENATE("#Metadata!", ADDRESS(INDEX($W$2:$W$1001,MATCH(ROWS($U$2:U708),$U$2:$U$1001,0),0), INDEX($AB$1004:$AQ$1004,1,MATCH(COLUMNS($AB$1006:AG1006),$AB$1006:$AQ$1006,0)))),"Fix")))</f>
        <v>0</v>
      </c>
      <c r="H708" s="5">
        <f>IF(OR(INDEX($V$2:$V$1001,MATCH(ROWS($U$2:U708),$U$2:$U$1001,0),1)&gt;=100000,INDEX($AB$1005:$AQ$1005,1,MATCH(COLUMNS($AB$1006:AH1006),$AB$1006:$AQ$1006,0))&gt;=100000), " ",IF(INDEX($AB$2:$AQ$1001,MATCH(ROWS($U$2:U708),$U$2:$U$1001,0),MATCH(COLUMNS($AB$1006:AH1006),$AB$1006:$AQ$1006,0)), HYPERLINK("#",""), HYPERLINK(CONCATENATE("#Metadata!", ADDRESS(INDEX($W$2:$W$1001,MATCH(ROWS($U$2:U708),$U$2:$U$1001,0),0), INDEX($AB$1004:$AQ$1004,1,MATCH(COLUMNS($AB$1006:AH1006),$AB$1006:$AQ$1006,0)))),"Fix")))</f>
        <v>0</v>
      </c>
      <c r="I708" s="5">
        <f>IF(OR(INDEX($V$2:$V$1001,MATCH(ROWS($U$2:U708),$U$2:$U$1001,0),1)&gt;=100000,INDEX($AB$1005:$AQ$1005,1,MATCH(COLUMNS($AB$1006:AI1006),$AB$1006:$AQ$1006,0))&gt;=100000), " ",IF(INDEX($AB$2:$AQ$1001,MATCH(ROWS($U$2:U708),$U$2:$U$1001,0),MATCH(COLUMNS($AB$1006:AI1006),$AB$1006:$AQ$1006,0)), HYPERLINK("#",""), HYPERLINK(CONCATENATE("#Metadata!", ADDRESS(INDEX($W$2:$W$1001,MATCH(ROWS($U$2:U708),$U$2:$U$1001,0),0), INDEX($AB$1004:$AQ$1004,1,MATCH(COLUMNS($AB$1006:AI1006),$AB$1006:$AQ$1006,0)))),"Fix")))</f>
        <v>0</v>
      </c>
      <c r="J708" s="5">
        <f>IF(OR(INDEX($V$2:$V$1001,MATCH(ROWS($U$2:U708),$U$2:$U$1001,0),1)&gt;=100000,INDEX($AB$1005:$AQ$1005,1,MATCH(COLUMNS($AB$1006:AJ1006),$AB$1006:$AQ$1006,0))&gt;=100000), " ",IF(INDEX($AB$2:$AQ$1001,MATCH(ROWS($U$2:U708),$U$2:$U$1001,0),MATCH(COLUMNS($AB$1006:AJ1006),$AB$1006:$AQ$1006,0)), HYPERLINK("#",""), HYPERLINK(CONCATENATE("#Metadata!", ADDRESS(INDEX($W$2:$W$1001,MATCH(ROWS($U$2:U708),$U$2:$U$1001,0),0), INDEX($AB$1004:$AQ$1004,1,MATCH(COLUMNS($AB$1006:AJ1006),$AB$1006:$AQ$1006,0)))),"Fix")))</f>
        <v>0</v>
      </c>
      <c r="K708" s="5">
        <f>IF(OR(INDEX($V$2:$V$1001,MATCH(ROWS($U$2:U708),$U$2:$U$1001,0),1)&gt;=100000,INDEX($AB$1005:$AQ$1005,1,MATCH(COLUMNS($AB$1006:AK1006),$AB$1006:$AQ$1006,0))&gt;=100000), " ",IF(INDEX($AB$2:$AQ$1001,MATCH(ROWS($U$2:U708),$U$2:$U$1001,0),MATCH(COLUMNS($AB$1006:AK1006),$AB$1006:$AQ$1006,0)), HYPERLINK("#",""), HYPERLINK(CONCATENATE("#Metadata!", ADDRESS(INDEX($W$2:$W$1001,MATCH(ROWS($U$2:U708),$U$2:$U$1001,0),0), INDEX($AB$1004:$AQ$1004,1,MATCH(COLUMNS($AB$1006:AK1006),$AB$1006:$AQ$1006,0)))),"Fix")))</f>
        <v>0</v>
      </c>
      <c r="L708" s="5">
        <f>IF(OR(INDEX($V$2:$V$1001,MATCH(ROWS($U$2:U708),$U$2:$U$1001,0),1)&gt;=100000,INDEX($AB$1005:$AQ$1005,1,MATCH(COLUMNS($AB$1006:AL1006),$AB$1006:$AQ$1006,0))&gt;=100000), " ",IF(INDEX($AB$2:$AQ$1001,MATCH(ROWS($U$2:U708),$U$2:$U$1001,0),MATCH(COLUMNS($AB$1006:AL1006),$AB$1006:$AQ$1006,0)), HYPERLINK("#",""), HYPERLINK(CONCATENATE("#Metadata!", ADDRESS(INDEX($W$2:$W$1001,MATCH(ROWS($U$2:U708),$U$2:$U$1001,0),0), INDEX($AB$1004:$AQ$1004,1,MATCH(COLUMNS($AB$1006:AL1006),$AB$1006:$AQ$1006,0)))),"Fix")))</f>
        <v>0</v>
      </c>
      <c r="M708" s="5">
        <f>IF(OR(INDEX($V$2:$V$1001,MATCH(ROWS($U$2:U708),$U$2:$U$1001,0),1)&gt;=100000,INDEX($AB$1005:$AQ$1005,1,MATCH(COLUMNS($AB$1006:AM1006),$AB$1006:$AQ$1006,0))&gt;=100000), " ",IF(INDEX($AB$2:$AQ$1001,MATCH(ROWS($U$2:U708),$U$2:$U$1001,0),MATCH(COLUMNS($AB$1006:AM1006),$AB$1006:$AQ$1006,0)), HYPERLINK("#",""), HYPERLINK(CONCATENATE("#Metadata!", ADDRESS(INDEX($W$2:$W$1001,MATCH(ROWS($U$2:U708),$U$2:$U$1001,0),0), INDEX($AB$1004:$AQ$1004,1,MATCH(COLUMNS($AB$1006:AM1006),$AB$1006:$AQ$1006,0)))),"Fix")))</f>
        <v>0</v>
      </c>
      <c r="N708" s="5">
        <f>IF(OR(INDEX($V$2:$V$1001,MATCH(ROWS($U$2:U708),$U$2:$U$1001,0),1)&gt;=100000,INDEX($AB$1005:$AQ$1005,1,MATCH(COLUMNS($AB$1006:AN1006),$AB$1006:$AQ$1006,0))&gt;=100000), " ",IF(INDEX($AB$2:$AQ$1001,MATCH(ROWS($U$2:U708),$U$2:$U$1001,0),MATCH(COLUMNS($AB$1006:AN1006),$AB$1006:$AQ$1006,0)), HYPERLINK("#",""), HYPERLINK(CONCATENATE("#Metadata!", ADDRESS(INDEX($W$2:$W$1001,MATCH(ROWS($U$2:U708),$U$2:$U$1001,0),0), INDEX($AB$1004:$AQ$1004,1,MATCH(COLUMNS($AB$1006:AN1006),$AB$1006:$AQ$1006,0)))),"Fix")))</f>
        <v>0</v>
      </c>
      <c r="O708" s="5">
        <f>IF(OR(INDEX($V$2:$V$1001,MATCH(ROWS($U$2:U708),$U$2:$U$1001,0),1)&gt;=100000,INDEX($AB$1005:$AQ$1005,1,MATCH(COLUMNS($AB$1006:AO1006),$AB$1006:$AQ$1006,0))&gt;=100000), " ",IF(INDEX($AB$2:$AQ$1001,MATCH(ROWS($U$2:U708),$U$2:$U$1001,0),MATCH(COLUMNS($AB$1006:AO1006),$AB$1006:$AQ$1006,0)), HYPERLINK("#",""), HYPERLINK(CONCATENATE("#Metadata!", ADDRESS(INDEX($W$2:$W$1001,MATCH(ROWS($U$2:U708),$U$2:$U$1001,0),0), INDEX($AB$1004:$AQ$1004,1,MATCH(COLUMNS($AB$1006:AO1006),$AB$1006:$AQ$1006,0)))),"Fix")))</f>
        <v>0</v>
      </c>
      <c r="P708" s="5">
        <f>IF(OR(INDEX($V$2:$V$1001,MATCH(ROWS($U$2:U708),$U$2:$U$1001,0),1)&gt;=100000,INDEX($AB$1005:$AQ$1005,1,MATCH(COLUMNS($AB$1006:AP1006),$AB$1006:$AQ$1006,0))&gt;=100000), " ",IF(INDEX($AB$2:$AQ$1001,MATCH(ROWS($U$2:U708),$U$2:$U$1001,0),MATCH(COLUMNS($AB$1006:AP1006),$AB$1006:$AQ$1006,0)), HYPERLINK("#",""), HYPERLINK(CONCATENATE("#Metadata!", ADDRESS(INDEX($W$2:$W$1001,MATCH(ROWS($U$2:U708),$U$2:$U$1001,0),0), INDEX($AB$1004:$AQ$1004,1,MATCH(COLUMNS($AB$1006:AP1006),$AB$1006:$AQ$1006,0)))),"Fix")))</f>
        <v>0</v>
      </c>
      <c r="Q708" s="5">
        <f>IF(OR(INDEX($V$2:$V$1001,MATCH(ROWS($U$2:U708),$U$2:$U$1001,0),1)&gt;=100000,INDEX($AB$1005:$AQ$1005,1,MATCH(COLUMNS($AB$1006:AQ1006),$AB$1006:$AQ$1006,0))&gt;=100000), " ",IF(INDEX($AB$2:$AQ$1001,MATCH(ROWS($U$2:U708),$U$2:$U$1001,0),MATCH(COLUMNS($AB$1006:AQ1006),$AB$1006:$AQ$1006,0)), HYPERLINK("#",""), HYPERLINK(CONCATENATE("#Metadata!", ADDRESS(INDEX($W$2:$W$1001,MATCH(ROWS($U$2:U708),$U$2:$U$1001,0),0), INDEX($AB$1004:$AQ$1004,1,MATCH(COLUMNS($AB$1006:AQ1006),$AB$1006:$AQ$1006,0)))),"Fix")))</f>
        <v>0</v>
      </c>
      <c r="U708">
        <v>0</v>
      </c>
      <c r="V708">
        <v>0</v>
      </c>
      <c r="W708">
        <v>0</v>
      </c>
      <c r="X708">
        <f>IF(Y708,TRUE,AND(AB708:AQ708))</f>
        <v>0</v>
      </c>
      <c r="Y708">
        <f>COUNTBLANK(Metadata!B708:Q708)=COLUMNS(Metadata!B708:Q708)</f>
        <v>0</v>
      </c>
      <c r="Z708">
        <v>0</v>
      </c>
      <c r="AB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AC708">
        <f>AND(IF(Metadata!C708="",FALSE,TRUE),exact(Metadata!C708,"urban biome"))</f>
        <v>0</v>
      </c>
      <c r="AD708">
        <f>AND(IF(Metadata!D708="",FALSE,TRUE),exact(Metadata!D708,"human-associated habitat"))</f>
        <v>0</v>
      </c>
      <c r="AE708">
        <f>AND(IF(Metadata!E708="",FALSE,TRUE),OR(exact(Metadata!E708,"human-associated"),exact(Metadata!E708,"human-skin"),exact(Metadata!E708,"human-oral"),exact(Metadata!E708,"human-gut"),exact(Metadata!E708,"human-vaginal")))</f>
        <v>0</v>
      </c>
      <c r="AF708">
        <f>AND(IF(Metadata!F708="",FALSE,ISNUMBER(VALUE(Metadata!F708))),Metadata!F708&gt;0)</f>
        <v>0</v>
      </c>
      <c r="AG708">
        <f>AND(IF(Metadata!G708="",FALSE,TRUE),exact(Metadata!G708,"years"))</f>
        <v>0</v>
      </c>
      <c r="AH708">
        <f>OR(AND(IF(Metadata!H708="",FALSE,TRUE),OR(exact(Metadata!H708,"not applicable"),exact(Metadata!H708,"not collected"),exact(Metadata!H708,"not provided"),exact(Metadata!H708,"restricted access"))),AND(IF(Metadata!H708="",FALSE,ISNUMBER(VALUE(Metadata!H708))),Metadata!H708&gt;0))</f>
        <v>0</v>
      </c>
      <c r="AI708">
        <f>AND(IF(Metadata!I708="",FALSE,TRUE),exact(Metadata!I708,"human"))</f>
        <v>0</v>
      </c>
      <c r="AJ708">
        <f>AND(IF(Metadata!J708="",FALSE,ISNUMBER(VALUE(Metadata!J708))),Metadata!J708&gt;0)</f>
        <v>0</v>
      </c>
      <c r="AK708">
        <f>AND(IF(Metadata!K708="",FALSE,TRUE),exact(Metadata!K708,"cm"))</f>
        <v>0</v>
      </c>
      <c r="AL708">
        <f>AND(IF(Metadata!L708="",FALSE,TRUE),exact(Metadata!L708,"Homo sapiens"))</f>
        <v>0</v>
      </c>
      <c r="AM708">
        <f>AND(IF(Metadata!M708="",FALSE,TRUE),exact(Metadata!M708,"9606"))</f>
        <v>0</v>
      </c>
      <c r="AN708">
        <f>AND(IF(Metadata!N708="",FALSE,ISNUMBER(VALUE(Metadata!N708))),Metadata!N708&gt;0)</f>
        <v>0</v>
      </c>
      <c r="AO708">
        <f>AND(IF(Metadata!O708="",FALSE,TRUE),exact(Metadata!O708,"kg"))</f>
        <v>0</v>
      </c>
      <c r="AP708">
        <f>OR(AND(IF(Metadata!P708="",FALSE,TRUE),exact(Metadata!P708,"not provided")),IF(Metadata!P708="",FALSE,TRUE))</f>
        <v>0</v>
      </c>
      <c r="AQ708">
        <f>OR(AND(IF(Metadata!Q708="",FALSE,TRUE),exact(Metadata!Q708,"not provided")),IF(Metadata!Q708="",FALSE,TRUE))</f>
        <v>0</v>
      </c>
    </row>
    <row r="709" spans="1:43">
      <c r="A709" s="4">
        <f>IF(B709=" "," ",HYPERLINK(CONCATENATE("#metadata!",ADDRESS(INDEX($W$2:$W$1001,MATCH(ROWS($U$2:U709),$U$2:$U$1001,0),0),2)),INDEX($Z$2:$Z$1001,MATCH(ROWS($U$2:U709),$U$2:$U$1001,0),0)))</f>
        <v>0</v>
      </c>
      <c r="B709" s="5">
        <f>IF(OR(INDEX($V$2:$V$1001,MATCH(ROWS($U$2:U709),$U$2:$U$1001,0),1)&gt;=100000,INDEX($AB$1005:$AQ$1005,1,MATCH(COLUMNS($AB$1006:AB1006),$AB$1006:$AQ$1006,0))&gt;=100000), " ",IF(INDEX($AB$2:$AQ$1001,MATCH(ROWS($U$2:U709),$U$2:$U$1001,0),MATCH(COLUMNS($AB$1006:AB1006),$AB$1006:$AQ$1006,0)), HYPERLINK("#",""), HYPERLINK(CONCATENATE("#Metadata!", ADDRESS(INDEX($W$2:$W$1001,MATCH(ROWS($U$2:U709),$U$2:$U$1001,0),0), INDEX($AB$1004:$AQ$1004,1,MATCH(COLUMNS($AB$1006:AB1006),$AB$1006:$AQ$1006,0)))),"Fix")))</f>
        <v>0</v>
      </c>
      <c r="C709" s="5">
        <f>IF(OR(INDEX($V$2:$V$1001,MATCH(ROWS($U$2:U709),$U$2:$U$1001,0),1)&gt;=100000,INDEX($AB$1005:$AQ$1005,1,MATCH(COLUMNS($AB$1006:AC1006),$AB$1006:$AQ$1006,0))&gt;=100000), " ",IF(INDEX($AB$2:$AQ$1001,MATCH(ROWS($U$2:U709),$U$2:$U$1001,0),MATCH(COLUMNS($AB$1006:AC1006),$AB$1006:$AQ$1006,0)), HYPERLINK("#",""), HYPERLINK(CONCATENATE("#Metadata!", ADDRESS(INDEX($W$2:$W$1001,MATCH(ROWS($U$2:U709),$U$2:$U$1001,0),0), INDEX($AB$1004:$AQ$1004,1,MATCH(COLUMNS($AB$1006:AC1006),$AB$1006:$AQ$1006,0)))),"Fix")))</f>
        <v>0</v>
      </c>
      <c r="D709" s="5">
        <f>IF(OR(INDEX($V$2:$V$1001,MATCH(ROWS($U$2:U709),$U$2:$U$1001,0),1)&gt;=100000,INDEX($AB$1005:$AQ$1005,1,MATCH(COLUMNS($AB$1006:AD1006),$AB$1006:$AQ$1006,0))&gt;=100000), " ",IF(INDEX($AB$2:$AQ$1001,MATCH(ROWS($U$2:U709),$U$2:$U$1001,0),MATCH(COLUMNS($AB$1006:AD1006),$AB$1006:$AQ$1006,0)), HYPERLINK("#",""), HYPERLINK(CONCATENATE("#Metadata!", ADDRESS(INDEX($W$2:$W$1001,MATCH(ROWS($U$2:U709),$U$2:$U$1001,0),0), INDEX($AB$1004:$AQ$1004,1,MATCH(COLUMNS($AB$1006:AD1006),$AB$1006:$AQ$1006,0)))),"Fix")))</f>
        <v>0</v>
      </c>
      <c r="E709" s="5">
        <f>IF(OR(INDEX($V$2:$V$1001,MATCH(ROWS($U$2:U709),$U$2:$U$1001,0),1)&gt;=100000,INDEX($AB$1005:$AQ$1005,1,MATCH(COLUMNS($AB$1006:AE1006),$AB$1006:$AQ$1006,0))&gt;=100000), " ",IF(INDEX($AB$2:$AQ$1001,MATCH(ROWS($U$2:U709),$U$2:$U$1001,0),MATCH(COLUMNS($AB$1006:AE1006),$AB$1006:$AQ$1006,0)), HYPERLINK("#",""), HYPERLINK(CONCATENATE("#Metadata!", ADDRESS(INDEX($W$2:$W$1001,MATCH(ROWS($U$2:U709),$U$2:$U$1001,0),0), INDEX($AB$1004:$AQ$1004,1,MATCH(COLUMNS($AB$1006:AE1006),$AB$1006:$AQ$1006,0)))),"Fix")))</f>
        <v>0</v>
      </c>
      <c r="F709" s="5">
        <f>IF(OR(INDEX($V$2:$V$1001,MATCH(ROWS($U$2:U709),$U$2:$U$1001,0),1)&gt;=100000,INDEX($AB$1005:$AQ$1005,1,MATCH(COLUMNS($AB$1006:AF1006),$AB$1006:$AQ$1006,0))&gt;=100000), " ",IF(INDEX($AB$2:$AQ$1001,MATCH(ROWS($U$2:U709),$U$2:$U$1001,0),MATCH(COLUMNS($AB$1006:AF1006),$AB$1006:$AQ$1006,0)), HYPERLINK("#",""), HYPERLINK(CONCATENATE("#Metadata!", ADDRESS(INDEX($W$2:$W$1001,MATCH(ROWS($U$2:U709),$U$2:$U$1001,0),0), INDEX($AB$1004:$AQ$1004,1,MATCH(COLUMNS($AB$1006:AF1006),$AB$1006:$AQ$1006,0)))),"Fix")))</f>
        <v>0</v>
      </c>
      <c r="G709" s="5">
        <f>IF(OR(INDEX($V$2:$V$1001,MATCH(ROWS($U$2:U709),$U$2:$U$1001,0),1)&gt;=100000,INDEX($AB$1005:$AQ$1005,1,MATCH(COLUMNS($AB$1006:AG1006),$AB$1006:$AQ$1006,0))&gt;=100000), " ",IF(INDEX($AB$2:$AQ$1001,MATCH(ROWS($U$2:U709),$U$2:$U$1001,0),MATCH(COLUMNS($AB$1006:AG1006),$AB$1006:$AQ$1006,0)), HYPERLINK("#",""), HYPERLINK(CONCATENATE("#Metadata!", ADDRESS(INDEX($W$2:$W$1001,MATCH(ROWS($U$2:U709),$U$2:$U$1001,0),0), INDEX($AB$1004:$AQ$1004,1,MATCH(COLUMNS($AB$1006:AG1006),$AB$1006:$AQ$1006,0)))),"Fix")))</f>
        <v>0</v>
      </c>
      <c r="H709" s="5">
        <f>IF(OR(INDEX($V$2:$V$1001,MATCH(ROWS($U$2:U709),$U$2:$U$1001,0),1)&gt;=100000,INDEX($AB$1005:$AQ$1005,1,MATCH(COLUMNS($AB$1006:AH1006),$AB$1006:$AQ$1006,0))&gt;=100000), " ",IF(INDEX($AB$2:$AQ$1001,MATCH(ROWS($U$2:U709),$U$2:$U$1001,0),MATCH(COLUMNS($AB$1006:AH1006),$AB$1006:$AQ$1006,0)), HYPERLINK("#",""), HYPERLINK(CONCATENATE("#Metadata!", ADDRESS(INDEX($W$2:$W$1001,MATCH(ROWS($U$2:U709),$U$2:$U$1001,0),0), INDEX($AB$1004:$AQ$1004,1,MATCH(COLUMNS($AB$1006:AH1006),$AB$1006:$AQ$1006,0)))),"Fix")))</f>
        <v>0</v>
      </c>
      <c r="I709" s="5">
        <f>IF(OR(INDEX($V$2:$V$1001,MATCH(ROWS($U$2:U709),$U$2:$U$1001,0),1)&gt;=100000,INDEX($AB$1005:$AQ$1005,1,MATCH(COLUMNS($AB$1006:AI1006),$AB$1006:$AQ$1006,0))&gt;=100000), " ",IF(INDEX($AB$2:$AQ$1001,MATCH(ROWS($U$2:U709),$U$2:$U$1001,0),MATCH(COLUMNS($AB$1006:AI1006),$AB$1006:$AQ$1006,0)), HYPERLINK("#",""), HYPERLINK(CONCATENATE("#Metadata!", ADDRESS(INDEX($W$2:$W$1001,MATCH(ROWS($U$2:U709),$U$2:$U$1001,0),0), INDEX($AB$1004:$AQ$1004,1,MATCH(COLUMNS($AB$1006:AI1006),$AB$1006:$AQ$1006,0)))),"Fix")))</f>
        <v>0</v>
      </c>
      <c r="J709" s="5">
        <f>IF(OR(INDEX($V$2:$V$1001,MATCH(ROWS($U$2:U709),$U$2:$U$1001,0),1)&gt;=100000,INDEX($AB$1005:$AQ$1005,1,MATCH(COLUMNS($AB$1006:AJ1006),$AB$1006:$AQ$1006,0))&gt;=100000), " ",IF(INDEX($AB$2:$AQ$1001,MATCH(ROWS($U$2:U709),$U$2:$U$1001,0),MATCH(COLUMNS($AB$1006:AJ1006),$AB$1006:$AQ$1006,0)), HYPERLINK("#",""), HYPERLINK(CONCATENATE("#Metadata!", ADDRESS(INDEX($W$2:$W$1001,MATCH(ROWS($U$2:U709),$U$2:$U$1001,0),0), INDEX($AB$1004:$AQ$1004,1,MATCH(COLUMNS($AB$1006:AJ1006),$AB$1006:$AQ$1006,0)))),"Fix")))</f>
        <v>0</v>
      </c>
      <c r="K709" s="5">
        <f>IF(OR(INDEX($V$2:$V$1001,MATCH(ROWS($U$2:U709),$U$2:$U$1001,0),1)&gt;=100000,INDEX($AB$1005:$AQ$1005,1,MATCH(COLUMNS($AB$1006:AK1006),$AB$1006:$AQ$1006,0))&gt;=100000), " ",IF(INDEX($AB$2:$AQ$1001,MATCH(ROWS($U$2:U709),$U$2:$U$1001,0),MATCH(COLUMNS($AB$1006:AK1006),$AB$1006:$AQ$1006,0)), HYPERLINK("#",""), HYPERLINK(CONCATENATE("#Metadata!", ADDRESS(INDEX($W$2:$W$1001,MATCH(ROWS($U$2:U709),$U$2:$U$1001,0),0), INDEX($AB$1004:$AQ$1004,1,MATCH(COLUMNS($AB$1006:AK1006),$AB$1006:$AQ$1006,0)))),"Fix")))</f>
        <v>0</v>
      </c>
      <c r="L709" s="5">
        <f>IF(OR(INDEX($V$2:$V$1001,MATCH(ROWS($U$2:U709),$U$2:$U$1001,0),1)&gt;=100000,INDEX($AB$1005:$AQ$1005,1,MATCH(COLUMNS($AB$1006:AL1006),$AB$1006:$AQ$1006,0))&gt;=100000), " ",IF(INDEX($AB$2:$AQ$1001,MATCH(ROWS($U$2:U709),$U$2:$U$1001,0),MATCH(COLUMNS($AB$1006:AL1006),$AB$1006:$AQ$1006,0)), HYPERLINK("#",""), HYPERLINK(CONCATENATE("#Metadata!", ADDRESS(INDEX($W$2:$W$1001,MATCH(ROWS($U$2:U709),$U$2:$U$1001,0),0), INDEX($AB$1004:$AQ$1004,1,MATCH(COLUMNS($AB$1006:AL1006),$AB$1006:$AQ$1006,0)))),"Fix")))</f>
        <v>0</v>
      </c>
      <c r="M709" s="5">
        <f>IF(OR(INDEX($V$2:$V$1001,MATCH(ROWS($U$2:U709),$U$2:$U$1001,0),1)&gt;=100000,INDEX($AB$1005:$AQ$1005,1,MATCH(COLUMNS($AB$1006:AM1006),$AB$1006:$AQ$1006,0))&gt;=100000), " ",IF(INDEX($AB$2:$AQ$1001,MATCH(ROWS($U$2:U709),$U$2:$U$1001,0),MATCH(COLUMNS($AB$1006:AM1006),$AB$1006:$AQ$1006,0)), HYPERLINK("#",""), HYPERLINK(CONCATENATE("#Metadata!", ADDRESS(INDEX($W$2:$W$1001,MATCH(ROWS($U$2:U709),$U$2:$U$1001,0),0), INDEX($AB$1004:$AQ$1004,1,MATCH(COLUMNS($AB$1006:AM1006),$AB$1006:$AQ$1006,0)))),"Fix")))</f>
        <v>0</v>
      </c>
      <c r="N709" s="5">
        <f>IF(OR(INDEX($V$2:$V$1001,MATCH(ROWS($U$2:U709),$U$2:$U$1001,0),1)&gt;=100000,INDEX($AB$1005:$AQ$1005,1,MATCH(COLUMNS($AB$1006:AN1006),$AB$1006:$AQ$1006,0))&gt;=100000), " ",IF(INDEX($AB$2:$AQ$1001,MATCH(ROWS($U$2:U709),$U$2:$U$1001,0),MATCH(COLUMNS($AB$1006:AN1006),$AB$1006:$AQ$1006,0)), HYPERLINK("#",""), HYPERLINK(CONCATENATE("#Metadata!", ADDRESS(INDEX($W$2:$W$1001,MATCH(ROWS($U$2:U709),$U$2:$U$1001,0),0), INDEX($AB$1004:$AQ$1004,1,MATCH(COLUMNS($AB$1006:AN1006),$AB$1006:$AQ$1006,0)))),"Fix")))</f>
        <v>0</v>
      </c>
      <c r="O709" s="5">
        <f>IF(OR(INDEX($V$2:$V$1001,MATCH(ROWS($U$2:U709),$U$2:$U$1001,0),1)&gt;=100000,INDEX($AB$1005:$AQ$1005,1,MATCH(COLUMNS($AB$1006:AO1006),$AB$1006:$AQ$1006,0))&gt;=100000), " ",IF(INDEX($AB$2:$AQ$1001,MATCH(ROWS($U$2:U709),$U$2:$U$1001,0),MATCH(COLUMNS($AB$1006:AO1006),$AB$1006:$AQ$1006,0)), HYPERLINK("#",""), HYPERLINK(CONCATENATE("#Metadata!", ADDRESS(INDEX($W$2:$W$1001,MATCH(ROWS($U$2:U709),$U$2:$U$1001,0),0), INDEX($AB$1004:$AQ$1004,1,MATCH(COLUMNS($AB$1006:AO1006),$AB$1006:$AQ$1006,0)))),"Fix")))</f>
        <v>0</v>
      </c>
      <c r="P709" s="5">
        <f>IF(OR(INDEX($V$2:$V$1001,MATCH(ROWS($U$2:U709),$U$2:$U$1001,0),1)&gt;=100000,INDEX($AB$1005:$AQ$1005,1,MATCH(COLUMNS($AB$1006:AP1006),$AB$1006:$AQ$1006,0))&gt;=100000), " ",IF(INDEX($AB$2:$AQ$1001,MATCH(ROWS($U$2:U709),$U$2:$U$1001,0),MATCH(COLUMNS($AB$1006:AP1006),$AB$1006:$AQ$1006,0)), HYPERLINK("#",""), HYPERLINK(CONCATENATE("#Metadata!", ADDRESS(INDEX($W$2:$W$1001,MATCH(ROWS($U$2:U709),$U$2:$U$1001,0),0), INDEX($AB$1004:$AQ$1004,1,MATCH(COLUMNS($AB$1006:AP1006),$AB$1006:$AQ$1006,0)))),"Fix")))</f>
        <v>0</v>
      </c>
      <c r="Q709" s="5">
        <f>IF(OR(INDEX($V$2:$V$1001,MATCH(ROWS($U$2:U709),$U$2:$U$1001,0),1)&gt;=100000,INDEX($AB$1005:$AQ$1005,1,MATCH(COLUMNS($AB$1006:AQ1006),$AB$1006:$AQ$1006,0))&gt;=100000), " ",IF(INDEX($AB$2:$AQ$1001,MATCH(ROWS($U$2:U709),$U$2:$U$1001,0),MATCH(COLUMNS($AB$1006:AQ1006),$AB$1006:$AQ$1006,0)), HYPERLINK("#",""), HYPERLINK(CONCATENATE("#Metadata!", ADDRESS(INDEX($W$2:$W$1001,MATCH(ROWS($U$2:U709),$U$2:$U$1001,0),0), INDEX($AB$1004:$AQ$1004,1,MATCH(COLUMNS($AB$1006:AQ1006),$AB$1006:$AQ$1006,0)))),"Fix")))</f>
        <v>0</v>
      </c>
      <c r="U709">
        <v>0</v>
      </c>
      <c r="V709">
        <v>0</v>
      </c>
      <c r="W709">
        <v>0</v>
      </c>
      <c r="X709">
        <f>IF(Y709,TRUE,AND(AB709:AQ709))</f>
        <v>0</v>
      </c>
      <c r="Y709">
        <f>COUNTBLANK(Metadata!B709:Q709)=COLUMNS(Metadata!B709:Q709)</f>
        <v>0</v>
      </c>
      <c r="Z709">
        <v>0</v>
      </c>
      <c r="AB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AC709">
        <f>AND(IF(Metadata!C709="",FALSE,TRUE),exact(Metadata!C709,"urban biome"))</f>
        <v>0</v>
      </c>
      <c r="AD709">
        <f>AND(IF(Metadata!D709="",FALSE,TRUE),exact(Metadata!D709,"human-associated habitat"))</f>
        <v>0</v>
      </c>
      <c r="AE709">
        <f>AND(IF(Metadata!E709="",FALSE,TRUE),OR(exact(Metadata!E709,"human-associated"),exact(Metadata!E709,"human-skin"),exact(Metadata!E709,"human-oral"),exact(Metadata!E709,"human-gut"),exact(Metadata!E709,"human-vaginal")))</f>
        <v>0</v>
      </c>
      <c r="AF709">
        <f>AND(IF(Metadata!F709="",FALSE,ISNUMBER(VALUE(Metadata!F709))),Metadata!F709&gt;0)</f>
        <v>0</v>
      </c>
      <c r="AG709">
        <f>AND(IF(Metadata!G709="",FALSE,TRUE),exact(Metadata!G709,"years"))</f>
        <v>0</v>
      </c>
      <c r="AH709">
        <f>OR(AND(IF(Metadata!H709="",FALSE,TRUE),OR(exact(Metadata!H709,"not applicable"),exact(Metadata!H709,"not collected"),exact(Metadata!H709,"not provided"),exact(Metadata!H709,"restricted access"))),AND(IF(Metadata!H709="",FALSE,ISNUMBER(VALUE(Metadata!H709))),Metadata!H709&gt;0))</f>
        <v>0</v>
      </c>
      <c r="AI709">
        <f>AND(IF(Metadata!I709="",FALSE,TRUE),exact(Metadata!I709,"human"))</f>
        <v>0</v>
      </c>
      <c r="AJ709">
        <f>AND(IF(Metadata!J709="",FALSE,ISNUMBER(VALUE(Metadata!J709))),Metadata!J709&gt;0)</f>
        <v>0</v>
      </c>
      <c r="AK709">
        <f>AND(IF(Metadata!K709="",FALSE,TRUE),exact(Metadata!K709,"cm"))</f>
        <v>0</v>
      </c>
      <c r="AL709">
        <f>AND(IF(Metadata!L709="",FALSE,TRUE),exact(Metadata!L709,"Homo sapiens"))</f>
        <v>0</v>
      </c>
      <c r="AM709">
        <f>AND(IF(Metadata!M709="",FALSE,TRUE),exact(Metadata!M709,"9606"))</f>
        <v>0</v>
      </c>
      <c r="AN709">
        <f>AND(IF(Metadata!N709="",FALSE,ISNUMBER(VALUE(Metadata!N709))),Metadata!N709&gt;0)</f>
        <v>0</v>
      </c>
      <c r="AO709">
        <f>AND(IF(Metadata!O709="",FALSE,TRUE),exact(Metadata!O709,"kg"))</f>
        <v>0</v>
      </c>
      <c r="AP709">
        <f>OR(AND(IF(Metadata!P709="",FALSE,TRUE),exact(Metadata!P709,"not provided")),IF(Metadata!P709="",FALSE,TRUE))</f>
        <v>0</v>
      </c>
      <c r="AQ709">
        <f>OR(AND(IF(Metadata!Q709="",FALSE,TRUE),exact(Metadata!Q709,"not provided")),IF(Metadata!Q709="",FALSE,TRUE))</f>
        <v>0</v>
      </c>
    </row>
    <row r="710" spans="1:43">
      <c r="A710" s="4">
        <f>IF(B710=" "," ",HYPERLINK(CONCATENATE("#metadata!",ADDRESS(INDEX($W$2:$W$1001,MATCH(ROWS($U$2:U710),$U$2:$U$1001,0),0),2)),INDEX($Z$2:$Z$1001,MATCH(ROWS($U$2:U710),$U$2:$U$1001,0),0)))</f>
        <v>0</v>
      </c>
      <c r="B710" s="5">
        <f>IF(OR(INDEX($V$2:$V$1001,MATCH(ROWS($U$2:U710),$U$2:$U$1001,0),1)&gt;=100000,INDEX($AB$1005:$AQ$1005,1,MATCH(COLUMNS($AB$1006:AB1006),$AB$1006:$AQ$1006,0))&gt;=100000), " ",IF(INDEX($AB$2:$AQ$1001,MATCH(ROWS($U$2:U710),$U$2:$U$1001,0),MATCH(COLUMNS($AB$1006:AB1006),$AB$1006:$AQ$1006,0)), HYPERLINK("#",""), HYPERLINK(CONCATENATE("#Metadata!", ADDRESS(INDEX($W$2:$W$1001,MATCH(ROWS($U$2:U710),$U$2:$U$1001,0),0), INDEX($AB$1004:$AQ$1004,1,MATCH(COLUMNS($AB$1006:AB1006),$AB$1006:$AQ$1006,0)))),"Fix")))</f>
        <v>0</v>
      </c>
      <c r="C710" s="5">
        <f>IF(OR(INDEX($V$2:$V$1001,MATCH(ROWS($U$2:U710),$U$2:$U$1001,0),1)&gt;=100000,INDEX($AB$1005:$AQ$1005,1,MATCH(COLUMNS($AB$1006:AC1006),$AB$1006:$AQ$1006,0))&gt;=100000), " ",IF(INDEX($AB$2:$AQ$1001,MATCH(ROWS($U$2:U710),$U$2:$U$1001,0),MATCH(COLUMNS($AB$1006:AC1006),$AB$1006:$AQ$1006,0)), HYPERLINK("#",""), HYPERLINK(CONCATENATE("#Metadata!", ADDRESS(INDEX($W$2:$W$1001,MATCH(ROWS($U$2:U710),$U$2:$U$1001,0),0), INDEX($AB$1004:$AQ$1004,1,MATCH(COLUMNS($AB$1006:AC1006),$AB$1006:$AQ$1006,0)))),"Fix")))</f>
        <v>0</v>
      </c>
      <c r="D710" s="5">
        <f>IF(OR(INDEX($V$2:$V$1001,MATCH(ROWS($U$2:U710),$U$2:$U$1001,0),1)&gt;=100000,INDEX($AB$1005:$AQ$1005,1,MATCH(COLUMNS($AB$1006:AD1006),$AB$1006:$AQ$1006,0))&gt;=100000), " ",IF(INDEX($AB$2:$AQ$1001,MATCH(ROWS($U$2:U710),$U$2:$U$1001,0),MATCH(COLUMNS($AB$1006:AD1006),$AB$1006:$AQ$1006,0)), HYPERLINK("#",""), HYPERLINK(CONCATENATE("#Metadata!", ADDRESS(INDEX($W$2:$W$1001,MATCH(ROWS($U$2:U710),$U$2:$U$1001,0),0), INDEX($AB$1004:$AQ$1004,1,MATCH(COLUMNS($AB$1006:AD1006),$AB$1006:$AQ$1006,0)))),"Fix")))</f>
        <v>0</v>
      </c>
      <c r="E710" s="5">
        <f>IF(OR(INDEX($V$2:$V$1001,MATCH(ROWS($U$2:U710),$U$2:$U$1001,0),1)&gt;=100000,INDEX($AB$1005:$AQ$1005,1,MATCH(COLUMNS($AB$1006:AE1006),$AB$1006:$AQ$1006,0))&gt;=100000), " ",IF(INDEX($AB$2:$AQ$1001,MATCH(ROWS($U$2:U710),$U$2:$U$1001,0),MATCH(COLUMNS($AB$1006:AE1006),$AB$1006:$AQ$1006,0)), HYPERLINK("#",""), HYPERLINK(CONCATENATE("#Metadata!", ADDRESS(INDEX($W$2:$W$1001,MATCH(ROWS($U$2:U710),$U$2:$U$1001,0),0), INDEX($AB$1004:$AQ$1004,1,MATCH(COLUMNS($AB$1006:AE1006),$AB$1006:$AQ$1006,0)))),"Fix")))</f>
        <v>0</v>
      </c>
      <c r="F710" s="5">
        <f>IF(OR(INDEX($V$2:$V$1001,MATCH(ROWS($U$2:U710),$U$2:$U$1001,0),1)&gt;=100000,INDEX($AB$1005:$AQ$1005,1,MATCH(COLUMNS($AB$1006:AF1006),$AB$1006:$AQ$1006,0))&gt;=100000), " ",IF(INDEX($AB$2:$AQ$1001,MATCH(ROWS($U$2:U710),$U$2:$U$1001,0),MATCH(COLUMNS($AB$1006:AF1006),$AB$1006:$AQ$1006,0)), HYPERLINK("#",""), HYPERLINK(CONCATENATE("#Metadata!", ADDRESS(INDEX($W$2:$W$1001,MATCH(ROWS($U$2:U710),$U$2:$U$1001,0),0), INDEX($AB$1004:$AQ$1004,1,MATCH(COLUMNS($AB$1006:AF1006),$AB$1006:$AQ$1006,0)))),"Fix")))</f>
        <v>0</v>
      </c>
      <c r="G710" s="5">
        <f>IF(OR(INDEX($V$2:$V$1001,MATCH(ROWS($U$2:U710),$U$2:$U$1001,0),1)&gt;=100000,INDEX($AB$1005:$AQ$1005,1,MATCH(COLUMNS($AB$1006:AG1006),$AB$1006:$AQ$1006,0))&gt;=100000), " ",IF(INDEX($AB$2:$AQ$1001,MATCH(ROWS($U$2:U710),$U$2:$U$1001,0),MATCH(COLUMNS($AB$1006:AG1006),$AB$1006:$AQ$1006,0)), HYPERLINK("#",""), HYPERLINK(CONCATENATE("#Metadata!", ADDRESS(INDEX($W$2:$W$1001,MATCH(ROWS($U$2:U710),$U$2:$U$1001,0),0), INDEX($AB$1004:$AQ$1004,1,MATCH(COLUMNS($AB$1006:AG1006),$AB$1006:$AQ$1006,0)))),"Fix")))</f>
        <v>0</v>
      </c>
      <c r="H710" s="5">
        <f>IF(OR(INDEX($V$2:$V$1001,MATCH(ROWS($U$2:U710),$U$2:$U$1001,0),1)&gt;=100000,INDEX($AB$1005:$AQ$1005,1,MATCH(COLUMNS($AB$1006:AH1006),$AB$1006:$AQ$1006,0))&gt;=100000), " ",IF(INDEX($AB$2:$AQ$1001,MATCH(ROWS($U$2:U710),$U$2:$U$1001,0),MATCH(COLUMNS($AB$1006:AH1006),$AB$1006:$AQ$1006,0)), HYPERLINK("#",""), HYPERLINK(CONCATENATE("#Metadata!", ADDRESS(INDEX($W$2:$W$1001,MATCH(ROWS($U$2:U710),$U$2:$U$1001,0),0), INDEX($AB$1004:$AQ$1004,1,MATCH(COLUMNS($AB$1006:AH1006),$AB$1006:$AQ$1006,0)))),"Fix")))</f>
        <v>0</v>
      </c>
      <c r="I710" s="5">
        <f>IF(OR(INDEX($V$2:$V$1001,MATCH(ROWS($U$2:U710),$U$2:$U$1001,0),1)&gt;=100000,INDEX($AB$1005:$AQ$1005,1,MATCH(COLUMNS($AB$1006:AI1006),$AB$1006:$AQ$1006,0))&gt;=100000), " ",IF(INDEX($AB$2:$AQ$1001,MATCH(ROWS($U$2:U710),$U$2:$U$1001,0),MATCH(COLUMNS($AB$1006:AI1006),$AB$1006:$AQ$1006,0)), HYPERLINK("#",""), HYPERLINK(CONCATENATE("#Metadata!", ADDRESS(INDEX($W$2:$W$1001,MATCH(ROWS($U$2:U710),$U$2:$U$1001,0),0), INDEX($AB$1004:$AQ$1004,1,MATCH(COLUMNS($AB$1006:AI1006),$AB$1006:$AQ$1006,0)))),"Fix")))</f>
        <v>0</v>
      </c>
      <c r="J710" s="5">
        <f>IF(OR(INDEX($V$2:$V$1001,MATCH(ROWS($U$2:U710),$U$2:$U$1001,0),1)&gt;=100000,INDEX($AB$1005:$AQ$1005,1,MATCH(COLUMNS($AB$1006:AJ1006),$AB$1006:$AQ$1006,0))&gt;=100000), " ",IF(INDEX($AB$2:$AQ$1001,MATCH(ROWS($U$2:U710),$U$2:$U$1001,0),MATCH(COLUMNS($AB$1006:AJ1006),$AB$1006:$AQ$1006,0)), HYPERLINK("#",""), HYPERLINK(CONCATENATE("#Metadata!", ADDRESS(INDEX($W$2:$W$1001,MATCH(ROWS($U$2:U710),$U$2:$U$1001,0),0), INDEX($AB$1004:$AQ$1004,1,MATCH(COLUMNS($AB$1006:AJ1006),$AB$1006:$AQ$1006,0)))),"Fix")))</f>
        <v>0</v>
      </c>
      <c r="K710" s="5">
        <f>IF(OR(INDEX($V$2:$V$1001,MATCH(ROWS($U$2:U710),$U$2:$U$1001,0),1)&gt;=100000,INDEX($AB$1005:$AQ$1005,1,MATCH(COLUMNS($AB$1006:AK1006),$AB$1006:$AQ$1006,0))&gt;=100000), " ",IF(INDEX($AB$2:$AQ$1001,MATCH(ROWS($U$2:U710),$U$2:$U$1001,0),MATCH(COLUMNS($AB$1006:AK1006),$AB$1006:$AQ$1006,0)), HYPERLINK("#",""), HYPERLINK(CONCATENATE("#Metadata!", ADDRESS(INDEX($W$2:$W$1001,MATCH(ROWS($U$2:U710),$U$2:$U$1001,0),0), INDEX($AB$1004:$AQ$1004,1,MATCH(COLUMNS($AB$1006:AK1006),$AB$1006:$AQ$1006,0)))),"Fix")))</f>
        <v>0</v>
      </c>
      <c r="L710" s="5">
        <f>IF(OR(INDEX($V$2:$V$1001,MATCH(ROWS($U$2:U710),$U$2:$U$1001,0),1)&gt;=100000,INDEX($AB$1005:$AQ$1005,1,MATCH(COLUMNS($AB$1006:AL1006),$AB$1006:$AQ$1006,0))&gt;=100000), " ",IF(INDEX($AB$2:$AQ$1001,MATCH(ROWS($U$2:U710),$U$2:$U$1001,0),MATCH(COLUMNS($AB$1006:AL1006),$AB$1006:$AQ$1006,0)), HYPERLINK("#",""), HYPERLINK(CONCATENATE("#Metadata!", ADDRESS(INDEX($W$2:$W$1001,MATCH(ROWS($U$2:U710),$U$2:$U$1001,0),0), INDEX($AB$1004:$AQ$1004,1,MATCH(COLUMNS($AB$1006:AL1006),$AB$1006:$AQ$1006,0)))),"Fix")))</f>
        <v>0</v>
      </c>
      <c r="M710" s="5">
        <f>IF(OR(INDEX($V$2:$V$1001,MATCH(ROWS($U$2:U710),$U$2:$U$1001,0),1)&gt;=100000,INDEX($AB$1005:$AQ$1005,1,MATCH(COLUMNS($AB$1006:AM1006),$AB$1006:$AQ$1006,0))&gt;=100000), " ",IF(INDEX($AB$2:$AQ$1001,MATCH(ROWS($U$2:U710),$U$2:$U$1001,0),MATCH(COLUMNS($AB$1006:AM1006),$AB$1006:$AQ$1006,0)), HYPERLINK("#",""), HYPERLINK(CONCATENATE("#Metadata!", ADDRESS(INDEX($W$2:$W$1001,MATCH(ROWS($U$2:U710),$U$2:$U$1001,0),0), INDEX($AB$1004:$AQ$1004,1,MATCH(COLUMNS($AB$1006:AM1006),$AB$1006:$AQ$1006,0)))),"Fix")))</f>
        <v>0</v>
      </c>
      <c r="N710" s="5">
        <f>IF(OR(INDEX($V$2:$V$1001,MATCH(ROWS($U$2:U710),$U$2:$U$1001,0),1)&gt;=100000,INDEX($AB$1005:$AQ$1005,1,MATCH(COLUMNS($AB$1006:AN1006),$AB$1006:$AQ$1006,0))&gt;=100000), " ",IF(INDEX($AB$2:$AQ$1001,MATCH(ROWS($U$2:U710),$U$2:$U$1001,0),MATCH(COLUMNS($AB$1006:AN1006),$AB$1006:$AQ$1006,0)), HYPERLINK("#",""), HYPERLINK(CONCATENATE("#Metadata!", ADDRESS(INDEX($W$2:$W$1001,MATCH(ROWS($U$2:U710),$U$2:$U$1001,0),0), INDEX($AB$1004:$AQ$1004,1,MATCH(COLUMNS($AB$1006:AN1006),$AB$1006:$AQ$1006,0)))),"Fix")))</f>
        <v>0</v>
      </c>
      <c r="O710" s="5">
        <f>IF(OR(INDEX($V$2:$V$1001,MATCH(ROWS($U$2:U710),$U$2:$U$1001,0),1)&gt;=100000,INDEX($AB$1005:$AQ$1005,1,MATCH(COLUMNS($AB$1006:AO1006),$AB$1006:$AQ$1006,0))&gt;=100000), " ",IF(INDEX($AB$2:$AQ$1001,MATCH(ROWS($U$2:U710),$U$2:$U$1001,0),MATCH(COLUMNS($AB$1006:AO1006),$AB$1006:$AQ$1006,0)), HYPERLINK("#",""), HYPERLINK(CONCATENATE("#Metadata!", ADDRESS(INDEX($W$2:$W$1001,MATCH(ROWS($U$2:U710),$U$2:$U$1001,0),0), INDEX($AB$1004:$AQ$1004,1,MATCH(COLUMNS($AB$1006:AO1006),$AB$1006:$AQ$1006,0)))),"Fix")))</f>
        <v>0</v>
      </c>
      <c r="P710" s="5">
        <f>IF(OR(INDEX($V$2:$V$1001,MATCH(ROWS($U$2:U710),$U$2:$U$1001,0),1)&gt;=100000,INDEX($AB$1005:$AQ$1005,1,MATCH(COLUMNS($AB$1006:AP1006),$AB$1006:$AQ$1006,0))&gt;=100000), " ",IF(INDEX($AB$2:$AQ$1001,MATCH(ROWS($U$2:U710),$U$2:$U$1001,0),MATCH(COLUMNS($AB$1006:AP1006),$AB$1006:$AQ$1006,0)), HYPERLINK("#",""), HYPERLINK(CONCATENATE("#Metadata!", ADDRESS(INDEX($W$2:$W$1001,MATCH(ROWS($U$2:U710),$U$2:$U$1001,0),0), INDEX($AB$1004:$AQ$1004,1,MATCH(COLUMNS($AB$1006:AP1006),$AB$1006:$AQ$1006,0)))),"Fix")))</f>
        <v>0</v>
      </c>
      <c r="Q710" s="5">
        <f>IF(OR(INDEX($V$2:$V$1001,MATCH(ROWS($U$2:U710),$U$2:$U$1001,0),1)&gt;=100000,INDEX($AB$1005:$AQ$1005,1,MATCH(COLUMNS($AB$1006:AQ1006),$AB$1006:$AQ$1006,0))&gt;=100000), " ",IF(INDEX($AB$2:$AQ$1001,MATCH(ROWS($U$2:U710),$U$2:$U$1001,0),MATCH(COLUMNS($AB$1006:AQ1006),$AB$1006:$AQ$1006,0)), HYPERLINK("#",""), HYPERLINK(CONCATENATE("#Metadata!", ADDRESS(INDEX($W$2:$W$1001,MATCH(ROWS($U$2:U710),$U$2:$U$1001,0),0), INDEX($AB$1004:$AQ$1004,1,MATCH(COLUMNS($AB$1006:AQ1006),$AB$1006:$AQ$1006,0)))),"Fix")))</f>
        <v>0</v>
      </c>
      <c r="U710">
        <v>0</v>
      </c>
      <c r="V710">
        <v>0</v>
      </c>
      <c r="W710">
        <v>0</v>
      </c>
      <c r="X710">
        <f>IF(Y710,TRUE,AND(AB710:AQ710))</f>
        <v>0</v>
      </c>
      <c r="Y710">
        <f>COUNTBLANK(Metadata!B710:Q710)=COLUMNS(Metadata!B710:Q710)</f>
        <v>0</v>
      </c>
      <c r="Z710">
        <v>0</v>
      </c>
      <c r="AB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AC710">
        <f>AND(IF(Metadata!C710="",FALSE,TRUE),exact(Metadata!C710,"urban biome"))</f>
        <v>0</v>
      </c>
      <c r="AD710">
        <f>AND(IF(Metadata!D710="",FALSE,TRUE),exact(Metadata!D710,"human-associated habitat"))</f>
        <v>0</v>
      </c>
      <c r="AE710">
        <f>AND(IF(Metadata!E710="",FALSE,TRUE),OR(exact(Metadata!E710,"human-associated"),exact(Metadata!E710,"human-skin"),exact(Metadata!E710,"human-oral"),exact(Metadata!E710,"human-gut"),exact(Metadata!E710,"human-vaginal")))</f>
        <v>0</v>
      </c>
      <c r="AF710">
        <f>AND(IF(Metadata!F710="",FALSE,ISNUMBER(VALUE(Metadata!F710))),Metadata!F710&gt;0)</f>
        <v>0</v>
      </c>
      <c r="AG710">
        <f>AND(IF(Metadata!G710="",FALSE,TRUE),exact(Metadata!G710,"years"))</f>
        <v>0</v>
      </c>
      <c r="AH710">
        <f>OR(AND(IF(Metadata!H710="",FALSE,TRUE),OR(exact(Metadata!H710,"not applicable"),exact(Metadata!H710,"not collected"),exact(Metadata!H710,"not provided"),exact(Metadata!H710,"restricted access"))),AND(IF(Metadata!H710="",FALSE,ISNUMBER(VALUE(Metadata!H710))),Metadata!H710&gt;0))</f>
        <v>0</v>
      </c>
      <c r="AI710">
        <f>AND(IF(Metadata!I710="",FALSE,TRUE),exact(Metadata!I710,"human"))</f>
        <v>0</v>
      </c>
      <c r="AJ710">
        <f>AND(IF(Metadata!J710="",FALSE,ISNUMBER(VALUE(Metadata!J710))),Metadata!J710&gt;0)</f>
        <v>0</v>
      </c>
      <c r="AK710">
        <f>AND(IF(Metadata!K710="",FALSE,TRUE),exact(Metadata!K710,"cm"))</f>
        <v>0</v>
      </c>
      <c r="AL710">
        <f>AND(IF(Metadata!L710="",FALSE,TRUE),exact(Metadata!L710,"Homo sapiens"))</f>
        <v>0</v>
      </c>
      <c r="AM710">
        <f>AND(IF(Metadata!M710="",FALSE,TRUE),exact(Metadata!M710,"9606"))</f>
        <v>0</v>
      </c>
      <c r="AN710">
        <f>AND(IF(Metadata!N710="",FALSE,ISNUMBER(VALUE(Metadata!N710))),Metadata!N710&gt;0)</f>
        <v>0</v>
      </c>
      <c r="AO710">
        <f>AND(IF(Metadata!O710="",FALSE,TRUE),exact(Metadata!O710,"kg"))</f>
        <v>0</v>
      </c>
      <c r="AP710">
        <f>OR(AND(IF(Metadata!P710="",FALSE,TRUE),exact(Metadata!P710,"not provided")),IF(Metadata!P710="",FALSE,TRUE))</f>
        <v>0</v>
      </c>
      <c r="AQ710">
        <f>OR(AND(IF(Metadata!Q710="",FALSE,TRUE),exact(Metadata!Q710,"not provided")),IF(Metadata!Q710="",FALSE,TRUE))</f>
        <v>0</v>
      </c>
    </row>
    <row r="711" spans="1:43">
      <c r="A711" s="4">
        <f>IF(B711=" "," ",HYPERLINK(CONCATENATE("#metadata!",ADDRESS(INDEX($W$2:$W$1001,MATCH(ROWS($U$2:U711),$U$2:$U$1001,0),0),2)),INDEX($Z$2:$Z$1001,MATCH(ROWS($U$2:U711),$U$2:$U$1001,0),0)))</f>
        <v>0</v>
      </c>
      <c r="B711" s="5">
        <f>IF(OR(INDEX($V$2:$V$1001,MATCH(ROWS($U$2:U711),$U$2:$U$1001,0),1)&gt;=100000,INDEX($AB$1005:$AQ$1005,1,MATCH(COLUMNS($AB$1006:AB1006),$AB$1006:$AQ$1006,0))&gt;=100000), " ",IF(INDEX($AB$2:$AQ$1001,MATCH(ROWS($U$2:U711),$U$2:$U$1001,0),MATCH(COLUMNS($AB$1006:AB1006),$AB$1006:$AQ$1006,0)), HYPERLINK("#",""), HYPERLINK(CONCATENATE("#Metadata!", ADDRESS(INDEX($W$2:$W$1001,MATCH(ROWS($U$2:U711),$U$2:$U$1001,0),0), INDEX($AB$1004:$AQ$1004,1,MATCH(COLUMNS($AB$1006:AB1006),$AB$1006:$AQ$1006,0)))),"Fix")))</f>
        <v>0</v>
      </c>
      <c r="C711" s="5">
        <f>IF(OR(INDEX($V$2:$V$1001,MATCH(ROWS($U$2:U711),$U$2:$U$1001,0),1)&gt;=100000,INDEX($AB$1005:$AQ$1005,1,MATCH(COLUMNS($AB$1006:AC1006),$AB$1006:$AQ$1006,0))&gt;=100000), " ",IF(INDEX($AB$2:$AQ$1001,MATCH(ROWS($U$2:U711),$U$2:$U$1001,0),MATCH(COLUMNS($AB$1006:AC1006),$AB$1006:$AQ$1006,0)), HYPERLINK("#",""), HYPERLINK(CONCATENATE("#Metadata!", ADDRESS(INDEX($W$2:$W$1001,MATCH(ROWS($U$2:U711),$U$2:$U$1001,0),0), INDEX($AB$1004:$AQ$1004,1,MATCH(COLUMNS($AB$1006:AC1006),$AB$1006:$AQ$1006,0)))),"Fix")))</f>
        <v>0</v>
      </c>
      <c r="D711" s="5">
        <f>IF(OR(INDEX($V$2:$V$1001,MATCH(ROWS($U$2:U711),$U$2:$U$1001,0),1)&gt;=100000,INDEX($AB$1005:$AQ$1005,1,MATCH(COLUMNS($AB$1006:AD1006),$AB$1006:$AQ$1006,0))&gt;=100000), " ",IF(INDEX($AB$2:$AQ$1001,MATCH(ROWS($U$2:U711),$U$2:$U$1001,0),MATCH(COLUMNS($AB$1006:AD1006),$AB$1006:$AQ$1006,0)), HYPERLINK("#",""), HYPERLINK(CONCATENATE("#Metadata!", ADDRESS(INDEX($W$2:$W$1001,MATCH(ROWS($U$2:U711),$U$2:$U$1001,0),0), INDEX($AB$1004:$AQ$1004,1,MATCH(COLUMNS($AB$1006:AD1006),$AB$1006:$AQ$1006,0)))),"Fix")))</f>
        <v>0</v>
      </c>
      <c r="E711" s="5">
        <f>IF(OR(INDEX($V$2:$V$1001,MATCH(ROWS($U$2:U711),$U$2:$U$1001,0),1)&gt;=100000,INDEX($AB$1005:$AQ$1005,1,MATCH(COLUMNS($AB$1006:AE1006),$AB$1006:$AQ$1006,0))&gt;=100000), " ",IF(INDEX($AB$2:$AQ$1001,MATCH(ROWS($U$2:U711),$U$2:$U$1001,0),MATCH(COLUMNS($AB$1006:AE1006),$AB$1006:$AQ$1006,0)), HYPERLINK("#",""), HYPERLINK(CONCATENATE("#Metadata!", ADDRESS(INDEX($W$2:$W$1001,MATCH(ROWS($U$2:U711),$U$2:$U$1001,0),0), INDEX($AB$1004:$AQ$1004,1,MATCH(COLUMNS($AB$1006:AE1006),$AB$1006:$AQ$1006,0)))),"Fix")))</f>
        <v>0</v>
      </c>
      <c r="F711" s="5">
        <f>IF(OR(INDEX($V$2:$V$1001,MATCH(ROWS($U$2:U711),$U$2:$U$1001,0),1)&gt;=100000,INDEX($AB$1005:$AQ$1005,1,MATCH(COLUMNS($AB$1006:AF1006),$AB$1006:$AQ$1006,0))&gt;=100000), " ",IF(INDEX($AB$2:$AQ$1001,MATCH(ROWS($U$2:U711),$U$2:$U$1001,0),MATCH(COLUMNS($AB$1006:AF1006),$AB$1006:$AQ$1006,0)), HYPERLINK("#",""), HYPERLINK(CONCATENATE("#Metadata!", ADDRESS(INDEX($W$2:$W$1001,MATCH(ROWS($U$2:U711),$U$2:$U$1001,0),0), INDEX($AB$1004:$AQ$1004,1,MATCH(COLUMNS($AB$1006:AF1006),$AB$1006:$AQ$1006,0)))),"Fix")))</f>
        <v>0</v>
      </c>
      <c r="G711" s="5">
        <f>IF(OR(INDEX($V$2:$V$1001,MATCH(ROWS($U$2:U711),$U$2:$U$1001,0),1)&gt;=100000,INDEX($AB$1005:$AQ$1005,1,MATCH(COLUMNS($AB$1006:AG1006),$AB$1006:$AQ$1006,0))&gt;=100000), " ",IF(INDEX($AB$2:$AQ$1001,MATCH(ROWS($U$2:U711),$U$2:$U$1001,0),MATCH(COLUMNS($AB$1006:AG1006),$AB$1006:$AQ$1006,0)), HYPERLINK("#",""), HYPERLINK(CONCATENATE("#Metadata!", ADDRESS(INDEX($W$2:$W$1001,MATCH(ROWS($U$2:U711),$U$2:$U$1001,0),0), INDEX($AB$1004:$AQ$1004,1,MATCH(COLUMNS($AB$1006:AG1006),$AB$1006:$AQ$1006,0)))),"Fix")))</f>
        <v>0</v>
      </c>
      <c r="H711" s="5">
        <f>IF(OR(INDEX($V$2:$V$1001,MATCH(ROWS($U$2:U711),$U$2:$U$1001,0),1)&gt;=100000,INDEX($AB$1005:$AQ$1005,1,MATCH(COLUMNS($AB$1006:AH1006),$AB$1006:$AQ$1006,0))&gt;=100000), " ",IF(INDEX($AB$2:$AQ$1001,MATCH(ROWS($U$2:U711),$U$2:$U$1001,0),MATCH(COLUMNS($AB$1006:AH1006),$AB$1006:$AQ$1006,0)), HYPERLINK("#",""), HYPERLINK(CONCATENATE("#Metadata!", ADDRESS(INDEX($W$2:$W$1001,MATCH(ROWS($U$2:U711),$U$2:$U$1001,0),0), INDEX($AB$1004:$AQ$1004,1,MATCH(COLUMNS($AB$1006:AH1006),$AB$1006:$AQ$1006,0)))),"Fix")))</f>
        <v>0</v>
      </c>
      <c r="I711" s="5">
        <f>IF(OR(INDEX($V$2:$V$1001,MATCH(ROWS($U$2:U711),$U$2:$U$1001,0),1)&gt;=100000,INDEX($AB$1005:$AQ$1005,1,MATCH(COLUMNS($AB$1006:AI1006),$AB$1006:$AQ$1006,0))&gt;=100000), " ",IF(INDEX($AB$2:$AQ$1001,MATCH(ROWS($U$2:U711),$U$2:$U$1001,0),MATCH(COLUMNS($AB$1006:AI1006),$AB$1006:$AQ$1006,0)), HYPERLINK("#",""), HYPERLINK(CONCATENATE("#Metadata!", ADDRESS(INDEX($W$2:$W$1001,MATCH(ROWS($U$2:U711),$U$2:$U$1001,0),0), INDEX($AB$1004:$AQ$1004,1,MATCH(COLUMNS($AB$1006:AI1006),$AB$1006:$AQ$1006,0)))),"Fix")))</f>
        <v>0</v>
      </c>
      <c r="J711" s="5">
        <f>IF(OR(INDEX($V$2:$V$1001,MATCH(ROWS($U$2:U711),$U$2:$U$1001,0),1)&gt;=100000,INDEX($AB$1005:$AQ$1005,1,MATCH(COLUMNS($AB$1006:AJ1006),$AB$1006:$AQ$1006,0))&gt;=100000), " ",IF(INDEX($AB$2:$AQ$1001,MATCH(ROWS($U$2:U711),$U$2:$U$1001,0),MATCH(COLUMNS($AB$1006:AJ1006),$AB$1006:$AQ$1006,0)), HYPERLINK("#",""), HYPERLINK(CONCATENATE("#Metadata!", ADDRESS(INDEX($W$2:$W$1001,MATCH(ROWS($U$2:U711),$U$2:$U$1001,0),0), INDEX($AB$1004:$AQ$1004,1,MATCH(COLUMNS($AB$1006:AJ1006),$AB$1006:$AQ$1006,0)))),"Fix")))</f>
        <v>0</v>
      </c>
      <c r="K711" s="5">
        <f>IF(OR(INDEX($V$2:$V$1001,MATCH(ROWS($U$2:U711),$U$2:$U$1001,0),1)&gt;=100000,INDEX($AB$1005:$AQ$1005,1,MATCH(COLUMNS($AB$1006:AK1006),$AB$1006:$AQ$1006,0))&gt;=100000), " ",IF(INDEX($AB$2:$AQ$1001,MATCH(ROWS($U$2:U711),$U$2:$U$1001,0),MATCH(COLUMNS($AB$1006:AK1006),$AB$1006:$AQ$1006,0)), HYPERLINK("#",""), HYPERLINK(CONCATENATE("#Metadata!", ADDRESS(INDEX($W$2:$W$1001,MATCH(ROWS($U$2:U711),$U$2:$U$1001,0),0), INDEX($AB$1004:$AQ$1004,1,MATCH(COLUMNS($AB$1006:AK1006),$AB$1006:$AQ$1006,0)))),"Fix")))</f>
        <v>0</v>
      </c>
      <c r="L711" s="5">
        <f>IF(OR(INDEX($V$2:$V$1001,MATCH(ROWS($U$2:U711),$U$2:$U$1001,0),1)&gt;=100000,INDEX($AB$1005:$AQ$1005,1,MATCH(COLUMNS($AB$1006:AL1006),$AB$1006:$AQ$1006,0))&gt;=100000), " ",IF(INDEX($AB$2:$AQ$1001,MATCH(ROWS($U$2:U711),$U$2:$U$1001,0),MATCH(COLUMNS($AB$1006:AL1006),$AB$1006:$AQ$1006,0)), HYPERLINK("#",""), HYPERLINK(CONCATENATE("#Metadata!", ADDRESS(INDEX($W$2:$W$1001,MATCH(ROWS($U$2:U711),$U$2:$U$1001,0),0), INDEX($AB$1004:$AQ$1004,1,MATCH(COLUMNS($AB$1006:AL1006),$AB$1006:$AQ$1006,0)))),"Fix")))</f>
        <v>0</v>
      </c>
      <c r="M711" s="5">
        <f>IF(OR(INDEX($V$2:$V$1001,MATCH(ROWS($U$2:U711),$U$2:$U$1001,0),1)&gt;=100000,INDEX($AB$1005:$AQ$1005,1,MATCH(COLUMNS($AB$1006:AM1006),$AB$1006:$AQ$1006,0))&gt;=100000), " ",IF(INDEX($AB$2:$AQ$1001,MATCH(ROWS($U$2:U711),$U$2:$U$1001,0),MATCH(COLUMNS($AB$1006:AM1006),$AB$1006:$AQ$1006,0)), HYPERLINK("#",""), HYPERLINK(CONCATENATE("#Metadata!", ADDRESS(INDEX($W$2:$W$1001,MATCH(ROWS($U$2:U711),$U$2:$U$1001,0),0), INDEX($AB$1004:$AQ$1004,1,MATCH(COLUMNS($AB$1006:AM1006),$AB$1006:$AQ$1006,0)))),"Fix")))</f>
        <v>0</v>
      </c>
      <c r="N711" s="5">
        <f>IF(OR(INDEX($V$2:$V$1001,MATCH(ROWS($U$2:U711),$U$2:$U$1001,0),1)&gt;=100000,INDEX($AB$1005:$AQ$1005,1,MATCH(COLUMNS($AB$1006:AN1006),$AB$1006:$AQ$1006,0))&gt;=100000), " ",IF(INDEX($AB$2:$AQ$1001,MATCH(ROWS($U$2:U711),$U$2:$U$1001,0),MATCH(COLUMNS($AB$1006:AN1006),$AB$1006:$AQ$1006,0)), HYPERLINK("#",""), HYPERLINK(CONCATENATE("#Metadata!", ADDRESS(INDEX($W$2:$W$1001,MATCH(ROWS($U$2:U711),$U$2:$U$1001,0),0), INDEX($AB$1004:$AQ$1004,1,MATCH(COLUMNS($AB$1006:AN1006),$AB$1006:$AQ$1006,0)))),"Fix")))</f>
        <v>0</v>
      </c>
      <c r="O711" s="5">
        <f>IF(OR(INDEX($V$2:$V$1001,MATCH(ROWS($U$2:U711),$U$2:$U$1001,0),1)&gt;=100000,INDEX($AB$1005:$AQ$1005,1,MATCH(COLUMNS($AB$1006:AO1006),$AB$1006:$AQ$1006,0))&gt;=100000), " ",IF(INDEX($AB$2:$AQ$1001,MATCH(ROWS($U$2:U711),$U$2:$U$1001,0),MATCH(COLUMNS($AB$1006:AO1006),$AB$1006:$AQ$1006,0)), HYPERLINK("#",""), HYPERLINK(CONCATENATE("#Metadata!", ADDRESS(INDEX($W$2:$W$1001,MATCH(ROWS($U$2:U711),$U$2:$U$1001,0),0), INDEX($AB$1004:$AQ$1004,1,MATCH(COLUMNS($AB$1006:AO1006),$AB$1006:$AQ$1006,0)))),"Fix")))</f>
        <v>0</v>
      </c>
      <c r="P711" s="5">
        <f>IF(OR(INDEX($V$2:$V$1001,MATCH(ROWS($U$2:U711),$U$2:$U$1001,0),1)&gt;=100000,INDEX($AB$1005:$AQ$1005,1,MATCH(COLUMNS($AB$1006:AP1006),$AB$1006:$AQ$1006,0))&gt;=100000), " ",IF(INDEX($AB$2:$AQ$1001,MATCH(ROWS($U$2:U711),$U$2:$U$1001,0),MATCH(COLUMNS($AB$1006:AP1006),$AB$1006:$AQ$1006,0)), HYPERLINK("#",""), HYPERLINK(CONCATENATE("#Metadata!", ADDRESS(INDEX($W$2:$W$1001,MATCH(ROWS($U$2:U711),$U$2:$U$1001,0),0), INDEX($AB$1004:$AQ$1004,1,MATCH(COLUMNS($AB$1006:AP1006),$AB$1006:$AQ$1006,0)))),"Fix")))</f>
        <v>0</v>
      </c>
      <c r="Q711" s="5">
        <f>IF(OR(INDEX($V$2:$V$1001,MATCH(ROWS($U$2:U711),$U$2:$U$1001,0),1)&gt;=100000,INDEX($AB$1005:$AQ$1005,1,MATCH(COLUMNS($AB$1006:AQ1006),$AB$1006:$AQ$1006,0))&gt;=100000), " ",IF(INDEX($AB$2:$AQ$1001,MATCH(ROWS($U$2:U711),$U$2:$U$1001,0),MATCH(COLUMNS($AB$1006:AQ1006),$AB$1006:$AQ$1006,0)), HYPERLINK("#",""), HYPERLINK(CONCATENATE("#Metadata!", ADDRESS(INDEX($W$2:$W$1001,MATCH(ROWS($U$2:U711),$U$2:$U$1001,0),0), INDEX($AB$1004:$AQ$1004,1,MATCH(COLUMNS($AB$1006:AQ1006),$AB$1006:$AQ$1006,0)))),"Fix")))</f>
        <v>0</v>
      </c>
      <c r="U711">
        <v>0</v>
      </c>
      <c r="V711">
        <v>0</v>
      </c>
      <c r="W711">
        <v>0</v>
      </c>
      <c r="X711">
        <f>IF(Y711,TRUE,AND(AB711:AQ711))</f>
        <v>0</v>
      </c>
      <c r="Y711">
        <f>COUNTBLANK(Metadata!B711:Q711)=COLUMNS(Metadata!B711:Q711)</f>
        <v>0</v>
      </c>
      <c r="Z711">
        <v>0</v>
      </c>
      <c r="AB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AC711">
        <f>AND(IF(Metadata!C711="",FALSE,TRUE),exact(Metadata!C711,"urban biome"))</f>
        <v>0</v>
      </c>
      <c r="AD711">
        <f>AND(IF(Metadata!D711="",FALSE,TRUE),exact(Metadata!D711,"human-associated habitat"))</f>
        <v>0</v>
      </c>
      <c r="AE711">
        <f>AND(IF(Metadata!E711="",FALSE,TRUE),OR(exact(Metadata!E711,"human-associated"),exact(Metadata!E711,"human-skin"),exact(Metadata!E711,"human-oral"),exact(Metadata!E711,"human-gut"),exact(Metadata!E711,"human-vaginal")))</f>
        <v>0</v>
      </c>
      <c r="AF711">
        <f>AND(IF(Metadata!F711="",FALSE,ISNUMBER(VALUE(Metadata!F711))),Metadata!F711&gt;0)</f>
        <v>0</v>
      </c>
      <c r="AG711">
        <f>AND(IF(Metadata!G711="",FALSE,TRUE),exact(Metadata!G711,"years"))</f>
        <v>0</v>
      </c>
      <c r="AH711">
        <f>OR(AND(IF(Metadata!H711="",FALSE,TRUE),OR(exact(Metadata!H711,"not applicable"),exact(Metadata!H711,"not collected"),exact(Metadata!H711,"not provided"),exact(Metadata!H711,"restricted access"))),AND(IF(Metadata!H711="",FALSE,ISNUMBER(VALUE(Metadata!H711))),Metadata!H711&gt;0))</f>
        <v>0</v>
      </c>
      <c r="AI711">
        <f>AND(IF(Metadata!I711="",FALSE,TRUE),exact(Metadata!I711,"human"))</f>
        <v>0</v>
      </c>
      <c r="AJ711">
        <f>AND(IF(Metadata!J711="",FALSE,ISNUMBER(VALUE(Metadata!J711))),Metadata!J711&gt;0)</f>
        <v>0</v>
      </c>
      <c r="AK711">
        <f>AND(IF(Metadata!K711="",FALSE,TRUE),exact(Metadata!K711,"cm"))</f>
        <v>0</v>
      </c>
      <c r="AL711">
        <f>AND(IF(Metadata!L711="",FALSE,TRUE),exact(Metadata!L711,"Homo sapiens"))</f>
        <v>0</v>
      </c>
      <c r="AM711">
        <f>AND(IF(Metadata!M711="",FALSE,TRUE),exact(Metadata!M711,"9606"))</f>
        <v>0</v>
      </c>
      <c r="AN711">
        <f>AND(IF(Metadata!N711="",FALSE,ISNUMBER(VALUE(Metadata!N711))),Metadata!N711&gt;0)</f>
        <v>0</v>
      </c>
      <c r="AO711">
        <f>AND(IF(Metadata!O711="",FALSE,TRUE),exact(Metadata!O711,"kg"))</f>
        <v>0</v>
      </c>
      <c r="AP711">
        <f>OR(AND(IF(Metadata!P711="",FALSE,TRUE),exact(Metadata!P711,"not provided")),IF(Metadata!P711="",FALSE,TRUE))</f>
        <v>0</v>
      </c>
      <c r="AQ711">
        <f>OR(AND(IF(Metadata!Q711="",FALSE,TRUE),exact(Metadata!Q711,"not provided")),IF(Metadata!Q711="",FALSE,TRUE))</f>
        <v>0</v>
      </c>
    </row>
    <row r="712" spans="1:43">
      <c r="A712" s="4">
        <f>IF(B712=" "," ",HYPERLINK(CONCATENATE("#metadata!",ADDRESS(INDEX($W$2:$W$1001,MATCH(ROWS($U$2:U712),$U$2:$U$1001,0),0),2)),INDEX($Z$2:$Z$1001,MATCH(ROWS($U$2:U712),$U$2:$U$1001,0),0)))</f>
        <v>0</v>
      </c>
      <c r="B712" s="5">
        <f>IF(OR(INDEX($V$2:$V$1001,MATCH(ROWS($U$2:U712),$U$2:$U$1001,0),1)&gt;=100000,INDEX($AB$1005:$AQ$1005,1,MATCH(COLUMNS($AB$1006:AB1006),$AB$1006:$AQ$1006,0))&gt;=100000), " ",IF(INDEX($AB$2:$AQ$1001,MATCH(ROWS($U$2:U712),$U$2:$U$1001,0),MATCH(COLUMNS($AB$1006:AB1006),$AB$1006:$AQ$1006,0)), HYPERLINK("#",""), HYPERLINK(CONCATENATE("#Metadata!", ADDRESS(INDEX($W$2:$W$1001,MATCH(ROWS($U$2:U712),$U$2:$U$1001,0),0), INDEX($AB$1004:$AQ$1004,1,MATCH(COLUMNS($AB$1006:AB1006),$AB$1006:$AQ$1006,0)))),"Fix")))</f>
        <v>0</v>
      </c>
      <c r="C712" s="5">
        <f>IF(OR(INDEX($V$2:$V$1001,MATCH(ROWS($U$2:U712),$U$2:$U$1001,0),1)&gt;=100000,INDEX($AB$1005:$AQ$1005,1,MATCH(COLUMNS($AB$1006:AC1006),$AB$1006:$AQ$1006,0))&gt;=100000), " ",IF(INDEX($AB$2:$AQ$1001,MATCH(ROWS($U$2:U712),$U$2:$U$1001,0),MATCH(COLUMNS($AB$1006:AC1006),$AB$1006:$AQ$1006,0)), HYPERLINK("#",""), HYPERLINK(CONCATENATE("#Metadata!", ADDRESS(INDEX($W$2:$W$1001,MATCH(ROWS($U$2:U712),$U$2:$U$1001,0),0), INDEX($AB$1004:$AQ$1004,1,MATCH(COLUMNS($AB$1006:AC1006),$AB$1006:$AQ$1006,0)))),"Fix")))</f>
        <v>0</v>
      </c>
      <c r="D712" s="5">
        <f>IF(OR(INDEX($V$2:$V$1001,MATCH(ROWS($U$2:U712),$U$2:$U$1001,0),1)&gt;=100000,INDEX($AB$1005:$AQ$1005,1,MATCH(COLUMNS($AB$1006:AD1006),$AB$1006:$AQ$1006,0))&gt;=100000), " ",IF(INDEX($AB$2:$AQ$1001,MATCH(ROWS($U$2:U712),$U$2:$U$1001,0),MATCH(COLUMNS($AB$1006:AD1006),$AB$1006:$AQ$1006,0)), HYPERLINK("#",""), HYPERLINK(CONCATENATE("#Metadata!", ADDRESS(INDEX($W$2:$W$1001,MATCH(ROWS($U$2:U712),$U$2:$U$1001,0),0), INDEX($AB$1004:$AQ$1004,1,MATCH(COLUMNS($AB$1006:AD1006),$AB$1006:$AQ$1006,0)))),"Fix")))</f>
        <v>0</v>
      </c>
      <c r="E712" s="5">
        <f>IF(OR(INDEX($V$2:$V$1001,MATCH(ROWS($U$2:U712),$U$2:$U$1001,0),1)&gt;=100000,INDEX($AB$1005:$AQ$1005,1,MATCH(COLUMNS($AB$1006:AE1006),$AB$1006:$AQ$1006,0))&gt;=100000), " ",IF(INDEX($AB$2:$AQ$1001,MATCH(ROWS($U$2:U712),$U$2:$U$1001,0),MATCH(COLUMNS($AB$1006:AE1006),$AB$1006:$AQ$1006,0)), HYPERLINK("#",""), HYPERLINK(CONCATENATE("#Metadata!", ADDRESS(INDEX($W$2:$W$1001,MATCH(ROWS($U$2:U712),$U$2:$U$1001,0),0), INDEX($AB$1004:$AQ$1004,1,MATCH(COLUMNS($AB$1006:AE1006),$AB$1006:$AQ$1006,0)))),"Fix")))</f>
        <v>0</v>
      </c>
      <c r="F712" s="5">
        <f>IF(OR(INDEX($V$2:$V$1001,MATCH(ROWS($U$2:U712),$U$2:$U$1001,0),1)&gt;=100000,INDEX($AB$1005:$AQ$1005,1,MATCH(COLUMNS($AB$1006:AF1006),$AB$1006:$AQ$1006,0))&gt;=100000), " ",IF(INDEX($AB$2:$AQ$1001,MATCH(ROWS($U$2:U712),$U$2:$U$1001,0),MATCH(COLUMNS($AB$1006:AF1006),$AB$1006:$AQ$1006,0)), HYPERLINK("#",""), HYPERLINK(CONCATENATE("#Metadata!", ADDRESS(INDEX($W$2:$W$1001,MATCH(ROWS($U$2:U712),$U$2:$U$1001,0),0), INDEX($AB$1004:$AQ$1004,1,MATCH(COLUMNS($AB$1006:AF1006),$AB$1006:$AQ$1006,0)))),"Fix")))</f>
        <v>0</v>
      </c>
      <c r="G712" s="5">
        <f>IF(OR(INDEX($V$2:$V$1001,MATCH(ROWS($U$2:U712),$U$2:$U$1001,0),1)&gt;=100000,INDEX($AB$1005:$AQ$1005,1,MATCH(COLUMNS($AB$1006:AG1006),$AB$1006:$AQ$1006,0))&gt;=100000), " ",IF(INDEX($AB$2:$AQ$1001,MATCH(ROWS($U$2:U712),$U$2:$U$1001,0),MATCH(COLUMNS($AB$1006:AG1006),$AB$1006:$AQ$1006,0)), HYPERLINK("#",""), HYPERLINK(CONCATENATE("#Metadata!", ADDRESS(INDEX($W$2:$W$1001,MATCH(ROWS($U$2:U712),$U$2:$U$1001,0),0), INDEX($AB$1004:$AQ$1004,1,MATCH(COLUMNS($AB$1006:AG1006),$AB$1006:$AQ$1006,0)))),"Fix")))</f>
        <v>0</v>
      </c>
      <c r="H712" s="5">
        <f>IF(OR(INDEX($V$2:$V$1001,MATCH(ROWS($U$2:U712),$U$2:$U$1001,0),1)&gt;=100000,INDEX($AB$1005:$AQ$1005,1,MATCH(COLUMNS($AB$1006:AH1006),$AB$1006:$AQ$1006,0))&gt;=100000), " ",IF(INDEX($AB$2:$AQ$1001,MATCH(ROWS($U$2:U712),$U$2:$U$1001,0),MATCH(COLUMNS($AB$1006:AH1006),$AB$1006:$AQ$1006,0)), HYPERLINK("#",""), HYPERLINK(CONCATENATE("#Metadata!", ADDRESS(INDEX($W$2:$W$1001,MATCH(ROWS($U$2:U712),$U$2:$U$1001,0),0), INDEX($AB$1004:$AQ$1004,1,MATCH(COLUMNS($AB$1006:AH1006),$AB$1006:$AQ$1006,0)))),"Fix")))</f>
        <v>0</v>
      </c>
      <c r="I712" s="5">
        <f>IF(OR(INDEX($V$2:$V$1001,MATCH(ROWS($U$2:U712),$U$2:$U$1001,0),1)&gt;=100000,INDEX($AB$1005:$AQ$1005,1,MATCH(COLUMNS($AB$1006:AI1006),$AB$1006:$AQ$1006,0))&gt;=100000), " ",IF(INDEX($AB$2:$AQ$1001,MATCH(ROWS($U$2:U712),$U$2:$U$1001,0),MATCH(COLUMNS($AB$1006:AI1006),$AB$1006:$AQ$1006,0)), HYPERLINK("#",""), HYPERLINK(CONCATENATE("#Metadata!", ADDRESS(INDEX($W$2:$W$1001,MATCH(ROWS($U$2:U712),$U$2:$U$1001,0),0), INDEX($AB$1004:$AQ$1004,1,MATCH(COLUMNS($AB$1006:AI1006),$AB$1006:$AQ$1006,0)))),"Fix")))</f>
        <v>0</v>
      </c>
      <c r="J712" s="5">
        <f>IF(OR(INDEX($V$2:$V$1001,MATCH(ROWS($U$2:U712),$U$2:$U$1001,0),1)&gt;=100000,INDEX($AB$1005:$AQ$1005,1,MATCH(COLUMNS($AB$1006:AJ1006),$AB$1006:$AQ$1006,0))&gt;=100000), " ",IF(INDEX($AB$2:$AQ$1001,MATCH(ROWS($U$2:U712),$U$2:$U$1001,0),MATCH(COLUMNS($AB$1006:AJ1006),$AB$1006:$AQ$1006,0)), HYPERLINK("#",""), HYPERLINK(CONCATENATE("#Metadata!", ADDRESS(INDEX($W$2:$W$1001,MATCH(ROWS($U$2:U712),$U$2:$U$1001,0),0), INDEX($AB$1004:$AQ$1004,1,MATCH(COLUMNS($AB$1006:AJ1006),$AB$1006:$AQ$1006,0)))),"Fix")))</f>
        <v>0</v>
      </c>
      <c r="K712" s="5">
        <f>IF(OR(INDEX($V$2:$V$1001,MATCH(ROWS($U$2:U712),$U$2:$U$1001,0),1)&gt;=100000,INDEX($AB$1005:$AQ$1005,1,MATCH(COLUMNS($AB$1006:AK1006),$AB$1006:$AQ$1006,0))&gt;=100000), " ",IF(INDEX($AB$2:$AQ$1001,MATCH(ROWS($U$2:U712),$U$2:$U$1001,0),MATCH(COLUMNS($AB$1006:AK1006),$AB$1006:$AQ$1006,0)), HYPERLINK("#",""), HYPERLINK(CONCATENATE("#Metadata!", ADDRESS(INDEX($W$2:$W$1001,MATCH(ROWS($U$2:U712),$U$2:$U$1001,0),0), INDEX($AB$1004:$AQ$1004,1,MATCH(COLUMNS($AB$1006:AK1006),$AB$1006:$AQ$1006,0)))),"Fix")))</f>
        <v>0</v>
      </c>
      <c r="L712" s="5">
        <f>IF(OR(INDEX($V$2:$V$1001,MATCH(ROWS($U$2:U712),$U$2:$U$1001,0),1)&gt;=100000,INDEX($AB$1005:$AQ$1005,1,MATCH(COLUMNS($AB$1006:AL1006),$AB$1006:$AQ$1006,0))&gt;=100000), " ",IF(INDEX($AB$2:$AQ$1001,MATCH(ROWS($U$2:U712),$U$2:$U$1001,0),MATCH(COLUMNS($AB$1006:AL1006),$AB$1006:$AQ$1006,0)), HYPERLINK("#",""), HYPERLINK(CONCATENATE("#Metadata!", ADDRESS(INDEX($W$2:$W$1001,MATCH(ROWS($U$2:U712),$U$2:$U$1001,0),0), INDEX($AB$1004:$AQ$1004,1,MATCH(COLUMNS($AB$1006:AL1006),$AB$1006:$AQ$1006,0)))),"Fix")))</f>
        <v>0</v>
      </c>
      <c r="M712" s="5">
        <f>IF(OR(INDEX($V$2:$V$1001,MATCH(ROWS($U$2:U712),$U$2:$U$1001,0),1)&gt;=100000,INDEX($AB$1005:$AQ$1005,1,MATCH(COLUMNS($AB$1006:AM1006),$AB$1006:$AQ$1006,0))&gt;=100000), " ",IF(INDEX($AB$2:$AQ$1001,MATCH(ROWS($U$2:U712),$U$2:$U$1001,0),MATCH(COLUMNS($AB$1006:AM1006),$AB$1006:$AQ$1006,0)), HYPERLINK("#",""), HYPERLINK(CONCATENATE("#Metadata!", ADDRESS(INDEX($W$2:$W$1001,MATCH(ROWS($U$2:U712),$U$2:$U$1001,0),0), INDEX($AB$1004:$AQ$1004,1,MATCH(COLUMNS($AB$1006:AM1006),$AB$1006:$AQ$1006,0)))),"Fix")))</f>
        <v>0</v>
      </c>
      <c r="N712" s="5">
        <f>IF(OR(INDEX($V$2:$V$1001,MATCH(ROWS($U$2:U712),$U$2:$U$1001,0),1)&gt;=100000,INDEX($AB$1005:$AQ$1005,1,MATCH(COLUMNS($AB$1006:AN1006),$AB$1006:$AQ$1006,0))&gt;=100000), " ",IF(INDEX($AB$2:$AQ$1001,MATCH(ROWS($U$2:U712),$U$2:$U$1001,0),MATCH(COLUMNS($AB$1006:AN1006),$AB$1006:$AQ$1006,0)), HYPERLINK("#",""), HYPERLINK(CONCATENATE("#Metadata!", ADDRESS(INDEX($W$2:$W$1001,MATCH(ROWS($U$2:U712),$U$2:$U$1001,0),0), INDEX($AB$1004:$AQ$1004,1,MATCH(COLUMNS($AB$1006:AN1006),$AB$1006:$AQ$1006,0)))),"Fix")))</f>
        <v>0</v>
      </c>
      <c r="O712" s="5">
        <f>IF(OR(INDEX($V$2:$V$1001,MATCH(ROWS($U$2:U712),$U$2:$U$1001,0),1)&gt;=100000,INDEX($AB$1005:$AQ$1005,1,MATCH(COLUMNS($AB$1006:AO1006),$AB$1006:$AQ$1006,0))&gt;=100000), " ",IF(INDEX($AB$2:$AQ$1001,MATCH(ROWS($U$2:U712),$U$2:$U$1001,0),MATCH(COLUMNS($AB$1006:AO1006),$AB$1006:$AQ$1006,0)), HYPERLINK("#",""), HYPERLINK(CONCATENATE("#Metadata!", ADDRESS(INDEX($W$2:$W$1001,MATCH(ROWS($U$2:U712),$U$2:$U$1001,0),0), INDEX($AB$1004:$AQ$1004,1,MATCH(COLUMNS($AB$1006:AO1006),$AB$1006:$AQ$1006,0)))),"Fix")))</f>
        <v>0</v>
      </c>
      <c r="P712" s="5">
        <f>IF(OR(INDEX($V$2:$V$1001,MATCH(ROWS($U$2:U712),$U$2:$U$1001,0),1)&gt;=100000,INDEX($AB$1005:$AQ$1005,1,MATCH(COLUMNS($AB$1006:AP1006),$AB$1006:$AQ$1006,0))&gt;=100000), " ",IF(INDEX($AB$2:$AQ$1001,MATCH(ROWS($U$2:U712),$U$2:$U$1001,0),MATCH(COLUMNS($AB$1006:AP1006),$AB$1006:$AQ$1006,0)), HYPERLINK("#",""), HYPERLINK(CONCATENATE("#Metadata!", ADDRESS(INDEX($W$2:$W$1001,MATCH(ROWS($U$2:U712),$U$2:$U$1001,0),0), INDEX($AB$1004:$AQ$1004,1,MATCH(COLUMNS($AB$1006:AP1006),$AB$1006:$AQ$1006,0)))),"Fix")))</f>
        <v>0</v>
      </c>
      <c r="Q712" s="5">
        <f>IF(OR(INDEX($V$2:$V$1001,MATCH(ROWS($U$2:U712),$U$2:$U$1001,0),1)&gt;=100000,INDEX($AB$1005:$AQ$1005,1,MATCH(COLUMNS($AB$1006:AQ1006),$AB$1006:$AQ$1006,0))&gt;=100000), " ",IF(INDEX($AB$2:$AQ$1001,MATCH(ROWS($U$2:U712),$U$2:$U$1001,0),MATCH(COLUMNS($AB$1006:AQ1006),$AB$1006:$AQ$1006,0)), HYPERLINK("#",""), HYPERLINK(CONCATENATE("#Metadata!", ADDRESS(INDEX($W$2:$W$1001,MATCH(ROWS($U$2:U712),$U$2:$U$1001,0),0), INDEX($AB$1004:$AQ$1004,1,MATCH(COLUMNS($AB$1006:AQ1006),$AB$1006:$AQ$1006,0)))),"Fix")))</f>
        <v>0</v>
      </c>
      <c r="U712">
        <v>0</v>
      </c>
      <c r="V712">
        <v>0</v>
      </c>
      <c r="W712">
        <v>0</v>
      </c>
      <c r="X712">
        <f>IF(Y712,TRUE,AND(AB712:AQ712))</f>
        <v>0</v>
      </c>
      <c r="Y712">
        <f>COUNTBLANK(Metadata!B712:Q712)=COLUMNS(Metadata!B712:Q712)</f>
        <v>0</v>
      </c>
      <c r="Z712">
        <v>0</v>
      </c>
      <c r="AB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AC712">
        <f>AND(IF(Metadata!C712="",FALSE,TRUE),exact(Metadata!C712,"urban biome"))</f>
        <v>0</v>
      </c>
      <c r="AD712">
        <f>AND(IF(Metadata!D712="",FALSE,TRUE),exact(Metadata!D712,"human-associated habitat"))</f>
        <v>0</v>
      </c>
      <c r="AE712">
        <f>AND(IF(Metadata!E712="",FALSE,TRUE),OR(exact(Metadata!E712,"human-associated"),exact(Metadata!E712,"human-skin"),exact(Metadata!E712,"human-oral"),exact(Metadata!E712,"human-gut"),exact(Metadata!E712,"human-vaginal")))</f>
        <v>0</v>
      </c>
      <c r="AF712">
        <f>AND(IF(Metadata!F712="",FALSE,ISNUMBER(VALUE(Metadata!F712))),Metadata!F712&gt;0)</f>
        <v>0</v>
      </c>
      <c r="AG712">
        <f>AND(IF(Metadata!G712="",FALSE,TRUE),exact(Metadata!G712,"years"))</f>
        <v>0</v>
      </c>
      <c r="AH712">
        <f>OR(AND(IF(Metadata!H712="",FALSE,TRUE),OR(exact(Metadata!H712,"not applicable"),exact(Metadata!H712,"not collected"),exact(Metadata!H712,"not provided"),exact(Metadata!H712,"restricted access"))),AND(IF(Metadata!H712="",FALSE,ISNUMBER(VALUE(Metadata!H712))),Metadata!H712&gt;0))</f>
        <v>0</v>
      </c>
      <c r="AI712">
        <f>AND(IF(Metadata!I712="",FALSE,TRUE),exact(Metadata!I712,"human"))</f>
        <v>0</v>
      </c>
      <c r="AJ712">
        <f>AND(IF(Metadata!J712="",FALSE,ISNUMBER(VALUE(Metadata!J712))),Metadata!J712&gt;0)</f>
        <v>0</v>
      </c>
      <c r="AK712">
        <f>AND(IF(Metadata!K712="",FALSE,TRUE),exact(Metadata!K712,"cm"))</f>
        <v>0</v>
      </c>
      <c r="AL712">
        <f>AND(IF(Metadata!L712="",FALSE,TRUE),exact(Metadata!L712,"Homo sapiens"))</f>
        <v>0</v>
      </c>
      <c r="AM712">
        <f>AND(IF(Metadata!M712="",FALSE,TRUE),exact(Metadata!M712,"9606"))</f>
        <v>0</v>
      </c>
      <c r="AN712">
        <f>AND(IF(Metadata!N712="",FALSE,ISNUMBER(VALUE(Metadata!N712))),Metadata!N712&gt;0)</f>
        <v>0</v>
      </c>
      <c r="AO712">
        <f>AND(IF(Metadata!O712="",FALSE,TRUE),exact(Metadata!O712,"kg"))</f>
        <v>0</v>
      </c>
      <c r="AP712">
        <f>OR(AND(IF(Metadata!P712="",FALSE,TRUE),exact(Metadata!P712,"not provided")),IF(Metadata!P712="",FALSE,TRUE))</f>
        <v>0</v>
      </c>
      <c r="AQ712">
        <f>OR(AND(IF(Metadata!Q712="",FALSE,TRUE),exact(Metadata!Q712,"not provided")),IF(Metadata!Q712="",FALSE,TRUE))</f>
        <v>0</v>
      </c>
    </row>
    <row r="713" spans="1:43">
      <c r="A713" s="4">
        <f>IF(B713=" "," ",HYPERLINK(CONCATENATE("#metadata!",ADDRESS(INDEX($W$2:$W$1001,MATCH(ROWS($U$2:U713),$U$2:$U$1001,0),0),2)),INDEX($Z$2:$Z$1001,MATCH(ROWS($U$2:U713),$U$2:$U$1001,0),0)))</f>
        <v>0</v>
      </c>
      <c r="B713" s="5">
        <f>IF(OR(INDEX($V$2:$V$1001,MATCH(ROWS($U$2:U713),$U$2:$U$1001,0),1)&gt;=100000,INDEX($AB$1005:$AQ$1005,1,MATCH(COLUMNS($AB$1006:AB1006),$AB$1006:$AQ$1006,0))&gt;=100000), " ",IF(INDEX($AB$2:$AQ$1001,MATCH(ROWS($U$2:U713),$U$2:$U$1001,0),MATCH(COLUMNS($AB$1006:AB1006),$AB$1006:$AQ$1006,0)), HYPERLINK("#",""), HYPERLINK(CONCATENATE("#Metadata!", ADDRESS(INDEX($W$2:$W$1001,MATCH(ROWS($U$2:U713),$U$2:$U$1001,0),0), INDEX($AB$1004:$AQ$1004,1,MATCH(COLUMNS($AB$1006:AB1006),$AB$1006:$AQ$1006,0)))),"Fix")))</f>
        <v>0</v>
      </c>
      <c r="C713" s="5">
        <f>IF(OR(INDEX($V$2:$V$1001,MATCH(ROWS($U$2:U713),$U$2:$U$1001,0),1)&gt;=100000,INDEX($AB$1005:$AQ$1005,1,MATCH(COLUMNS($AB$1006:AC1006),$AB$1006:$AQ$1006,0))&gt;=100000), " ",IF(INDEX($AB$2:$AQ$1001,MATCH(ROWS($U$2:U713),$U$2:$U$1001,0),MATCH(COLUMNS($AB$1006:AC1006),$AB$1006:$AQ$1006,0)), HYPERLINK("#",""), HYPERLINK(CONCATENATE("#Metadata!", ADDRESS(INDEX($W$2:$W$1001,MATCH(ROWS($U$2:U713),$U$2:$U$1001,0),0), INDEX($AB$1004:$AQ$1004,1,MATCH(COLUMNS($AB$1006:AC1006),$AB$1006:$AQ$1006,0)))),"Fix")))</f>
        <v>0</v>
      </c>
      <c r="D713" s="5">
        <f>IF(OR(INDEX($V$2:$V$1001,MATCH(ROWS($U$2:U713),$U$2:$U$1001,0),1)&gt;=100000,INDEX($AB$1005:$AQ$1005,1,MATCH(COLUMNS($AB$1006:AD1006),$AB$1006:$AQ$1006,0))&gt;=100000), " ",IF(INDEX($AB$2:$AQ$1001,MATCH(ROWS($U$2:U713),$U$2:$U$1001,0),MATCH(COLUMNS($AB$1006:AD1006),$AB$1006:$AQ$1006,0)), HYPERLINK("#",""), HYPERLINK(CONCATENATE("#Metadata!", ADDRESS(INDEX($W$2:$W$1001,MATCH(ROWS($U$2:U713),$U$2:$U$1001,0),0), INDEX($AB$1004:$AQ$1004,1,MATCH(COLUMNS($AB$1006:AD1006),$AB$1006:$AQ$1006,0)))),"Fix")))</f>
        <v>0</v>
      </c>
      <c r="E713" s="5">
        <f>IF(OR(INDEX($V$2:$V$1001,MATCH(ROWS($U$2:U713),$U$2:$U$1001,0),1)&gt;=100000,INDEX($AB$1005:$AQ$1005,1,MATCH(COLUMNS($AB$1006:AE1006),$AB$1006:$AQ$1006,0))&gt;=100000), " ",IF(INDEX($AB$2:$AQ$1001,MATCH(ROWS($U$2:U713),$U$2:$U$1001,0),MATCH(COLUMNS($AB$1006:AE1006),$AB$1006:$AQ$1006,0)), HYPERLINK("#",""), HYPERLINK(CONCATENATE("#Metadata!", ADDRESS(INDEX($W$2:$W$1001,MATCH(ROWS($U$2:U713),$U$2:$U$1001,0),0), INDEX($AB$1004:$AQ$1004,1,MATCH(COLUMNS($AB$1006:AE1006),$AB$1006:$AQ$1006,0)))),"Fix")))</f>
        <v>0</v>
      </c>
      <c r="F713" s="5">
        <f>IF(OR(INDEX($V$2:$V$1001,MATCH(ROWS($U$2:U713),$U$2:$U$1001,0),1)&gt;=100000,INDEX($AB$1005:$AQ$1005,1,MATCH(COLUMNS($AB$1006:AF1006),$AB$1006:$AQ$1006,0))&gt;=100000), " ",IF(INDEX($AB$2:$AQ$1001,MATCH(ROWS($U$2:U713),$U$2:$U$1001,0),MATCH(COLUMNS($AB$1006:AF1006),$AB$1006:$AQ$1006,0)), HYPERLINK("#",""), HYPERLINK(CONCATENATE("#Metadata!", ADDRESS(INDEX($W$2:$W$1001,MATCH(ROWS($U$2:U713),$U$2:$U$1001,0),0), INDEX($AB$1004:$AQ$1004,1,MATCH(COLUMNS($AB$1006:AF1006),$AB$1006:$AQ$1006,0)))),"Fix")))</f>
        <v>0</v>
      </c>
      <c r="G713" s="5">
        <f>IF(OR(INDEX($V$2:$V$1001,MATCH(ROWS($U$2:U713),$U$2:$U$1001,0),1)&gt;=100000,INDEX($AB$1005:$AQ$1005,1,MATCH(COLUMNS($AB$1006:AG1006),$AB$1006:$AQ$1006,0))&gt;=100000), " ",IF(INDEX($AB$2:$AQ$1001,MATCH(ROWS($U$2:U713),$U$2:$U$1001,0),MATCH(COLUMNS($AB$1006:AG1006),$AB$1006:$AQ$1006,0)), HYPERLINK("#",""), HYPERLINK(CONCATENATE("#Metadata!", ADDRESS(INDEX($W$2:$W$1001,MATCH(ROWS($U$2:U713),$U$2:$U$1001,0),0), INDEX($AB$1004:$AQ$1004,1,MATCH(COLUMNS($AB$1006:AG1006),$AB$1006:$AQ$1006,0)))),"Fix")))</f>
        <v>0</v>
      </c>
      <c r="H713" s="5">
        <f>IF(OR(INDEX($V$2:$V$1001,MATCH(ROWS($U$2:U713),$U$2:$U$1001,0),1)&gt;=100000,INDEX($AB$1005:$AQ$1005,1,MATCH(COLUMNS($AB$1006:AH1006),$AB$1006:$AQ$1006,0))&gt;=100000), " ",IF(INDEX($AB$2:$AQ$1001,MATCH(ROWS($U$2:U713),$U$2:$U$1001,0),MATCH(COLUMNS($AB$1006:AH1006),$AB$1006:$AQ$1006,0)), HYPERLINK("#",""), HYPERLINK(CONCATENATE("#Metadata!", ADDRESS(INDEX($W$2:$W$1001,MATCH(ROWS($U$2:U713),$U$2:$U$1001,0),0), INDEX($AB$1004:$AQ$1004,1,MATCH(COLUMNS($AB$1006:AH1006),$AB$1006:$AQ$1006,0)))),"Fix")))</f>
        <v>0</v>
      </c>
      <c r="I713" s="5">
        <f>IF(OR(INDEX($V$2:$V$1001,MATCH(ROWS($U$2:U713),$U$2:$U$1001,0),1)&gt;=100000,INDEX($AB$1005:$AQ$1005,1,MATCH(COLUMNS($AB$1006:AI1006),$AB$1006:$AQ$1006,0))&gt;=100000), " ",IF(INDEX($AB$2:$AQ$1001,MATCH(ROWS($U$2:U713),$U$2:$U$1001,0),MATCH(COLUMNS($AB$1006:AI1006),$AB$1006:$AQ$1006,0)), HYPERLINK("#",""), HYPERLINK(CONCATENATE("#Metadata!", ADDRESS(INDEX($W$2:$W$1001,MATCH(ROWS($U$2:U713),$U$2:$U$1001,0),0), INDEX($AB$1004:$AQ$1004,1,MATCH(COLUMNS($AB$1006:AI1006),$AB$1006:$AQ$1006,0)))),"Fix")))</f>
        <v>0</v>
      </c>
      <c r="J713" s="5">
        <f>IF(OR(INDEX($V$2:$V$1001,MATCH(ROWS($U$2:U713),$U$2:$U$1001,0),1)&gt;=100000,INDEX($AB$1005:$AQ$1005,1,MATCH(COLUMNS($AB$1006:AJ1006),$AB$1006:$AQ$1006,0))&gt;=100000), " ",IF(INDEX($AB$2:$AQ$1001,MATCH(ROWS($U$2:U713),$U$2:$U$1001,0),MATCH(COLUMNS($AB$1006:AJ1006),$AB$1006:$AQ$1006,0)), HYPERLINK("#",""), HYPERLINK(CONCATENATE("#Metadata!", ADDRESS(INDEX($W$2:$W$1001,MATCH(ROWS($U$2:U713),$U$2:$U$1001,0),0), INDEX($AB$1004:$AQ$1004,1,MATCH(COLUMNS($AB$1006:AJ1006),$AB$1006:$AQ$1006,0)))),"Fix")))</f>
        <v>0</v>
      </c>
      <c r="K713" s="5">
        <f>IF(OR(INDEX($V$2:$V$1001,MATCH(ROWS($U$2:U713),$U$2:$U$1001,0),1)&gt;=100000,INDEX($AB$1005:$AQ$1005,1,MATCH(COLUMNS($AB$1006:AK1006),$AB$1006:$AQ$1006,0))&gt;=100000), " ",IF(INDEX($AB$2:$AQ$1001,MATCH(ROWS($U$2:U713),$U$2:$U$1001,0),MATCH(COLUMNS($AB$1006:AK1006),$AB$1006:$AQ$1006,0)), HYPERLINK("#",""), HYPERLINK(CONCATENATE("#Metadata!", ADDRESS(INDEX($W$2:$W$1001,MATCH(ROWS($U$2:U713),$U$2:$U$1001,0),0), INDEX($AB$1004:$AQ$1004,1,MATCH(COLUMNS($AB$1006:AK1006),$AB$1006:$AQ$1006,0)))),"Fix")))</f>
        <v>0</v>
      </c>
      <c r="L713" s="5">
        <f>IF(OR(INDEX($V$2:$V$1001,MATCH(ROWS($U$2:U713),$U$2:$U$1001,0),1)&gt;=100000,INDEX($AB$1005:$AQ$1005,1,MATCH(COLUMNS($AB$1006:AL1006),$AB$1006:$AQ$1006,0))&gt;=100000), " ",IF(INDEX($AB$2:$AQ$1001,MATCH(ROWS($U$2:U713),$U$2:$U$1001,0),MATCH(COLUMNS($AB$1006:AL1006),$AB$1006:$AQ$1006,0)), HYPERLINK("#",""), HYPERLINK(CONCATENATE("#Metadata!", ADDRESS(INDEX($W$2:$W$1001,MATCH(ROWS($U$2:U713),$U$2:$U$1001,0),0), INDEX($AB$1004:$AQ$1004,1,MATCH(COLUMNS($AB$1006:AL1006),$AB$1006:$AQ$1006,0)))),"Fix")))</f>
        <v>0</v>
      </c>
      <c r="M713" s="5">
        <f>IF(OR(INDEX($V$2:$V$1001,MATCH(ROWS($U$2:U713),$U$2:$U$1001,0),1)&gt;=100000,INDEX($AB$1005:$AQ$1005,1,MATCH(COLUMNS($AB$1006:AM1006),$AB$1006:$AQ$1006,0))&gt;=100000), " ",IF(INDEX($AB$2:$AQ$1001,MATCH(ROWS($U$2:U713),$U$2:$U$1001,0),MATCH(COLUMNS($AB$1006:AM1006),$AB$1006:$AQ$1006,0)), HYPERLINK("#",""), HYPERLINK(CONCATENATE("#Metadata!", ADDRESS(INDEX($W$2:$W$1001,MATCH(ROWS($U$2:U713),$U$2:$U$1001,0),0), INDEX($AB$1004:$AQ$1004,1,MATCH(COLUMNS($AB$1006:AM1006),$AB$1006:$AQ$1006,0)))),"Fix")))</f>
        <v>0</v>
      </c>
      <c r="N713" s="5">
        <f>IF(OR(INDEX($V$2:$V$1001,MATCH(ROWS($U$2:U713),$U$2:$U$1001,0),1)&gt;=100000,INDEX($AB$1005:$AQ$1005,1,MATCH(COLUMNS($AB$1006:AN1006),$AB$1006:$AQ$1006,0))&gt;=100000), " ",IF(INDEX($AB$2:$AQ$1001,MATCH(ROWS($U$2:U713),$U$2:$U$1001,0),MATCH(COLUMNS($AB$1006:AN1006),$AB$1006:$AQ$1006,0)), HYPERLINK("#",""), HYPERLINK(CONCATENATE("#Metadata!", ADDRESS(INDEX($W$2:$W$1001,MATCH(ROWS($U$2:U713),$U$2:$U$1001,0),0), INDEX($AB$1004:$AQ$1004,1,MATCH(COLUMNS($AB$1006:AN1006),$AB$1006:$AQ$1006,0)))),"Fix")))</f>
        <v>0</v>
      </c>
      <c r="O713" s="5">
        <f>IF(OR(INDEX($V$2:$V$1001,MATCH(ROWS($U$2:U713),$U$2:$U$1001,0),1)&gt;=100000,INDEX($AB$1005:$AQ$1005,1,MATCH(COLUMNS($AB$1006:AO1006),$AB$1006:$AQ$1006,0))&gt;=100000), " ",IF(INDEX($AB$2:$AQ$1001,MATCH(ROWS($U$2:U713),$U$2:$U$1001,0),MATCH(COLUMNS($AB$1006:AO1006),$AB$1006:$AQ$1006,0)), HYPERLINK("#",""), HYPERLINK(CONCATENATE("#Metadata!", ADDRESS(INDEX($W$2:$W$1001,MATCH(ROWS($U$2:U713),$U$2:$U$1001,0),0), INDEX($AB$1004:$AQ$1004,1,MATCH(COLUMNS($AB$1006:AO1006),$AB$1006:$AQ$1006,0)))),"Fix")))</f>
        <v>0</v>
      </c>
      <c r="P713" s="5">
        <f>IF(OR(INDEX($V$2:$V$1001,MATCH(ROWS($U$2:U713),$U$2:$U$1001,0),1)&gt;=100000,INDEX($AB$1005:$AQ$1005,1,MATCH(COLUMNS($AB$1006:AP1006),$AB$1006:$AQ$1006,0))&gt;=100000), " ",IF(INDEX($AB$2:$AQ$1001,MATCH(ROWS($U$2:U713),$U$2:$U$1001,0),MATCH(COLUMNS($AB$1006:AP1006),$AB$1006:$AQ$1006,0)), HYPERLINK("#",""), HYPERLINK(CONCATENATE("#Metadata!", ADDRESS(INDEX($W$2:$W$1001,MATCH(ROWS($U$2:U713),$U$2:$U$1001,0),0), INDEX($AB$1004:$AQ$1004,1,MATCH(COLUMNS($AB$1006:AP1006),$AB$1006:$AQ$1006,0)))),"Fix")))</f>
        <v>0</v>
      </c>
      <c r="Q713" s="5">
        <f>IF(OR(INDEX($V$2:$V$1001,MATCH(ROWS($U$2:U713),$U$2:$U$1001,0),1)&gt;=100000,INDEX($AB$1005:$AQ$1005,1,MATCH(COLUMNS($AB$1006:AQ1006),$AB$1006:$AQ$1006,0))&gt;=100000), " ",IF(INDEX($AB$2:$AQ$1001,MATCH(ROWS($U$2:U713),$U$2:$U$1001,0),MATCH(COLUMNS($AB$1006:AQ1006),$AB$1006:$AQ$1006,0)), HYPERLINK("#",""), HYPERLINK(CONCATENATE("#Metadata!", ADDRESS(INDEX($W$2:$W$1001,MATCH(ROWS($U$2:U713),$U$2:$U$1001,0),0), INDEX($AB$1004:$AQ$1004,1,MATCH(COLUMNS($AB$1006:AQ1006),$AB$1006:$AQ$1006,0)))),"Fix")))</f>
        <v>0</v>
      </c>
      <c r="U713">
        <v>0</v>
      </c>
      <c r="V713">
        <v>0</v>
      </c>
      <c r="W713">
        <v>0</v>
      </c>
      <c r="X713">
        <f>IF(Y713,TRUE,AND(AB713:AQ713))</f>
        <v>0</v>
      </c>
      <c r="Y713">
        <f>COUNTBLANK(Metadata!B713:Q713)=COLUMNS(Metadata!B713:Q713)</f>
        <v>0</v>
      </c>
      <c r="Z713">
        <v>0</v>
      </c>
      <c r="AB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AC713">
        <f>AND(IF(Metadata!C713="",FALSE,TRUE),exact(Metadata!C713,"urban biome"))</f>
        <v>0</v>
      </c>
      <c r="AD713">
        <f>AND(IF(Metadata!D713="",FALSE,TRUE),exact(Metadata!D713,"human-associated habitat"))</f>
        <v>0</v>
      </c>
      <c r="AE713">
        <f>AND(IF(Metadata!E713="",FALSE,TRUE),OR(exact(Metadata!E713,"human-associated"),exact(Metadata!E713,"human-skin"),exact(Metadata!E713,"human-oral"),exact(Metadata!E713,"human-gut"),exact(Metadata!E713,"human-vaginal")))</f>
        <v>0</v>
      </c>
      <c r="AF713">
        <f>AND(IF(Metadata!F713="",FALSE,ISNUMBER(VALUE(Metadata!F713))),Metadata!F713&gt;0)</f>
        <v>0</v>
      </c>
      <c r="AG713">
        <f>AND(IF(Metadata!G713="",FALSE,TRUE),exact(Metadata!G713,"years"))</f>
        <v>0</v>
      </c>
      <c r="AH713">
        <f>OR(AND(IF(Metadata!H713="",FALSE,TRUE),OR(exact(Metadata!H713,"not applicable"),exact(Metadata!H713,"not collected"),exact(Metadata!H713,"not provided"),exact(Metadata!H713,"restricted access"))),AND(IF(Metadata!H713="",FALSE,ISNUMBER(VALUE(Metadata!H713))),Metadata!H713&gt;0))</f>
        <v>0</v>
      </c>
      <c r="AI713">
        <f>AND(IF(Metadata!I713="",FALSE,TRUE),exact(Metadata!I713,"human"))</f>
        <v>0</v>
      </c>
      <c r="AJ713">
        <f>AND(IF(Metadata!J713="",FALSE,ISNUMBER(VALUE(Metadata!J713))),Metadata!J713&gt;0)</f>
        <v>0</v>
      </c>
      <c r="AK713">
        <f>AND(IF(Metadata!K713="",FALSE,TRUE),exact(Metadata!K713,"cm"))</f>
        <v>0</v>
      </c>
      <c r="AL713">
        <f>AND(IF(Metadata!L713="",FALSE,TRUE),exact(Metadata!L713,"Homo sapiens"))</f>
        <v>0</v>
      </c>
      <c r="AM713">
        <f>AND(IF(Metadata!M713="",FALSE,TRUE),exact(Metadata!M713,"9606"))</f>
        <v>0</v>
      </c>
      <c r="AN713">
        <f>AND(IF(Metadata!N713="",FALSE,ISNUMBER(VALUE(Metadata!N713))),Metadata!N713&gt;0)</f>
        <v>0</v>
      </c>
      <c r="AO713">
        <f>AND(IF(Metadata!O713="",FALSE,TRUE),exact(Metadata!O713,"kg"))</f>
        <v>0</v>
      </c>
      <c r="AP713">
        <f>OR(AND(IF(Metadata!P713="",FALSE,TRUE),exact(Metadata!P713,"not provided")),IF(Metadata!P713="",FALSE,TRUE))</f>
        <v>0</v>
      </c>
      <c r="AQ713">
        <f>OR(AND(IF(Metadata!Q713="",FALSE,TRUE),exact(Metadata!Q713,"not provided")),IF(Metadata!Q713="",FALSE,TRUE))</f>
        <v>0</v>
      </c>
    </row>
    <row r="714" spans="1:43">
      <c r="A714" s="4">
        <f>IF(B714=" "," ",HYPERLINK(CONCATENATE("#metadata!",ADDRESS(INDEX($W$2:$W$1001,MATCH(ROWS($U$2:U714),$U$2:$U$1001,0),0),2)),INDEX($Z$2:$Z$1001,MATCH(ROWS($U$2:U714),$U$2:$U$1001,0),0)))</f>
        <v>0</v>
      </c>
      <c r="B714" s="5">
        <f>IF(OR(INDEX($V$2:$V$1001,MATCH(ROWS($U$2:U714),$U$2:$U$1001,0),1)&gt;=100000,INDEX($AB$1005:$AQ$1005,1,MATCH(COLUMNS($AB$1006:AB1006),$AB$1006:$AQ$1006,0))&gt;=100000), " ",IF(INDEX($AB$2:$AQ$1001,MATCH(ROWS($U$2:U714),$U$2:$U$1001,0),MATCH(COLUMNS($AB$1006:AB1006),$AB$1006:$AQ$1006,0)), HYPERLINK("#",""), HYPERLINK(CONCATENATE("#Metadata!", ADDRESS(INDEX($W$2:$W$1001,MATCH(ROWS($U$2:U714),$U$2:$U$1001,0),0), INDEX($AB$1004:$AQ$1004,1,MATCH(COLUMNS($AB$1006:AB1006),$AB$1006:$AQ$1006,0)))),"Fix")))</f>
        <v>0</v>
      </c>
      <c r="C714" s="5">
        <f>IF(OR(INDEX($V$2:$V$1001,MATCH(ROWS($U$2:U714),$U$2:$U$1001,0),1)&gt;=100000,INDEX($AB$1005:$AQ$1005,1,MATCH(COLUMNS($AB$1006:AC1006),$AB$1006:$AQ$1006,0))&gt;=100000), " ",IF(INDEX($AB$2:$AQ$1001,MATCH(ROWS($U$2:U714),$U$2:$U$1001,0),MATCH(COLUMNS($AB$1006:AC1006),$AB$1006:$AQ$1006,0)), HYPERLINK("#",""), HYPERLINK(CONCATENATE("#Metadata!", ADDRESS(INDEX($W$2:$W$1001,MATCH(ROWS($U$2:U714),$U$2:$U$1001,0),0), INDEX($AB$1004:$AQ$1004,1,MATCH(COLUMNS($AB$1006:AC1006),$AB$1006:$AQ$1006,0)))),"Fix")))</f>
        <v>0</v>
      </c>
      <c r="D714" s="5">
        <f>IF(OR(INDEX($V$2:$V$1001,MATCH(ROWS($U$2:U714),$U$2:$U$1001,0),1)&gt;=100000,INDEX($AB$1005:$AQ$1005,1,MATCH(COLUMNS($AB$1006:AD1006),$AB$1006:$AQ$1006,0))&gt;=100000), " ",IF(INDEX($AB$2:$AQ$1001,MATCH(ROWS($U$2:U714),$U$2:$U$1001,0),MATCH(COLUMNS($AB$1006:AD1006),$AB$1006:$AQ$1006,0)), HYPERLINK("#",""), HYPERLINK(CONCATENATE("#Metadata!", ADDRESS(INDEX($W$2:$W$1001,MATCH(ROWS($U$2:U714),$U$2:$U$1001,0),0), INDEX($AB$1004:$AQ$1004,1,MATCH(COLUMNS($AB$1006:AD1006),$AB$1006:$AQ$1006,0)))),"Fix")))</f>
        <v>0</v>
      </c>
      <c r="E714" s="5">
        <f>IF(OR(INDEX($V$2:$V$1001,MATCH(ROWS($U$2:U714),$U$2:$U$1001,0),1)&gt;=100000,INDEX($AB$1005:$AQ$1005,1,MATCH(COLUMNS($AB$1006:AE1006),$AB$1006:$AQ$1006,0))&gt;=100000), " ",IF(INDEX($AB$2:$AQ$1001,MATCH(ROWS($U$2:U714),$U$2:$U$1001,0),MATCH(COLUMNS($AB$1006:AE1006),$AB$1006:$AQ$1006,0)), HYPERLINK("#",""), HYPERLINK(CONCATENATE("#Metadata!", ADDRESS(INDEX($W$2:$W$1001,MATCH(ROWS($U$2:U714),$U$2:$U$1001,0),0), INDEX($AB$1004:$AQ$1004,1,MATCH(COLUMNS($AB$1006:AE1006),$AB$1006:$AQ$1006,0)))),"Fix")))</f>
        <v>0</v>
      </c>
      <c r="F714" s="5">
        <f>IF(OR(INDEX($V$2:$V$1001,MATCH(ROWS($U$2:U714),$U$2:$U$1001,0),1)&gt;=100000,INDEX($AB$1005:$AQ$1005,1,MATCH(COLUMNS($AB$1006:AF1006),$AB$1006:$AQ$1006,0))&gt;=100000), " ",IF(INDEX($AB$2:$AQ$1001,MATCH(ROWS($U$2:U714),$U$2:$U$1001,0),MATCH(COLUMNS($AB$1006:AF1006),$AB$1006:$AQ$1006,0)), HYPERLINK("#",""), HYPERLINK(CONCATENATE("#Metadata!", ADDRESS(INDEX($W$2:$W$1001,MATCH(ROWS($U$2:U714),$U$2:$U$1001,0),0), INDEX($AB$1004:$AQ$1004,1,MATCH(COLUMNS($AB$1006:AF1006),$AB$1006:$AQ$1006,0)))),"Fix")))</f>
        <v>0</v>
      </c>
      <c r="G714" s="5">
        <f>IF(OR(INDEX($V$2:$V$1001,MATCH(ROWS($U$2:U714),$U$2:$U$1001,0),1)&gt;=100000,INDEX($AB$1005:$AQ$1005,1,MATCH(COLUMNS($AB$1006:AG1006),$AB$1006:$AQ$1006,0))&gt;=100000), " ",IF(INDEX($AB$2:$AQ$1001,MATCH(ROWS($U$2:U714),$U$2:$U$1001,0),MATCH(COLUMNS($AB$1006:AG1006),$AB$1006:$AQ$1006,0)), HYPERLINK("#",""), HYPERLINK(CONCATENATE("#Metadata!", ADDRESS(INDEX($W$2:$W$1001,MATCH(ROWS($U$2:U714),$U$2:$U$1001,0),0), INDEX($AB$1004:$AQ$1004,1,MATCH(COLUMNS($AB$1006:AG1006),$AB$1006:$AQ$1006,0)))),"Fix")))</f>
        <v>0</v>
      </c>
      <c r="H714" s="5">
        <f>IF(OR(INDEX($V$2:$V$1001,MATCH(ROWS($U$2:U714),$U$2:$U$1001,0),1)&gt;=100000,INDEX($AB$1005:$AQ$1005,1,MATCH(COLUMNS($AB$1006:AH1006),$AB$1006:$AQ$1006,0))&gt;=100000), " ",IF(INDEX($AB$2:$AQ$1001,MATCH(ROWS($U$2:U714),$U$2:$U$1001,0),MATCH(COLUMNS($AB$1006:AH1006),$AB$1006:$AQ$1006,0)), HYPERLINK("#",""), HYPERLINK(CONCATENATE("#Metadata!", ADDRESS(INDEX($W$2:$W$1001,MATCH(ROWS($U$2:U714),$U$2:$U$1001,0),0), INDEX($AB$1004:$AQ$1004,1,MATCH(COLUMNS($AB$1006:AH1006),$AB$1006:$AQ$1006,0)))),"Fix")))</f>
        <v>0</v>
      </c>
      <c r="I714" s="5">
        <f>IF(OR(INDEX($V$2:$V$1001,MATCH(ROWS($U$2:U714),$U$2:$U$1001,0),1)&gt;=100000,INDEX($AB$1005:$AQ$1005,1,MATCH(COLUMNS($AB$1006:AI1006),$AB$1006:$AQ$1006,0))&gt;=100000), " ",IF(INDEX($AB$2:$AQ$1001,MATCH(ROWS($U$2:U714),$U$2:$U$1001,0),MATCH(COLUMNS($AB$1006:AI1006),$AB$1006:$AQ$1006,0)), HYPERLINK("#",""), HYPERLINK(CONCATENATE("#Metadata!", ADDRESS(INDEX($W$2:$W$1001,MATCH(ROWS($U$2:U714),$U$2:$U$1001,0),0), INDEX($AB$1004:$AQ$1004,1,MATCH(COLUMNS($AB$1006:AI1006),$AB$1006:$AQ$1006,0)))),"Fix")))</f>
        <v>0</v>
      </c>
      <c r="J714" s="5">
        <f>IF(OR(INDEX($V$2:$V$1001,MATCH(ROWS($U$2:U714),$U$2:$U$1001,0),1)&gt;=100000,INDEX($AB$1005:$AQ$1005,1,MATCH(COLUMNS($AB$1006:AJ1006),$AB$1006:$AQ$1006,0))&gt;=100000), " ",IF(INDEX($AB$2:$AQ$1001,MATCH(ROWS($U$2:U714),$U$2:$U$1001,0),MATCH(COLUMNS($AB$1006:AJ1006),$AB$1006:$AQ$1006,0)), HYPERLINK("#",""), HYPERLINK(CONCATENATE("#Metadata!", ADDRESS(INDEX($W$2:$W$1001,MATCH(ROWS($U$2:U714),$U$2:$U$1001,0),0), INDEX($AB$1004:$AQ$1004,1,MATCH(COLUMNS($AB$1006:AJ1006),$AB$1006:$AQ$1006,0)))),"Fix")))</f>
        <v>0</v>
      </c>
      <c r="K714" s="5">
        <f>IF(OR(INDEX($V$2:$V$1001,MATCH(ROWS($U$2:U714),$U$2:$U$1001,0),1)&gt;=100000,INDEX($AB$1005:$AQ$1005,1,MATCH(COLUMNS($AB$1006:AK1006),$AB$1006:$AQ$1006,0))&gt;=100000), " ",IF(INDEX($AB$2:$AQ$1001,MATCH(ROWS($U$2:U714),$U$2:$U$1001,0),MATCH(COLUMNS($AB$1006:AK1006),$AB$1006:$AQ$1006,0)), HYPERLINK("#",""), HYPERLINK(CONCATENATE("#Metadata!", ADDRESS(INDEX($W$2:$W$1001,MATCH(ROWS($U$2:U714),$U$2:$U$1001,0),0), INDEX($AB$1004:$AQ$1004,1,MATCH(COLUMNS($AB$1006:AK1006),$AB$1006:$AQ$1006,0)))),"Fix")))</f>
        <v>0</v>
      </c>
      <c r="L714" s="5">
        <f>IF(OR(INDEX($V$2:$V$1001,MATCH(ROWS($U$2:U714),$U$2:$U$1001,0),1)&gt;=100000,INDEX($AB$1005:$AQ$1005,1,MATCH(COLUMNS($AB$1006:AL1006),$AB$1006:$AQ$1006,0))&gt;=100000), " ",IF(INDEX($AB$2:$AQ$1001,MATCH(ROWS($U$2:U714),$U$2:$U$1001,0),MATCH(COLUMNS($AB$1006:AL1006),$AB$1006:$AQ$1006,0)), HYPERLINK("#",""), HYPERLINK(CONCATENATE("#Metadata!", ADDRESS(INDEX($W$2:$W$1001,MATCH(ROWS($U$2:U714),$U$2:$U$1001,0),0), INDEX($AB$1004:$AQ$1004,1,MATCH(COLUMNS($AB$1006:AL1006),$AB$1006:$AQ$1006,0)))),"Fix")))</f>
        <v>0</v>
      </c>
      <c r="M714" s="5">
        <f>IF(OR(INDEX($V$2:$V$1001,MATCH(ROWS($U$2:U714),$U$2:$U$1001,0),1)&gt;=100000,INDEX($AB$1005:$AQ$1005,1,MATCH(COLUMNS($AB$1006:AM1006),$AB$1006:$AQ$1006,0))&gt;=100000), " ",IF(INDEX($AB$2:$AQ$1001,MATCH(ROWS($U$2:U714),$U$2:$U$1001,0),MATCH(COLUMNS($AB$1006:AM1006),$AB$1006:$AQ$1006,0)), HYPERLINK("#",""), HYPERLINK(CONCATENATE("#Metadata!", ADDRESS(INDEX($W$2:$W$1001,MATCH(ROWS($U$2:U714),$U$2:$U$1001,0),0), INDEX($AB$1004:$AQ$1004,1,MATCH(COLUMNS($AB$1006:AM1006),$AB$1006:$AQ$1006,0)))),"Fix")))</f>
        <v>0</v>
      </c>
      <c r="N714" s="5">
        <f>IF(OR(INDEX($V$2:$V$1001,MATCH(ROWS($U$2:U714),$U$2:$U$1001,0),1)&gt;=100000,INDEX($AB$1005:$AQ$1005,1,MATCH(COLUMNS($AB$1006:AN1006),$AB$1006:$AQ$1006,0))&gt;=100000), " ",IF(INDEX($AB$2:$AQ$1001,MATCH(ROWS($U$2:U714),$U$2:$U$1001,0),MATCH(COLUMNS($AB$1006:AN1006),$AB$1006:$AQ$1006,0)), HYPERLINK("#",""), HYPERLINK(CONCATENATE("#Metadata!", ADDRESS(INDEX($W$2:$W$1001,MATCH(ROWS($U$2:U714),$U$2:$U$1001,0),0), INDEX($AB$1004:$AQ$1004,1,MATCH(COLUMNS($AB$1006:AN1006),$AB$1006:$AQ$1006,0)))),"Fix")))</f>
        <v>0</v>
      </c>
      <c r="O714" s="5">
        <f>IF(OR(INDEX($V$2:$V$1001,MATCH(ROWS($U$2:U714),$U$2:$U$1001,0),1)&gt;=100000,INDEX($AB$1005:$AQ$1005,1,MATCH(COLUMNS($AB$1006:AO1006),$AB$1006:$AQ$1006,0))&gt;=100000), " ",IF(INDEX($AB$2:$AQ$1001,MATCH(ROWS($U$2:U714),$U$2:$U$1001,0),MATCH(COLUMNS($AB$1006:AO1006),$AB$1006:$AQ$1006,0)), HYPERLINK("#",""), HYPERLINK(CONCATENATE("#Metadata!", ADDRESS(INDEX($W$2:$W$1001,MATCH(ROWS($U$2:U714),$U$2:$U$1001,0),0), INDEX($AB$1004:$AQ$1004,1,MATCH(COLUMNS($AB$1006:AO1006),$AB$1006:$AQ$1006,0)))),"Fix")))</f>
        <v>0</v>
      </c>
      <c r="P714" s="5">
        <f>IF(OR(INDEX($V$2:$V$1001,MATCH(ROWS($U$2:U714),$U$2:$U$1001,0),1)&gt;=100000,INDEX($AB$1005:$AQ$1005,1,MATCH(COLUMNS($AB$1006:AP1006),$AB$1006:$AQ$1006,0))&gt;=100000), " ",IF(INDEX($AB$2:$AQ$1001,MATCH(ROWS($U$2:U714),$U$2:$U$1001,0),MATCH(COLUMNS($AB$1006:AP1006),$AB$1006:$AQ$1006,0)), HYPERLINK("#",""), HYPERLINK(CONCATENATE("#Metadata!", ADDRESS(INDEX($W$2:$W$1001,MATCH(ROWS($U$2:U714),$U$2:$U$1001,0),0), INDEX($AB$1004:$AQ$1004,1,MATCH(COLUMNS($AB$1006:AP1006),$AB$1006:$AQ$1006,0)))),"Fix")))</f>
        <v>0</v>
      </c>
      <c r="Q714" s="5">
        <f>IF(OR(INDEX($V$2:$V$1001,MATCH(ROWS($U$2:U714),$U$2:$U$1001,0),1)&gt;=100000,INDEX($AB$1005:$AQ$1005,1,MATCH(COLUMNS($AB$1006:AQ1006),$AB$1006:$AQ$1006,0))&gt;=100000), " ",IF(INDEX($AB$2:$AQ$1001,MATCH(ROWS($U$2:U714),$U$2:$U$1001,0),MATCH(COLUMNS($AB$1006:AQ1006),$AB$1006:$AQ$1006,0)), HYPERLINK("#",""), HYPERLINK(CONCATENATE("#Metadata!", ADDRESS(INDEX($W$2:$W$1001,MATCH(ROWS($U$2:U714),$U$2:$U$1001,0),0), INDEX($AB$1004:$AQ$1004,1,MATCH(COLUMNS($AB$1006:AQ1006),$AB$1006:$AQ$1006,0)))),"Fix")))</f>
        <v>0</v>
      </c>
      <c r="U714">
        <v>0</v>
      </c>
      <c r="V714">
        <v>0</v>
      </c>
      <c r="W714">
        <v>0</v>
      </c>
      <c r="X714">
        <f>IF(Y714,TRUE,AND(AB714:AQ714))</f>
        <v>0</v>
      </c>
      <c r="Y714">
        <f>COUNTBLANK(Metadata!B714:Q714)=COLUMNS(Metadata!B714:Q714)</f>
        <v>0</v>
      </c>
      <c r="Z714">
        <v>0</v>
      </c>
      <c r="AB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AC714">
        <f>AND(IF(Metadata!C714="",FALSE,TRUE),exact(Metadata!C714,"urban biome"))</f>
        <v>0</v>
      </c>
      <c r="AD714">
        <f>AND(IF(Metadata!D714="",FALSE,TRUE),exact(Metadata!D714,"human-associated habitat"))</f>
        <v>0</v>
      </c>
      <c r="AE714">
        <f>AND(IF(Metadata!E714="",FALSE,TRUE),OR(exact(Metadata!E714,"human-associated"),exact(Metadata!E714,"human-skin"),exact(Metadata!E714,"human-oral"),exact(Metadata!E714,"human-gut"),exact(Metadata!E714,"human-vaginal")))</f>
        <v>0</v>
      </c>
      <c r="AF714">
        <f>AND(IF(Metadata!F714="",FALSE,ISNUMBER(VALUE(Metadata!F714))),Metadata!F714&gt;0)</f>
        <v>0</v>
      </c>
      <c r="AG714">
        <f>AND(IF(Metadata!G714="",FALSE,TRUE),exact(Metadata!G714,"years"))</f>
        <v>0</v>
      </c>
      <c r="AH714">
        <f>OR(AND(IF(Metadata!H714="",FALSE,TRUE),OR(exact(Metadata!H714,"not applicable"),exact(Metadata!H714,"not collected"),exact(Metadata!H714,"not provided"),exact(Metadata!H714,"restricted access"))),AND(IF(Metadata!H714="",FALSE,ISNUMBER(VALUE(Metadata!H714))),Metadata!H714&gt;0))</f>
        <v>0</v>
      </c>
      <c r="AI714">
        <f>AND(IF(Metadata!I714="",FALSE,TRUE),exact(Metadata!I714,"human"))</f>
        <v>0</v>
      </c>
      <c r="AJ714">
        <f>AND(IF(Metadata!J714="",FALSE,ISNUMBER(VALUE(Metadata!J714))),Metadata!J714&gt;0)</f>
        <v>0</v>
      </c>
      <c r="AK714">
        <f>AND(IF(Metadata!K714="",FALSE,TRUE),exact(Metadata!K714,"cm"))</f>
        <v>0</v>
      </c>
      <c r="AL714">
        <f>AND(IF(Metadata!L714="",FALSE,TRUE),exact(Metadata!L714,"Homo sapiens"))</f>
        <v>0</v>
      </c>
      <c r="AM714">
        <f>AND(IF(Metadata!M714="",FALSE,TRUE),exact(Metadata!M714,"9606"))</f>
        <v>0</v>
      </c>
      <c r="AN714">
        <f>AND(IF(Metadata!N714="",FALSE,ISNUMBER(VALUE(Metadata!N714))),Metadata!N714&gt;0)</f>
        <v>0</v>
      </c>
      <c r="AO714">
        <f>AND(IF(Metadata!O714="",FALSE,TRUE),exact(Metadata!O714,"kg"))</f>
        <v>0</v>
      </c>
      <c r="AP714">
        <f>OR(AND(IF(Metadata!P714="",FALSE,TRUE),exact(Metadata!P714,"not provided")),IF(Metadata!P714="",FALSE,TRUE))</f>
        <v>0</v>
      </c>
      <c r="AQ714">
        <f>OR(AND(IF(Metadata!Q714="",FALSE,TRUE),exact(Metadata!Q714,"not provided")),IF(Metadata!Q714="",FALSE,TRUE))</f>
        <v>0</v>
      </c>
    </row>
    <row r="715" spans="1:43">
      <c r="A715" s="4">
        <f>IF(B715=" "," ",HYPERLINK(CONCATENATE("#metadata!",ADDRESS(INDEX($W$2:$W$1001,MATCH(ROWS($U$2:U715),$U$2:$U$1001,0),0),2)),INDEX($Z$2:$Z$1001,MATCH(ROWS($U$2:U715),$U$2:$U$1001,0),0)))</f>
        <v>0</v>
      </c>
      <c r="B715" s="5">
        <f>IF(OR(INDEX($V$2:$V$1001,MATCH(ROWS($U$2:U715),$U$2:$U$1001,0),1)&gt;=100000,INDEX($AB$1005:$AQ$1005,1,MATCH(COLUMNS($AB$1006:AB1006),$AB$1006:$AQ$1006,0))&gt;=100000), " ",IF(INDEX($AB$2:$AQ$1001,MATCH(ROWS($U$2:U715),$U$2:$U$1001,0),MATCH(COLUMNS($AB$1006:AB1006),$AB$1006:$AQ$1006,0)), HYPERLINK("#",""), HYPERLINK(CONCATENATE("#Metadata!", ADDRESS(INDEX($W$2:$W$1001,MATCH(ROWS($U$2:U715),$U$2:$U$1001,0),0), INDEX($AB$1004:$AQ$1004,1,MATCH(COLUMNS($AB$1006:AB1006),$AB$1006:$AQ$1006,0)))),"Fix")))</f>
        <v>0</v>
      </c>
      <c r="C715" s="5">
        <f>IF(OR(INDEX($V$2:$V$1001,MATCH(ROWS($U$2:U715),$U$2:$U$1001,0),1)&gt;=100000,INDEX($AB$1005:$AQ$1005,1,MATCH(COLUMNS($AB$1006:AC1006),$AB$1006:$AQ$1006,0))&gt;=100000), " ",IF(INDEX($AB$2:$AQ$1001,MATCH(ROWS($U$2:U715),$U$2:$U$1001,0),MATCH(COLUMNS($AB$1006:AC1006),$AB$1006:$AQ$1006,0)), HYPERLINK("#",""), HYPERLINK(CONCATENATE("#Metadata!", ADDRESS(INDEX($W$2:$W$1001,MATCH(ROWS($U$2:U715),$U$2:$U$1001,0),0), INDEX($AB$1004:$AQ$1004,1,MATCH(COLUMNS($AB$1006:AC1006),$AB$1006:$AQ$1006,0)))),"Fix")))</f>
        <v>0</v>
      </c>
      <c r="D715" s="5">
        <f>IF(OR(INDEX($V$2:$V$1001,MATCH(ROWS($U$2:U715),$U$2:$U$1001,0),1)&gt;=100000,INDEX($AB$1005:$AQ$1005,1,MATCH(COLUMNS($AB$1006:AD1006),$AB$1006:$AQ$1006,0))&gt;=100000), " ",IF(INDEX($AB$2:$AQ$1001,MATCH(ROWS($U$2:U715),$U$2:$U$1001,0),MATCH(COLUMNS($AB$1006:AD1006),$AB$1006:$AQ$1006,0)), HYPERLINK("#",""), HYPERLINK(CONCATENATE("#Metadata!", ADDRESS(INDEX($W$2:$W$1001,MATCH(ROWS($U$2:U715),$U$2:$U$1001,0),0), INDEX($AB$1004:$AQ$1004,1,MATCH(COLUMNS($AB$1006:AD1006),$AB$1006:$AQ$1006,0)))),"Fix")))</f>
        <v>0</v>
      </c>
      <c r="E715" s="5">
        <f>IF(OR(INDEX($V$2:$V$1001,MATCH(ROWS($U$2:U715),$U$2:$U$1001,0),1)&gt;=100000,INDEX($AB$1005:$AQ$1005,1,MATCH(COLUMNS($AB$1006:AE1006),$AB$1006:$AQ$1006,0))&gt;=100000), " ",IF(INDEX($AB$2:$AQ$1001,MATCH(ROWS($U$2:U715),$U$2:$U$1001,0),MATCH(COLUMNS($AB$1006:AE1006),$AB$1006:$AQ$1006,0)), HYPERLINK("#",""), HYPERLINK(CONCATENATE("#Metadata!", ADDRESS(INDEX($W$2:$W$1001,MATCH(ROWS($U$2:U715),$U$2:$U$1001,0),0), INDEX($AB$1004:$AQ$1004,1,MATCH(COLUMNS($AB$1006:AE1006),$AB$1006:$AQ$1006,0)))),"Fix")))</f>
        <v>0</v>
      </c>
      <c r="F715" s="5">
        <f>IF(OR(INDEX($V$2:$V$1001,MATCH(ROWS($U$2:U715),$U$2:$U$1001,0),1)&gt;=100000,INDEX($AB$1005:$AQ$1005,1,MATCH(COLUMNS($AB$1006:AF1006),$AB$1006:$AQ$1006,0))&gt;=100000), " ",IF(INDEX($AB$2:$AQ$1001,MATCH(ROWS($U$2:U715),$U$2:$U$1001,0),MATCH(COLUMNS($AB$1006:AF1006),$AB$1006:$AQ$1006,0)), HYPERLINK("#",""), HYPERLINK(CONCATENATE("#Metadata!", ADDRESS(INDEX($W$2:$W$1001,MATCH(ROWS($U$2:U715),$U$2:$U$1001,0),0), INDEX($AB$1004:$AQ$1004,1,MATCH(COLUMNS($AB$1006:AF1006),$AB$1006:$AQ$1006,0)))),"Fix")))</f>
        <v>0</v>
      </c>
      <c r="G715" s="5">
        <f>IF(OR(INDEX($V$2:$V$1001,MATCH(ROWS($U$2:U715),$U$2:$U$1001,0),1)&gt;=100000,INDEX($AB$1005:$AQ$1005,1,MATCH(COLUMNS($AB$1006:AG1006),$AB$1006:$AQ$1006,0))&gt;=100000), " ",IF(INDEX($AB$2:$AQ$1001,MATCH(ROWS($U$2:U715),$U$2:$U$1001,0),MATCH(COLUMNS($AB$1006:AG1006),$AB$1006:$AQ$1006,0)), HYPERLINK("#",""), HYPERLINK(CONCATENATE("#Metadata!", ADDRESS(INDEX($W$2:$W$1001,MATCH(ROWS($U$2:U715),$U$2:$U$1001,0),0), INDEX($AB$1004:$AQ$1004,1,MATCH(COLUMNS($AB$1006:AG1006),$AB$1006:$AQ$1006,0)))),"Fix")))</f>
        <v>0</v>
      </c>
      <c r="H715" s="5">
        <f>IF(OR(INDEX($V$2:$V$1001,MATCH(ROWS($U$2:U715),$U$2:$U$1001,0),1)&gt;=100000,INDEX($AB$1005:$AQ$1005,1,MATCH(COLUMNS($AB$1006:AH1006),$AB$1006:$AQ$1006,0))&gt;=100000), " ",IF(INDEX($AB$2:$AQ$1001,MATCH(ROWS($U$2:U715),$U$2:$U$1001,0),MATCH(COLUMNS($AB$1006:AH1006),$AB$1006:$AQ$1006,0)), HYPERLINK("#",""), HYPERLINK(CONCATENATE("#Metadata!", ADDRESS(INDEX($W$2:$W$1001,MATCH(ROWS($U$2:U715),$U$2:$U$1001,0),0), INDEX($AB$1004:$AQ$1004,1,MATCH(COLUMNS($AB$1006:AH1006),$AB$1006:$AQ$1006,0)))),"Fix")))</f>
        <v>0</v>
      </c>
      <c r="I715" s="5">
        <f>IF(OR(INDEX($V$2:$V$1001,MATCH(ROWS($U$2:U715),$U$2:$U$1001,0),1)&gt;=100000,INDEX($AB$1005:$AQ$1005,1,MATCH(COLUMNS($AB$1006:AI1006),$AB$1006:$AQ$1006,0))&gt;=100000), " ",IF(INDEX($AB$2:$AQ$1001,MATCH(ROWS($U$2:U715),$U$2:$U$1001,0),MATCH(COLUMNS($AB$1006:AI1006),$AB$1006:$AQ$1006,0)), HYPERLINK("#",""), HYPERLINK(CONCATENATE("#Metadata!", ADDRESS(INDEX($W$2:$W$1001,MATCH(ROWS($U$2:U715),$U$2:$U$1001,0),0), INDEX($AB$1004:$AQ$1004,1,MATCH(COLUMNS($AB$1006:AI1006),$AB$1006:$AQ$1006,0)))),"Fix")))</f>
        <v>0</v>
      </c>
      <c r="J715" s="5">
        <f>IF(OR(INDEX($V$2:$V$1001,MATCH(ROWS($U$2:U715),$U$2:$U$1001,0),1)&gt;=100000,INDEX($AB$1005:$AQ$1005,1,MATCH(COLUMNS($AB$1006:AJ1006),$AB$1006:$AQ$1006,0))&gt;=100000), " ",IF(INDEX($AB$2:$AQ$1001,MATCH(ROWS($U$2:U715),$U$2:$U$1001,0),MATCH(COLUMNS($AB$1006:AJ1006),$AB$1006:$AQ$1006,0)), HYPERLINK("#",""), HYPERLINK(CONCATENATE("#Metadata!", ADDRESS(INDEX($W$2:$W$1001,MATCH(ROWS($U$2:U715),$U$2:$U$1001,0),0), INDEX($AB$1004:$AQ$1004,1,MATCH(COLUMNS($AB$1006:AJ1006),$AB$1006:$AQ$1006,0)))),"Fix")))</f>
        <v>0</v>
      </c>
      <c r="K715" s="5">
        <f>IF(OR(INDEX($V$2:$V$1001,MATCH(ROWS($U$2:U715),$U$2:$U$1001,0),1)&gt;=100000,INDEX($AB$1005:$AQ$1005,1,MATCH(COLUMNS($AB$1006:AK1006),$AB$1006:$AQ$1006,0))&gt;=100000), " ",IF(INDEX($AB$2:$AQ$1001,MATCH(ROWS($U$2:U715),$U$2:$U$1001,0),MATCH(COLUMNS($AB$1006:AK1006),$AB$1006:$AQ$1006,0)), HYPERLINK("#",""), HYPERLINK(CONCATENATE("#Metadata!", ADDRESS(INDEX($W$2:$W$1001,MATCH(ROWS($U$2:U715),$U$2:$U$1001,0),0), INDEX($AB$1004:$AQ$1004,1,MATCH(COLUMNS($AB$1006:AK1006),$AB$1006:$AQ$1006,0)))),"Fix")))</f>
        <v>0</v>
      </c>
      <c r="L715" s="5">
        <f>IF(OR(INDEX($V$2:$V$1001,MATCH(ROWS($U$2:U715),$U$2:$U$1001,0),1)&gt;=100000,INDEX($AB$1005:$AQ$1005,1,MATCH(COLUMNS($AB$1006:AL1006),$AB$1006:$AQ$1006,0))&gt;=100000), " ",IF(INDEX($AB$2:$AQ$1001,MATCH(ROWS($U$2:U715),$U$2:$U$1001,0),MATCH(COLUMNS($AB$1006:AL1006),$AB$1006:$AQ$1006,0)), HYPERLINK("#",""), HYPERLINK(CONCATENATE("#Metadata!", ADDRESS(INDEX($W$2:$W$1001,MATCH(ROWS($U$2:U715),$U$2:$U$1001,0),0), INDEX($AB$1004:$AQ$1004,1,MATCH(COLUMNS($AB$1006:AL1006),$AB$1006:$AQ$1006,0)))),"Fix")))</f>
        <v>0</v>
      </c>
      <c r="M715" s="5">
        <f>IF(OR(INDEX($V$2:$V$1001,MATCH(ROWS($U$2:U715),$U$2:$U$1001,0),1)&gt;=100000,INDEX($AB$1005:$AQ$1005,1,MATCH(COLUMNS($AB$1006:AM1006),$AB$1006:$AQ$1006,0))&gt;=100000), " ",IF(INDEX($AB$2:$AQ$1001,MATCH(ROWS($U$2:U715),$U$2:$U$1001,0),MATCH(COLUMNS($AB$1006:AM1006),$AB$1006:$AQ$1006,0)), HYPERLINK("#",""), HYPERLINK(CONCATENATE("#Metadata!", ADDRESS(INDEX($W$2:$W$1001,MATCH(ROWS($U$2:U715),$U$2:$U$1001,0),0), INDEX($AB$1004:$AQ$1004,1,MATCH(COLUMNS($AB$1006:AM1006),$AB$1006:$AQ$1006,0)))),"Fix")))</f>
        <v>0</v>
      </c>
      <c r="N715" s="5">
        <f>IF(OR(INDEX($V$2:$V$1001,MATCH(ROWS($U$2:U715),$U$2:$U$1001,0),1)&gt;=100000,INDEX($AB$1005:$AQ$1005,1,MATCH(COLUMNS($AB$1006:AN1006),$AB$1006:$AQ$1006,0))&gt;=100000), " ",IF(INDEX($AB$2:$AQ$1001,MATCH(ROWS($U$2:U715),$U$2:$U$1001,0),MATCH(COLUMNS($AB$1006:AN1006),$AB$1006:$AQ$1006,0)), HYPERLINK("#",""), HYPERLINK(CONCATENATE("#Metadata!", ADDRESS(INDEX($W$2:$W$1001,MATCH(ROWS($U$2:U715),$U$2:$U$1001,0),0), INDEX($AB$1004:$AQ$1004,1,MATCH(COLUMNS($AB$1006:AN1006),$AB$1006:$AQ$1006,0)))),"Fix")))</f>
        <v>0</v>
      </c>
      <c r="O715" s="5">
        <f>IF(OR(INDEX($V$2:$V$1001,MATCH(ROWS($U$2:U715),$U$2:$U$1001,0),1)&gt;=100000,INDEX($AB$1005:$AQ$1005,1,MATCH(COLUMNS($AB$1006:AO1006),$AB$1006:$AQ$1006,0))&gt;=100000), " ",IF(INDEX($AB$2:$AQ$1001,MATCH(ROWS($U$2:U715),$U$2:$U$1001,0),MATCH(COLUMNS($AB$1006:AO1006),$AB$1006:$AQ$1006,0)), HYPERLINK("#",""), HYPERLINK(CONCATENATE("#Metadata!", ADDRESS(INDEX($W$2:$W$1001,MATCH(ROWS($U$2:U715),$U$2:$U$1001,0),0), INDEX($AB$1004:$AQ$1004,1,MATCH(COLUMNS($AB$1006:AO1006),$AB$1006:$AQ$1006,0)))),"Fix")))</f>
        <v>0</v>
      </c>
      <c r="P715" s="5">
        <f>IF(OR(INDEX($V$2:$V$1001,MATCH(ROWS($U$2:U715),$U$2:$U$1001,0),1)&gt;=100000,INDEX($AB$1005:$AQ$1005,1,MATCH(COLUMNS($AB$1006:AP1006),$AB$1006:$AQ$1006,0))&gt;=100000), " ",IF(INDEX($AB$2:$AQ$1001,MATCH(ROWS($U$2:U715),$U$2:$U$1001,0),MATCH(COLUMNS($AB$1006:AP1006),$AB$1006:$AQ$1006,0)), HYPERLINK("#",""), HYPERLINK(CONCATENATE("#Metadata!", ADDRESS(INDEX($W$2:$W$1001,MATCH(ROWS($U$2:U715),$U$2:$U$1001,0),0), INDEX($AB$1004:$AQ$1004,1,MATCH(COLUMNS($AB$1006:AP1006),$AB$1006:$AQ$1006,0)))),"Fix")))</f>
        <v>0</v>
      </c>
      <c r="Q715" s="5">
        <f>IF(OR(INDEX($V$2:$V$1001,MATCH(ROWS($U$2:U715),$U$2:$U$1001,0),1)&gt;=100000,INDEX($AB$1005:$AQ$1005,1,MATCH(COLUMNS($AB$1006:AQ1006),$AB$1006:$AQ$1006,0))&gt;=100000), " ",IF(INDEX($AB$2:$AQ$1001,MATCH(ROWS($U$2:U715),$U$2:$U$1001,0),MATCH(COLUMNS($AB$1006:AQ1006),$AB$1006:$AQ$1006,0)), HYPERLINK("#",""), HYPERLINK(CONCATENATE("#Metadata!", ADDRESS(INDEX($W$2:$W$1001,MATCH(ROWS($U$2:U715),$U$2:$U$1001,0),0), INDEX($AB$1004:$AQ$1004,1,MATCH(COLUMNS($AB$1006:AQ1006),$AB$1006:$AQ$1006,0)))),"Fix")))</f>
        <v>0</v>
      </c>
      <c r="U715">
        <v>0</v>
      </c>
      <c r="V715">
        <v>0</v>
      </c>
      <c r="W715">
        <v>0</v>
      </c>
      <c r="X715">
        <f>IF(Y715,TRUE,AND(AB715:AQ715))</f>
        <v>0</v>
      </c>
      <c r="Y715">
        <f>COUNTBLANK(Metadata!B715:Q715)=COLUMNS(Metadata!B715:Q715)</f>
        <v>0</v>
      </c>
      <c r="Z715">
        <v>0</v>
      </c>
      <c r="AB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AC715">
        <f>AND(IF(Metadata!C715="",FALSE,TRUE),exact(Metadata!C715,"urban biome"))</f>
        <v>0</v>
      </c>
      <c r="AD715">
        <f>AND(IF(Metadata!D715="",FALSE,TRUE),exact(Metadata!D715,"human-associated habitat"))</f>
        <v>0</v>
      </c>
      <c r="AE715">
        <f>AND(IF(Metadata!E715="",FALSE,TRUE),OR(exact(Metadata!E715,"human-associated"),exact(Metadata!E715,"human-skin"),exact(Metadata!E715,"human-oral"),exact(Metadata!E715,"human-gut"),exact(Metadata!E715,"human-vaginal")))</f>
        <v>0</v>
      </c>
      <c r="AF715">
        <f>AND(IF(Metadata!F715="",FALSE,ISNUMBER(VALUE(Metadata!F715))),Metadata!F715&gt;0)</f>
        <v>0</v>
      </c>
      <c r="AG715">
        <f>AND(IF(Metadata!G715="",FALSE,TRUE),exact(Metadata!G715,"years"))</f>
        <v>0</v>
      </c>
      <c r="AH715">
        <f>OR(AND(IF(Metadata!H715="",FALSE,TRUE),OR(exact(Metadata!H715,"not applicable"),exact(Metadata!H715,"not collected"),exact(Metadata!H715,"not provided"),exact(Metadata!H715,"restricted access"))),AND(IF(Metadata!H715="",FALSE,ISNUMBER(VALUE(Metadata!H715))),Metadata!H715&gt;0))</f>
        <v>0</v>
      </c>
      <c r="AI715">
        <f>AND(IF(Metadata!I715="",FALSE,TRUE),exact(Metadata!I715,"human"))</f>
        <v>0</v>
      </c>
      <c r="AJ715">
        <f>AND(IF(Metadata!J715="",FALSE,ISNUMBER(VALUE(Metadata!J715))),Metadata!J715&gt;0)</f>
        <v>0</v>
      </c>
      <c r="AK715">
        <f>AND(IF(Metadata!K715="",FALSE,TRUE),exact(Metadata!K715,"cm"))</f>
        <v>0</v>
      </c>
      <c r="AL715">
        <f>AND(IF(Metadata!L715="",FALSE,TRUE),exact(Metadata!L715,"Homo sapiens"))</f>
        <v>0</v>
      </c>
      <c r="AM715">
        <f>AND(IF(Metadata!M715="",FALSE,TRUE),exact(Metadata!M715,"9606"))</f>
        <v>0</v>
      </c>
      <c r="AN715">
        <f>AND(IF(Metadata!N715="",FALSE,ISNUMBER(VALUE(Metadata!N715))),Metadata!N715&gt;0)</f>
        <v>0</v>
      </c>
      <c r="AO715">
        <f>AND(IF(Metadata!O715="",FALSE,TRUE),exact(Metadata!O715,"kg"))</f>
        <v>0</v>
      </c>
      <c r="AP715">
        <f>OR(AND(IF(Metadata!P715="",FALSE,TRUE),exact(Metadata!P715,"not provided")),IF(Metadata!P715="",FALSE,TRUE))</f>
        <v>0</v>
      </c>
      <c r="AQ715">
        <f>OR(AND(IF(Metadata!Q715="",FALSE,TRUE),exact(Metadata!Q715,"not provided")),IF(Metadata!Q715="",FALSE,TRUE))</f>
        <v>0</v>
      </c>
    </row>
    <row r="716" spans="1:43">
      <c r="A716" s="4">
        <f>IF(B716=" "," ",HYPERLINK(CONCATENATE("#metadata!",ADDRESS(INDEX($W$2:$W$1001,MATCH(ROWS($U$2:U716),$U$2:$U$1001,0),0),2)),INDEX($Z$2:$Z$1001,MATCH(ROWS($U$2:U716),$U$2:$U$1001,0),0)))</f>
        <v>0</v>
      </c>
      <c r="B716" s="5">
        <f>IF(OR(INDEX($V$2:$V$1001,MATCH(ROWS($U$2:U716),$U$2:$U$1001,0),1)&gt;=100000,INDEX($AB$1005:$AQ$1005,1,MATCH(COLUMNS($AB$1006:AB1006),$AB$1006:$AQ$1006,0))&gt;=100000), " ",IF(INDEX($AB$2:$AQ$1001,MATCH(ROWS($U$2:U716),$U$2:$U$1001,0),MATCH(COLUMNS($AB$1006:AB1006),$AB$1006:$AQ$1006,0)), HYPERLINK("#",""), HYPERLINK(CONCATENATE("#Metadata!", ADDRESS(INDEX($W$2:$W$1001,MATCH(ROWS($U$2:U716),$U$2:$U$1001,0),0), INDEX($AB$1004:$AQ$1004,1,MATCH(COLUMNS($AB$1006:AB1006),$AB$1006:$AQ$1006,0)))),"Fix")))</f>
        <v>0</v>
      </c>
      <c r="C716" s="5">
        <f>IF(OR(INDEX($V$2:$V$1001,MATCH(ROWS($U$2:U716),$U$2:$U$1001,0),1)&gt;=100000,INDEX($AB$1005:$AQ$1005,1,MATCH(COLUMNS($AB$1006:AC1006),$AB$1006:$AQ$1006,0))&gt;=100000), " ",IF(INDEX($AB$2:$AQ$1001,MATCH(ROWS($U$2:U716),$U$2:$U$1001,0),MATCH(COLUMNS($AB$1006:AC1006),$AB$1006:$AQ$1006,0)), HYPERLINK("#",""), HYPERLINK(CONCATENATE("#Metadata!", ADDRESS(INDEX($W$2:$W$1001,MATCH(ROWS($U$2:U716),$U$2:$U$1001,0),0), INDEX($AB$1004:$AQ$1004,1,MATCH(COLUMNS($AB$1006:AC1006),$AB$1006:$AQ$1006,0)))),"Fix")))</f>
        <v>0</v>
      </c>
      <c r="D716" s="5">
        <f>IF(OR(INDEX($V$2:$V$1001,MATCH(ROWS($U$2:U716),$U$2:$U$1001,0),1)&gt;=100000,INDEX($AB$1005:$AQ$1005,1,MATCH(COLUMNS($AB$1006:AD1006),$AB$1006:$AQ$1006,0))&gt;=100000), " ",IF(INDEX($AB$2:$AQ$1001,MATCH(ROWS($U$2:U716),$U$2:$U$1001,0),MATCH(COLUMNS($AB$1006:AD1006),$AB$1006:$AQ$1006,0)), HYPERLINK("#",""), HYPERLINK(CONCATENATE("#Metadata!", ADDRESS(INDEX($W$2:$W$1001,MATCH(ROWS($U$2:U716),$U$2:$U$1001,0),0), INDEX($AB$1004:$AQ$1004,1,MATCH(COLUMNS($AB$1006:AD1006),$AB$1006:$AQ$1006,0)))),"Fix")))</f>
        <v>0</v>
      </c>
      <c r="E716" s="5">
        <f>IF(OR(INDEX($V$2:$V$1001,MATCH(ROWS($U$2:U716),$U$2:$U$1001,0),1)&gt;=100000,INDEX($AB$1005:$AQ$1005,1,MATCH(COLUMNS($AB$1006:AE1006),$AB$1006:$AQ$1006,0))&gt;=100000), " ",IF(INDEX($AB$2:$AQ$1001,MATCH(ROWS($U$2:U716),$U$2:$U$1001,0),MATCH(COLUMNS($AB$1006:AE1006),$AB$1006:$AQ$1006,0)), HYPERLINK("#",""), HYPERLINK(CONCATENATE("#Metadata!", ADDRESS(INDEX($W$2:$W$1001,MATCH(ROWS($U$2:U716),$U$2:$U$1001,0),0), INDEX($AB$1004:$AQ$1004,1,MATCH(COLUMNS($AB$1006:AE1006),$AB$1006:$AQ$1006,0)))),"Fix")))</f>
        <v>0</v>
      </c>
      <c r="F716" s="5">
        <f>IF(OR(INDEX($V$2:$V$1001,MATCH(ROWS($U$2:U716),$U$2:$U$1001,0),1)&gt;=100000,INDEX($AB$1005:$AQ$1005,1,MATCH(COLUMNS($AB$1006:AF1006),$AB$1006:$AQ$1006,0))&gt;=100000), " ",IF(INDEX($AB$2:$AQ$1001,MATCH(ROWS($U$2:U716),$U$2:$U$1001,0),MATCH(COLUMNS($AB$1006:AF1006),$AB$1006:$AQ$1006,0)), HYPERLINK("#",""), HYPERLINK(CONCATENATE("#Metadata!", ADDRESS(INDEX($W$2:$W$1001,MATCH(ROWS($U$2:U716),$U$2:$U$1001,0),0), INDEX($AB$1004:$AQ$1004,1,MATCH(COLUMNS($AB$1006:AF1006),$AB$1006:$AQ$1006,0)))),"Fix")))</f>
        <v>0</v>
      </c>
      <c r="G716" s="5">
        <f>IF(OR(INDEX($V$2:$V$1001,MATCH(ROWS($U$2:U716),$U$2:$U$1001,0),1)&gt;=100000,INDEX($AB$1005:$AQ$1005,1,MATCH(COLUMNS($AB$1006:AG1006),$AB$1006:$AQ$1006,0))&gt;=100000), " ",IF(INDEX($AB$2:$AQ$1001,MATCH(ROWS($U$2:U716),$U$2:$U$1001,0),MATCH(COLUMNS($AB$1006:AG1006),$AB$1006:$AQ$1006,0)), HYPERLINK("#",""), HYPERLINK(CONCATENATE("#Metadata!", ADDRESS(INDEX($W$2:$W$1001,MATCH(ROWS($U$2:U716),$U$2:$U$1001,0),0), INDEX($AB$1004:$AQ$1004,1,MATCH(COLUMNS($AB$1006:AG1006),$AB$1006:$AQ$1006,0)))),"Fix")))</f>
        <v>0</v>
      </c>
      <c r="H716" s="5">
        <f>IF(OR(INDEX($V$2:$V$1001,MATCH(ROWS($U$2:U716),$U$2:$U$1001,0),1)&gt;=100000,INDEX($AB$1005:$AQ$1005,1,MATCH(COLUMNS($AB$1006:AH1006),$AB$1006:$AQ$1006,0))&gt;=100000), " ",IF(INDEX($AB$2:$AQ$1001,MATCH(ROWS($U$2:U716),$U$2:$U$1001,0),MATCH(COLUMNS($AB$1006:AH1006),$AB$1006:$AQ$1006,0)), HYPERLINK("#",""), HYPERLINK(CONCATENATE("#Metadata!", ADDRESS(INDEX($W$2:$W$1001,MATCH(ROWS($U$2:U716),$U$2:$U$1001,0),0), INDEX($AB$1004:$AQ$1004,1,MATCH(COLUMNS($AB$1006:AH1006),$AB$1006:$AQ$1006,0)))),"Fix")))</f>
        <v>0</v>
      </c>
      <c r="I716" s="5">
        <f>IF(OR(INDEX($V$2:$V$1001,MATCH(ROWS($U$2:U716),$U$2:$U$1001,0),1)&gt;=100000,INDEX($AB$1005:$AQ$1005,1,MATCH(COLUMNS($AB$1006:AI1006),$AB$1006:$AQ$1006,0))&gt;=100000), " ",IF(INDEX($AB$2:$AQ$1001,MATCH(ROWS($U$2:U716),$U$2:$U$1001,0),MATCH(COLUMNS($AB$1006:AI1006),$AB$1006:$AQ$1006,0)), HYPERLINK("#",""), HYPERLINK(CONCATENATE("#Metadata!", ADDRESS(INDEX($W$2:$W$1001,MATCH(ROWS($U$2:U716),$U$2:$U$1001,0),0), INDEX($AB$1004:$AQ$1004,1,MATCH(COLUMNS($AB$1006:AI1006),$AB$1006:$AQ$1006,0)))),"Fix")))</f>
        <v>0</v>
      </c>
      <c r="J716" s="5">
        <f>IF(OR(INDEX($V$2:$V$1001,MATCH(ROWS($U$2:U716),$U$2:$U$1001,0),1)&gt;=100000,INDEX($AB$1005:$AQ$1005,1,MATCH(COLUMNS($AB$1006:AJ1006),$AB$1006:$AQ$1006,0))&gt;=100000), " ",IF(INDEX($AB$2:$AQ$1001,MATCH(ROWS($U$2:U716),$U$2:$U$1001,0),MATCH(COLUMNS($AB$1006:AJ1006),$AB$1006:$AQ$1006,0)), HYPERLINK("#",""), HYPERLINK(CONCATENATE("#Metadata!", ADDRESS(INDEX($W$2:$W$1001,MATCH(ROWS($U$2:U716),$U$2:$U$1001,0),0), INDEX($AB$1004:$AQ$1004,1,MATCH(COLUMNS($AB$1006:AJ1006),$AB$1006:$AQ$1006,0)))),"Fix")))</f>
        <v>0</v>
      </c>
      <c r="K716" s="5">
        <f>IF(OR(INDEX($V$2:$V$1001,MATCH(ROWS($U$2:U716),$U$2:$U$1001,0),1)&gt;=100000,INDEX($AB$1005:$AQ$1005,1,MATCH(COLUMNS($AB$1006:AK1006),$AB$1006:$AQ$1006,0))&gt;=100000), " ",IF(INDEX($AB$2:$AQ$1001,MATCH(ROWS($U$2:U716),$U$2:$U$1001,0),MATCH(COLUMNS($AB$1006:AK1006),$AB$1006:$AQ$1006,0)), HYPERLINK("#",""), HYPERLINK(CONCATENATE("#Metadata!", ADDRESS(INDEX($W$2:$W$1001,MATCH(ROWS($U$2:U716),$U$2:$U$1001,0),0), INDEX($AB$1004:$AQ$1004,1,MATCH(COLUMNS($AB$1006:AK1006),$AB$1006:$AQ$1006,0)))),"Fix")))</f>
        <v>0</v>
      </c>
      <c r="L716" s="5">
        <f>IF(OR(INDEX($V$2:$V$1001,MATCH(ROWS($U$2:U716),$U$2:$U$1001,0),1)&gt;=100000,INDEX($AB$1005:$AQ$1005,1,MATCH(COLUMNS($AB$1006:AL1006),$AB$1006:$AQ$1006,0))&gt;=100000), " ",IF(INDEX($AB$2:$AQ$1001,MATCH(ROWS($U$2:U716),$U$2:$U$1001,0),MATCH(COLUMNS($AB$1006:AL1006),$AB$1006:$AQ$1006,0)), HYPERLINK("#",""), HYPERLINK(CONCATENATE("#Metadata!", ADDRESS(INDEX($W$2:$W$1001,MATCH(ROWS($U$2:U716),$U$2:$U$1001,0),0), INDEX($AB$1004:$AQ$1004,1,MATCH(COLUMNS($AB$1006:AL1006),$AB$1006:$AQ$1006,0)))),"Fix")))</f>
        <v>0</v>
      </c>
      <c r="M716" s="5">
        <f>IF(OR(INDEX($V$2:$V$1001,MATCH(ROWS($U$2:U716),$U$2:$U$1001,0),1)&gt;=100000,INDEX($AB$1005:$AQ$1005,1,MATCH(COLUMNS($AB$1006:AM1006),$AB$1006:$AQ$1006,0))&gt;=100000), " ",IF(INDEX($AB$2:$AQ$1001,MATCH(ROWS($U$2:U716),$U$2:$U$1001,0),MATCH(COLUMNS($AB$1006:AM1006),$AB$1006:$AQ$1006,0)), HYPERLINK("#",""), HYPERLINK(CONCATENATE("#Metadata!", ADDRESS(INDEX($W$2:$W$1001,MATCH(ROWS($U$2:U716),$U$2:$U$1001,0),0), INDEX($AB$1004:$AQ$1004,1,MATCH(COLUMNS($AB$1006:AM1006),$AB$1006:$AQ$1006,0)))),"Fix")))</f>
        <v>0</v>
      </c>
      <c r="N716" s="5">
        <f>IF(OR(INDEX($V$2:$V$1001,MATCH(ROWS($U$2:U716),$U$2:$U$1001,0),1)&gt;=100000,INDEX($AB$1005:$AQ$1005,1,MATCH(COLUMNS($AB$1006:AN1006),$AB$1006:$AQ$1006,0))&gt;=100000), " ",IF(INDEX($AB$2:$AQ$1001,MATCH(ROWS($U$2:U716),$U$2:$U$1001,0),MATCH(COLUMNS($AB$1006:AN1006),$AB$1006:$AQ$1006,0)), HYPERLINK("#",""), HYPERLINK(CONCATENATE("#Metadata!", ADDRESS(INDEX($W$2:$W$1001,MATCH(ROWS($U$2:U716),$U$2:$U$1001,0),0), INDEX($AB$1004:$AQ$1004,1,MATCH(COLUMNS($AB$1006:AN1006),$AB$1006:$AQ$1006,0)))),"Fix")))</f>
        <v>0</v>
      </c>
      <c r="O716" s="5">
        <f>IF(OR(INDEX($V$2:$V$1001,MATCH(ROWS($U$2:U716),$U$2:$U$1001,0),1)&gt;=100000,INDEX($AB$1005:$AQ$1005,1,MATCH(COLUMNS($AB$1006:AO1006),$AB$1006:$AQ$1006,0))&gt;=100000), " ",IF(INDEX($AB$2:$AQ$1001,MATCH(ROWS($U$2:U716),$U$2:$U$1001,0),MATCH(COLUMNS($AB$1006:AO1006),$AB$1006:$AQ$1006,0)), HYPERLINK("#",""), HYPERLINK(CONCATENATE("#Metadata!", ADDRESS(INDEX($W$2:$W$1001,MATCH(ROWS($U$2:U716),$U$2:$U$1001,0),0), INDEX($AB$1004:$AQ$1004,1,MATCH(COLUMNS($AB$1006:AO1006),$AB$1006:$AQ$1006,0)))),"Fix")))</f>
        <v>0</v>
      </c>
      <c r="P716" s="5">
        <f>IF(OR(INDEX($V$2:$V$1001,MATCH(ROWS($U$2:U716),$U$2:$U$1001,0),1)&gt;=100000,INDEX($AB$1005:$AQ$1005,1,MATCH(COLUMNS($AB$1006:AP1006),$AB$1006:$AQ$1006,0))&gt;=100000), " ",IF(INDEX($AB$2:$AQ$1001,MATCH(ROWS($U$2:U716),$U$2:$U$1001,0),MATCH(COLUMNS($AB$1006:AP1006),$AB$1006:$AQ$1006,0)), HYPERLINK("#",""), HYPERLINK(CONCATENATE("#Metadata!", ADDRESS(INDEX($W$2:$W$1001,MATCH(ROWS($U$2:U716),$U$2:$U$1001,0),0), INDEX($AB$1004:$AQ$1004,1,MATCH(COLUMNS($AB$1006:AP1006),$AB$1006:$AQ$1006,0)))),"Fix")))</f>
        <v>0</v>
      </c>
      <c r="Q716" s="5">
        <f>IF(OR(INDEX($V$2:$V$1001,MATCH(ROWS($U$2:U716),$U$2:$U$1001,0),1)&gt;=100000,INDEX($AB$1005:$AQ$1005,1,MATCH(COLUMNS($AB$1006:AQ1006),$AB$1006:$AQ$1006,0))&gt;=100000), " ",IF(INDEX($AB$2:$AQ$1001,MATCH(ROWS($U$2:U716),$U$2:$U$1001,0),MATCH(COLUMNS($AB$1006:AQ1006),$AB$1006:$AQ$1006,0)), HYPERLINK("#",""), HYPERLINK(CONCATENATE("#Metadata!", ADDRESS(INDEX($W$2:$W$1001,MATCH(ROWS($U$2:U716),$U$2:$U$1001,0),0), INDEX($AB$1004:$AQ$1004,1,MATCH(COLUMNS($AB$1006:AQ1006),$AB$1006:$AQ$1006,0)))),"Fix")))</f>
        <v>0</v>
      </c>
      <c r="U716">
        <v>0</v>
      </c>
      <c r="V716">
        <v>0</v>
      </c>
      <c r="W716">
        <v>0</v>
      </c>
      <c r="X716">
        <f>IF(Y716,TRUE,AND(AB716:AQ716))</f>
        <v>0</v>
      </c>
      <c r="Y716">
        <f>COUNTBLANK(Metadata!B716:Q716)=COLUMNS(Metadata!B716:Q716)</f>
        <v>0</v>
      </c>
      <c r="Z716">
        <v>0</v>
      </c>
      <c r="AB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AC716">
        <f>AND(IF(Metadata!C716="",FALSE,TRUE),exact(Metadata!C716,"urban biome"))</f>
        <v>0</v>
      </c>
      <c r="AD716">
        <f>AND(IF(Metadata!D716="",FALSE,TRUE),exact(Metadata!D716,"human-associated habitat"))</f>
        <v>0</v>
      </c>
      <c r="AE716">
        <f>AND(IF(Metadata!E716="",FALSE,TRUE),OR(exact(Metadata!E716,"human-associated"),exact(Metadata!E716,"human-skin"),exact(Metadata!E716,"human-oral"),exact(Metadata!E716,"human-gut"),exact(Metadata!E716,"human-vaginal")))</f>
        <v>0</v>
      </c>
      <c r="AF716">
        <f>AND(IF(Metadata!F716="",FALSE,ISNUMBER(VALUE(Metadata!F716))),Metadata!F716&gt;0)</f>
        <v>0</v>
      </c>
      <c r="AG716">
        <f>AND(IF(Metadata!G716="",FALSE,TRUE),exact(Metadata!G716,"years"))</f>
        <v>0</v>
      </c>
      <c r="AH716">
        <f>OR(AND(IF(Metadata!H716="",FALSE,TRUE),OR(exact(Metadata!H716,"not applicable"),exact(Metadata!H716,"not collected"),exact(Metadata!H716,"not provided"),exact(Metadata!H716,"restricted access"))),AND(IF(Metadata!H716="",FALSE,ISNUMBER(VALUE(Metadata!H716))),Metadata!H716&gt;0))</f>
        <v>0</v>
      </c>
      <c r="AI716">
        <f>AND(IF(Metadata!I716="",FALSE,TRUE),exact(Metadata!I716,"human"))</f>
        <v>0</v>
      </c>
      <c r="AJ716">
        <f>AND(IF(Metadata!J716="",FALSE,ISNUMBER(VALUE(Metadata!J716))),Metadata!J716&gt;0)</f>
        <v>0</v>
      </c>
      <c r="AK716">
        <f>AND(IF(Metadata!K716="",FALSE,TRUE),exact(Metadata!K716,"cm"))</f>
        <v>0</v>
      </c>
      <c r="AL716">
        <f>AND(IF(Metadata!L716="",FALSE,TRUE),exact(Metadata!L716,"Homo sapiens"))</f>
        <v>0</v>
      </c>
      <c r="AM716">
        <f>AND(IF(Metadata!M716="",FALSE,TRUE),exact(Metadata!M716,"9606"))</f>
        <v>0</v>
      </c>
      <c r="AN716">
        <f>AND(IF(Metadata!N716="",FALSE,ISNUMBER(VALUE(Metadata!N716))),Metadata!N716&gt;0)</f>
        <v>0</v>
      </c>
      <c r="AO716">
        <f>AND(IF(Metadata!O716="",FALSE,TRUE),exact(Metadata!O716,"kg"))</f>
        <v>0</v>
      </c>
      <c r="AP716">
        <f>OR(AND(IF(Metadata!P716="",FALSE,TRUE),exact(Metadata!P716,"not provided")),IF(Metadata!P716="",FALSE,TRUE))</f>
        <v>0</v>
      </c>
      <c r="AQ716">
        <f>OR(AND(IF(Metadata!Q716="",FALSE,TRUE),exact(Metadata!Q716,"not provided")),IF(Metadata!Q716="",FALSE,TRUE))</f>
        <v>0</v>
      </c>
    </row>
    <row r="717" spans="1:43">
      <c r="A717" s="4">
        <f>IF(B717=" "," ",HYPERLINK(CONCATENATE("#metadata!",ADDRESS(INDEX($W$2:$W$1001,MATCH(ROWS($U$2:U717),$U$2:$U$1001,0),0),2)),INDEX($Z$2:$Z$1001,MATCH(ROWS($U$2:U717),$U$2:$U$1001,0),0)))</f>
        <v>0</v>
      </c>
      <c r="B717" s="5">
        <f>IF(OR(INDEX($V$2:$V$1001,MATCH(ROWS($U$2:U717),$U$2:$U$1001,0),1)&gt;=100000,INDEX($AB$1005:$AQ$1005,1,MATCH(COLUMNS($AB$1006:AB1006),$AB$1006:$AQ$1006,0))&gt;=100000), " ",IF(INDEX($AB$2:$AQ$1001,MATCH(ROWS($U$2:U717),$U$2:$U$1001,0),MATCH(COLUMNS($AB$1006:AB1006),$AB$1006:$AQ$1006,0)), HYPERLINK("#",""), HYPERLINK(CONCATENATE("#Metadata!", ADDRESS(INDEX($W$2:$W$1001,MATCH(ROWS($U$2:U717),$U$2:$U$1001,0),0), INDEX($AB$1004:$AQ$1004,1,MATCH(COLUMNS($AB$1006:AB1006),$AB$1006:$AQ$1006,0)))),"Fix")))</f>
        <v>0</v>
      </c>
      <c r="C717" s="5">
        <f>IF(OR(INDEX($V$2:$V$1001,MATCH(ROWS($U$2:U717),$U$2:$U$1001,0),1)&gt;=100000,INDEX($AB$1005:$AQ$1005,1,MATCH(COLUMNS($AB$1006:AC1006),$AB$1006:$AQ$1006,0))&gt;=100000), " ",IF(INDEX($AB$2:$AQ$1001,MATCH(ROWS($U$2:U717),$U$2:$U$1001,0),MATCH(COLUMNS($AB$1006:AC1006),$AB$1006:$AQ$1006,0)), HYPERLINK("#",""), HYPERLINK(CONCATENATE("#Metadata!", ADDRESS(INDEX($W$2:$W$1001,MATCH(ROWS($U$2:U717),$U$2:$U$1001,0),0), INDEX($AB$1004:$AQ$1004,1,MATCH(COLUMNS($AB$1006:AC1006),$AB$1006:$AQ$1006,0)))),"Fix")))</f>
        <v>0</v>
      </c>
      <c r="D717" s="5">
        <f>IF(OR(INDEX($V$2:$V$1001,MATCH(ROWS($U$2:U717),$U$2:$U$1001,0),1)&gt;=100000,INDEX($AB$1005:$AQ$1005,1,MATCH(COLUMNS($AB$1006:AD1006),$AB$1006:$AQ$1006,0))&gt;=100000), " ",IF(INDEX($AB$2:$AQ$1001,MATCH(ROWS($U$2:U717),$U$2:$U$1001,0),MATCH(COLUMNS($AB$1006:AD1006),$AB$1006:$AQ$1006,0)), HYPERLINK("#",""), HYPERLINK(CONCATENATE("#Metadata!", ADDRESS(INDEX($W$2:$W$1001,MATCH(ROWS($U$2:U717),$U$2:$U$1001,0),0), INDEX($AB$1004:$AQ$1004,1,MATCH(COLUMNS($AB$1006:AD1006),$AB$1006:$AQ$1006,0)))),"Fix")))</f>
        <v>0</v>
      </c>
      <c r="E717" s="5">
        <f>IF(OR(INDEX($V$2:$V$1001,MATCH(ROWS($U$2:U717),$U$2:$U$1001,0),1)&gt;=100000,INDEX($AB$1005:$AQ$1005,1,MATCH(COLUMNS($AB$1006:AE1006),$AB$1006:$AQ$1006,0))&gt;=100000), " ",IF(INDEX($AB$2:$AQ$1001,MATCH(ROWS($U$2:U717),$U$2:$U$1001,0),MATCH(COLUMNS($AB$1006:AE1006),$AB$1006:$AQ$1006,0)), HYPERLINK("#",""), HYPERLINK(CONCATENATE("#Metadata!", ADDRESS(INDEX($W$2:$W$1001,MATCH(ROWS($U$2:U717),$U$2:$U$1001,0),0), INDEX($AB$1004:$AQ$1004,1,MATCH(COLUMNS($AB$1006:AE1006),$AB$1006:$AQ$1006,0)))),"Fix")))</f>
        <v>0</v>
      </c>
      <c r="F717" s="5">
        <f>IF(OR(INDEX($V$2:$V$1001,MATCH(ROWS($U$2:U717),$U$2:$U$1001,0),1)&gt;=100000,INDEX($AB$1005:$AQ$1005,1,MATCH(COLUMNS($AB$1006:AF1006),$AB$1006:$AQ$1006,0))&gt;=100000), " ",IF(INDEX($AB$2:$AQ$1001,MATCH(ROWS($U$2:U717),$U$2:$U$1001,0),MATCH(COLUMNS($AB$1006:AF1006),$AB$1006:$AQ$1006,0)), HYPERLINK("#",""), HYPERLINK(CONCATENATE("#Metadata!", ADDRESS(INDEX($W$2:$W$1001,MATCH(ROWS($U$2:U717),$U$2:$U$1001,0),0), INDEX($AB$1004:$AQ$1004,1,MATCH(COLUMNS($AB$1006:AF1006),$AB$1006:$AQ$1006,0)))),"Fix")))</f>
        <v>0</v>
      </c>
      <c r="G717" s="5">
        <f>IF(OR(INDEX($V$2:$V$1001,MATCH(ROWS($U$2:U717),$U$2:$U$1001,0),1)&gt;=100000,INDEX($AB$1005:$AQ$1005,1,MATCH(COLUMNS($AB$1006:AG1006),$AB$1006:$AQ$1006,0))&gt;=100000), " ",IF(INDEX($AB$2:$AQ$1001,MATCH(ROWS($U$2:U717),$U$2:$U$1001,0),MATCH(COLUMNS($AB$1006:AG1006),$AB$1006:$AQ$1006,0)), HYPERLINK("#",""), HYPERLINK(CONCATENATE("#Metadata!", ADDRESS(INDEX($W$2:$W$1001,MATCH(ROWS($U$2:U717),$U$2:$U$1001,0),0), INDEX($AB$1004:$AQ$1004,1,MATCH(COLUMNS($AB$1006:AG1006),$AB$1006:$AQ$1006,0)))),"Fix")))</f>
        <v>0</v>
      </c>
      <c r="H717" s="5">
        <f>IF(OR(INDEX($V$2:$V$1001,MATCH(ROWS($U$2:U717),$U$2:$U$1001,0),1)&gt;=100000,INDEX($AB$1005:$AQ$1005,1,MATCH(COLUMNS($AB$1006:AH1006),$AB$1006:$AQ$1006,0))&gt;=100000), " ",IF(INDEX($AB$2:$AQ$1001,MATCH(ROWS($U$2:U717),$U$2:$U$1001,0),MATCH(COLUMNS($AB$1006:AH1006),$AB$1006:$AQ$1006,0)), HYPERLINK("#",""), HYPERLINK(CONCATENATE("#Metadata!", ADDRESS(INDEX($W$2:$W$1001,MATCH(ROWS($U$2:U717),$U$2:$U$1001,0),0), INDEX($AB$1004:$AQ$1004,1,MATCH(COLUMNS($AB$1006:AH1006),$AB$1006:$AQ$1006,0)))),"Fix")))</f>
        <v>0</v>
      </c>
      <c r="I717" s="5">
        <f>IF(OR(INDEX($V$2:$V$1001,MATCH(ROWS($U$2:U717),$U$2:$U$1001,0),1)&gt;=100000,INDEX($AB$1005:$AQ$1005,1,MATCH(COLUMNS($AB$1006:AI1006),$AB$1006:$AQ$1006,0))&gt;=100000), " ",IF(INDEX($AB$2:$AQ$1001,MATCH(ROWS($U$2:U717),$U$2:$U$1001,0),MATCH(COLUMNS($AB$1006:AI1006),$AB$1006:$AQ$1006,0)), HYPERLINK("#",""), HYPERLINK(CONCATENATE("#Metadata!", ADDRESS(INDEX($W$2:$W$1001,MATCH(ROWS($U$2:U717),$U$2:$U$1001,0),0), INDEX($AB$1004:$AQ$1004,1,MATCH(COLUMNS($AB$1006:AI1006),$AB$1006:$AQ$1006,0)))),"Fix")))</f>
        <v>0</v>
      </c>
      <c r="J717" s="5">
        <f>IF(OR(INDEX($V$2:$V$1001,MATCH(ROWS($U$2:U717),$U$2:$U$1001,0),1)&gt;=100000,INDEX($AB$1005:$AQ$1005,1,MATCH(COLUMNS($AB$1006:AJ1006),$AB$1006:$AQ$1006,0))&gt;=100000), " ",IF(INDEX($AB$2:$AQ$1001,MATCH(ROWS($U$2:U717),$U$2:$U$1001,0),MATCH(COLUMNS($AB$1006:AJ1006),$AB$1006:$AQ$1006,0)), HYPERLINK("#",""), HYPERLINK(CONCATENATE("#Metadata!", ADDRESS(INDEX($W$2:$W$1001,MATCH(ROWS($U$2:U717),$U$2:$U$1001,0),0), INDEX($AB$1004:$AQ$1004,1,MATCH(COLUMNS($AB$1006:AJ1006),$AB$1006:$AQ$1006,0)))),"Fix")))</f>
        <v>0</v>
      </c>
      <c r="K717" s="5">
        <f>IF(OR(INDEX($V$2:$V$1001,MATCH(ROWS($U$2:U717),$U$2:$U$1001,0),1)&gt;=100000,INDEX($AB$1005:$AQ$1005,1,MATCH(COLUMNS($AB$1006:AK1006),$AB$1006:$AQ$1006,0))&gt;=100000), " ",IF(INDEX($AB$2:$AQ$1001,MATCH(ROWS($U$2:U717),$U$2:$U$1001,0),MATCH(COLUMNS($AB$1006:AK1006),$AB$1006:$AQ$1006,0)), HYPERLINK("#",""), HYPERLINK(CONCATENATE("#Metadata!", ADDRESS(INDEX($W$2:$W$1001,MATCH(ROWS($U$2:U717),$U$2:$U$1001,0),0), INDEX($AB$1004:$AQ$1004,1,MATCH(COLUMNS($AB$1006:AK1006),$AB$1006:$AQ$1006,0)))),"Fix")))</f>
        <v>0</v>
      </c>
      <c r="L717" s="5">
        <f>IF(OR(INDEX($V$2:$V$1001,MATCH(ROWS($U$2:U717),$U$2:$U$1001,0),1)&gt;=100000,INDEX($AB$1005:$AQ$1005,1,MATCH(COLUMNS($AB$1006:AL1006),$AB$1006:$AQ$1006,0))&gt;=100000), " ",IF(INDEX($AB$2:$AQ$1001,MATCH(ROWS($U$2:U717),$U$2:$U$1001,0),MATCH(COLUMNS($AB$1006:AL1006),$AB$1006:$AQ$1006,0)), HYPERLINK("#",""), HYPERLINK(CONCATENATE("#Metadata!", ADDRESS(INDEX($W$2:$W$1001,MATCH(ROWS($U$2:U717),$U$2:$U$1001,0),0), INDEX($AB$1004:$AQ$1004,1,MATCH(COLUMNS($AB$1006:AL1006),$AB$1006:$AQ$1006,0)))),"Fix")))</f>
        <v>0</v>
      </c>
      <c r="M717" s="5">
        <f>IF(OR(INDEX($V$2:$V$1001,MATCH(ROWS($U$2:U717),$U$2:$U$1001,0),1)&gt;=100000,INDEX($AB$1005:$AQ$1005,1,MATCH(COLUMNS($AB$1006:AM1006),$AB$1006:$AQ$1006,0))&gt;=100000), " ",IF(INDEX($AB$2:$AQ$1001,MATCH(ROWS($U$2:U717),$U$2:$U$1001,0),MATCH(COLUMNS($AB$1006:AM1006),$AB$1006:$AQ$1006,0)), HYPERLINK("#",""), HYPERLINK(CONCATENATE("#Metadata!", ADDRESS(INDEX($W$2:$W$1001,MATCH(ROWS($U$2:U717),$U$2:$U$1001,0),0), INDEX($AB$1004:$AQ$1004,1,MATCH(COLUMNS($AB$1006:AM1006),$AB$1006:$AQ$1006,0)))),"Fix")))</f>
        <v>0</v>
      </c>
      <c r="N717" s="5">
        <f>IF(OR(INDEX($V$2:$V$1001,MATCH(ROWS($U$2:U717),$U$2:$U$1001,0),1)&gt;=100000,INDEX($AB$1005:$AQ$1005,1,MATCH(COLUMNS($AB$1006:AN1006),$AB$1006:$AQ$1006,0))&gt;=100000), " ",IF(INDEX($AB$2:$AQ$1001,MATCH(ROWS($U$2:U717),$U$2:$U$1001,0),MATCH(COLUMNS($AB$1006:AN1006),$AB$1006:$AQ$1006,0)), HYPERLINK("#",""), HYPERLINK(CONCATENATE("#Metadata!", ADDRESS(INDEX($W$2:$W$1001,MATCH(ROWS($U$2:U717),$U$2:$U$1001,0),0), INDEX($AB$1004:$AQ$1004,1,MATCH(COLUMNS($AB$1006:AN1006),$AB$1006:$AQ$1006,0)))),"Fix")))</f>
        <v>0</v>
      </c>
      <c r="O717" s="5">
        <f>IF(OR(INDEX($V$2:$V$1001,MATCH(ROWS($U$2:U717),$U$2:$U$1001,0),1)&gt;=100000,INDEX($AB$1005:$AQ$1005,1,MATCH(COLUMNS($AB$1006:AO1006),$AB$1006:$AQ$1006,0))&gt;=100000), " ",IF(INDEX($AB$2:$AQ$1001,MATCH(ROWS($U$2:U717),$U$2:$U$1001,0),MATCH(COLUMNS($AB$1006:AO1006),$AB$1006:$AQ$1006,0)), HYPERLINK("#",""), HYPERLINK(CONCATENATE("#Metadata!", ADDRESS(INDEX($W$2:$W$1001,MATCH(ROWS($U$2:U717),$U$2:$U$1001,0),0), INDEX($AB$1004:$AQ$1004,1,MATCH(COLUMNS($AB$1006:AO1006),$AB$1006:$AQ$1006,0)))),"Fix")))</f>
        <v>0</v>
      </c>
      <c r="P717" s="5">
        <f>IF(OR(INDEX($V$2:$V$1001,MATCH(ROWS($U$2:U717),$U$2:$U$1001,0),1)&gt;=100000,INDEX($AB$1005:$AQ$1005,1,MATCH(COLUMNS($AB$1006:AP1006),$AB$1006:$AQ$1006,0))&gt;=100000), " ",IF(INDEX($AB$2:$AQ$1001,MATCH(ROWS($U$2:U717),$U$2:$U$1001,0),MATCH(COLUMNS($AB$1006:AP1006),$AB$1006:$AQ$1006,0)), HYPERLINK("#",""), HYPERLINK(CONCATENATE("#Metadata!", ADDRESS(INDEX($W$2:$W$1001,MATCH(ROWS($U$2:U717),$U$2:$U$1001,0),0), INDEX($AB$1004:$AQ$1004,1,MATCH(COLUMNS($AB$1006:AP1006),$AB$1006:$AQ$1006,0)))),"Fix")))</f>
        <v>0</v>
      </c>
      <c r="Q717" s="5">
        <f>IF(OR(INDEX($V$2:$V$1001,MATCH(ROWS($U$2:U717),$U$2:$U$1001,0),1)&gt;=100000,INDEX($AB$1005:$AQ$1005,1,MATCH(COLUMNS($AB$1006:AQ1006),$AB$1006:$AQ$1006,0))&gt;=100000), " ",IF(INDEX($AB$2:$AQ$1001,MATCH(ROWS($U$2:U717),$U$2:$U$1001,0),MATCH(COLUMNS($AB$1006:AQ1006),$AB$1006:$AQ$1006,0)), HYPERLINK("#",""), HYPERLINK(CONCATENATE("#Metadata!", ADDRESS(INDEX($W$2:$W$1001,MATCH(ROWS($U$2:U717),$U$2:$U$1001,0),0), INDEX($AB$1004:$AQ$1004,1,MATCH(COLUMNS($AB$1006:AQ1006),$AB$1006:$AQ$1006,0)))),"Fix")))</f>
        <v>0</v>
      </c>
      <c r="U717">
        <v>0</v>
      </c>
      <c r="V717">
        <v>0</v>
      </c>
      <c r="W717">
        <v>0</v>
      </c>
      <c r="X717">
        <f>IF(Y717,TRUE,AND(AB717:AQ717))</f>
        <v>0</v>
      </c>
      <c r="Y717">
        <f>COUNTBLANK(Metadata!B717:Q717)=COLUMNS(Metadata!B717:Q717)</f>
        <v>0</v>
      </c>
      <c r="Z717">
        <v>0</v>
      </c>
      <c r="AB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AC717">
        <f>AND(IF(Metadata!C717="",FALSE,TRUE),exact(Metadata!C717,"urban biome"))</f>
        <v>0</v>
      </c>
      <c r="AD717">
        <f>AND(IF(Metadata!D717="",FALSE,TRUE),exact(Metadata!D717,"human-associated habitat"))</f>
        <v>0</v>
      </c>
      <c r="AE717">
        <f>AND(IF(Metadata!E717="",FALSE,TRUE),OR(exact(Metadata!E717,"human-associated"),exact(Metadata!E717,"human-skin"),exact(Metadata!E717,"human-oral"),exact(Metadata!E717,"human-gut"),exact(Metadata!E717,"human-vaginal")))</f>
        <v>0</v>
      </c>
      <c r="AF717">
        <f>AND(IF(Metadata!F717="",FALSE,ISNUMBER(VALUE(Metadata!F717))),Metadata!F717&gt;0)</f>
        <v>0</v>
      </c>
      <c r="AG717">
        <f>AND(IF(Metadata!G717="",FALSE,TRUE),exact(Metadata!G717,"years"))</f>
        <v>0</v>
      </c>
      <c r="AH717">
        <f>OR(AND(IF(Metadata!H717="",FALSE,TRUE),OR(exact(Metadata!H717,"not applicable"),exact(Metadata!H717,"not collected"),exact(Metadata!H717,"not provided"),exact(Metadata!H717,"restricted access"))),AND(IF(Metadata!H717="",FALSE,ISNUMBER(VALUE(Metadata!H717))),Metadata!H717&gt;0))</f>
        <v>0</v>
      </c>
      <c r="AI717">
        <f>AND(IF(Metadata!I717="",FALSE,TRUE),exact(Metadata!I717,"human"))</f>
        <v>0</v>
      </c>
      <c r="AJ717">
        <f>AND(IF(Metadata!J717="",FALSE,ISNUMBER(VALUE(Metadata!J717))),Metadata!J717&gt;0)</f>
        <v>0</v>
      </c>
      <c r="AK717">
        <f>AND(IF(Metadata!K717="",FALSE,TRUE),exact(Metadata!K717,"cm"))</f>
        <v>0</v>
      </c>
      <c r="AL717">
        <f>AND(IF(Metadata!L717="",FALSE,TRUE),exact(Metadata!L717,"Homo sapiens"))</f>
        <v>0</v>
      </c>
      <c r="AM717">
        <f>AND(IF(Metadata!M717="",FALSE,TRUE),exact(Metadata!M717,"9606"))</f>
        <v>0</v>
      </c>
      <c r="AN717">
        <f>AND(IF(Metadata!N717="",FALSE,ISNUMBER(VALUE(Metadata!N717))),Metadata!N717&gt;0)</f>
        <v>0</v>
      </c>
      <c r="AO717">
        <f>AND(IF(Metadata!O717="",FALSE,TRUE),exact(Metadata!O717,"kg"))</f>
        <v>0</v>
      </c>
      <c r="AP717">
        <f>OR(AND(IF(Metadata!P717="",FALSE,TRUE),exact(Metadata!P717,"not provided")),IF(Metadata!P717="",FALSE,TRUE))</f>
        <v>0</v>
      </c>
      <c r="AQ717">
        <f>OR(AND(IF(Metadata!Q717="",FALSE,TRUE),exact(Metadata!Q717,"not provided")),IF(Metadata!Q717="",FALSE,TRUE))</f>
        <v>0</v>
      </c>
    </row>
    <row r="718" spans="1:43">
      <c r="A718" s="4">
        <f>IF(B718=" "," ",HYPERLINK(CONCATENATE("#metadata!",ADDRESS(INDEX($W$2:$W$1001,MATCH(ROWS($U$2:U718),$U$2:$U$1001,0),0),2)),INDEX($Z$2:$Z$1001,MATCH(ROWS($U$2:U718),$U$2:$U$1001,0),0)))</f>
        <v>0</v>
      </c>
      <c r="B718" s="5">
        <f>IF(OR(INDEX($V$2:$V$1001,MATCH(ROWS($U$2:U718),$U$2:$U$1001,0),1)&gt;=100000,INDEX($AB$1005:$AQ$1005,1,MATCH(COLUMNS($AB$1006:AB1006),$AB$1006:$AQ$1006,0))&gt;=100000), " ",IF(INDEX($AB$2:$AQ$1001,MATCH(ROWS($U$2:U718),$U$2:$U$1001,0),MATCH(COLUMNS($AB$1006:AB1006),$AB$1006:$AQ$1006,0)), HYPERLINK("#",""), HYPERLINK(CONCATENATE("#Metadata!", ADDRESS(INDEX($W$2:$W$1001,MATCH(ROWS($U$2:U718),$U$2:$U$1001,0),0), INDEX($AB$1004:$AQ$1004,1,MATCH(COLUMNS($AB$1006:AB1006),$AB$1006:$AQ$1006,0)))),"Fix")))</f>
        <v>0</v>
      </c>
      <c r="C718" s="5">
        <f>IF(OR(INDEX($V$2:$V$1001,MATCH(ROWS($U$2:U718),$U$2:$U$1001,0),1)&gt;=100000,INDEX($AB$1005:$AQ$1005,1,MATCH(COLUMNS($AB$1006:AC1006),$AB$1006:$AQ$1006,0))&gt;=100000), " ",IF(INDEX($AB$2:$AQ$1001,MATCH(ROWS($U$2:U718),$U$2:$U$1001,0),MATCH(COLUMNS($AB$1006:AC1006),$AB$1006:$AQ$1006,0)), HYPERLINK("#",""), HYPERLINK(CONCATENATE("#Metadata!", ADDRESS(INDEX($W$2:$W$1001,MATCH(ROWS($U$2:U718),$U$2:$U$1001,0),0), INDEX($AB$1004:$AQ$1004,1,MATCH(COLUMNS($AB$1006:AC1006),$AB$1006:$AQ$1006,0)))),"Fix")))</f>
        <v>0</v>
      </c>
      <c r="D718" s="5">
        <f>IF(OR(INDEX($V$2:$V$1001,MATCH(ROWS($U$2:U718),$U$2:$U$1001,0),1)&gt;=100000,INDEX($AB$1005:$AQ$1005,1,MATCH(COLUMNS($AB$1006:AD1006),$AB$1006:$AQ$1006,0))&gt;=100000), " ",IF(INDEX($AB$2:$AQ$1001,MATCH(ROWS($U$2:U718),$U$2:$U$1001,0),MATCH(COLUMNS($AB$1006:AD1006),$AB$1006:$AQ$1006,0)), HYPERLINK("#",""), HYPERLINK(CONCATENATE("#Metadata!", ADDRESS(INDEX($W$2:$W$1001,MATCH(ROWS($U$2:U718),$U$2:$U$1001,0),0), INDEX($AB$1004:$AQ$1004,1,MATCH(COLUMNS($AB$1006:AD1006),$AB$1006:$AQ$1006,0)))),"Fix")))</f>
        <v>0</v>
      </c>
      <c r="E718" s="5">
        <f>IF(OR(INDEX($V$2:$V$1001,MATCH(ROWS($U$2:U718),$U$2:$U$1001,0),1)&gt;=100000,INDEX($AB$1005:$AQ$1005,1,MATCH(COLUMNS($AB$1006:AE1006),$AB$1006:$AQ$1006,0))&gt;=100000), " ",IF(INDEX($AB$2:$AQ$1001,MATCH(ROWS($U$2:U718),$U$2:$U$1001,0),MATCH(COLUMNS($AB$1006:AE1006),$AB$1006:$AQ$1006,0)), HYPERLINK("#",""), HYPERLINK(CONCATENATE("#Metadata!", ADDRESS(INDEX($W$2:$W$1001,MATCH(ROWS($U$2:U718),$U$2:$U$1001,0),0), INDEX($AB$1004:$AQ$1004,1,MATCH(COLUMNS($AB$1006:AE1006),$AB$1006:$AQ$1006,0)))),"Fix")))</f>
        <v>0</v>
      </c>
      <c r="F718" s="5">
        <f>IF(OR(INDEX($V$2:$V$1001,MATCH(ROWS($U$2:U718),$U$2:$U$1001,0),1)&gt;=100000,INDEX($AB$1005:$AQ$1005,1,MATCH(COLUMNS($AB$1006:AF1006),$AB$1006:$AQ$1006,0))&gt;=100000), " ",IF(INDEX($AB$2:$AQ$1001,MATCH(ROWS($U$2:U718),$U$2:$U$1001,0),MATCH(COLUMNS($AB$1006:AF1006),$AB$1006:$AQ$1006,0)), HYPERLINK("#",""), HYPERLINK(CONCATENATE("#Metadata!", ADDRESS(INDEX($W$2:$W$1001,MATCH(ROWS($U$2:U718),$U$2:$U$1001,0),0), INDEX($AB$1004:$AQ$1004,1,MATCH(COLUMNS($AB$1006:AF1006),$AB$1006:$AQ$1006,0)))),"Fix")))</f>
        <v>0</v>
      </c>
      <c r="G718" s="5">
        <f>IF(OR(INDEX($V$2:$V$1001,MATCH(ROWS($U$2:U718),$U$2:$U$1001,0),1)&gt;=100000,INDEX($AB$1005:$AQ$1005,1,MATCH(COLUMNS($AB$1006:AG1006),$AB$1006:$AQ$1006,0))&gt;=100000), " ",IF(INDEX($AB$2:$AQ$1001,MATCH(ROWS($U$2:U718),$U$2:$U$1001,0),MATCH(COLUMNS($AB$1006:AG1006),$AB$1006:$AQ$1006,0)), HYPERLINK("#",""), HYPERLINK(CONCATENATE("#Metadata!", ADDRESS(INDEX($W$2:$W$1001,MATCH(ROWS($U$2:U718),$U$2:$U$1001,0),0), INDEX($AB$1004:$AQ$1004,1,MATCH(COLUMNS($AB$1006:AG1006),$AB$1006:$AQ$1006,0)))),"Fix")))</f>
        <v>0</v>
      </c>
      <c r="H718" s="5">
        <f>IF(OR(INDEX($V$2:$V$1001,MATCH(ROWS($U$2:U718),$U$2:$U$1001,0),1)&gt;=100000,INDEX($AB$1005:$AQ$1005,1,MATCH(COLUMNS($AB$1006:AH1006),$AB$1006:$AQ$1006,0))&gt;=100000), " ",IF(INDEX($AB$2:$AQ$1001,MATCH(ROWS($U$2:U718),$U$2:$U$1001,0),MATCH(COLUMNS($AB$1006:AH1006),$AB$1006:$AQ$1006,0)), HYPERLINK("#",""), HYPERLINK(CONCATENATE("#Metadata!", ADDRESS(INDEX($W$2:$W$1001,MATCH(ROWS($U$2:U718),$U$2:$U$1001,0),0), INDEX($AB$1004:$AQ$1004,1,MATCH(COLUMNS($AB$1006:AH1006),$AB$1006:$AQ$1006,0)))),"Fix")))</f>
        <v>0</v>
      </c>
      <c r="I718" s="5">
        <f>IF(OR(INDEX($V$2:$V$1001,MATCH(ROWS($U$2:U718),$U$2:$U$1001,0),1)&gt;=100000,INDEX($AB$1005:$AQ$1005,1,MATCH(COLUMNS($AB$1006:AI1006),$AB$1006:$AQ$1006,0))&gt;=100000), " ",IF(INDEX($AB$2:$AQ$1001,MATCH(ROWS($U$2:U718),$U$2:$U$1001,0),MATCH(COLUMNS($AB$1006:AI1006),$AB$1006:$AQ$1006,0)), HYPERLINK("#",""), HYPERLINK(CONCATENATE("#Metadata!", ADDRESS(INDEX($W$2:$W$1001,MATCH(ROWS($U$2:U718),$U$2:$U$1001,0),0), INDEX($AB$1004:$AQ$1004,1,MATCH(COLUMNS($AB$1006:AI1006),$AB$1006:$AQ$1006,0)))),"Fix")))</f>
        <v>0</v>
      </c>
      <c r="J718" s="5">
        <f>IF(OR(INDEX($V$2:$V$1001,MATCH(ROWS($U$2:U718),$U$2:$U$1001,0),1)&gt;=100000,INDEX($AB$1005:$AQ$1005,1,MATCH(COLUMNS($AB$1006:AJ1006),$AB$1006:$AQ$1006,0))&gt;=100000), " ",IF(INDEX($AB$2:$AQ$1001,MATCH(ROWS($U$2:U718),$U$2:$U$1001,0),MATCH(COLUMNS($AB$1006:AJ1006),$AB$1006:$AQ$1006,0)), HYPERLINK("#",""), HYPERLINK(CONCATENATE("#Metadata!", ADDRESS(INDEX($W$2:$W$1001,MATCH(ROWS($U$2:U718),$U$2:$U$1001,0),0), INDEX($AB$1004:$AQ$1004,1,MATCH(COLUMNS($AB$1006:AJ1006),$AB$1006:$AQ$1006,0)))),"Fix")))</f>
        <v>0</v>
      </c>
      <c r="K718" s="5">
        <f>IF(OR(INDEX($V$2:$V$1001,MATCH(ROWS($U$2:U718),$U$2:$U$1001,0),1)&gt;=100000,INDEX($AB$1005:$AQ$1005,1,MATCH(COLUMNS($AB$1006:AK1006),$AB$1006:$AQ$1006,0))&gt;=100000), " ",IF(INDEX($AB$2:$AQ$1001,MATCH(ROWS($U$2:U718),$U$2:$U$1001,0),MATCH(COLUMNS($AB$1006:AK1006),$AB$1006:$AQ$1006,0)), HYPERLINK("#",""), HYPERLINK(CONCATENATE("#Metadata!", ADDRESS(INDEX($W$2:$W$1001,MATCH(ROWS($U$2:U718),$U$2:$U$1001,0),0), INDEX($AB$1004:$AQ$1004,1,MATCH(COLUMNS($AB$1006:AK1006),$AB$1006:$AQ$1006,0)))),"Fix")))</f>
        <v>0</v>
      </c>
      <c r="L718" s="5">
        <f>IF(OR(INDEX($V$2:$V$1001,MATCH(ROWS($U$2:U718),$U$2:$U$1001,0),1)&gt;=100000,INDEX($AB$1005:$AQ$1005,1,MATCH(COLUMNS($AB$1006:AL1006),$AB$1006:$AQ$1006,0))&gt;=100000), " ",IF(INDEX($AB$2:$AQ$1001,MATCH(ROWS($U$2:U718),$U$2:$U$1001,0),MATCH(COLUMNS($AB$1006:AL1006),$AB$1006:$AQ$1006,0)), HYPERLINK("#",""), HYPERLINK(CONCATENATE("#Metadata!", ADDRESS(INDEX($W$2:$W$1001,MATCH(ROWS($U$2:U718),$U$2:$U$1001,0),0), INDEX($AB$1004:$AQ$1004,1,MATCH(COLUMNS($AB$1006:AL1006),$AB$1006:$AQ$1006,0)))),"Fix")))</f>
        <v>0</v>
      </c>
      <c r="M718" s="5">
        <f>IF(OR(INDEX($V$2:$V$1001,MATCH(ROWS($U$2:U718),$U$2:$U$1001,0),1)&gt;=100000,INDEX($AB$1005:$AQ$1005,1,MATCH(COLUMNS($AB$1006:AM1006),$AB$1006:$AQ$1006,0))&gt;=100000), " ",IF(INDEX($AB$2:$AQ$1001,MATCH(ROWS($U$2:U718),$U$2:$U$1001,0),MATCH(COLUMNS($AB$1006:AM1006),$AB$1006:$AQ$1006,0)), HYPERLINK("#",""), HYPERLINK(CONCATENATE("#Metadata!", ADDRESS(INDEX($W$2:$W$1001,MATCH(ROWS($U$2:U718),$U$2:$U$1001,0),0), INDEX($AB$1004:$AQ$1004,1,MATCH(COLUMNS($AB$1006:AM1006),$AB$1006:$AQ$1006,0)))),"Fix")))</f>
        <v>0</v>
      </c>
      <c r="N718" s="5">
        <f>IF(OR(INDEX($V$2:$V$1001,MATCH(ROWS($U$2:U718),$U$2:$U$1001,0),1)&gt;=100000,INDEX($AB$1005:$AQ$1005,1,MATCH(COLUMNS($AB$1006:AN1006),$AB$1006:$AQ$1006,0))&gt;=100000), " ",IF(INDEX($AB$2:$AQ$1001,MATCH(ROWS($U$2:U718),$U$2:$U$1001,0),MATCH(COLUMNS($AB$1006:AN1006),$AB$1006:$AQ$1006,0)), HYPERLINK("#",""), HYPERLINK(CONCATENATE("#Metadata!", ADDRESS(INDEX($W$2:$W$1001,MATCH(ROWS($U$2:U718),$U$2:$U$1001,0),0), INDEX($AB$1004:$AQ$1004,1,MATCH(COLUMNS($AB$1006:AN1006),$AB$1006:$AQ$1006,0)))),"Fix")))</f>
        <v>0</v>
      </c>
      <c r="O718" s="5">
        <f>IF(OR(INDEX($V$2:$V$1001,MATCH(ROWS($U$2:U718),$U$2:$U$1001,0),1)&gt;=100000,INDEX($AB$1005:$AQ$1005,1,MATCH(COLUMNS($AB$1006:AO1006),$AB$1006:$AQ$1006,0))&gt;=100000), " ",IF(INDEX($AB$2:$AQ$1001,MATCH(ROWS($U$2:U718),$U$2:$U$1001,0),MATCH(COLUMNS($AB$1006:AO1006),$AB$1006:$AQ$1006,0)), HYPERLINK("#",""), HYPERLINK(CONCATENATE("#Metadata!", ADDRESS(INDEX($W$2:$W$1001,MATCH(ROWS($U$2:U718),$U$2:$U$1001,0),0), INDEX($AB$1004:$AQ$1004,1,MATCH(COLUMNS($AB$1006:AO1006),$AB$1006:$AQ$1006,0)))),"Fix")))</f>
        <v>0</v>
      </c>
      <c r="P718" s="5">
        <f>IF(OR(INDEX($V$2:$V$1001,MATCH(ROWS($U$2:U718),$U$2:$U$1001,0),1)&gt;=100000,INDEX($AB$1005:$AQ$1005,1,MATCH(COLUMNS($AB$1006:AP1006),$AB$1006:$AQ$1006,0))&gt;=100000), " ",IF(INDEX($AB$2:$AQ$1001,MATCH(ROWS($U$2:U718),$U$2:$U$1001,0),MATCH(COLUMNS($AB$1006:AP1006),$AB$1006:$AQ$1006,0)), HYPERLINK("#",""), HYPERLINK(CONCATENATE("#Metadata!", ADDRESS(INDEX($W$2:$W$1001,MATCH(ROWS($U$2:U718),$U$2:$U$1001,0),0), INDEX($AB$1004:$AQ$1004,1,MATCH(COLUMNS($AB$1006:AP1006),$AB$1006:$AQ$1006,0)))),"Fix")))</f>
        <v>0</v>
      </c>
      <c r="Q718" s="5">
        <f>IF(OR(INDEX($V$2:$V$1001,MATCH(ROWS($U$2:U718),$U$2:$U$1001,0),1)&gt;=100000,INDEX($AB$1005:$AQ$1005,1,MATCH(COLUMNS($AB$1006:AQ1006),$AB$1006:$AQ$1006,0))&gt;=100000), " ",IF(INDEX($AB$2:$AQ$1001,MATCH(ROWS($U$2:U718),$U$2:$U$1001,0),MATCH(COLUMNS($AB$1006:AQ1006),$AB$1006:$AQ$1006,0)), HYPERLINK("#",""), HYPERLINK(CONCATENATE("#Metadata!", ADDRESS(INDEX($W$2:$W$1001,MATCH(ROWS($U$2:U718),$U$2:$U$1001,0),0), INDEX($AB$1004:$AQ$1004,1,MATCH(COLUMNS($AB$1006:AQ1006),$AB$1006:$AQ$1006,0)))),"Fix")))</f>
        <v>0</v>
      </c>
      <c r="U718">
        <v>0</v>
      </c>
      <c r="V718">
        <v>0</v>
      </c>
      <c r="W718">
        <v>0</v>
      </c>
      <c r="X718">
        <f>IF(Y718,TRUE,AND(AB718:AQ718))</f>
        <v>0</v>
      </c>
      <c r="Y718">
        <f>COUNTBLANK(Metadata!B718:Q718)=COLUMNS(Metadata!B718:Q718)</f>
        <v>0</v>
      </c>
      <c r="Z718">
        <v>0</v>
      </c>
      <c r="AB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AC718">
        <f>AND(IF(Metadata!C718="",FALSE,TRUE),exact(Metadata!C718,"urban biome"))</f>
        <v>0</v>
      </c>
      <c r="AD718">
        <f>AND(IF(Metadata!D718="",FALSE,TRUE),exact(Metadata!D718,"human-associated habitat"))</f>
        <v>0</v>
      </c>
      <c r="AE718">
        <f>AND(IF(Metadata!E718="",FALSE,TRUE),OR(exact(Metadata!E718,"human-associated"),exact(Metadata!E718,"human-skin"),exact(Metadata!E718,"human-oral"),exact(Metadata!E718,"human-gut"),exact(Metadata!E718,"human-vaginal")))</f>
        <v>0</v>
      </c>
      <c r="AF718">
        <f>AND(IF(Metadata!F718="",FALSE,ISNUMBER(VALUE(Metadata!F718))),Metadata!F718&gt;0)</f>
        <v>0</v>
      </c>
      <c r="AG718">
        <f>AND(IF(Metadata!G718="",FALSE,TRUE),exact(Metadata!G718,"years"))</f>
        <v>0</v>
      </c>
      <c r="AH718">
        <f>OR(AND(IF(Metadata!H718="",FALSE,TRUE),OR(exact(Metadata!H718,"not applicable"),exact(Metadata!H718,"not collected"),exact(Metadata!H718,"not provided"),exact(Metadata!H718,"restricted access"))),AND(IF(Metadata!H718="",FALSE,ISNUMBER(VALUE(Metadata!H718))),Metadata!H718&gt;0))</f>
        <v>0</v>
      </c>
      <c r="AI718">
        <f>AND(IF(Metadata!I718="",FALSE,TRUE),exact(Metadata!I718,"human"))</f>
        <v>0</v>
      </c>
      <c r="AJ718">
        <f>AND(IF(Metadata!J718="",FALSE,ISNUMBER(VALUE(Metadata!J718))),Metadata!J718&gt;0)</f>
        <v>0</v>
      </c>
      <c r="AK718">
        <f>AND(IF(Metadata!K718="",FALSE,TRUE),exact(Metadata!K718,"cm"))</f>
        <v>0</v>
      </c>
      <c r="AL718">
        <f>AND(IF(Metadata!L718="",FALSE,TRUE),exact(Metadata!L718,"Homo sapiens"))</f>
        <v>0</v>
      </c>
      <c r="AM718">
        <f>AND(IF(Metadata!M718="",FALSE,TRUE),exact(Metadata!M718,"9606"))</f>
        <v>0</v>
      </c>
      <c r="AN718">
        <f>AND(IF(Metadata!N718="",FALSE,ISNUMBER(VALUE(Metadata!N718))),Metadata!N718&gt;0)</f>
        <v>0</v>
      </c>
      <c r="AO718">
        <f>AND(IF(Metadata!O718="",FALSE,TRUE),exact(Metadata!O718,"kg"))</f>
        <v>0</v>
      </c>
      <c r="AP718">
        <f>OR(AND(IF(Metadata!P718="",FALSE,TRUE),exact(Metadata!P718,"not provided")),IF(Metadata!P718="",FALSE,TRUE))</f>
        <v>0</v>
      </c>
      <c r="AQ718">
        <f>OR(AND(IF(Metadata!Q718="",FALSE,TRUE),exact(Metadata!Q718,"not provided")),IF(Metadata!Q718="",FALSE,TRUE))</f>
        <v>0</v>
      </c>
    </row>
    <row r="719" spans="1:43">
      <c r="A719" s="4">
        <f>IF(B719=" "," ",HYPERLINK(CONCATENATE("#metadata!",ADDRESS(INDEX($W$2:$W$1001,MATCH(ROWS($U$2:U719),$U$2:$U$1001,0),0),2)),INDEX($Z$2:$Z$1001,MATCH(ROWS($U$2:U719),$U$2:$U$1001,0),0)))</f>
        <v>0</v>
      </c>
      <c r="B719" s="5">
        <f>IF(OR(INDEX($V$2:$V$1001,MATCH(ROWS($U$2:U719),$U$2:$U$1001,0),1)&gt;=100000,INDEX($AB$1005:$AQ$1005,1,MATCH(COLUMNS($AB$1006:AB1006),$AB$1006:$AQ$1006,0))&gt;=100000), " ",IF(INDEX($AB$2:$AQ$1001,MATCH(ROWS($U$2:U719),$U$2:$U$1001,0),MATCH(COLUMNS($AB$1006:AB1006),$AB$1006:$AQ$1006,0)), HYPERLINK("#",""), HYPERLINK(CONCATENATE("#Metadata!", ADDRESS(INDEX($W$2:$W$1001,MATCH(ROWS($U$2:U719),$U$2:$U$1001,0),0), INDEX($AB$1004:$AQ$1004,1,MATCH(COLUMNS($AB$1006:AB1006),$AB$1006:$AQ$1006,0)))),"Fix")))</f>
        <v>0</v>
      </c>
      <c r="C719" s="5">
        <f>IF(OR(INDEX($V$2:$V$1001,MATCH(ROWS($U$2:U719),$U$2:$U$1001,0),1)&gt;=100000,INDEX($AB$1005:$AQ$1005,1,MATCH(COLUMNS($AB$1006:AC1006),$AB$1006:$AQ$1006,0))&gt;=100000), " ",IF(INDEX($AB$2:$AQ$1001,MATCH(ROWS($U$2:U719),$U$2:$U$1001,0),MATCH(COLUMNS($AB$1006:AC1006),$AB$1006:$AQ$1006,0)), HYPERLINK("#",""), HYPERLINK(CONCATENATE("#Metadata!", ADDRESS(INDEX($W$2:$W$1001,MATCH(ROWS($U$2:U719),$U$2:$U$1001,0),0), INDEX($AB$1004:$AQ$1004,1,MATCH(COLUMNS($AB$1006:AC1006),$AB$1006:$AQ$1006,0)))),"Fix")))</f>
        <v>0</v>
      </c>
      <c r="D719" s="5">
        <f>IF(OR(INDEX($V$2:$V$1001,MATCH(ROWS($U$2:U719),$U$2:$U$1001,0),1)&gt;=100000,INDEX($AB$1005:$AQ$1005,1,MATCH(COLUMNS($AB$1006:AD1006),$AB$1006:$AQ$1006,0))&gt;=100000), " ",IF(INDEX($AB$2:$AQ$1001,MATCH(ROWS($U$2:U719),$U$2:$U$1001,0),MATCH(COLUMNS($AB$1006:AD1006),$AB$1006:$AQ$1006,0)), HYPERLINK("#",""), HYPERLINK(CONCATENATE("#Metadata!", ADDRESS(INDEX($W$2:$W$1001,MATCH(ROWS($U$2:U719),$U$2:$U$1001,0),0), INDEX($AB$1004:$AQ$1004,1,MATCH(COLUMNS($AB$1006:AD1006),$AB$1006:$AQ$1006,0)))),"Fix")))</f>
        <v>0</v>
      </c>
      <c r="E719" s="5">
        <f>IF(OR(INDEX($V$2:$V$1001,MATCH(ROWS($U$2:U719),$U$2:$U$1001,0),1)&gt;=100000,INDEX($AB$1005:$AQ$1005,1,MATCH(COLUMNS($AB$1006:AE1006),$AB$1006:$AQ$1006,0))&gt;=100000), " ",IF(INDEX($AB$2:$AQ$1001,MATCH(ROWS($U$2:U719),$U$2:$U$1001,0),MATCH(COLUMNS($AB$1006:AE1006),$AB$1006:$AQ$1006,0)), HYPERLINK("#",""), HYPERLINK(CONCATENATE("#Metadata!", ADDRESS(INDEX($W$2:$W$1001,MATCH(ROWS($U$2:U719),$U$2:$U$1001,0),0), INDEX($AB$1004:$AQ$1004,1,MATCH(COLUMNS($AB$1006:AE1006),$AB$1006:$AQ$1006,0)))),"Fix")))</f>
        <v>0</v>
      </c>
      <c r="F719" s="5">
        <f>IF(OR(INDEX($V$2:$V$1001,MATCH(ROWS($U$2:U719),$U$2:$U$1001,0),1)&gt;=100000,INDEX($AB$1005:$AQ$1005,1,MATCH(COLUMNS($AB$1006:AF1006),$AB$1006:$AQ$1006,0))&gt;=100000), " ",IF(INDEX($AB$2:$AQ$1001,MATCH(ROWS($U$2:U719),$U$2:$U$1001,0),MATCH(COLUMNS($AB$1006:AF1006),$AB$1006:$AQ$1006,0)), HYPERLINK("#",""), HYPERLINK(CONCATENATE("#Metadata!", ADDRESS(INDEX($W$2:$W$1001,MATCH(ROWS($U$2:U719),$U$2:$U$1001,0),0), INDEX($AB$1004:$AQ$1004,1,MATCH(COLUMNS($AB$1006:AF1006),$AB$1006:$AQ$1006,0)))),"Fix")))</f>
        <v>0</v>
      </c>
      <c r="G719" s="5">
        <f>IF(OR(INDEX($V$2:$V$1001,MATCH(ROWS($U$2:U719),$U$2:$U$1001,0),1)&gt;=100000,INDEX($AB$1005:$AQ$1005,1,MATCH(COLUMNS($AB$1006:AG1006),$AB$1006:$AQ$1006,0))&gt;=100000), " ",IF(INDEX($AB$2:$AQ$1001,MATCH(ROWS($U$2:U719),$U$2:$U$1001,0),MATCH(COLUMNS($AB$1006:AG1006),$AB$1006:$AQ$1006,0)), HYPERLINK("#",""), HYPERLINK(CONCATENATE("#Metadata!", ADDRESS(INDEX($W$2:$W$1001,MATCH(ROWS($U$2:U719),$U$2:$U$1001,0),0), INDEX($AB$1004:$AQ$1004,1,MATCH(COLUMNS($AB$1006:AG1006),$AB$1006:$AQ$1006,0)))),"Fix")))</f>
        <v>0</v>
      </c>
      <c r="H719" s="5">
        <f>IF(OR(INDEX($V$2:$V$1001,MATCH(ROWS($U$2:U719),$U$2:$U$1001,0),1)&gt;=100000,INDEX($AB$1005:$AQ$1005,1,MATCH(COLUMNS($AB$1006:AH1006),$AB$1006:$AQ$1006,0))&gt;=100000), " ",IF(INDEX($AB$2:$AQ$1001,MATCH(ROWS($U$2:U719),$U$2:$U$1001,0),MATCH(COLUMNS($AB$1006:AH1006),$AB$1006:$AQ$1006,0)), HYPERLINK("#",""), HYPERLINK(CONCATENATE("#Metadata!", ADDRESS(INDEX($W$2:$W$1001,MATCH(ROWS($U$2:U719),$U$2:$U$1001,0),0), INDEX($AB$1004:$AQ$1004,1,MATCH(COLUMNS($AB$1006:AH1006),$AB$1006:$AQ$1006,0)))),"Fix")))</f>
        <v>0</v>
      </c>
      <c r="I719" s="5">
        <f>IF(OR(INDEX($V$2:$V$1001,MATCH(ROWS($U$2:U719),$U$2:$U$1001,0),1)&gt;=100000,INDEX($AB$1005:$AQ$1005,1,MATCH(COLUMNS($AB$1006:AI1006),$AB$1006:$AQ$1006,0))&gt;=100000), " ",IF(INDEX($AB$2:$AQ$1001,MATCH(ROWS($U$2:U719),$U$2:$U$1001,0),MATCH(COLUMNS($AB$1006:AI1006),$AB$1006:$AQ$1006,0)), HYPERLINK("#",""), HYPERLINK(CONCATENATE("#Metadata!", ADDRESS(INDEX($W$2:$W$1001,MATCH(ROWS($U$2:U719),$U$2:$U$1001,0),0), INDEX($AB$1004:$AQ$1004,1,MATCH(COLUMNS($AB$1006:AI1006),$AB$1006:$AQ$1006,0)))),"Fix")))</f>
        <v>0</v>
      </c>
      <c r="J719" s="5">
        <f>IF(OR(INDEX($V$2:$V$1001,MATCH(ROWS($U$2:U719),$U$2:$U$1001,0),1)&gt;=100000,INDEX($AB$1005:$AQ$1005,1,MATCH(COLUMNS($AB$1006:AJ1006),$AB$1006:$AQ$1006,0))&gt;=100000), " ",IF(INDEX($AB$2:$AQ$1001,MATCH(ROWS($U$2:U719),$U$2:$U$1001,0),MATCH(COLUMNS($AB$1006:AJ1006),$AB$1006:$AQ$1006,0)), HYPERLINK("#",""), HYPERLINK(CONCATENATE("#Metadata!", ADDRESS(INDEX($W$2:$W$1001,MATCH(ROWS($U$2:U719),$U$2:$U$1001,0),0), INDEX($AB$1004:$AQ$1004,1,MATCH(COLUMNS($AB$1006:AJ1006),$AB$1006:$AQ$1006,0)))),"Fix")))</f>
        <v>0</v>
      </c>
      <c r="K719" s="5">
        <f>IF(OR(INDEX($V$2:$V$1001,MATCH(ROWS($U$2:U719),$U$2:$U$1001,0),1)&gt;=100000,INDEX($AB$1005:$AQ$1005,1,MATCH(COLUMNS($AB$1006:AK1006),$AB$1006:$AQ$1006,0))&gt;=100000), " ",IF(INDEX($AB$2:$AQ$1001,MATCH(ROWS($U$2:U719),$U$2:$U$1001,0),MATCH(COLUMNS($AB$1006:AK1006),$AB$1006:$AQ$1006,0)), HYPERLINK("#",""), HYPERLINK(CONCATENATE("#Metadata!", ADDRESS(INDEX($W$2:$W$1001,MATCH(ROWS($U$2:U719),$U$2:$U$1001,0),0), INDEX($AB$1004:$AQ$1004,1,MATCH(COLUMNS($AB$1006:AK1006),$AB$1006:$AQ$1006,0)))),"Fix")))</f>
        <v>0</v>
      </c>
      <c r="L719" s="5">
        <f>IF(OR(INDEX($V$2:$V$1001,MATCH(ROWS($U$2:U719),$U$2:$U$1001,0),1)&gt;=100000,INDEX($AB$1005:$AQ$1005,1,MATCH(COLUMNS($AB$1006:AL1006),$AB$1006:$AQ$1006,0))&gt;=100000), " ",IF(INDEX($AB$2:$AQ$1001,MATCH(ROWS($U$2:U719),$U$2:$U$1001,0),MATCH(COLUMNS($AB$1006:AL1006),$AB$1006:$AQ$1006,0)), HYPERLINK("#",""), HYPERLINK(CONCATENATE("#Metadata!", ADDRESS(INDEX($W$2:$W$1001,MATCH(ROWS($U$2:U719),$U$2:$U$1001,0),0), INDEX($AB$1004:$AQ$1004,1,MATCH(COLUMNS($AB$1006:AL1006),$AB$1006:$AQ$1006,0)))),"Fix")))</f>
        <v>0</v>
      </c>
      <c r="M719" s="5">
        <f>IF(OR(INDEX($V$2:$V$1001,MATCH(ROWS($U$2:U719),$U$2:$U$1001,0),1)&gt;=100000,INDEX($AB$1005:$AQ$1005,1,MATCH(COLUMNS($AB$1006:AM1006),$AB$1006:$AQ$1006,0))&gt;=100000), " ",IF(INDEX($AB$2:$AQ$1001,MATCH(ROWS($U$2:U719),$U$2:$U$1001,0),MATCH(COLUMNS($AB$1006:AM1006),$AB$1006:$AQ$1006,0)), HYPERLINK("#",""), HYPERLINK(CONCATENATE("#Metadata!", ADDRESS(INDEX($W$2:$W$1001,MATCH(ROWS($U$2:U719),$U$2:$U$1001,0),0), INDEX($AB$1004:$AQ$1004,1,MATCH(COLUMNS($AB$1006:AM1006),$AB$1006:$AQ$1006,0)))),"Fix")))</f>
        <v>0</v>
      </c>
      <c r="N719" s="5">
        <f>IF(OR(INDEX($V$2:$V$1001,MATCH(ROWS($U$2:U719),$U$2:$U$1001,0),1)&gt;=100000,INDEX($AB$1005:$AQ$1005,1,MATCH(COLUMNS($AB$1006:AN1006),$AB$1006:$AQ$1006,0))&gt;=100000), " ",IF(INDEX($AB$2:$AQ$1001,MATCH(ROWS($U$2:U719),$U$2:$U$1001,0),MATCH(COLUMNS($AB$1006:AN1006),$AB$1006:$AQ$1006,0)), HYPERLINK("#",""), HYPERLINK(CONCATENATE("#Metadata!", ADDRESS(INDEX($W$2:$W$1001,MATCH(ROWS($U$2:U719),$U$2:$U$1001,0),0), INDEX($AB$1004:$AQ$1004,1,MATCH(COLUMNS($AB$1006:AN1006),$AB$1006:$AQ$1006,0)))),"Fix")))</f>
        <v>0</v>
      </c>
      <c r="O719" s="5">
        <f>IF(OR(INDEX($V$2:$V$1001,MATCH(ROWS($U$2:U719),$U$2:$U$1001,0),1)&gt;=100000,INDEX($AB$1005:$AQ$1005,1,MATCH(COLUMNS($AB$1006:AO1006),$AB$1006:$AQ$1006,0))&gt;=100000), " ",IF(INDEX($AB$2:$AQ$1001,MATCH(ROWS($U$2:U719),$U$2:$U$1001,0),MATCH(COLUMNS($AB$1006:AO1006),$AB$1006:$AQ$1006,0)), HYPERLINK("#",""), HYPERLINK(CONCATENATE("#Metadata!", ADDRESS(INDEX($W$2:$W$1001,MATCH(ROWS($U$2:U719),$U$2:$U$1001,0),0), INDEX($AB$1004:$AQ$1004,1,MATCH(COLUMNS($AB$1006:AO1006),$AB$1006:$AQ$1006,0)))),"Fix")))</f>
        <v>0</v>
      </c>
      <c r="P719" s="5">
        <f>IF(OR(INDEX($V$2:$V$1001,MATCH(ROWS($U$2:U719),$U$2:$U$1001,0),1)&gt;=100000,INDEX($AB$1005:$AQ$1005,1,MATCH(COLUMNS($AB$1006:AP1006),$AB$1006:$AQ$1006,0))&gt;=100000), " ",IF(INDEX($AB$2:$AQ$1001,MATCH(ROWS($U$2:U719),$U$2:$U$1001,0),MATCH(COLUMNS($AB$1006:AP1006),$AB$1006:$AQ$1006,0)), HYPERLINK("#",""), HYPERLINK(CONCATENATE("#Metadata!", ADDRESS(INDEX($W$2:$W$1001,MATCH(ROWS($U$2:U719),$U$2:$U$1001,0),0), INDEX($AB$1004:$AQ$1004,1,MATCH(COLUMNS($AB$1006:AP1006),$AB$1006:$AQ$1006,0)))),"Fix")))</f>
        <v>0</v>
      </c>
      <c r="Q719" s="5">
        <f>IF(OR(INDEX($V$2:$V$1001,MATCH(ROWS($U$2:U719),$U$2:$U$1001,0),1)&gt;=100000,INDEX($AB$1005:$AQ$1005,1,MATCH(COLUMNS($AB$1006:AQ1006),$AB$1006:$AQ$1006,0))&gt;=100000), " ",IF(INDEX($AB$2:$AQ$1001,MATCH(ROWS($U$2:U719),$U$2:$U$1001,0),MATCH(COLUMNS($AB$1006:AQ1006),$AB$1006:$AQ$1006,0)), HYPERLINK("#",""), HYPERLINK(CONCATENATE("#Metadata!", ADDRESS(INDEX($W$2:$W$1001,MATCH(ROWS($U$2:U719),$U$2:$U$1001,0),0), INDEX($AB$1004:$AQ$1004,1,MATCH(COLUMNS($AB$1006:AQ1006),$AB$1006:$AQ$1006,0)))),"Fix")))</f>
        <v>0</v>
      </c>
      <c r="U719">
        <v>0</v>
      </c>
      <c r="V719">
        <v>0</v>
      </c>
      <c r="W719">
        <v>0</v>
      </c>
      <c r="X719">
        <f>IF(Y719,TRUE,AND(AB719:AQ719))</f>
        <v>0</v>
      </c>
      <c r="Y719">
        <f>COUNTBLANK(Metadata!B719:Q719)=COLUMNS(Metadata!B719:Q719)</f>
        <v>0</v>
      </c>
      <c r="Z719">
        <v>0</v>
      </c>
      <c r="AB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AC719">
        <f>AND(IF(Metadata!C719="",FALSE,TRUE),exact(Metadata!C719,"urban biome"))</f>
        <v>0</v>
      </c>
      <c r="AD719">
        <f>AND(IF(Metadata!D719="",FALSE,TRUE),exact(Metadata!D719,"human-associated habitat"))</f>
        <v>0</v>
      </c>
      <c r="AE719">
        <f>AND(IF(Metadata!E719="",FALSE,TRUE),OR(exact(Metadata!E719,"human-associated"),exact(Metadata!E719,"human-skin"),exact(Metadata!E719,"human-oral"),exact(Metadata!E719,"human-gut"),exact(Metadata!E719,"human-vaginal")))</f>
        <v>0</v>
      </c>
      <c r="AF719">
        <f>AND(IF(Metadata!F719="",FALSE,ISNUMBER(VALUE(Metadata!F719))),Metadata!F719&gt;0)</f>
        <v>0</v>
      </c>
      <c r="AG719">
        <f>AND(IF(Metadata!G719="",FALSE,TRUE),exact(Metadata!G719,"years"))</f>
        <v>0</v>
      </c>
      <c r="AH719">
        <f>OR(AND(IF(Metadata!H719="",FALSE,TRUE),OR(exact(Metadata!H719,"not applicable"),exact(Metadata!H719,"not collected"),exact(Metadata!H719,"not provided"),exact(Metadata!H719,"restricted access"))),AND(IF(Metadata!H719="",FALSE,ISNUMBER(VALUE(Metadata!H719))),Metadata!H719&gt;0))</f>
        <v>0</v>
      </c>
      <c r="AI719">
        <f>AND(IF(Metadata!I719="",FALSE,TRUE),exact(Metadata!I719,"human"))</f>
        <v>0</v>
      </c>
      <c r="AJ719">
        <f>AND(IF(Metadata!J719="",FALSE,ISNUMBER(VALUE(Metadata!J719))),Metadata!J719&gt;0)</f>
        <v>0</v>
      </c>
      <c r="AK719">
        <f>AND(IF(Metadata!K719="",FALSE,TRUE),exact(Metadata!K719,"cm"))</f>
        <v>0</v>
      </c>
      <c r="AL719">
        <f>AND(IF(Metadata!L719="",FALSE,TRUE),exact(Metadata!L719,"Homo sapiens"))</f>
        <v>0</v>
      </c>
      <c r="AM719">
        <f>AND(IF(Metadata!M719="",FALSE,TRUE),exact(Metadata!M719,"9606"))</f>
        <v>0</v>
      </c>
      <c r="AN719">
        <f>AND(IF(Metadata!N719="",FALSE,ISNUMBER(VALUE(Metadata!N719))),Metadata!N719&gt;0)</f>
        <v>0</v>
      </c>
      <c r="AO719">
        <f>AND(IF(Metadata!O719="",FALSE,TRUE),exact(Metadata!O719,"kg"))</f>
        <v>0</v>
      </c>
      <c r="AP719">
        <f>OR(AND(IF(Metadata!P719="",FALSE,TRUE),exact(Metadata!P719,"not provided")),IF(Metadata!P719="",FALSE,TRUE))</f>
        <v>0</v>
      </c>
      <c r="AQ719">
        <f>OR(AND(IF(Metadata!Q719="",FALSE,TRUE),exact(Metadata!Q719,"not provided")),IF(Metadata!Q719="",FALSE,TRUE))</f>
        <v>0</v>
      </c>
    </row>
    <row r="720" spans="1:43">
      <c r="A720" s="4">
        <f>IF(B720=" "," ",HYPERLINK(CONCATENATE("#metadata!",ADDRESS(INDEX($W$2:$W$1001,MATCH(ROWS($U$2:U720),$U$2:$U$1001,0),0),2)),INDEX($Z$2:$Z$1001,MATCH(ROWS($U$2:U720),$U$2:$U$1001,0),0)))</f>
        <v>0</v>
      </c>
      <c r="B720" s="5">
        <f>IF(OR(INDEX($V$2:$V$1001,MATCH(ROWS($U$2:U720),$U$2:$U$1001,0),1)&gt;=100000,INDEX($AB$1005:$AQ$1005,1,MATCH(COLUMNS($AB$1006:AB1006),$AB$1006:$AQ$1006,0))&gt;=100000), " ",IF(INDEX($AB$2:$AQ$1001,MATCH(ROWS($U$2:U720),$U$2:$U$1001,0),MATCH(COLUMNS($AB$1006:AB1006),$AB$1006:$AQ$1006,0)), HYPERLINK("#",""), HYPERLINK(CONCATENATE("#Metadata!", ADDRESS(INDEX($W$2:$W$1001,MATCH(ROWS($U$2:U720),$U$2:$U$1001,0),0), INDEX($AB$1004:$AQ$1004,1,MATCH(COLUMNS($AB$1006:AB1006),$AB$1006:$AQ$1006,0)))),"Fix")))</f>
        <v>0</v>
      </c>
      <c r="C720" s="5">
        <f>IF(OR(INDEX($V$2:$V$1001,MATCH(ROWS($U$2:U720),$U$2:$U$1001,0),1)&gt;=100000,INDEX($AB$1005:$AQ$1005,1,MATCH(COLUMNS($AB$1006:AC1006),$AB$1006:$AQ$1006,0))&gt;=100000), " ",IF(INDEX($AB$2:$AQ$1001,MATCH(ROWS($U$2:U720),$U$2:$U$1001,0),MATCH(COLUMNS($AB$1006:AC1006),$AB$1006:$AQ$1006,0)), HYPERLINK("#",""), HYPERLINK(CONCATENATE("#Metadata!", ADDRESS(INDEX($W$2:$W$1001,MATCH(ROWS($U$2:U720),$U$2:$U$1001,0),0), INDEX($AB$1004:$AQ$1004,1,MATCH(COLUMNS($AB$1006:AC1006),$AB$1006:$AQ$1006,0)))),"Fix")))</f>
        <v>0</v>
      </c>
      <c r="D720" s="5">
        <f>IF(OR(INDEX($V$2:$V$1001,MATCH(ROWS($U$2:U720),$U$2:$U$1001,0),1)&gt;=100000,INDEX($AB$1005:$AQ$1005,1,MATCH(COLUMNS($AB$1006:AD1006),$AB$1006:$AQ$1006,0))&gt;=100000), " ",IF(INDEX($AB$2:$AQ$1001,MATCH(ROWS($U$2:U720),$U$2:$U$1001,0),MATCH(COLUMNS($AB$1006:AD1006),$AB$1006:$AQ$1006,0)), HYPERLINK("#",""), HYPERLINK(CONCATENATE("#Metadata!", ADDRESS(INDEX($W$2:$W$1001,MATCH(ROWS($U$2:U720),$U$2:$U$1001,0),0), INDEX($AB$1004:$AQ$1004,1,MATCH(COLUMNS($AB$1006:AD1006),$AB$1006:$AQ$1006,0)))),"Fix")))</f>
        <v>0</v>
      </c>
      <c r="E720" s="5">
        <f>IF(OR(INDEX($V$2:$V$1001,MATCH(ROWS($U$2:U720),$U$2:$U$1001,0),1)&gt;=100000,INDEX($AB$1005:$AQ$1005,1,MATCH(COLUMNS($AB$1006:AE1006),$AB$1006:$AQ$1006,0))&gt;=100000), " ",IF(INDEX($AB$2:$AQ$1001,MATCH(ROWS($U$2:U720),$U$2:$U$1001,0),MATCH(COLUMNS($AB$1006:AE1006),$AB$1006:$AQ$1006,0)), HYPERLINK("#",""), HYPERLINK(CONCATENATE("#Metadata!", ADDRESS(INDEX($W$2:$W$1001,MATCH(ROWS($U$2:U720),$U$2:$U$1001,0),0), INDEX($AB$1004:$AQ$1004,1,MATCH(COLUMNS($AB$1006:AE1006),$AB$1006:$AQ$1006,0)))),"Fix")))</f>
        <v>0</v>
      </c>
      <c r="F720" s="5">
        <f>IF(OR(INDEX($V$2:$V$1001,MATCH(ROWS($U$2:U720),$U$2:$U$1001,0),1)&gt;=100000,INDEX($AB$1005:$AQ$1005,1,MATCH(COLUMNS($AB$1006:AF1006),$AB$1006:$AQ$1006,0))&gt;=100000), " ",IF(INDEX($AB$2:$AQ$1001,MATCH(ROWS($U$2:U720),$U$2:$U$1001,0),MATCH(COLUMNS($AB$1006:AF1006),$AB$1006:$AQ$1006,0)), HYPERLINK("#",""), HYPERLINK(CONCATENATE("#Metadata!", ADDRESS(INDEX($W$2:$W$1001,MATCH(ROWS($U$2:U720),$U$2:$U$1001,0),0), INDEX($AB$1004:$AQ$1004,1,MATCH(COLUMNS($AB$1006:AF1006),$AB$1006:$AQ$1006,0)))),"Fix")))</f>
        <v>0</v>
      </c>
      <c r="G720" s="5">
        <f>IF(OR(INDEX($V$2:$V$1001,MATCH(ROWS($U$2:U720),$U$2:$U$1001,0),1)&gt;=100000,INDEX($AB$1005:$AQ$1005,1,MATCH(COLUMNS($AB$1006:AG1006),$AB$1006:$AQ$1006,0))&gt;=100000), " ",IF(INDEX($AB$2:$AQ$1001,MATCH(ROWS($U$2:U720),$U$2:$U$1001,0),MATCH(COLUMNS($AB$1006:AG1006),$AB$1006:$AQ$1006,0)), HYPERLINK("#",""), HYPERLINK(CONCATENATE("#Metadata!", ADDRESS(INDEX($W$2:$W$1001,MATCH(ROWS($U$2:U720),$U$2:$U$1001,0),0), INDEX($AB$1004:$AQ$1004,1,MATCH(COLUMNS($AB$1006:AG1006),$AB$1006:$AQ$1006,0)))),"Fix")))</f>
        <v>0</v>
      </c>
      <c r="H720" s="5">
        <f>IF(OR(INDEX($V$2:$V$1001,MATCH(ROWS($U$2:U720),$U$2:$U$1001,0),1)&gt;=100000,INDEX($AB$1005:$AQ$1005,1,MATCH(COLUMNS($AB$1006:AH1006),$AB$1006:$AQ$1006,0))&gt;=100000), " ",IF(INDEX($AB$2:$AQ$1001,MATCH(ROWS($U$2:U720),$U$2:$U$1001,0),MATCH(COLUMNS($AB$1006:AH1006),$AB$1006:$AQ$1006,0)), HYPERLINK("#",""), HYPERLINK(CONCATENATE("#Metadata!", ADDRESS(INDEX($W$2:$W$1001,MATCH(ROWS($U$2:U720),$U$2:$U$1001,0),0), INDEX($AB$1004:$AQ$1004,1,MATCH(COLUMNS($AB$1006:AH1006),$AB$1006:$AQ$1006,0)))),"Fix")))</f>
        <v>0</v>
      </c>
      <c r="I720" s="5">
        <f>IF(OR(INDEX($V$2:$V$1001,MATCH(ROWS($U$2:U720),$U$2:$U$1001,0),1)&gt;=100000,INDEX($AB$1005:$AQ$1005,1,MATCH(COLUMNS($AB$1006:AI1006),$AB$1006:$AQ$1006,0))&gt;=100000), " ",IF(INDEX($AB$2:$AQ$1001,MATCH(ROWS($U$2:U720),$U$2:$U$1001,0),MATCH(COLUMNS($AB$1006:AI1006),$AB$1006:$AQ$1006,0)), HYPERLINK("#",""), HYPERLINK(CONCATENATE("#Metadata!", ADDRESS(INDEX($W$2:$W$1001,MATCH(ROWS($U$2:U720),$U$2:$U$1001,0),0), INDEX($AB$1004:$AQ$1004,1,MATCH(COLUMNS($AB$1006:AI1006),$AB$1006:$AQ$1006,0)))),"Fix")))</f>
        <v>0</v>
      </c>
      <c r="J720" s="5">
        <f>IF(OR(INDEX($V$2:$V$1001,MATCH(ROWS($U$2:U720),$U$2:$U$1001,0),1)&gt;=100000,INDEX($AB$1005:$AQ$1005,1,MATCH(COLUMNS($AB$1006:AJ1006),$AB$1006:$AQ$1006,0))&gt;=100000), " ",IF(INDEX($AB$2:$AQ$1001,MATCH(ROWS($U$2:U720),$U$2:$U$1001,0),MATCH(COLUMNS($AB$1006:AJ1006),$AB$1006:$AQ$1006,0)), HYPERLINK("#",""), HYPERLINK(CONCATENATE("#Metadata!", ADDRESS(INDEX($W$2:$W$1001,MATCH(ROWS($U$2:U720),$U$2:$U$1001,0),0), INDEX($AB$1004:$AQ$1004,1,MATCH(COLUMNS($AB$1006:AJ1006),$AB$1006:$AQ$1006,0)))),"Fix")))</f>
        <v>0</v>
      </c>
      <c r="K720" s="5">
        <f>IF(OR(INDEX($V$2:$V$1001,MATCH(ROWS($U$2:U720),$U$2:$U$1001,0),1)&gt;=100000,INDEX($AB$1005:$AQ$1005,1,MATCH(COLUMNS($AB$1006:AK1006),$AB$1006:$AQ$1006,0))&gt;=100000), " ",IF(INDEX($AB$2:$AQ$1001,MATCH(ROWS($U$2:U720),$U$2:$U$1001,0),MATCH(COLUMNS($AB$1006:AK1006),$AB$1006:$AQ$1006,0)), HYPERLINK("#",""), HYPERLINK(CONCATENATE("#Metadata!", ADDRESS(INDEX($W$2:$W$1001,MATCH(ROWS($U$2:U720),$U$2:$U$1001,0),0), INDEX($AB$1004:$AQ$1004,1,MATCH(COLUMNS($AB$1006:AK1006),$AB$1006:$AQ$1006,0)))),"Fix")))</f>
        <v>0</v>
      </c>
      <c r="L720" s="5">
        <f>IF(OR(INDEX($V$2:$V$1001,MATCH(ROWS($U$2:U720),$U$2:$U$1001,0),1)&gt;=100000,INDEX($AB$1005:$AQ$1005,1,MATCH(COLUMNS($AB$1006:AL1006),$AB$1006:$AQ$1006,0))&gt;=100000), " ",IF(INDEX($AB$2:$AQ$1001,MATCH(ROWS($U$2:U720),$U$2:$U$1001,0),MATCH(COLUMNS($AB$1006:AL1006),$AB$1006:$AQ$1006,0)), HYPERLINK("#",""), HYPERLINK(CONCATENATE("#Metadata!", ADDRESS(INDEX($W$2:$W$1001,MATCH(ROWS($U$2:U720),$U$2:$U$1001,0),0), INDEX($AB$1004:$AQ$1004,1,MATCH(COLUMNS($AB$1006:AL1006),$AB$1006:$AQ$1006,0)))),"Fix")))</f>
        <v>0</v>
      </c>
      <c r="M720" s="5">
        <f>IF(OR(INDEX($V$2:$V$1001,MATCH(ROWS($U$2:U720),$U$2:$U$1001,0),1)&gt;=100000,INDEX($AB$1005:$AQ$1005,1,MATCH(COLUMNS($AB$1006:AM1006),$AB$1006:$AQ$1006,0))&gt;=100000), " ",IF(INDEX($AB$2:$AQ$1001,MATCH(ROWS($U$2:U720),$U$2:$U$1001,0),MATCH(COLUMNS($AB$1006:AM1006),$AB$1006:$AQ$1006,0)), HYPERLINK("#",""), HYPERLINK(CONCATENATE("#Metadata!", ADDRESS(INDEX($W$2:$W$1001,MATCH(ROWS($U$2:U720),$U$2:$U$1001,0),0), INDEX($AB$1004:$AQ$1004,1,MATCH(COLUMNS($AB$1006:AM1006),$AB$1006:$AQ$1006,0)))),"Fix")))</f>
        <v>0</v>
      </c>
      <c r="N720" s="5">
        <f>IF(OR(INDEX($V$2:$V$1001,MATCH(ROWS($U$2:U720),$U$2:$U$1001,0),1)&gt;=100000,INDEX($AB$1005:$AQ$1005,1,MATCH(COLUMNS($AB$1006:AN1006),$AB$1006:$AQ$1006,0))&gt;=100000), " ",IF(INDEX($AB$2:$AQ$1001,MATCH(ROWS($U$2:U720),$U$2:$U$1001,0),MATCH(COLUMNS($AB$1006:AN1006),$AB$1006:$AQ$1006,0)), HYPERLINK("#",""), HYPERLINK(CONCATENATE("#Metadata!", ADDRESS(INDEX($W$2:$W$1001,MATCH(ROWS($U$2:U720),$U$2:$U$1001,0),0), INDEX($AB$1004:$AQ$1004,1,MATCH(COLUMNS($AB$1006:AN1006),$AB$1006:$AQ$1006,0)))),"Fix")))</f>
        <v>0</v>
      </c>
      <c r="O720" s="5">
        <f>IF(OR(INDEX($V$2:$V$1001,MATCH(ROWS($U$2:U720),$U$2:$U$1001,0),1)&gt;=100000,INDEX($AB$1005:$AQ$1005,1,MATCH(COLUMNS($AB$1006:AO1006),$AB$1006:$AQ$1006,0))&gt;=100000), " ",IF(INDEX($AB$2:$AQ$1001,MATCH(ROWS($U$2:U720),$U$2:$U$1001,0),MATCH(COLUMNS($AB$1006:AO1006),$AB$1006:$AQ$1006,0)), HYPERLINK("#",""), HYPERLINK(CONCATENATE("#Metadata!", ADDRESS(INDEX($W$2:$W$1001,MATCH(ROWS($U$2:U720),$U$2:$U$1001,0),0), INDEX($AB$1004:$AQ$1004,1,MATCH(COLUMNS($AB$1006:AO1006),$AB$1006:$AQ$1006,0)))),"Fix")))</f>
        <v>0</v>
      </c>
      <c r="P720" s="5">
        <f>IF(OR(INDEX($V$2:$V$1001,MATCH(ROWS($U$2:U720),$U$2:$U$1001,0),1)&gt;=100000,INDEX($AB$1005:$AQ$1005,1,MATCH(COLUMNS($AB$1006:AP1006),$AB$1006:$AQ$1006,0))&gt;=100000), " ",IF(INDEX($AB$2:$AQ$1001,MATCH(ROWS($U$2:U720),$U$2:$U$1001,0),MATCH(COLUMNS($AB$1006:AP1006),$AB$1006:$AQ$1006,0)), HYPERLINK("#",""), HYPERLINK(CONCATENATE("#Metadata!", ADDRESS(INDEX($W$2:$W$1001,MATCH(ROWS($U$2:U720),$U$2:$U$1001,0),0), INDEX($AB$1004:$AQ$1004,1,MATCH(COLUMNS($AB$1006:AP1006),$AB$1006:$AQ$1006,0)))),"Fix")))</f>
        <v>0</v>
      </c>
      <c r="Q720" s="5">
        <f>IF(OR(INDEX($V$2:$V$1001,MATCH(ROWS($U$2:U720),$U$2:$U$1001,0),1)&gt;=100000,INDEX($AB$1005:$AQ$1005,1,MATCH(COLUMNS($AB$1006:AQ1006),$AB$1006:$AQ$1006,0))&gt;=100000), " ",IF(INDEX($AB$2:$AQ$1001,MATCH(ROWS($U$2:U720),$U$2:$U$1001,0),MATCH(COLUMNS($AB$1006:AQ1006),$AB$1006:$AQ$1006,0)), HYPERLINK("#",""), HYPERLINK(CONCATENATE("#Metadata!", ADDRESS(INDEX($W$2:$W$1001,MATCH(ROWS($U$2:U720),$U$2:$U$1001,0),0), INDEX($AB$1004:$AQ$1004,1,MATCH(COLUMNS($AB$1006:AQ1006),$AB$1006:$AQ$1006,0)))),"Fix")))</f>
        <v>0</v>
      </c>
      <c r="U720">
        <v>0</v>
      </c>
      <c r="V720">
        <v>0</v>
      </c>
      <c r="W720">
        <v>0</v>
      </c>
      <c r="X720">
        <f>IF(Y720,TRUE,AND(AB720:AQ720))</f>
        <v>0</v>
      </c>
      <c r="Y720">
        <f>COUNTBLANK(Metadata!B720:Q720)=COLUMNS(Metadata!B720:Q720)</f>
        <v>0</v>
      </c>
      <c r="Z720">
        <v>0</v>
      </c>
      <c r="AB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AC720">
        <f>AND(IF(Metadata!C720="",FALSE,TRUE),exact(Metadata!C720,"urban biome"))</f>
        <v>0</v>
      </c>
      <c r="AD720">
        <f>AND(IF(Metadata!D720="",FALSE,TRUE),exact(Metadata!D720,"human-associated habitat"))</f>
        <v>0</v>
      </c>
      <c r="AE720">
        <f>AND(IF(Metadata!E720="",FALSE,TRUE),OR(exact(Metadata!E720,"human-associated"),exact(Metadata!E720,"human-skin"),exact(Metadata!E720,"human-oral"),exact(Metadata!E720,"human-gut"),exact(Metadata!E720,"human-vaginal")))</f>
        <v>0</v>
      </c>
      <c r="AF720">
        <f>AND(IF(Metadata!F720="",FALSE,ISNUMBER(VALUE(Metadata!F720))),Metadata!F720&gt;0)</f>
        <v>0</v>
      </c>
      <c r="AG720">
        <f>AND(IF(Metadata!G720="",FALSE,TRUE),exact(Metadata!G720,"years"))</f>
        <v>0</v>
      </c>
      <c r="AH720">
        <f>OR(AND(IF(Metadata!H720="",FALSE,TRUE),OR(exact(Metadata!H720,"not applicable"),exact(Metadata!H720,"not collected"),exact(Metadata!H720,"not provided"),exact(Metadata!H720,"restricted access"))),AND(IF(Metadata!H720="",FALSE,ISNUMBER(VALUE(Metadata!H720))),Metadata!H720&gt;0))</f>
        <v>0</v>
      </c>
      <c r="AI720">
        <f>AND(IF(Metadata!I720="",FALSE,TRUE),exact(Metadata!I720,"human"))</f>
        <v>0</v>
      </c>
      <c r="AJ720">
        <f>AND(IF(Metadata!J720="",FALSE,ISNUMBER(VALUE(Metadata!J720))),Metadata!J720&gt;0)</f>
        <v>0</v>
      </c>
      <c r="AK720">
        <f>AND(IF(Metadata!K720="",FALSE,TRUE),exact(Metadata!K720,"cm"))</f>
        <v>0</v>
      </c>
      <c r="AL720">
        <f>AND(IF(Metadata!L720="",FALSE,TRUE),exact(Metadata!L720,"Homo sapiens"))</f>
        <v>0</v>
      </c>
      <c r="AM720">
        <f>AND(IF(Metadata!M720="",FALSE,TRUE),exact(Metadata!M720,"9606"))</f>
        <v>0</v>
      </c>
      <c r="AN720">
        <f>AND(IF(Metadata!N720="",FALSE,ISNUMBER(VALUE(Metadata!N720))),Metadata!N720&gt;0)</f>
        <v>0</v>
      </c>
      <c r="AO720">
        <f>AND(IF(Metadata!O720="",FALSE,TRUE),exact(Metadata!O720,"kg"))</f>
        <v>0</v>
      </c>
      <c r="AP720">
        <f>OR(AND(IF(Metadata!P720="",FALSE,TRUE),exact(Metadata!P720,"not provided")),IF(Metadata!P720="",FALSE,TRUE))</f>
        <v>0</v>
      </c>
      <c r="AQ720">
        <f>OR(AND(IF(Metadata!Q720="",FALSE,TRUE),exact(Metadata!Q720,"not provided")),IF(Metadata!Q720="",FALSE,TRUE))</f>
        <v>0</v>
      </c>
    </row>
    <row r="721" spans="1:43">
      <c r="A721" s="4">
        <f>IF(B721=" "," ",HYPERLINK(CONCATENATE("#metadata!",ADDRESS(INDEX($W$2:$W$1001,MATCH(ROWS($U$2:U721),$U$2:$U$1001,0),0),2)),INDEX($Z$2:$Z$1001,MATCH(ROWS($U$2:U721),$U$2:$U$1001,0),0)))</f>
        <v>0</v>
      </c>
      <c r="B721" s="5">
        <f>IF(OR(INDEX($V$2:$V$1001,MATCH(ROWS($U$2:U721),$U$2:$U$1001,0),1)&gt;=100000,INDEX($AB$1005:$AQ$1005,1,MATCH(COLUMNS($AB$1006:AB1006),$AB$1006:$AQ$1006,0))&gt;=100000), " ",IF(INDEX($AB$2:$AQ$1001,MATCH(ROWS($U$2:U721),$U$2:$U$1001,0),MATCH(COLUMNS($AB$1006:AB1006),$AB$1006:$AQ$1006,0)), HYPERLINK("#",""), HYPERLINK(CONCATENATE("#Metadata!", ADDRESS(INDEX($W$2:$W$1001,MATCH(ROWS($U$2:U721),$U$2:$U$1001,0),0), INDEX($AB$1004:$AQ$1004,1,MATCH(COLUMNS($AB$1006:AB1006),$AB$1006:$AQ$1006,0)))),"Fix")))</f>
        <v>0</v>
      </c>
      <c r="C721" s="5">
        <f>IF(OR(INDEX($V$2:$V$1001,MATCH(ROWS($U$2:U721),$U$2:$U$1001,0),1)&gt;=100000,INDEX($AB$1005:$AQ$1005,1,MATCH(COLUMNS($AB$1006:AC1006),$AB$1006:$AQ$1006,0))&gt;=100000), " ",IF(INDEX($AB$2:$AQ$1001,MATCH(ROWS($U$2:U721),$U$2:$U$1001,0),MATCH(COLUMNS($AB$1006:AC1006),$AB$1006:$AQ$1006,0)), HYPERLINK("#",""), HYPERLINK(CONCATENATE("#Metadata!", ADDRESS(INDEX($W$2:$W$1001,MATCH(ROWS($U$2:U721),$U$2:$U$1001,0),0), INDEX($AB$1004:$AQ$1004,1,MATCH(COLUMNS($AB$1006:AC1006),$AB$1006:$AQ$1006,0)))),"Fix")))</f>
        <v>0</v>
      </c>
      <c r="D721" s="5">
        <f>IF(OR(INDEX($V$2:$V$1001,MATCH(ROWS($U$2:U721),$U$2:$U$1001,0),1)&gt;=100000,INDEX($AB$1005:$AQ$1005,1,MATCH(COLUMNS($AB$1006:AD1006),$AB$1006:$AQ$1006,0))&gt;=100000), " ",IF(INDEX($AB$2:$AQ$1001,MATCH(ROWS($U$2:U721),$U$2:$U$1001,0),MATCH(COLUMNS($AB$1006:AD1006),$AB$1006:$AQ$1006,0)), HYPERLINK("#",""), HYPERLINK(CONCATENATE("#Metadata!", ADDRESS(INDEX($W$2:$W$1001,MATCH(ROWS($U$2:U721),$U$2:$U$1001,0),0), INDEX($AB$1004:$AQ$1004,1,MATCH(COLUMNS($AB$1006:AD1006),$AB$1006:$AQ$1006,0)))),"Fix")))</f>
        <v>0</v>
      </c>
      <c r="E721" s="5">
        <f>IF(OR(INDEX($V$2:$V$1001,MATCH(ROWS($U$2:U721),$U$2:$U$1001,0),1)&gt;=100000,INDEX($AB$1005:$AQ$1005,1,MATCH(COLUMNS($AB$1006:AE1006),$AB$1006:$AQ$1006,0))&gt;=100000), " ",IF(INDEX($AB$2:$AQ$1001,MATCH(ROWS($U$2:U721),$U$2:$U$1001,0),MATCH(COLUMNS($AB$1006:AE1006),$AB$1006:$AQ$1006,0)), HYPERLINK("#",""), HYPERLINK(CONCATENATE("#Metadata!", ADDRESS(INDEX($W$2:$W$1001,MATCH(ROWS($U$2:U721),$U$2:$U$1001,0),0), INDEX($AB$1004:$AQ$1004,1,MATCH(COLUMNS($AB$1006:AE1006),$AB$1006:$AQ$1006,0)))),"Fix")))</f>
        <v>0</v>
      </c>
      <c r="F721" s="5">
        <f>IF(OR(INDEX($V$2:$V$1001,MATCH(ROWS($U$2:U721),$U$2:$U$1001,0),1)&gt;=100000,INDEX($AB$1005:$AQ$1005,1,MATCH(COLUMNS($AB$1006:AF1006),$AB$1006:$AQ$1006,0))&gt;=100000), " ",IF(INDEX($AB$2:$AQ$1001,MATCH(ROWS($U$2:U721),$U$2:$U$1001,0),MATCH(COLUMNS($AB$1006:AF1006),$AB$1006:$AQ$1006,0)), HYPERLINK("#",""), HYPERLINK(CONCATENATE("#Metadata!", ADDRESS(INDEX($W$2:$W$1001,MATCH(ROWS($U$2:U721),$U$2:$U$1001,0),0), INDEX($AB$1004:$AQ$1004,1,MATCH(COLUMNS($AB$1006:AF1006),$AB$1006:$AQ$1006,0)))),"Fix")))</f>
        <v>0</v>
      </c>
      <c r="G721" s="5">
        <f>IF(OR(INDEX($V$2:$V$1001,MATCH(ROWS($U$2:U721),$U$2:$U$1001,0),1)&gt;=100000,INDEX($AB$1005:$AQ$1005,1,MATCH(COLUMNS($AB$1006:AG1006),$AB$1006:$AQ$1006,0))&gt;=100000), " ",IF(INDEX($AB$2:$AQ$1001,MATCH(ROWS($U$2:U721),$U$2:$U$1001,0),MATCH(COLUMNS($AB$1006:AG1006),$AB$1006:$AQ$1006,0)), HYPERLINK("#",""), HYPERLINK(CONCATENATE("#Metadata!", ADDRESS(INDEX($W$2:$W$1001,MATCH(ROWS($U$2:U721),$U$2:$U$1001,0),0), INDEX($AB$1004:$AQ$1004,1,MATCH(COLUMNS($AB$1006:AG1006),$AB$1006:$AQ$1006,0)))),"Fix")))</f>
        <v>0</v>
      </c>
      <c r="H721" s="5">
        <f>IF(OR(INDEX($V$2:$V$1001,MATCH(ROWS($U$2:U721),$U$2:$U$1001,0),1)&gt;=100000,INDEX($AB$1005:$AQ$1005,1,MATCH(COLUMNS($AB$1006:AH1006),$AB$1006:$AQ$1006,0))&gt;=100000), " ",IF(INDEX($AB$2:$AQ$1001,MATCH(ROWS($U$2:U721),$U$2:$U$1001,0),MATCH(COLUMNS($AB$1006:AH1006),$AB$1006:$AQ$1006,0)), HYPERLINK("#",""), HYPERLINK(CONCATENATE("#Metadata!", ADDRESS(INDEX($W$2:$W$1001,MATCH(ROWS($U$2:U721),$U$2:$U$1001,0),0), INDEX($AB$1004:$AQ$1004,1,MATCH(COLUMNS($AB$1006:AH1006),$AB$1006:$AQ$1006,0)))),"Fix")))</f>
        <v>0</v>
      </c>
      <c r="I721" s="5">
        <f>IF(OR(INDEX($V$2:$V$1001,MATCH(ROWS($U$2:U721),$U$2:$U$1001,0),1)&gt;=100000,INDEX($AB$1005:$AQ$1005,1,MATCH(COLUMNS($AB$1006:AI1006),$AB$1006:$AQ$1006,0))&gt;=100000), " ",IF(INDEX($AB$2:$AQ$1001,MATCH(ROWS($U$2:U721),$U$2:$U$1001,0),MATCH(COLUMNS($AB$1006:AI1006),$AB$1006:$AQ$1006,0)), HYPERLINK("#",""), HYPERLINK(CONCATENATE("#Metadata!", ADDRESS(INDEX($W$2:$W$1001,MATCH(ROWS($U$2:U721),$U$2:$U$1001,0),0), INDEX($AB$1004:$AQ$1004,1,MATCH(COLUMNS($AB$1006:AI1006),$AB$1006:$AQ$1006,0)))),"Fix")))</f>
        <v>0</v>
      </c>
      <c r="J721" s="5">
        <f>IF(OR(INDEX($V$2:$V$1001,MATCH(ROWS($U$2:U721),$U$2:$U$1001,0),1)&gt;=100000,INDEX($AB$1005:$AQ$1005,1,MATCH(COLUMNS($AB$1006:AJ1006),$AB$1006:$AQ$1006,0))&gt;=100000), " ",IF(INDEX($AB$2:$AQ$1001,MATCH(ROWS($U$2:U721),$U$2:$U$1001,0),MATCH(COLUMNS($AB$1006:AJ1006),$AB$1006:$AQ$1006,0)), HYPERLINK("#",""), HYPERLINK(CONCATENATE("#Metadata!", ADDRESS(INDEX($W$2:$W$1001,MATCH(ROWS($U$2:U721),$U$2:$U$1001,0),0), INDEX($AB$1004:$AQ$1004,1,MATCH(COLUMNS($AB$1006:AJ1006),$AB$1006:$AQ$1006,0)))),"Fix")))</f>
        <v>0</v>
      </c>
      <c r="K721" s="5">
        <f>IF(OR(INDEX($V$2:$V$1001,MATCH(ROWS($U$2:U721),$U$2:$U$1001,0),1)&gt;=100000,INDEX($AB$1005:$AQ$1005,1,MATCH(COLUMNS($AB$1006:AK1006),$AB$1006:$AQ$1006,0))&gt;=100000), " ",IF(INDEX($AB$2:$AQ$1001,MATCH(ROWS($U$2:U721),$U$2:$U$1001,0),MATCH(COLUMNS($AB$1006:AK1006),$AB$1006:$AQ$1006,0)), HYPERLINK("#",""), HYPERLINK(CONCATENATE("#Metadata!", ADDRESS(INDEX($W$2:$W$1001,MATCH(ROWS($U$2:U721),$U$2:$U$1001,0),0), INDEX($AB$1004:$AQ$1004,1,MATCH(COLUMNS($AB$1006:AK1006),$AB$1006:$AQ$1006,0)))),"Fix")))</f>
        <v>0</v>
      </c>
      <c r="L721" s="5">
        <f>IF(OR(INDEX($V$2:$V$1001,MATCH(ROWS($U$2:U721),$U$2:$U$1001,0),1)&gt;=100000,INDEX($AB$1005:$AQ$1005,1,MATCH(COLUMNS($AB$1006:AL1006),$AB$1006:$AQ$1006,0))&gt;=100000), " ",IF(INDEX($AB$2:$AQ$1001,MATCH(ROWS($U$2:U721),$U$2:$U$1001,0),MATCH(COLUMNS($AB$1006:AL1006),$AB$1006:$AQ$1006,0)), HYPERLINK("#",""), HYPERLINK(CONCATENATE("#Metadata!", ADDRESS(INDEX($W$2:$W$1001,MATCH(ROWS($U$2:U721),$U$2:$U$1001,0),0), INDEX($AB$1004:$AQ$1004,1,MATCH(COLUMNS($AB$1006:AL1006),$AB$1006:$AQ$1006,0)))),"Fix")))</f>
        <v>0</v>
      </c>
      <c r="M721" s="5">
        <f>IF(OR(INDEX($V$2:$V$1001,MATCH(ROWS($U$2:U721),$U$2:$U$1001,0),1)&gt;=100000,INDEX($AB$1005:$AQ$1005,1,MATCH(COLUMNS($AB$1006:AM1006),$AB$1006:$AQ$1006,0))&gt;=100000), " ",IF(INDEX($AB$2:$AQ$1001,MATCH(ROWS($U$2:U721),$U$2:$U$1001,0),MATCH(COLUMNS($AB$1006:AM1006),$AB$1006:$AQ$1006,0)), HYPERLINK("#",""), HYPERLINK(CONCATENATE("#Metadata!", ADDRESS(INDEX($W$2:$W$1001,MATCH(ROWS($U$2:U721),$U$2:$U$1001,0),0), INDEX($AB$1004:$AQ$1004,1,MATCH(COLUMNS($AB$1006:AM1006),$AB$1006:$AQ$1006,0)))),"Fix")))</f>
        <v>0</v>
      </c>
      <c r="N721" s="5">
        <f>IF(OR(INDEX($V$2:$V$1001,MATCH(ROWS($U$2:U721),$U$2:$U$1001,0),1)&gt;=100000,INDEX($AB$1005:$AQ$1005,1,MATCH(COLUMNS($AB$1006:AN1006),$AB$1006:$AQ$1006,0))&gt;=100000), " ",IF(INDEX($AB$2:$AQ$1001,MATCH(ROWS($U$2:U721),$U$2:$U$1001,0),MATCH(COLUMNS($AB$1006:AN1006),$AB$1006:$AQ$1006,0)), HYPERLINK("#",""), HYPERLINK(CONCATENATE("#Metadata!", ADDRESS(INDEX($W$2:$W$1001,MATCH(ROWS($U$2:U721),$U$2:$U$1001,0),0), INDEX($AB$1004:$AQ$1004,1,MATCH(COLUMNS($AB$1006:AN1006),$AB$1006:$AQ$1006,0)))),"Fix")))</f>
        <v>0</v>
      </c>
      <c r="O721" s="5">
        <f>IF(OR(INDEX($V$2:$V$1001,MATCH(ROWS($U$2:U721),$U$2:$U$1001,0),1)&gt;=100000,INDEX($AB$1005:$AQ$1005,1,MATCH(COLUMNS($AB$1006:AO1006),$AB$1006:$AQ$1006,0))&gt;=100000), " ",IF(INDEX($AB$2:$AQ$1001,MATCH(ROWS($U$2:U721),$U$2:$U$1001,0),MATCH(COLUMNS($AB$1006:AO1006),$AB$1006:$AQ$1006,0)), HYPERLINK("#",""), HYPERLINK(CONCATENATE("#Metadata!", ADDRESS(INDEX($W$2:$W$1001,MATCH(ROWS($U$2:U721),$U$2:$U$1001,0),0), INDEX($AB$1004:$AQ$1004,1,MATCH(COLUMNS($AB$1006:AO1006),$AB$1006:$AQ$1006,0)))),"Fix")))</f>
        <v>0</v>
      </c>
      <c r="P721" s="5">
        <f>IF(OR(INDEX($V$2:$V$1001,MATCH(ROWS($U$2:U721),$U$2:$U$1001,0),1)&gt;=100000,INDEX($AB$1005:$AQ$1005,1,MATCH(COLUMNS($AB$1006:AP1006),$AB$1006:$AQ$1006,0))&gt;=100000), " ",IF(INDEX($AB$2:$AQ$1001,MATCH(ROWS($U$2:U721),$U$2:$U$1001,0),MATCH(COLUMNS($AB$1006:AP1006),$AB$1006:$AQ$1006,0)), HYPERLINK("#",""), HYPERLINK(CONCATENATE("#Metadata!", ADDRESS(INDEX($W$2:$W$1001,MATCH(ROWS($U$2:U721),$U$2:$U$1001,0),0), INDEX($AB$1004:$AQ$1004,1,MATCH(COLUMNS($AB$1006:AP1006),$AB$1006:$AQ$1006,0)))),"Fix")))</f>
        <v>0</v>
      </c>
      <c r="Q721" s="5">
        <f>IF(OR(INDEX($V$2:$V$1001,MATCH(ROWS($U$2:U721),$U$2:$U$1001,0),1)&gt;=100000,INDEX($AB$1005:$AQ$1005,1,MATCH(COLUMNS($AB$1006:AQ1006),$AB$1006:$AQ$1006,0))&gt;=100000), " ",IF(INDEX($AB$2:$AQ$1001,MATCH(ROWS($U$2:U721),$U$2:$U$1001,0),MATCH(COLUMNS($AB$1006:AQ1006),$AB$1006:$AQ$1006,0)), HYPERLINK("#",""), HYPERLINK(CONCATENATE("#Metadata!", ADDRESS(INDEX($W$2:$W$1001,MATCH(ROWS($U$2:U721),$U$2:$U$1001,0),0), INDEX($AB$1004:$AQ$1004,1,MATCH(COLUMNS($AB$1006:AQ1006),$AB$1006:$AQ$1006,0)))),"Fix")))</f>
        <v>0</v>
      </c>
      <c r="U721">
        <v>0</v>
      </c>
      <c r="V721">
        <v>0</v>
      </c>
      <c r="W721">
        <v>0</v>
      </c>
      <c r="X721">
        <f>IF(Y721,TRUE,AND(AB721:AQ721))</f>
        <v>0</v>
      </c>
      <c r="Y721">
        <f>COUNTBLANK(Metadata!B721:Q721)=COLUMNS(Metadata!B721:Q721)</f>
        <v>0</v>
      </c>
      <c r="Z721">
        <v>0</v>
      </c>
      <c r="AB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AC721">
        <f>AND(IF(Metadata!C721="",FALSE,TRUE),exact(Metadata!C721,"urban biome"))</f>
        <v>0</v>
      </c>
      <c r="AD721">
        <f>AND(IF(Metadata!D721="",FALSE,TRUE),exact(Metadata!D721,"human-associated habitat"))</f>
        <v>0</v>
      </c>
      <c r="AE721">
        <f>AND(IF(Metadata!E721="",FALSE,TRUE),OR(exact(Metadata!E721,"human-associated"),exact(Metadata!E721,"human-skin"),exact(Metadata!E721,"human-oral"),exact(Metadata!E721,"human-gut"),exact(Metadata!E721,"human-vaginal")))</f>
        <v>0</v>
      </c>
      <c r="AF721">
        <f>AND(IF(Metadata!F721="",FALSE,ISNUMBER(VALUE(Metadata!F721))),Metadata!F721&gt;0)</f>
        <v>0</v>
      </c>
      <c r="AG721">
        <f>AND(IF(Metadata!G721="",FALSE,TRUE),exact(Metadata!G721,"years"))</f>
        <v>0</v>
      </c>
      <c r="AH721">
        <f>OR(AND(IF(Metadata!H721="",FALSE,TRUE),OR(exact(Metadata!H721,"not applicable"),exact(Metadata!H721,"not collected"),exact(Metadata!H721,"not provided"),exact(Metadata!H721,"restricted access"))),AND(IF(Metadata!H721="",FALSE,ISNUMBER(VALUE(Metadata!H721))),Metadata!H721&gt;0))</f>
        <v>0</v>
      </c>
      <c r="AI721">
        <f>AND(IF(Metadata!I721="",FALSE,TRUE),exact(Metadata!I721,"human"))</f>
        <v>0</v>
      </c>
      <c r="AJ721">
        <f>AND(IF(Metadata!J721="",FALSE,ISNUMBER(VALUE(Metadata!J721))),Metadata!J721&gt;0)</f>
        <v>0</v>
      </c>
      <c r="AK721">
        <f>AND(IF(Metadata!K721="",FALSE,TRUE),exact(Metadata!K721,"cm"))</f>
        <v>0</v>
      </c>
      <c r="AL721">
        <f>AND(IF(Metadata!L721="",FALSE,TRUE),exact(Metadata!L721,"Homo sapiens"))</f>
        <v>0</v>
      </c>
      <c r="AM721">
        <f>AND(IF(Metadata!M721="",FALSE,TRUE),exact(Metadata!M721,"9606"))</f>
        <v>0</v>
      </c>
      <c r="AN721">
        <f>AND(IF(Metadata!N721="",FALSE,ISNUMBER(VALUE(Metadata!N721))),Metadata!N721&gt;0)</f>
        <v>0</v>
      </c>
      <c r="AO721">
        <f>AND(IF(Metadata!O721="",FALSE,TRUE),exact(Metadata!O721,"kg"))</f>
        <v>0</v>
      </c>
      <c r="AP721">
        <f>OR(AND(IF(Metadata!P721="",FALSE,TRUE),exact(Metadata!P721,"not provided")),IF(Metadata!P721="",FALSE,TRUE))</f>
        <v>0</v>
      </c>
      <c r="AQ721">
        <f>OR(AND(IF(Metadata!Q721="",FALSE,TRUE),exact(Metadata!Q721,"not provided")),IF(Metadata!Q721="",FALSE,TRUE))</f>
        <v>0</v>
      </c>
    </row>
    <row r="722" spans="1:43">
      <c r="A722" s="4">
        <f>IF(B722=" "," ",HYPERLINK(CONCATENATE("#metadata!",ADDRESS(INDEX($W$2:$W$1001,MATCH(ROWS($U$2:U722),$U$2:$U$1001,0),0),2)),INDEX($Z$2:$Z$1001,MATCH(ROWS($U$2:U722),$U$2:$U$1001,0),0)))</f>
        <v>0</v>
      </c>
      <c r="B722" s="5">
        <f>IF(OR(INDEX($V$2:$V$1001,MATCH(ROWS($U$2:U722),$U$2:$U$1001,0),1)&gt;=100000,INDEX($AB$1005:$AQ$1005,1,MATCH(COLUMNS($AB$1006:AB1006),$AB$1006:$AQ$1006,0))&gt;=100000), " ",IF(INDEX($AB$2:$AQ$1001,MATCH(ROWS($U$2:U722),$U$2:$U$1001,0),MATCH(COLUMNS($AB$1006:AB1006),$AB$1006:$AQ$1006,0)), HYPERLINK("#",""), HYPERLINK(CONCATENATE("#Metadata!", ADDRESS(INDEX($W$2:$W$1001,MATCH(ROWS($U$2:U722),$U$2:$U$1001,0),0), INDEX($AB$1004:$AQ$1004,1,MATCH(COLUMNS($AB$1006:AB1006),$AB$1006:$AQ$1006,0)))),"Fix")))</f>
        <v>0</v>
      </c>
      <c r="C722" s="5">
        <f>IF(OR(INDEX($V$2:$V$1001,MATCH(ROWS($U$2:U722),$U$2:$U$1001,0),1)&gt;=100000,INDEX($AB$1005:$AQ$1005,1,MATCH(COLUMNS($AB$1006:AC1006),$AB$1006:$AQ$1006,0))&gt;=100000), " ",IF(INDEX($AB$2:$AQ$1001,MATCH(ROWS($U$2:U722),$U$2:$U$1001,0),MATCH(COLUMNS($AB$1006:AC1006),$AB$1006:$AQ$1006,0)), HYPERLINK("#",""), HYPERLINK(CONCATENATE("#Metadata!", ADDRESS(INDEX($W$2:$W$1001,MATCH(ROWS($U$2:U722),$U$2:$U$1001,0),0), INDEX($AB$1004:$AQ$1004,1,MATCH(COLUMNS($AB$1006:AC1006),$AB$1006:$AQ$1006,0)))),"Fix")))</f>
        <v>0</v>
      </c>
      <c r="D722" s="5">
        <f>IF(OR(INDEX($V$2:$V$1001,MATCH(ROWS($U$2:U722),$U$2:$U$1001,0),1)&gt;=100000,INDEX($AB$1005:$AQ$1005,1,MATCH(COLUMNS($AB$1006:AD1006),$AB$1006:$AQ$1006,0))&gt;=100000), " ",IF(INDEX($AB$2:$AQ$1001,MATCH(ROWS($U$2:U722),$U$2:$U$1001,0),MATCH(COLUMNS($AB$1006:AD1006),$AB$1006:$AQ$1006,0)), HYPERLINK("#",""), HYPERLINK(CONCATENATE("#Metadata!", ADDRESS(INDEX($W$2:$W$1001,MATCH(ROWS($U$2:U722),$U$2:$U$1001,0),0), INDEX($AB$1004:$AQ$1004,1,MATCH(COLUMNS($AB$1006:AD1006),$AB$1006:$AQ$1006,0)))),"Fix")))</f>
        <v>0</v>
      </c>
      <c r="E722" s="5">
        <f>IF(OR(INDEX($V$2:$V$1001,MATCH(ROWS($U$2:U722),$U$2:$U$1001,0),1)&gt;=100000,INDEX($AB$1005:$AQ$1005,1,MATCH(COLUMNS($AB$1006:AE1006),$AB$1006:$AQ$1006,0))&gt;=100000), " ",IF(INDEX($AB$2:$AQ$1001,MATCH(ROWS($U$2:U722),$U$2:$U$1001,0),MATCH(COLUMNS($AB$1006:AE1006),$AB$1006:$AQ$1006,0)), HYPERLINK("#",""), HYPERLINK(CONCATENATE("#Metadata!", ADDRESS(INDEX($W$2:$W$1001,MATCH(ROWS($U$2:U722),$U$2:$U$1001,0),0), INDEX($AB$1004:$AQ$1004,1,MATCH(COLUMNS($AB$1006:AE1006),$AB$1006:$AQ$1006,0)))),"Fix")))</f>
        <v>0</v>
      </c>
      <c r="F722" s="5">
        <f>IF(OR(INDEX($V$2:$V$1001,MATCH(ROWS($U$2:U722),$U$2:$U$1001,0),1)&gt;=100000,INDEX($AB$1005:$AQ$1005,1,MATCH(COLUMNS($AB$1006:AF1006),$AB$1006:$AQ$1006,0))&gt;=100000), " ",IF(INDEX($AB$2:$AQ$1001,MATCH(ROWS($U$2:U722),$U$2:$U$1001,0),MATCH(COLUMNS($AB$1006:AF1006),$AB$1006:$AQ$1006,0)), HYPERLINK("#",""), HYPERLINK(CONCATENATE("#Metadata!", ADDRESS(INDEX($W$2:$W$1001,MATCH(ROWS($U$2:U722),$U$2:$U$1001,0),0), INDEX($AB$1004:$AQ$1004,1,MATCH(COLUMNS($AB$1006:AF1006),$AB$1006:$AQ$1006,0)))),"Fix")))</f>
        <v>0</v>
      </c>
      <c r="G722" s="5">
        <f>IF(OR(INDEX($V$2:$V$1001,MATCH(ROWS($U$2:U722),$U$2:$U$1001,0),1)&gt;=100000,INDEX($AB$1005:$AQ$1005,1,MATCH(COLUMNS($AB$1006:AG1006),$AB$1006:$AQ$1006,0))&gt;=100000), " ",IF(INDEX($AB$2:$AQ$1001,MATCH(ROWS($U$2:U722),$U$2:$U$1001,0),MATCH(COLUMNS($AB$1006:AG1006),$AB$1006:$AQ$1006,0)), HYPERLINK("#",""), HYPERLINK(CONCATENATE("#Metadata!", ADDRESS(INDEX($W$2:$W$1001,MATCH(ROWS($U$2:U722),$U$2:$U$1001,0),0), INDEX($AB$1004:$AQ$1004,1,MATCH(COLUMNS($AB$1006:AG1006),$AB$1006:$AQ$1006,0)))),"Fix")))</f>
        <v>0</v>
      </c>
      <c r="H722" s="5">
        <f>IF(OR(INDEX($V$2:$V$1001,MATCH(ROWS($U$2:U722),$U$2:$U$1001,0),1)&gt;=100000,INDEX($AB$1005:$AQ$1005,1,MATCH(COLUMNS($AB$1006:AH1006),$AB$1006:$AQ$1006,0))&gt;=100000), " ",IF(INDEX($AB$2:$AQ$1001,MATCH(ROWS($U$2:U722),$U$2:$U$1001,0),MATCH(COLUMNS($AB$1006:AH1006),$AB$1006:$AQ$1006,0)), HYPERLINK("#",""), HYPERLINK(CONCATENATE("#Metadata!", ADDRESS(INDEX($W$2:$W$1001,MATCH(ROWS($U$2:U722),$U$2:$U$1001,0),0), INDEX($AB$1004:$AQ$1004,1,MATCH(COLUMNS($AB$1006:AH1006),$AB$1006:$AQ$1006,0)))),"Fix")))</f>
        <v>0</v>
      </c>
      <c r="I722" s="5">
        <f>IF(OR(INDEX($V$2:$V$1001,MATCH(ROWS($U$2:U722),$U$2:$U$1001,0),1)&gt;=100000,INDEX($AB$1005:$AQ$1005,1,MATCH(COLUMNS($AB$1006:AI1006),$AB$1006:$AQ$1006,0))&gt;=100000), " ",IF(INDEX($AB$2:$AQ$1001,MATCH(ROWS($U$2:U722),$U$2:$U$1001,0),MATCH(COLUMNS($AB$1006:AI1006),$AB$1006:$AQ$1006,0)), HYPERLINK("#",""), HYPERLINK(CONCATENATE("#Metadata!", ADDRESS(INDEX($W$2:$W$1001,MATCH(ROWS($U$2:U722),$U$2:$U$1001,0),0), INDEX($AB$1004:$AQ$1004,1,MATCH(COLUMNS($AB$1006:AI1006),$AB$1006:$AQ$1006,0)))),"Fix")))</f>
        <v>0</v>
      </c>
      <c r="J722" s="5">
        <f>IF(OR(INDEX($V$2:$V$1001,MATCH(ROWS($U$2:U722),$U$2:$U$1001,0),1)&gt;=100000,INDEX($AB$1005:$AQ$1005,1,MATCH(COLUMNS($AB$1006:AJ1006),$AB$1006:$AQ$1006,0))&gt;=100000), " ",IF(INDEX($AB$2:$AQ$1001,MATCH(ROWS($U$2:U722),$U$2:$U$1001,0),MATCH(COLUMNS($AB$1006:AJ1006),$AB$1006:$AQ$1006,0)), HYPERLINK("#",""), HYPERLINK(CONCATENATE("#Metadata!", ADDRESS(INDEX($W$2:$W$1001,MATCH(ROWS($U$2:U722),$U$2:$U$1001,0),0), INDEX($AB$1004:$AQ$1004,1,MATCH(COLUMNS($AB$1006:AJ1006),$AB$1006:$AQ$1006,0)))),"Fix")))</f>
        <v>0</v>
      </c>
      <c r="K722" s="5">
        <f>IF(OR(INDEX($V$2:$V$1001,MATCH(ROWS($U$2:U722),$U$2:$U$1001,0),1)&gt;=100000,INDEX($AB$1005:$AQ$1005,1,MATCH(COLUMNS($AB$1006:AK1006),$AB$1006:$AQ$1006,0))&gt;=100000), " ",IF(INDEX($AB$2:$AQ$1001,MATCH(ROWS($U$2:U722),$U$2:$U$1001,0),MATCH(COLUMNS($AB$1006:AK1006),$AB$1006:$AQ$1006,0)), HYPERLINK("#",""), HYPERLINK(CONCATENATE("#Metadata!", ADDRESS(INDEX($W$2:$W$1001,MATCH(ROWS($U$2:U722),$U$2:$U$1001,0),0), INDEX($AB$1004:$AQ$1004,1,MATCH(COLUMNS($AB$1006:AK1006),$AB$1006:$AQ$1006,0)))),"Fix")))</f>
        <v>0</v>
      </c>
      <c r="L722" s="5">
        <f>IF(OR(INDEX($V$2:$V$1001,MATCH(ROWS($U$2:U722),$U$2:$U$1001,0),1)&gt;=100000,INDEX($AB$1005:$AQ$1005,1,MATCH(COLUMNS($AB$1006:AL1006),$AB$1006:$AQ$1006,0))&gt;=100000), " ",IF(INDEX($AB$2:$AQ$1001,MATCH(ROWS($U$2:U722),$U$2:$U$1001,0),MATCH(COLUMNS($AB$1006:AL1006),$AB$1006:$AQ$1006,0)), HYPERLINK("#",""), HYPERLINK(CONCATENATE("#Metadata!", ADDRESS(INDEX($W$2:$W$1001,MATCH(ROWS($U$2:U722),$U$2:$U$1001,0),0), INDEX($AB$1004:$AQ$1004,1,MATCH(COLUMNS($AB$1006:AL1006),$AB$1006:$AQ$1006,0)))),"Fix")))</f>
        <v>0</v>
      </c>
      <c r="M722" s="5">
        <f>IF(OR(INDEX($V$2:$V$1001,MATCH(ROWS($U$2:U722),$U$2:$U$1001,0),1)&gt;=100000,INDEX($AB$1005:$AQ$1005,1,MATCH(COLUMNS($AB$1006:AM1006),$AB$1006:$AQ$1006,0))&gt;=100000), " ",IF(INDEX($AB$2:$AQ$1001,MATCH(ROWS($U$2:U722),$U$2:$U$1001,0),MATCH(COLUMNS($AB$1006:AM1006),$AB$1006:$AQ$1006,0)), HYPERLINK("#",""), HYPERLINK(CONCATENATE("#Metadata!", ADDRESS(INDEX($W$2:$W$1001,MATCH(ROWS($U$2:U722),$U$2:$U$1001,0),0), INDEX($AB$1004:$AQ$1004,1,MATCH(COLUMNS($AB$1006:AM1006),$AB$1006:$AQ$1006,0)))),"Fix")))</f>
        <v>0</v>
      </c>
      <c r="N722" s="5">
        <f>IF(OR(INDEX($V$2:$V$1001,MATCH(ROWS($U$2:U722),$U$2:$U$1001,0),1)&gt;=100000,INDEX($AB$1005:$AQ$1005,1,MATCH(COLUMNS($AB$1006:AN1006),$AB$1006:$AQ$1006,0))&gt;=100000), " ",IF(INDEX($AB$2:$AQ$1001,MATCH(ROWS($U$2:U722),$U$2:$U$1001,0),MATCH(COLUMNS($AB$1006:AN1006),$AB$1006:$AQ$1006,0)), HYPERLINK("#",""), HYPERLINK(CONCATENATE("#Metadata!", ADDRESS(INDEX($W$2:$W$1001,MATCH(ROWS($U$2:U722),$U$2:$U$1001,0),0), INDEX($AB$1004:$AQ$1004,1,MATCH(COLUMNS($AB$1006:AN1006),$AB$1006:$AQ$1006,0)))),"Fix")))</f>
        <v>0</v>
      </c>
      <c r="O722" s="5">
        <f>IF(OR(INDEX($V$2:$V$1001,MATCH(ROWS($U$2:U722),$U$2:$U$1001,0),1)&gt;=100000,INDEX($AB$1005:$AQ$1005,1,MATCH(COLUMNS($AB$1006:AO1006),$AB$1006:$AQ$1006,0))&gt;=100000), " ",IF(INDEX($AB$2:$AQ$1001,MATCH(ROWS($U$2:U722),$U$2:$U$1001,0),MATCH(COLUMNS($AB$1006:AO1006),$AB$1006:$AQ$1006,0)), HYPERLINK("#",""), HYPERLINK(CONCATENATE("#Metadata!", ADDRESS(INDEX($W$2:$W$1001,MATCH(ROWS($U$2:U722),$U$2:$U$1001,0),0), INDEX($AB$1004:$AQ$1004,1,MATCH(COLUMNS($AB$1006:AO1006),$AB$1006:$AQ$1006,0)))),"Fix")))</f>
        <v>0</v>
      </c>
      <c r="P722" s="5">
        <f>IF(OR(INDEX($V$2:$V$1001,MATCH(ROWS($U$2:U722),$U$2:$U$1001,0),1)&gt;=100000,INDEX($AB$1005:$AQ$1005,1,MATCH(COLUMNS($AB$1006:AP1006),$AB$1006:$AQ$1006,0))&gt;=100000), " ",IF(INDEX($AB$2:$AQ$1001,MATCH(ROWS($U$2:U722),$U$2:$U$1001,0),MATCH(COLUMNS($AB$1006:AP1006),$AB$1006:$AQ$1006,0)), HYPERLINK("#",""), HYPERLINK(CONCATENATE("#Metadata!", ADDRESS(INDEX($W$2:$W$1001,MATCH(ROWS($U$2:U722),$U$2:$U$1001,0),0), INDEX($AB$1004:$AQ$1004,1,MATCH(COLUMNS($AB$1006:AP1006),$AB$1006:$AQ$1006,0)))),"Fix")))</f>
        <v>0</v>
      </c>
      <c r="Q722" s="5">
        <f>IF(OR(INDEX($V$2:$V$1001,MATCH(ROWS($U$2:U722),$U$2:$U$1001,0),1)&gt;=100000,INDEX($AB$1005:$AQ$1005,1,MATCH(COLUMNS($AB$1006:AQ1006),$AB$1006:$AQ$1006,0))&gt;=100000), " ",IF(INDEX($AB$2:$AQ$1001,MATCH(ROWS($U$2:U722),$U$2:$U$1001,0),MATCH(COLUMNS($AB$1006:AQ1006),$AB$1006:$AQ$1006,0)), HYPERLINK("#",""), HYPERLINK(CONCATENATE("#Metadata!", ADDRESS(INDEX($W$2:$W$1001,MATCH(ROWS($U$2:U722),$U$2:$U$1001,0),0), INDEX($AB$1004:$AQ$1004,1,MATCH(COLUMNS($AB$1006:AQ1006),$AB$1006:$AQ$1006,0)))),"Fix")))</f>
        <v>0</v>
      </c>
      <c r="U722">
        <v>0</v>
      </c>
      <c r="V722">
        <v>0</v>
      </c>
      <c r="W722">
        <v>0</v>
      </c>
      <c r="X722">
        <f>IF(Y722,TRUE,AND(AB722:AQ722))</f>
        <v>0</v>
      </c>
      <c r="Y722">
        <f>COUNTBLANK(Metadata!B722:Q722)=COLUMNS(Metadata!B722:Q722)</f>
        <v>0</v>
      </c>
      <c r="Z722">
        <v>0</v>
      </c>
      <c r="AB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AC722">
        <f>AND(IF(Metadata!C722="",FALSE,TRUE),exact(Metadata!C722,"urban biome"))</f>
        <v>0</v>
      </c>
      <c r="AD722">
        <f>AND(IF(Metadata!D722="",FALSE,TRUE),exact(Metadata!D722,"human-associated habitat"))</f>
        <v>0</v>
      </c>
      <c r="AE722">
        <f>AND(IF(Metadata!E722="",FALSE,TRUE),OR(exact(Metadata!E722,"human-associated"),exact(Metadata!E722,"human-skin"),exact(Metadata!E722,"human-oral"),exact(Metadata!E722,"human-gut"),exact(Metadata!E722,"human-vaginal")))</f>
        <v>0</v>
      </c>
      <c r="AF722">
        <f>AND(IF(Metadata!F722="",FALSE,ISNUMBER(VALUE(Metadata!F722))),Metadata!F722&gt;0)</f>
        <v>0</v>
      </c>
      <c r="AG722">
        <f>AND(IF(Metadata!G722="",FALSE,TRUE),exact(Metadata!G722,"years"))</f>
        <v>0</v>
      </c>
      <c r="AH722">
        <f>OR(AND(IF(Metadata!H722="",FALSE,TRUE),OR(exact(Metadata!H722,"not applicable"),exact(Metadata!H722,"not collected"),exact(Metadata!H722,"not provided"),exact(Metadata!H722,"restricted access"))),AND(IF(Metadata!H722="",FALSE,ISNUMBER(VALUE(Metadata!H722))),Metadata!H722&gt;0))</f>
        <v>0</v>
      </c>
      <c r="AI722">
        <f>AND(IF(Metadata!I722="",FALSE,TRUE),exact(Metadata!I722,"human"))</f>
        <v>0</v>
      </c>
      <c r="AJ722">
        <f>AND(IF(Metadata!J722="",FALSE,ISNUMBER(VALUE(Metadata!J722))),Metadata!J722&gt;0)</f>
        <v>0</v>
      </c>
      <c r="AK722">
        <f>AND(IF(Metadata!K722="",FALSE,TRUE),exact(Metadata!K722,"cm"))</f>
        <v>0</v>
      </c>
      <c r="AL722">
        <f>AND(IF(Metadata!L722="",FALSE,TRUE),exact(Metadata!L722,"Homo sapiens"))</f>
        <v>0</v>
      </c>
      <c r="AM722">
        <f>AND(IF(Metadata!M722="",FALSE,TRUE),exact(Metadata!M722,"9606"))</f>
        <v>0</v>
      </c>
      <c r="AN722">
        <f>AND(IF(Metadata!N722="",FALSE,ISNUMBER(VALUE(Metadata!N722))),Metadata!N722&gt;0)</f>
        <v>0</v>
      </c>
      <c r="AO722">
        <f>AND(IF(Metadata!O722="",FALSE,TRUE),exact(Metadata!O722,"kg"))</f>
        <v>0</v>
      </c>
      <c r="AP722">
        <f>OR(AND(IF(Metadata!P722="",FALSE,TRUE),exact(Metadata!P722,"not provided")),IF(Metadata!P722="",FALSE,TRUE))</f>
        <v>0</v>
      </c>
      <c r="AQ722">
        <f>OR(AND(IF(Metadata!Q722="",FALSE,TRUE),exact(Metadata!Q722,"not provided")),IF(Metadata!Q722="",FALSE,TRUE))</f>
        <v>0</v>
      </c>
    </row>
    <row r="723" spans="1:43">
      <c r="A723" s="4">
        <f>IF(B723=" "," ",HYPERLINK(CONCATENATE("#metadata!",ADDRESS(INDEX($W$2:$W$1001,MATCH(ROWS($U$2:U723),$U$2:$U$1001,0),0),2)),INDEX($Z$2:$Z$1001,MATCH(ROWS($U$2:U723),$U$2:$U$1001,0),0)))</f>
        <v>0</v>
      </c>
      <c r="B723" s="5">
        <f>IF(OR(INDEX($V$2:$V$1001,MATCH(ROWS($U$2:U723),$U$2:$U$1001,0),1)&gt;=100000,INDEX($AB$1005:$AQ$1005,1,MATCH(COLUMNS($AB$1006:AB1006),$AB$1006:$AQ$1006,0))&gt;=100000), " ",IF(INDEX($AB$2:$AQ$1001,MATCH(ROWS($U$2:U723),$U$2:$U$1001,0),MATCH(COLUMNS($AB$1006:AB1006),$AB$1006:$AQ$1006,0)), HYPERLINK("#",""), HYPERLINK(CONCATENATE("#Metadata!", ADDRESS(INDEX($W$2:$W$1001,MATCH(ROWS($U$2:U723),$U$2:$U$1001,0),0), INDEX($AB$1004:$AQ$1004,1,MATCH(COLUMNS($AB$1006:AB1006),$AB$1006:$AQ$1006,0)))),"Fix")))</f>
        <v>0</v>
      </c>
      <c r="C723" s="5">
        <f>IF(OR(INDEX($V$2:$V$1001,MATCH(ROWS($U$2:U723),$U$2:$U$1001,0),1)&gt;=100000,INDEX($AB$1005:$AQ$1005,1,MATCH(COLUMNS($AB$1006:AC1006),$AB$1006:$AQ$1006,0))&gt;=100000), " ",IF(INDEX($AB$2:$AQ$1001,MATCH(ROWS($U$2:U723),$U$2:$U$1001,0),MATCH(COLUMNS($AB$1006:AC1006),$AB$1006:$AQ$1006,0)), HYPERLINK("#",""), HYPERLINK(CONCATENATE("#Metadata!", ADDRESS(INDEX($W$2:$W$1001,MATCH(ROWS($U$2:U723),$U$2:$U$1001,0),0), INDEX($AB$1004:$AQ$1004,1,MATCH(COLUMNS($AB$1006:AC1006),$AB$1006:$AQ$1006,0)))),"Fix")))</f>
        <v>0</v>
      </c>
      <c r="D723" s="5">
        <f>IF(OR(INDEX($V$2:$V$1001,MATCH(ROWS($U$2:U723),$U$2:$U$1001,0),1)&gt;=100000,INDEX($AB$1005:$AQ$1005,1,MATCH(COLUMNS($AB$1006:AD1006),$AB$1006:$AQ$1006,0))&gt;=100000), " ",IF(INDEX($AB$2:$AQ$1001,MATCH(ROWS($U$2:U723),$U$2:$U$1001,0),MATCH(COLUMNS($AB$1006:AD1006),$AB$1006:$AQ$1006,0)), HYPERLINK("#",""), HYPERLINK(CONCATENATE("#Metadata!", ADDRESS(INDEX($W$2:$W$1001,MATCH(ROWS($U$2:U723),$U$2:$U$1001,0),0), INDEX($AB$1004:$AQ$1004,1,MATCH(COLUMNS($AB$1006:AD1006),$AB$1006:$AQ$1006,0)))),"Fix")))</f>
        <v>0</v>
      </c>
      <c r="E723" s="5">
        <f>IF(OR(INDEX($V$2:$V$1001,MATCH(ROWS($U$2:U723),$U$2:$U$1001,0),1)&gt;=100000,INDEX($AB$1005:$AQ$1005,1,MATCH(COLUMNS($AB$1006:AE1006),$AB$1006:$AQ$1006,0))&gt;=100000), " ",IF(INDEX($AB$2:$AQ$1001,MATCH(ROWS($U$2:U723),$U$2:$U$1001,0),MATCH(COLUMNS($AB$1006:AE1006),$AB$1006:$AQ$1006,0)), HYPERLINK("#",""), HYPERLINK(CONCATENATE("#Metadata!", ADDRESS(INDEX($W$2:$W$1001,MATCH(ROWS($U$2:U723),$U$2:$U$1001,0),0), INDEX($AB$1004:$AQ$1004,1,MATCH(COLUMNS($AB$1006:AE1006),$AB$1006:$AQ$1006,0)))),"Fix")))</f>
        <v>0</v>
      </c>
      <c r="F723" s="5">
        <f>IF(OR(INDEX($V$2:$V$1001,MATCH(ROWS($U$2:U723),$U$2:$U$1001,0),1)&gt;=100000,INDEX($AB$1005:$AQ$1005,1,MATCH(COLUMNS($AB$1006:AF1006),$AB$1006:$AQ$1006,0))&gt;=100000), " ",IF(INDEX($AB$2:$AQ$1001,MATCH(ROWS($U$2:U723),$U$2:$U$1001,0),MATCH(COLUMNS($AB$1006:AF1006),$AB$1006:$AQ$1006,0)), HYPERLINK("#",""), HYPERLINK(CONCATENATE("#Metadata!", ADDRESS(INDEX($W$2:$W$1001,MATCH(ROWS($U$2:U723),$U$2:$U$1001,0),0), INDEX($AB$1004:$AQ$1004,1,MATCH(COLUMNS($AB$1006:AF1006),$AB$1006:$AQ$1006,0)))),"Fix")))</f>
        <v>0</v>
      </c>
      <c r="G723" s="5">
        <f>IF(OR(INDEX($V$2:$V$1001,MATCH(ROWS($U$2:U723),$U$2:$U$1001,0),1)&gt;=100000,INDEX($AB$1005:$AQ$1005,1,MATCH(COLUMNS($AB$1006:AG1006),$AB$1006:$AQ$1006,0))&gt;=100000), " ",IF(INDEX($AB$2:$AQ$1001,MATCH(ROWS($U$2:U723),$U$2:$U$1001,0),MATCH(COLUMNS($AB$1006:AG1006),$AB$1006:$AQ$1006,0)), HYPERLINK("#",""), HYPERLINK(CONCATENATE("#Metadata!", ADDRESS(INDEX($W$2:$W$1001,MATCH(ROWS($U$2:U723),$U$2:$U$1001,0),0), INDEX($AB$1004:$AQ$1004,1,MATCH(COLUMNS($AB$1006:AG1006),$AB$1006:$AQ$1006,0)))),"Fix")))</f>
        <v>0</v>
      </c>
      <c r="H723" s="5">
        <f>IF(OR(INDEX($V$2:$V$1001,MATCH(ROWS($U$2:U723),$U$2:$U$1001,0),1)&gt;=100000,INDEX($AB$1005:$AQ$1005,1,MATCH(COLUMNS($AB$1006:AH1006),$AB$1006:$AQ$1006,0))&gt;=100000), " ",IF(INDEX($AB$2:$AQ$1001,MATCH(ROWS($U$2:U723),$U$2:$U$1001,0),MATCH(COLUMNS($AB$1006:AH1006),$AB$1006:$AQ$1006,0)), HYPERLINK("#",""), HYPERLINK(CONCATENATE("#Metadata!", ADDRESS(INDEX($W$2:$W$1001,MATCH(ROWS($U$2:U723),$U$2:$U$1001,0),0), INDEX($AB$1004:$AQ$1004,1,MATCH(COLUMNS($AB$1006:AH1006),$AB$1006:$AQ$1006,0)))),"Fix")))</f>
        <v>0</v>
      </c>
      <c r="I723" s="5">
        <f>IF(OR(INDEX($V$2:$V$1001,MATCH(ROWS($U$2:U723),$U$2:$U$1001,0),1)&gt;=100000,INDEX($AB$1005:$AQ$1005,1,MATCH(COLUMNS($AB$1006:AI1006),$AB$1006:$AQ$1006,0))&gt;=100000), " ",IF(INDEX($AB$2:$AQ$1001,MATCH(ROWS($U$2:U723),$U$2:$U$1001,0),MATCH(COLUMNS($AB$1006:AI1006),$AB$1006:$AQ$1006,0)), HYPERLINK("#",""), HYPERLINK(CONCATENATE("#Metadata!", ADDRESS(INDEX($W$2:$W$1001,MATCH(ROWS($U$2:U723),$U$2:$U$1001,0),0), INDEX($AB$1004:$AQ$1004,1,MATCH(COLUMNS($AB$1006:AI1006),$AB$1006:$AQ$1006,0)))),"Fix")))</f>
        <v>0</v>
      </c>
      <c r="J723" s="5">
        <f>IF(OR(INDEX($V$2:$V$1001,MATCH(ROWS($U$2:U723),$U$2:$U$1001,0),1)&gt;=100000,INDEX($AB$1005:$AQ$1005,1,MATCH(COLUMNS($AB$1006:AJ1006),$AB$1006:$AQ$1006,0))&gt;=100000), " ",IF(INDEX($AB$2:$AQ$1001,MATCH(ROWS($U$2:U723),$U$2:$U$1001,0),MATCH(COLUMNS($AB$1006:AJ1006),$AB$1006:$AQ$1006,0)), HYPERLINK("#",""), HYPERLINK(CONCATENATE("#Metadata!", ADDRESS(INDEX($W$2:$W$1001,MATCH(ROWS($U$2:U723),$U$2:$U$1001,0),0), INDEX($AB$1004:$AQ$1004,1,MATCH(COLUMNS($AB$1006:AJ1006),$AB$1006:$AQ$1006,0)))),"Fix")))</f>
        <v>0</v>
      </c>
      <c r="K723" s="5">
        <f>IF(OR(INDEX($V$2:$V$1001,MATCH(ROWS($U$2:U723),$U$2:$U$1001,0),1)&gt;=100000,INDEX($AB$1005:$AQ$1005,1,MATCH(COLUMNS($AB$1006:AK1006),$AB$1006:$AQ$1006,0))&gt;=100000), " ",IF(INDEX($AB$2:$AQ$1001,MATCH(ROWS($U$2:U723),$U$2:$U$1001,0),MATCH(COLUMNS($AB$1006:AK1006),$AB$1006:$AQ$1006,0)), HYPERLINK("#",""), HYPERLINK(CONCATENATE("#Metadata!", ADDRESS(INDEX($W$2:$W$1001,MATCH(ROWS($U$2:U723),$U$2:$U$1001,0),0), INDEX($AB$1004:$AQ$1004,1,MATCH(COLUMNS($AB$1006:AK1006),$AB$1006:$AQ$1006,0)))),"Fix")))</f>
        <v>0</v>
      </c>
      <c r="L723" s="5">
        <f>IF(OR(INDEX($V$2:$V$1001,MATCH(ROWS($U$2:U723),$U$2:$U$1001,0),1)&gt;=100000,INDEX($AB$1005:$AQ$1005,1,MATCH(COLUMNS($AB$1006:AL1006),$AB$1006:$AQ$1006,0))&gt;=100000), " ",IF(INDEX($AB$2:$AQ$1001,MATCH(ROWS($U$2:U723),$U$2:$U$1001,0),MATCH(COLUMNS($AB$1006:AL1006),$AB$1006:$AQ$1006,0)), HYPERLINK("#",""), HYPERLINK(CONCATENATE("#Metadata!", ADDRESS(INDEX($W$2:$W$1001,MATCH(ROWS($U$2:U723),$U$2:$U$1001,0),0), INDEX($AB$1004:$AQ$1004,1,MATCH(COLUMNS($AB$1006:AL1006),$AB$1006:$AQ$1006,0)))),"Fix")))</f>
        <v>0</v>
      </c>
      <c r="M723" s="5">
        <f>IF(OR(INDEX($V$2:$V$1001,MATCH(ROWS($U$2:U723),$U$2:$U$1001,0),1)&gt;=100000,INDEX($AB$1005:$AQ$1005,1,MATCH(COLUMNS($AB$1006:AM1006),$AB$1006:$AQ$1006,0))&gt;=100000), " ",IF(INDEX($AB$2:$AQ$1001,MATCH(ROWS($U$2:U723),$U$2:$U$1001,0),MATCH(COLUMNS($AB$1006:AM1006),$AB$1006:$AQ$1006,0)), HYPERLINK("#",""), HYPERLINK(CONCATENATE("#Metadata!", ADDRESS(INDEX($W$2:$W$1001,MATCH(ROWS($U$2:U723),$U$2:$U$1001,0),0), INDEX($AB$1004:$AQ$1004,1,MATCH(COLUMNS($AB$1006:AM1006),$AB$1006:$AQ$1006,0)))),"Fix")))</f>
        <v>0</v>
      </c>
      <c r="N723" s="5">
        <f>IF(OR(INDEX($V$2:$V$1001,MATCH(ROWS($U$2:U723),$U$2:$U$1001,0),1)&gt;=100000,INDEX($AB$1005:$AQ$1005,1,MATCH(COLUMNS($AB$1006:AN1006),$AB$1006:$AQ$1006,0))&gt;=100000), " ",IF(INDEX($AB$2:$AQ$1001,MATCH(ROWS($U$2:U723),$U$2:$U$1001,0),MATCH(COLUMNS($AB$1006:AN1006),$AB$1006:$AQ$1006,0)), HYPERLINK("#",""), HYPERLINK(CONCATENATE("#Metadata!", ADDRESS(INDEX($W$2:$W$1001,MATCH(ROWS($U$2:U723),$U$2:$U$1001,0),0), INDEX($AB$1004:$AQ$1004,1,MATCH(COLUMNS($AB$1006:AN1006),$AB$1006:$AQ$1006,0)))),"Fix")))</f>
        <v>0</v>
      </c>
      <c r="O723" s="5">
        <f>IF(OR(INDEX($V$2:$V$1001,MATCH(ROWS($U$2:U723),$U$2:$U$1001,0),1)&gt;=100000,INDEX($AB$1005:$AQ$1005,1,MATCH(COLUMNS($AB$1006:AO1006),$AB$1006:$AQ$1006,0))&gt;=100000), " ",IF(INDEX($AB$2:$AQ$1001,MATCH(ROWS($U$2:U723),$U$2:$U$1001,0),MATCH(COLUMNS($AB$1006:AO1006),$AB$1006:$AQ$1006,0)), HYPERLINK("#",""), HYPERLINK(CONCATENATE("#Metadata!", ADDRESS(INDEX($W$2:$W$1001,MATCH(ROWS($U$2:U723),$U$2:$U$1001,0),0), INDEX($AB$1004:$AQ$1004,1,MATCH(COLUMNS($AB$1006:AO1006),$AB$1006:$AQ$1006,0)))),"Fix")))</f>
        <v>0</v>
      </c>
      <c r="P723" s="5">
        <f>IF(OR(INDEX($V$2:$V$1001,MATCH(ROWS($U$2:U723),$U$2:$U$1001,0),1)&gt;=100000,INDEX($AB$1005:$AQ$1005,1,MATCH(COLUMNS($AB$1006:AP1006),$AB$1006:$AQ$1006,0))&gt;=100000), " ",IF(INDEX($AB$2:$AQ$1001,MATCH(ROWS($U$2:U723),$U$2:$U$1001,0),MATCH(COLUMNS($AB$1006:AP1006),$AB$1006:$AQ$1006,0)), HYPERLINK("#",""), HYPERLINK(CONCATENATE("#Metadata!", ADDRESS(INDEX($W$2:$W$1001,MATCH(ROWS($U$2:U723),$U$2:$U$1001,0),0), INDEX($AB$1004:$AQ$1004,1,MATCH(COLUMNS($AB$1006:AP1006),$AB$1006:$AQ$1006,0)))),"Fix")))</f>
        <v>0</v>
      </c>
      <c r="Q723" s="5">
        <f>IF(OR(INDEX($V$2:$V$1001,MATCH(ROWS($U$2:U723),$U$2:$U$1001,0),1)&gt;=100000,INDEX($AB$1005:$AQ$1005,1,MATCH(COLUMNS($AB$1006:AQ1006),$AB$1006:$AQ$1006,0))&gt;=100000), " ",IF(INDEX($AB$2:$AQ$1001,MATCH(ROWS($U$2:U723),$U$2:$U$1001,0),MATCH(COLUMNS($AB$1006:AQ1006),$AB$1006:$AQ$1006,0)), HYPERLINK("#",""), HYPERLINK(CONCATENATE("#Metadata!", ADDRESS(INDEX($W$2:$W$1001,MATCH(ROWS($U$2:U723),$U$2:$U$1001,0),0), INDEX($AB$1004:$AQ$1004,1,MATCH(COLUMNS($AB$1006:AQ1006),$AB$1006:$AQ$1006,0)))),"Fix")))</f>
        <v>0</v>
      </c>
      <c r="U723">
        <v>0</v>
      </c>
      <c r="V723">
        <v>0</v>
      </c>
      <c r="W723">
        <v>0</v>
      </c>
      <c r="X723">
        <f>IF(Y723,TRUE,AND(AB723:AQ723))</f>
        <v>0</v>
      </c>
      <c r="Y723">
        <f>COUNTBLANK(Metadata!B723:Q723)=COLUMNS(Metadata!B723:Q723)</f>
        <v>0</v>
      </c>
      <c r="Z723">
        <v>0</v>
      </c>
      <c r="AB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AC723">
        <f>AND(IF(Metadata!C723="",FALSE,TRUE),exact(Metadata!C723,"urban biome"))</f>
        <v>0</v>
      </c>
      <c r="AD723">
        <f>AND(IF(Metadata!D723="",FALSE,TRUE),exact(Metadata!D723,"human-associated habitat"))</f>
        <v>0</v>
      </c>
      <c r="AE723">
        <f>AND(IF(Metadata!E723="",FALSE,TRUE),OR(exact(Metadata!E723,"human-associated"),exact(Metadata!E723,"human-skin"),exact(Metadata!E723,"human-oral"),exact(Metadata!E723,"human-gut"),exact(Metadata!E723,"human-vaginal")))</f>
        <v>0</v>
      </c>
      <c r="AF723">
        <f>AND(IF(Metadata!F723="",FALSE,ISNUMBER(VALUE(Metadata!F723))),Metadata!F723&gt;0)</f>
        <v>0</v>
      </c>
      <c r="AG723">
        <f>AND(IF(Metadata!G723="",FALSE,TRUE),exact(Metadata!G723,"years"))</f>
        <v>0</v>
      </c>
      <c r="AH723">
        <f>OR(AND(IF(Metadata!H723="",FALSE,TRUE),OR(exact(Metadata!H723,"not applicable"),exact(Metadata!H723,"not collected"),exact(Metadata!H723,"not provided"),exact(Metadata!H723,"restricted access"))),AND(IF(Metadata!H723="",FALSE,ISNUMBER(VALUE(Metadata!H723))),Metadata!H723&gt;0))</f>
        <v>0</v>
      </c>
      <c r="AI723">
        <f>AND(IF(Metadata!I723="",FALSE,TRUE),exact(Metadata!I723,"human"))</f>
        <v>0</v>
      </c>
      <c r="AJ723">
        <f>AND(IF(Metadata!J723="",FALSE,ISNUMBER(VALUE(Metadata!J723))),Metadata!J723&gt;0)</f>
        <v>0</v>
      </c>
      <c r="AK723">
        <f>AND(IF(Metadata!K723="",FALSE,TRUE),exact(Metadata!K723,"cm"))</f>
        <v>0</v>
      </c>
      <c r="AL723">
        <f>AND(IF(Metadata!L723="",FALSE,TRUE),exact(Metadata!L723,"Homo sapiens"))</f>
        <v>0</v>
      </c>
      <c r="AM723">
        <f>AND(IF(Metadata!M723="",FALSE,TRUE),exact(Metadata!M723,"9606"))</f>
        <v>0</v>
      </c>
      <c r="AN723">
        <f>AND(IF(Metadata!N723="",FALSE,ISNUMBER(VALUE(Metadata!N723))),Metadata!N723&gt;0)</f>
        <v>0</v>
      </c>
      <c r="AO723">
        <f>AND(IF(Metadata!O723="",FALSE,TRUE),exact(Metadata!O723,"kg"))</f>
        <v>0</v>
      </c>
      <c r="AP723">
        <f>OR(AND(IF(Metadata!P723="",FALSE,TRUE),exact(Metadata!P723,"not provided")),IF(Metadata!P723="",FALSE,TRUE))</f>
        <v>0</v>
      </c>
      <c r="AQ723">
        <f>OR(AND(IF(Metadata!Q723="",FALSE,TRUE),exact(Metadata!Q723,"not provided")),IF(Metadata!Q723="",FALSE,TRUE))</f>
        <v>0</v>
      </c>
    </row>
    <row r="724" spans="1:43">
      <c r="A724" s="4">
        <f>IF(B724=" "," ",HYPERLINK(CONCATENATE("#metadata!",ADDRESS(INDEX($W$2:$W$1001,MATCH(ROWS($U$2:U724),$U$2:$U$1001,0),0),2)),INDEX($Z$2:$Z$1001,MATCH(ROWS($U$2:U724),$U$2:$U$1001,0),0)))</f>
        <v>0</v>
      </c>
      <c r="B724" s="5">
        <f>IF(OR(INDEX($V$2:$V$1001,MATCH(ROWS($U$2:U724),$U$2:$U$1001,0),1)&gt;=100000,INDEX($AB$1005:$AQ$1005,1,MATCH(COLUMNS($AB$1006:AB1006),$AB$1006:$AQ$1006,0))&gt;=100000), " ",IF(INDEX($AB$2:$AQ$1001,MATCH(ROWS($U$2:U724),$U$2:$U$1001,0),MATCH(COLUMNS($AB$1006:AB1006),$AB$1006:$AQ$1006,0)), HYPERLINK("#",""), HYPERLINK(CONCATENATE("#Metadata!", ADDRESS(INDEX($W$2:$W$1001,MATCH(ROWS($U$2:U724),$U$2:$U$1001,0),0), INDEX($AB$1004:$AQ$1004,1,MATCH(COLUMNS($AB$1006:AB1006),$AB$1006:$AQ$1006,0)))),"Fix")))</f>
        <v>0</v>
      </c>
      <c r="C724" s="5">
        <f>IF(OR(INDEX($V$2:$V$1001,MATCH(ROWS($U$2:U724),$U$2:$U$1001,0),1)&gt;=100000,INDEX($AB$1005:$AQ$1005,1,MATCH(COLUMNS($AB$1006:AC1006),$AB$1006:$AQ$1006,0))&gt;=100000), " ",IF(INDEX($AB$2:$AQ$1001,MATCH(ROWS($U$2:U724),$U$2:$U$1001,0),MATCH(COLUMNS($AB$1006:AC1006),$AB$1006:$AQ$1006,0)), HYPERLINK("#",""), HYPERLINK(CONCATENATE("#Metadata!", ADDRESS(INDEX($W$2:$W$1001,MATCH(ROWS($U$2:U724),$U$2:$U$1001,0),0), INDEX($AB$1004:$AQ$1004,1,MATCH(COLUMNS($AB$1006:AC1006),$AB$1006:$AQ$1006,0)))),"Fix")))</f>
        <v>0</v>
      </c>
      <c r="D724" s="5">
        <f>IF(OR(INDEX($V$2:$V$1001,MATCH(ROWS($U$2:U724),$U$2:$U$1001,0),1)&gt;=100000,INDEX($AB$1005:$AQ$1005,1,MATCH(COLUMNS($AB$1006:AD1006),$AB$1006:$AQ$1006,0))&gt;=100000), " ",IF(INDEX($AB$2:$AQ$1001,MATCH(ROWS($U$2:U724),$U$2:$U$1001,0),MATCH(COLUMNS($AB$1006:AD1006),$AB$1006:$AQ$1006,0)), HYPERLINK("#",""), HYPERLINK(CONCATENATE("#Metadata!", ADDRESS(INDEX($W$2:$W$1001,MATCH(ROWS($U$2:U724),$U$2:$U$1001,0),0), INDEX($AB$1004:$AQ$1004,1,MATCH(COLUMNS($AB$1006:AD1006),$AB$1006:$AQ$1006,0)))),"Fix")))</f>
        <v>0</v>
      </c>
      <c r="E724" s="5">
        <f>IF(OR(INDEX($V$2:$V$1001,MATCH(ROWS($U$2:U724),$U$2:$U$1001,0),1)&gt;=100000,INDEX($AB$1005:$AQ$1005,1,MATCH(COLUMNS($AB$1006:AE1006),$AB$1006:$AQ$1006,0))&gt;=100000), " ",IF(INDEX($AB$2:$AQ$1001,MATCH(ROWS($U$2:U724),$U$2:$U$1001,0),MATCH(COLUMNS($AB$1006:AE1006),$AB$1006:$AQ$1006,0)), HYPERLINK("#",""), HYPERLINK(CONCATENATE("#Metadata!", ADDRESS(INDEX($W$2:$W$1001,MATCH(ROWS($U$2:U724),$U$2:$U$1001,0),0), INDEX($AB$1004:$AQ$1004,1,MATCH(COLUMNS($AB$1006:AE1006),$AB$1006:$AQ$1006,0)))),"Fix")))</f>
        <v>0</v>
      </c>
      <c r="F724" s="5">
        <f>IF(OR(INDEX($V$2:$V$1001,MATCH(ROWS($U$2:U724),$U$2:$U$1001,0),1)&gt;=100000,INDEX($AB$1005:$AQ$1005,1,MATCH(COLUMNS($AB$1006:AF1006),$AB$1006:$AQ$1006,0))&gt;=100000), " ",IF(INDEX($AB$2:$AQ$1001,MATCH(ROWS($U$2:U724),$U$2:$U$1001,0),MATCH(COLUMNS($AB$1006:AF1006),$AB$1006:$AQ$1006,0)), HYPERLINK("#",""), HYPERLINK(CONCATENATE("#Metadata!", ADDRESS(INDEX($W$2:$W$1001,MATCH(ROWS($U$2:U724),$U$2:$U$1001,0),0), INDEX($AB$1004:$AQ$1004,1,MATCH(COLUMNS($AB$1006:AF1006),$AB$1006:$AQ$1006,0)))),"Fix")))</f>
        <v>0</v>
      </c>
      <c r="G724" s="5">
        <f>IF(OR(INDEX($V$2:$V$1001,MATCH(ROWS($U$2:U724),$U$2:$U$1001,0),1)&gt;=100000,INDEX($AB$1005:$AQ$1005,1,MATCH(COLUMNS($AB$1006:AG1006),$AB$1006:$AQ$1006,0))&gt;=100000), " ",IF(INDEX($AB$2:$AQ$1001,MATCH(ROWS($U$2:U724),$U$2:$U$1001,0),MATCH(COLUMNS($AB$1006:AG1006),$AB$1006:$AQ$1006,0)), HYPERLINK("#",""), HYPERLINK(CONCATENATE("#Metadata!", ADDRESS(INDEX($W$2:$W$1001,MATCH(ROWS($U$2:U724),$U$2:$U$1001,0),0), INDEX($AB$1004:$AQ$1004,1,MATCH(COLUMNS($AB$1006:AG1006),$AB$1006:$AQ$1006,0)))),"Fix")))</f>
        <v>0</v>
      </c>
      <c r="H724" s="5">
        <f>IF(OR(INDEX($V$2:$V$1001,MATCH(ROWS($U$2:U724),$U$2:$U$1001,0),1)&gt;=100000,INDEX($AB$1005:$AQ$1005,1,MATCH(COLUMNS($AB$1006:AH1006),$AB$1006:$AQ$1006,0))&gt;=100000), " ",IF(INDEX($AB$2:$AQ$1001,MATCH(ROWS($U$2:U724),$U$2:$U$1001,0),MATCH(COLUMNS($AB$1006:AH1006),$AB$1006:$AQ$1006,0)), HYPERLINK("#",""), HYPERLINK(CONCATENATE("#Metadata!", ADDRESS(INDEX($W$2:$W$1001,MATCH(ROWS($U$2:U724),$U$2:$U$1001,0),0), INDEX($AB$1004:$AQ$1004,1,MATCH(COLUMNS($AB$1006:AH1006),$AB$1006:$AQ$1006,0)))),"Fix")))</f>
        <v>0</v>
      </c>
      <c r="I724" s="5">
        <f>IF(OR(INDEX($V$2:$V$1001,MATCH(ROWS($U$2:U724),$U$2:$U$1001,0),1)&gt;=100000,INDEX($AB$1005:$AQ$1005,1,MATCH(COLUMNS($AB$1006:AI1006),$AB$1006:$AQ$1006,0))&gt;=100000), " ",IF(INDEX($AB$2:$AQ$1001,MATCH(ROWS($U$2:U724),$U$2:$U$1001,0),MATCH(COLUMNS($AB$1006:AI1006),$AB$1006:$AQ$1006,0)), HYPERLINK("#",""), HYPERLINK(CONCATENATE("#Metadata!", ADDRESS(INDEX($W$2:$W$1001,MATCH(ROWS($U$2:U724),$U$2:$U$1001,0),0), INDEX($AB$1004:$AQ$1004,1,MATCH(COLUMNS($AB$1006:AI1006),$AB$1006:$AQ$1006,0)))),"Fix")))</f>
        <v>0</v>
      </c>
      <c r="J724" s="5">
        <f>IF(OR(INDEX($V$2:$V$1001,MATCH(ROWS($U$2:U724),$U$2:$U$1001,0),1)&gt;=100000,INDEX($AB$1005:$AQ$1005,1,MATCH(COLUMNS($AB$1006:AJ1006),$AB$1006:$AQ$1006,0))&gt;=100000), " ",IF(INDEX($AB$2:$AQ$1001,MATCH(ROWS($U$2:U724),$U$2:$U$1001,0),MATCH(COLUMNS($AB$1006:AJ1006),$AB$1006:$AQ$1006,0)), HYPERLINK("#",""), HYPERLINK(CONCATENATE("#Metadata!", ADDRESS(INDEX($W$2:$W$1001,MATCH(ROWS($U$2:U724),$U$2:$U$1001,0),0), INDEX($AB$1004:$AQ$1004,1,MATCH(COLUMNS($AB$1006:AJ1006),$AB$1006:$AQ$1006,0)))),"Fix")))</f>
        <v>0</v>
      </c>
      <c r="K724" s="5">
        <f>IF(OR(INDEX($V$2:$V$1001,MATCH(ROWS($U$2:U724),$U$2:$U$1001,0),1)&gt;=100000,INDEX($AB$1005:$AQ$1005,1,MATCH(COLUMNS($AB$1006:AK1006),$AB$1006:$AQ$1006,0))&gt;=100000), " ",IF(INDEX($AB$2:$AQ$1001,MATCH(ROWS($U$2:U724),$U$2:$U$1001,0),MATCH(COLUMNS($AB$1006:AK1006),$AB$1006:$AQ$1006,0)), HYPERLINK("#",""), HYPERLINK(CONCATENATE("#Metadata!", ADDRESS(INDEX($W$2:$W$1001,MATCH(ROWS($U$2:U724),$U$2:$U$1001,0),0), INDEX($AB$1004:$AQ$1004,1,MATCH(COLUMNS($AB$1006:AK1006),$AB$1006:$AQ$1006,0)))),"Fix")))</f>
        <v>0</v>
      </c>
      <c r="L724" s="5">
        <f>IF(OR(INDEX($V$2:$V$1001,MATCH(ROWS($U$2:U724),$U$2:$U$1001,0),1)&gt;=100000,INDEX($AB$1005:$AQ$1005,1,MATCH(COLUMNS($AB$1006:AL1006),$AB$1006:$AQ$1006,0))&gt;=100000), " ",IF(INDEX($AB$2:$AQ$1001,MATCH(ROWS($U$2:U724),$U$2:$U$1001,0),MATCH(COLUMNS($AB$1006:AL1006),$AB$1006:$AQ$1006,0)), HYPERLINK("#",""), HYPERLINK(CONCATENATE("#Metadata!", ADDRESS(INDEX($W$2:$W$1001,MATCH(ROWS($U$2:U724),$U$2:$U$1001,0),0), INDEX($AB$1004:$AQ$1004,1,MATCH(COLUMNS($AB$1006:AL1006),$AB$1006:$AQ$1006,0)))),"Fix")))</f>
        <v>0</v>
      </c>
      <c r="M724" s="5">
        <f>IF(OR(INDEX($V$2:$V$1001,MATCH(ROWS($U$2:U724),$U$2:$U$1001,0),1)&gt;=100000,INDEX($AB$1005:$AQ$1005,1,MATCH(COLUMNS($AB$1006:AM1006),$AB$1006:$AQ$1006,0))&gt;=100000), " ",IF(INDEX($AB$2:$AQ$1001,MATCH(ROWS($U$2:U724),$U$2:$U$1001,0),MATCH(COLUMNS($AB$1006:AM1006),$AB$1006:$AQ$1006,0)), HYPERLINK("#",""), HYPERLINK(CONCATENATE("#Metadata!", ADDRESS(INDEX($W$2:$W$1001,MATCH(ROWS($U$2:U724),$U$2:$U$1001,0),0), INDEX($AB$1004:$AQ$1004,1,MATCH(COLUMNS($AB$1006:AM1006),$AB$1006:$AQ$1006,0)))),"Fix")))</f>
        <v>0</v>
      </c>
      <c r="N724" s="5">
        <f>IF(OR(INDEX($V$2:$V$1001,MATCH(ROWS($U$2:U724),$U$2:$U$1001,0),1)&gt;=100000,INDEX($AB$1005:$AQ$1005,1,MATCH(COLUMNS($AB$1006:AN1006),$AB$1006:$AQ$1006,0))&gt;=100000), " ",IF(INDEX($AB$2:$AQ$1001,MATCH(ROWS($U$2:U724),$U$2:$U$1001,0),MATCH(COLUMNS($AB$1006:AN1006),$AB$1006:$AQ$1006,0)), HYPERLINK("#",""), HYPERLINK(CONCATENATE("#Metadata!", ADDRESS(INDEX($W$2:$W$1001,MATCH(ROWS($U$2:U724),$U$2:$U$1001,0),0), INDEX($AB$1004:$AQ$1004,1,MATCH(COLUMNS($AB$1006:AN1006),$AB$1006:$AQ$1006,0)))),"Fix")))</f>
        <v>0</v>
      </c>
      <c r="O724" s="5">
        <f>IF(OR(INDEX($V$2:$V$1001,MATCH(ROWS($U$2:U724),$U$2:$U$1001,0),1)&gt;=100000,INDEX($AB$1005:$AQ$1005,1,MATCH(COLUMNS($AB$1006:AO1006),$AB$1006:$AQ$1006,0))&gt;=100000), " ",IF(INDEX($AB$2:$AQ$1001,MATCH(ROWS($U$2:U724),$U$2:$U$1001,0),MATCH(COLUMNS($AB$1006:AO1006),$AB$1006:$AQ$1006,0)), HYPERLINK("#",""), HYPERLINK(CONCATENATE("#Metadata!", ADDRESS(INDEX($W$2:$W$1001,MATCH(ROWS($U$2:U724),$U$2:$U$1001,0),0), INDEX($AB$1004:$AQ$1004,1,MATCH(COLUMNS($AB$1006:AO1006),$AB$1006:$AQ$1006,0)))),"Fix")))</f>
        <v>0</v>
      </c>
      <c r="P724" s="5">
        <f>IF(OR(INDEX($V$2:$V$1001,MATCH(ROWS($U$2:U724),$U$2:$U$1001,0),1)&gt;=100000,INDEX($AB$1005:$AQ$1005,1,MATCH(COLUMNS($AB$1006:AP1006),$AB$1006:$AQ$1006,0))&gt;=100000), " ",IF(INDEX($AB$2:$AQ$1001,MATCH(ROWS($U$2:U724),$U$2:$U$1001,0),MATCH(COLUMNS($AB$1006:AP1006),$AB$1006:$AQ$1006,0)), HYPERLINK("#",""), HYPERLINK(CONCATENATE("#Metadata!", ADDRESS(INDEX($W$2:$W$1001,MATCH(ROWS($U$2:U724),$U$2:$U$1001,0),0), INDEX($AB$1004:$AQ$1004,1,MATCH(COLUMNS($AB$1006:AP1006),$AB$1006:$AQ$1006,0)))),"Fix")))</f>
        <v>0</v>
      </c>
      <c r="Q724" s="5">
        <f>IF(OR(INDEX($V$2:$V$1001,MATCH(ROWS($U$2:U724),$U$2:$U$1001,0),1)&gt;=100000,INDEX($AB$1005:$AQ$1005,1,MATCH(COLUMNS($AB$1006:AQ1006),$AB$1006:$AQ$1006,0))&gt;=100000), " ",IF(INDEX($AB$2:$AQ$1001,MATCH(ROWS($U$2:U724),$U$2:$U$1001,0),MATCH(COLUMNS($AB$1006:AQ1006),$AB$1006:$AQ$1006,0)), HYPERLINK("#",""), HYPERLINK(CONCATENATE("#Metadata!", ADDRESS(INDEX($W$2:$W$1001,MATCH(ROWS($U$2:U724),$U$2:$U$1001,0),0), INDEX($AB$1004:$AQ$1004,1,MATCH(COLUMNS($AB$1006:AQ1006),$AB$1006:$AQ$1006,0)))),"Fix")))</f>
        <v>0</v>
      </c>
      <c r="U724">
        <v>0</v>
      </c>
      <c r="V724">
        <v>0</v>
      </c>
      <c r="W724">
        <v>0</v>
      </c>
      <c r="X724">
        <f>IF(Y724,TRUE,AND(AB724:AQ724))</f>
        <v>0</v>
      </c>
      <c r="Y724">
        <f>COUNTBLANK(Metadata!B724:Q724)=COLUMNS(Metadata!B724:Q724)</f>
        <v>0</v>
      </c>
      <c r="Z724">
        <v>0</v>
      </c>
      <c r="AB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AC724">
        <f>AND(IF(Metadata!C724="",FALSE,TRUE),exact(Metadata!C724,"urban biome"))</f>
        <v>0</v>
      </c>
      <c r="AD724">
        <f>AND(IF(Metadata!D724="",FALSE,TRUE),exact(Metadata!D724,"human-associated habitat"))</f>
        <v>0</v>
      </c>
      <c r="AE724">
        <f>AND(IF(Metadata!E724="",FALSE,TRUE),OR(exact(Metadata!E724,"human-associated"),exact(Metadata!E724,"human-skin"),exact(Metadata!E724,"human-oral"),exact(Metadata!E724,"human-gut"),exact(Metadata!E724,"human-vaginal")))</f>
        <v>0</v>
      </c>
      <c r="AF724">
        <f>AND(IF(Metadata!F724="",FALSE,ISNUMBER(VALUE(Metadata!F724))),Metadata!F724&gt;0)</f>
        <v>0</v>
      </c>
      <c r="AG724">
        <f>AND(IF(Metadata!G724="",FALSE,TRUE),exact(Metadata!G724,"years"))</f>
        <v>0</v>
      </c>
      <c r="AH724">
        <f>OR(AND(IF(Metadata!H724="",FALSE,TRUE),OR(exact(Metadata!H724,"not applicable"),exact(Metadata!H724,"not collected"),exact(Metadata!H724,"not provided"),exact(Metadata!H724,"restricted access"))),AND(IF(Metadata!H724="",FALSE,ISNUMBER(VALUE(Metadata!H724))),Metadata!H724&gt;0))</f>
        <v>0</v>
      </c>
      <c r="AI724">
        <f>AND(IF(Metadata!I724="",FALSE,TRUE),exact(Metadata!I724,"human"))</f>
        <v>0</v>
      </c>
      <c r="AJ724">
        <f>AND(IF(Metadata!J724="",FALSE,ISNUMBER(VALUE(Metadata!J724))),Metadata!J724&gt;0)</f>
        <v>0</v>
      </c>
      <c r="AK724">
        <f>AND(IF(Metadata!K724="",FALSE,TRUE),exact(Metadata!K724,"cm"))</f>
        <v>0</v>
      </c>
      <c r="AL724">
        <f>AND(IF(Metadata!L724="",FALSE,TRUE),exact(Metadata!L724,"Homo sapiens"))</f>
        <v>0</v>
      </c>
      <c r="AM724">
        <f>AND(IF(Metadata!M724="",FALSE,TRUE),exact(Metadata!M724,"9606"))</f>
        <v>0</v>
      </c>
      <c r="AN724">
        <f>AND(IF(Metadata!N724="",FALSE,ISNUMBER(VALUE(Metadata!N724))),Metadata!N724&gt;0)</f>
        <v>0</v>
      </c>
      <c r="AO724">
        <f>AND(IF(Metadata!O724="",FALSE,TRUE),exact(Metadata!O724,"kg"))</f>
        <v>0</v>
      </c>
      <c r="AP724">
        <f>OR(AND(IF(Metadata!P724="",FALSE,TRUE),exact(Metadata!P724,"not provided")),IF(Metadata!P724="",FALSE,TRUE))</f>
        <v>0</v>
      </c>
      <c r="AQ724">
        <f>OR(AND(IF(Metadata!Q724="",FALSE,TRUE),exact(Metadata!Q724,"not provided")),IF(Metadata!Q724="",FALSE,TRUE))</f>
        <v>0</v>
      </c>
    </row>
    <row r="725" spans="1:43">
      <c r="A725" s="4">
        <f>IF(B725=" "," ",HYPERLINK(CONCATENATE("#metadata!",ADDRESS(INDEX($W$2:$W$1001,MATCH(ROWS($U$2:U725),$U$2:$U$1001,0),0),2)),INDEX($Z$2:$Z$1001,MATCH(ROWS($U$2:U725),$U$2:$U$1001,0),0)))</f>
        <v>0</v>
      </c>
      <c r="B725" s="5">
        <f>IF(OR(INDEX($V$2:$V$1001,MATCH(ROWS($U$2:U725),$U$2:$U$1001,0),1)&gt;=100000,INDEX($AB$1005:$AQ$1005,1,MATCH(COLUMNS($AB$1006:AB1006),$AB$1006:$AQ$1006,0))&gt;=100000), " ",IF(INDEX($AB$2:$AQ$1001,MATCH(ROWS($U$2:U725),$U$2:$U$1001,0),MATCH(COLUMNS($AB$1006:AB1006),$AB$1006:$AQ$1006,0)), HYPERLINK("#",""), HYPERLINK(CONCATENATE("#Metadata!", ADDRESS(INDEX($W$2:$W$1001,MATCH(ROWS($U$2:U725),$U$2:$U$1001,0),0), INDEX($AB$1004:$AQ$1004,1,MATCH(COLUMNS($AB$1006:AB1006),$AB$1006:$AQ$1006,0)))),"Fix")))</f>
        <v>0</v>
      </c>
      <c r="C725" s="5">
        <f>IF(OR(INDEX($V$2:$V$1001,MATCH(ROWS($U$2:U725),$U$2:$U$1001,0),1)&gt;=100000,INDEX($AB$1005:$AQ$1005,1,MATCH(COLUMNS($AB$1006:AC1006),$AB$1006:$AQ$1006,0))&gt;=100000), " ",IF(INDEX($AB$2:$AQ$1001,MATCH(ROWS($U$2:U725),$U$2:$U$1001,0),MATCH(COLUMNS($AB$1006:AC1006),$AB$1006:$AQ$1006,0)), HYPERLINK("#",""), HYPERLINK(CONCATENATE("#Metadata!", ADDRESS(INDEX($W$2:$W$1001,MATCH(ROWS($U$2:U725),$U$2:$U$1001,0),0), INDEX($AB$1004:$AQ$1004,1,MATCH(COLUMNS($AB$1006:AC1006),$AB$1006:$AQ$1006,0)))),"Fix")))</f>
        <v>0</v>
      </c>
      <c r="D725" s="5">
        <f>IF(OR(INDEX($V$2:$V$1001,MATCH(ROWS($U$2:U725),$U$2:$U$1001,0),1)&gt;=100000,INDEX($AB$1005:$AQ$1005,1,MATCH(COLUMNS($AB$1006:AD1006),$AB$1006:$AQ$1006,0))&gt;=100000), " ",IF(INDEX($AB$2:$AQ$1001,MATCH(ROWS($U$2:U725),$U$2:$U$1001,0),MATCH(COLUMNS($AB$1006:AD1006),$AB$1006:$AQ$1006,0)), HYPERLINK("#",""), HYPERLINK(CONCATENATE("#Metadata!", ADDRESS(INDEX($W$2:$W$1001,MATCH(ROWS($U$2:U725),$U$2:$U$1001,0),0), INDEX($AB$1004:$AQ$1004,1,MATCH(COLUMNS($AB$1006:AD1006),$AB$1006:$AQ$1006,0)))),"Fix")))</f>
        <v>0</v>
      </c>
      <c r="E725" s="5">
        <f>IF(OR(INDEX($V$2:$V$1001,MATCH(ROWS($U$2:U725),$U$2:$U$1001,0),1)&gt;=100000,INDEX($AB$1005:$AQ$1005,1,MATCH(COLUMNS($AB$1006:AE1006),$AB$1006:$AQ$1006,0))&gt;=100000), " ",IF(INDEX($AB$2:$AQ$1001,MATCH(ROWS($U$2:U725),$U$2:$U$1001,0),MATCH(COLUMNS($AB$1006:AE1006),$AB$1006:$AQ$1006,0)), HYPERLINK("#",""), HYPERLINK(CONCATENATE("#Metadata!", ADDRESS(INDEX($W$2:$W$1001,MATCH(ROWS($U$2:U725),$U$2:$U$1001,0),0), INDEX($AB$1004:$AQ$1004,1,MATCH(COLUMNS($AB$1006:AE1006),$AB$1006:$AQ$1006,0)))),"Fix")))</f>
        <v>0</v>
      </c>
      <c r="F725" s="5">
        <f>IF(OR(INDEX($V$2:$V$1001,MATCH(ROWS($U$2:U725),$U$2:$U$1001,0),1)&gt;=100000,INDEX($AB$1005:$AQ$1005,1,MATCH(COLUMNS($AB$1006:AF1006),$AB$1006:$AQ$1006,0))&gt;=100000), " ",IF(INDEX($AB$2:$AQ$1001,MATCH(ROWS($U$2:U725),$U$2:$U$1001,0),MATCH(COLUMNS($AB$1006:AF1006),$AB$1006:$AQ$1006,0)), HYPERLINK("#",""), HYPERLINK(CONCATENATE("#Metadata!", ADDRESS(INDEX($W$2:$W$1001,MATCH(ROWS($U$2:U725),$U$2:$U$1001,0),0), INDEX($AB$1004:$AQ$1004,1,MATCH(COLUMNS($AB$1006:AF1006),$AB$1006:$AQ$1006,0)))),"Fix")))</f>
        <v>0</v>
      </c>
      <c r="G725" s="5">
        <f>IF(OR(INDEX($V$2:$V$1001,MATCH(ROWS($U$2:U725),$U$2:$U$1001,0),1)&gt;=100000,INDEX($AB$1005:$AQ$1005,1,MATCH(COLUMNS($AB$1006:AG1006),$AB$1006:$AQ$1006,0))&gt;=100000), " ",IF(INDEX($AB$2:$AQ$1001,MATCH(ROWS($U$2:U725),$U$2:$U$1001,0),MATCH(COLUMNS($AB$1006:AG1006),$AB$1006:$AQ$1006,0)), HYPERLINK("#",""), HYPERLINK(CONCATENATE("#Metadata!", ADDRESS(INDEX($W$2:$W$1001,MATCH(ROWS($U$2:U725),$U$2:$U$1001,0),0), INDEX($AB$1004:$AQ$1004,1,MATCH(COLUMNS($AB$1006:AG1006),$AB$1006:$AQ$1006,0)))),"Fix")))</f>
        <v>0</v>
      </c>
      <c r="H725" s="5">
        <f>IF(OR(INDEX($V$2:$V$1001,MATCH(ROWS($U$2:U725),$U$2:$U$1001,0),1)&gt;=100000,INDEX($AB$1005:$AQ$1005,1,MATCH(COLUMNS($AB$1006:AH1006),$AB$1006:$AQ$1006,0))&gt;=100000), " ",IF(INDEX($AB$2:$AQ$1001,MATCH(ROWS($U$2:U725),$U$2:$U$1001,0),MATCH(COLUMNS($AB$1006:AH1006),$AB$1006:$AQ$1006,0)), HYPERLINK("#",""), HYPERLINK(CONCATENATE("#Metadata!", ADDRESS(INDEX($W$2:$W$1001,MATCH(ROWS($U$2:U725),$U$2:$U$1001,0),0), INDEX($AB$1004:$AQ$1004,1,MATCH(COLUMNS($AB$1006:AH1006),$AB$1006:$AQ$1006,0)))),"Fix")))</f>
        <v>0</v>
      </c>
      <c r="I725" s="5">
        <f>IF(OR(INDEX($V$2:$V$1001,MATCH(ROWS($U$2:U725),$U$2:$U$1001,0),1)&gt;=100000,INDEX($AB$1005:$AQ$1005,1,MATCH(COLUMNS($AB$1006:AI1006),$AB$1006:$AQ$1006,0))&gt;=100000), " ",IF(INDEX($AB$2:$AQ$1001,MATCH(ROWS($U$2:U725),$U$2:$U$1001,0),MATCH(COLUMNS($AB$1006:AI1006),$AB$1006:$AQ$1006,0)), HYPERLINK("#",""), HYPERLINK(CONCATENATE("#Metadata!", ADDRESS(INDEX($W$2:$W$1001,MATCH(ROWS($U$2:U725),$U$2:$U$1001,0),0), INDEX($AB$1004:$AQ$1004,1,MATCH(COLUMNS($AB$1006:AI1006),$AB$1006:$AQ$1006,0)))),"Fix")))</f>
        <v>0</v>
      </c>
      <c r="J725" s="5">
        <f>IF(OR(INDEX($V$2:$V$1001,MATCH(ROWS($U$2:U725),$U$2:$U$1001,0),1)&gt;=100000,INDEX($AB$1005:$AQ$1005,1,MATCH(COLUMNS($AB$1006:AJ1006),$AB$1006:$AQ$1006,0))&gt;=100000), " ",IF(INDEX($AB$2:$AQ$1001,MATCH(ROWS($U$2:U725),$U$2:$U$1001,0),MATCH(COLUMNS($AB$1006:AJ1006),$AB$1006:$AQ$1006,0)), HYPERLINK("#",""), HYPERLINK(CONCATENATE("#Metadata!", ADDRESS(INDEX($W$2:$W$1001,MATCH(ROWS($U$2:U725),$U$2:$U$1001,0),0), INDEX($AB$1004:$AQ$1004,1,MATCH(COLUMNS($AB$1006:AJ1006),$AB$1006:$AQ$1006,0)))),"Fix")))</f>
        <v>0</v>
      </c>
      <c r="K725" s="5">
        <f>IF(OR(INDEX($V$2:$V$1001,MATCH(ROWS($U$2:U725),$U$2:$U$1001,0),1)&gt;=100000,INDEX($AB$1005:$AQ$1005,1,MATCH(COLUMNS($AB$1006:AK1006),$AB$1006:$AQ$1006,0))&gt;=100000), " ",IF(INDEX($AB$2:$AQ$1001,MATCH(ROWS($U$2:U725),$U$2:$U$1001,0),MATCH(COLUMNS($AB$1006:AK1006),$AB$1006:$AQ$1006,0)), HYPERLINK("#",""), HYPERLINK(CONCATENATE("#Metadata!", ADDRESS(INDEX($W$2:$W$1001,MATCH(ROWS($U$2:U725),$U$2:$U$1001,0),0), INDEX($AB$1004:$AQ$1004,1,MATCH(COLUMNS($AB$1006:AK1006),$AB$1006:$AQ$1006,0)))),"Fix")))</f>
        <v>0</v>
      </c>
      <c r="L725" s="5">
        <f>IF(OR(INDEX($V$2:$V$1001,MATCH(ROWS($U$2:U725),$U$2:$U$1001,0),1)&gt;=100000,INDEX($AB$1005:$AQ$1005,1,MATCH(COLUMNS($AB$1006:AL1006),$AB$1006:$AQ$1006,0))&gt;=100000), " ",IF(INDEX($AB$2:$AQ$1001,MATCH(ROWS($U$2:U725),$U$2:$U$1001,0),MATCH(COLUMNS($AB$1006:AL1006),$AB$1006:$AQ$1006,0)), HYPERLINK("#",""), HYPERLINK(CONCATENATE("#Metadata!", ADDRESS(INDEX($W$2:$W$1001,MATCH(ROWS($U$2:U725),$U$2:$U$1001,0),0), INDEX($AB$1004:$AQ$1004,1,MATCH(COLUMNS($AB$1006:AL1006),$AB$1006:$AQ$1006,0)))),"Fix")))</f>
        <v>0</v>
      </c>
      <c r="M725" s="5">
        <f>IF(OR(INDEX($V$2:$V$1001,MATCH(ROWS($U$2:U725),$U$2:$U$1001,0),1)&gt;=100000,INDEX($AB$1005:$AQ$1005,1,MATCH(COLUMNS($AB$1006:AM1006),$AB$1006:$AQ$1006,0))&gt;=100000), " ",IF(INDEX($AB$2:$AQ$1001,MATCH(ROWS($U$2:U725),$U$2:$U$1001,0),MATCH(COLUMNS($AB$1006:AM1006),$AB$1006:$AQ$1006,0)), HYPERLINK("#",""), HYPERLINK(CONCATENATE("#Metadata!", ADDRESS(INDEX($W$2:$W$1001,MATCH(ROWS($U$2:U725),$U$2:$U$1001,0),0), INDEX($AB$1004:$AQ$1004,1,MATCH(COLUMNS($AB$1006:AM1006),$AB$1006:$AQ$1006,0)))),"Fix")))</f>
        <v>0</v>
      </c>
      <c r="N725" s="5">
        <f>IF(OR(INDEX($V$2:$V$1001,MATCH(ROWS($U$2:U725),$U$2:$U$1001,0),1)&gt;=100000,INDEX($AB$1005:$AQ$1005,1,MATCH(COLUMNS($AB$1006:AN1006),$AB$1006:$AQ$1006,0))&gt;=100000), " ",IF(INDEX($AB$2:$AQ$1001,MATCH(ROWS($U$2:U725),$U$2:$U$1001,0),MATCH(COLUMNS($AB$1006:AN1006),$AB$1006:$AQ$1006,0)), HYPERLINK("#",""), HYPERLINK(CONCATENATE("#Metadata!", ADDRESS(INDEX($W$2:$W$1001,MATCH(ROWS($U$2:U725),$U$2:$U$1001,0),0), INDEX($AB$1004:$AQ$1004,1,MATCH(COLUMNS($AB$1006:AN1006),$AB$1006:$AQ$1006,0)))),"Fix")))</f>
        <v>0</v>
      </c>
      <c r="O725" s="5">
        <f>IF(OR(INDEX($V$2:$V$1001,MATCH(ROWS($U$2:U725),$U$2:$U$1001,0),1)&gt;=100000,INDEX($AB$1005:$AQ$1005,1,MATCH(COLUMNS($AB$1006:AO1006),$AB$1006:$AQ$1006,0))&gt;=100000), " ",IF(INDEX($AB$2:$AQ$1001,MATCH(ROWS($U$2:U725),$U$2:$U$1001,0),MATCH(COLUMNS($AB$1006:AO1006),$AB$1006:$AQ$1006,0)), HYPERLINK("#",""), HYPERLINK(CONCATENATE("#Metadata!", ADDRESS(INDEX($W$2:$W$1001,MATCH(ROWS($U$2:U725),$U$2:$U$1001,0),0), INDEX($AB$1004:$AQ$1004,1,MATCH(COLUMNS($AB$1006:AO1006),$AB$1006:$AQ$1006,0)))),"Fix")))</f>
        <v>0</v>
      </c>
      <c r="P725" s="5">
        <f>IF(OR(INDEX($V$2:$V$1001,MATCH(ROWS($U$2:U725),$U$2:$U$1001,0),1)&gt;=100000,INDEX($AB$1005:$AQ$1005,1,MATCH(COLUMNS($AB$1006:AP1006),$AB$1006:$AQ$1006,0))&gt;=100000), " ",IF(INDEX($AB$2:$AQ$1001,MATCH(ROWS($U$2:U725),$U$2:$U$1001,0),MATCH(COLUMNS($AB$1006:AP1006),$AB$1006:$AQ$1006,0)), HYPERLINK("#",""), HYPERLINK(CONCATENATE("#Metadata!", ADDRESS(INDEX($W$2:$W$1001,MATCH(ROWS($U$2:U725),$U$2:$U$1001,0),0), INDEX($AB$1004:$AQ$1004,1,MATCH(COLUMNS($AB$1006:AP1006),$AB$1006:$AQ$1006,0)))),"Fix")))</f>
        <v>0</v>
      </c>
      <c r="Q725" s="5">
        <f>IF(OR(INDEX($V$2:$V$1001,MATCH(ROWS($U$2:U725),$U$2:$U$1001,0),1)&gt;=100000,INDEX($AB$1005:$AQ$1005,1,MATCH(COLUMNS($AB$1006:AQ1006),$AB$1006:$AQ$1006,0))&gt;=100000), " ",IF(INDEX($AB$2:$AQ$1001,MATCH(ROWS($U$2:U725),$U$2:$U$1001,0),MATCH(COLUMNS($AB$1006:AQ1006),$AB$1006:$AQ$1006,0)), HYPERLINK("#",""), HYPERLINK(CONCATENATE("#Metadata!", ADDRESS(INDEX($W$2:$W$1001,MATCH(ROWS($U$2:U725),$U$2:$U$1001,0),0), INDEX($AB$1004:$AQ$1004,1,MATCH(COLUMNS($AB$1006:AQ1006),$AB$1006:$AQ$1006,0)))),"Fix")))</f>
        <v>0</v>
      </c>
      <c r="U725">
        <v>0</v>
      </c>
      <c r="V725">
        <v>0</v>
      </c>
      <c r="W725">
        <v>0</v>
      </c>
      <c r="X725">
        <f>IF(Y725,TRUE,AND(AB725:AQ725))</f>
        <v>0</v>
      </c>
      <c r="Y725">
        <f>COUNTBLANK(Metadata!B725:Q725)=COLUMNS(Metadata!B725:Q725)</f>
        <v>0</v>
      </c>
      <c r="Z725">
        <v>0</v>
      </c>
      <c r="AB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AC725">
        <f>AND(IF(Metadata!C725="",FALSE,TRUE),exact(Metadata!C725,"urban biome"))</f>
        <v>0</v>
      </c>
      <c r="AD725">
        <f>AND(IF(Metadata!D725="",FALSE,TRUE),exact(Metadata!D725,"human-associated habitat"))</f>
        <v>0</v>
      </c>
      <c r="AE725">
        <f>AND(IF(Metadata!E725="",FALSE,TRUE),OR(exact(Metadata!E725,"human-associated"),exact(Metadata!E725,"human-skin"),exact(Metadata!E725,"human-oral"),exact(Metadata!E725,"human-gut"),exact(Metadata!E725,"human-vaginal")))</f>
        <v>0</v>
      </c>
      <c r="AF725">
        <f>AND(IF(Metadata!F725="",FALSE,ISNUMBER(VALUE(Metadata!F725))),Metadata!F725&gt;0)</f>
        <v>0</v>
      </c>
      <c r="AG725">
        <f>AND(IF(Metadata!G725="",FALSE,TRUE),exact(Metadata!G725,"years"))</f>
        <v>0</v>
      </c>
      <c r="AH725">
        <f>OR(AND(IF(Metadata!H725="",FALSE,TRUE),OR(exact(Metadata!H725,"not applicable"),exact(Metadata!H725,"not collected"),exact(Metadata!H725,"not provided"),exact(Metadata!H725,"restricted access"))),AND(IF(Metadata!H725="",FALSE,ISNUMBER(VALUE(Metadata!H725))),Metadata!H725&gt;0))</f>
        <v>0</v>
      </c>
      <c r="AI725">
        <f>AND(IF(Metadata!I725="",FALSE,TRUE),exact(Metadata!I725,"human"))</f>
        <v>0</v>
      </c>
      <c r="AJ725">
        <f>AND(IF(Metadata!J725="",FALSE,ISNUMBER(VALUE(Metadata!J725))),Metadata!J725&gt;0)</f>
        <v>0</v>
      </c>
      <c r="AK725">
        <f>AND(IF(Metadata!K725="",FALSE,TRUE),exact(Metadata!K725,"cm"))</f>
        <v>0</v>
      </c>
      <c r="AL725">
        <f>AND(IF(Metadata!L725="",FALSE,TRUE),exact(Metadata!L725,"Homo sapiens"))</f>
        <v>0</v>
      </c>
      <c r="AM725">
        <f>AND(IF(Metadata!M725="",FALSE,TRUE),exact(Metadata!M725,"9606"))</f>
        <v>0</v>
      </c>
      <c r="AN725">
        <f>AND(IF(Metadata!N725="",FALSE,ISNUMBER(VALUE(Metadata!N725))),Metadata!N725&gt;0)</f>
        <v>0</v>
      </c>
      <c r="AO725">
        <f>AND(IF(Metadata!O725="",FALSE,TRUE),exact(Metadata!O725,"kg"))</f>
        <v>0</v>
      </c>
      <c r="AP725">
        <f>OR(AND(IF(Metadata!P725="",FALSE,TRUE),exact(Metadata!P725,"not provided")),IF(Metadata!P725="",FALSE,TRUE))</f>
        <v>0</v>
      </c>
      <c r="AQ725">
        <f>OR(AND(IF(Metadata!Q725="",FALSE,TRUE),exact(Metadata!Q725,"not provided")),IF(Metadata!Q725="",FALSE,TRUE))</f>
        <v>0</v>
      </c>
    </row>
    <row r="726" spans="1:43">
      <c r="A726" s="4">
        <f>IF(B726=" "," ",HYPERLINK(CONCATENATE("#metadata!",ADDRESS(INDEX($W$2:$W$1001,MATCH(ROWS($U$2:U726),$U$2:$U$1001,0),0),2)),INDEX($Z$2:$Z$1001,MATCH(ROWS($U$2:U726),$U$2:$U$1001,0),0)))</f>
        <v>0</v>
      </c>
      <c r="B726" s="5">
        <f>IF(OR(INDEX($V$2:$V$1001,MATCH(ROWS($U$2:U726),$U$2:$U$1001,0),1)&gt;=100000,INDEX($AB$1005:$AQ$1005,1,MATCH(COLUMNS($AB$1006:AB1006),$AB$1006:$AQ$1006,0))&gt;=100000), " ",IF(INDEX($AB$2:$AQ$1001,MATCH(ROWS($U$2:U726),$U$2:$U$1001,0),MATCH(COLUMNS($AB$1006:AB1006),$AB$1006:$AQ$1006,0)), HYPERLINK("#",""), HYPERLINK(CONCATENATE("#Metadata!", ADDRESS(INDEX($W$2:$W$1001,MATCH(ROWS($U$2:U726),$U$2:$U$1001,0),0), INDEX($AB$1004:$AQ$1004,1,MATCH(COLUMNS($AB$1006:AB1006),$AB$1006:$AQ$1006,0)))),"Fix")))</f>
        <v>0</v>
      </c>
      <c r="C726" s="5">
        <f>IF(OR(INDEX($V$2:$V$1001,MATCH(ROWS($U$2:U726),$U$2:$U$1001,0),1)&gt;=100000,INDEX($AB$1005:$AQ$1005,1,MATCH(COLUMNS($AB$1006:AC1006),$AB$1006:$AQ$1006,0))&gt;=100000), " ",IF(INDEX($AB$2:$AQ$1001,MATCH(ROWS($U$2:U726),$U$2:$U$1001,0),MATCH(COLUMNS($AB$1006:AC1006),$AB$1006:$AQ$1006,0)), HYPERLINK("#",""), HYPERLINK(CONCATENATE("#Metadata!", ADDRESS(INDEX($W$2:$W$1001,MATCH(ROWS($U$2:U726),$U$2:$U$1001,0),0), INDEX($AB$1004:$AQ$1004,1,MATCH(COLUMNS($AB$1006:AC1006),$AB$1006:$AQ$1006,0)))),"Fix")))</f>
        <v>0</v>
      </c>
      <c r="D726" s="5">
        <f>IF(OR(INDEX($V$2:$V$1001,MATCH(ROWS($U$2:U726),$U$2:$U$1001,0),1)&gt;=100000,INDEX($AB$1005:$AQ$1005,1,MATCH(COLUMNS($AB$1006:AD1006),$AB$1006:$AQ$1006,0))&gt;=100000), " ",IF(INDEX($AB$2:$AQ$1001,MATCH(ROWS($U$2:U726),$U$2:$U$1001,0),MATCH(COLUMNS($AB$1006:AD1006),$AB$1006:$AQ$1006,0)), HYPERLINK("#",""), HYPERLINK(CONCATENATE("#Metadata!", ADDRESS(INDEX($W$2:$W$1001,MATCH(ROWS($U$2:U726),$U$2:$U$1001,0),0), INDEX($AB$1004:$AQ$1004,1,MATCH(COLUMNS($AB$1006:AD1006),$AB$1006:$AQ$1006,0)))),"Fix")))</f>
        <v>0</v>
      </c>
      <c r="E726" s="5">
        <f>IF(OR(INDEX($V$2:$V$1001,MATCH(ROWS($U$2:U726),$U$2:$U$1001,0),1)&gt;=100000,INDEX($AB$1005:$AQ$1005,1,MATCH(COLUMNS($AB$1006:AE1006),$AB$1006:$AQ$1006,0))&gt;=100000), " ",IF(INDEX($AB$2:$AQ$1001,MATCH(ROWS($U$2:U726),$U$2:$U$1001,0),MATCH(COLUMNS($AB$1006:AE1006),$AB$1006:$AQ$1006,0)), HYPERLINK("#",""), HYPERLINK(CONCATENATE("#Metadata!", ADDRESS(INDEX($W$2:$W$1001,MATCH(ROWS($U$2:U726),$U$2:$U$1001,0),0), INDEX($AB$1004:$AQ$1004,1,MATCH(COLUMNS($AB$1006:AE1006),$AB$1006:$AQ$1006,0)))),"Fix")))</f>
        <v>0</v>
      </c>
      <c r="F726" s="5">
        <f>IF(OR(INDEX($V$2:$V$1001,MATCH(ROWS($U$2:U726),$U$2:$U$1001,0),1)&gt;=100000,INDEX($AB$1005:$AQ$1005,1,MATCH(COLUMNS($AB$1006:AF1006),$AB$1006:$AQ$1006,0))&gt;=100000), " ",IF(INDEX($AB$2:$AQ$1001,MATCH(ROWS($U$2:U726),$U$2:$U$1001,0),MATCH(COLUMNS($AB$1006:AF1006),$AB$1006:$AQ$1006,0)), HYPERLINK("#",""), HYPERLINK(CONCATENATE("#Metadata!", ADDRESS(INDEX($W$2:$W$1001,MATCH(ROWS($U$2:U726),$U$2:$U$1001,0),0), INDEX($AB$1004:$AQ$1004,1,MATCH(COLUMNS($AB$1006:AF1006),$AB$1006:$AQ$1006,0)))),"Fix")))</f>
        <v>0</v>
      </c>
      <c r="G726" s="5">
        <f>IF(OR(INDEX($V$2:$V$1001,MATCH(ROWS($U$2:U726),$U$2:$U$1001,0),1)&gt;=100000,INDEX($AB$1005:$AQ$1005,1,MATCH(COLUMNS($AB$1006:AG1006),$AB$1006:$AQ$1006,0))&gt;=100000), " ",IF(INDEX($AB$2:$AQ$1001,MATCH(ROWS($U$2:U726),$U$2:$U$1001,0),MATCH(COLUMNS($AB$1006:AG1006),$AB$1006:$AQ$1006,0)), HYPERLINK("#",""), HYPERLINK(CONCATENATE("#Metadata!", ADDRESS(INDEX($W$2:$W$1001,MATCH(ROWS($U$2:U726),$U$2:$U$1001,0),0), INDEX($AB$1004:$AQ$1004,1,MATCH(COLUMNS($AB$1006:AG1006),$AB$1006:$AQ$1006,0)))),"Fix")))</f>
        <v>0</v>
      </c>
      <c r="H726" s="5">
        <f>IF(OR(INDEX($V$2:$V$1001,MATCH(ROWS($U$2:U726),$U$2:$U$1001,0),1)&gt;=100000,INDEX($AB$1005:$AQ$1005,1,MATCH(COLUMNS($AB$1006:AH1006),$AB$1006:$AQ$1006,0))&gt;=100000), " ",IF(INDEX($AB$2:$AQ$1001,MATCH(ROWS($U$2:U726),$U$2:$U$1001,0),MATCH(COLUMNS($AB$1006:AH1006),$AB$1006:$AQ$1006,0)), HYPERLINK("#",""), HYPERLINK(CONCATENATE("#Metadata!", ADDRESS(INDEX($W$2:$W$1001,MATCH(ROWS($U$2:U726),$U$2:$U$1001,0),0), INDEX($AB$1004:$AQ$1004,1,MATCH(COLUMNS($AB$1006:AH1006),$AB$1006:$AQ$1006,0)))),"Fix")))</f>
        <v>0</v>
      </c>
      <c r="I726" s="5">
        <f>IF(OR(INDEX($V$2:$V$1001,MATCH(ROWS($U$2:U726),$U$2:$U$1001,0),1)&gt;=100000,INDEX($AB$1005:$AQ$1005,1,MATCH(COLUMNS($AB$1006:AI1006),$AB$1006:$AQ$1006,0))&gt;=100000), " ",IF(INDEX($AB$2:$AQ$1001,MATCH(ROWS($U$2:U726),$U$2:$U$1001,0),MATCH(COLUMNS($AB$1006:AI1006),$AB$1006:$AQ$1006,0)), HYPERLINK("#",""), HYPERLINK(CONCATENATE("#Metadata!", ADDRESS(INDEX($W$2:$W$1001,MATCH(ROWS($U$2:U726),$U$2:$U$1001,0),0), INDEX($AB$1004:$AQ$1004,1,MATCH(COLUMNS($AB$1006:AI1006),$AB$1006:$AQ$1006,0)))),"Fix")))</f>
        <v>0</v>
      </c>
      <c r="J726" s="5">
        <f>IF(OR(INDEX($V$2:$V$1001,MATCH(ROWS($U$2:U726),$U$2:$U$1001,0),1)&gt;=100000,INDEX($AB$1005:$AQ$1005,1,MATCH(COLUMNS($AB$1006:AJ1006),$AB$1006:$AQ$1006,0))&gt;=100000), " ",IF(INDEX($AB$2:$AQ$1001,MATCH(ROWS($U$2:U726),$U$2:$U$1001,0),MATCH(COLUMNS($AB$1006:AJ1006),$AB$1006:$AQ$1006,0)), HYPERLINK("#",""), HYPERLINK(CONCATENATE("#Metadata!", ADDRESS(INDEX($W$2:$W$1001,MATCH(ROWS($U$2:U726),$U$2:$U$1001,0),0), INDEX($AB$1004:$AQ$1004,1,MATCH(COLUMNS($AB$1006:AJ1006),$AB$1006:$AQ$1006,0)))),"Fix")))</f>
        <v>0</v>
      </c>
      <c r="K726" s="5">
        <f>IF(OR(INDEX($V$2:$V$1001,MATCH(ROWS($U$2:U726),$U$2:$U$1001,0),1)&gt;=100000,INDEX($AB$1005:$AQ$1005,1,MATCH(COLUMNS($AB$1006:AK1006),$AB$1006:$AQ$1006,0))&gt;=100000), " ",IF(INDEX($AB$2:$AQ$1001,MATCH(ROWS($U$2:U726),$U$2:$U$1001,0),MATCH(COLUMNS($AB$1006:AK1006),$AB$1006:$AQ$1006,0)), HYPERLINK("#",""), HYPERLINK(CONCATENATE("#Metadata!", ADDRESS(INDEX($W$2:$W$1001,MATCH(ROWS($U$2:U726),$U$2:$U$1001,0),0), INDEX($AB$1004:$AQ$1004,1,MATCH(COLUMNS($AB$1006:AK1006),$AB$1006:$AQ$1006,0)))),"Fix")))</f>
        <v>0</v>
      </c>
      <c r="L726" s="5">
        <f>IF(OR(INDEX($V$2:$V$1001,MATCH(ROWS($U$2:U726),$U$2:$U$1001,0),1)&gt;=100000,INDEX($AB$1005:$AQ$1005,1,MATCH(COLUMNS($AB$1006:AL1006),$AB$1006:$AQ$1006,0))&gt;=100000), " ",IF(INDEX($AB$2:$AQ$1001,MATCH(ROWS($U$2:U726),$U$2:$U$1001,0),MATCH(COLUMNS($AB$1006:AL1006),$AB$1006:$AQ$1006,0)), HYPERLINK("#",""), HYPERLINK(CONCATENATE("#Metadata!", ADDRESS(INDEX($W$2:$W$1001,MATCH(ROWS($U$2:U726),$U$2:$U$1001,0),0), INDEX($AB$1004:$AQ$1004,1,MATCH(COLUMNS($AB$1006:AL1006),$AB$1006:$AQ$1006,0)))),"Fix")))</f>
        <v>0</v>
      </c>
      <c r="M726" s="5">
        <f>IF(OR(INDEX($V$2:$V$1001,MATCH(ROWS($U$2:U726),$U$2:$U$1001,0),1)&gt;=100000,INDEX($AB$1005:$AQ$1005,1,MATCH(COLUMNS($AB$1006:AM1006),$AB$1006:$AQ$1006,0))&gt;=100000), " ",IF(INDEX($AB$2:$AQ$1001,MATCH(ROWS($U$2:U726),$U$2:$U$1001,0),MATCH(COLUMNS($AB$1006:AM1006),$AB$1006:$AQ$1006,0)), HYPERLINK("#",""), HYPERLINK(CONCATENATE("#Metadata!", ADDRESS(INDEX($W$2:$W$1001,MATCH(ROWS($U$2:U726),$U$2:$U$1001,0),0), INDEX($AB$1004:$AQ$1004,1,MATCH(COLUMNS($AB$1006:AM1006),$AB$1006:$AQ$1006,0)))),"Fix")))</f>
        <v>0</v>
      </c>
      <c r="N726" s="5">
        <f>IF(OR(INDEX($V$2:$V$1001,MATCH(ROWS($U$2:U726),$U$2:$U$1001,0),1)&gt;=100000,INDEX($AB$1005:$AQ$1005,1,MATCH(COLUMNS($AB$1006:AN1006),$AB$1006:$AQ$1006,0))&gt;=100000), " ",IF(INDEX($AB$2:$AQ$1001,MATCH(ROWS($U$2:U726),$U$2:$U$1001,0),MATCH(COLUMNS($AB$1006:AN1006),$AB$1006:$AQ$1006,0)), HYPERLINK("#",""), HYPERLINK(CONCATENATE("#Metadata!", ADDRESS(INDEX($W$2:$W$1001,MATCH(ROWS($U$2:U726),$U$2:$U$1001,0),0), INDEX($AB$1004:$AQ$1004,1,MATCH(COLUMNS($AB$1006:AN1006),$AB$1006:$AQ$1006,0)))),"Fix")))</f>
        <v>0</v>
      </c>
      <c r="O726" s="5">
        <f>IF(OR(INDEX($V$2:$V$1001,MATCH(ROWS($U$2:U726),$U$2:$U$1001,0),1)&gt;=100000,INDEX($AB$1005:$AQ$1005,1,MATCH(COLUMNS($AB$1006:AO1006),$AB$1006:$AQ$1006,0))&gt;=100000), " ",IF(INDEX($AB$2:$AQ$1001,MATCH(ROWS($U$2:U726),$U$2:$U$1001,0),MATCH(COLUMNS($AB$1006:AO1006),$AB$1006:$AQ$1006,0)), HYPERLINK("#",""), HYPERLINK(CONCATENATE("#Metadata!", ADDRESS(INDEX($W$2:$W$1001,MATCH(ROWS($U$2:U726),$U$2:$U$1001,0),0), INDEX($AB$1004:$AQ$1004,1,MATCH(COLUMNS($AB$1006:AO1006),$AB$1006:$AQ$1006,0)))),"Fix")))</f>
        <v>0</v>
      </c>
      <c r="P726" s="5">
        <f>IF(OR(INDEX($V$2:$V$1001,MATCH(ROWS($U$2:U726),$U$2:$U$1001,0),1)&gt;=100000,INDEX($AB$1005:$AQ$1005,1,MATCH(COLUMNS($AB$1006:AP1006),$AB$1006:$AQ$1006,0))&gt;=100000), " ",IF(INDEX($AB$2:$AQ$1001,MATCH(ROWS($U$2:U726),$U$2:$U$1001,0),MATCH(COLUMNS($AB$1006:AP1006),$AB$1006:$AQ$1006,0)), HYPERLINK("#",""), HYPERLINK(CONCATENATE("#Metadata!", ADDRESS(INDEX($W$2:$W$1001,MATCH(ROWS($U$2:U726),$U$2:$U$1001,0),0), INDEX($AB$1004:$AQ$1004,1,MATCH(COLUMNS($AB$1006:AP1006),$AB$1006:$AQ$1006,0)))),"Fix")))</f>
        <v>0</v>
      </c>
      <c r="Q726" s="5">
        <f>IF(OR(INDEX($V$2:$V$1001,MATCH(ROWS($U$2:U726),$U$2:$U$1001,0),1)&gt;=100000,INDEX($AB$1005:$AQ$1005,1,MATCH(COLUMNS($AB$1006:AQ1006),$AB$1006:$AQ$1006,0))&gt;=100000), " ",IF(INDEX($AB$2:$AQ$1001,MATCH(ROWS($U$2:U726),$U$2:$U$1001,0),MATCH(COLUMNS($AB$1006:AQ1006),$AB$1006:$AQ$1006,0)), HYPERLINK("#",""), HYPERLINK(CONCATENATE("#Metadata!", ADDRESS(INDEX($W$2:$W$1001,MATCH(ROWS($U$2:U726),$U$2:$U$1001,0),0), INDEX($AB$1004:$AQ$1004,1,MATCH(COLUMNS($AB$1006:AQ1006),$AB$1006:$AQ$1006,0)))),"Fix")))</f>
        <v>0</v>
      </c>
      <c r="U726">
        <v>0</v>
      </c>
      <c r="V726">
        <v>0</v>
      </c>
      <c r="W726">
        <v>0</v>
      </c>
      <c r="X726">
        <f>IF(Y726,TRUE,AND(AB726:AQ726))</f>
        <v>0</v>
      </c>
      <c r="Y726">
        <f>COUNTBLANK(Metadata!B726:Q726)=COLUMNS(Metadata!B726:Q726)</f>
        <v>0</v>
      </c>
      <c r="Z726">
        <v>0</v>
      </c>
      <c r="AB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AC726">
        <f>AND(IF(Metadata!C726="",FALSE,TRUE),exact(Metadata!C726,"urban biome"))</f>
        <v>0</v>
      </c>
      <c r="AD726">
        <f>AND(IF(Metadata!D726="",FALSE,TRUE),exact(Metadata!D726,"human-associated habitat"))</f>
        <v>0</v>
      </c>
      <c r="AE726">
        <f>AND(IF(Metadata!E726="",FALSE,TRUE),OR(exact(Metadata!E726,"human-associated"),exact(Metadata!E726,"human-skin"),exact(Metadata!E726,"human-oral"),exact(Metadata!E726,"human-gut"),exact(Metadata!E726,"human-vaginal")))</f>
        <v>0</v>
      </c>
      <c r="AF726">
        <f>AND(IF(Metadata!F726="",FALSE,ISNUMBER(VALUE(Metadata!F726))),Metadata!F726&gt;0)</f>
        <v>0</v>
      </c>
      <c r="AG726">
        <f>AND(IF(Metadata!G726="",FALSE,TRUE),exact(Metadata!G726,"years"))</f>
        <v>0</v>
      </c>
      <c r="AH726">
        <f>OR(AND(IF(Metadata!H726="",FALSE,TRUE),OR(exact(Metadata!H726,"not applicable"),exact(Metadata!H726,"not collected"),exact(Metadata!H726,"not provided"),exact(Metadata!H726,"restricted access"))),AND(IF(Metadata!H726="",FALSE,ISNUMBER(VALUE(Metadata!H726))),Metadata!H726&gt;0))</f>
        <v>0</v>
      </c>
      <c r="AI726">
        <f>AND(IF(Metadata!I726="",FALSE,TRUE),exact(Metadata!I726,"human"))</f>
        <v>0</v>
      </c>
      <c r="AJ726">
        <f>AND(IF(Metadata!J726="",FALSE,ISNUMBER(VALUE(Metadata!J726))),Metadata!J726&gt;0)</f>
        <v>0</v>
      </c>
      <c r="AK726">
        <f>AND(IF(Metadata!K726="",FALSE,TRUE),exact(Metadata!K726,"cm"))</f>
        <v>0</v>
      </c>
      <c r="AL726">
        <f>AND(IF(Metadata!L726="",FALSE,TRUE),exact(Metadata!L726,"Homo sapiens"))</f>
        <v>0</v>
      </c>
      <c r="AM726">
        <f>AND(IF(Metadata!M726="",FALSE,TRUE),exact(Metadata!M726,"9606"))</f>
        <v>0</v>
      </c>
      <c r="AN726">
        <f>AND(IF(Metadata!N726="",FALSE,ISNUMBER(VALUE(Metadata!N726))),Metadata!N726&gt;0)</f>
        <v>0</v>
      </c>
      <c r="AO726">
        <f>AND(IF(Metadata!O726="",FALSE,TRUE),exact(Metadata!O726,"kg"))</f>
        <v>0</v>
      </c>
      <c r="AP726">
        <f>OR(AND(IF(Metadata!P726="",FALSE,TRUE),exact(Metadata!P726,"not provided")),IF(Metadata!P726="",FALSE,TRUE))</f>
        <v>0</v>
      </c>
      <c r="AQ726">
        <f>OR(AND(IF(Metadata!Q726="",FALSE,TRUE),exact(Metadata!Q726,"not provided")),IF(Metadata!Q726="",FALSE,TRUE))</f>
        <v>0</v>
      </c>
    </row>
    <row r="727" spans="1:43">
      <c r="A727" s="4">
        <f>IF(B727=" "," ",HYPERLINK(CONCATENATE("#metadata!",ADDRESS(INDEX($W$2:$W$1001,MATCH(ROWS($U$2:U727),$U$2:$U$1001,0),0),2)),INDEX($Z$2:$Z$1001,MATCH(ROWS($U$2:U727),$U$2:$U$1001,0),0)))</f>
        <v>0</v>
      </c>
      <c r="B727" s="5">
        <f>IF(OR(INDEX($V$2:$V$1001,MATCH(ROWS($U$2:U727),$U$2:$U$1001,0),1)&gt;=100000,INDEX($AB$1005:$AQ$1005,1,MATCH(COLUMNS($AB$1006:AB1006),$AB$1006:$AQ$1006,0))&gt;=100000), " ",IF(INDEX($AB$2:$AQ$1001,MATCH(ROWS($U$2:U727),$U$2:$U$1001,0),MATCH(COLUMNS($AB$1006:AB1006),$AB$1006:$AQ$1006,0)), HYPERLINK("#",""), HYPERLINK(CONCATENATE("#Metadata!", ADDRESS(INDEX($W$2:$W$1001,MATCH(ROWS($U$2:U727),$U$2:$U$1001,0),0), INDEX($AB$1004:$AQ$1004,1,MATCH(COLUMNS($AB$1006:AB1006),$AB$1006:$AQ$1006,0)))),"Fix")))</f>
        <v>0</v>
      </c>
      <c r="C727" s="5">
        <f>IF(OR(INDEX($V$2:$V$1001,MATCH(ROWS($U$2:U727),$U$2:$U$1001,0),1)&gt;=100000,INDEX($AB$1005:$AQ$1005,1,MATCH(COLUMNS($AB$1006:AC1006),$AB$1006:$AQ$1006,0))&gt;=100000), " ",IF(INDEX($AB$2:$AQ$1001,MATCH(ROWS($U$2:U727),$U$2:$U$1001,0),MATCH(COLUMNS($AB$1006:AC1006),$AB$1006:$AQ$1006,0)), HYPERLINK("#",""), HYPERLINK(CONCATENATE("#Metadata!", ADDRESS(INDEX($W$2:$W$1001,MATCH(ROWS($U$2:U727),$U$2:$U$1001,0),0), INDEX($AB$1004:$AQ$1004,1,MATCH(COLUMNS($AB$1006:AC1006),$AB$1006:$AQ$1006,0)))),"Fix")))</f>
        <v>0</v>
      </c>
      <c r="D727" s="5">
        <f>IF(OR(INDEX($V$2:$V$1001,MATCH(ROWS($U$2:U727),$U$2:$U$1001,0),1)&gt;=100000,INDEX($AB$1005:$AQ$1005,1,MATCH(COLUMNS($AB$1006:AD1006),$AB$1006:$AQ$1006,0))&gt;=100000), " ",IF(INDEX($AB$2:$AQ$1001,MATCH(ROWS($U$2:U727),$U$2:$U$1001,0),MATCH(COLUMNS($AB$1006:AD1006),$AB$1006:$AQ$1006,0)), HYPERLINK("#",""), HYPERLINK(CONCATENATE("#Metadata!", ADDRESS(INDEX($W$2:$W$1001,MATCH(ROWS($U$2:U727),$U$2:$U$1001,0),0), INDEX($AB$1004:$AQ$1004,1,MATCH(COLUMNS($AB$1006:AD1006),$AB$1006:$AQ$1006,0)))),"Fix")))</f>
        <v>0</v>
      </c>
      <c r="E727" s="5">
        <f>IF(OR(INDEX($V$2:$V$1001,MATCH(ROWS($U$2:U727),$U$2:$U$1001,0),1)&gt;=100000,INDEX($AB$1005:$AQ$1005,1,MATCH(COLUMNS($AB$1006:AE1006),$AB$1006:$AQ$1006,0))&gt;=100000), " ",IF(INDEX($AB$2:$AQ$1001,MATCH(ROWS($U$2:U727),$U$2:$U$1001,0),MATCH(COLUMNS($AB$1006:AE1006),$AB$1006:$AQ$1006,0)), HYPERLINK("#",""), HYPERLINK(CONCATENATE("#Metadata!", ADDRESS(INDEX($W$2:$W$1001,MATCH(ROWS($U$2:U727),$U$2:$U$1001,0),0), INDEX($AB$1004:$AQ$1004,1,MATCH(COLUMNS($AB$1006:AE1006),$AB$1006:$AQ$1006,0)))),"Fix")))</f>
        <v>0</v>
      </c>
      <c r="F727" s="5">
        <f>IF(OR(INDEX($V$2:$V$1001,MATCH(ROWS($U$2:U727),$U$2:$U$1001,0),1)&gt;=100000,INDEX($AB$1005:$AQ$1005,1,MATCH(COLUMNS($AB$1006:AF1006),$AB$1006:$AQ$1006,0))&gt;=100000), " ",IF(INDEX($AB$2:$AQ$1001,MATCH(ROWS($U$2:U727),$U$2:$U$1001,0),MATCH(COLUMNS($AB$1006:AF1006),$AB$1006:$AQ$1006,0)), HYPERLINK("#",""), HYPERLINK(CONCATENATE("#Metadata!", ADDRESS(INDEX($W$2:$W$1001,MATCH(ROWS($U$2:U727),$U$2:$U$1001,0),0), INDEX($AB$1004:$AQ$1004,1,MATCH(COLUMNS($AB$1006:AF1006),$AB$1006:$AQ$1006,0)))),"Fix")))</f>
        <v>0</v>
      </c>
      <c r="G727" s="5">
        <f>IF(OR(INDEX($V$2:$V$1001,MATCH(ROWS($U$2:U727),$U$2:$U$1001,0),1)&gt;=100000,INDEX($AB$1005:$AQ$1005,1,MATCH(COLUMNS($AB$1006:AG1006),$AB$1006:$AQ$1006,0))&gt;=100000), " ",IF(INDEX($AB$2:$AQ$1001,MATCH(ROWS($U$2:U727),$U$2:$U$1001,0),MATCH(COLUMNS($AB$1006:AG1006),$AB$1006:$AQ$1006,0)), HYPERLINK("#",""), HYPERLINK(CONCATENATE("#Metadata!", ADDRESS(INDEX($W$2:$W$1001,MATCH(ROWS($U$2:U727),$U$2:$U$1001,0),0), INDEX($AB$1004:$AQ$1004,1,MATCH(COLUMNS($AB$1006:AG1006),$AB$1006:$AQ$1006,0)))),"Fix")))</f>
        <v>0</v>
      </c>
      <c r="H727" s="5">
        <f>IF(OR(INDEX($V$2:$V$1001,MATCH(ROWS($U$2:U727),$U$2:$U$1001,0),1)&gt;=100000,INDEX($AB$1005:$AQ$1005,1,MATCH(COLUMNS($AB$1006:AH1006),$AB$1006:$AQ$1006,0))&gt;=100000), " ",IF(INDEX($AB$2:$AQ$1001,MATCH(ROWS($U$2:U727),$U$2:$U$1001,0),MATCH(COLUMNS($AB$1006:AH1006),$AB$1006:$AQ$1006,0)), HYPERLINK("#",""), HYPERLINK(CONCATENATE("#Metadata!", ADDRESS(INDEX($W$2:$W$1001,MATCH(ROWS($U$2:U727),$U$2:$U$1001,0),0), INDEX($AB$1004:$AQ$1004,1,MATCH(COLUMNS($AB$1006:AH1006),$AB$1006:$AQ$1006,0)))),"Fix")))</f>
        <v>0</v>
      </c>
      <c r="I727" s="5">
        <f>IF(OR(INDEX($V$2:$V$1001,MATCH(ROWS($U$2:U727),$U$2:$U$1001,0),1)&gt;=100000,INDEX($AB$1005:$AQ$1005,1,MATCH(COLUMNS($AB$1006:AI1006),$AB$1006:$AQ$1006,0))&gt;=100000), " ",IF(INDEX($AB$2:$AQ$1001,MATCH(ROWS($U$2:U727),$U$2:$U$1001,0),MATCH(COLUMNS($AB$1006:AI1006),$AB$1006:$AQ$1006,0)), HYPERLINK("#",""), HYPERLINK(CONCATENATE("#Metadata!", ADDRESS(INDEX($W$2:$W$1001,MATCH(ROWS($U$2:U727),$U$2:$U$1001,0),0), INDEX($AB$1004:$AQ$1004,1,MATCH(COLUMNS($AB$1006:AI1006),$AB$1006:$AQ$1006,0)))),"Fix")))</f>
        <v>0</v>
      </c>
      <c r="J727" s="5">
        <f>IF(OR(INDEX($V$2:$V$1001,MATCH(ROWS($U$2:U727),$U$2:$U$1001,0),1)&gt;=100000,INDEX($AB$1005:$AQ$1005,1,MATCH(COLUMNS($AB$1006:AJ1006),$AB$1006:$AQ$1006,0))&gt;=100000), " ",IF(INDEX($AB$2:$AQ$1001,MATCH(ROWS($U$2:U727),$U$2:$U$1001,0),MATCH(COLUMNS($AB$1006:AJ1006),$AB$1006:$AQ$1006,0)), HYPERLINK("#",""), HYPERLINK(CONCATENATE("#Metadata!", ADDRESS(INDEX($W$2:$W$1001,MATCH(ROWS($U$2:U727),$U$2:$U$1001,0),0), INDEX($AB$1004:$AQ$1004,1,MATCH(COLUMNS($AB$1006:AJ1006),$AB$1006:$AQ$1006,0)))),"Fix")))</f>
        <v>0</v>
      </c>
      <c r="K727" s="5">
        <f>IF(OR(INDEX($V$2:$V$1001,MATCH(ROWS($U$2:U727),$U$2:$U$1001,0),1)&gt;=100000,INDEX($AB$1005:$AQ$1005,1,MATCH(COLUMNS($AB$1006:AK1006),$AB$1006:$AQ$1006,0))&gt;=100000), " ",IF(INDEX($AB$2:$AQ$1001,MATCH(ROWS($U$2:U727),$U$2:$U$1001,0),MATCH(COLUMNS($AB$1006:AK1006),$AB$1006:$AQ$1006,0)), HYPERLINK("#",""), HYPERLINK(CONCATENATE("#Metadata!", ADDRESS(INDEX($W$2:$W$1001,MATCH(ROWS($U$2:U727),$U$2:$U$1001,0),0), INDEX($AB$1004:$AQ$1004,1,MATCH(COLUMNS($AB$1006:AK1006),$AB$1006:$AQ$1006,0)))),"Fix")))</f>
        <v>0</v>
      </c>
      <c r="L727" s="5">
        <f>IF(OR(INDEX($V$2:$V$1001,MATCH(ROWS($U$2:U727),$U$2:$U$1001,0),1)&gt;=100000,INDEX($AB$1005:$AQ$1005,1,MATCH(COLUMNS($AB$1006:AL1006),$AB$1006:$AQ$1006,0))&gt;=100000), " ",IF(INDEX($AB$2:$AQ$1001,MATCH(ROWS($U$2:U727),$U$2:$U$1001,0),MATCH(COLUMNS($AB$1006:AL1006),$AB$1006:$AQ$1006,0)), HYPERLINK("#",""), HYPERLINK(CONCATENATE("#Metadata!", ADDRESS(INDEX($W$2:$W$1001,MATCH(ROWS($U$2:U727),$U$2:$U$1001,0),0), INDEX($AB$1004:$AQ$1004,1,MATCH(COLUMNS($AB$1006:AL1006),$AB$1006:$AQ$1006,0)))),"Fix")))</f>
        <v>0</v>
      </c>
      <c r="M727" s="5">
        <f>IF(OR(INDEX($V$2:$V$1001,MATCH(ROWS($U$2:U727),$U$2:$U$1001,0),1)&gt;=100000,INDEX($AB$1005:$AQ$1005,1,MATCH(COLUMNS($AB$1006:AM1006),$AB$1006:$AQ$1006,0))&gt;=100000), " ",IF(INDEX($AB$2:$AQ$1001,MATCH(ROWS($U$2:U727),$U$2:$U$1001,0),MATCH(COLUMNS($AB$1006:AM1006),$AB$1006:$AQ$1006,0)), HYPERLINK("#",""), HYPERLINK(CONCATENATE("#Metadata!", ADDRESS(INDEX($W$2:$W$1001,MATCH(ROWS($U$2:U727),$U$2:$U$1001,0),0), INDEX($AB$1004:$AQ$1004,1,MATCH(COLUMNS($AB$1006:AM1006),$AB$1006:$AQ$1006,0)))),"Fix")))</f>
        <v>0</v>
      </c>
      <c r="N727" s="5">
        <f>IF(OR(INDEX($V$2:$V$1001,MATCH(ROWS($U$2:U727),$U$2:$U$1001,0),1)&gt;=100000,INDEX($AB$1005:$AQ$1005,1,MATCH(COLUMNS($AB$1006:AN1006),$AB$1006:$AQ$1006,0))&gt;=100000), " ",IF(INDEX($AB$2:$AQ$1001,MATCH(ROWS($U$2:U727),$U$2:$U$1001,0),MATCH(COLUMNS($AB$1006:AN1006),$AB$1006:$AQ$1006,0)), HYPERLINK("#",""), HYPERLINK(CONCATENATE("#Metadata!", ADDRESS(INDEX($W$2:$W$1001,MATCH(ROWS($U$2:U727),$U$2:$U$1001,0),0), INDEX($AB$1004:$AQ$1004,1,MATCH(COLUMNS($AB$1006:AN1006),$AB$1006:$AQ$1006,0)))),"Fix")))</f>
        <v>0</v>
      </c>
      <c r="O727" s="5">
        <f>IF(OR(INDEX($V$2:$V$1001,MATCH(ROWS($U$2:U727),$U$2:$U$1001,0),1)&gt;=100000,INDEX($AB$1005:$AQ$1005,1,MATCH(COLUMNS($AB$1006:AO1006),$AB$1006:$AQ$1006,0))&gt;=100000), " ",IF(INDEX($AB$2:$AQ$1001,MATCH(ROWS($U$2:U727),$U$2:$U$1001,0),MATCH(COLUMNS($AB$1006:AO1006),$AB$1006:$AQ$1006,0)), HYPERLINK("#",""), HYPERLINK(CONCATENATE("#Metadata!", ADDRESS(INDEX($W$2:$W$1001,MATCH(ROWS($U$2:U727),$U$2:$U$1001,0),0), INDEX($AB$1004:$AQ$1004,1,MATCH(COLUMNS($AB$1006:AO1006),$AB$1006:$AQ$1006,0)))),"Fix")))</f>
        <v>0</v>
      </c>
      <c r="P727" s="5">
        <f>IF(OR(INDEX($V$2:$V$1001,MATCH(ROWS($U$2:U727),$U$2:$U$1001,0),1)&gt;=100000,INDEX($AB$1005:$AQ$1005,1,MATCH(COLUMNS($AB$1006:AP1006),$AB$1006:$AQ$1006,0))&gt;=100000), " ",IF(INDEX($AB$2:$AQ$1001,MATCH(ROWS($U$2:U727),$U$2:$U$1001,0),MATCH(COLUMNS($AB$1006:AP1006),$AB$1006:$AQ$1006,0)), HYPERLINK("#",""), HYPERLINK(CONCATENATE("#Metadata!", ADDRESS(INDEX($W$2:$W$1001,MATCH(ROWS($U$2:U727),$U$2:$U$1001,0),0), INDEX($AB$1004:$AQ$1004,1,MATCH(COLUMNS($AB$1006:AP1006),$AB$1006:$AQ$1006,0)))),"Fix")))</f>
        <v>0</v>
      </c>
      <c r="Q727" s="5">
        <f>IF(OR(INDEX($V$2:$V$1001,MATCH(ROWS($U$2:U727),$U$2:$U$1001,0),1)&gt;=100000,INDEX($AB$1005:$AQ$1005,1,MATCH(COLUMNS($AB$1006:AQ1006),$AB$1006:$AQ$1006,0))&gt;=100000), " ",IF(INDEX($AB$2:$AQ$1001,MATCH(ROWS($U$2:U727),$U$2:$U$1001,0),MATCH(COLUMNS($AB$1006:AQ1006),$AB$1006:$AQ$1006,0)), HYPERLINK("#",""), HYPERLINK(CONCATENATE("#Metadata!", ADDRESS(INDEX($W$2:$W$1001,MATCH(ROWS($U$2:U727),$U$2:$U$1001,0),0), INDEX($AB$1004:$AQ$1004,1,MATCH(COLUMNS($AB$1006:AQ1006),$AB$1006:$AQ$1006,0)))),"Fix")))</f>
        <v>0</v>
      </c>
      <c r="U727">
        <v>0</v>
      </c>
      <c r="V727">
        <v>0</v>
      </c>
      <c r="W727">
        <v>0</v>
      </c>
      <c r="X727">
        <f>IF(Y727,TRUE,AND(AB727:AQ727))</f>
        <v>0</v>
      </c>
      <c r="Y727">
        <f>COUNTBLANK(Metadata!B727:Q727)=COLUMNS(Metadata!B727:Q727)</f>
        <v>0</v>
      </c>
      <c r="Z727">
        <v>0</v>
      </c>
      <c r="AB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AC727">
        <f>AND(IF(Metadata!C727="",FALSE,TRUE),exact(Metadata!C727,"urban biome"))</f>
        <v>0</v>
      </c>
      <c r="AD727">
        <f>AND(IF(Metadata!D727="",FALSE,TRUE),exact(Metadata!D727,"human-associated habitat"))</f>
        <v>0</v>
      </c>
      <c r="AE727">
        <f>AND(IF(Metadata!E727="",FALSE,TRUE),OR(exact(Metadata!E727,"human-associated"),exact(Metadata!E727,"human-skin"),exact(Metadata!E727,"human-oral"),exact(Metadata!E727,"human-gut"),exact(Metadata!E727,"human-vaginal")))</f>
        <v>0</v>
      </c>
      <c r="AF727">
        <f>AND(IF(Metadata!F727="",FALSE,ISNUMBER(VALUE(Metadata!F727))),Metadata!F727&gt;0)</f>
        <v>0</v>
      </c>
      <c r="AG727">
        <f>AND(IF(Metadata!G727="",FALSE,TRUE),exact(Metadata!G727,"years"))</f>
        <v>0</v>
      </c>
      <c r="AH727">
        <f>OR(AND(IF(Metadata!H727="",FALSE,TRUE),OR(exact(Metadata!H727,"not applicable"),exact(Metadata!H727,"not collected"),exact(Metadata!H727,"not provided"),exact(Metadata!H727,"restricted access"))),AND(IF(Metadata!H727="",FALSE,ISNUMBER(VALUE(Metadata!H727))),Metadata!H727&gt;0))</f>
        <v>0</v>
      </c>
      <c r="AI727">
        <f>AND(IF(Metadata!I727="",FALSE,TRUE),exact(Metadata!I727,"human"))</f>
        <v>0</v>
      </c>
      <c r="AJ727">
        <f>AND(IF(Metadata!J727="",FALSE,ISNUMBER(VALUE(Metadata!J727))),Metadata!J727&gt;0)</f>
        <v>0</v>
      </c>
      <c r="AK727">
        <f>AND(IF(Metadata!K727="",FALSE,TRUE),exact(Metadata!K727,"cm"))</f>
        <v>0</v>
      </c>
      <c r="AL727">
        <f>AND(IF(Metadata!L727="",FALSE,TRUE),exact(Metadata!L727,"Homo sapiens"))</f>
        <v>0</v>
      </c>
      <c r="AM727">
        <f>AND(IF(Metadata!M727="",FALSE,TRUE),exact(Metadata!M727,"9606"))</f>
        <v>0</v>
      </c>
      <c r="AN727">
        <f>AND(IF(Metadata!N727="",FALSE,ISNUMBER(VALUE(Metadata!N727))),Metadata!N727&gt;0)</f>
        <v>0</v>
      </c>
      <c r="AO727">
        <f>AND(IF(Metadata!O727="",FALSE,TRUE),exact(Metadata!O727,"kg"))</f>
        <v>0</v>
      </c>
      <c r="AP727">
        <f>OR(AND(IF(Metadata!P727="",FALSE,TRUE),exact(Metadata!P727,"not provided")),IF(Metadata!P727="",FALSE,TRUE))</f>
        <v>0</v>
      </c>
      <c r="AQ727">
        <f>OR(AND(IF(Metadata!Q727="",FALSE,TRUE),exact(Metadata!Q727,"not provided")),IF(Metadata!Q727="",FALSE,TRUE))</f>
        <v>0</v>
      </c>
    </row>
    <row r="728" spans="1:43">
      <c r="A728" s="4">
        <f>IF(B728=" "," ",HYPERLINK(CONCATENATE("#metadata!",ADDRESS(INDEX($W$2:$W$1001,MATCH(ROWS($U$2:U728),$U$2:$U$1001,0),0),2)),INDEX($Z$2:$Z$1001,MATCH(ROWS($U$2:U728),$U$2:$U$1001,0),0)))</f>
        <v>0</v>
      </c>
      <c r="B728" s="5">
        <f>IF(OR(INDEX($V$2:$V$1001,MATCH(ROWS($U$2:U728),$U$2:$U$1001,0),1)&gt;=100000,INDEX($AB$1005:$AQ$1005,1,MATCH(COLUMNS($AB$1006:AB1006),$AB$1006:$AQ$1006,0))&gt;=100000), " ",IF(INDEX($AB$2:$AQ$1001,MATCH(ROWS($U$2:U728),$U$2:$U$1001,0),MATCH(COLUMNS($AB$1006:AB1006),$AB$1006:$AQ$1006,0)), HYPERLINK("#",""), HYPERLINK(CONCATENATE("#Metadata!", ADDRESS(INDEX($W$2:$W$1001,MATCH(ROWS($U$2:U728),$U$2:$U$1001,0),0), INDEX($AB$1004:$AQ$1004,1,MATCH(COLUMNS($AB$1006:AB1006),$AB$1006:$AQ$1006,0)))),"Fix")))</f>
        <v>0</v>
      </c>
      <c r="C728" s="5">
        <f>IF(OR(INDEX($V$2:$V$1001,MATCH(ROWS($U$2:U728),$U$2:$U$1001,0),1)&gt;=100000,INDEX($AB$1005:$AQ$1005,1,MATCH(COLUMNS($AB$1006:AC1006),$AB$1006:$AQ$1006,0))&gt;=100000), " ",IF(INDEX($AB$2:$AQ$1001,MATCH(ROWS($U$2:U728),$U$2:$U$1001,0),MATCH(COLUMNS($AB$1006:AC1006),$AB$1006:$AQ$1006,0)), HYPERLINK("#",""), HYPERLINK(CONCATENATE("#Metadata!", ADDRESS(INDEX($W$2:$W$1001,MATCH(ROWS($U$2:U728),$U$2:$U$1001,0),0), INDEX($AB$1004:$AQ$1004,1,MATCH(COLUMNS($AB$1006:AC1006),$AB$1006:$AQ$1006,0)))),"Fix")))</f>
        <v>0</v>
      </c>
      <c r="D728" s="5">
        <f>IF(OR(INDEX($V$2:$V$1001,MATCH(ROWS($U$2:U728),$U$2:$U$1001,0),1)&gt;=100000,INDEX($AB$1005:$AQ$1005,1,MATCH(COLUMNS($AB$1006:AD1006),$AB$1006:$AQ$1006,0))&gt;=100000), " ",IF(INDEX($AB$2:$AQ$1001,MATCH(ROWS($U$2:U728),$U$2:$U$1001,0),MATCH(COLUMNS($AB$1006:AD1006),$AB$1006:$AQ$1006,0)), HYPERLINK("#",""), HYPERLINK(CONCATENATE("#Metadata!", ADDRESS(INDEX($W$2:$W$1001,MATCH(ROWS($U$2:U728),$U$2:$U$1001,0),0), INDEX($AB$1004:$AQ$1004,1,MATCH(COLUMNS($AB$1006:AD1006),$AB$1006:$AQ$1006,0)))),"Fix")))</f>
        <v>0</v>
      </c>
      <c r="E728" s="5">
        <f>IF(OR(INDEX($V$2:$V$1001,MATCH(ROWS($U$2:U728),$U$2:$U$1001,0),1)&gt;=100000,INDEX($AB$1005:$AQ$1005,1,MATCH(COLUMNS($AB$1006:AE1006),$AB$1006:$AQ$1006,0))&gt;=100000), " ",IF(INDEX($AB$2:$AQ$1001,MATCH(ROWS($U$2:U728),$U$2:$U$1001,0),MATCH(COLUMNS($AB$1006:AE1006),$AB$1006:$AQ$1006,0)), HYPERLINK("#",""), HYPERLINK(CONCATENATE("#Metadata!", ADDRESS(INDEX($W$2:$W$1001,MATCH(ROWS($U$2:U728),$U$2:$U$1001,0),0), INDEX($AB$1004:$AQ$1004,1,MATCH(COLUMNS($AB$1006:AE1006),$AB$1006:$AQ$1006,0)))),"Fix")))</f>
        <v>0</v>
      </c>
      <c r="F728" s="5">
        <f>IF(OR(INDEX($V$2:$V$1001,MATCH(ROWS($U$2:U728),$U$2:$U$1001,0),1)&gt;=100000,INDEX($AB$1005:$AQ$1005,1,MATCH(COLUMNS($AB$1006:AF1006),$AB$1006:$AQ$1006,0))&gt;=100000), " ",IF(INDEX($AB$2:$AQ$1001,MATCH(ROWS($U$2:U728),$U$2:$U$1001,0),MATCH(COLUMNS($AB$1006:AF1006),$AB$1006:$AQ$1006,0)), HYPERLINK("#",""), HYPERLINK(CONCATENATE("#Metadata!", ADDRESS(INDEX($W$2:$W$1001,MATCH(ROWS($U$2:U728),$U$2:$U$1001,0),0), INDEX($AB$1004:$AQ$1004,1,MATCH(COLUMNS($AB$1006:AF1006),$AB$1006:$AQ$1006,0)))),"Fix")))</f>
        <v>0</v>
      </c>
      <c r="G728" s="5">
        <f>IF(OR(INDEX($V$2:$V$1001,MATCH(ROWS($U$2:U728),$U$2:$U$1001,0),1)&gt;=100000,INDEX($AB$1005:$AQ$1005,1,MATCH(COLUMNS($AB$1006:AG1006),$AB$1006:$AQ$1006,0))&gt;=100000), " ",IF(INDEX($AB$2:$AQ$1001,MATCH(ROWS($U$2:U728),$U$2:$U$1001,0),MATCH(COLUMNS($AB$1006:AG1006),$AB$1006:$AQ$1006,0)), HYPERLINK("#",""), HYPERLINK(CONCATENATE("#Metadata!", ADDRESS(INDEX($W$2:$W$1001,MATCH(ROWS($U$2:U728),$U$2:$U$1001,0),0), INDEX($AB$1004:$AQ$1004,1,MATCH(COLUMNS($AB$1006:AG1006),$AB$1006:$AQ$1006,0)))),"Fix")))</f>
        <v>0</v>
      </c>
      <c r="H728" s="5">
        <f>IF(OR(INDEX($V$2:$V$1001,MATCH(ROWS($U$2:U728),$U$2:$U$1001,0),1)&gt;=100000,INDEX($AB$1005:$AQ$1005,1,MATCH(COLUMNS($AB$1006:AH1006),$AB$1006:$AQ$1006,0))&gt;=100000), " ",IF(INDEX($AB$2:$AQ$1001,MATCH(ROWS($U$2:U728),$U$2:$U$1001,0),MATCH(COLUMNS($AB$1006:AH1006),$AB$1006:$AQ$1006,0)), HYPERLINK("#",""), HYPERLINK(CONCATENATE("#Metadata!", ADDRESS(INDEX($W$2:$W$1001,MATCH(ROWS($U$2:U728),$U$2:$U$1001,0),0), INDEX($AB$1004:$AQ$1004,1,MATCH(COLUMNS($AB$1006:AH1006),$AB$1006:$AQ$1006,0)))),"Fix")))</f>
        <v>0</v>
      </c>
      <c r="I728" s="5">
        <f>IF(OR(INDEX($V$2:$V$1001,MATCH(ROWS($U$2:U728),$U$2:$U$1001,0),1)&gt;=100000,INDEX($AB$1005:$AQ$1005,1,MATCH(COLUMNS($AB$1006:AI1006),$AB$1006:$AQ$1006,0))&gt;=100000), " ",IF(INDEX($AB$2:$AQ$1001,MATCH(ROWS($U$2:U728),$U$2:$U$1001,0),MATCH(COLUMNS($AB$1006:AI1006),$AB$1006:$AQ$1006,0)), HYPERLINK("#",""), HYPERLINK(CONCATENATE("#Metadata!", ADDRESS(INDEX($W$2:$W$1001,MATCH(ROWS($U$2:U728),$U$2:$U$1001,0),0), INDEX($AB$1004:$AQ$1004,1,MATCH(COLUMNS($AB$1006:AI1006),$AB$1006:$AQ$1006,0)))),"Fix")))</f>
        <v>0</v>
      </c>
      <c r="J728" s="5">
        <f>IF(OR(INDEX($V$2:$V$1001,MATCH(ROWS($U$2:U728),$U$2:$U$1001,0),1)&gt;=100000,INDEX($AB$1005:$AQ$1005,1,MATCH(COLUMNS($AB$1006:AJ1006),$AB$1006:$AQ$1006,0))&gt;=100000), " ",IF(INDEX($AB$2:$AQ$1001,MATCH(ROWS($U$2:U728),$U$2:$U$1001,0),MATCH(COLUMNS($AB$1006:AJ1006),$AB$1006:$AQ$1006,0)), HYPERLINK("#",""), HYPERLINK(CONCATENATE("#Metadata!", ADDRESS(INDEX($W$2:$W$1001,MATCH(ROWS($U$2:U728),$U$2:$U$1001,0),0), INDEX($AB$1004:$AQ$1004,1,MATCH(COLUMNS($AB$1006:AJ1006),$AB$1006:$AQ$1006,0)))),"Fix")))</f>
        <v>0</v>
      </c>
      <c r="K728" s="5">
        <f>IF(OR(INDEX($V$2:$V$1001,MATCH(ROWS($U$2:U728),$U$2:$U$1001,0),1)&gt;=100000,INDEX($AB$1005:$AQ$1005,1,MATCH(COLUMNS($AB$1006:AK1006),$AB$1006:$AQ$1006,0))&gt;=100000), " ",IF(INDEX($AB$2:$AQ$1001,MATCH(ROWS($U$2:U728),$U$2:$U$1001,0),MATCH(COLUMNS($AB$1006:AK1006),$AB$1006:$AQ$1006,0)), HYPERLINK("#",""), HYPERLINK(CONCATENATE("#Metadata!", ADDRESS(INDEX($W$2:$W$1001,MATCH(ROWS($U$2:U728),$U$2:$U$1001,0),0), INDEX($AB$1004:$AQ$1004,1,MATCH(COLUMNS($AB$1006:AK1006),$AB$1006:$AQ$1006,0)))),"Fix")))</f>
        <v>0</v>
      </c>
      <c r="L728" s="5">
        <f>IF(OR(INDEX($V$2:$V$1001,MATCH(ROWS($U$2:U728),$U$2:$U$1001,0),1)&gt;=100000,INDEX($AB$1005:$AQ$1005,1,MATCH(COLUMNS($AB$1006:AL1006),$AB$1006:$AQ$1006,0))&gt;=100000), " ",IF(INDEX($AB$2:$AQ$1001,MATCH(ROWS($U$2:U728),$U$2:$U$1001,0),MATCH(COLUMNS($AB$1006:AL1006),$AB$1006:$AQ$1006,0)), HYPERLINK("#",""), HYPERLINK(CONCATENATE("#Metadata!", ADDRESS(INDEX($W$2:$W$1001,MATCH(ROWS($U$2:U728),$U$2:$U$1001,0),0), INDEX($AB$1004:$AQ$1004,1,MATCH(COLUMNS($AB$1006:AL1006),$AB$1006:$AQ$1006,0)))),"Fix")))</f>
        <v>0</v>
      </c>
      <c r="M728" s="5">
        <f>IF(OR(INDEX($V$2:$V$1001,MATCH(ROWS($U$2:U728),$U$2:$U$1001,0),1)&gt;=100000,INDEX($AB$1005:$AQ$1005,1,MATCH(COLUMNS($AB$1006:AM1006),$AB$1006:$AQ$1006,0))&gt;=100000), " ",IF(INDEX($AB$2:$AQ$1001,MATCH(ROWS($U$2:U728),$U$2:$U$1001,0),MATCH(COLUMNS($AB$1006:AM1006),$AB$1006:$AQ$1006,0)), HYPERLINK("#",""), HYPERLINK(CONCATENATE("#Metadata!", ADDRESS(INDEX($W$2:$W$1001,MATCH(ROWS($U$2:U728),$U$2:$U$1001,0),0), INDEX($AB$1004:$AQ$1004,1,MATCH(COLUMNS($AB$1006:AM1006),$AB$1006:$AQ$1006,0)))),"Fix")))</f>
        <v>0</v>
      </c>
      <c r="N728" s="5">
        <f>IF(OR(INDEX($V$2:$V$1001,MATCH(ROWS($U$2:U728),$U$2:$U$1001,0),1)&gt;=100000,INDEX($AB$1005:$AQ$1005,1,MATCH(COLUMNS($AB$1006:AN1006),$AB$1006:$AQ$1006,0))&gt;=100000), " ",IF(INDEX($AB$2:$AQ$1001,MATCH(ROWS($U$2:U728),$U$2:$U$1001,0),MATCH(COLUMNS($AB$1006:AN1006),$AB$1006:$AQ$1006,0)), HYPERLINK("#",""), HYPERLINK(CONCATENATE("#Metadata!", ADDRESS(INDEX($W$2:$W$1001,MATCH(ROWS($U$2:U728),$U$2:$U$1001,0),0), INDEX($AB$1004:$AQ$1004,1,MATCH(COLUMNS($AB$1006:AN1006),$AB$1006:$AQ$1006,0)))),"Fix")))</f>
        <v>0</v>
      </c>
      <c r="O728" s="5">
        <f>IF(OR(INDEX($V$2:$V$1001,MATCH(ROWS($U$2:U728),$U$2:$U$1001,0),1)&gt;=100000,INDEX($AB$1005:$AQ$1005,1,MATCH(COLUMNS($AB$1006:AO1006),$AB$1006:$AQ$1006,0))&gt;=100000), " ",IF(INDEX($AB$2:$AQ$1001,MATCH(ROWS($U$2:U728),$U$2:$U$1001,0),MATCH(COLUMNS($AB$1006:AO1006),$AB$1006:$AQ$1006,0)), HYPERLINK("#",""), HYPERLINK(CONCATENATE("#Metadata!", ADDRESS(INDEX($W$2:$W$1001,MATCH(ROWS($U$2:U728),$U$2:$U$1001,0),0), INDEX($AB$1004:$AQ$1004,1,MATCH(COLUMNS($AB$1006:AO1006),$AB$1006:$AQ$1006,0)))),"Fix")))</f>
        <v>0</v>
      </c>
      <c r="P728" s="5">
        <f>IF(OR(INDEX($V$2:$V$1001,MATCH(ROWS($U$2:U728),$U$2:$U$1001,0),1)&gt;=100000,INDEX($AB$1005:$AQ$1005,1,MATCH(COLUMNS($AB$1006:AP1006),$AB$1006:$AQ$1006,0))&gt;=100000), " ",IF(INDEX($AB$2:$AQ$1001,MATCH(ROWS($U$2:U728),$U$2:$U$1001,0),MATCH(COLUMNS($AB$1006:AP1006),$AB$1006:$AQ$1006,0)), HYPERLINK("#",""), HYPERLINK(CONCATENATE("#Metadata!", ADDRESS(INDEX($W$2:$W$1001,MATCH(ROWS($U$2:U728),$U$2:$U$1001,0),0), INDEX($AB$1004:$AQ$1004,1,MATCH(COLUMNS($AB$1006:AP1006),$AB$1006:$AQ$1006,0)))),"Fix")))</f>
        <v>0</v>
      </c>
      <c r="Q728" s="5">
        <f>IF(OR(INDEX($V$2:$V$1001,MATCH(ROWS($U$2:U728),$U$2:$U$1001,0),1)&gt;=100000,INDEX($AB$1005:$AQ$1005,1,MATCH(COLUMNS($AB$1006:AQ1006),$AB$1006:$AQ$1006,0))&gt;=100000), " ",IF(INDEX($AB$2:$AQ$1001,MATCH(ROWS($U$2:U728),$U$2:$U$1001,0),MATCH(COLUMNS($AB$1006:AQ1006),$AB$1006:$AQ$1006,0)), HYPERLINK("#",""), HYPERLINK(CONCATENATE("#Metadata!", ADDRESS(INDEX($W$2:$W$1001,MATCH(ROWS($U$2:U728),$U$2:$U$1001,0),0), INDEX($AB$1004:$AQ$1004,1,MATCH(COLUMNS($AB$1006:AQ1006),$AB$1006:$AQ$1006,0)))),"Fix")))</f>
        <v>0</v>
      </c>
      <c r="U728">
        <v>0</v>
      </c>
      <c r="V728">
        <v>0</v>
      </c>
      <c r="W728">
        <v>0</v>
      </c>
      <c r="X728">
        <f>IF(Y728,TRUE,AND(AB728:AQ728))</f>
        <v>0</v>
      </c>
      <c r="Y728">
        <f>COUNTBLANK(Metadata!B728:Q728)=COLUMNS(Metadata!B728:Q728)</f>
        <v>0</v>
      </c>
      <c r="Z728">
        <v>0</v>
      </c>
      <c r="AB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AC728">
        <f>AND(IF(Metadata!C728="",FALSE,TRUE),exact(Metadata!C728,"urban biome"))</f>
        <v>0</v>
      </c>
      <c r="AD728">
        <f>AND(IF(Metadata!D728="",FALSE,TRUE),exact(Metadata!D728,"human-associated habitat"))</f>
        <v>0</v>
      </c>
      <c r="AE728">
        <f>AND(IF(Metadata!E728="",FALSE,TRUE),OR(exact(Metadata!E728,"human-associated"),exact(Metadata!E728,"human-skin"),exact(Metadata!E728,"human-oral"),exact(Metadata!E728,"human-gut"),exact(Metadata!E728,"human-vaginal")))</f>
        <v>0</v>
      </c>
      <c r="AF728">
        <f>AND(IF(Metadata!F728="",FALSE,ISNUMBER(VALUE(Metadata!F728))),Metadata!F728&gt;0)</f>
        <v>0</v>
      </c>
      <c r="AG728">
        <f>AND(IF(Metadata!G728="",FALSE,TRUE),exact(Metadata!G728,"years"))</f>
        <v>0</v>
      </c>
      <c r="AH728">
        <f>OR(AND(IF(Metadata!H728="",FALSE,TRUE),OR(exact(Metadata!H728,"not applicable"),exact(Metadata!H728,"not collected"),exact(Metadata!H728,"not provided"),exact(Metadata!H728,"restricted access"))),AND(IF(Metadata!H728="",FALSE,ISNUMBER(VALUE(Metadata!H728))),Metadata!H728&gt;0))</f>
        <v>0</v>
      </c>
      <c r="AI728">
        <f>AND(IF(Metadata!I728="",FALSE,TRUE),exact(Metadata!I728,"human"))</f>
        <v>0</v>
      </c>
      <c r="AJ728">
        <f>AND(IF(Metadata!J728="",FALSE,ISNUMBER(VALUE(Metadata!J728))),Metadata!J728&gt;0)</f>
        <v>0</v>
      </c>
      <c r="AK728">
        <f>AND(IF(Metadata!K728="",FALSE,TRUE),exact(Metadata!K728,"cm"))</f>
        <v>0</v>
      </c>
      <c r="AL728">
        <f>AND(IF(Metadata!L728="",FALSE,TRUE),exact(Metadata!L728,"Homo sapiens"))</f>
        <v>0</v>
      </c>
      <c r="AM728">
        <f>AND(IF(Metadata!M728="",FALSE,TRUE),exact(Metadata!M728,"9606"))</f>
        <v>0</v>
      </c>
      <c r="AN728">
        <f>AND(IF(Metadata!N728="",FALSE,ISNUMBER(VALUE(Metadata!N728))),Metadata!N728&gt;0)</f>
        <v>0</v>
      </c>
      <c r="AO728">
        <f>AND(IF(Metadata!O728="",FALSE,TRUE),exact(Metadata!O728,"kg"))</f>
        <v>0</v>
      </c>
      <c r="AP728">
        <f>OR(AND(IF(Metadata!P728="",FALSE,TRUE),exact(Metadata!P728,"not provided")),IF(Metadata!P728="",FALSE,TRUE))</f>
        <v>0</v>
      </c>
      <c r="AQ728">
        <f>OR(AND(IF(Metadata!Q728="",FALSE,TRUE),exact(Metadata!Q728,"not provided")),IF(Metadata!Q728="",FALSE,TRUE))</f>
        <v>0</v>
      </c>
    </row>
    <row r="729" spans="1:43">
      <c r="A729" s="4">
        <f>IF(B729=" "," ",HYPERLINK(CONCATENATE("#metadata!",ADDRESS(INDEX($W$2:$W$1001,MATCH(ROWS($U$2:U729),$U$2:$U$1001,0),0),2)),INDEX($Z$2:$Z$1001,MATCH(ROWS($U$2:U729),$U$2:$U$1001,0),0)))</f>
        <v>0</v>
      </c>
      <c r="B729" s="5">
        <f>IF(OR(INDEX($V$2:$V$1001,MATCH(ROWS($U$2:U729),$U$2:$U$1001,0),1)&gt;=100000,INDEX($AB$1005:$AQ$1005,1,MATCH(COLUMNS($AB$1006:AB1006),$AB$1006:$AQ$1006,0))&gt;=100000), " ",IF(INDEX($AB$2:$AQ$1001,MATCH(ROWS($U$2:U729),$U$2:$U$1001,0),MATCH(COLUMNS($AB$1006:AB1006),$AB$1006:$AQ$1006,0)), HYPERLINK("#",""), HYPERLINK(CONCATENATE("#Metadata!", ADDRESS(INDEX($W$2:$W$1001,MATCH(ROWS($U$2:U729),$U$2:$U$1001,0),0), INDEX($AB$1004:$AQ$1004,1,MATCH(COLUMNS($AB$1006:AB1006),$AB$1006:$AQ$1006,0)))),"Fix")))</f>
        <v>0</v>
      </c>
      <c r="C729" s="5">
        <f>IF(OR(INDEX($V$2:$V$1001,MATCH(ROWS($U$2:U729),$U$2:$U$1001,0),1)&gt;=100000,INDEX($AB$1005:$AQ$1005,1,MATCH(COLUMNS($AB$1006:AC1006),$AB$1006:$AQ$1006,0))&gt;=100000), " ",IF(INDEX($AB$2:$AQ$1001,MATCH(ROWS($U$2:U729),$U$2:$U$1001,0),MATCH(COLUMNS($AB$1006:AC1006),$AB$1006:$AQ$1006,0)), HYPERLINK("#",""), HYPERLINK(CONCATENATE("#Metadata!", ADDRESS(INDEX($W$2:$W$1001,MATCH(ROWS($U$2:U729),$U$2:$U$1001,0),0), INDEX($AB$1004:$AQ$1004,1,MATCH(COLUMNS($AB$1006:AC1006),$AB$1006:$AQ$1006,0)))),"Fix")))</f>
        <v>0</v>
      </c>
      <c r="D729" s="5">
        <f>IF(OR(INDEX($V$2:$V$1001,MATCH(ROWS($U$2:U729),$U$2:$U$1001,0),1)&gt;=100000,INDEX($AB$1005:$AQ$1005,1,MATCH(COLUMNS($AB$1006:AD1006),$AB$1006:$AQ$1006,0))&gt;=100000), " ",IF(INDEX($AB$2:$AQ$1001,MATCH(ROWS($U$2:U729),$U$2:$U$1001,0),MATCH(COLUMNS($AB$1006:AD1006),$AB$1006:$AQ$1006,0)), HYPERLINK("#",""), HYPERLINK(CONCATENATE("#Metadata!", ADDRESS(INDEX($W$2:$W$1001,MATCH(ROWS($U$2:U729),$U$2:$U$1001,0),0), INDEX($AB$1004:$AQ$1004,1,MATCH(COLUMNS($AB$1006:AD1006),$AB$1006:$AQ$1006,0)))),"Fix")))</f>
        <v>0</v>
      </c>
      <c r="E729" s="5">
        <f>IF(OR(INDEX($V$2:$V$1001,MATCH(ROWS($U$2:U729),$U$2:$U$1001,0),1)&gt;=100000,INDEX($AB$1005:$AQ$1005,1,MATCH(COLUMNS($AB$1006:AE1006),$AB$1006:$AQ$1006,0))&gt;=100000), " ",IF(INDEX($AB$2:$AQ$1001,MATCH(ROWS($U$2:U729),$U$2:$U$1001,0),MATCH(COLUMNS($AB$1006:AE1006),$AB$1006:$AQ$1006,0)), HYPERLINK("#",""), HYPERLINK(CONCATENATE("#Metadata!", ADDRESS(INDEX($W$2:$W$1001,MATCH(ROWS($U$2:U729),$U$2:$U$1001,0),0), INDEX($AB$1004:$AQ$1004,1,MATCH(COLUMNS($AB$1006:AE1006),$AB$1006:$AQ$1006,0)))),"Fix")))</f>
        <v>0</v>
      </c>
      <c r="F729" s="5">
        <f>IF(OR(INDEX($V$2:$V$1001,MATCH(ROWS($U$2:U729),$U$2:$U$1001,0),1)&gt;=100000,INDEX($AB$1005:$AQ$1005,1,MATCH(COLUMNS($AB$1006:AF1006),$AB$1006:$AQ$1006,0))&gt;=100000), " ",IF(INDEX($AB$2:$AQ$1001,MATCH(ROWS($U$2:U729),$U$2:$U$1001,0),MATCH(COLUMNS($AB$1006:AF1006),$AB$1006:$AQ$1006,0)), HYPERLINK("#",""), HYPERLINK(CONCATENATE("#Metadata!", ADDRESS(INDEX($W$2:$W$1001,MATCH(ROWS($U$2:U729),$U$2:$U$1001,0),0), INDEX($AB$1004:$AQ$1004,1,MATCH(COLUMNS($AB$1006:AF1006),$AB$1006:$AQ$1006,0)))),"Fix")))</f>
        <v>0</v>
      </c>
      <c r="G729" s="5">
        <f>IF(OR(INDEX($V$2:$V$1001,MATCH(ROWS($U$2:U729),$U$2:$U$1001,0),1)&gt;=100000,INDEX($AB$1005:$AQ$1005,1,MATCH(COLUMNS($AB$1006:AG1006),$AB$1006:$AQ$1006,0))&gt;=100000), " ",IF(INDEX($AB$2:$AQ$1001,MATCH(ROWS($U$2:U729),$U$2:$U$1001,0),MATCH(COLUMNS($AB$1006:AG1006),$AB$1006:$AQ$1006,0)), HYPERLINK("#",""), HYPERLINK(CONCATENATE("#Metadata!", ADDRESS(INDEX($W$2:$W$1001,MATCH(ROWS($U$2:U729),$U$2:$U$1001,0),0), INDEX($AB$1004:$AQ$1004,1,MATCH(COLUMNS($AB$1006:AG1006),$AB$1006:$AQ$1006,0)))),"Fix")))</f>
        <v>0</v>
      </c>
      <c r="H729" s="5">
        <f>IF(OR(INDEX($V$2:$V$1001,MATCH(ROWS($U$2:U729),$U$2:$U$1001,0),1)&gt;=100000,INDEX($AB$1005:$AQ$1005,1,MATCH(COLUMNS($AB$1006:AH1006),$AB$1006:$AQ$1006,0))&gt;=100000), " ",IF(INDEX($AB$2:$AQ$1001,MATCH(ROWS($U$2:U729),$U$2:$U$1001,0),MATCH(COLUMNS($AB$1006:AH1006),$AB$1006:$AQ$1006,0)), HYPERLINK("#",""), HYPERLINK(CONCATENATE("#Metadata!", ADDRESS(INDEX($W$2:$W$1001,MATCH(ROWS($U$2:U729),$U$2:$U$1001,0),0), INDEX($AB$1004:$AQ$1004,1,MATCH(COLUMNS($AB$1006:AH1006),$AB$1006:$AQ$1006,0)))),"Fix")))</f>
        <v>0</v>
      </c>
      <c r="I729" s="5">
        <f>IF(OR(INDEX($V$2:$V$1001,MATCH(ROWS($U$2:U729),$U$2:$U$1001,0),1)&gt;=100000,INDEX($AB$1005:$AQ$1005,1,MATCH(COLUMNS($AB$1006:AI1006),$AB$1006:$AQ$1006,0))&gt;=100000), " ",IF(INDEX($AB$2:$AQ$1001,MATCH(ROWS($U$2:U729),$U$2:$U$1001,0),MATCH(COLUMNS($AB$1006:AI1006),$AB$1006:$AQ$1006,0)), HYPERLINK("#",""), HYPERLINK(CONCATENATE("#Metadata!", ADDRESS(INDEX($W$2:$W$1001,MATCH(ROWS($U$2:U729),$U$2:$U$1001,0),0), INDEX($AB$1004:$AQ$1004,1,MATCH(COLUMNS($AB$1006:AI1006),$AB$1006:$AQ$1006,0)))),"Fix")))</f>
        <v>0</v>
      </c>
      <c r="J729" s="5">
        <f>IF(OR(INDEX($V$2:$V$1001,MATCH(ROWS($U$2:U729),$U$2:$U$1001,0),1)&gt;=100000,INDEX($AB$1005:$AQ$1005,1,MATCH(COLUMNS($AB$1006:AJ1006),$AB$1006:$AQ$1006,0))&gt;=100000), " ",IF(INDEX($AB$2:$AQ$1001,MATCH(ROWS($U$2:U729),$U$2:$U$1001,0),MATCH(COLUMNS($AB$1006:AJ1006),$AB$1006:$AQ$1006,0)), HYPERLINK("#",""), HYPERLINK(CONCATENATE("#Metadata!", ADDRESS(INDEX($W$2:$W$1001,MATCH(ROWS($U$2:U729),$U$2:$U$1001,0),0), INDEX($AB$1004:$AQ$1004,1,MATCH(COLUMNS($AB$1006:AJ1006),$AB$1006:$AQ$1006,0)))),"Fix")))</f>
        <v>0</v>
      </c>
      <c r="K729" s="5">
        <f>IF(OR(INDEX($V$2:$V$1001,MATCH(ROWS($U$2:U729),$U$2:$U$1001,0),1)&gt;=100000,INDEX($AB$1005:$AQ$1005,1,MATCH(COLUMNS($AB$1006:AK1006),$AB$1006:$AQ$1006,0))&gt;=100000), " ",IF(INDEX($AB$2:$AQ$1001,MATCH(ROWS($U$2:U729),$U$2:$U$1001,0),MATCH(COLUMNS($AB$1006:AK1006),$AB$1006:$AQ$1006,0)), HYPERLINK("#",""), HYPERLINK(CONCATENATE("#Metadata!", ADDRESS(INDEX($W$2:$W$1001,MATCH(ROWS($U$2:U729),$U$2:$U$1001,0),0), INDEX($AB$1004:$AQ$1004,1,MATCH(COLUMNS($AB$1006:AK1006),$AB$1006:$AQ$1006,0)))),"Fix")))</f>
        <v>0</v>
      </c>
      <c r="L729" s="5">
        <f>IF(OR(INDEX($V$2:$V$1001,MATCH(ROWS($U$2:U729),$U$2:$U$1001,0),1)&gt;=100000,INDEX($AB$1005:$AQ$1005,1,MATCH(COLUMNS($AB$1006:AL1006),$AB$1006:$AQ$1006,0))&gt;=100000), " ",IF(INDEX($AB$2:$AQ$1001,MATCH(ROWS($U$2:U729),$U$2:$U$1001,0),MATCH(COLUMNS($AB$1006:AL1006),$AB$1006:$AQ$1006,0)), HYPERLINK("#",""), HYPERLINK(CONCATENATE("#Metadata!", ADDRESS(INDEX($W$2:$W$1001,MATCH(ROWS($U$2:U729),$U$2:$U$1001,0),0), INDEX($AB$1004:$AQ$1004,1,MATCH(COLUMNS($AB$1006:AL1006),$AB$1006:$AQ$1006,0)))),"Fix")))</f>
        <v>0</v>
      </c>
      <c r="M729" s="5">
        <f>IF(OR(INDEX($V$2:$V$1001,MATCH(ROWS($U$2:U729),$U$2:$U$1001,0),1)&gt;=100000,INDEX($AB$1005:$AQ$1005,1,MATCH(COLUMNS($AB$1006:AM1006),$AB$1006:$AQ$1006,0))&gt;=100000), " ",IF(INDEX($AB$2:$AQ$1001,MATCH(ROWS($U$2:U729),$U$2:$U$1001,0),MATCH(COLUMNS($AB$1006:AM1006),$AB$1006:$AQ$1006,0)), HYPERLINK("#",""), HYPERLINK(CONCATENATE("#Metadata!", ADDRESS(INDEX($W$2:$W$1001,MATCH(ROWS($U$2:U729),$U$2:$U$1001,0),0), INDEX($AB$1004:$AQ$1004,1,MATCH(COLUMNS($AB$1006:AM1006),$AB$1006:$AQ$1006,0)))),"Fix")))</f>
        <v>0</v>
      </c>
      <c r="N729" s="5">
        <f>IF(OR(INDEX($V$2:$V$1001,MATCH(ROWS($U$2:U729),$U$2:$U$1001,0),1)&gt;=100000,INDEX($AB$1005:$AQ$1005,1,MATCH(COLUMNS($AB$1006:AN1006),$AB$1006:$AQ$1006,0))&gt;=100000), " ",IF(INDEX($AB$2:$AQ$1001,MATCH(ROWS($U$2:U729),$U$2:$U$1001,0),MATCH(COLUMNS($AB$1006:AN1006),$AB$1006:$AQ$1006,0)), HYPERLINK("#",""), HYPERLINK(CONCATENATE("#Metadata!", ADDRESS(INDEX($W$2:$W$1001,MATCH(ROWS($U$2:U729),$U$2:$U$1001,0),0), INDEX($AB$1004:$AQ$1004,1,MATCH(COLUMNS($AB$1006:AN1006),$AB$1006:$AQ$1006,0)))),"Fix")))</f>
        <v>0</v>
      </c>
      <c r="O729" s="5">
        <f>IF(OR(INDEX($V$2:$V$1001,MATCH(ROWS($U$2:U729),$U$2:$U$1001,0),1)&gt;=100000,INDEX($AB$1005:$AQ$1005,1,MATCH(COLUMNS($AB$1006:AO1006),$AB$1006:$AQ$1006,0))&gt;=100000), " ",IF(INDEX($AB$2:$AQ$1001,MATCH(ROWS($U$2:U729),$U$2:$U$1001,0),MATCH(COLUMNS($AB$1006:AO1006),$AB$1006:$AQ$1006,0)), HYPERLINK("#",""), HYPERLINK(CONCATENATE("#Metadata!", ADDRESS(INDEX($W$2:$W$1001,MATCH(ROWS($U$2:U729),$U$2:$U$1001,0),0), INDEX($AB$1004:$AQ$1004,1,MATCH(COLUMNS($AB$1006:AO1006),$AB$1006:$AQ$1006,0)))),"Fix")))</f>
        <v>0</v>
      </c>
      <c r="P729" s="5">
        <f>IF(OR(INDEX($V$2:$V$1001,MATCH(ROWS($U$2:U729),$U$2:$U$1001,0),1)&gt;=100000,INDEX($AB$1005:$AQ$1005,1,MATCH(COLUMNS($AB$1006:AP1006),$AB$1006:$AQ$1006,0))&gt;=100000), " ",IF(INDEX($AB$2:$AQ$1001,MATCH(ROWS($U$2:U729),$U$2:$U$1001,0),MATCH(COLUMNS($AB$1006:AP1006),$AB$1006:$AQ$1006,0)), HYPERLINK("#",""), HYPERLINK(CONCATENATE("#Metadata!", ADDRESS(INDEX($W$2:$W$1001,MATCH(ROWS($U$2:U729),$U$2:$U$1001,0),0), INDEX($AB$1004:$AQ$1004,1,MATCH(COLUMNS($AB$1006:AP1006),$AB$1006:$AQ$1006,0)))),"Fix")))</f>
        <v>0</v>
      </c>
      <c r="Q729" s="5">
        <f>IF(OR(INDEX($V$2:$V$1001,MATCH(ROWS($U$2:U729),$U$2:$U$1001,0),1)&gt;=100000,INDEX($AB$1005:$AQ$1005,1,MATCH(COLUMNS($AB$1006:AQ1006),$AB$1006:$AQ$1006,0))&gt;=100000), " ",IF(INDEX($AB$2:$AQ$1001,MATCH(ROWS($U$2:U729),$U$2:$U$1001,0),MATCH(COLUMNS($AB$1006:AQ1006),$AB$1006:$AQ$1006,0)), HYPERLINK("#",""), HYPERLINK(CONCATENATE("#Metadata!", ADDRESS(INDEX($W$2:$W$1001,MATCH(ROWS($U$2:U729),$U$2:$U$1001,0),0), INDEX($AB$1004:$AQ$1004,1,MATCH(COLUMNS($AB$1006:AQ1006),$AB$1006:$AQ$1006,0)))),"Fix")))</f>
        <v>0</v>
      </c>
      <c r="U729">
        <v>0</v>
      </c>
      <c r="V729">
        <v>0</v>
      </c>
      <c r="W729">
        <v>0</v>
      </c>
      <c r="X729">
        <f>IF(Y729,TRUE,AND(AB729:AQ729))</f>
        <v>0</v>
      </c>
      <c r="Y729">
        <f>COUNTBLANK(Metadata!B729:Q729)=COLUMNS(Metadata!B729:Q729)</f>
        <v>0</v>
      </c>
      <c r="Z729">
        <v>0</v>
      </c>
      <c r="AB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AC729">
        <f>AND(IF(Metadata!C729="",FALSE,TRUE),exact(Metadata!C729,"urban biome"))</f>
        <v>0</v>
      </c>
      <c r="AD729">
        <f>AND(IF(Metadata!D729="",FALSE,TRUE),exact(Metadata!D729,"human-associated habitat"))</f>
        <v>0</v>
      </c>
      <c r="AE729">
        <f>AND(IF(Metadata!E729="",FALSE,TRUE),OR(exact(Metadata!E729,"human-associated"),exact(Metadata!E729,"human-skin"),exact(Metadata!E729,"human-oral"),exact(Metadata!E729,"human-gut"),exact(Metadata!E729,"human-vaginal")))</f>
        <v>0</v>
      </c>
      <c r="AF729">
        <f>AND(IF(Metadata!F729="",FALSE,ISNUMBER(VALUE(Metadata!F729))),Metadata!F729&gt;0)</f>
        <v>0</v>
      </c>
      <c r="AG729">
        <f>AND(IF(Metadata!G729="",FALSE,TRUE),exact(Metadata!G729,"years"))</f>
        <v>0</v>
      </c>
      <c r="AH729">
        <f>OR(AND(IF(Metadata!H729="",FALSE,TRUE),OR(exact(Metadata!H729,"not applicable"),exact(Metadata!H729,"not collected"),exact(Metadata!H729,"not provided"),exact(Metadata!H729,"restricted access"))),AND(IF(Metadata!H729="",FALSE,ISNUMBER(VALUE(Metadata!H729))),Metadata!H729&gt;0))</f>
        <v>0</v>
      </c>
      <c r="AI729">
        <f>AND(IF(Metadata!I729="",FALSE,TRUE),exact(Metadata!I729,"human"))</f>
        <v>0</v>
      </c>
      <c r="AJ729">
        <f>AND(IF(Metadata!J729="",FALSE,ISNUMBER(VALUE(Metadata!J729))),Metadata!J729&gt;0)</f>
        <v>0</v>
      </c>
      <c r="AK729">
        <f>AND(IF(Metadata!K729="",FALSE,TRUE),exact(Metadata!K729,"cm"))</f>
        <v>0</v>
      </c>
      <c r="AL729">
        <f>AND(IF(Metadata!L729="",FALSE,TRUE),exact(Metadata!L729,"Homo sapiens"))</f>
        <v>0</v>
      </c>
      <c r="AM729">
        <f>AND(IF(Metadata!M729="",FALSE,TRUE),exact(Metadata!M729,"9606"))</f>
        <v>0</v>
      </c>
      <c r="AN729">
        <f>AND(IF(Metadata!N729="",FALSE,ISNUMBER(VALUE(Metadata!N729))),Metadata!N729&gt;0)</f>
        <v>0</v>
      </c>
      <c r="AO729">
        <f>AND(IF(Metadata!O729="",FALSE,TRUE),exact(Metadata!O729,"kg"))</f>
        <v>0</v>
      </c>
      <c r="AP729">
        <f>OR(AND(IF(Metadata!P729="",FALSE,TRUE),exact(Metadata!P729,"not provided")),IF(Metadata!P729="",FALSE,TRUE))</f>
        <v>0</v>
      </c>
      <c r="AQ729">
        <f>OR(AND(IF(Metadata!Q729="",FALSE,TRUE),exact(Metadata!Q729,"not provided")),IF(Metadata!Q729="",FALSE,TRUE))</f>
        <v>0</v>
      </c>
    </row>
    <row r="730" spans="1:43">
      <c r="A730" s="4">
        <f>IF(B730=" "," ",HYPERLINK(CONCATENATE("#metadata!",ADDRESS(INDEX($W$2:$W$1001,MATCH(ROWS($U$2:U730),$U$2:$U$1001,0),0),2)),INDEX($Z$2:$Z$1001,MATCH(ROWS($U$2:U730),$U$2:$U$1001,0),0)))</f>
        <v>0</v>
      </c>
      <c r="B730" s="5">
        <f>IF(OR(INDEX($V$2:$V$1001,MATCH(ROWS($U$2:U730),$U$2:$U$1001,0),1)&gt;=100000,INDEX($AB$1005:$AQ$1005,1,MATCH(COLUMNS($AB$1006:AB1006),$AB$1006:$AQ$1006,0))&gt;=100000), " ",IF(INDEX($AB$2:$AQ$1001,MATCH(ROWS($U$2:U730),$U$2:$U$1001,0),MATCH(COLUMNS($AB$1006:AB1006),$AB$1006:$AQ$1006,0)), HYPERLINK("#",""), HYPERLINK(CONCATENATE("#Metadata!", ADDRESS(INDEX($W$2:$W$1001,MATCH(ROWS($U$2:U730),$U$2:$U$1001,0),0), INDEX($AB$1004:$AQ$1004,1,MATCH(COLUMNS($AB$1006:AB1006),$AB$1006:$AQ$1006,0)))),"Fix")))</f>
        <v>0</v>
      </c>
      <c r="C730" s="5">
        <f>IF(OR(INDEX($V$2:$V$1001,MATCH(ROWS($U$2:U730),$U$2:$U$1001,0),1)&gt;=100000,INDEX($AB$1005:$AQ$1005,1,MATCH(COLUMNS($AB$1006:AC1006),$AB$1006:$AQ$1006,0))&gt;=100000), " ",IF(INDEX($AB$2:$AQ$1001,MATCH(ROWS($U$2:U730),$U$2:$U$1001,0),MATCH(COLUMNS($AB$1006:AC1006),$AB$1006:$AQ$1006,0)), HYPERLINK("#",""), HYPERLINK(CONCATENATE("#Metadata!", ADDRESS(INDEX($W$2:$W$1001,MATCH(ROWS($U$2:U730),$U$2:$U$1001,0),0), INDEX($AB$1004:$AQ$1004,1,MATCH(COLUMNS($AB$1006:AC1006),$AB$1006:$AQ$1006,0)))),"Fix")))</f>
        <v>0</v>
      </c>
      <c r="D730" s="5">
        <f>IF(OR(INDEX($V$2:$V$1001,MATCH(ROWS($U$2:U730),$U$2:$U$1001,0),1)&gt;=100000,INDEX($AB$1005:$AQ$1005,1,MATCH(COLUMNS($AB$1006:AD1006),$AB$1006:$AQ$1006,0))&gt;=100000), " ",IF(INDEX($AB$2:$AQ$1001,MATCH(ROWS($U$2:U730),$U$2:$U$1001,0),MATCH(COLUMNS($AB$1006:AD1006),$AB$1006:$AQ$1006,0)), HYPERLINK("#",""), HYPERLINK(CONCATENATE("#Metadata!", ADDRESS(INDEX($W$2:$W$1001,MATCH(ROWS($U$2:U730),$U$2:$U$1001,0),0), INDEX($AB$1004:$AQ$1004,1,MATCH(COLUMNS($AB$1006:AD1006),$AB$1006:$AQ$1006,0)))),"Fix")))</f>
        <v>0</v>
      </c>
      <c r="E730" s="5">
        <f>IF(OR(INDEX($V$2:$V$1001,MATCH(ROWS($U$2:U730),$U$2:$U$1001,0),1)&gt;=100000,INDEX($AB$1005:$AQ$1005,1,MATCH(COLUMNS($AB$1006:AE1006),$AB$1006:$AQ$1006,0))&gt;=100000), " ",IF(INDEX($AB$2:$AQ$1001,MATCH(ROWS($U$2:U730),$U$2:$U$1001,0),MATCH(COLUMNS($AB$1006:AE1006),$AB$1006:$AQ$1006,0)), HYPERLINK("#",""), HYPERLINK(CONCATENATE("#Metadata!", ADDRESS(INDEX($W$2:$W$1001,MATCH(ROWS($U$2:U730),$U$2:$U$1001,0),0), INDEX($AB$1004:$AQ$1004,1,MATCH(COLUMNS($AB$1006:AE1006),$AB$1006:$AQ$1006,0)))),"Fix")))</f>
        <v>0</v>
      </c>
      <c r="F730" s="5">
        <f>IF(OR(INDEX($V$2:$V$1001,MATCH(ROWS($U$2:U730),$U$2:$U$1001,0),1)&gt;=100000,INDEX($AB$1005:$AQ$1005,1,MATCH(COLUMNS($AB$1006:AF1006),$AB$1006:$AQ$1006,0))&gt;=100000), " ",IF(INDEX($AB$2:$AQ$1001,MATCH(ROWS($U$2:U730),$U$2:$U$1001,0),MATCH(COLUMNS($AB$1006:AF1006),$AB$1006:$AQ$1006,0)), HYPERLINK("#",""), HYPERLINK(CONCATENATE("#Metadata!", ADDRESS(INDEX($W$2:$W$1001,MATCH(ROWS($U$2:U730),$U$2:$U$1001,0),0), INDEX($AB$1004:$AQ$1004,1,MATCH(COLUMNS($AB$1006:AF1006),$AB$1006:$AQ$1006,0)))),"Fix")))</f>
        <v>0</v>
      </c>
      <c r="G730" s="5">
        <f>IF(OR(INDEX($V$2:$V$1001,MATCH(ROWS($U$2:U730),$U$2:$U$1001,0),1)&gt;=100000,INDEX($AB$1005:$AQ$1005,1,MATCH(COLUMNS($AB$1006:AG1006),$AB$1006:$AQ$1006,0))&gt;=100000), " ",IF(INDEX($AB$2:$AQ$1001,MATCH(ROWS($U$2:U730),$U$2:$U$1001,0),MATCH(COLUMNS($AB$1006:AG1006),$AB$1006:$AQ$1006,0)), HYPERLINK("#",""), HYPERLINK(CONCATENATE("#Metadata!", ADDRESS(INDEX($W$2:$W$1001,MATCH(ROWS($U$2:U730),$U$2:$U$1001,0),0), INDEX($AB$1004:$AQ$1004,1,MATCH(COLUMNS($AB$1006:AG1006),$AB$1006:$AQ$1006,0)))),"Fix")))</f>
        <v>0</v>
      </c>
      <c r="H730" s="5">
        <f>IF(OR(INDEX($V$2:$V$1001,MATCH(ROWS($U$2:U730),$U$2:$U$1001,0),1)&gt;=100000,INDEX($AB$1005:$AQ$1005,1,MATCH(COLUMNS($AB$1006:AH1006),$AB$1006:$AQ$1006,0))&gt;=100000), " ",IF(INDEX($AB$2:$AQ$1001,MATCH(ROWS($U$2:U730),$U$2:$U$1001,0),MATCH(COLUMNS($AB$1006:AH1006),$AB$1006:$AQ$1006,0)), HYPERLINK("#",""), HYPERLINK(CONCATENATE("#Metadata!", ADDRESS(INDEX($W$2:$W$1001,MATCH(ROWS($U$2:U730),$U$2:$U$1001,0),0), INDEX($AB$1004:$AQ$1004,1,MATCH(COLUMNS($AB$1006:AH1006),$AB$1006:$AQ$1006,0)))),"Fix")))</f>
        <v>0</v>
      </c>
      <c r="I730" s="5">
        <f>IF(OR(INDEX($V$2:$V$1001,MATCH(ROWS($U$2:U730),$U$2:$U$1001,0),1)&gt;=100000,INDEX($AB$1005:$AQ$1005,1,MATCH(COLUMNS($AB$1006:AI1006),$AB$1006:$AQ$1006,0))&gt;=100000), " ",IF(INDEX($AB$2:$AQ$1001,MATCH(ROWS($U$2:U730),$U$2:$U$1001,0),MATCH(COLUMNS($AB$1006:AI1006),$AB$1006:$AQ$1006,0)), HYPERLINK("#",""), HYPERLINK(CONCATENATE("#Metadata!", ADDRESS(INDEX($W$2:$W$1001,MATCH(ROWS($U$2:U730),$U$2:$U$1001,0),0), INDEX($AB$1004:$AQ$1004,1,MATCH(COLUMNS($AB$1006:AI1006),$AB$1006:$AQ$1006,0)))),"Fix")))</f>
        <v>0</v>
      </c>
      <c r="J730" s="5">
        <f>IF(OR(INDEX($V$2:$V$1001,MATCH(ROWS($U$2:U730),$U$2:$U$1001,0),1)&gt;=100000,INDEX($AB$1005:$AQ$1005,1,MATCH(COLUMNS($AB$1006:AJ1006),$AB$1006:$AQ$1006,0))&gt;=100000), " ",IF(INDEX($AB$2:$AQ$1001,MATCH(ROWS($U$2:U730),$U$2:$U$1001,0),MATCH(COLUMNS($AB$1006:AJ1006),$AB$1006:$AQ$1006,0)), HYPERLINK("#",""), HYPERLINK(CONCATENATE("#Metadata!", ADDRESS(INDEX($W$2:$W$1001,MATCH(ROWS($U$2:U730),$U$2:$U$1001,0),0), INDEX($AB$1004:$AQ$1004,1,MATCH(COLUMNS($AB$1006:AJ1006),$AB$1006:$AQ$1006,0)))),"Fix")))</f>
        <v>0</v>
      </c>
      <c r="K730" s="5">
        <f>IF(OR(INDEX($V$2:$V$1001,MATCH(ROWS($U$2:U730),$U$2:$U$1001,0),1)&gt;=100000,INDEX($AB$1005:$AQ$1005,1,MATCH(COLUMNS($AB$1006:AK1006),$AB$1006:$AQ$1006,0))&gt;=100000), " ",IF(INDEX($AB$2:$AQ$1001,MATCH(ROWS($U$2:U730),$U$2:$U$1001,0),MATCH(COLUMNS($AB$1006:AK1006),$AB$1006:$AQ$1006,0)), HYPERLINK("#",""), HYPERLINK(CONCATENATE("#Metadata!", ADDRESS(INDEX($W$2:$W$1001,MATCH(ROWS($U$2:U730),$U$2:$U$1001,0),0), INDEX($AB$1004:$AQ$1004,1,MATCH(COLUMNS($AB$1006:AK1006),$AB$1006:$AQ$1006,0)))),"Fix")))</f>
        <v>0</v>
      </c>
      <c r="L730" s="5">
        <f>IF(OR(INDEX($V$2:$V$1001,MATCH(ROWS($U$2:U730),$U$2:$U$1001,0),1)&gt;=100000,INDEX($AB$1005:$AQ$1005,1,MATCH(COLUMNS($AB$1006:AL1006),$AB$1006:$AQ$1006,0))&gt;=100000), " ",IF(INDEX($AB$2:$AQ$1001,MATCH(ROWS($U$2:U730),$U$2:$U$1001,0),MATCH(COLUMNS($AB$1006:AL1006),$AB$1006:$AQ$1006,0)), HYPERLINK("#",""), HYPERLINK(CONCATENATE("#Metadata!", ADDRESS(INDEX($W$2:$W$1001,MATCH(ROWS($U$2:U730),$U$2:$U$1001,0),0), INDEX($AB$1004:$AQ$1004,1,MATCH(COLUMNS($AB$1006:AL1006),$AB$1006:$AQ$1006,0)))),"Fix")))</f>
        <v>0</v>
      </c>
      <c r="M730" s="5">
        <f>IF(OR(INDEX($V$2:$V$1001,MATCH(ROWS($U$2:U730),$U$2:$U$1001,0),1)&gt;=100000,INDEX($AB$1005:$AQ$1005,1,MATCH(COLUMNS($AB$1006:AM1006),$AB$1006:$AQ$1006,0))&gt;=100000), " ",IF(INDEX($AB$2:$AQ$1001,MATCH(ROWS($U$2:U730),$U$2:$U$1001,0),MATCH(COLUMNS($AB$1006:AM1006),$AB$1006:$AQ$1006,0)), HYPERLINK("#",""), HYPERLINK(CONCATENATE("#Metadata!", ADDRESS(INDEX($W$2:$W$1001,MATCH(ROWS($U$2:U730),$U$2:$U$1001,0),0), INDEX($AB$1004:$AQ$1004,1,MATCH(COLUMNS($AB$1006:AM1006),$AB$1006:$AQ$1006,0)))),"Fix")))</f>
        <v>0</v>
      </c>
      <c r="N730" s="5">
        <f>IF(OR(INDEX($V$2:$V$1001,MATCH(ROWS($U$2:U730),$U$2:$U$1001,0),1)&gt;=100000,INDEX($AB$1005:$AQ$1005,1,MATCH(COLUMNS($AB$1006:AN1006),$AB$1006:$AQ$1006,0))&gt;=100000), " ",IF(INDEX($AB$2:$AQ$1001,MATCH(ROWS($U$2:U730),$U$2:$U$1001,0),MATCH(COLUMNS($AB$1006:AN1006),$AB$1006:$AQ$1006,0)), HYPERLINK("#",""), HYPERLINK(CONCATENATE("#Metadata!", ADDRESS(INDEX($W$2:$W$1001,MATCH(ROWS($U$2:U730),$U$2:$U$1001,0),0), INDEX($AB$1004:$AQ$1004,1,MATCH(COLUMNS($AB$1006:AN1006),$AB$1006:$AQ$1006,0)))),"Fix")))</f>
        <v>0</v>
      </c>
      <c r="O730" s="5">
        <f>IF(OR(INDEX($V$2:$V$1001,MATCH(ROWS($U$2:U730),$U$2:$U$1001,0),1)&gt;=100000,INDEX($AB$1005:$AQ$1005,1,MATCH(COLUMNS($AB$1006:AO1006),$AB$1006:$AQ$1006,0))&gt;=100000), " ",IF(INDEX($AB$2:$AQ$1001,MATCH(ROWS($U$2:U730),$U$2:$U$1001,0),MATCH(COLUMNS($AB$1006:AO1006),$AB$1006:$AQ$1006,0)), HYPERLINK("#",""), HYPERLINK(CONCATENATE("#Metadata!", ADDRESS(INDEX($W$2:$W$1001,MATCH(ROWS($U$2:U730),$U$2:$U$1001,0),0), INDEX($AB$1004:$AQ$1004,1,MATCH(COLUMNS($AB$1006:AO1006),$AB$1006:$AQ$1006,0)))),"Fix")))</f>
        <v>0</v>
      </c>
      <c r="P730" s="5">
        <f>IF(OR(INDEX($V$2:$V$1001,MATCH(ROWS($U$2:U730),$U$2:$U$1001,0),1)&gt;=100000,INDEX($AB$1005:$AQ$1005,1,MATCH(COLUMNS($AB$1006:AP1006),$AB$1006:$AQ$1006,0))&gt;=100000), " ",IF(INDEX($AB$2:$AQ$1001,MATCH(ROWS($U$2:U730),$U$2:$U$1001,0),MATCH(COLUMNS($AB$1006:AP1006),$AB$1006:$AQ$1006,0)), HYPERLINK("#",""), HYPERLINK(CONCATENATE("#Metadata!", ADDRESS(INDEX($W$2:$W$1001,MATCH(ROWS($U$2:U730),$U$2:$U$1001,0),0), INDEX($AB$1004:$AQ$1004,1,MATCH(COLUMNS($AB$1006:AP1006),$AB$1006:$AQ$1006,0)))),"Fix")))</f>
        <v>0</v>
      </c>
      <c r="Q730" s="5">
        <f>IF(OR(INDEX($V$2:$V$1001,MATCH(ROWS($U$2:U730),$U$2:$U$1001,0),1)&gt;=100000,INDEX($AB$1005:$AQ$1005,1,MATCH(COLUMNS($AB$1006:AQ1006),$AB$1006:$AQ$1006,0))&gt;=100000), " ",IF(INDEX($AB$2:$AQ$1001,MATCH(ROWS($U$2:U730),$U$2:$U$1001,0),MATCH(COLUMNS($AB$1006:AQ1006),$AB$1006:$AQ$1006,0)), HYPERLINK("#",""), HYPERLINK(CONCATENATE("#Metadata!", ADDRESS(INDEX($W$2:$W$1001,MATCH(ROWS($U$2:U730),$U$2:$U$1001,0),0), INDEX($AB$1004:$AQ$1004,1,MATCH(COLUMNS($AB$1006:AQ1006),$AB$1006:$AQ$1006,0)))),"Fix")))</f>
        <v>0</v>
      </c>
      <c r="U730">
        <v>0</v>
      </c>
      <c r="V730">
        <v>0</v>
      </c>
      <c r="W730">
        <v>0</v>
      </c>
      <c r="X730">
        <f>IF(Y730,TRUE,AND(AB730:AQ730))</f>
        <v>0</v>
      </c>
      <c r="Y730">
        <f>COUNTBLANK(Metadata!B730:Q730)=COLUMNS(Metadata!B730:Q730)</f>
        <v>0</v>
      </c>
      <c r="Z730">
        <v>0</v>
      </c>
      <c r="AB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AC730">
        <f>AND(IF(Metadata!C730="",FALSE,TRUE),exact(Metadata!C730,"urban biome"))</f>
        <v>0</v>
      </c>
      <c r="AD730">
        <f>AND(IF(Metadata!D730="",FALSE,TRUE),exact(Metadata!D730,"human-associated habitat"))</f>
        <v>0</v>
      </c>
      <c r="AE730">
        <f>AND(IF(Metadata!E730="",FALSE,TRUE),OR(exact(Metadata!E730,"human-associated"),exact(Metadata!E730,"human-skin"),exact(Metadata!E730,"human-oral"),exact(Metadata!E730,"human-gut"),exact(Metadata!E730,"human-vaginal")))</f>
        <v>0</v>
      </c>
      <c r="AF730">
        <f>AND(IF(Metadata!F730="",FALSE,ISNUMBER(VALUE(Metadata!F730))),Metadata!F730&gt;0)</f>
        <v>0</v>
      </c>
      <c r="AG730">
        <f>AND(IF(Metadata!G730="",FALSE,TRUE),exact(Metadata!G730,"years"))</f>
        <v>0</v>
      </c>
      <c r="AH730">
        <f>OR(AND(IF(Metadata!H730="",FALSE,TRUE),OR(exact(Metadata!H730,"not applicable"),exact(Metadata!H730,"not collected"),exact(Metadata!H730,"not provided"),exact(Metadata!H730,"restricted access"))),AND(IF(Metadata!H730="",FALSE,ISNUMBER(VALUE(Metadata!H730))),Metadata!H730&gt;0))</f>
        <v>0</v>
      </c>
      <c r="AI730">
        <f>AND(IF(Metadata!I730="",FALSE,TRUE),exact(Metadata!I730,"human"))</f>
        <v>0</v>
      </c>
      <c r="AJ730">
        <f>AND(IF(Metadata!J730="",FALSE,ISNUMBER(VALUE(Metadata!J730))),Metadata!J730&gt;0)</f>
        <v>0</v>
      </c>
      <c r="AK730">
        <f>AND(IF(Metadata!K730="",FALSE,TRUE),exact(Metadata!K730,"cm"))</f>
        <v>0</v>
      </c>
      <c r="AL730">
        <f>AND(IF(Metadata!L730="",FALSE,TRUE),exact(Metadata!L730,"Homo sapiens"))</f>
        <v>0</v>
      </c>
      <c r="AM730">
        <f>AND(IF(Metadata!M730="",FALSE,TRUE),exact(Metadata!M730,"9606"))</f>
        <v>0</v>
      </c>
      <c r="AN730">
        <f>AND(IF(Metadata!N730="",FALSE,ISNUMBER(VALUE(Metadata!N730))),Metadata!N730&gt;0)</f>
        <v>0</v>
      </c>
      <c r="AO730">
        <f>AND(IF(Metadata!O730="",FALSE,TRUE),exact(Metadata!O730,"kg"))</f>
        <v>0</v>
      </c>
      <c r="AP730">
        <f>OR(AND(IF(Metadata!P730="",FALSE,TRUE),exact(Metadata!P730,"not provided")),IF(Metadata!P730="",FALSE,TRUE))</f>
        <v>0</v>
      </c>
      <c r="AQ730">
        <f>OR(AND(IF(Metadata!Q730="",FALSE,TRUE),exact(Metadata!Q730,"not provided")),IF(Metadata!Q730="",FALSE,TRUE))</f>
        <v>0</v>
      </c>
    </row>
    <row r="731" spans="1:43">
      <c r="A731" s="4">
        <f>IF(B731=" "," ",HYPERLINK(CONCATENATE("#metadata!",ADDRESS(INDEX($W$2:$W$1001,MATCH(ROWS($U$2:U731),$U$2:$U$1001,0),0),2)),INDEX($Z$2:$Z$1001,MATCH(ROWS($U$2:U731),$U$2:$U$1001,0),0)))</f>
        <v>0</v>
      </c>
      <c r="B731" s="5">
        <f>IF(OR(INDEX($V$2:$V$1001,MATCH(ROWS($U$2:U731),$U$2:$U$1001,0),1)&gt;=100000,INDEX($AB$1005:$AQ$1005,1,MATCH(COLUMNS($AB$1006:AB1006),$AB$1006:$AQ$1006,0))&gt;=100000), " ",IF(INDEX($AB$2:$AQ$1001,MATCH(ROWS($U$2:U731),$U$2:$U$1001,0),MATCH(COLUMNS($AB$1006:AB1006),$AB$1006:$AQ$1006,0)), HYPERLINK("#",""), HYPERLINK(CONCATENATE("#Metadata!", ADDRESS(INDEX($W$2:$W$1001,MATCH(ROWS($U$2:U731),$U$2:$U$1001,0),0), INDEX($AB$1004:$AQ$1004,1,MATCH(COLUMNS($AB$1006:AB1006),$AB$1006:$AQ$1006,0)))),"Fix")))</f>
        <v>0</v>
      </c>
      <c r="C731" s="5">
        <f>IF(OR(INDEX($V$2:$V$1001,MATCH(ROWS($U$2:U731),$U$2:$U$1001,0),1)&gt;=100000,INDEX($AB$1005:$AQ$1005,1,MATCH(COLUMNS($AB$1006:AC1006),$AB$1006:$AQ$1006,0))&gt;=100000), " ",IF(INDEX($AB$2:$AQ$1001,MATCH(ROWS($U$2:U731),$U$2:$U$1001,0),MATCH(COLUMNS($AB$1006:AC1006),$AB$1006:$AQ$1006,0)), HYPERLINK("#",""), HYPERLINK(CONCATENATE("#Metadata!", ADDRESS(INDEX($W$2:$W$1001,MATCH(ROWS($U$2:U731),$U$2:$U$1001,0),0), INDEX($AB$1004:$AQ$1004,1,MATCH(COLUMNS($AB$1006:AC1006),$AB$1006:$AQ$1006,0)))),"Fix")))</f>
        <v>0</v>
      </c>
      <c r="D731" s="5">
        <f>IF(OR(INDEX($V$2:$V$1001,MATCH(ROWS($U$2:U731),$U$2:$U$1001,0),1)&gt;=100000,INDEX($AB$1005:$AQ$1005,1,MATCH(COLUMNS($AB$1006:AD1006),$AB$1006:$AQ$1006,0))&gt;=100000), " ",IF(INDEX($AB$2:$AQ$1001,MATCH(ROWS($U$2:U731),$U$2:$U$1001,0),MATCH(COLUMNS($AB$1006:AD1006),$AB$1006:$AQ$1006,0)), HYPERLINK("#",""), HYPERLINK(CONCATENATE("#Metadata!", ADDRESS(INDEX($W$2:$W$1001,MATCH(ROWS($U$2:U731),$U$2:$U$1001,0),0), INDEX($AB$1004:$AQ$1004,1,MATCH(COLUMNS($AB$1006:AD1006),$AB$1006:$AQ$1006,0)))),"Fix")))</f>
        <v>0</v>
      </c>
      <c r="E731" s="5">
        <f>IF(OR(INDEX($V$2:$V$1001,MATCH(ROWS($U$2:U731),$U$2:$U$1001,0),1)&gt;=100000,INDEX($AB$1005:$AQ$1005,1,MATCH(COLUMNS($AB$1006:AE1006),$AB$1006:$AQ$1006,0))&gt;=100000), " ",IF(INDEX($AB$2:$AQ$1001,MATCH(ROWS($U$2:U731),$U$2:$U$1001,0),MATCH(COLUMNS($AB$1006:AE1006),$AB$1006:$AQ$1006,0)), HYPERLINK("#",""), HYPERLINK(CONCATENATE("#Metadata!", ADDRESS(INDEX($W$2:$W$1001,MATCH(ROWS($U$2:U731),$U$2:$U$1001,0),0), INDEX($AB$1004:$AQ$1004,1,MATCH(COLUMNS($AB$1006:AE1006),$AB$1006:$AQ$1006,0)))),"Fix")))</f>
        <v>0</v>
      </c>
      <c r="F731" s="5">
        <f>IF(OR(INDEX($V$2:$V$1001,MATCH(ROWS($U$2:U731),$U$2:$U$1001,0),1)&gt;=100000,INDEX($AB$1005:$AQ$1005,1,MATCH(COLUMNS($AB$1006:AF1006),$AB$1006:$AQ$1006,0))&gt;=100000), " ",IF(INDEX($AB$2:$AQ$1001,MATCH(ROWS($U$2:U731),$U$2:$U$1001,0),MATCH(COLUMNS($AB$1006:AF1006),$AB$1006:$AQ$1006,0)), HYPERLINK("#",""), HYPERLINK(CONCATENATE("#Metadata!", ADDRESS(INDEX($W$2:$W$1001,MATCH(ROWS($U$2:U731),$U$2:$U$1001,0),0), INDEX($AB$1004:$AQ$1004,1,MATCH(COLUMNS($AB$1006:AF1006),$AB$1006:$AQ$1006,0)))),"Fix")))</f>
        <v>0</v>
      </c>
      <c r="G731" s="5">
        <f>IF(OR(INDEX($V$2:$V$1001,MATCH(ROWS($U$2:U731),$U$2:$U$1001,0),1)&gt;=100000,INDEX($AB$1005:$AQ$1005,1,MATCH(COLUMNS($AB$1006:AG1006),$AB$1006:$AQ$1006,0))&gt;=100000), " ",IF(INDEX($AB$2:$AQ$1001,MATCH(ROWS($U$2:U731),$U$2:$U$1001,0),MATCH(COLUMNS($AB$1006:AG1006),$AB$1006:$AQ$1006,0)), HYPERLINK("#",""), HYPERLINK(CONCATENATE("#Metadata!", ADDRESS(INDEX($W$2:$W$1001,MATCH(ROWS($U$2:U731),$U$2:$U$1001,0),0), INDEX($AB$1004:$AQ$1004,1,MATCH(COLUMNS($AB$1006:AG1006),$AB$1006:$AQ$1006,0)))),"Fix")))</f>
        <v>0</v>
      </c>
      <c r="H731" s="5">
        <f>IF(OR(INDEX($V$2:$V$1001,MATCH(ROWS($U$2:U731),$U$2:$U$1001,0),1)&gt;=100000,INDEX($AB$1005:$AQ$1005,1,MATCH(COLUMNS($AB$1006:AH1006),$AB$1006:$AQ$1006,0))&gt;=100000), " ",IF(INDEX($AB$2:$AQ$1001,MATCH(ROWS($U$2:U731),$U$2:$U$1001,0),MATCH(COLUMNS($AB$1006:AH1006),$AB$1006:$AQ$1006,0)), HYPERLINK("#",""), HYPERLINK(CONCATENATE("#Metadata!", ADDRESS(INDEX($W$2:$W$1001,MATCH(ROWS($U$2:U731),$U$2:$U$1001,0),0), INDEX($AB$1004:$AQ$1004,1,MATCH(COLUMNS($AB$1006:AH1006),$AB$1006:$AQ$1006,0)))),"Fix")))</f>
        <v>0</v>
      </c>
      <c r="I731" s="5">
        <f>IF(OR(INDEX($V$2:$V$1001,MATCH(ROWS($U$2:U731),$U$2:$U$1001,0),1)&gt;=100000,INDEX($AB$1005:$AQ$1005,1,MATCH(COLUMNS($AB$1006:AI1006),$AB$1006:$AQ$1006,0))&gt;=100000), " ",IF(INDEX($AB$2:$AQ$1001,MATCH(ROWS($U$2:U731),$U$2:$U$1001,0),MATCH(COLUMNS($AB$1006:AI1006),$AB$1006:$AQ$1006,0)), HYPERLINK("#",""), HYPERLINK(CONCATENATE("#Metadata!", ADDRESS(INDEX($W$2:$W$1001,MATCH(ROWS($U$2:U731),$U$2:$U$1001,0),0), INDEX($AB$1004:$AQ$1004,1,MATCH(COLUMNS($AB$1006:AI1006),$AB$1006:$AQ$1006,0)))),"Fix")))</f>
        <v>0</v>
      </c>
      <c r="J731" s="5">
        <f>IF(OR(INDEX($V$2:$V$1001,MATCH(ROWS($U$2:U731),$U$2:$U$1001,0),1)&gt;=100000,INDEX($AB$1005:$AQ$1005,1,MATCH(COLUMNS($AB$1006:AJ1006),$AB$1006:$AQ$1006,0))&gt;=100000), " ",IF(INDEX($AB$2:$AQ$1001,MATCH(ROWS($U$2:U731),$U$2:$U$1001,0),MATCH(COLUMNS($AB$1006:AJ1006),$AB$1006:$AQ$1006,0)), HYPERLINK("#",""), HYPERLINK(CONCATENATE("#Metadata!", ADDRESS(INDEX($W$2:$W$1001,MATCH(ROWS($U$2:U731),$U$2:$U$1001,0),0), INDEX($AB$1004:$AQ$1004,1,MATCH(COLUMNS($AB$1006:AJ1006),$AB$1006:$AQ$1006,0)))),"Fix")))</f>
        <v>0</v>
      </c>
      <c r="K731" s="5">
        <f>IF(OR(INDEX($V$2:$V$1001,MATCH(ROWS($U$2:U731),$U$2:$U$1001,0),1)&gt;=100000,INDEX($AB$1005:$AQ$1005,1,MATCH(COLUMNS($AB$1006:AK1006),$AB$1006:$AQ$1006,0))&gt;=100000), " ",IF(INDEX($AB$2:$AQ$1001,MATCH(ROWS($U$2:U731),$U$2:$U$1001,0),MATCH(COLUMNS($AB$1006:AK1006),$AB$1006:$AQ$1006,0)), HYPERLINK("#",""), HYPERLINK(CONCATENATE("#Metadata!", ADDRESS(INDEX($W$2:$W$1001,MATCH(ROWS($U$2:U731),$U$2:$U$1001,0),0), INDEX($AB$1004:$AQ$1004,1,MATCH(COLUMNS($AB$1006:AK1006),$AB$1006:$AQ$1006,0)))),"Fix")))</f>
        <v>0</v>
      </c>
      <c r="L731" s="5">
        <f>IF(OR(INDEX($V$2:$V$1001,MATCH(ROWS($U$2:U731),$U$2:$U$1001,0),1)&gt;=100000,INDEX($AB$1005:$AQ$1005,1,MATCH(COLUMNS($AB$1006:AL1006),$AB$1006:$AQ$1006,0))&gt;=100000), " ",IF(INDEX($AB$2:$AQ$1001,MATCH(ROWS($U$2:U731),$U$2:$U$1001,0),MATCH(COLUMNS($AB$1006:AL1006),$AB$1006:$AQ$1006,0)), HYPERLINK("#",""), HYPERLINK(CONCATENATE("#Metadata!", ADDRESS(INDEX($W$2:$W$1001,MATCH(ROWS($U$2:U731),$U$2:$U$1001,0),0), INDEX($AB$1004:$AQ$1004,1,MATCH(COLUMNS($AB$1006:AL1006),$AB$1006:$AQ$1006,0)))),"Fix")))</f>
        <v>0</v>
      </c>
      <c r="M731" s="5">
        <f>IF(OR(INDEX($V$2:$V$1001,MATCH(ROWS($U$2:U731),$U$2:$U$1001,0),1)&gt;=100000,INDEX($AB$1005:$AQ$1005,1,MATCH(COLUMNS($AB$1006:AM1006),$AB$1006:$AQ$1006,0))&gt;=100000), " ",IF(INDEX($AB$2:$AQ$1001,MATCH(ROWS($U$2:U731),$U$2:$U$1001,0),MATCH(COLUMNS($AB$1006:AM1006),$AB$1006:$AQ$1006,0)), HYPERLINK("#",""), HYPERLINK(CONCATENATE("#Metadata!", ADDRESS(INDEX($W$2:$W$1001,MATCH(ROWS($U$2:U731),$U$2:$U$1001,0),0), INDEX($AB$1004:$AQ$1004,1,MATCH(COLUMNS($AB$1006:AM1006),$AB$1006:$AQ$1006,0)))),"Fix")))</f>
        <v>0</v>
      </c>
      <c r="N731" s="5">
        <f>IF(OR(INDEX($V$2:$V$1001,MATCH(ROWS($U$2:U731),$U$2:$U$1001,0),1)&gt;=100000,INDEX($AB$1005:$AQ$1005,1,MATCH(COLUMNS($AB$1006:AN1006),$AB$1006:$AQ$1006,0))&gt;=100000), " ",IF(INDEX($AB$2:$AQ$1001,MATCH(ROWS($U$2:U731),$U$2:$U$1001,0),MATCH(COLUMNS($AB$1006:AN1006),$AB$1006:$AQ$1006,0)), HYPERLINK("#",""), HYPERLINK(CONCATENATE("#Metadata!", ADDRESS(INDEX($W$2:$W$1001,MATCH(ROWS($U$2:U731),$U$2:$U$1001,0),0), INDEX($AB$1004:$AQ$1004,1,MATCH(COLUMNS($AB$1006:AN1006),$AB$1006:$AQ$1006,0)))),"Fix")))</f>
        <v>0</v>
      </c>
      <c r="O731" s="5">
        <f>IF(OR(INDEX($V$2:$V$1001,MATCH(ROWS($U$2:U731),$U$2:$U$1001,0),1)&gt;=100000,INDEX($AB$1005:$AQ$1005,1,MATCH(COLUMNS($AB$1006:AO1006),$AB$1006:$AQ$1006,0))&gt;=100000), " ",IF(INDEX($AB$2:$AQ$1001,MATCH(ROWS($U$2:U731),$U$2:$U$1001,0),MATCH(COLUMNS($AB$1006:AO1006),$AB$1006:$AQ$1006,0)), HYPERLINK("#",""), HYPERLINK(CONCATENATE("#Metadata!", ADDRESS(INDEX($W$2:$W$1001,MATCH(ROWS($U$2:U731),$U$2:$U$1001,0),0), INDEX($AB$1004:$AQ$1004,1,MATCH(COLUMNS($AB$1006:AO1006),$AB$1006:$AQ$1006,0)))),"Fix")))</f>
        <v>0</v>
      </c>
      <c r="P731" s="5">
        <f>IF(OR(INDEX($V$2:$V$1001,MATCH(ROWS($U$2:U731),$U$2:$U$1001,0),1)&gt;=100000,INDEX($AB$1005:$AQ$1005,1,MATCH(COLUMNS($AB$1006:AP1006),$AB$1006:$AQ$1006,0))&gt;=100000), " ",IF(INDEX($AB$2:$AQ$1001,MATCH(ROWS($U$2:U731),$U$2:$U$1001,0),MATCH(COLUMNS($AB$1006:AP1006),$AB$1006:$AQ$1006,0)), HYPERLINK("#",""), HYPERLINK(CONCATENATE("#Metadata!", ADDRESS(INDEX($W$2:$W$1001,MATCH(ROWS($U$2:U731),$U$2:$U$1001,0),0), INDEX($AB$1004:$AQ$1004,1,MATCH(COLUMNS($AB$1006:AP1006),$AB$1006:$AQ$1006,0)))),"Fix")))</f>
        <v>0</v>
      </c>
      <c r="Q731" s="5">
        <f>IF(OR(INDEX($V$2:$V$1001,MATCH(ROWS($U$2:U731),$U$2:$U$1001,0),1)&gt;=100000,INDEX($AB$1005:$AQ$1005,1,MATCH(COLUMNS($AB$1006:AQ1006),$AB$1006:$AQ$1006,0))&gt;=100000), " ",IF(INDEX($AB$2:$AQ$1001,MATCH(ROWS($U$2:U731),$U$2:$U$1001,0),MATCH(COLUMNS($AB$1006:AQ1006),$AB$1006:$AQ$1006,0)), HYPERLINK("#",""), HYPERLINK(CONCATENATE("#Metadata!", ADDRESS(INDEX($W$2:$W$1001,MATCH(ROWS($U$2:U731),$U$2:$U$1001,0),0), INDEX($AB$1004:$AQ$1004,1,MATCH(COLUMNS($AB$1006:AQ1006),$AB$1006:$AQ$1006,0)))),"Fix")))</f>
        <v>0</v>
      </c>
      <c r="U731">
        <v>0</v>
      </c>
      <c r="V731">
        <v>0</v>
      </c>
      <c r="W731">
        <v>0</v>
      </c>
      <c r="X731">
        <f>IF(Y731,TRUE,AND(AB731:AQ731))</f>
        <v>0</v>
      </c>
      <c r="Y731">
        <f>COUNTBLANK(Metadata!B731:Q731)=COLUMNS(Metadata!B731:Q731)</f>
        <v>0</v>
      </c>
      <c r="Z731">
        <v>0</v>
      </c>
      <c r="AB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AC731">
        <f>AND(IF(Metadata!C731="",FALSE,TRUE),exact(Metadata!C731,"urban biome"))</f>
        <v>0</v>
      </c>
      <c r="AD731">
        <f>AND(IF(Metadata!D731="",FALSE,TRUE),exact(Metadata!D731,"human-associated habitat"))</f>
        <v>0</v>
      </c>
      <c r="AE731">
        <f>AND(IF(Metadata!E731="",FALSE,TRUE),OR(exact(Metadata!E731,"human-associated"),exact(Metadata!E731,"human-skin"),exact(Metadata!E731,"human-oral"),exact(Metadata!E731,"human-gut"),exact(Metadata!E731,"human-vaginal")))</f>
        <v>0</v>
      </c>
      <c r="AF731">
        <f>AND(IF(Metadata!F731="",FALSE,ISNUMBER(VALUE(Metadata!F731))),Metadata!F731&gt;0)</f>
        <v>0</v>
      </c>
      <c r="AG731">
        <f>AND(IF(Metadata!G731="",FALSE,TRUE),exact(Metadata!G731,"years"))</f>
        <v>0</v>
      </c>
      <c r="AH731">
        <f>OR(AND(IF(Metadata!H731="",FALSE,TRUE),OR(exact(Metadata!H731,"not applicable"),exact(Metadata!H731,"not collected"),exact(Metadata!H731,"not provided"),exact(Metadata!H731,"restricted access"))),AND(IF(Metadata!H731="",FALSE,ISNUMBER(VALUE(Metadata!H731))),Metadata!H731&gt;0))</f>
        <v>0</v>
      </c>
      <c r="AI731">
        <f>AND(IF(Metadata!I731="",FALSE,TRUE),exact(Metadata!I731,"human"))</f>
        <v>0</v>
      </c>
      <c r="AJ731">
        <f>AND(IF(Metadata!J731="",FALSE,ISNUMBER(VALUE(Metadata!J731))),Metadata!J731&gt;0)</f>
        <v>0</v>
      </c>
      <c r="AK731">
        <f>AND(IF(Metadata!K731="",FALSE,TRUE),exact(Metadata!K731,"cm"))</f>
        <v>0</v>
      </c>
      <c r="AL731">
        <f>AND(IF(Metadata!L731="",FALSE,TRUE),exact(Metadata!L731,"Homo sapiens"))</f>
        <v>0</v>
      </c>
      <c r="AM731">
        <f>AND(IF(Metadata!M731="",FALSE,TRUE),exact(Metadata!M731,"9606"))</f>
        <v>0</v>
      </c>
      <c r="AN731">
        <f>AND(IF(Metadata!N731="",FALSE,ISNUMBER(VALUE(Metadata!N731))),Metadata!N731&gt;0)</f>
        <v>0</v>
      </c>
      <c r="AO731">
        <f>AND(IF(Metadata!O731="",FALSE,TRUE),exact(Metadata!O731,"kg"))</f>
        <v>0</v>
      </c>
      <c r="AP731">
        <f>OR(AND(IF(Metadata!P731="",FALSE,TRUE),exact(Metadata!P731,"not provided")),IF(Metadata!P731="",FALSE,TRUE))</f>
        <v>0</v>
      </c>
      <c r="AQ731">
        <f>OR(AND(IF(Metadata!Q731="",FALSE,TRUE),exact(Metadata!Q731,"not provided")),IF(Metadata!Q731="",FALSE,TRUE))</f>
        <v>0</v>
      </c>
    </row>
    <row r="732" spans="1:43">
      <c r="A732" s="4">
        <f>IF(B732=" "," ",HYPERLINK(CONCATENATE("#metadata!",ADDRESS(INDEX($W$2:$W$1001,MATCH(ROWS($U$2:U732),$U$2:$U$1001,0),0),2)),INDEX($Z$2:$Z$1001,MATCH(ROWS($U$2:U732),$U$2:$U$1001,0),0)))</f>
        <v>0</v>
      </c>
      <c r="B732" s="5">
        <f>IF(OR(INDEX($V$2:$V$1001,MATCH(ROWS($U$2:U732),$U$2:$U$1001,0),1)&gt;=100000,INDEX($AB$1005:$AQ$1005,1,MATCH(COLUMNS($AB$1006:AB1006),$AB$1006:$AQ$1006,0))&gt;=100000), " ",IF(INDEX($AB$2:$AQ$1001,MATCH(ROWS($U$2:U732),$U$2:$U$1001,0),MATCH(COLUMNS($AB$1006:AB1006),$AB$1006:$AQ$1006,0)), HYPERLINK("#",""), HYPERLINK(CONCATENATE("#Metadata!", ADDRESS(INDEX($W$2:$W$1001,MATCH(ROWS($U$2:U732),$U$2:$U$1001,0),0), INDEX($AB$1004:$AQ$1004,1,MATCH(COLUMNS($AB$1006:AB1006),$AB$1006:$AQ$1006,0)))),"Fix")))</f>
        <v>0</v>
      </c>
      <c r="C732" s="5">
        <f>IF(OR(INDEX($V$2:$V$1001,MATCH(ROWS($U$2:U732),$U$2:$U$1001,0),1)&gt;=100000,INDEX($AB$1005:$AQ$1005,1,MATCH(COLUMNS($AB$1006:AC1006),$AB$1006:$AQ$1006,0))&gt;=100000), " ",IF(INDEX($AB$2:$AQ$1001,MATCH(ROWS($U$2:U732),$U$2:$U$1001,0),MATCH(COLUMNS($AB$1006:AC1006),$AB$1006:$AQ$1006,0)), HYPERLINK("#",""), HYPERLINK(CONCATENATE("#Metadata!", ADDRESS(INDEX($W$2:$W$1001,MATCH(ROWS($U$2:U732),$U$2:$U$1001,0),0), INDEX($AB$1004:$AQ$1004,1,MATCH(COLUMNS($AB$1006:AC1006),$AB$1006:$AQ$1006,0)))),"Fix")))</f>
        <v>0</v>
      </c>
      <c r="D732" s="5">
        <f>IF(OR(INDEX($V$2:$V$1001,MATCH(ROWS($U$2:U732),$U$2:$U$1001,0),1)&gt;=100000,INDEX($AB$1005:$AQ$1005,1,MATCH(COLUMNS($AB$1006:AD1006),$AB$1006:$AQ$1006,0))&gt;=100000), " ",IF(INDEX($AB$2:$AQ$1001,MATCH(ROWS($U$2:U732),$U$2:$U$1001,0),MATCH(COLUMNS($AB$1006:AD1006),$AB$1006:$AQ$1006,0)), HYPERLINK("#",""), HYPERLINK(CONCATENATE("#Metadata!", ADDRESS(INDEX($W$2:$W$1001,MATCH(ROWS($U$2:U732),$U$2:$U$1001,0),0), INDEX($AB$1004:$AQ$1004,1,MATCH(COLUMNS($AB$1006:AD1006),$AB$1006:$AQ$1006,0)))),"Fix")))</f>
        <v>0</v>
      </c>
      <c r="E732" s="5">
        <f>IF(OR(INDEX($V$2:$V$1001,MATCH(ROWS($U$2:U732),$U$2:$U$1001,0),1)&gt;=100000,INDEX($AB$1005:$AQ$1005,1,MATCH(COLUMNS($AB$1006:AE1006),$AB$1006:$AQ$1006,0))&gt;=100000), " ",IF(INDEX($AB$2:$AQ$1001,MATCH(ROWS($U$2:U732),$U$2:$U$1001,0),MATCH(COLUMNS($AB$1006:AE1006),$AB$1006:$AQ$1006,0)), HYPERLINK("#",""), HYPERLINK(CONCATENATE("#Metadata!", ADDRESS(INDEX($W$2:$W$1001,MATCH(ROWS($U$2:U732),$U$2:$U$1001,0),0), INDEX($AB$1004:$AQ$1004,1,MATCH(COLUMNS($AB$1006:AE1006),$AB$1006:$AQ$1006,0)))),"Fix")))</f>
        <v>0</v>
      </c>
      <c r="F732" s="5">
        <f>IF(OR(INDEX($V$2:$V$1001,MATCH(ROWS($U$2:U732),$U$2:$U$1001,0),1)&gt;=100000,INDEX($AB$1005:$AQ$1005,1,MATCH(COLUMNS($AB$1006:AF1006),$AB$1006:$AQ$1006,0))&gt;=100000), " ",IF(INDEX($AB$2:$AQ$1001,MATCH(ROWS($U$2:U732),$U$2:$U$1001,0),MATCH(COLUMNS($AB$1006:AF1006),$AB$1006:$AQ$1006,0)), HYPERLINK("#",""), HYPERLINK(CONCATENATE("#Metadata!", ADDRESS(INDEX($W$2:$W$1001,MATCH(ROWS($U$2:U732),$U$2:$U$1001,0),0), INDEX($AB$1004:$AQ$1004,1,MATCH(COLUMNS($AB$1006:AF1006),$AB$1006:$AQ$1006,0)))),"Fix")))</f>
        <v>0</v>
      </c>
      <c r="G732" s="5">
        <f>IF(OR(INDEX($V$2:$V$1001,MATCH(ROWS($U$2:U732),$U$2:$U$1001,0),1)&gt;=100000,INDEX($AB$1005:$AQ$1005,1,MATCH(COLUMNS($AB$1006:AG1006),$AB$1006:$AQ$1006,0))&gt;=100000), " ",IF(INDEX($AB$2:$AQ$1001,MATCH(ROWS($U$2:U732),$U$2:$U$1001,0),MATCH(COLUMNS($AB$1006:AG1006),$AB$1006:$AQ$1006,0)), HYPERLINK("#",""), HYPERLINK(CONCATENATE("#Metadata!", ADDRESS(INDEX($W$2:$W$1001,MATCH(ROWS($U$2:U732),$U$2:$U$1001,0),0), INDEX($AB$1004:$AQ$1004,1,MATCH(COLUMNS($AB$1006:AG1006),$AB$1006:$AQ$1006,0)))),"Fix")))</f>
        <v>0</v>
      </c>
      <c r="H732" s="5">
        <f>IF(OR(INDEX($V$2:$V$1001,MATCH(ROWS($U$2:U732),$U$2:$U$1001,0),1)&gt;=100000,INDEX($AB$1005:$AQ$1005,1,MATCH(COLUMNS($AB$1006:AH1006),$AB$1006:$AQ$1006,0))&gt;=100000), " ",IF(INDEX($AB$2:$AQ$1001,MATCH(ROWS($U$2:U732),$U$2:$U$1001,0),MATCH(COLUMNS($AB$1006:AH1006),$AB$1006:$AQ$1006,0)), HYPERLINK("#",""), HYPERLINK(CONCATENATE("#Metadata!", ADDRESS(INDEX($W$2:$W$1001,MATCH(ROWS($U$2:U732),$U$2:$U$1001,0),0), INDEX($AB$1004:$AQ$1004,1,MATCH(COLUMNS($AB$1006:AH1006),$AB$1006:$AQ$1006,0)))),"Fix")))</f>
        <v>0</v>
      </c>
      <c r="I732" s="5">
        <f>IF(OR(INDEX($V$2:$V$1001,MATCH(ROWS($U$2:U732),$U$2:$U$1001,0),1)&gt;=100000,INDEX($AB$1005:$AQ$1005,1,MATCH(COLUMNS($AB$1006:AI1006),$AB$1006:$AQ$1006,0))&gt;=100000), " ",IF(INDEX($AB$2:$AQ$1001,MATCH(ROWS($U$2:U732),$U$2:$U$1001,0),MATCH(COLUMNS($AB$1006:AI1006),$AB$1006:$AQ$1006,0)), HYPERLINK("#",""), HYPERLINK(CONCATENATE("#Metadata!", ADDRESS(INDEX($W$2:$W$1001,MATCH(ROWS($U$2:U732),$U$2:$U$1001,0),0), INDEX($AB$1004:$AQ$1004,1,MATCH(COLUMNS($AB$1006:AI1006),$AB$1006:$AQ$1006,0)))),"Fix")))</f>
        <v>0</v>
      </c>
      <c r="J732" s="5">
        <f>IF(OR(INDEX($V$2:$V$1001,MATCH(ROWS($U$2:U732),$U$2:$U$1001,0),1)&gt;=100000,INDEX($AB$1005:$AQ$1005,1,MATCH(COLUMNS($AB$1006:AJ1006),$AB$1006:$AQ$1006,0))&gt;=100000), " ",IF(INDEX($AB$2:$AQ$1001,MATCH(ROWS($U$2:U732),$U$2:$U$1001,0),MATCH(COLUMNS($AB$1006:AJ1006),$AB$1006:$AQ$1006,0)), HYPERLINK("#",""), HYPERLINK(CONCATENATE("#Metadata!", ADDRESS(INDEX($W$2:$W$1001,MATCH(ROWS($U$2:U732),$U$2:$U$1001,0),0), INDEX($AB$1004:$AQ$1004,1,MATCH(COLUMNS($AB$1006:AJ1006),$AB$1006:$AQ$1006,0)))),"Fix")))</f>
        <v>0</v>
      </c>
      <c r="K732" s="5">
        <f>IF(OR(INDEX($V$2:$V$1001,MATCH(ROWS($U$2:U732),$U$2:$U$1001,0),1)&gt;=100000,INDEX($AB$1005:$AQ$1005,1,MATCH(COLUMNS($AB$1006:AK1006),$AB$1006:$AQ$1006,0))&gt;=100000), " ",IF(INDEX($AB$2:$AQ$1001,MATCH(ROWS($U$2:U732),$U$2:$U$1001,0),MATCH(COLUMNS($AB$1006:AK1006),$AB$1006:$AQ$1006,0)), HYPERLINK("#",""), HYPERLINK(CONCATENATE("#Metadata!", ADDRESS(INDEX($W$2:$W$1001,MATCH(ROWS($U$2:U732),$U$2:$U$1001,0),0), INDEX($AB$1004:$AQ$1004,1,MATCH(COLUMNS($AB$1006:AK1006),$AB$1006:$AQ$1006,0)))),"Fix")))</f>
        <v>0</v>
      </c>
      <c r="L732" s="5">
        <f>IF(OR(INDEX($V$2:$V$1001,MATCH(ROWS($U$2:U732),$U$2:$U$1001,0),1)&gt;=100000,INDEX($AB$1005:$AQ$1005,1,MATCH(COLUMNS($AB$1006:AL1006),$AB$1006:$AQ$1006,0))&gt;=100000), " ",IF(INDEX($AB$2:$AQ$1001,MATCH(ROWS($U$2:U732),$U$2:$U$1001,0),MATCH(COLUMNS($AB$1006:AL1006),$AB$1006:$AQ$1006,0)), HYPERLINK("#",""), HYPERLINK(CONCATENATE("#Metadata!", ADDRESS(INDEX($W$2:$W$1001,MATCH(ROWS($U$2:U732),$U$2:$U$1001,0),0), INDEX($AB$1004:$AQ$1004,1,MATCH(COLUMNS($AB$1006:AL1006),$AB$1006:$AQ$1006,0)))),"Fix")))</f>
        <v>0</v>
      </c>
      <c r="M732" s="5">
        <f>IF(OR(INDEX($V$2:$V$1001,MATCH(ROWS($U$2:U732),$U$2:$U$1001,0),1)&gt;=100000,INDEX($AB$1005:$AQ$1005,1,MATCH(COLUMNS($AB$1006:AM1006),$AB$1006:$AQ$1006,0))&gt;=100000), " ",IF(INDEX($AB$2:$AQ$1001,MATCH(ROWS($U$2:U732),$U$2:$U$1001,0),MATCH(COLUMNS($AB$1006:AM1006),$AB$1006:$AQ$1006,0)), HYPERLINK("#",""), HYPERLINK(CONCATENATE("#Metadata!", ADDRESS(INDEX($W$2:$W$1001,MATCH(ROWS($U$2:U732),$U$2:$U$1001,0),0), INDEX($AB$1004:$AQ$1004,1,MATCH(COLUMNS($AB$1006:AM1006),$AB$1006:$AQ$1006,0)))),"Fix")))</f>
        <v>0</v>
      </c>
      <c r="N732" s="5">
        <f>IF(OR(INDEX($V$2:$V$1001,MATCH(ROWS($U$2:U732),$U$2:$U$1001,0),1)&gt;=100000,INDEX($AB$1005:$AQ$1005,1,MATCH(COLUMNS($AB$1006:AN1006),$AB$1006:$AQ$1006,0))&gt;=100000), " ",IF(INDEX($AB$2:$AQ$1001,MATCH(ROWS($U$2:U732),$U$2:$U$1001,0),MATCH(COLUMNS($AB$1006:AN1006),$AB$1006:$AQ$1006,0)), HYPERLINK("#",""), HYPERLINK(CONCATENATE("#Metadata!", ADDRESS(INDEX($W$2:$W$1001,MATCH(ROWS($U$2:U732),$U$2:$U$1001,0),0), INDEX($AB$1004:$AQ$1004,1,MATCH(COLUMNS($AB$1006:AN1006),$AB$1006:$AQ$1006,0)))),"Fix")))</f>
        <v>0</v>
      </c>
      <c r="O732" s="5">
        <f>IF(OR(INDEX($V$2:$V$1001,MATCH(ROWS($U$2:U732),$U$2:$U$1001,0),1)&gt;=100000,INDEX($AB$1005:$AQ$1005,1,MATCH(COLUMNS($AB$1006:AO1006),$AB$1006:$AQ$1006,0))&gt;=100000), " ",IF(INDEX($AB$2:$AQ$1001,MATCH(ROWS($U$2:U732),$U$2:$U$1001,0),MATCH(COLUMNS($AB$1006:AO1006),$AB$1006:$AQ$1006,0)), HYPERLINK("#",""), HYPERLINK(CONCATENATE("#Metadata!", ADDRESS(INDEX($W$2:$W$1001,MATCH(ROWS($U$2:U732),$U$2:$U$1001,0),0), INDEX($AB$1004:$AQ$1004,1,MATCH(COLUMNS($AB$1006:AO1006),$AB$1006:$AQ$1006,0)))),"Fix")))</f>
        <v>0</v>
      </c>
      <c r="P732" s="5">
        <f>IF(OR(INDEX($V$2:$V$1001,MATCH(ROWS($U$2:U732),$U$2:$U$1001,0),1)&gt;=100000,INDEX($AB$1005:$AQ$1005,1,MATCH(COLUMNS($AB$1006:AP1006),$AB$1006:$AQ$1006,0))&gt;=100000), " ",IF(INDEX($AB$2:$AQ$1001,MATCH(ROWS($U$2:U732),$U$2:$U$1001,0),MATCH(COLUMNS($AB$1006:AP1006),$AB$1006:$AQ$1006,0)), HYPERLINK("#",""), HYPERLINK(CONCATENATE("#Metadata!", ADDRESS(INDEX($W$2:$W$1001,MATCH(ROWS($U$2:U732),$U$2:$U$1001,0),0), INDEX($AB$1004:$AQ$1004,1,MATCH(COLUMNS($AB$1006:AP1006),$AB$1006:$AQ$1006,0)))),"Fix")))</f>
        <v>0</v>
      </c>
      <c r="Q732" s="5">
        <f>IF(OR(INDEX($V$2:$V$1001,MATCH(ROWS($U$2:U732),$U$2:$U$1001,0),1)&gt;=100000,INDEX($AB$1005:$AQ$1005,1,MATCH(COLUMNS($AB$1006:AQ1006),$AB$1006:$AQ$1006,0))&gt;=100000), " ",IF(INDEX($AB$2:$AQ$1001,MATCH(ROWS($U$2:U732),$U$2:$U$1001,0),MATCH(COLUMNS($AB$1006:AQ1006),$AB$1006:$AQ$1006,0)), HYPERLINK("#",""), HYPERLINK(CONCATENATE("#Metadata!", ADDRESS(INDEX($W$2:$W$1001,MATCH(ROWS($U$2:U732),$U$2:$U$1001,0),0), INDEX($AB$1004:$AQ$1004,1,MATCH(COLUMNS($AB$1006:AQ1006),$AB$1006:$AQ$1006,0)))),"Fix")))</f>
        <v>0</v>
      </c>
      <c r="U732">
        <v>0</v>
      </c>
      <c r="V732">
        <v>0</v>
      </c>
      <c r="W732">
        <v>0</v>
      </c>
      <c r="X732">
        <f>IF(Y732,TRUE,AND(AB732:AQ732))</f>
        <v>0</v>
      </c>
      <c r="Y732">
        <f>COUNTBLANK(Metadata!B732:Q732)=COLUMNS(Metadata!B732:Q732)</f>
        <v>0</v>
      </c>
      <c r="Z732">
        <v>0</v>
      </c>
      <c r="AB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AC732">
        <f>AND(IF(Metadata!C732="",FALSE,TRUE),exact(Metadata!C732,"urban biome"))</f>
        <v>0</v>
      </c>
      <c r="AD732">
        <f>AND(IF(Metadata!D732="",FALSE,TRUE),exact(Metadata!D732,"human-associated habitat"))</f>
        <v>0</v>
      </c>
      <c r="AE732">
        <f>AND(IF(Metadata!E732="",FALSE,TRUE),OR(exact(Metadata!E732,"human-associated"),exact(Metadata!E732,"human-skin"),exact(Metadata!E732,"human-oral"),exact(Metadata!E732,"human-gut"),exact(Metadata!E732,"human-vaginal")))</f>
        <v>0</v>
      </c>
      <c r="AF732">
        <f>AND(IF(Metadata!F732="",FALSE,ISNUMBER(VALUE(Metadata!F732))),Metadata!F732&gt;0)</f>
        <v>0</v>
      </c>
      <c r="AG732">
        <f>AND(IF(Metadata!G732="",FALSE,TRUE),exact(Metadata!G732,"years"))</f>
        <v>0</v>
      </c>
      <c r="AH732">
        <f>OR(AND(IF(Metadata!H732="",FALSE,TRUE),OR(exact(Metadata!H732,"not applicable"),exact(Metadata!H732,"not collected"),exact(Metadata!H732,"not provided"),exact(Metadata!H732,"restricted access"))),AND(IF(Metadata!H732="",FALSE,ISNUMBER(VALUE(Metadata!H732))),Metadata!H732&gt;0))</f>
        <v>0</v>
      </c>
      <c r="AI732">
        <f>AND(IF(Metadata!I732="",FALSE,TRUE),exact(Metadata!I732,"human"))</f>
        <v>0</v>
      </c>
      <c r="AJ732">
        <f>AND(IF(Metadata!J732="",FALSE,ISNUMBER(VALUE(Metadata!J732))),Metadata!J732&gt;0)</f>
        <v>0</v>
      </c>
      <c r="AK732">
        <f>AND(IF(Metadata!K732="",FALSE,TRUE),exact(Metadata!K732,"cm"))</f>
        <v>0</v>
      </c>
      <c r="AL732">
        <f>AND(IF(Metadata!L732="",FALSE,TRUE),exact(Metadata!L732,"Homo sapiens"))</f>
        <v>0</v>
      </c>
      <c r="AM732">
        <f>AND(IF(Metadata!M732="",FALSE,TRUE),exact(Metadata!M732,"9606"))</f>
        <v>0</v>
      </c>
      <c r="AN732">
        <f>AND(IF(Metadata!N732="",FALSE,ISNUMBER(VALUE(Metadata!N732))),Metadata!N732&gt;0)</f>
        <v>0</v>
      </c>
      <c r="AO732">
        <f>AND(IF(Metadata!O732="",FALSE,TRUE),exact(Metadata!O732,"kg"))</f>
        <v>0</v>
      </c>
      <c r="AP732">
        <f>OR(AND(IF(Metadata!P732="",FALSE,TRUE),exact(Metadata!P732,"not provided")),IF(Metadata!P732="",FALSE,TRUE))</f>
        <v>0</v>
      </c>
      <c r="AQ732">
        <f>OR(AND(IF(Metadata!Q732="",FALSE,TRUE),exact(Metadata!Q732,"not provided")),IF(Metadata!Q732="",FALSE,TRUE))</f>
        <v>0</v>
      </c>
    </row>
    <row r="733" spans="1:43">
      <c r="A733" s="4">
        <f>IF(B733=" "," ",HYPERLINK(CONCATENATE("#metadata!",ADDRESS(INDEX($W$2:$W$1001,MATCH(ROWS($U$2:U733),$U$2:$U$1001,0),0),2)),INDEX($Z$2:$Z$1001,MATCH(ROWS($U$2:U733),$U$2:$U$1001,0),0)))</f>
        <v>0</v>
      </c>
      <c r="B733" s="5">
        <f>IF(OR(INDEX($V$2:$V$1001,MATCH(ROWS($U$2:U733),$U$2:$U$1001,0),1)&gt;=100000,INDEX($AB$1005:$AQ$1005,1,MATCH(COLUMNS($AB$1006:AB1006),$AB$1006:$AQ$1006,0))&gt;=100000), " ",IF(INDEX($AB$2:$AQ$1001,MATCH(ROWS($U$2:U733),$U$2:$U$1001,0),MATCH(COLUMNS($AB$1006:AB1006),$AB$1006:$AQ$1006,0)), HYPERLINK("#",""), HYPERLINK(CONCATENATE("#Metadata!", ADDRESS(INDEX($W$2:$W$1001,MATCH(ROWS($U$2:U733),$U$2:$U$1001,0),0), INDEX($AB$1004:$AQ$1004,1,MATCH(COLUMNS($AB$1006:AB1006),$AB$1006:$AQ$1006,0)))),"Fix")))</f>
        <v>0</v>
      </c>
      <c r="C733" s="5">
        <f>IF(OR(INDEX($V$2:$V$1001,MATCH(ROWS($U$2:U733),$U$2:$U$1001,0),1)&gt;=100000,INDEX($AB$1005:$AQ$1005,1,MATCH(COLUMNS($AB$1006:AC1006),$AB$1006:$AQ$1006,0))&gt;=100000), " ",IF(INDEX($AB$2:$AQ$1001,MATCH(ROWS($U$2:U733),$U$2:$U$1001,0),MATCH(COLUMNS($AB$1006:AC1006),$AB$1006:$AQ$1006,0)), HYPERLINK("#",""), HYPERLINK(CONCATENATE("#Metadata!", ADDRESS(INDEX($W$2:$W$1001,MATCH(ROWS($U$2:U733),$U$2:$U$1001,0),0), INDEX($AB$1004:$AQ$1004,1,MATCH(COLUMNS($AB$1006:AC1006),$AB$1006:$AQ$1006,0)))),"Fix")))</f>
        <v>0</v>
      </c>
      <c r="D733" s="5">
        <f>IF(OR(INDEX($V$2:$V$1001,MATCH(ROWS($U$2:U733),$U$2:$U$1001,0),1)&gt;=100000,INDEX($AB$1005:$AQ$1005,1,MATCH(COLUMNS($AB$1006:AD1006),$AB$1006:$AQ$1006,0))&gt;=100000), " ",IF(INDEX($AB$2:$AQ$1001,MATCH(ROWS($U$2:U733),$U$2:$U$1001,0),MATCH(COLUMNS($AB$1006:AD1006),$AB$1006:$AQ$1006,0)), HYPERLINK("#",""), HYPERLINK(CONCATENATE("#Metadata!", ADDRESS(INDEX($W$2:$W$1001,MATCH(ROWS($U$2:U733),$U$2:$U$1001,0),0), INDEX($AB$1004:$AQ$1004,1,MATCH(COLUMNS($AB$1006:AD1006),$AB$1006:$AQ$1006,0)))),"Fix")))</f>
        <v>0</v>
      </c>
      <c r="E733" s="5">
        <f>IF(OR(INDEX($V$2:$V$1001,MATCH(ROWS($U$2:U733),$U$2:$U$1001,0),1)&gt;=100000,INDEX($AB$1005:$AQ$1005,1,MATCH(COLUMNS($AB$1006:AE1006),$AB$1006:$AQ$1006,0))&gt;=100000), " ",IF(INDEX($AB$2:$AQ$1001,MATCH(ROWS($U$2:U733),$U$2:$U$1001,0),MATCH(COLUMNS($AB$1006:AE1006),$AB$1006:$AQ$1006,0)), HYPERLINK("#",""), HYPERLINK(CONCATENATE("#Metadata!", ADDRESS(INDEX($W$2:$W$1001,MATCH(ROWS($U$2:U733),$U$2:$U$1001,0),0), INDEX($AB$1004:$AQ$1004,1,MATCH(COLUMNS($AB$1006:AE1006),$AB$1006:$AQ$1006,0)))),"Fix")))</f>
        <v>0</v>
      </c>
      <c r="F733" s="5">
        <f>IF(OR(INDEX($V$2:$V$1001,MATCH(ROWS($U$2:U733),$U$2:$U$1001,0),1)&gt;=100000,INDEX($AB$1005:$AQ$1005,1,MATCH(COLUMNS($AB$1006:AF1006),$AB$1006:$AQ$1006,0))&gt;=100000), " ",IF(INDEX($AB$2:$AQ$1001,MATCH(ROWS($U$2:U733),$U$2:$U$1001,0),MATCH(COLUMNS($AB$1006:AF1006),$AB$1006:$AQ$1006,0)), HYPERLINK("#",""), HYPERLINK(CONCATENATE("#Metadata!", ADDRESS(INDEX($W$2:$W$1001,MATCH(ROWS($U$2:U733),$U$2:$U$1001,0),0), INDEX($AB$1004:$AQ$1004,1,MATCH(COLUMNS($AB$1006:AF1006),$AB$1006:$AQ$1006,0)))),"Fix")))</f>
        <v>0</v>
      </c>
      <c r="G733" s="5">
        <f>IF(OR(INDEX($V$2:$V$1001,MATCH(ROWS($U$2:U733),$U$2:$U$1001,0),1)&gt;=100000,INDEX($AB$1005:$AQ$1005,1,MATCH(COLUMNS($AB$1006:AG1006),$AB$1006:$AQ$1006,0))&gt;=100000), " ",IF(INDEX($AB$2:$AQ$1001,MATCH(ROWS($U$2:U733),$U$2:$U$1001,0),MATCH(COLUMNS($AB$1006:AG1006),$AB$1006:$AQ$1006,0)), HYPERLINK("#",""), HYPERLINK(CONCATENATE("#Metadata!", ADDRESS(INDEX($W$2:$W$1001,MATCH(ROWS($U$2:U733),$U$2:$U$1001,0),0), INDEX($AB$1004:$AQ$1004,1,MATCH(COLUMNS($AB$1006:AG1006),$AB$1006:$AQ$1006,0)))),"Fix")))</f>
        <v>0</v>
      </c>
      <c r="H733" s="5">
        <f>IF(OR(INDEX($V$2:$V$1001,MATCH(ROWS($U$2:U733),$U$2:$U$1001,0),1)&gt;=100000,INDEX($AB$1005:$AQ$1005,1,MATCH(COLUMNS($AB$1006:AH1006),$AB$1006:$AQ$1006,0))&gt;=100000), " ",IF(INDEX($AB$2:$AQ$1001,MATCH(ROWS($U$2:U733),$U$2:$U$1001,0),MATCH(COLUMNS($AB$1006:AH1006),$AB$1006:$AQ$1006,0)), HYPERLINK("#",""), HYPERLINK(CONCATENATE("#Metadata!", ADDRESS(INDEX($W$2:$W$1001,MATCH(ROWS($U$2:U733),$U$2:$U$1001,0),0), INDEX($AB$1004:$AQ$1004,1,MATCH(COLUMNS($AB$1006:AH1006),$AB$1006:$AQ$1006,0)))),"Fix")))</f>
        <v>0</v>
      </c>
      <c r="I733" s="5">
        <f>IF(OR(INDEX($V$2:$V$1001,MATCH(ROWS($U$2:U733),$U$2:$U$1001,0),1)&gt;=100000,INDEX($AB$1005:$AQ$1005,1,MATCH(COLUMNS($AB$1006:AI1006),$AB$1006:$AQ$1006,0))&gt;=100000), " ",IF(INDEX($AB$2:$AQ$1001,MATCH(ROWS($U$2:U733),$U$2:$U$1001,0),MATCH(COLUMNS($AB$1006:AI1006),$AB$1006:$AQ$1006,0)), HYPERLINK("#",""), HYPERLINK(CONCATENATE("#Metadata!", ADDRESS(INDEX($W$2:$W$1001,MATCH(ROWS($U$2:U733),$U$2:$U$1001,0),0), INDEX($AB$1004:$AQ$1004,1,MATCH(COLUMNS($AB$1006:AI1006),$AB$1006:$AQ$1006,0)))),"Fix")))</f>
        <v>0</v>
      </c>
      <c r="J733" s="5">
        <f>IF(OR(INDEX($V$2:$V$1001,MATCH(ROWS($U$2:U733),$U$2:$U$1001,0),1)&gt;=100000,INDEX($AB$1005:$AQ$1005,1,MATCH(COLUMNS($AB$1006:AJ1006),$AB$1006:$AQ$1006,0))&gt;=100000), " ",IF(INDEX($AB$2:$AQ$1001,MATCH(ROWS($U$2:U733),$U$2:$U$1001,0),MATCH(COLUMNS($AB$1006:AJ1006),$AB$1006:$AQ$1006,0)), HYPERLINK("#",""), HYPERLINK(CONCATENATE("#Metadata!", ADDRESS(INDEX($W$2:$W$1001,MATCH(ROWS($U$2:U733),$U$2:$U$1001,0),0), INDEX($AB$1004:$AQ$1004,1,MATCH(COLUMNS($AB$1006:AJ1006),$AB$1006:$AQ$1006,0)))),"Fix")))</f>
        <v>0</v>
      </c>
      <c r="K733" s="5">
        <f>IF(OR(INDEX($V$2:$V$1001,MATCH(ROWS($U$2:U733),$U$2:$U$1001,0),1)&gt;=100000,INDEX($AB$1005:$AQ$1005,1,MATCH(COLUMNS($AB$1006:AK1006),$AB$1006:$AQ$1006,0))&gt;=100000), " ",IF(INDEX($AB$2:$AQ$1001,MATCH(ROWS($U$2:U733),$U$2:$U$1001,0),MATCH(COLUMNS($AB$1006:AK1006),$AB$1006:$AQ$1006,0)), HYPERLINK("#",""), HYPERLINK(CONCATENATE("#Metadata!", ADDRESS(INDEX($W$2:$W$1001,MATCH(ROWS($U$2:U733),$U$2:$U$1001,0),0), INDEX($AB$1004:$AQ$1004,1,MATCH(COLUMNS($AB$1006:AK1006),$AB$1006:$AQ$1006,0)))),"Fix")))</f>
        <v>0</v>
      </c>
      <c r="L733" s="5">
        <f>IF(OR(INDEX($V$2:$V$1001,MATCH(ROWS($U$2:U733),$U$2:$U$1001,0),1)&gt;=100000,INDEX($AB$1005:$AQ$1005,1,MATCH(COLUMNS($AB$1006:AL1006),$AB$1006:$AQ$1006,0))&gt;=100000), " ",IF(INDEX($AB$2:$AQ$1001,MATCH(ROWS($U$2:U733),$U$2:$U$1001,0),MATCH(COLUMNS($AB$1006:AL1006),$AB$1006:$AQ$1006,0)), HYPERLINK("#",""), HYPERLINK(CONCATENATE("#Metadata!", ADDRESS(INDEX($W$2:$W$1001,MATCH(ROWS($U$2:U733),$U$2:$U$1001,0),0), INDEX($AB$1004:$AQ$1004,1,MATCH(COLUMNS($AB$1006:AL1006),$AB$1006:$AQ$1006,0)))),"Fix")))</f>
        <v>0</v>
      </c>
      <c r="M733" s="5">
        <f>IF(OR(INDEX($V$2:$V$1001,MATCH(ROWS($U$2:U733),$U$2:$U$1001,0),1)&gt;=100000,INDEX($AB$1005:$AQ$1005,1,MATCH(COLUMNS($AB$1006:AM1006),$AB$1006:$AQ$1006,0))&gt;=100000), " ",IF(INDEX($AB$2:$AQ$1001,MATCH(ROWS($U$2:U733),$U$2:$U$1001,0),MATCH(COLUMNS($AB$1006:AM1006),$AB$1006:$AQ$1006,0)), HYPERLINK("#",""), HYPERLINK(CONCATENATE("#Metadata!", ADDRESS(INDEX($W$2:$W$1001,MATCH(ROWS($U$2:U733),$U$2:$U$1001,0),0), INDEX($AB$1004:$AQ$1004,1,MATCH(COLUMNS($AB$1006:AM1006),$AB$1006:$AQ$1006,0)))),"Fix")))</f>
        <v>0</v>
      </c>
      <c r="N733" s="5">
        <f>IF(OR(INDEX($V$2:$V$1001,MATCH(ROWS($U$2:U733),$U$2:$U$1001,0),1)&gt;=100000,INDEX($AB$1005:$AQ$1005,1,MATCH(COLUMNS($AB$1006:AN1006),$AB$1006:$AQ$1006,0))&gt;=100000), " ",IF(INDEX($AB$2:$AQ$1001,MATCH(ROWS($U$2:U733),$U$2:$U$1001,0),MATCH(COLUMNS($AB$1006:AN1006),$AB$1006:$AQ$1006,0)), HYPERLINK("#",""), HYPERLINK(CONCATENATE("#Metadata!", ADDRESS(INDEX($W$2:$W$1001,MATCH(ROWS($U$2:U733),$U$2:$U$1001,0),0), INDEX($AB$1004:$AQ$1004,1,MATCH(COLUMNS($AB$1006:AN1006),$AB$1006:$AQ$1006,0)))),"Fix")))</f>
        <v>0</v>
      </c>
      <c r="O733" s="5">
        <f>IF(OR(INDEX($V$2:$V$1001,MATCH(ROWS($U$2:U733),$U$2:$U$1001,0),1)&gt;=100000,INDEX($AB$1005:$AQ$1005,1,MATCH(COLUMNS($AB$1006:AO1006),$AB$1006:$AQ$1006,0))&gt;=100000), " ",IF(INDEX($AB$2:$AQ$1001,MATCH(ROWS($U$2:U733),$U$2:$U$1001,0),MATCH(COLUMNS($AB$1006:AO1006),$AB$1006:$AQ$1006,0)), HYPERLINK("#",""), HYPERLINK(CONCATENATE("#Metadata!", ADDRESS(INDEX($W$2:$W$1001,MATCH(ROWS($U$2:U733),$U$2:$U$1001,0),0), INDEX($AB$1004:$AQ$1004,1,MATCH(COLUMNS($AB$1006:AO1006),$AB$1006:$AQ$1006,0)))),"Fix")))</f>
        <v>0</v>
      </c>
      <c r="P733" s="5">
        <f>IF(OR(INDEX($V$2:$V$1001,MATCH(ROWS($U$2:U733),$U$2:$U$1001,0),1)&gt;=100000,INDEX($AB$1005:$AQ$1005,1,MATCH(COLUMNS($AB$1006:AP1006),$AB$1006:$AQ$1006,0))&gt;=100000), " ",IF(INDEX($AB$2:$AQ$1001,MATCH(ROWS($U$2:U733),$U$2:$U$1001,0),MATCH(COLUMNS($AB$1006:AP1006),$AB$1006:$AQ$1006,0)), HYPERLINK("#",""), HYPERLINK(CONCATENATE("#Metadata!", ADDRESS(INDEX($W$2:$W$1001,MATCH(ROWS($U$2:U733),$U$2:$U$1001,0),0), INDEX($AB$1004:$AQ$1004,1,MATCH(COLUMNS($AB$1006:AP1006),$AB$1006:$AQ$1006,0)))),"Fix")))</f>
        <v>0</v>
      </c>
      <c r="Q733" s="5">
        <f>IF(OR(INDEX($V$2:$V$1001,MATCH(ROWS($U$2:U733),$U$2:$U$1001,0),1)&gt;=100000,INDEX($AB$1005:$AQ$1005,1,MATCH(COLUMNS($AB$1006:AQ1006),$AB$1006:$AQ$1006,0))&gt;=100000), " ",IF(INDEX($AB$2:$AQ$1001,MATCH(ROWS($U$2:U733),$U$2:$U$1001,0),MATCH(COLUMNS($AB$1006:AQ1006),$AB$1006:$AQ$1006,0)), HYPERLINK("#",""), HYPERLINK(CONCATENATE("#Metadata!", ADDRESS(INDEX($W$2:$W$1001,MATCH(ROWS($U$2:U733),$U$2:$U$1001,0),0), INDEX($AB$1004:$AQ$1004,1,MATCH(COLUMNS($AB$1006:AQ1006),$AB$1006:$AQ$1006,0)))),"Fix")))</f>
        <v>0</v>
      </c>
      <c r="U733">
        <v>0</v>
      </c>
      <c r="V733">
        <v>0</v>
      </c>
      <c r="W733">
        <v>0</v>
      </c>
      <c r="X733">
        <f>IF(Y733,TRUE,AND(AB733:AQ733))</f>
        <v>0</v>
      </c>
      <c r="Y733">
        <f>COUNTBLANK(Metadata!B733:Q733)=COLUMNS(Metadata!B733:Q733)</f>
        <v>0</v>
      </c>
      <c r="Z733">
        <v>0</v>
      </c>
      <c r="AB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AC733">
        <f>AND(IF(Metadata!C733="",FALSE,TRUE),exact(Metadata!C733,"urban biome"))</f>
        <v>0</v>
      </c>
      <c r="AD733">
        <f>AND(IF(Metadata!D733="",FALSE,TRUE),exact(Metadata!D733,"human-associated habitat"))</f>
        <v>0</v>
      </c>
      <c r="AE733">
        <f>AND(IF(Metadata!E733="",FALSE,TRUE),OR(exact(Metadata!E733,"human-associated"),exact(Metadata!E733,"human-skin"),exact(Metadata!E733,"human-oral"),exact(Metadata!E733,"human-gut"),exact(Metadata!E733,"human-vaginal")))</f>
        <v>0</v>
      </c>
      <c r="AF733">
        <f>AND(IF(Metadata!F733="",FALSE,ISNUMBER(VALUE(Metadata!F733))),Metadata!F733&gt;0)</f>
        <v>0</v>
      </c>
      <c r="AG733">
        <f>AND(IF(Metadata!G733="",FALSE,TRUE),exact(Metadata!G733,"years"))</f>
        <v>0</v>
      </c>
      <c r="AH733">
        <f>OR(AND(IF(Metadata!H733="",FALSE,TRUE),OR(exact(Metadata!H733,"not applicable"),exact(Metadata!H733,"not collected"),exact(Metadata!H733,"not provided"),exact(Metadata!H733,"restricted access"))),AND(IF(Metadata!H733="",FALSE,ISNUMBER(VALUE(Metadata!H733))),Metadata!H733&gt;0))</f>
        <v>0</v>
      </c>
      <c r="AI733">
        <f>AND(IF(Metadata!I733="",FALSE,TRUE),exact(Metadata!I733,"human"))</f>
        <v>0</v>
      </c>
      <c r="AJ733">
        <f>AND(IF(Metadata!J733="",FALSE,ISNUMBER(VALUE(Metadata!J733))),Metadata!J733&gt;0)</f>
        <v>0</v>
      </c>
      <c r="AK733">
        <f>AND(IF(Metadata!K733="",FALSE,TRUE),exact(Metadata!K733,"cm"))</f>
        <v>0</v>
      </c>
      <c r="AL733">
        <f>AND(IF(Metadata!L733="",FALSE,TRUE),exact(Metadata!L733,"Homo sapiens"))</f>
        <v>0</v>
      </c>
      <c r="AM733">
        <f>AND(IF(Metadata!M733="",FALSE,TRUE),exact(Metadata!M733,"9606"))</f>
        <v>0</v>
      </c>
      <c r="AN733">
        <f>AND(IF(Metadata!N733="",FALSE,ISNUMBER(VALUE(Metadata!N733))),Metadata!N733&gt;0)</f>
        <v>0</v>
      </c>
      <c r="AO733">
        <f>AND(IF(Metadata!O733="",FALSE,TRUE),exact(Metadata!O733,"kg"))</f>
        <v>0</v>
      </c>
      <c r="AP733">
        <f>OR(AND(IF(Metadata!P733="",FALSE,TRUE),exact(Metadata!P733,"not provided")),IF(Metadata!P733="",FALSE,TRUE))</f>
        <v>0</v>
      </c>
      <c r="AQ733">
        <f>OR(AND(IF(Metadata!Q733="",FALSE,TRUE),exact(Metadata!Q733,"not provided")),IF(Metadata!Q733="",FALSE,TRUE))</f>
        <v>0</v>
      </c>
    </row>
    <row r="734" spans="1:43">
      <c r="A734" s="4">
        <f>IF(B734=" "," ",HYPERLINK(CONCATENATE("#metadata!",ADDRESS(INDEX($W$2:$W$1001,MATCH(ROWS($U$2:U734),$U$2:$U$1001,0),0),2)),INDEX($Z$2:$Z$1001,MATCH(ROWS($U$2:U734),$U$2:$U$1001,0),0)))</f>
        <v>0</v>
      </c>
      <c r="B734" s="5">
        <f>IF(OR(INDEX($V$2:$V$1001,MATCH(ROWS($U$2:U734),$U$2:$U$1001,0),1)&gt;=100000,INDEX($AB$1005:$AQ$1005,1,MATCH(COLUMNS($AB$1006:AB1006),$AB$1006:$AQ$1006,0))&gt;=100000), " ",IF(INDEX($AB$2:$AQ$1001,MATCH(ROWS($U$2:U734),$U$2:$U$1001,0),MATCH(COLUMNS($AB$1006:AB1006),$AB$1006:$AQ$1006,0)), HYPERLINK("#",""), HYPERLINK(CONCATENATE("#Metadata!", ADDRESS(INDEX($W$2:$W$1001,MATCH(ROWS($U$2:U734),$U$2:$U$1001,0),0), INDEX($AB$1004:$AQ$1004,1,MATCH(COLUMNS($AB$1006:AB1006),$AB$1006:$AQ$1006,0)))),"Fix")))</f>
        <v>0</v>
      </c>
      <c r="C734" s="5">
        <f>IF(OR(INDEX($V$2:$V$1001,MATCH(ROWS($U$2:U734),$U$2:$U$1001,0),1)&gt;=100000,INDEX($AB$1005:$AQ$1005,1,MATCH(COLUMNS($AB$1006:AC1006),$AB$1006:$AQ$1006,0))&gt;=100000), " ",IF(INDEX($AB$2:$AQ$1001,MATCH(ROWS($U$2:U734),$U$2:$U$1001,0),MATCH(COLUMNS($AB$1006:AC1006),$AB$1006:$AQ$1006,0)), HYPERLINK("#",""), HYPERLINK(CONCATENATE("#Metadata!", ADDRESS(INDEX($W$2:$W$1001,MATCH(ROWS($U$2:U734),$U$2:$U$1001,0),0), INDEX($AB$1004:$AQ$1004,1,MATCH(COLUMNS($AB$1006:AC1006),$AB$1006:$AQ$1006,0)))),"Fix")))</f>
        <v>0</v>
      </c>
      <c r="D734" s="5">
        <f>IF(OR(INDEX($V$2:$V$1001,MATCH(ROWS($U$2:U734),$U$2:$U$1001,0),1)&gt;=100000,INDEX($AB$1005:$AQ$1005,1,MATCH(COLUMNS($AB$1006:AD1006),$AB$1006:$AQ$1006,0))&gt;=100000), " ",IF(INDEX($AB$2:$AQ$1001,MATCH(ROWS($U$2:U734),$U$2:$U$1001,0),MATCH(COLUMNS($AB$1006:AD1006),$AB$1006:$AQ$1006,0)), HYPERLINK("#",""), HYPERLINK(CONCATENATE("#Metadata!", ADDRESS(INDEX($W$2:$W$1001,MATCH(ROWS($U$2:U734),$U$2:$U$1001,0),0), INDEX($AB$1004:$AQ$1004,1,MATCH(COLUMNS($AB$1006:AD1006),$AB$1006:$AQ$1006,0)))),"Fix")))</f>
        <v>0</v>
      </c>
      <c r="E734" s="5">
        <f>IF(OR(INDEX($V$2:$V$1001,MATCH(ROWS($U$2:U734),$U$2:$U$1001,0),1)&gt;=100000,INDEX($AB$1005:$AQ$1005,1,MATCH(COLUMNS($AB$1006:AE1006),$AB$1006:$AQ$1006,0))&gt;=100000), " ",IF(INDEX($AB$2:$AQ$1001,MATCH(ROWS($U$2:U734),$U$2:$U$1001,0),MATCH(COLUMNS($AB$1006:AE1006),$AB$1006:$AQ$1006,0)), HYPERLINK("#",""), HYPERLINK(CONCATENATE("#Metadata!", ADDRESS(INDEX($W$2:$W$1001,MATCH(ROWS($U$2:U734),$U$2:$U$1001,0),0), INDEX($AB$1004:$AQ$1004,1,MATCH(COLUMNS($AB$1006:AE1006),$AB$1006:$AQ$1006,0)))),"Fix")))</f>
        <v>0</v>
      </c>
      <c r="F734" s="5">
        <f>IF(OR(INDEX($V$2:$V$1001,MATCH(ROWS($U$2:U734),$U$2:$U$1001,0),1)&gt;=100000,INDEX($AB$1005:$AQ$1005,1,MATCH(COLUMNS($AB$1006:AF1006),$AB$1006:$AQ$1006,0))&gt;=100000), " ",IF(INDEX($AB$2:$AQ$1001,MATCH(ROWS($U$2:U734),$U$2:$U$1001,0),MATCH(COLUMNS($AB$1006:AF1006),$AB$1006:$AQ$1006,0)), HYPERLINK("#",""), HYPERLINK(CONCATENATE("#Metadata!", ADDRESS(INDEX($W$2:$W$1001,MATCH(ROWS($U$2:U734),$U$2:$U$1001,0),0), INDEX($AB$1004:$AQ$1004,1,MATCH(COLUMNS($AB$1006:AF1006),$AB$1006:$AQ$1006,0)))),"Fix")))</f>
        <v>0</v>
      </c>
      <c r="G734" s="5">
        <f>IF(OR(INDEX($V$2:$V$1001,MATCH(ROWS($U$2:U734),$U$2:$U$1001,0),1)&gt;=100000,INDEX($AB$1005:$AQ$1005,1,MATCH(COLUMNS($AB$1006:AG1006),$AB$1006:$AQ$1006,0))&gt;=100000), " ",IF(INDEX($AB$2:$AQ$1001,MATCH(ROWS($U$2:U734),$U$2:$U$1001,0),MATCH(COLUMNS($AB$1006:AG1006),$AB$1006:$AQ$1006,0)), HYPERLINK("#",""), HYPERLINK(CONCATENATE("#Metadata!", ADDRESS(INDEX($W$2:$W$1001,MATCH(ROWS($U$2:U734),$U$2:$U$1001,0),0), INDEX($AB$1004:$AQ$1004,1,MATCH(COLUMNS($AB$1006:AG1006),$AB$1006:$AQ$1006,0)))),"Fix")))</f>
        <v>0</v>
      </c>
      <c r="H734" s="5">
        <f>IF(OR(INDEX($V$2:$V$1001,MATCH(ROWS($U$2:U734),$U$2:$U$1001,0),1)&gt;=100000,INDEX($AB$1005:$AQ$1005,1,MATCH(COLUMNS($AB$1006:AH1006),$AB$1006:$AQ$1006,0))&gt;=100000), " ",IF(INDEX($AB$2:$AQ$1001,MATCH(ROWS($U$2:U734),$U$2:$U$1001,0),MATCH(COLUMNS($AB$1006:AH1006),$AB$1006:$AQ$1006,0)), HYPERLINK("#",""), HYPERLINK(CONCATENATE("#Metadata!", ADDRESS(INDEX($W$2:$W$1001,MATCH(ROWS($U$2:U734),$U$2:$U$1001,0),0), INDEX($AB$1004:$AQ$1004,1,MATCH(COLUMNS($AB$1006:AH1006),$AB$1006:$AQ$1006,0)))),"Fix")))</f>
        <v>0</v>
      </c>
      <c r="I734" s="5">
        <f>IF(OR(INDEX($V$2:$V$1001,MATCH(ROWS($U$2:U734),$U$2:$U$1001,0),1)&gt;=100000,INDEX($AB$1005:$AQ$1005,1,MATCH(COLUMNS($AB$1006:AI1006),$AB$1006:$AQ$1006,0))&gt;=100000), " ",IF(INDEX($AB$2:$AQ$1001,MATCH(ROWS($U$2:U734),$U$2:$U$1001,0),MATCH(COLUMNS($AB$1006:AI1006),$AB$1006:$AQ$1006,0)), HYPERLINK("#",""), HYPERLINK(CONCATENATE("#Metadata!", ADDRESS(INDEX($W$2:$W$1001,MATCH(ROWS($U$2:U734),$U$2:$U$1001,0),0), INDEX($AB$1004:$AQ$1004,1,MATCH(COLUMNS($AB$1006:AI1006),$AB$1006:$AQ$1006,0)))),"Fix")))</f>
        <v>0</v>
      </c>
      <c r="J734" s="5">
        <f>IF(OR(INDEX($V$2:$V$1001,MATCH(ROWS($U$2:U734),$U$2:$U$1001,0),1)&gt;=100000,INDEX($AB$1005:$AQ$1005,1,MATCH(COLUMNS($AB$1006:AJ1006),$AB$1006:$AQ$1006,0))&gt;=100000), " ",IF(INDEX($AB$2:$AQ$1001,MATCH(ROWS($U$2:U734),$U$2:$U$1001,0),MATCH(COLUMNS($AB$1006:AJ1006),$AB$1006:$AQ$1006,0)), HYPERLINK("#",""), HYPERLINK(CONCATENATE("#Metadata!", ADDRESS(INDEX($W$2:$W$1001,MATCH(ROWS($U$2:U734),$U$2:$U$1001,0),0), INDEX($AB$1004:$AQ$1004,1,MATCH(COLUMNS($AB$1006:AJ1006),$AB$1006:$AQ$1006,0)))),"Fix")))</f>
        <v>0</v>
      </c>
      <c r="K734" s="5">
        <f>IF(OR(INDEX($V$2:$V$1001,MATCH(ROWS($U$2:U734),$U$2:$U$1001,0),1)&gt;=100000,INDEX($AB$1005:$AQ$1005,1,MATCH(COLUMNS($AB$1006:AK1006),$AB$1006:$AQ$1006,0))&gt;=100000), " ",IF(INDEX($AB$2:$AQ$1001,MATCH(ROWS($U$2:U734),$U$2:$U$1001,0),MATCH(COLUMNS($AB$1006:AK1006),$AB$1006:$AQ$1006,0)), HYPERLINK("#",""), HYPERLINK(CONCATENATE("#Metadata!", ADDRESS(INDEX($W$2:$W$1001,MATCH(ROWS($U$2:U734),$U$2:$U$1001,0),0), INDEX($AB$1004:$AQ$1004,1,MATCH(COLUMNS($AB$1006:AK1006),$AB$1006:$AQ$1006,0)))),"Fix")))</f>
        <v>0</v>
      </c>
      <c r="L734" s="5">
        <f>IF(OR(INDEX($V$2:$V$1001,MATCH(ROWS($U$2:U734),$U$2:$U$1001,0),1)&gt;=100000,INDEX($AB$1005:$AQ$1005,1,MATCH(COLUMNS($AB$1006:AL1006),$AB$1006:$AQ$1006,0))&gt;=100000), " ",IF(INDEX($AB$2:$AQ$1001,MATCH(ROWS($U$2:U734),$U$2:$U$1001,0),MATCH(COLUMNS($AB$1006:AL1006),$AB$1006:$AQ$1006,0)), HYPERLINK("#",""), HYPERLINK(CONCATENATE("#Metadata!", ADDRESS(INDEX($W$2:$W$1001,MATCH(ROWS($U$2:U734),$U$2:$U$1001,0),0), INDEX($AB$1004:$AQ$1004,1,MATCH(COLUMNS($AB$1006:AL1006),$AB$1006:$AQ$1006,0)))),"Fix")))</f>
        <v>0</v>
      </c>
      <c r="M734" s="5">
        <f>IF(OR(INDEX($V$2:$V$1001,MATCH(ROWS($U$2:U734),$U$2:$U$1001,0),1)&gt;=100000,INDEX($AB$1005:$AQ$1005,1,MATCH(COLUMNS($AB$1006:AM1006),$AB$1006:$AQ$1006,0))&gt;=100000), " ",IF(INDEX($AB$2:$AQ$1001,MATCH(ROWS($U$2:U734),$U$2:$U$1001,0),MATCH(COLUMNS($AB$1006:AM1006),$AB$1006:$AQ$1006,0)), HYPERLINK("#",""), HYPERLINK(CONCATENATE("#Metadata!", ADDRESS(INDEX($W$2:$W$1001,MATCH(ROWS($U$2:U734),$U$2:$U$1001,0),0), INDEX($AB$1004:$AQ$1004,1,MATCH(COLUMNS($AB$1006:AM1006),$AB$1006:$AQ$1006,0)))),"Fix")))</f>
        <v>0</v>
      </c>
      <c r="N734" s="5">
        <f>IF(OR(INDEX($V$2:$V$1001,MATCH(ROWS($U$2:U734),$U$2:$U$1001,0),1)&gt;=100000,INDEX($AB$1005:$AQ$1005,1,MATCH(COLUMNS($AB$1006:AN1006),$AB$1006:$AQ$1006,0))&gt;=100000), " ",IF(INDEX($AB$2:$AQ$1001,MATCH(ROWS($U$2:U734),$U$2:$U$1001,0),MATCH(COLUMNS($AB$1006:AN1006),$AB$1006:$AQ$1006,0)), HYPERLINK("#",""), HYPERLINK(CONCATENATE("#Metadata!", ADDRESS(INDEX($W$2:$W$1001,MATCH(ROWS($U$2:U734),$U$2:$U$1001,0),0), INDEX($AB$1004:$AQ$1004,1,MATCH(COLUMNS($AB$1006:AN1006),$AB$1006:$AQ$1006,0)))),"Fix")))</f>
        <v>0</v>
      </c>
      <c r="O734" s="5">
        <f>IF(OR(INDEX($V$2:$V$1001,MATCH(ROWS($U$2:U734),$U$2:$U$1001,0),1)&gt;=100000,INDEX($AB$1005:$AQ$1005,1,MATCH(COLUMNS($AB$1006:AO1006),$AB$1006:$AQ$1006,0))&gt;=100000), " ",IF(INDEX($AB$2:$AQ$1001,MATCH(ROWS($U$2:U734),$U$2:$U$1001,0),MATCH(COLUMNS($AB$1006:AO1006),$AB$1006:$AQ$1006,0)), HYPERLINK("#",""), HYPERLINK(CONCATENATE("#Metadata!", ADDRESS(INDEX($W$2:$W$1001,MATCH(ROWS($U$2:U734),$U$2:$U$1001,0),0), INDEX($AB$1004:$AQ$1004,1,MATCH(COLUMNS($AB$1006:AO1006),$AB$1006:$AQ$1006,0)))),"Fix")))</f>
        <v>0</v>
      </c>
      <c r="P734" s="5">
        <f>IF(OR(INDEX($V$2:$V$1001,MATCH(ROWS($U$2:U734),$U$2:$U$1001,0),1)&gt;=100000,INDEX($AB$1005:$AQ$1005,1,MATCH(COLUMNS($AB$1006:AP1006),$AB$1006:$AQ$1006,0))&gt;=100000), " ",IF(INDEX($AB$2:$AQ$1001,MATCH(ROWS($U$2:U734),$U$2:$U$1001,0),MATCH(COLUMNS($AB$1006:AP1006),$AB$1006:$AQ$1006,0)), HYPERLINK("#",""), HYPERLINK(CONCATENATE("#Metadata!", ADDRESS(INDEX($W$2:$W$1001,MATCH(ROWS($U$2:U734),$U$2:$U$1001,0),0), INDEX($AB$1004:$AQ$1004,1,MATCH(COLUMNS($AB$1006:AP1006),$AB$1006:$AQ$1006,0)))),"Fix")))</f>
        <v>0</v>
      </c>
      <c r="Q734" s="5">
        <f>IF(OR(INDEX($V$2:$V$1001,MATCH(ROWS($U$2:U734),$U$2:$U$1001,0),1)&gt;=100000,INDEX($AB$1005:$AQ$1005,1,MATCH(COLUMNS($AB$1006:AQ1006),$AB$1006:$AQ$1006,0))&gt;=100000), " ",IF(INDEX($AB$2:$AQ$1001,MATCH(ROWS($U$2:U734),$U$2:$U$1001,0),MATCH(COLUMNS($AB$1006:AQ1006),$AB$1006:$AQ$1006,0)), HYPERLINK("#",""), HYPERLINK(CONCATENATE("#Metadata!", ADDRESS(INDEX($W$2:$W$1001,MATCH(ROWS($U$2:U734),$U$2:$U$1001,0),0), INDEX($AB$1004:$AQ$1004,1,MATCH(COLUMNS($AB$1006:AQ1006),$AB$1006:$AQ$1006,0)))),"Fix")))</f>
        <v>0</v>
      </c>
      <c r="U734">
        <v>0</v>
      </c>
      <c r="V734">
        <v>0</v>
      </c>
      <c r="W734">
        <v>0</v>
      </c>
      <c r="X734">
        <f>IF(Y734,TRUE,AND(AB734:AQ734))</f>
        <v>0</v>
      </c>
      <c r="Y734">
        <f>COUNTBLANK(Metadata!B734:Q734)=COLUMNS(Metadata!B734:Q734)</f>
        <v>0</v>
      </c>
      <c r="Z734">
        <v>0</v>
      </c>
      <c r="AB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AC734">
        <f>AND(IF(Metadata!C734="",FALSE,TRUE),exact(Metadata!C734,"urban biome"))</f>
        <v>0</v>
      </c>
      <c r="AD734">
        <f>AND(IF(Metadata!D734="",FALSE,TRUE),exact(Metadata!D734,"human-associated habitat"))</f>
        <v>0</v>
      </c>
      <c r="AE734">
        <f>AND(IF(Metadata!E734="",FALSE,TRUE),OR(exact(Metadata!E734,"human-associated"),exact(Metadata!E734,"human-skin"),exact(Metadata!E734,"human-oral"),exact(Metadata!E734,"human-gut"),exact(Metadata!E734,"human-vaginal")))</f>
        <v>0</v>
      </c>
      <c r="AF734">
        <f>AND(IF(Metadata!F734="",FALSE,ISNUMBER(VALUE(Metadata!F734))),Metadata!F734&gt;0)</f>
        <v>0</v>
      </c>
      <c r="AG734">
        <f>AND(IF(Metadata!G734="",FALSE,TRUE),exact(Metadata!G734,"years"))</f>
        <v>0</v>
      </c>
      <c r="AH734">
        <f>OR(AND(IF(Metadata!H734="",FALSE,TRUE),OR(exact(Metadata!H734,"not applicable"),exact(Metadata!H734,"not collected"),exact(Metadata!H734,"not provided"),exact(Metadata!H734,"restricted access"))),AND(IF(Metadata!H734="",FALSE,ISNUMBER(VALUE(Metadata!H734))),Metadata!H734&gt;0))</f>
        <v>0</v>
      </c>
      <c r="AI734">
        <f>AND(IF(Metadata!I734="",FALSE,TRUE),exact(Metadata!I734,"human"))</f>
        <v>0</v>
      </c>
      <c r="AJ734">
        <f>AND(IF(Metadata!J734="",FALSE,ISNUMBER(VALUE(Metadata!J734))),Metadata!J734&gt;0)</f>
        <v>0</v>
      </c>
      <c r="AK734">
        <f>AND(IF(Metadata!K734="",FALSE,TRUE),exact(Metadata!K734,"cm"))</f>
        <v>0</v>
      </c>
      <c r="AL734">
        <f>AND(IF(Metadata!L734="",FALSE,TRUE),exact(Metadata!L734,"Homo sapiens"))</f>
        <v>0</v>
      </c>
      <c r="AM734">
        <f>AND(IF(Metadata!M734="",FALSE,TRUE),exact(Metadata!M734,"9606"))</f>
        <v>0</v>
      </c>
      <c r="AN734">
        <f>AND(IF(Metadata!N734="",FALSE,ISNUMBER(VALUE(Metadata!N734))),Metadata!N734&gt;0)</f>
        <v>0</v>
      </c>
      <c r="AO734">
        <f>AND(IF(Metadata!O734="",FALSE,TRUE),exact(Metadata!O734,"kg"))</f>
        <v>0</v>
      </c>
      <c r="AP734">
        <f>OR(AND(IF(Metadata!P734="",FALSE,TRUE),exact(Metadata!P734,"not provided")),IF(Metadata!P734="",FALSE,TRUE))</f>
        <v>0</v>
      </c>
      <c r="AQ734">
        <f>OR(AND(IF(Metadata!Q734="",FALSE,TRUE),exact(Metadata!Q734,"not provided")),IF(Metadata!Q734="",FALSE,TRUE))</f>
        <v>0</v>
      </c>
    </row>
    <row r="735" spans="1:43">
      <c r="A735" s="4">
        <f>IF(B735=" "," ",HYPERLINK(CONCATENATE("#metadata!",ADDRESS(INDEX($W$2:$W$1001,MATCH(ROWS($U$2:U735),$U$2:$U$1001,0),0),2)),INDEX($Z$2:$Z$1001,MATCH(ROWS($U$2:U735),$U$2:$U$1001,0),0)))</f>
        <v>0</v>
      </c>
      <c r="B735" s="5">
        <f>IF(OR(INDEX($V$2:$V$1001,MATCH(ROWS($U$2:U735),$U$2:$U$1001,0),1)&gt;=100000,INDEX($AB$1005:$AQ$1005,1,MATCH(COLUMNS($AB$1006:AB1006),$AB$1006:$AQ$1006,0))&gt;=100000), " ",IF(INDEX($AB$2:$AQ$1001,MATCH(ROWS($U$2:U735),$U$2:$U$1001,0),MATCH(COLUMNS($AB$1006:AB1006),$AB$1006:$AQ$1006,0)), HYPERLINK("#",""), HYPERLINK(CONCATENATE("#Metadata!", ADDRESS(INDEX($W$2:$W$1001,MATCH(ROWS($U$2:U735),$U$2:$U$1001,0),0), INDEX($AB$1004:$AQ$1004,1,MATCH(COLUMNS($AB$1006:AB1006),$AB$1006:$AQ$1006,0)))),"Fix")))</f>
        <v>0</v>
      </c>
      <c r="C735" s="5">
        <f>IF(OR(INDEX($V$2:$V$1001,MATCH(ROWS($U$2:U735),$U$2:$U$1001,0),1)&gt;=100000,INDEX($AB$1005:$AQ$1005,1,MATCH(COLUMNS($AB$1006:AC1006),$AB$1006:$AQ$1006,0))&gt;=100000), " ",IF(INDEX($AB$2:$AQ$1001,MATCH(ROWS($U$2:U735),$U$2:$U$1001,0),MATCH(COLUMNS($AB$1006:AC1006),$AB$1006:$AQ$1006,0)), HYPERLINK("#",""), HYPERLINK(CONCATENATE("#Metadata!", ADDRESS(INDEX($W$2:$W$1001,MATCH(ROWS($U$2:U735),$U$2:$U$1001,0),0), INDEX($AB$1004:$AQ$1004,1,MATCH(COLUMNS($AB$1006:AC1006),$AB$1006:$AQ$1006,0)))),"Fix")))</f>
        <v>0</v>
      </c>
      <c r="D735" s="5">
        <f>IF(OR(INDEX($V$2:$V$1001,MATCH(ROWS($U$2:U735),$U$2:$U$1001,0),1)&gt;=100000,INDEX($AB$1005:$AQ$1005,1,MATCH(COLUMNS($AB$1006:AD1006),$AB$1006:$AQ$1006,0))&gt;=100000), " ",IF(INDEX($AB$2:$AQ$1001,MATCH(ROWS($U$2:U735),$U$2:$U$1001,0),MATCH(COLUMNS($AB$1006:AD1006),$AB$1006:$AQ$1006,0)), HYPERLINK("#",""), HYPERLINK(CONCATENATE("#Metadata!", ADDRESS(INDEX($W$2:$W$1001,MATCH(ROWS($U$2:U735),$U$2:$U$1001,0),0), INDEX($AB$1004:$AQ$1004,1,MATCH(COLUMNS($AB$1006:AD1006),$AB$1006:$AQ$1006,0)))),"Fix")))</f>
        <v>0</v>
      </c>
      <c r="E735" s="5">
        <f>IF(OR(INDEX($V$2:$V$1001,MATCH(ROWS($U$2:U735),$U$2:$U$1001,0),1)&gt;=100000,INDEX($AB$1005:$AQ$1005,1,MATCH(COLUMNS($AB$1006:AE1006),$AB$1006:$AQ$1006,0))&gt;=100000), " ",IF(INDEX($AB$2:$AQ$1001,MATCH(ROWS($U$2:U735),$U$2:$U$1001,0),MATCH(COLUMNS($AB$1006:AE1006),$AB$1006:$AQ$1006,0)), HYPERLINK("#",""), HYPERLINK(CONCATENATE("#Metadata!", ADDRESS(INDEX($W$2:$W$1001,MATCH(ROWS($U$2:U735),$U$2:$U$1001,0),0), INDEX($AB$1004:$AQ$1004,1,MATCH(COLUMNS($AB$1006:AE1006),$AB$1006:$AQ$1006,0)))),"Fix")))</f>
        <v>0</v>
      </c>
      <c r="F735" s="5">
        <f>IF(OR(INDEX($V$2:$V$1001,MATCH(ROWS($U$2:U735),$U$2:$U$1001,0),1)&gt;=100000,INDEX($AB$1005:$AQ$1005,1,MATCH(COLUMNS($AB$1006:AF1006),$AB$1006:$AQ$1006,0))&gt;=100000), " ",IF(INDEX($AB$2:$AQ$1001,MATCH(ROWS($U$2:U735),$U$2:$U$1001,0),MATCH(COLUMNS($AB$1006:AF1006),$AB$1006:$AQ$1006,0)), HYPERLINK("#",""), HYPERLINK(CONCATENATE("#Metadata!", ADDRESS(INDEX($W$2:$W$1001,MATCH(ROWS($U$2:U735),$U$2:$U$1001,0),0), INDEX($AB$1004:$AQ$1004,1,MATCH(COLUMNS($AB$1006:AF1006),$AB$1006:$AQ$1006,0)))),"Fix")))</f>
        <v>0</v>
      </c>
      <c r="G735" s="5">
        <f>IF(OR(INDEX($V$2:$V$1001,MATCH(ROWS($U$2:U735),$U$2:$U$1001,0),1)&gt;=100000,INDEX($AB$1005:$AQ$1005,1,MATCH(COLUMNS($AB$1006:AG1006),$AB$1006:$AQ$1006,0))&gt;=100000), " ",IF(INDEX($AB$2:$AQ$1001,MATCH(ROWS($U$2:U735),$U$2:$U$1001,0),MATCH(COLUMNS($AB$1006:AG1006),$AB$1006:$AQ$1006,0)), HYPERLINK("#",""), HYPERLINK(CONCATENATE("#Metadata!", ADDRESS(INDEX($W$2:$W$1001,MATCH(ROWS($U$2:U735),$U$2:$U$1001,0),0), INDEX($AB$1004:$AQ$1004,1,MATCH(COLUMNS($AB$1006:AG1006),$AB$1006:$AQ$1006,0)))),"Fix")))</f>
        <v>0</v>
      </c>
      <c r="H735" s="5">
        <f>IF(OR(INDEX($V$2:$V$1001,MATCH(ROWS($U$2:U735),$U$2:$U$1001,0),1)&gt;=100000,INDEX($AB$1005:$AQ$1005,1,MATCH(COLUMNS($AB$1006:AH1006),$AB$1006:$AQ$1006,0))&gt;=100000), " ",IF(INDEX($AB$2:$AQ$1001,MATCH(ROWS($U$2:U735),$U$2:$U$1001,0),MATCH(COLUMNS($AB$1006:AH1006),$AB$1006:$AQ$1006,0)), HYPERLINK("#",""), HYPERLINK(CONCATENATE("#Metadata!", ADDRESS(INDEX($W$2:$W$1001,MATCH(ROWS($U$2:U735),$U$2:$U$1001,0),0), INDEX($AB$1004:$AQ$1004,1,MATCH(COLUMNS($AB$1006:AH1006),$AB$1006:$AQ$1006,0)))),"Fix")))</f>
        <v>0</v>
      </c>
      <c r="I735" s="5">
        <f>IF(OR(INDEX($V$2:$V$1001,MATCH(ROWS($U$2:U735),$U$2:$U$1001,0),1)&gt;=100000,INDEX($AB$1005:$AQ$1005,1,MATCH(COLUMNS($AB$1006:AI1006),$AB$1006:$AQ$1006,0))&gt;=100000), " ",IF(INDEX($AB$2:$AQ$1001,MATCH(ROWS($U$2:U735),$U$2:$U$1001,0),MATCH(COLUMNS($AB$1006:AI1006),$AB$1006:$AQ$1006,0)), HYPERLINK("#",""), HYPERLINK(CONCATENATE("#Metadata!", ADDRESS(INDEX($W$2:$W$1001,MATCH(ROWS($U$2:U735),$U$2:$U$1001,0),0), INDEX($AB$1004:$AQ$1004,1,MATCH(COLUMNS($AB$1006:AI1006),$AB$1006:$AQ$1006,0)))),"Fix")))</f>
        <v>0</v>
      </c>
      <c r="J735" s="5">
        <f>IF(OR(INDEX($V$2:$V$1001,MATCH(ROWS($U$2:U735),$U$2:$U$1001,0),1)&gt;=100000,INDEX($AB$1005:$AQ$1005,1,MATCH(COLUMNS($AB$1006:AJ1006),$AB$1006:$AQ$1006,0))&gt;=100000), " ",IF(INDEX($AB$2:$AQ$1001,MATCH(ROWS($U$2:U735),$U$2:$U$1001,0),MATCH(COLUMNS($AB$1006:AJ1006),$AB$1006:$AQ$1006,0)), HYPERLINK("#",""), HYPERLINK(CONCATENATE("#Metadata!", ADDRESS(INDEX($W$2:$W$1001,MATCH(ROWS($U$2:U735),$U$2:$U$1001,0),0), INDEX($AB$1004:$AQ$1004,1,MATCH(COLUMNS($AB$1006:AJ1006),$AB$1006:$AQ$1006,0)))),"Fix")))</f>
        <v>0</v>
      </c>
      <c r="K735" s="5">
        <f>IF(OR(INDEX($V$2:$V$1001,MATCH(ROWS($U$2:U735),$U$2:$U$1001,0),1)&gt;=100000,INDEX($AB$1005:$AQ$1005,1,MATCH(COLUMNS($AB$1006:AK1006),$AB$1006:$AQ$1006,0))&gt;=100000), " ",IF(INDEX($AB$2:$AQ$1001,MATCH(ROWS($U$2:U735),$U$2:$U$1001,0),MATCH(COLUMNS($AB$1006:AK1006),$AB$1006:$AQ$1006,0)), HYPERLINK("#",""), HYPERLINK(CONCATENATE("#Metadata!", ADDRESS(INDEX($W$2:$W$1001,MATCH(ROWS($U$2:U735),$U$2:$U$1001,0),0), INDEX($AB$1004:$AQ$1004,1,MATCH(COLUMNS($AB$1006:AK1006),$AB$1006:$AQ$1006,0)))),"Fix")))</f>
        <v>0</v>
      </c>
      <c r="L735" s="5">
        <f>IF(OR(INDEX($V$2:$V$1001,MATCH(ROWS($U$2:U735),$U$2:$U$1001,0),1)&gt;=100000,INDEX($AB$1005:$AQ$1005,1,MATCH(COLUMNS($AB$1006:AL1006),$AB$1006:$AQ$1006,0))&gt;=100000), " ",IF(INDEX($AB$2:$AQ$1001,MATCH(ROWS($U$2:U735),$U$2:$U$1001,0),MATCH(COLUMNS($AB$1006:AL1006),$AB$1006:$AQ$1006,0)), HYPERLINK("#",""), HYPERLINK(CONCATENATE("#Metadata!", ADDRESS(INDEX($W$2:$W$1001,MATCH(ROWS($U$2:U735),$U$2:$U$1001,0),0), INDEX($AB$1004:$AQ$1004,1,MATCH(COLUMNS($AB$1006:AL1006),$AB$1006:$AQ$1006,0)))),"Fix")))</f>
        <v>0</v>
      </c>
      <c r="M735" s="5">
        <f>IF(OR(INDEX($V$2:$V$1001,MATCH(ROWS($U$2:U735),$U$2:$U$1001,0),1)&gt;=100000,INDEX($AB$1005:$AQ$1005,1,MATCH(COLUMNS($AB$1006:AM1006),$AB$1006:$AQ$1006,0))&gt;=100000), " ",IF(INDEX($AB$2:$AQ$1001,MATCH(ROWS($U$2:U735),$U$2:$U$1001,0),MATCH(COLUMNS($AB$1006:AM1006),$AB$1006:$AQ$1006,0)), HYPERLINK("#",""), HYPERLINK(CONCATENATE("#Metadata!", ADDRESS(INDEX($W$2:$W$1001,MATCH(ROWS($U$2:U735),$U$2:$U$1001,0),0), INDEX($AB$1004:$AQ$1004,1,MATCH(COLUMNS($AB$1006:AM1006),$AB$1006:$AQ$1006,0)))),"Fix")))</f>
        <v>0</v>
      </c>
      <c r="N735" s="5">
        <f>IF(OR(INDEX($V$2:$V$1001,MATCH(ROWS($U$2:U735),$U$2:$U$1001,0),1)&gt;=100000,INDEX($AB$1005:$AQ$1005,1,MATCH(COLUMNS($AB$1006:AN1006),$AB$1006:$AQ$1006,0))&gt;=100000), " ",IF(INDEX($AB$2:$AQ$1001,MATCH(ROWS($U$2:U735),$U$2:$U$1001,0),MATCH(COLUMNS($AB$1006:AN1006),$AB$1006:$AQ$1006,0)), HYPERLINK("#",""), HYPERLINK(CONCATENATE("#Metadata!", ADDRESS(INDEX($W$2:$W$1001,MATCH(ROWS($U$2:U735),$U$2:$U$1001,0),0), INDEX($AB$1004:$AQ$1004,1,MATCH(COLUMNS($AB$1006:AN1006),$AB$1006:$AQ$1006,0)))),"Fix")))</f>
        <v>0</v>
      </c>
      <c r="O735" s="5">
        <f>IF(OR(INDEX($V$2:$V$1001,MATCH(ROWS($U$2:U735),$U$2:$U$1001,0),1)&gt;=100000,INDEX($AB$1005:$AQ$1005,1,MATCH(COLUMNS($AB$1006:AO1006),$AB$1006:$AQ$1006,0))&gt;=100000), " ",IF(INDEX($AB$2:$AQ$1001,MATCH(ROWS($U$2:U735),$U$2:$U$1001,0),MATCH(COLUMNS($AB$1006:AO1006),$AB$1006:$AQ$1006,0)), HYPERLINK("#",""), HYPERLINK(CONCATENATE("#Metadata!", ADDRESS(INDEX($W$2:$W$1001,MATCH(ROWS($U$2:U735),$U$2:$U$1001,0),0), INDEX($AB$1004:$AQ$1004,1,MATCH(COLUMNS($AB$1006:AO1006),$AB$1006:$AQ$1006,0)))),"Fix")))</f>
        <v>0</v>
      </c>
      <c r="P735" s="5">
        <f>IF(OR(INDEX($V$2:$V$1001,MATCH(ROWS($U$2:U735),$U$2:$U$1001,0),1)&gt;=100000,INDEX($AB$1005:$AQ$1005,1,MATCH(COLUMNS($AB$1006:AP1006),$AB$1006:$AQ$1006,0))&gt;=100000), " ",IF(INDEX($AB$2:$AQ$1001,MATCH(ROWS($U$2:U735),$U$2:$U$1001,0),MATCH(COLUMNS($AB$1006:AP1006),$AB$1006:$AQ$1006,0)), HYPERLINK("#",""), HYPERLINK(CONCATENATE("#Metadata!", ADDRESS(INDEX($W$2:$W$1001,MATCH(ROWS($U$2:U735),$U$2:$U$1001,0),0), INDEX($AB$1004:$AQ$1004,1,MATCH(COLUMNS($AB$1006:AP1006),$AB$1006:$AQ$1006,0)))),"Fix")))</f>
        <v>0</v>
      </c>
      <c r="Q735" s="5">
        <f>IF(OR(INDEX($V$2:$V$1001,MATCH(ROWS($U$2:U735),$U$2:$U$1001,0),1)&gt;=100000,INDEX($AB$1005:$AQ$1005,1,MATCH(COLUMNS($AB$1006:AQ1006),$AB$1006:$AQ$1006,0))&gt;=100000), " ",IF(INDEX($AB$2:$AQ$1001,MATCH(ROWS($U$2:U735),$U$2:$U$1001,0),MATCH(COLUMNS($AB$1006:AQ1006),$AB$1006:$AQ$1006,0)), HYPERLINK("#",""), HYPERLINK(CONCATENATE("#Metadata!", ADDRESS(INDEX($W$2:$W$1001,MATCH(ROWS($U$2:U735),$U$2:$U$1001,0),0), INDEX($AB$1004:$AQ$1004,1,MATCH(COLUMNS($AB$1006:AQ1006),$AB$1006:$AQ$1006,0)))),"Fix")))</f>
        <v>0</v>
      </c>
      <c r="U735">
        <v>0</v>
      </c>
      <c r="V735">
        <v>0</v>
      </c>
      <c r="W735">
        <v>0</v>
      </c>
      <c r="X735">
        <f>IF(Y735,TRUE,AND(AB735:AQ735))</f>
        <v>0</v>
      </c>
      <c r="Y735">
        <f>COUNTBLANK(Metadata!B735:Q735)=COLUMNS(Metadata!B735:Q735)</f>
        <v>0</v>
      </c>
      <c r="Z735">
        <v>0</v>
      </c>
      <c r="AB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AC735">
        <f>AND(IF(Metadata!C735="",FALSE,TRUE),exact(Metadata!C735,"urban biome"))</f>
        <v>0</v>
      </c>
      <c r="AD735">
        <f>AND(IF(Metadata!D735="",FALSE,TRUE),exact(Metadata!D735,"human-associated habitat"))</f>
        <v>0</v>
      </c>
      <c r="AE735">
        <f>AND(IF(Metadata!E735="",FALSE,TRUE),OR(exact(Metadata!E735,"human-associated"),exact(Metadata!E735,"human-skin"),exact(Metadata!E735,"human-oral"),exact(Metadata!E735,"human-gut"),exact(Metadata!E735,"human-vaginal")))</f>
        <v>0</v>
      </c>
      <c r="AF735">
        <f>AND(IF(Metadata!F735="",FALSE,ISNUMBER(VALUE(Metadata!F735))),Metadata!F735&gt;0)</f>
        <v>0</v>
      </c>
      <c r="AG735">
        <f>AND(IF(Metadata!G735="",FALSE,TRUE),exact(Metadata!G735,"years"))</f>
        <v>0</v>
      </c>
      <c r="AH735">
        <f>OR(AND(IF(Metadata!H735="",FALSE,TRUE),OR(exact(Metadata!H735,"not applicable"),exact(Metadata!H735,"not collected"),exact(Metadata!H735,"not provided"),exact(Metadata!H735,"restricted access"))),AND(IF(Metadata!H735="",FALSE,ISNUMBER(VALUE(Metadata!H735))),Metadata!H735&gt;0))</f>
        <v>0</v>
      </c>
      <c r="AI735">
        <f>AND(IF(Metadata!I735="",FALSE,TRUE),exact(Metadata!I735,"human"))</f>
        <v>0</v>
      </c>
      <c r="AJ735">
        <f>AND(IF(Metadata!J735="",FALSE,ISNUMBER(VALUE(Metadata!J735))),Metadata!J735&gt;0)</f>
        <v>0</v>
      </c>
      <c r="AK735">
        <f>AND(IF(Metadata!K735="",FALSE,TRUE),exact(Metadata!K735,"cm"))</f>
        <v>0</v>
      </c>
      <c r="AL735">
        <f>AND(IF(Metadata!L735="",FALSE,TRUE),exact(Metadata!L735,"Homo sapiens"))</f>
        <v>0</v>
      </c>
      <c r="AM735">
        <f>AND(IF(Metadata!M735="",FALSE,TRUE),exact(Metadata!M735,"9606"))</f>
        <v>0</v>
      </c>
      <c r="AN735">
        <f>AND(IF(Metadata!N735="",FALSE,ISNUMBER(VALUE(Metadata!N735))),Metadata!N735&gt;0)</f>
        <v>0</v>
      </c>
      <c r="AO735">
        <f>AND(IF(Metadata!O735="",FALSE,TRUE),exact(Metadata!O735,"kg"))</f>
        <v>0</v>
      </c>
      <c r="AP735">
        <f>OR(AND(IF(Metadata!P735="",FALSE,TRUE),exact(Metadata!P735,"not provided")),IF(Metadata!P735="",FALSE,TRUE))</f>
        <v>0</v>
      </c>
      <c r="AQ735">
        <f>OR(AND(IF(Metadata!Q735="",FALSE,TRUE),exact(Metadata!Q735,"not provided")),IF(Metadata!Q735="",FALSE,TRUE))</f>
        <v>0</v>
      </c>
    </row>
    <row r="736" spans="1:43">
      <c r="A736" s="4">
        <f>IF(B736=" "," ",HYPERLINK(CONCATENATE("#metadata!",ADDRESS(INDEX($W$2:$W$1001,MATCH(ROWS($U$2:U736),$U$2:$U$1001,0),0),2)),INDEX($Z$2:$Z$1001,MATCH(ROWS($U$2:U736),$U$2:$U$1001,0),0)))</f>
        <v>0</v>
      </c>
      <c r="B736" s="5">
        <f>IF(OR(INDEX($V$2:$V$1001,MATCH(ROWS($U$2:U736),$U$2:$U$1001,0),1)&gt;=100000,INDEX($AB$1005:$AQ$1005,1,MATCH(COLUMNS($AB$1006:AB1006),$AB$1006:$AQ$1006,0))&gt;=100000), " ",IF(INDEX($AB$2:$AQ$1001,MATCH(ROWS($U$2:U736),$U$2:$U$1001,0),MATCH(COLUMNS($AB$1006:AB1006),$AB$1006:$AQ$1006,0)), HYPERLINK("#",""), HYPERLINK(CONCATENATE("#Metadata!", ADDRESS(INDEX($W$2:$W$1001,MATCH(ROWS($U$2:U736),$U$2:$U$1001,0),0), INDEX($AB$1004:$AQ$1004,1,MATCH(COLUMNS($AB$1006:AB1006),$AB$1006:$AQ$1006,0)))),"Fix")))</f>
        <v>0</v>
      </c>
      <c r="C736" s="5">
        <f>IF(OR(INDEX($V$2:$V$1001,MATCH(ROWS($U$2:U736),$U$2:$U$1001,0),1)&gt;=100000,INDEX($AB$1005:$AQ$1005,1,MATCH(COLUMNS($AB$1006:AC1006),$AB$1006:$AQ$1006,0))&gt;=100000), " ",IF(INDEX($AB$2:$AQ$1001,MATCH(ROWS($U$2:U736),$U$2:$U$1001,0),MATCH(COLUMNS($AB$1006:AC1006),$AB$1006:$AQ$1006,0)), HYPERLINK("#",""), HYPERLINK(CONCATENATE("#Metadata!", ADDRESS(INDEX($W$2:$W$1001,MATCH(ROWS($U$2:U736),$U$2:$U$1001,0),0), INDEX($AB$1004:$AQ$1004,1,MATCH(COLUMNS($AB$1006:AC1006),$AB$1006:$AQ$1006,0)))),"Fix")))</f>
        <v>0</v>
      </c>
      <c r="D736" s="5">
        <f>IF(OR(INDEX($V$2:$V$1001,MATCH(ROWS($U$2:U736),$U$2:$U$1001,0),1)&gt;=100000,INDEX($AB$1005:$AQ$1005,1,MATCH(COLUMNS($AB$1006:AD1006),$AB$1006:$AQ$1006,0))&gt;=100000), " ",IF(INDEX($AB$2:$AQ$1001,MATCH(ROWS($U$2:U736),$U$2:$U$1001,0),MATCH(COLUMNS($AB$1006:AD1006),$AB$1006:$AQ$1006,0)), HYPERLINK("#",""), HYPERLINK(CONCATENATE("#Metadata!", ADDRESS(INDEX($W$2:$W$1001,MATCH(ROWS($U$2:U736),$U$2:$U$1001,0),0), INDEX($AB$1004:$AQ$1004,1,MATCH(COLUMNS($AB$1006:AD1006),$AB$1006:$AQ$1006,0)))),"Fix")))</f>
        <v>0</v>
      </c>
      <c r="E736" s="5">
        <f>IF(OR(INDEX($V$2:$V$1001,MATCH(ROWS($U$2:U736),$U$2:$U$1001,0),1)&gt;=100000,INDEX($AB$1005:$AQ$1005,1,MATCH(COLUMNS($AB$1006:AE1006),$AB$1006:$AQ$1006,0))&gt;=100000), " ",IF(INDEX($AB$2:$AQ$1001,MATCH(ROWS($U$2:U736),$U$2:$U$1001,0),MATCH(COLUMNS($AB$1006:AE1006),$AB$1006:$AQ$1006,0)), HYPERLINK("#",""), HYPERLINK(CONCATENATE("#Metadata!", ADDRESS(INDEX($W$2:$W$1001,MATCH(ROWS($U$2:U736),$U$2:$U$1001,0),0), INDEX($AB$1004:$AQ$1004,1,MATCH(COLUMNS($AB$1006:AE1006),$AB$1006:$AQ$1006,0)))),"Fix")))</f>
        <v>0</v>
      </c>
      <c r="F736" s="5">
        <f>IF(OR(INDEX($V$2:$V$1001,MATCH(ROWS($U$2:U736),$U$2:$U$1001,0),1)&gt;=100000,INDEX($AB$1005:$AQ$1005,1,MATCH(COLUMNS($AB$1006:AF1006),$AB$1006:$AQ$1006,0))&gt;=100000), " ",IF(INDEX($AB$2:$AQ$1001,MATCH(ROWS($U$2:U736),$U$2:$U$1001,0),MATCH(COLUMNS($AB$1006:AF1006),$AB$1006:$AQ$1006,0)), HYPERLINK("#",""), HYPERLINK(CONCATENATE("#Metadata!", ADDRESS(INDEX($W$2:$W$1001,MATCH(ROWS($U$2:U736),$U$2:$U$1001,0),0), INDEX($AB$1004:$AQ$1004,1,MATCH(COLUMNS($AB$1006:AF1006),$AB$1006:$AQ$1006,0)))),"Fix")))</f>
        <v>0</v>
      </c>
      <c r="G736" s="5">
        <f>IF(OR(INDEX($V$2:$V$1001,MATCH(ROWS($U$2:U736),$U$2:$U$1001,0),1)&gt;=100000,INDEX($AB$1005:$AQ$1005,1,MATCH(COLUMNS($AB$1006:AG1006),$AB$1006:$AQ$1006,0))&gt;=100000), " ",IF(INDEX($AB$2:$AQ$1001,MATCH(ROWS($U$2:U736),$U$2:$U$1001,0),MATCH(COLUMNS($AB$1006:AG1006),$AB$1006:$AQ$1006,0)), HYPERLINK("#",""), HYPERLINK(CONCATENATE("#Metadata!", ADDRESS(INDEX($W$2:$W$1001,MATCH(ROWS($U$2:U736),$U$2:$U$1001,0),0), INDEX($AB$1004:$AQ$1004,1,MATCH(COLUMNS($AB$1006:AG1006),$AB$1006:$AQ$1006,0)))),"Fix")))</f>
        <v>0</v>
      </c>
      <c r="H736" s="5">
        <f>IF(OR(INDEX($V$2:$V$1001,MATCH(ROWS($U$2:U736),$U$2:$U$1001,0),1)&gt;=100000,INDEX($AB$1005:$AQ$1005,1,MATCH(COLUMNS($AB$1006:AH1006),$AB$1006:$AQ$1006,0))&gt;=100000), " ",IF(INDEX($AB$2:$AQ$1001,MATCH(ROWS($U$2:U736),$U$2:$U$1001,0),MATCH(COLUMNS($AB$1006:AH1006),$AB$1006:$AQ$1006,0)), HYPERLINK("#",""), HYPERLINK(CONCATENATE("#Metadata!", ADDRESS(INDEX($W$2:$W$1001,MATCH(ROWS($U$2:U736),$U$2:$U$1001,0),0), INDEX($AB$1004:$AQ$1004,1,MATCH(COLUMNS($AB$1006:AH1006),$AB$1006:$AQ$1006,0)))),"Fix")))</f>
        <v>0</v>
      </c>
      <c r="I736" s="5">
        <f>IF(OR(INDEX($V$2:$V$1001,MATCH(ROWS($U$2:U736),$U$2:$U$1001,0),1)&gt;=100000,INDEX($AB$1005:$AQ$1005,1,MATCH(COLUMNS($AB$1006:AI1006),$AB$1006:$AQ$1006,0))&gt;=100000), " ",IF(INDEX($AB$2:$AQ$1001,MATCH(ROWS($U$2:U736),$U$2:$U$1001,0),MATCH(COLUMNS($AB$1006:AI1006),$AB$1006:$AQ$1006,0)), HYPERLINK("#",""), HYPERLINK(CONCATENATE("#Metadata!", ADDRESS(INDEX($W$2:$W$1001,MATCH(ROWS($U$2:U736),$U$2:$U$1001,0),0), INDEX($AB$1004:$AQ$1004,1,MATCH(COLUMNS($AB$1006:AI1006),$AB$1006:$AQ$1006,0)))),"Fix")))</f>
        <v>0</v>
      </c>
      <c r="J736" s="5">
        <f>IF(OR(INDEX($V$2:$V$1001,MATCH(ROWS($U$2:U736),$U$2:$U$1001,0),1)&gt;=100000,INDEX($AB$1005:$AQ$1005,1,MATCH(COLUMNS($AB$1006:AJ1006),$AB$1006:$AQ$1006,0))&gt;=100000), " ",IF(INDEX($AB$2:$AQ$1001,MATCH(ROWS($U$2:U736),$U$2:$U$1001,0),MATCH(COLUMNS($AB$1006:AJ1006),$AB$1006:$AQ$1006,0)), HYPERLINK("#",""), HYPERLINK(CONCATENATE("#Metadata!", ADDRESS(INDEX($W$2:$W$1001,MATCH(ROWS($U$2:U736),$U$2:$U$1001,0),0), INDEX($AB$1004:$AQ$1004,1,MATCH(COLUMNS($AB$1006:AJ1006),$AB$1006:$AQ$1006,0)))),"Fix")))</f>
        <v>0</v>
      </c>
      <c r="K736" s="5">
        <f>IF(OR(INDEX($V$2:$V$1001,MATCH(ROWS($U$2:U736),$U$2:$U$1001,0),1)&gt;=100000,INDEX($AB$1005:$AQ$1005,1,MATCH(COLUMNS($AB$1006:AK1006),$AB$1006:$AQ$1006,0))&gt;=100000), " ",IF(INDEX($AB$2:$AQ$1001,MATCH(ROWS($U$2:U736),$U$2:$U$1001,0),MATCH(COLUMNS($AB$1006:AK1006),$AB$1006:$AQ$1006,0)), HYPERLINK("#",""), HYPERLINK(CONCATENATE("#Metadata!", ADDRESS(INDEX($W$2:$W$1001,MATCH(ROWS($U$2:U736),$U$2:$U$1001,0),0), INDEX($AB$1004:$AQ$1004,1,MATCH(COLUMNS($AB$1006:AK1006),$AB$1006:$AQ$1006,0)))),"Fix")))</f>
        <v>0</v>
      </c>
      <c r="L736" s="5">
        <f>IF(OR(INDEX($V$2:$V$1001,MATCH(ROWS($U$2:U736),$U$2:$U$1001,0),1)&gt;=100000,INDEX($AB$1005:$AQ$1005,1,MATCH(COLUMNS($AB$1006:AL1006),$AB$1006:$AQ$1006,0))&gt;=100000), " ",IF(INDEX($AB$2:$AQ$1001,MATCH(ROWS($U$2:U736),$U$2:$U$1001,0),MATCH(COLUMNS($AB$1006:AL1006),$AB$1006:$AQ$1006,0)), HYPERLINK("#",""), HYPERLINK(CONCATENATE("#Metadata!", ADDRESS(INDEX($W$2:$W$1001,MATCH(ROWS($U$2:U736),$U$2:$U$1001,0),0), INDEX($AB$1004:$AQ$1004,1,MATCH(COLUMNS($AB$1006:AL1006),$AB$1006:$AQ$1006,0)))),"Fix")))</f>
        <v>0</v>
      </c>
      <c r="M736" s="5">
        <f>IF(OR(INDEX($V$2:$V$1001,MATCH(ROWS($U$2:U736),$U$2:$U$1001,0),1)&gt;=100000,INDEX($AB$1005:$AQ$1005,1,MATCH(COLUMNS($AB$1006:AM1006),$AB$1006:$AQ$1006,0))&gt;=100000), " ",IF(INDEX($AB$2:$AQ$1001,MATCH(ROWS($U$2:U736),$U$2:$U$1001,0),MATCH(COLUMNS($AB$1006:AM1006),$AB$1006:$AQ$1006,0)), HYPERLINK("#",""), HYPERLINK(CONCATENATE("#Metadata!", ADDRESS(INDEX($W$2:$W$1001,MATCH(ROWS($U$2:U736),$U$2:$U$1001,0),0), INDEX($AB$1004:$AQ$1004,1,MATCH(COLUMNS($AB$1006:AM1006),$AB$1006:$AQ$1006,0)))),"Fix")))</f>
        <v>0</v>
      </c>
      <c r="N736" s="5">
        <f>IF(OR(INDEX($V$2:$V$1001,MATCH(ROWS($U$2:U736),$U$2:$U$1001,0),1)&gt;=100000,INDEX($AB$1005:$AQ$1005,1,MATCH(COLUMNS($AB$1006:AN1006),$AB$1006:$AQ$1006,0))&gt;=100000), " ",IF(INDEX($AB$2:$AQ$1001,MATCH(ROWS($U$2:U736),$U$2:$U$1001,0),MATCH(COLUMNS($AB$1006:AN1006),$AB$1006:$AQ$1006,0)), HYPERLINK("#",""), HYPERLINK(CONCATENATE("#Metadata!", ADDRESS(INDEX($W$2:$W$1001,MATCH(ROWS($U$2:U736),$U$2:$U$1001,0),0), INDEX($AB$1004:$AQ$1004,1,MATCH(COLUMNS($AB$1006:AN1006),$AB$1006:$AQ$1006,0)))),"Fix")))</f>
        <v>0</v>
      </c>
      <c r="O736" s="5">
        <f>IF(OR(INDEX($V$2:$V$1001,MATCH(ROWS($U$2:U736),$U$2:$U$1001,0),1)&gt;=100000,INDEX($AB$1005:$AQ$1005,1,MATCH(COLUMNS($AB$1006:AO1006),$AB$1006:$AQ$1006,0))&gt;=100000), " ",IF(INDEX($AB$2:$AQ$1001,MATCH(ROWS($U$2:U736),$U$2:$U$1001,0),MATCH(COLUMNS($AB$1006:AO1006),$AB$1006:$AQ$1006,0)), HYPERLINK("#",""), HYPERLINK(CONCATENATE("#Metadata!", ADDRESS(INDEX($W$2:$W$1001,MATCH(ROWS($U$2:U736),$U$2:$U$1001,0),0), INDEX($AB$1004:$AQ$1004,1,MATCH(COLUMNS($AB$1006:AO1006),$AB$1006:$AQ$1006,0)))),"Fix")))</f>
        <v>0</v>
      </c>
      <c r="P736" s="5">
        <f>IF(OR(INDEX($V$2:$V$1001,MATCH(ROWS($U$2:U736),$U$2:$U$1001,0),1)&gt;=100000,INDEX($AB$1005:$AQ$1005,1,MATCH(COLUMNS($AB$1006:AP1006),$AB$1006:$AQ$1006,0))&gt;=100000), " ",IF(INDEX($AB$2:$AQ$1001,MATCH(ROWS($U$2:U736),$U$2:$U$1001,0),MATCH(COLUMNS($AB$1006:AP1006),$AB$1006:$AQ$1006,0)), HYPERLINK("#",""), HYPERLINK(CONCATENATE("#Metadata!", ADDRESS(INDEX($W$2:$W$1001,MATCH(ROWS($U$2:U736),$U$2:$U$1001,0),0), INDEX($AB$1004:$AQ$1004,1,MATCH(COLUMNS($AB$1006:AP1006),$AB$1006:$AQ$1006,0)))),"Fix")))</f>
        <v>0</v>
      </c>
      <c r="Q736" s="5">
        <f>IF(OR(INDEX($V$2:$V$1001,MATCH(ROWS($U$2:U736),$U$2:$U$1001,0),1)&gt;=100000,INDEX($AB$1005:$AQ$1005,1,MATCH(COLUMNS($AB$1006:AQ1006),$AB$1006:$AQ$1006,0))&gt;=100000), " ",IF(INDEX($AB$2:$AQ$1001,MATCH(ROWS($U$2:U736),$U$2:$U$1001,0),MATCH(COLUMNS($AB$1006:AQ1006),$AB$1006:$AQ$1006,0)), HYPERLINK("#",""), HYPERLINK(CONCATENATE("#Metadata!", ADDRESS(INDEX($W$2:$W$1001,MATCH(ROWS($U$2:U736),$U$2:$U$1001,0),0), INDEX($AB$1004:$AQ$1004,1,MATCH(COLUMNS($AB$1006:AQ1006),$AB$1006:$AQ$1006,0)))),"Fix")))</f>
        <v>0</v>
      </c>
      <c r="U736">
        <v>0</v>
      </c>
      <c r="V736">
        <v>0</v>
      </c>
      <c r="W736">
        <v>0</v>
      </c>
      <c r="X736">
        <f>IF(Y736,TRUE,AND(AB736:AQ736))</f>
        <v>0</v>
      </c>
      <c r="Y736">
        <f>COUNTBLANK(Metadata!B736:Q736)=COLUMNS(Metadata!B736:Q736)</f>
        <v>0</v>
      </c>
      <c r="Z736">
        <v>0</v>
      </c>
      <c r="AB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AC736">
        <f>AND(IF(Metadata!C736="",FALSE,TRUE),exact(Metadata!C736,"urban biome"))</f>
        <v>0</v>
      </c>
      <c r="AD736">
        <f>AND(IF(Metadata!D736="",FALSE,TRUE),exact(Metadata!D736,"human-associated habitat"))</f>
        <v>0</v>
      </c>
      <c r="AE736">
        <f>AND(IF(Metadata!E736="",FALSE,TRUE),OR(exact(Metadata!E736,"human-associated"),exact(Metadata!E736,"human-skin"),exact(Metadata!E736,"human-oral"),exact(Metadata!E736,"human-gut"),exact(Metadata!E736,"human-vaginal")))</f>
        <v>0</v>
      </c>
      <c r="AF736">
        <f>AND(IF(Metadata!F736="",FALSE,ISNUMBER(VALUE(Metadata!F736))),Metadata!F736&gt;0)</f>
        <v>0</v>
      </c>
      <c r="AG736">
        <f>AND(IF(Metadata!G736="",FALSE,TRUE),exact(Metadata!G736,"years"))</f>
        <v>0</v>
      </c>
      <c r="AH736">
        <f>OR(AND(IF(Metadata!H736="",FALSE,TRUE),OR(exact(Metadata!H736,"not applicable"),exact(Metadata!H736,"not collected"),exact(Metadata!H736,"not provided"),exact(Metadata!H736,"restricted access"))),AND(IF(Metadata!H736="",FALSE,ISNUMBER(VALUE(Metadata!H736))),Metadata!H736&gt;0))</f>
        <v>0</v>
      </c>
      <c r="AI736">
        <f>AND(IF(Metadata!I736="",FALSE,TRUE),exact(Metadata!I736,"human"))</f>
        <v>0</v>
      </c>
      <c r="AJ736">
        <f>AND(IF(Metadata!J736="",FALSE,ISNUMBER(VALUE(Metadata!J736))),Metadata!J736&gt;0)</f>
        <v>0</v>
      </c>
      <c r="AK736">
        <f>AND(IF(Metadata!K736="",FALSE,TRUE),exact(Metadata!K736,"cm"))</f>
        <v>0</v>
      </c>
      <c r="AL736">
        <f>AND(IF(Metadata!L736="",FALSE,TRUE),exact(Metadata!L736,"Homo sapiens"))</f>
        <v>0</v>
      </c>
      <c r="AM736">
        <f>AND(IF(Metadata!M736="",FALSE,TRUE),exact(Metadata!M736,"9606"))</f>
        <v>0</v>
      </c>
      <c r="AN736">
        <f>AND(IF(Metadata!N736="",FALSE,ISNUMBER(VALUE(Metadata!N736))),Metadata!N736&gt;0)</f>
        <v>0</v>
      </c>
      <c r="AO736">
        <f>AND(IF(Metadata!O736="",FALSE,TRUE),exact(Metadata!O736,"kg"))</f>
        <v>0</v>
      </c>
      <c r="AP736">
        <f>OR(AND(IF(Metadata!P736="",FALSE,TRUE),exact(Metadata!P736,"not provided")),IF(Metadata!P736="",FALSE,TRUE))</f>
        <v>0</v>
      </c>
      <c r="AQ736">
        <f>OR(AND(IF(Metadata!Q736="",FALSE,TRUE),exact(Metadata!Q736,"not provided")),IF(Metadata!Q736="",FALSE,TRUE))</f>
        <v>0</v>
      </c>
    </row>
    <row r="737" spans="1:43">
      <c r="A737" s="4">
        <f>IF(B737=" "," ",HYPERLINK(CONCATENATE("#metadata!",ADDRESS(INDEX($W$2:$W$1001,MATCH(ROWS($U$2:U737),$U$2:$U$1001,0),0),2)),INDEX($Z$2:$Z$1001,MATCH(ROWS($U$2:U737),$U$2:$U$1001,0),0)))</f>
        <v>0</v>
      </c>
      <c r="B737" s="5">
        <f>IF(OR(INDEX($V$2:$V$1001,MATCH(ROWS($U$2:U737),$U$2:$U$1001,0),1)&gt;=100000,INDEX($AB$1005:$AQ$1005,1,MATCH(COLUMNS($AB$1006:AB1006),$AB$1006:$AQ$1006,0))&gt;=100000), " ",IF(INDEX($AB$2:$AQ$1001,MATCH(ROWS($U$2:U737),$U$2:$U$1001,0),MATCH(COLUMNS($AB$1006:AB1006),$AB$1006:$AQ$1006,0)), HYPERLINK("#",""), HYPERLINK(CONCATENATE("#Metadata!", ADDRESS(INDEX($W$2:$W$1001,MATCH(ROWS($U$2:U737),$U$2:$U$1001,0),0), INDEX($AB$1004:$AQ$1004,1,MATCH(COLUMNS($AB$1006:AB1006),$AB$1006:$AQ$1006,0)))),"Fix")))</f>
        <v>0</v>
      </c>
      <c r="C737" s="5">
        <f>IF(OR(INDEX($V$2:$V$1001,MATCH(ROWS($U$2:U737),$U$2:$U$1001,0),1)&gt;=100000,INDEX($AB$1005:$AQ$1005,1,MATCH(COLUMNS($AB$1006:AC1006),$AB$1006:$AQ$1006,0))&gt;=100000), " ",IF(INDEX($AB$2:$AQ$1001,MATCH(ROWS($U$2:U737),$U$2:$U$1001,0),MATCH(COLUMNS($AB$1006:AC1006),$AB$1006:$AQ$1006,0)), HYPERLINK("#",""), HYPERLINK(CONCATENATE("#Metadata!", ADDRESS(INDEX($W$2:$W$1001,MATCH(ROWS($U$2:U737),$U$2:$U$1001,0),0), INDEX($AB$1004:$AQ$1004,1,MATCH(COLUMNS($AB$1006:AC1006),$AB$1006:$AQ$1006,0)))),"Fix")))</f>
        <v>0</v>
      </c>
      <c r="D737" s="5">
        <f>IF(OR(INDEX($V$2:$V$1001,MATCH(ROWS($U$2:U737),$U$2:$U$1001,0),1)&gt;=100000,INDEX($AB$1005:$AQ$1005,1,MATCH(COLUMNS($AB$1006:AD1006),$AB$1006:$AQ$1006,0))&gt;=100000), " ",IF(INDEX($AB$2:$AQ$1001,MATCH(ROWS($U$2:U737),$U$2:$U$1001,0),MATCH(COLUMNS($AB$1006:AD1006),$AB$1006:$AQ$1006,0)), HYPERLINK("#",""), HYPERLINK(CONCATENATE("#Metadata!", ADDRESS(INDEX($W$2:$W$1001,MATCH(ROWS($U$2:U737),$U$2:$U$1001,0),0), INDEX($AB$1004:$AQ$1004,1,MATCH(COLUMNS($AB$1006:AD1006),$AB$1006:$AQ$1006,0)))),"Fix")))</f>
        <v>0</v>
      </c>
      <c r="E737" s="5">
        <f>IF(OR(INDEX($V$2:$V$1001,MATCH(ROWS($U$2:U737),$U$2:$U$1001,0),1)&gt;=100000,INDEX($AB$1005:$AQ$1005,1,MATCH(COLUMNS($AB$1006:AE1006),$AB$1006:$AQ$1006,0))&gt;=100000), " ",IF(INDEX($AB$2:$AQ$1001,MATCH(ROWS($U$2:U737),$U$2:$U$1001,0),MATCH(COLUMNS($AB$1006:AE1006),$AB$1006:$AQ$1006,0)), HYPERLINK("#",""), HYPERLINK(CONCATENATE("#Metadata!", ADDRESS(INDEX($W$2:$W$1001,MATCH(ROWS($U$2:U737),$U$2:$U$1001,0),0), INDEX($AB$1004:$AQ$1004,1,MATCH(COLUMNS($AB$1006:AE1006),$AB$1006:$AQ$1006,0)))),"Fix")))</f>
        <v>0</v>
      </c>
      <c r="F737" s="5">
        <f>IF(OR(INDEX($V$2:$V$1001,MATCH(ROWS($U$2:U737),$U$2:$U$1001,0),1)&gt;=100000,INDEX($AB$1005:$AQ$1005,1,MATCH(COLUMNS($AB$1006:AF1006),$AB$1006:$AQ$1006,0))&gt;=100000), " ",IF(INDEX($AB$2:$AQ$1001,MATCH(ROWS($U$2:U737),$U$2:$U$1001,0),MATCH(COLUMNS($AB$1006:AF1006),$AB$1006:$AQ$1006,0)), HYPERLINK("#",""), HYPERLINK(CONCATENATE("#Metadata!", ADDRESS(INDEX($W$2:$W$1001,MATCH(ROWS($U$2:U737),$U$2:$U$1001,0),0), INDEX($AB$1004:$AQ$1004,1,MATCH(COLUMNS($AB$1006:AF1006),$AB$1006:$AQ$1006,0)))),"Fix")))</f>
        <v>0</v>
      </c>
      <c r="G737" s="5">
        <f>IF(OR(INDEX($V$2:$V$1001,MATCH(ROWS($U$2:U737),$U$2:$U$1001,0),1)&gt;=100000,INDEX($AB$1005:$AQ$1005,1,MATCH(COLUMNS($AB$1006:AG1006),$AB$1006:$AQ$1006,0))&gt;=100000), " ",IF(INDEX($AB$2:$AQ$1001,MATCH(ROWS($U$2:U737),$U$2:$U$1001,0),MATCH(COLUMNS($AB$1006:AG1006),$AB$1006:$AQ$1006,0)), HYPERLINK("#",""), HYPERLINK(CONCATENATE("#Metadata!", ADDRESS(INDEX($W$2:$W$1001,MATCH(ROWS($U$2:U737),$U$2:$U$1001,0),0), INDEX($AB$1004:$AQ$1004,1,MATCH(COLUMNS($AB$1006:AG1006),$AB$1006:$AQ$1006,0)))),"Fix")))</f>
        <v>0</v>
      </c>
      <c r="H737" s="5">
        <f>IF(OR(INDEX($V$2:$V$1001,MATCH(ROWS($U$2:U737),$U$2:$U$1001,0),1)&gt;=100000,INDEX($AB$1005:$AQ$1005,1,MATCH(COLUMNS($AB$1006:AH1006),$AB$1006:$AQ$1006,0))&gt;=100000), " ",IF(INDEX($AB$2:$AQ$1001,MATCH(ROWS($U$2:U737),$U$2:$U$1001,0),MATCH(COLUMNS($AB$1006:AH1006),$AB$1006:$AQ$1006,0)), HYPERLINK("#",""), HYPERLINK(CONCATENATE("#Metadata!", ADDRESS(INDEX($W$2:$W$1001,MATCH(ROWS($U$2:U737),$U$2:$U$1001,0),0), INDEX($AB$1004:$AQ$1004,1,MATCH(COLUMNS($AB$1006:AH1006),$AB$1006:$AQ$1006,0)))),"Fix")))</f>
        <v>0</v>
      </c>
      <c r="I737" s="5">
        <f>IF(OR(INDEX($V$2:$V$1001,MATCH(ROWS($U$2:U737),$U$2:$U$1001,0),1)&gt;=100000,INDEX($AB$1005:$AQ$1005,1,MATCH(COLUMNS($AB$1006:AI1006),$AB$1006:$AQ$1006,0))&gt;=100000), " ",IF(INDEX($AB$2:$AQ$1001,MATCH(ROWS($U$2:U737),$U$2:$U$1001,0),MATCH(COLUMNS($AB$1006:AI1006),$AB$1006:$AQ$1006,0)), HYPERLINK("#",""), HYPERLINK(CONCATENATE("#Metadata!", ADDRESS(INDEX($W$2:$W$1001,MATCH(ROWS($U$2:U737),$U$2:$U$1001,0),0), INDEX($AB$1004:$AQ$1004,1,MATCH(COLUMNS($AB$1006:AI1006),$AB$1006:$AQ$1006,0)))),"Fix")))</f>
        <v>0</v>
      </c>
      <c r="J737" s="5">
        <f>IF(OR(INDEX($V$2:$V$1001,MATCH(ROWS($U$2:U737),$U$2:$U$1001,0),1)&gt;=100000,INDEX($AB$1005:$AQ$1005,1,MATCH(COLUMNS($AB$1006:AJ1006),$AB$1006:$AQ$1006,0))&gt;=100000), " ",IF(INDEX($AB$2:$AQ$1001,MATCH(ROWS($U$2:U737),$U$2:$U$1001,0),MATCH(COLUMNS($AB$1006:AJ1006),$AB$1006:$AQ$1006,0)), HYPERLINK("#",""), HYPERLINK(CONCATENATE("#Metadata!", ADDRESS(INDEX($W$2:$W$1001,MATCH(ROWS($U$2:U737),$U$2:$U$1001,0),0), INDEX($AB$1004:$AQ$1004,1,MATCH(COLUMNS($AB$1006:AJ1006),$AB$1006:$AQ$1006,0)))),"Fix")))</f>
        <v>0</v>
      </c>
      <c r="K737" s="5">
        <f>IF(OR(INDEX($V$2:$V$1001,MATCH(ROWS($U$2:U737),$U$2:$U$1001,0),1)&gt;=100000,INDEX($AB$1005:$AQ$1005,1,MATCH(COLUMNS($AB$1006:AK1006),$AB$1006:$AQ$1006,0))&gt;=100000), " ",IF(INDEX($AB$2:$AQ$1001,MATCH(ROWS($U$2:U737),$U$2:$U$1001,0),MATCH(COLUMNS($AB$1006:AK1006),$AB$1006:$AQ$1006,0)), HYPERLINK("#",""), HYPERLINK(CONCATENATE("#Metadata!", ADDRESS(INDEX($W$2:$W$1001,MATCH(ROWS($U$2:U737),$U$2:$U$1001,0),0), INDEX($AB$1004:$AQ$1004,1,MATCH(COLUMNS($AB$1006:AK1006),$AB$1006:$AQ$1006,0)))),"Fix")))</f>
        <v>0</v>
      </c>
      <c r="L737" s="5">
        <f>IF(OR(INDEX($V$2:$V$1001,MATCH(ROWS($U$2:U737),$U$2:$U$1001,0),1)&gt;=100000,INDEX($AB$1005:$AQ$1005,1,MATCH(COLUMNS($AB$1006:AL1006),$AB$1006:$AQ$1006,0))&gt;=100000), " ",IF(INDEX($AB$2:$AQ$1001,MATCH(ROWS($U$2:U737),$U$2:$U$1001,0),MATCH(COLUMNS($AB$1006:AL1006),$AB$1006:$AQ$1006,0)), HYPERLINK("#",""), HYPERLINK(CONCATENATE("#Metadata!", ADDRESS(INDEX($W$2:$W$1001,MATCH(ROWS($U$2:U737),$U$2:$U$1001,0),0), INDEX($AB$1004:$AQ$1004,1,MATCH(COLUMNS($AB$1006:AL1006),$AB$1006:$AQ$1006,0)))),"Fix")))</f>
        <v>0</v>
      </c>
      <c r="M737" s="5">
        <f>IF(OR(INDEX($V$2:$V$1001,MATCH(ROWS($U$2:U737),$U$2:$U$1001,0),1)&gt;=100000,INDEX($AB$1005:$AQ$1005,1,MATCH(COLUMNS($AB$1006:AM1006),$AB$1006:$AQ$1006,0))&gt;=100000), " ",IF(INDEX($AB$2:$AQ$1001,MATCH(ROWS($U$2:U737),$U$2:$U$1001,0),MATCH(COLUMNS($AB$1006:AM1006),$AB$1006:$AQ$1006,0)), HYPERLINK("#",""), HYPERLINK(CONCATENATE("#Metadata!", ADDRESS(INDEX($W$2:$W$1001,MATCH(ROWS($U$2:U737),$U$2:$U$1001,0),0), INDEX($AB$1004:$AQ$1004,1,MATCH(COLUMNS($AB$1006:AM1006),$AB$1006:$AQ$1006,0)))),"Fix")))</f>
        <v>0</v>
      </c>
      <c r="N737" s="5">
        <f>IF(OR(INDEX($V$2:$V$1001,MATCH(ROWS($U$2:U737),$U$2:$U$1001,0),1)&gt;=100000,INDEX($AB$1005:$AQ$1005,1,MATCH(COLUMNS($AB$1006:AN1006),$AB$1006:$AQ$1006,0))&gt;=100000), " ",IF(INDEX($AB$2:$AQ$1001,MATCH(ROWS($U$2:U737),$U$2:$U$1001,0),MATCH(COLUMNS($AB$1006:AN1006),$AB$1006:$AQ$1006,0)), HYPERLINK("#",""), HYPERLINK(CONCATENATE("#Metadata!", ADDRESS(INDEX($W$2:$W$1001,MATCH(ROWS($U$2:U737),$U$2:$U$1001,0),0), INDEX($AB$1004:$AQ$1004,1,MATCH(COLUMNS($AB$1006:AN1006),$AB$1006:$AQ$1006,0)))),"Fix")))</f>
        <v>0</v>
      </c>
      <c r="O737" s="5">
        <f>IF(OR(INDEX($V$2:$V$1001,MATCH(ROWS($U$2:U737),$U$2:$U$1001,0),1)&gt;=100000,INDEX($AB$1005:$AQ$1005,1,MATCH(COLUMNS($AB$1006:AO1006),$AB$1006:$AQ$1006,0))&gt;=100000), " ",IF(INDEX($AB$2:$AQ$1001,MATCH(ROWS($U$2:U737),$U$2:$U$1001,0),MATCH(COLUMNS($AB$1006:AO1006),$AB$1006:$AQ$1006,0)), HYPERLINK("#",""), HYPERLINK(CONCATENATE("#Metadata!", ADDRESS(INDEX($W$2:$W$1001,MATCH(ROWS($U$2:U737),$U$2:$U$1001,0),0), INDEX($AB$1004:$AQ$1004,1,MATCH(COLUMNS($AB$1006:AO1006),$AB$1006:$AQ$1006,0)))),"Fix")))</f>
        <v>0</v>
      </c>
      <c r="P737" s="5">
        <f>IF(OR(INDEX($V$2:$V$1001,MATCH(ROWS($U$2:U737),$U$2:$U$1001,0),1)&gt;=100000,INDEX($AB$1005:$AQ$1005,1,MATCH(COLUMNS($AB$1006:AP1006),$AB$1006:$AQ$1006,0))&gt;=100000), " ",IF(INDEX($AB$2:$AQ$1001,MATCH(ROWS($U$2:U737),$U$2:$U$1001,0),MATCH(COLUMNS($AB$1006:AP1006),$AB$1006:$AQ$1006,0)), HYPERLINK("#",""), HYPERLINK(CONCATENATE("#Metadata!", ADDRESS(INDEX($W$2:$W$1001,MATCH(ROWS($U$2:U737),$U$2:$U$1001,0),0), INDEX($AB$1004:$AQ$1004,1,MATCH(COLUMNS($AB$1006:AP1006),$AB$1006:$AQ$1006,0)))),"Fix")))</f>
        <v>0</v>
      </c>
      <c r="Q737" s="5">
        <f>IF(OR(INDEX($V$2:$V$1001,MATCH(ROWS($U$2:U737),$U$2:$U$1001,0),1)&gt;=100000,INDEX($AB$1005:$AQ$1005,1,MATCH(COLUMNS($AB$1006:AQ1006),$AB$1006:$AQ$1006,0))&gt;=100000), " ",IF(INDEX($AB$2:$AQ$1001,MATCH(ROWS($U$2:U737),$U$2:$U$1001,0),MATCH(COLUMNS($AB$1006:AQ1006),$AB$1006:$AQ$1006,0)), HYPERLINK("#",""), HYPERLINK(CONCATENATE("#Metadata!", ADDRESS(INDEX($W$2:$W$1001,MATCH(ROWS($U$2:U737),$U$2:$U$1001,0),0), INDEX($AB$1004:$AQ$1004,1,MATCH(COLUMNS($AB$1006:AQ1006),$AB$1006:$AQ$1006,0)))),"Fix")))</f>
        <v>0</v>
      </c>
      <c r="U737">
        <v>0</v>
      </c>
      <c r="V737">
        <v>0</v>
      </c>
      <c r="W737">
        <v>0</v>
      </c>
      <c r="X737">
        <f>IF(Y737,TRUE,AND(AB737:AQ737))</f>
        <v>0</v>
      </c>
      <c r="Y737">
        <f>COUNTBLANK(Metadata!B737:Q737)=COLUMNS(Metadata!B737:Q737)</f>
        <v>0</v>
      </c>
      <c r="Z737">
        <v>0</v>
      </c>
      <c r="AB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AC737">
        <f>AND(IF(Metadata!C737="",FALSE,TRUE),exact(Metadata!C737,"urban biome"))</f>
        <v>0</v>
      </c>
      <c r="AD737">
        <f>AND(IF(Metadata!D737="",FALSE,TRUE),exact(Metadata!D737,"human-associated habitat"))</f>
        <v>0</v>
      </c>
      <c r="AE737">
        <f>AND(IF(Metadata!E737="",FALSE,TRUE),OR(exact(Metadata!E737,"human-associated"),exact(Metadata!E737,"human-skin"),exact(Metadata!E737,"human-oral"),exact(Metadata!E737,"human-gut"),exact(Metadata!E737,"human-vaginal")))</f>
        <v>0</v>
      </c>
      <c r="AF737">
        <f>AND(IF(Metadata!F737="",FALSE,ISNUMBER(VALUE(Metadata!F737))),Metadata!F737&gt;0)</f>
        <v>0</v>
      </c>
      <c r="AG737">
        <f>AND(IF(Metadata!G737="",FALSE,TRUE),exact(Metadata!G737,"years"))</f>
        <v>0</v>
      </c>
      <c r="AH737">
        <f>OR(AND(IF(Metadata!H737="",FALSE,TRUE),OR(exact(Metadata!H737,"not applicable"),exact(Metadata!H737,"not collected"),exact(Metadata!H737,"not provided"),exact(Metadata!H737,"restricted access"))),AND(IF(Metadata!H737="",FALSE,ISNUMBER(VALUE(Metadata!H737))),Metadata!H737&gt;0))</f>
        <v>0</v>
      </c>
      <c r="AI737">
        <f>AND(IF(Metadata!I737="",FALSE,TRUE),exact(Metadata!I737,"human"))</f>
        <v>0</v>
      </c>
      <c r="AJ737">
        <f>AND(IF(Metadata!J737="",FALSE,ISNUMBER(VALUE(Metadata!J737))),Metadata!J737&gt;0)</f>
        <v>0</v>
      </c>
      <c r="AK737">
        <f>AND(IF(Metadata!K737="",FALSE,TRUE),exact(Metadata!K737,"cm"))</f>
        <v>0</v>
      </c>
      <c r="AL737">
        <f>AND(IF(Metadata!L737="",FALSE,TRUE),exact(Metadata!L737,"Homo sapiens"))</f>
        <v>0</v>
      </c>
      <c r="AM737">
        <f>AND(IF(Metadata!M737="",FALSE,TRUE),exact(Metadata!M737,"9606"))</f>
        <v>0</v>
      </c>
      <c r="AN737">
        <f>AND(IF(Metadata!N737="",FALSE,ISNUMBER(VALUE(Metadata!N737))),Metadata!N737&gt;0)</f>
        <v>0</v>
      </c>
      <c r="AO737">
        <f>AND(IF(Metadata!O737="",FALSE,TRUE),exact(Metadata!O737,"kg"))</f>
        <v>0</v>
      </c>
      <c r="AP737">
        <f>OR(AND(IF(Metadata!P737="",FALSE,TRUE),exact(Metadata!P737,"not provided")),IF(Metadata!P737="",FALSE,TRUE))</f>
        <v>0</v>
      </c>
      <c r="AQ737">
        <f>OR(AND(IF(Metadata!Q737="",FALSE,TRUE),exact(Metadata!Q737,"not provided")),IF(Metadata!Q737="",FALSE,TRUE))</f>
        <v>0</v>
      </c>
    </row>
    <row r="738" spans="1:43">
      <c r="A738" s="4">
        <f>IF(B738=" "," ",HYPERLINK(CONCATENATE("#metadata!",ADDRESS(INDEX($W$2:$W$1001,MATCH(ROWS($U$2:U738),$U$2:$U$1001,0),0),2)),INDEX($Z$2:$Z$1001,MATCH(ROWS($U$2:U738),$U$2:$U$1001,0),0)))</f>
        <v>0</v>
      </c>
      <c r="B738" s="5">
        <f>IF(OR(INDEX($V$2:$V$1001,MATCH(ROWS($U$2:U738),$U$2:$U$1001,0),1)&gt;=100000,INDEX($AB$1005:$AQ$1005,1,MATCH(COLUMNS($AB$1006:AB1006),$AB$1006:$AQ$1006,0))&gt;=100000), " ",IF(INDEX($AB$2:$AQ$1001,MATCH(ROWS($U$2:U738),$U$2:$U$1001,0),MATCH(COLUMNS($AB$1006:AB1006),$AB$1006:$AQ$1006,0)), HYPERLINK("#",""), HYPERLINK(CONCATENATE("#Metadata!", ADDRESS(INDEX($W$2:$W$1001,MATCH(ROWS($U$2:U738),$U$2:$U$1001,0),0), INDEX($AB$1004:$AQ$1004,1,MATCH(COLUMNS($AB$1006:AB1006),$AB$1006:$AQ$1006,0)))),"Fix")))</f>
        <v>0</v>
      </c>
      <c r="C738" s="5">
        <f>IF(OR(INDEX($V$2:$V$1001,MATCH(ROWS($U$2:U738),$U$2:$U$1001,0),1)&gt;=100000,INDEX($AB$1005:$AQ$1005,1,MATCH(COLUMNS($AB$1006:AC1006),$AB$1006:$AQ$1006,0))&gt;=100000), " ",IF(INDEX($AB$2:$AQ$1001,MATCH(ROWS($U$2:U738),$U$2:$U$1001,0),MATCH(COLUMNS($AB$1006:AC1006),$AB$1006:$AQ$1006,0)), HYPERLINK("#",""), HYPERLINK(CONCATENATE("#Metadata!", ADDRESS(INDEX($W$2:$W$1001,MATCH(ROWS($U$2:U738),$U$2:$U$1001,0),0), INDEX($AB$1004:$AQ$1004,1,MATCH(COLUMNS($AB$1006:AC1006),$AB$1006:$AQ$1006,0)))),"Fix")))</f>
        <v>0</v>
      </c>
      <c r="D738" s="5">
        <f>IF(OR(INDEX($V$2:$V$1001,MATCH(ROWS($U$2:U738),$U$2:$U$1001,0),1)&gt;=100000,INDEX($AB$1005:$AQ$1005,1,MATCH(COLUMNS($AB$1006:AD1006),$AB$1006:$AQ$1006,0))&gt;=100000), " ",IF(INDEX($AB$2:$AQ$1001,MATCH(ROWS($U$2:U738),$U$2:$U$1001,0),MATCH(COLUMNS($AB$1006:AD1006),$AB$1006:$AQ$1006,0)), HYPERLINK("#",""), HYPERLINK(CONCATENATE("#Metadata!", ADDRESS(INDEX($W$2:$W$1001,MATCH(ROWS($U$2:U738),$U$2:$U$1001,0),0), INDEX($AB$1004:$AQ$1004,1,MATCH(COLUMNS($AB$1006:AD1006),$AB$1006:$AQ$1006,0)))),"Fix")))</f>
        <v>0</v>
      </c>
      <c r="E738" s="5">
        <f>IF(OR(INDEX($V$2:$V$1001,MATCH(ROWS($U$2:U738),$U$2:$U$1001,0),1)&gt;=100000,INDEX($AB$1005:$AQ$1005,1,MATCH(COLUMNS($AB$1006:AE1006),$AB$1006:$AQ$1006,0))&gt;=100000), " ",IF(INDEX($AB$2:$AQ$1001,MATCH(ROWS($U$2:U738),$U$2:$U$1001,0),MATCH(COLUMNS($AB$1006:AE1006),$AB$1006:$AQ$1006,0)), HYPERLINK("#",""), HYPERLINK(CONCATENATE("#Metadata!", ADDRESS(INDEX($W$2:$W$1001,MATCH(ROWS($U$2:U738),$U$2:$U$1001,0),0), INDEX($AB$1004:$AQ$1004,1,MATCH(COLUMNS($AB$1006:AE1006),$AB$1006:$AQ$1006,0)))),"Fix")))</f>
        <v>0</v>
      </c>
      <c r="F738" s="5">
        <f>IF(OR(INDEX($V$2:$V$1001,MATCH(ROWS($U$2:U738),$U$2:$U$1001,0),1)&gt;=100000,INDEX($AB$1005:$AQ$1005,1,MATCH(COLUMNS($AB$1006:AF1006),$AB$1006:$AQ$1006,0))&gt;=100000), " ",IF(INDEX($AB$2:$AQ$1001,MATCH(ROWS($U$2:U738),$U$2:$U$1001,0),MATCH(COLUMNS($AB$1006:AF1006),$AB$1006:$AQ$1006,0)), HYPERLINK("#",""), HYPERLINK(CONCATENATE("#Metadata!", ADDRESS(INDEX($W$2:$W$1001,MATCH(ROWS($U$2:U738),$U$2:$U$1001,0),0), INDEX($AB$1004:$AQ$1004,1,MATCH(COLUMNS($AB$1006:AF1006),$AB$1006:$AQ$1006,0)))),"Fix")))</f>
        <v>0</v>
      </c>
      <c r="G738" s="5">
        <f>IF(OR(INDEX($V$2:$V$1001,MATCH(ROWS($U$2:U738),$U$2:$U$1001,0),1)&gt;=100000,INDEX($AB$1005:$AQ$1005,1,MATCH(COLUMNS($AB$1006:AG1006),$AB$1006:$AQ$1006,0))&gt;=100000), " ",IF(INDEX($AB$2:$AQ$1001,MATCH(ROWS($U$2:U738),$U$2:$U$1001,0),MATCH(COLUMNS($AB$1006:AG1006),$AB$1006:$AQ$1006,0)), HYPERLINK("#",""), HYPERLINK(CONCATENATE("#Metadata!", ADDRESS(INDEX($W$2:$W$1001,MATCH(ROWS($U$2:U738),$U$2:$U$1001,0),0), INDEX($AB$1004:$AQ$1004,1,MATCH(COLUMNS($AB$1006:AG1006),$AB$1006:$AQ$1006,0)))),"Fix")))</f>
        <v>0</v>
      </c>
      <c r="H738" s="5">
        <f>IF(OR(INDEX($V$2:$V$1001,MATCH(ROWS($U$2:U738),$U$2:$U$1001,0),1)&gt;=100000,INDEX($AB$1005:$AQ$1005,1,MATCH(COLUMNS($AB$1006:AH1006),$AB$1006:$AQ$1006,0))&gt;=100000), " ",IF(INDEX($AB$2:$AQ$1001,MATCH(ROWS($U$2:U738),$U$2:$U$1001,0),MATCH(COLUMNS($AB$1006:AH1006),$AB$1006:$AQ$1006,0)), HYPERLINK("#",""), HYPERLINK(CONCATENATE("#Metadata!", ADDRESS(INDEX($W$2:$W$1001,MATCH(ROWS($U$2:U738),$U$2:$U$1001,0),0), INDEX($AB$1004:$AQ$1004,1,MATCH(COLUMNS($AB$1006:AH1006),$AB$1006:$AQ$1006,0)))),"Fix")))</f>
        <v>0</v>
      </c>
      <c r="I738" s="5">
        <f>IF(OR(INDEX($V$2:$V$1001,MATCH(ROWS($U$2:U738),$U$2:$U$1001,0),1)&gt;=100000,INDEX($AB$1005:$AQ$1005,1,MATCH(COLUMNS($AB$1006:AI1006),$AB$1006:$AQ$1006,0))&gt;=100000), " ",IF(INDEX($AB$2:$AQ$1001,MATCH(ROWS($U$2:U738),$U$2:$U$1001,0),MATCH(COLUMNS($AB$1006:AI1006),$AB$1006:$AQ$1006,0)), HYPERLINK("#",""), HYPERLINK(CONCATENATE("#Metadata!", ADDRESS(INDEX($W$2:$W$1001,MATCH(ROWS($U$2:U738),$U$2:$U$1001,0),0), INDEX($AB$1004:$AQ$1004,1,MATCH(COLUMNS($AB$1006:AI1006),$AB$1006:$AQ$1006,0)))),"Fix")))</f>
        <v>0</v>
      </c>
      <c r="J738" s="5">
        <f>IF(OR(INDEX($V$2:$V$1001,MATCH(ROWS($U$2:U738),$U$2:$U$1001,0),1)&gt;=100000,INDEX($AB$1005:$AQ$1005,1,MATCH(COLUMNS($AB$1006:AJ1006),$AB$1006:$AQ$1006,0))&gt;=100000), " ",IF(INDEX($AB$2:$AQ$1001,MATCH(ROWS($U$2:U738),$U$2:$U$1001,0),MATCH(COLUMNS($AB$1006:AJ1006),$AB$1006:$AQ$1006,0)), HYPERLINK("#",""), HYPERLINK(CONCATENATE("#Metadata!", ADDRESS(INDEX($W$2:$W$1001,MATCH(ROWS($U$2:U738),$U$2:$U$1001,0),0), INDEX($AB$1004:$AQ$1004,1,MATCH(COLUMNS($AB$1006:AJ1006),$AB$1006:$AQ$1006,0)))),"Fix")))</f>
        <v>0</v>
      </c>
      <c r="K738" s="5">
        <f>IF(OR(INDEX($V$2:$V$1001,MATCH(ROWS($U$2:U738),$U$2:$U$1001,0),1)&gt;=100000,INDEX($AB$1005:$AQ$1005,1,MATCH(COLUMNS($AB$1006:AK1006),$AB$1006:$AQ$1006,0))&gt;=100000), " ",IF(INDEX($AB$2:$AQ$1001,MATCH(ROWS($U$2:U738),$U$2:$U$1001,0),MATCH(COLUMNS($AB$1006:AK1006),$AB$1006:$AQ$1006,0)), HYPERLINK("#",""), HYPERLINK(CONCATENATE("#Metadata!", ADDRESS(INDEX($W$2:$W$1001,MATCH(ROWS($U$2:U738),$U$2:$U$1001,0),0), INDEX($AB$1004:$AQ$1004,1,MATCH(COLUMNS($AB$1006:AK1006),$AB$1006:$AQ$1006,0)))),"Fix")))</f>
        <v>0</v>
      </c>
      <c r="L738" s="5">
        <f>IF(OR(INDEX($V$2:$V$1001,MATCH(ROWS($U$2:U738),$U$2:$U$1001,0),1)&gt;=100000,INDEX($AB$1005:$AQ$1005,1,MATCH(COLUMNS($AB$1006:AL1006),$AB$1006:$AQ$1006,0))&gt;=100000), " ",IF(INDEX($AB$2:$AQ$1001,MATCH(ROWS($U$2:U738),$U$2:$U$1001,0),MATCH(COLUMNS($AB$1006:AL1006),$AB$1006:$AQ$1006,0)), HYPERLINK("#",""), HYPERLINK(CONCATENATE("#Metadata!", ADDRESS(INDEX($W$2:$W$1001,MATCH(ROWS($U$2:U738),$U$2:$U$1001,0),0), INDEX($AB$1004:$AQ$1004,1,MATCH(COLUMNS($AB$1006:AL1006),$AB$1006:$AQ$1006,0)))),"Fix")))</f>
        <v>0</v>
      </c>
      <c r="M738" s="5">
        <f>IF(OR(INDEX($V$2:$V$1001,MATCH(ROWS($U$2:U738),$U$2:$U$1001,0),1)&gt;=100000,INDEX($AB$1005:$AQ$1005,1,MATCH(COLUMNS($AB$1006:AM1006),$AB$1006:$AQ$1006,0))&gt;=100000), " ",IF(INDEX($AB$2:$AQ$1001,MATCH(ROWS($U$2:U738),$U$2:$U$1001,0),MATCH(COLUMNS($AB$1006:AM1006),$AB$1006:$AQ$1006,0)), HYPERLINK("#",""), HYPERLINK(CONCATENATE("#Metadata!", ADDRESS(INDEX($W$2:$W$1001,MATCH(ROWS($U$2:U738),$U$2:$U$1001,0),0), INDEX($AB$1004:$AQ$1004,1,MATCH(COLUMNS($AB$1006:AM1006),$AB$1006:$AQ$1006,0)))),"Fix")))</f>
        <v>0</v>
      </c>
      <c r="N738" s="5">
        <f>IF(OR(INDEX($V$2:$V$1001,MATCH(ROWS($U$2:U738),$U$2:$U$1001,0),1)&gt;=100000,INDEX($AB$1005:$AQ$1005,1,MATCH(COLUMNS($AB$1006:AN1006),$AB$1006:$AQ$1006,0))&gt;=100000), " ",IF(INDEX($AB$2:$AQ$1001,MATCH(ROWS($U$2:U738),$U$2:$U$1001,0),MATCH(COLUMNS($AB$1006:AN1006),$AB$1006:$AQ$1006,0)), HYPERLINK("#",""), HYPERLINK(CONCATENATE("#Metadata!", ADDRESS(INDEX($W$2:$W$1001,MATCH(ROWS($U$2:U738),$U$2:$U$1001,0),0), INDEX($AB$1004:$AQ$1004,1,MATCH(COLUMNS($AB$1006:AN1006),$AB$1006:$AQ$1006,0)))),"Fix")))</f>
        <v>0</v>
      </c>
      <c r="O738" s="5">
        <f>IF(OR(INDEX($V$2:$V$1001,MATCH(ROWS($U$2:U738),$U$2:$U$1001,0),1)&gt;=100000,INDEX($AB$1005:$AQ$1005,1,MATCH(COLUMNS($AB$1006:AO1006),$AB$1006:$AQ$1006,0))&gt;=100000), " ",IF(INDEX($AB$2:$AQ$1001,MATCH(ROWS($U$2:U738),$U$2:$U$1001,0),MATCH(COLUMNS($AB$1006:AO1006),$AB$1006:$AQ$1006,0)), HYPERLINK("#",""), HYPERLINK(CONCATENATE("#Metadata!", ADDRESS(INDEX($W$2:$W$1001,MATCH(ROWS($U$2:U738),$U$2:$U$1001,0),0), INDEX($AB$1004:$AQ$1004,1,MATCH(COLUMNS($AB$1006:AO1006),$AB$1006:$AQ$1006,0)))),"Fix")))</f>
        <v>0</v>
      </c>
      <c r="P738" s="5">
        <f>IF(OR(INDEX($V$2:$V$1001,MATCH(ROWS($U$2:U738),$U$2:$U$1001,0),1)&gt;=100000,INDEX($AB$1005:$AQ$1005,1,MATCH(COLUMNS($AB$1006:AP1006),$AB$1006:$AQ$1006,0))&gt;=100000), " ",IF(INDEX($AB$2:$AQ$1001,MATCH(ROWS($U$2:U738),$U$2:$U$1001,0),MATCH(COLUMNS($AB$1006:AP1006),$AB$1006:$AQ$1006,0)), HYPERLINK("#",""), HYPERLINK(CONCATENATE("#Metadata!", ADDRESS(INDEX($W$2:$W$1001,MATCH(ROWS($U$2:U738),$U$2:$U$1001,0),0), INDEX($AB$1004:$AQ$1004,1,MATCH(COLUMNS($AB$1006:AP1006),$AB$1006:$AQ$1006,0)))),"Fix")))</f>
        <v>0</v>
      </c>
      <c r="Q738" s="5">
        <f>IF(OR(INDEX($V$2:$V$1001,MATCH(ROWS($U$2:U738),$U$2:$U$1001,0),1)&gt;=100000,INDEX($AB$1005:$AQ$1005,1,MATCH(COLUMNS($AB$1006:AQ1006),$AB$1006:$AQ$1006,0))&gt;=100000), " ",IF(INDEX($AB$2:$AQ$1001,MATCH(ROWS($U$2:U738),$U$2:$U$1001,0),MATCH(COLUMNS($AB$1006:AQ1006),$AB$1006:$AQ$1006,0)), HYPERLINK("#",""), HYPERLINK(CONCATENATE("#Metadata!", ADDRESS(INDEX($W$2:$W$1001,MATCH(ROWS($U$2:U738),$U$2:$U$1001,0),0), INDEX($AB$1004:$AQ$1004,1,MATCH(COLUMNS($AB$1006:AQ1006),$AB$1006:$AQ$1006,0)))),"Fix")))</f>
        <v>0</v>
      </c>
      <c r="U738">
        <v>0</v>
      </c>
      <c r="V738">
        <v>0</v>
      </c>
      <c r="W738">
        <v>0</v>
      </c>
      <c r="X738">
        <f>IF(Y738,TRUE,AND(AB738:AQ738))</f>
        <v>0</v>
      </c>
      <c r="Y738">
        <f>COUNTBLANK(Metadata!B738:Q738)=COLUMNS(Metadata!B738:Q738)</f>
        <v>0</v>
      </c>
      <c r="Z738">
        <v>0</v>
      </c>
      <c r="AB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AC738">
        <f>AND(IF(Metadata!C738="",FALSE,TRUE),exact(Metadata!C738,"urban biome"))</f>
        <v>0</v>
      </c>
      <c r="AD738">
        <f>AND(IF(Metadata!D738="",FALSE,TRUE),exact(Metadata!D738,"human-associated habitat"))</f>
        <v>0</v>
      </c>
      <c r="AE738">
        <f>AND(IF(Metadata!E738="",FALSE,TRUE),OR(exact(Metadata!E738,"human-associated"),exact(Metadata!E738,"human-skin"),exact(Metadata!E738,"human-oral"),exact(Metadata!E738,"human-gut"),exact(Metadata!E738,"human-vaginal")))</f>
        <v>0</v>
      </c>
      <c r="AF738">
        <f>AND(IF(Metadata!F738="",FALSE,ISNUMBER(VALUE(Metadata!F738))),Metadata!F738&gt;0)</f>
        <v>0</v>
      </c>
      <c r="AG738">
        <f>AND(IF(Metadata!G738="",FALSE,TRUE),exact(Metadata!G738,"years"))</f>
        <v>0</v>
      </c>
      <c r="AH738">
        <f>OR(AND(IF(Metadata!H738="",FALSE,TRUE),OR(exact(Metadata!H738,"not applicable"),exact(Metadata!H738,"not collected"),exact(Metadata!H738,"not provided"),exact(Metadata!H738,"restricted access"))),AND(IF(Metadata!H738="",FALSE,ISNUMBER(VALUE(Metadata!H738))),Metadata!H738&gt;0))</f>
        <v>0</v>
      </c>
      <c r="AI738">
        <f>AND(IF(Metadata!I738="",FALSE,TRUE),exact(Metadata!I738,"human"))</f>
        <v>0</v>
      </c>
      <c r="AJ738">
        <f>AND(IF(Metadata!J738="",FALSE,ISNUMBER(VALUE(Metadata!J738))),Metadata!J738&gt;0)</f>
        <v>0</v>
      </c>
      <c r="AK738">
        <f>AND(IF(Metadata!K738="",FALSE,TRUE),exact(Metadata!K738,"cm"))</f>
        <v>0</v>
      </c>
      <c r="AL738">
        <f>AND(IF(Metadata!L738="",FALSE,TRUE),exact(Metadata!L738,"Homo sapiens"))</f>
        <v>0</v>
      </c>
      <c r="AM738">
        <f>AND(IF(Metadata!M738="",FALSE,TRUE),exact(Metadata!M738,"9606"))</f>
        <v>0</v>
      </c>
      <c r="AN738">
        <f>AND(IF(Metadata!N738="",FALSE,ISNUMBER(VALUE(Metadata!N738))),Metadata!N738&gt;0)</f>
        <v>0</v>
      </c>
      <c r="AO738">
        <f>AND(IF(Metadata!O738="",FALSE,TRUE),exact(Metadata!O738,"kg"))</f>
        <v>0</v>
      </c>
      <c r="AP738">
        <f>OR(AND(IF(Metadata!P738="",FALSE,TRUE),exact(Metadata!P738,"not provided")),IF(Metadata!P738="",FALSE,TRUE))</f>
        <v>0</v>
      </c>
      <c r="AQ738">
        <f>OR(AND(IF(Metadata!Q738="",FALSE,TRUE),exact(Metadata!Q738,"not provided")),IF(Metadata!Q738="",FALSE,TRUE))</f>
        <v>0</v>
      </c>
    </row>
    <row r="739" spans="1:43">
      <c r="A739" s="4">
        <f>IF(B739=" "," ",HYPERLINK(CONCATENATE("#metadata!",ADDRESS(INDEX($W$2:$W$1001,MATCH(ROWS($U$2:U739),$U$2:$U$1001,0),0),2)),INDEX($Z$2:$Z$1001,MATCH(ROWS($U$2:U739),$U$2:$U$1001,0),0)))</f>
        <v>0</v>
      </c>
      <c r="B739" s="5">
        <f>IF(OR(INDEX($V$2:$V$1001,MATCH(ROWS($U$2:U739),$U$2:$U$1001,0),1)&gt;=100000,INDEX($AB$1005:$AQ$1005,1,MATCH(COLUMNS($AB$1006:AB1006),$AB$1006:$AQ$1006,0))&gt;=100000), " ",IF(INDEX($AB$2:$AQ$1001,MATCH(ROWS($U$2:U739),$U$2:$U$1001,0),MATCH(COLUMNS($AB$1006:AB1006),$AB$1006:$AQ$1006,0)), HYPERLINK("#",""), HYPERLINK(CONCATENATE("#Metadata!", ADDRESS(INDEX($W$2:$W$1001,MATCH(ROWS($U$2:U739),$U$2:$U$1001,0),0), INDEX($AB$1004:$AQ$1004,1,MATCH(COLUMNS($AB$1006:AB1006),$AB$1006:$AQ$1006,0)))),"Fix")))</f>
        <v>0</v>
      </c>
      <c r="C739" s="5">
        <f>IF(OR(INDEX($V$2:$V$1001,MATCH(ROWS($U$2:U739),$U$2:$U$1001,0),1)&gt;=100000,INDEX($AB$1005:$AQ$1005,1,MATCH(COLUMNS($AB$1006:AC1006),$AB$1006:$AQ$1006,0))&gt;=100000), " ",IF(INDEX($AB$2:$AQ$1001,MATCH(ROWS($U$2:U739),$U$2:$U$1001,0),MATCH(COLUMNS($AB$1006:AC1006),$AB$1006:$AQ$1006,0)), HYPERLINK("#",""), HYPERLINK(CONCATENATE("#Metadata!", ADDRESS(INDEX($W$2:$W$1001,MATCH(ROWS($U$2:U739),$U$2:$U$1001,0),0), INDEX($AB$1004:$AQ$1004,1,MATCH(COLUMNS($AB$1006:AC1006),$AB$1006:$AQ$1006,0)))),"Fix")))</f>
        <v>0</v>
      </c>
      <c r="D739" s="5">
        <f>IF(OR(INDEX($V$2:$V$1001,MATCH(ROWS($U$2:U739),$U$2:$U$1001,0),1)&gt;=100000,INDEX($AB$1005:$AQ$1005,1,MATCH(COLUMNS($AB$1006:AD1006),$AB$1006:$AQ$1006,0))&gt;=100000), " ",IF(INDEX($AB$2:$AQ$1001,MATCH(ROWS($U$2:U739),$U$2:$U$1001,0),MATCH(COLUMNS($AB$1006:AD1006),$AB$1006:$AQ$1006,0)), HYPERLINK("#",""), HYPERLINK(CONCATENATE("#Metadata!", ADDRESS(INDEX($W$2:$W$1001,MATCH(ROWS($U$2:U739),$U$2:$U$1001,0),0), INDEX($AB$1004:$AQ$1004,1,MATCH(COLUMNS($AB$1006:AD1006),$AB$1006:$AQ$1006,0)))),"Fix")))</f>
        <v>0</v>
      </c>
      <c r="E739" s="5">
        <f>IF(OR(INDEX($V$2:$V$1001,MATCH(ROWS($U$2:U739),$U$2:$U$1001,0),1)&gt;=100000,INDEX($AB$1005:$AQ$1005,1,MATCH(COLUMNS($AB$1006:AE1006),$AB$1006:$AQ$1006,0))&gt;=100000), " ",IF(INDEX($AB$2:$AQ$1001,MATCH(ROWS($U$2:U739),$U$2:$U$1001,0),MATCH(COLUMNS($AB$1006:AE1006),$AB$1006:$AQ$1006,0)), HYPERLINK("#",""), HYPERLINK(CONCATENATE("#Metadata!", ADDRESS(INDEX($W$2:$W$1001,MATCH(ROWS($U$2:U739),$U$2:$U$1001,0),0), INDEX($AB$1004:$AQ$1004,1,MATCH(COLUMNS($AB$1006:AE1006),$AB$1006:$AQ$1006,0)))),"Fix")))</f>
        <v>0</v>
      </c>
      <c r="F739" s="5">
        <f>IF(OR(INDEX($V$2:$V$1001,MATCH(ROWS($U$2:U739),$U$2:$U$1001,0),1)&gt;=100000,INDEX($AB$1005:$AQ$1005,1,MATCH(COLUMNS($AB$1006:AF1006),$AB$1006:$AQ$1006,0))&gt;=100000), " ",IF(INDEX($AB$2:$AQ$1001,MATCH(ROWS($U$2:U739),$U$2:$U$1001,0),MATCH(COLUMNS($AB$1006:AF1006),$AB$1006:$AQ$1006,0)), HYPERLINK("#",""), HYPERLINK(CONCATENATE("#Metadata!", ADDRESS(INDEX($W$2:$W$1001,MATCH(ROWS($U$2:U739),$U$2:$U$1001,0),0), INDEX($AB$1004:$AQ$1004,1,MATCH(COLUMNS($AB$1006:AF1006),$AB$1006:$AQ$1006,0)))),"Fix")))</f>
        <v>0</v>
      </c>
      <c r="G739" s="5">
        <f>IF(OR(INDEX($V$2:$V$1001,MATCH(ROWS($U$2:U739),$U$2:$U$1001,0),1)&gt;=100000,INDEX($AB$1005:$AQ$1005,1,MATCH(COLUMNS($AB$1006:AG1006),$AB$1006:$AQ$1006,0))&gt;=100000), " ",IF(INDEX($AB$2:$AQ$1001,MATCH(ROWS($U$2:U739),$U$2:$U$1001,0),MATCH(COLUMNS($AB$1006:AG1006),$AB$1006:$AQ$1006,0)), HYPERLINK("#",""), HYPERLINK(CONCATENATE("#Metadata!", ADDRESS(INDEX($W$2:$W$1001,MATCH(ROWS($U$2:U739),$U$2:$U$1001,0),0), INDEX($AB$1004:$AQ$1004,1,MATCH(COLUMNS($AB$1006:AG1006),$AB$1006:$AQ$1006,0)))),"Fix")))</f>
        <v>0</v>
      </c>
      <c r="H739" s="5">
        <f>IF(OR(INDEX($V$2:$V$1001,MATCH(ROWS($U$2:U739),$U$2:$U$1001,0),1)&gt;=100000,INDEX($AB$1005:$AQ$1005,1,MATCH(COLUMNS($AB$1006:AH1006),$AB$1006:$AQ$1006,0))&gt;=100000), " ",IF(INDEX($AB$2:$AQ$1001,MATCH(ROWS($U$2:U739),$U$2:$U$1001,0),MATCH(COLUMNS($AB$1006:AH1006),$AB$1006:$AQ$1006,0)), HYPERLINK("#",""), HYPERLINK(CONCATENATE("#Metadata!", ADDRESS(INDEX($W$2:$W$1001,MATCH(ROWS($U$2:U739),$U$2:$U$1001,0),0), INDEX($AB$1004:$AQ$1004,1,MATCH(COLUMNS($AB$1006:AH1006),$AB$1006:$AQ$1006,0)))),"Fix")))</f>
        <v>0</v>
      </c>
      <c r="I739" s="5">
        <f>IF(OR(INDEX($V$2:$V$1001,MATCH(ROWS($U$2:U739),$U$2:$U$1001,0),1)&gt;=100000,INDEX($AB$1005:$AQ$1005,1,MATCH(COLUMNS($AB$1006:AI1006),$AB$1006:$AQ$1006,0))&gt;=100000), " ",IF(INDEX($AB$2:$AQ$1001,MATCH(ROWS($U$2:U739),$U$2:$U$1001,0),MATCH(COLUMNS($AB$1006:AI1006),$AB$1006:$AQ$1006,0)), HYPERLINK("#",""), HYPERLINK(CONCATENATE("#Metadata!", ADDRESS(INDEX($W$2:$W$1001,MATCH(ROWS($U$2:U739),$U$2:$U$1001,0),0), INDEX($AB$1004:$AQ$1004,1,MATCH(COLUMNS($AB$1006:AI1006),$AB$1006:$AQ$1006,0)))),"Fix")))</f>
        <v>0</v>
      </c>
      <c r="J739" s="5">
        <f>IF(OR(INDEX($V$2:$V$1001,MATCH(ROWS($U$2:U739),$U$2:$U$1001,0),1)&gt;=100000,INDEX($AB$1005:$AQ$1005,1,MATCH(COLUMNS($AB$1006:AJ1006),$AB$1006:$AQ$1006,0))&gt;=100000), " ",IF(INDEX($AB$2:$AQ$1001,MATCH(ROWS($U$2:U739),$U$2:$U$1001,0),MATCH(COLUMNS($AB$1006:AJ1006),$AB$1006:$AQ$1006,0)), HYPERLINK("#",""), HYPERLINK(CONCATENATE("#Metadata!", ADDRESS(INDEX($W$2:$W$1001,MATCH(ROWS($U$2:U739),$U$2:$U$1001,0),0), INDEX($AB$1004:$AQ$1004,1,MATCH(COLUMNS($AB$1006:AJ1006),$AB$1006:$AQ$1006,0)))),"Fix")))</f>
        <v>0</v>
      </c>
      <c r="K739" s="5">
        <f>IF(OR(INDEX($V$2:$V$1001,MATCH(ROWS($U$2:U739),$U$2:$U$1001,0),1)&gt;=100000,INDEX($AB$1005:$AQ$1005,1,MATCH(COLUMNS($AB$1006:AK1006),$AB$1006:$AQ$1006,0))&gt;=100000), " ",IF(INDEX($AB$2:$AQ$1001,MATCH(ROWS($U$2:U739),$U$2:$U$1001,0),MATCH(COLUMNS($AB$1006:AK1006),$AB$1006:$AQ$1006,0)), HYPERLINK("#",""), HYPERLINK(CONCATENATE("#Metadata!", ADDRESS(INDEX($W$2:$W$1001,MATCH(ROWS($U$2:U739),$U$2:$U$1001,0),0), INDEX($AB$1004:$AQ$1004,1,MATCH(COLUMNS($AB$1006:AK1006),$AB$1006:$AQ$1006,0)))),"Fix")))</f>
        <v>0</v>
      </c>
      <c r="L739" s="5">
        <f>IF(OR(INDEX($V$2:$V$1001,MATCH(ROWS($U$2:U739),$U$2:$U$1001,0),1)&gt;=100000,INDEX($AB$1005:$AQ$1005,1,MATCH(COLUMNS($AB$1006:AL1006),$AB$1006:$AQ$1006,0))&gt;=100000), " ",IF(INDEX($AB$2:$AQ$1001,MATCH(ROWS($U$2:U739),$U$2:$U$1001,0),MATCH(COLUMNS($AB$1006:AL1006),$AB$1006:$AQ$1006,0)), HYPERLINK("#",""), HYPERLINK(CONCATENATE("#Metadata!", ADDRESS(INDEX($W$2:$W$1001,MATCH(ROWS($U$2:U739),$U$2:$U$1001,0),0), INDEX($AB$1004:$AQ$1004,1,MATCH(COLUMNS($AB$1006:AL1006),$AB$1006:$AQ$1006,0)))),"Fix")))</f>
        <v>0</v>
      </c>
      <c r="M739" s="5">
        <f>IF(OR(INDEX($V$2:$V$1001,MATCH(ROWS($U$2:U739),$U$2:$U$1001,0),1)&gt;=100000,INDEX($AB$1005:$AQ$1005,1,MATCH(COLUMNS($AB$1006:AM1006),$AB$1006:$AQ$1006,0))&gt;=100000), " ",IF(INDEX($AB$2:$AQ$1001,MATCH(ROWS($U$2:U739),$U$2:$U$1001,0),MATCH(COLUMNS($AB$1006:AM1006),$AB$1006:$AQ$1006,0)), HYPERLINK("#",""), HYPERLINK(CONCATENATE("#Metadata!", ADDRESS(INDEX($W$2:$W$1001,MATCH(ROWS($U$2:U739),$U$2:$U$1001,0),0), INDEX($AB$1004:$AQ$1004,1,MATCH(COLUMNS($AB$1006:AM1006),$AB$1006:$AQ$1006,0)))),"Fix")))</f>
        <v>0</v>
      </c>
      <c r="N739" s="5">
        <f>IF(OR(INDEX($V$2:$V$1001,MATCH(ROWS($U$2:U739),$U$2:$U$1001,0),1)&gt;=100000,INDEX($AB$1005:$AQ$1005,1,MATCH(COLUMNS($AB$1006:AN1006),$AB$1006:$AQ$1006,0))&gt;=100000), " ",IF(INDEX($AB$2:$AQ$1001,MATCH(ROWS($U$2:U739),$U$2:$U$1001,0),MATCH(COLUMNS($AB$1006:AN1006),$AB$1006:$AQ$1006,0)), HYPERLINK("#",""), HYPERLINK(CONCATENATE("#Metadata!", ADDRESS(INDEX($W$2:$W$1001,MATCH(ROWS($U$2:U739),$U$2:$U$1001,0),0), INDEX($AB$1004:$AQ$1004,1,MATCH(COLUMNS($AB$1006:AN1006),$AB$1006:$AQ$1006,0)))),"Fix")))</f>
        <v>0</v>
      </c>
      <c r="O739" s="5">
        <f>IF(OR(INDEX($V$2:$V$1001,MATCH(ROWS($U$2:U739),$U$2:$U$1001,0),1)&gt;=100000,INDEX($AB$1005:$AQ$1005,1,MATCH(COLUMNS($AB$1006:AO1006),$AB$1006:$AQ$1006,0))&gt;=100000), " ",IF(INDEX($AB$2:$AQ$1001,MATCH(ROWS($U$2:U739),$U$2:$U$1001,0),MATCH(COLUMNS($AB$1006:AO1006),$AB$1006:$AQ$1006,0)), HYPERLINK("#",""), HYPERLINK(CONCATENATE("#Metadata!", ADDRESS(INDEX($W$2:$W$1001,MATCH(ROWS($U$2:U739),$U$2:$U$1001,0),0), INDEX($AB$1004:$AQ$1004,1,MATCH(COLUMNS($AB$1006:AO1006),$AB$1006:$AQ$1006,0)))),"Fix")))</f>
        <v>0</v>
      </c>
      <c r="P739" s="5">
        <f>IF(OR(INDEX($V$2:$V$1001,MATCH(ROWS($U$2:U739),$U$2:$U$1001,0),1)&gt;=100000,INDEX($AB$1005:$AQ$1005,1,MATCH(COLUMNS($AB$1006:AP1006),$AB$1006:$AQ$1006,0))&gt;=100000), " ",IF(INDEX($AB$2:$AQ$1001,MATCH(ROWS($U$2:U739),$U$2:$U$1001,0),MATCH(COLUMNS($AB$1006:AP1006),$AB$1006:$AQ$1006,0)), HYPERLINK("#",""), HYPERLINK(CONCATENATE("#Metadata!", ADDRESS(INDEX($W$2:$W$1001,MATCH(ROWS($U$2:U739),$U$2:$U$1001,0),0), INDEX($AB$1004:$AQ$1004,1,MATCH(COLUMNS($AB$1006:AP1006),$AB$1006:$AQ$1006,0)))),"Fix")))</f>
        <v>0</v>
      </c>
      <c r="Q739" s="5">
        <f>IF(OR(INDEX($V$2:$V$1001,MATCH(ROWS($U$2:U739),$U$2:$U$1001,0),1)&gt;=100000,INDEX($AB$1005:$AQ$1005,1,MATCH(COLUMNS($AB$1006:AQ1006),$AB$1006:$AQ$1006,0))&gt;=100000), " ",IF(INDEX($AB$2:$AQ$1001,MATCH(ROWS($U$2:U739),$U$2:$U$1001,0),MATCH(COLUMNS($AB$1006:AQ1006),$AB$1006:$AQ$1006,0)), HYPERLINK("#",""), HYPERLINK(CONCATENATE("#Metadata!", ADDRESS(INDEX($W$2:$W$1001,MATCH(ROWS($U$2:U739),$U$2:$U$1001,0),0), INDEX($AB$1004:$AQ$1004,1,MATCH(COLUMNS($AB$1006:AQ1006),$AB$1006:$AQ$1006,0)))),"Fix")))</f>
        <v>0</v>
      </c>
      <c r="U739">
        <v>0</v>
      </c>
      <c r="V739">
        <v>0</v>
      </c>
      <c r="W739">
        <v>0</v>
      </c>
      <c r="X739">
        <f>IF(Y739,TRUE,AND(AB739:AQ739))</f>
        <v>0</v>
      </c>
      <c r="Y739">
        <f>COUNTBLANK(Metadata!B739:Q739)=COLUMNS(Metadata!B739:Q739)</f>
        <v>0</v>
      </c>
      <c r="Z739">
        <v>0</v>
      </c>
      <c r="AB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AC739">
        <f>AND(IF(Metadata!C739="",FALSE,TRUE),exact(Metadata!C739,"urban biome"))</f>
        <v>0</v>
      </c>
      <c r="AD739">
        <f>AND(IF(Metadata!D739="",FALSE,TRUE),exact(Metadata!D739,"human-associated habitat"))</f>
        <v>0</v>
      </c>
      <c r="AE739">
        <f>AND(IF(Metadata!E739="",FALSE,TRUE),OR(exact(Metadata!E739,"human-associated"),exact(Metadata!E739,"human-skin"),exact(Metadata!E739,"human-oral"),exact(Metadata!E739,"human-gut"),exact(Metadata!E739,"human-vaginal")))</f>
        <v>0</v>
      </c>
      <c r="AF739">
        <f>AND(IF(Metadata!F739="",FALSE,ISNUMBER(VALUE(Metadata!F739))),Metadata!F739&gt;0)</f>
        <v>0</v>
      </c>
      <c r="AG739">
        <f>AND(IF(Metadata!G739="",FALSE,TRUE),exact(Metadata!G739,"years"))</f>
        <v>0</v>
      </c>
      <c r="AH739">
        <f>OR(AND(IF(Metadata!H739="",FALSE,TRUE),OR(exact(Metadata!H739,"not applicable"),exact(Metadata!H739,"not collected"),exact(Metadata!H739,"not provided"),exact(Metadata!H739,"restricted access"))),AND(IF(Metadata!H739="",FALSE,ISNUMBER(VALUE(Metadata!H739))),Metadata!H739&gt;0))</f>
        <v>0</v>
      </c>
      <c r="AI739">
        <f>AND(IF(Metadata!I739="",FALSE,TRUE),exact(Metadata!I739,"human"))</f>
        <v>0</v>
      </c>
      <c r="AJ739">
        <f>AND(IF(Metadata!J739="",FALSE,ISNUMBER(VALUE(Metadata!J739))),Metadata!J739&gt;0)</f>
        <v>0</v>
      </c>
      <c r="AK739">
        <f>AND(IF(Metadata!K739="",FALSE,TRUE),exact(Metadata!K739,"cm"))</f>
        <v>0</v>
      </c>
      <c r="AL739">
        <f>AND(IF(Metadata!L739="",FALSE,TRUE),exact(Metadata!L739,"Homo sapiens"))</f>
        <v>0</v>
      </c>
      <c r="AM739">
        <f>AND(IF(Metadata!M739="",FALSE,TRUE),exact(Metadata!M739,"9606"))</f>
        <v>0</v>
      </c>
      <c r="AN739">
        <f>AND(IF(Metadata!N739="",FALSE,ISNUMBER(VALUE(Metadata!N739))),Metadata!N739&gt;0)</f>
        <v>0</v>
      </c>
      <c r="AO739">
        <f>AND(IF(Metadata!O739="",FALSE,TRUE),exact(Metadata!O739,"kg"))</f>
        <v>0</v>
      </c>
      <c r="AP739">
        <f>OR(AND(IF(Metadata!P739="",FALSE,TRUE),exact(Metadata!P739,"not provided")),IF(Metadata!P739="",FALSE,TRUE))</f>
        <v>0</v>
      </c>
      <c r="AQ739">
        <f>OR(AND(IF(Metadata!Q739="",FALSE,TRUE),exact(Metadata!Q739,"not provided")),IF(Metadata!Q739="",FALSE,TRUE))</f>
        <v>0</v>
      </c>
    </row>
    <row r="740" spans="1:43">
      <c r="A740" s="4">
        <f>IF(B740=" "," ",HYPERLINK(CONCATENATE("#metadata!",ADDRESS(INDEX($W$2:$W$1001,MATCH(ROWS($U$2:U740),$U$2:$U$1001,0),0),2)),INDEX($Z$2:$Z$1001,MATCH(ROWS($U$2:U740),$U$2:$U$1001,0),0)))</f>
        <v>0</v>
      </c>
      <c r="B740" s="5">
        <f>IF(OR(INDEX($V$2:$V$1001,MATCH(ROWS($U$2:U740),$U$2:$U$1001,0),1)&gt;=100000,INDEX($AB$1005:$AQ$1005,1,MATCH(COLUMNS($AB$1006:AB1006),$AB$1006:$AQ$1006,0))&gt;=100000), " ",IF(INDEX($AB$2:$AQ$1001,MATCH(ROWS($U$2:U740),$U$2:$U$1001,0),MATCH(COLUMNS($AB$1006:AB1006),$AB$1006:$AQ$1006,0)), HYPERLINK("#",""), HYPERLINK(CONCATENATE("#Metadata!", ADDRESS(INDEX($W$2:$W$1001,MATCH(ROWS($U$2:U740),$U$2:$U$1001,0),0), INDEX($AB$1004:$AQ$1004,1,MATCH(COLUMNS($AB$1006:AB1006),$AB$1006:$AQ$1006,0)))),"Fix")))</f>
        <v>0</v>
      </c>
      <c r="C740" s="5">
        <f>IF(OR(INDEX($V$2:$V$1001,MATCH(ROWS($U$2:U740),$U$2:$U$1001,0),1)&gt;=100000,INDEX($AB$1005:$AQ$1005,1,MATCH(COLUMNS($AB$1006:AC1006),$AB$1006:$AQ$1006,0))&gt;=100000), " ",IF(INDEX($AB$2:$AQ$1001,MATCH(ROWS($U$2:U740),$U$2:$U$1001,0),MATCH(COLUMNS($AB$1006:AC1006),$AB$1006:$AQ$1006,0)), HYPERLINK("#",""), HYPERLINK(CONCATENATE("#Metadata!", ADDRESS(INDEX($W$2:$W$1001,MATCH(ROWS($U$2:U740),$U$2:$U$1001,0),0), INDEX($AB$1004:$AQ$1004,1,MATCH(COLUMNS($AB$1006:AC1006),$AB$1006:$AQ$1006,0)))),"Fix")))</f>
        <v>0</v>
      </c>
      <c r="D740" s="5">
        <f>IF(OR(INDEX($V$2:$V$1001,MATCH(ROWS($U$2:U740),$U$2:$U$1001,0),1)&gt;=100000,INDEX($AB$1005:$AQ$1005,1,MATCH(COLUMNS($AB$1006:AD1006),$AB$1006:$AQ$1006,0))&gt;=100000), " ",IF(INDEX($AB$2:$AQ$1001,MATCH(ROWS($U$2:U740),$U$2:$U$1001,0),MATCH(COLUMNS($AB$1006:AD1006),$AB$1006:$AQ$1006,0)), HYPERLINK("#",""), HYPERLINK(CONCATENATE("#Metadata!", ADDRESS(INDEX($W$2:$W$1001,MATCH(ROWS($U$2:U740),$U$2:$U$1001,0),0), INDEX($AB$1004:$AQ$1004,1,MATCH(COLUMNS($AB$1006:AD1006),$AB$1006:$AQ$1006,0)))),"Fix")))</f>
        <v>0</v>
      </c>
      <c r="E740" s="5">
        <f>IF(OR(INDEX($V$2:$V$1001,MATCH(ROWS($U$2:U740),$U$2:$U$1001,0),1)&gt;=100000,INDEX($AB$1005:$AQ$1005,1,MATCH(COLUMNS($AB$1006:AE1006),$AB$1006:$AQ$1006,0))&gt;=100000), " ",IF(INDEX($AB$2:$AQ$1001,MATCH(ROWS($U$2:U740),$U$2:$U$1001,0),MATCH(COLUMNS($AB$1006:AE1006),$AB$1006:$AQ$1006,0)), HYPERLINK("#",""), HYPERLINK(CONCATENATE("#Metadata!", ADDRESS(INDEX($W$2:$W$1001,MATCH(ROWS($U$2:U740),$U$2:$U$1001,0),0), INDEX($AB$1004:$AQ$1004,1,MATCH(COLUMNS($AB$1006:AE1006),$AB$1006:$AQ$1006,0)))),"Fix")))</f>
        <v>0</v>
      </c>
      <c r="F740" s="5">
        <f>IF(OR(INDEX($V$2:$V$1001,MATCH(ROWS($U$2:U740),$U$2:$U$1001,0),1)&gt;=100000,INDEX($AB$1005:$AQ$1005,1,MATCH(COLUMNS($AB$1006:AF1006),$AB$1006:$AQ$1006,0))&gt;=100000), " ",IF(INDEX($AB$2:$AQ$1001,MATCH(ROWS($U$2:U740),$U$2:$U$1001,0),MATCH(COLUMNS($AB$1006:AF1006),$AB$1006:$AQ$1006,0)), HYPERLINK("#",""), HYPERLINK(CONCATENATE("#Metadata!", ADDRESS(INDEX($W$2:$W$1001,MATCH(ROWS($U$2:U740),$U$2:$U$1001,0),0), INDEX($AB$1004:$AQ$1004,1,MATCH(COLUMNS($AB$1006:AF1006),$AB$1006:$AQ$1006,0)))),"Fix")))</f>
        <v>0</v>
      </c>
      <c r="G740" s="5">
        <f>IF(OR(INDEX($V$2:$V$1001,MATCH(ROWS($U$2:U740),$U$2:$U$1001,0),1)&gt;=100000,INDEX($AB$1005:$AQ$1005,1,MATCH(COLUMNS($AB$1006:AG1006),$AB$1006:$AQ$1006,0))&gt;=100000), " ",IF(INDEX($AB$2:$AQ$1001,MATCH(ROWS($U$2:U740),$U$2:$U$1001,0),MATCH(COLUMNS($AB$1006:AG1006),$AB$1006:$AQ$1006,0)), HYPERLINK("#",""), HYPERLINK(CONCATENATE("#Metadata!", ADDRESS(INDEX($W$2:$W$1001,MATCH(ROWS($U$2:U740),$U$2:$U$1001,0),0), INDEX($AB$1004:$AQ$1004,1,MATCH(COLUMNS($AB$1006:AG1006),$AB$1006:$AQ$1006,0)))),"Fix")))</f>
        <v>0</v>
      </c>
      <c r="H740" s="5">
        <f>IF(OR(INDEX($V$2:$V$1001,MATCH(ROWS($U$2:U740),$U$2:$U$1001,0),1)&gt;=100000,INDEX($AB$1005:$AQ$1005,1,MATCH(COLUMNS($AB$1006:AH1006),$AB$1006:$AQ$1006,0))&gt;=100000), " ",IF(INDEX($AB$2:$AQ$1001,MATCH(ROWS($U$2:U740),$U$2:$U$1001,0),MATCH(COLUMNS($AB$1006:AH1006),$AB$1006:$AQ$1006,0)), HYPERLINK("#",""), HYPERLINK(CONCATENATE("#Metadata!", ADDRESS(INDEX($W$2:$W$1001,MATCH(ROWS($U$2:U740),$U$2:$U$1001,0),0), INDEX($AB$1004:$AQ$1004,1,MATCH(COLUMNS($AB$1006:AH1006),$AB$1006:$AQ$1006,0)))),"Fix")))</f>
        <v>0</v>
      </c>
      <c r="I740" s="5">
        <f>IF(OR(INDEX($V$2:$V$1001,MATCH(ROWS($U$2:U740),$U$2:$U$1001,0),1)&gt;=100000,INDEX($AB$1005:$AQ$1005,1,MATCH(COLUMNS($AB$1006:AI1006),$AB$1006:$AQ$1006,0))&gt;=100000), " ",IF(INDEX($AB$2:$AQ$1001,MATCH(ROWS($U$2:U740),$U$2:$U$1001,0),MATCH(COLUMNS($AB$1006:AI1006),$AB$1006:$AQ$1006,0)), HYPERLINK("#",""), HYPERLINK(CONCATENATE("#Metadata!", ADDRESS(INDEX($W$2:$W$1001,MATCH(ROWS($U$2:U740),$U$2:$U$1001,0),0), INDEX($AB$1004:$AQ$1004,1,MATCH(COLUMNS($AB$1006:AI1006),$AB$1006:$AQ$1006,0)))),"Fix")))</f>
        <v>0</v>
      </c>
      <c r="J740" s="5">
        <f>IF(OR(INDEX($V$2:$V$1001,MATCH(ROWS($U$2:U740),$U$2:$U$1001,0),1)&gt;=100000,INDEX($AB$1005:$AQ$1005,1,MATCH(COLUMNS($AB$1006:AJ1006),$AB$1006:$AQ$1006,0))&gt;=100000), " ",IF(INDEX($AB$2:$AQ$1001,MATCH(ROWS($U$2:U740),$U$2:$U$1001,0),MATCH(COLUMNS($AB$1006:AJ1006),$AB$1006:$AQ$1006,0)), HYPERLINK("#",""), HYPERLINK(CONCATENATE("#Metadata!", ADDRESS(INDEX($W$2:$W$1001,MATCH(ROWS($U$2:U740),$U$2:$U$1001,0),0), INDEX($AB$1004:$AQ$1004,1,MATCH(COLUMNS($AB$1006:AJ1006),$AB$1006:$AQ$1006,0)))),"Fix")))</f>
        <v>0</v>
      </c>
      <c r="K740" s="5">
        <f>IF(OR(INDEX($V$2:$V$1001,MATCH(ROWS($U$2:U740),$U$2:$U$1001,0),1)&gt;=100000,INDEX($AB$1005:$AQ$1005,1,MATCH(COLUMNS($AB$1006:AK1006),$AB$1006:$AQ$1006,0))&gt;=100000), " ",IF(INDEX($AB$2:$AQ$1001,MATCH(ROWS($U$2:U740),$U$2:$U$1001,0),MATCH(COLUMNS($AB$1006:AK1006),$AB$1006:$AQ$1006,0)), HYPERLINK("#",""), HYPERLINK(CONCATENATE("#Metadata!", ADDRESS(INDEX($W$2:$W$1001,MATCH(ROWS($U$2:U740),$U$2:$U$1001,0),0), INDEX($AB$1004:$AQ$1004,1,MATCH(COLUMNS($AB$1006:AK1006),$AB$1006:$AQ$1006,0)))),"Fix")))</f>
        <v>0</v>
      </c>
      <c r="L740" s="5">
        <f>IF(OR(INDEX($V$2:$V$1001,MATCH(ROWS($U$2:U740),$U$2:$U$1001,0),1)&gt;=100000,INDEX($AB$1005:$AQ$1005,1,MATCH(COLUMNS($AB$1006:AL1006),$AB$1006:$AQ$1006,0))&gt;=100000), " ",IF(INDEX($AB$2:$AQ$1001,MATCH(ROWS($U$2:U740),$U$2:$U$1001,0),MATCH(COLUMNS($AB$1006:AL1006),$AB$1006:$AQ$1006,0)), HYPERLINK("#",""), HYPERLINK(CONCATENATE("#Metadata!", ADDRESS(INDEX($W$2:$W$1001,MATCH(ROWS($U$2:U740),$U$2:$U$1001,0),0), INDEX($AB$1004:$AQ$1004,1,MATCH(COLUMNS($AB$1006:AL1006),$AB$1006:$AQ$1006,0)))),"Fix")))</f>
        <v>0</v>
      </c>
      <c r="M740" s="5">
        <f>IF(OR(INDEX($V$2:$V$1001,MATCH(ROWS($U$2:U740),$U$2:$U$1001,0),1)&gt;=100000,INDEX($AB$1005:$AQ$1005,1,MATCH(COLUMNS($AB$1006:AM1006),$AB$1006:$AQ$1006,0))&gt;=100000), " ",IF(INDEX($AB$2:$AQ$1001,MATCH(ROWS($U$2:U740),$U$2:$U$1001,0),MATCH(COLUMNS($AB$1006:AM1006),$AB$1006:$AQ$1006,0)), HYPERLINK("#",""), HYPERLINK(CONCATENATE("#Metadata!", ADDRESS(INDEX($W$2:$W$1001,MATCH(ROWS($U$2:U740),$U$2:$U$1001,0),0), INDEX($AB$1004:$AQ$1004,1,MATCH(COLUMNS($AB$1006:AM1006),$AB$1006:$AQ$1006,0)))),"Fix")))</f>
        <v>0</v>
      </c>
      <c r="N740" s="5">
        <f>IF(OR(INDEX($V$2:$V$1001,MATCH(ROWS($U$2:U740),$U$2:$U$1001,0),1)&gt;=100000,INDEX($AB$1005:$AQ$1005,1,MATCH(COLUMNS($AB$1006:AN1006),$AB$1006:$AQ$1006,0))&gt;=100000), " ",IF(INDEX($AB$2:$AQ$1001,MATCH(ROWS($U$2:U740),$U$2:$U$1001,0),MATCH(COLUMNS($AB$1006:AN1006),$AB$1006:$AQ$1006,0)), HYPERLINK("#",""), HYPERLINK(CONCATENATE("#Metadata!", ADDRESS(INDEX($W$2:$W$1001,MATCH(ROWS($U$2:U740),$U$2:$U$1001,0),0), INDEX($AB$1004:$AQ$1004,1,MATCH(COLUMNS($AB$1006:AN1006),$AB$1006:$AQ$1006,0)))),"Fix")))</f>
        <v>0</v>
      </c>
      <c r="O740" s="5">
        <f>IF(OR(INDEX($V$2:$V$1001,MATCH(ROWS($U$2:U740),$U$2:$U$1001,0),1)&gt;=100000,INDEX($AB$1005:$AQ$1005,1,MATCH(COLUMNS($AB$1006:AO1006),$AB$1006:$AQ$1006,0))&gt;=100000), " ",IF(INDEX($AB$2:$AQ$1001,MATCH(ROWS($U$2:U740),$U$2:$U$1001,0),MATCH(COLUMNS($AB$1006:AO1006),$AB$1006:$AQ$1006,0)), HYPERLINK("#",""), HYPERLINK(CONCATENATE("#Metadata!", ADDRESS(INDEX($W$2:$W$1001,MATCH(ROWS($U$2:U740),$U$2:$U$1001,0),0), INDEX($AB$1004:$AQ$1004,1,MATCH(COLUMNS($AB$1006:AO1006),$AB$1006:$AQ$1006,0)))),"Fix")))</f>
        <v>0</v>
      </c>
      <c r="P740" s="5">
        <f>IF(OR(INDEX($V$2:$V$1001,MATCH(ROWS($U$2:U740),$U$2:$U$1001,0),1)&gt;=100000,INDEX($AB$1005:$AQ$1005,1,MATCH(COLUMNS($AB$1006:AP1006),$AB$1006:$AQ$1006,0))&gt;=100000), " ",IF(INDEX($AB$2:$AQ$1001,MATCH(ROWS($U$2:U740),$U$2:$U$1001,0),MATCH(COLUMNS($AB$1006:AP1006),$AB$1006:$AQ$1006,0)), HYPERLINK("#",""), HYPERLINK(CONCATENATE("#Metadata!", ADDRESS(INDEX($W$2:$W$1001,MATCH(ROWS($U$2:U740),$U$2:$U$1001,0),0), INDEX($AB$1004:$AQ$1004,1,MATCH(COLUMNS($AB$1006:AP1006),$AB$1006:$AQ$1006,0)))),"Fix")))</f>
        <v>0</v>
      </c>
      <c r="Q740" s="5">
        <f>IF(OR(INDEX($V$2:$V$1001,MATCH(ROWS($U$2:U740),$U$2:$U$1001,0),1)&gt;=100000,INDEX($AB$1005:$AQ$1005,1,MATCH(COLUMNS($AB$1006:AQ1006),$AB$1006:$AQ$1006,0))&gt;=100000), " ",IF(INDEX($AB$2:$AQ$1001,MATCH(ROWS($U$2:U740),$U$2:$U$1001,0),MATCH(COLUMNS($AB$1006:AQ1006),$AB$1006:$AQ$1006,0)), HYPERLINK("#",""), HYPERLINK(CONCATENATE("#Metadata!", ADDRESS(INDEX($W$2:$W$1001,MATCH(ROWS($U$2:U740),$U$2:$U$1001,0),0), INDEX($AB$1004:$AQ$1004,1,MATCH(COLUMNS($AB$1006:AQ1006),$AB$1006:$AQ$1006,0)))),"Fix")))</f>
        <v>0</v>
      </c>
      <c r="U740">
        <v>0</v>
      </c>
      <c r="V740">
        <v>0</v>
      </c>
      <c r="W740">
        <v>0</v>
      </c>
      <c r="X740">
        <f>IF(Y740,TRUE,AND(AB740:AQ740))</f>
        <v>0</v>
      </c>
      <c r="Y740">
        <f>COUNTBLANK(Metadata!B740:Q740)=COLUMNS(Metadata!B740:Q740)</f>
        <v>0</v>
      </c>
      <c r="Z740">
        <v>0</v>
      </c>
      <c r="AB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AC740">
        <f>AND(IF(Metadata!C740="",FALSE,TRUE),exact(Metadata!C740,"urban biome"))</f>
        <v>0</v>
      </c>
      <c r="AD740">
        <f>AND(IF(Metadata!D740="",FALSE,TRUE),exact(Metadata!D740,"human-associated habitat"))</f>
        <v>0</v>
      </c>
      <c r="AE740">
        <f>AND(IF(Metadata!E740="",FALSE,TRUE),OR(exact(Metadata!E740,"human-associated"),exact(Metadata!E740,"human-skin"),exact(Metadata!E740,"human-oral"),exact(Metadata!E740,"human-gut"),exact(Metadata!E740,"human-vaginal")))</f>
        <v>0</v>
      </c>
      <c r="AF740">
        <f>AND(IF(Metadata!F740="",FALSE,ISNUMBER(VALUE(Metadata!F740))),Metadata!F740&gt;0)</f>
        <v>0</v>
      </c>
      <c r="AG740">
        <f>AND(IF(Metadata!G740="",FALSE,TRUE),exact(Metadata!G740,"years"))</f>
        <v>0</v>
      </c>
      <c r="AH740">
        <f>OR(AND(IF(Metadata!H740="",FALSE,TRUE),OR(exact(Metadata!H740,"not applicable"),exact(Metadata!H740,"not collected"),exact(Metadata!H740,"not provided"),exact(Metadata!H740,"restricted access"))),AND(IF(Metadata!H740="",FALSE,ISNUMBER(VALUE(Metadata!H740))),Metadata!H740&gt;0))</f>
        <v>0</v>
      </c>
      <c r="AI740">
        <f>AND(IF(Metadata!I740="",FALSE,TRUE),exact(Metadata!I740,"human"))</f>
        <v>0</v>
      </c>
      <c r="AJ740">
        <f>AND(IF(Metadata!J740="",FALSE,ISNUMBER(VALUE(Metadata!J740))),Metadata!J740&gt;0)</f>
        <v>0</v>
      </c>
      <c r="AK740">
        <f>AND(IF(Metadata!K740="",FALSE,TRUE),exact(Metadata!K740,"cm"))</f>
        <v>0</v>
      </c>
      <c r="AL740">
        <f>AND(IF(Metadata!L740="",FALSE,TRUE),exact(Metadata!L740,"Homo sapiens"))</f>
        <v>0</v>
      </c>
      <c r="AM740">
        <f>AND(IF(Metadata!M740="",FALSE,TRUE),exact(Metadata!M740,"9606"))</f>
        <v>0</v>
      </c>
      <c r="AN740">
        <f>AND(IF(Metadata!N740="",FALSE,ISNUMBER(VALUE(Metadata!N740))),Metadata!N740&gt;0)</f>
        <v>0</v>
      </c>
      <c r="AO740">
        <f>AND(IF(Metadata!O740="",FALSE,TRUE),exact(Metadata!O740,"kg"))</f>
        <v>0</v>
      </c>
      <c r="AP740">
        <f>OR(AND(IF(Metadata!P740="",FALSE,TRUE),exact(Metadata!P740,"not provided")),IF(Metadata!P740="",FALSE,TRUE))</f>
        <v>0</v>
      </c>
      <c r="AQ740">
        <f>OR(AND(IF(Metadata!Q740="",FALSE,TRUE),exact(Metadata!Q740,"not provided")),IF(Metadata!Q740="",FALSE,TRUE))</f>
        <v>0</v>
      </c>
    </row>
    <row r="741" spans="1:43">
      <c r="A741" s="4">
        <f>IF(B741=" "," ",HYPERLINK(CONCATENATE("#metadata!",ADDRESS(INDEX($W$2:$W$1001,MATCH(ROWS($U$2:U741),$U$2:$U$1001,0),0),2)),INDEX($Z$2:$Z$1001,MATCH(ROWS($U$2:U741),$U$2:$U$1001,0),0)))</f>
        <v>0</v>
      </c>
      <c r="B741" s="5">
        <f>IF(OR(INDEX($V$2:$V$1001,MATCH(ROWS($U$2:U741),$U$2:$U$1001,0),1)&gt;=100000,INDEX($AB$1005:$AQ$1005,1,MATCH(COLUMNS($AB$1006:AB1006),$AB$1006:$AQ$1006,0))&gt;=100000), " ",IF(INDEX($AB$2:$AQ$1001,MATCH(ROWS($U$2:U741),$U$2:$U$1001,0),MATCH(COLUMNS($AB$1006:AB1006),$AB$1006:$AQ$1006,0)), HYPERLINK("#",""), HYPERLINK(CONCATENATE("#Metadata!", ADDRESS(INDEX($W$2:$W$1001,MATCH(ROWS($U$2:U741),$U$2:$U$1001,0),0), INDEX($AB$1004:$AQ$1004,1,MATCH(COLUMNS($AB$1006:AB1006),$AB$1006:$AQ$1006,0)))),"Fix")))</f>
        <v>0</v>
      </c>
      <c r="C741" s="5">
        <f>IF(OR(INDEX($V$2:$V$1001,MATCH(ROWS($U$2:U741),$U$2:$U$1001,0),1)&gt;=100000,INDEX($AB$1005:$AQ$1005,1,MATCH(COLUMNS($AB$1006:AC1006),$AB$1006:$AQ$1006,0))&gt;=100000), " ",IF(INDEX($AB$2:$AQ$1001,MATCH(ROWS($U$2:U741),$U$2:$U$1001,0),MATCH(COLUMNS($AB$1006:AC1006),$AB$1006:$AQ$1006,0)), HYPERLINK("#",""), HYPERLINK(CONCATENATE("#Metadata!", ADDRESS(INDEX($W$2:$W$1001,MATCH(ROWS($U$2:U741),$U$2:$U$1001,0),0), INDEX($AB$1004:$AQ$1004,1,MATCH(COLUMNS($AB$1006:AC1006),$AB$1006:$AQ$1006,0)))),"Fix")))</f>
        <v>0</v>
      </c>
      <c r="D741" s="5">
        <f>IF(OR(INDEX($V$2:$V$1001,MATCH(ROWS($U$2:U741),$U$2:$U$1001,0),1)&gt;=100000,INDEX($AB$1005:$AQ$1005,1,MATCH(COLUMNS($AB$1006:AD1006),$AB$1006:$AQ$1006,0))&gt;=100000), " ",IF(INDEX($AB$2:$AQ$1001,MATCH(ROWS($U$2:U741),$U$2:$U$1001,0),MATCH(COLUMNS($AB$1006:AD1006),$AB$1006:$AQ$1006,0)), HYPERLINK("#",""), HYPERLINK(CONCATENATE("#Metadata!", ADDRESS(INDEX($W$2:$W$1001,MATCH(ROWS($U$2:U741),$U$2:$U$1001,0),0), INDEX($AB$1004:$AQ$1004,1,MATCH(COLUMNS($AB$1006:AD1006),$AB$1006:$AQ$1006,0)))),"Fix")))</f>
        <v>0</v>
      </c>
      <c r="E741" s="5">
        <f>IF(OR(INDEX($V$2:$V$1001,MATCH(ROWS($U$2:U741),$U$2:$U$1001,0),1)&gt;=100000,INDEX($AB$1005:$AQ$1005,1,MATCH(COLUMNS($AB$1006:AE1006),$AB$1006:$AQ$1006,0))&gt;=100000), " ",IF(INDEX($AB$2:$AQ$1001,MATCH(ROWS($U$2:U741),$U$2:$U$1001,0),MATCH(COLUMNS($AB$1006:AE1006),$AB$1006:$AQ$1006,0)), HYPERLINK("#",""), HYPERLINK(CONCATENATE("#Metadata!", ADDRESS(INDEX($W$2:$W$1001,MATCH(ROWS($U$2:U741),$U$2:$U$1001,0),0), INDEX($AB$1004:$AQ$1004,1,MATCH(COLUMNS($AB$1006:AE1006),$AB$1006:$AQ$1006,0)))),"Fix")))</f>
        <v>0</v>
      </c>
      <c r="F741" s="5">
        <f>IF(OR(INDEX($V$2:$V$1001,MATCH(ROWS($U$2:U741),$U$2:$U$1001,0),1)&gt;=100000,INDEX($AB$1005:$AQ$1005,1,MATCH(COLUMNS($AB$1006:AF1006),$AB$1006:$AQ$1006,0))&gt;=100000), " ",IF(INDEX($AB$2:$AQ$1001,MATCH(ROWS($U$2:U741),$U$2:$U$1001,0),MATCH(COLUMNS($AB$1006:AF1006),$AB$1006:$AQ$1006,0)), HYPERLINK("#",""), HYPERLINK(CONCATENATE("#Metadata!", ADDRESS(INDEX($W$2:$W$1001,MATCH(ROWS($U$2:U741),$U$2:$U$1001,0),0), INDEX($AB$1004:$AQ$1004,1,MATCH(COLUMNS($AB$1006:AF1006),$AB$1006:$AQ$1006,0)))),"Fix")))</f>
        <v>0</v>
      </c>
      <c r="G741" s="5">
        <f>IF(OR(INDEX($V$2:$V$1001,MATCH(ROWS($U$2:U741),$U$2:$U$1001,0),1)&gt;=100000,INDEX($AB$1005:$AQ$1005,1,MATCH(COLUMNS($AB$1006:AG1006),$AB$1006:$AQ$1006,0))&gt;=100000), " ",IF(INDEX($AB$2:$AQ$1001,MATCH(ROWS($U$2:U741),$U$2:$U$1001,0),MATCH(COLUMNS($AB$1006:AG1006),$AB$1006:$AQ$1006,0)), HYPERLINK("#",""), HYPERLINK(CONCATENATE("#Metadata!", ADDRESS(INDEX($W$2:$W$1001,MATCH(ROWS($U$2:U741),$U$2:$U$1001,0),0), INDEX($AB$1004:$AQ$1004,1,MATCH(COLUMNS($AB$1006:AG1006),$AB$1006:$AQ$1006,0)))),"Fix")))</f>
        <v>0</v>
      </c>
      <c r="H741" s="5">
        <f>IF(OR(INDEX($V$2:$V$1001,MATCH(ROWS($U$2:U741),$U$2:$U$1001,0),1)&gt;=100000,INDEX($AB$1005:$AQ$1005,1,MATCH(COLUMNS($AB$1006:AH1006),$AB$1006:$AQ$1006,0))&gt;=100000), " ",IF(INDEX($AB$2:$AQ$1001,MATCH(ROWS($U$2:U741),$U$2:$U$1001,0),MATCH(COLUMNS($AB$1006:AH1006),$AB$1006:$AQ$1006,0)), HYPERLINK("#",""), HYPERLINK(CONCATENATE("#Metadata!", ADDRESS(INDEX($W$2:$W$1001,MATCH(ROWS($U$2:U741),$U$2:$U$1001,0),0), INDEX($AB$1004:$AQ$1004,1,MATCH(COLUMNS($AB$1006:AH1006),$AB$1006:$AQ$1006,0)))),"Fix")))</f>
        <v>0</v>
      </c>
      <c r="I741" s="5">
        <f>IF(OR(INDEX($V$2:$V$1001,MATCH(ROWS($U$2:U741),$U$2:$U$1001,0),1)&gt;=100000,INDEX($AB$1005:$AQ$1005,1,MATCH(COLUMNS($AB$1006:AI1006),$AB$1006:$AQ$1006,0))&gt;=100000), " ",IF(INDEX($AB$2:$AQ$1001,MATCH(ROWS($U$2:U741),$U$2:$U$1001,0),MATCH(COLUMNS($AB$1006:AI1006),$AB$1006:$AQ$1006,0)), HYPERLINK("#",""), HYPERLINK(CONCATENATE("#Metadata!", ADDRESS(INDEX($W$2:$W$1001,MATCH(ROWS($U$2:U741),$U$2:$U$1001,0),0), INDEX($AB$1004:$AQ$1004,1,MATCH(COLUMNS($AB$1006:AI1006),$AB$1006:$AQ$1006,0)))),"Fix")))</f>
        <v>0</v>
      </c>
      <c r="J741" s="5">
        <f>IF(OR(INDEX($V$2:$V$1001,MATCH(ROWS($U$2:U741),$U$2:$U$1001,0),1)&gt;=100000,INDEX($AB$1005:$AQ$1005,1,MATCH(COLUMNS($AB$1006:AJ1006),$AB$1006:$AQ$1006,0))&gt;=100000), " ",IF(INDEX($AB$2:$AQ$1001,MATCH(ROWS($U$2:U741),$U$2:$U$1001,0),MATCH(COLUMNS($AB$1006:AJ1006),$AB$1006:$AQ$1006,0)), HYPERLINK("#",""), HYPERLINK(CONCATENATE("#Metadata!", ADDRESS(INDEX($W$2:$W$1001,MATCH(ROWS($U$2:U741),$U$2:$U$1001,0),0), INDEX($AB$1004:$AQ$1004,1,MATCH(COLUMNS($AB$1006:AJ1006),$AB$1006:$AQ$1006,0)))),"Fix")))</f>
        <v>0</v>
      </c>
      <c r="K741" s="5">
        <f>IF(OR(INDEX($V$2:$V$1001,MATCH(ROWS($U$2:U741),$U$2:$U$1001,0),1)&gt;=100000,INDEX($AB$1005:$AQ$1005,1,MATCH(COLUMNS($AB$1006:AK1006),$AB$1006:$AQ$1006,0))&gt;=100000), " ",IF(INDEX($AB$2:$AQ$1001,MATCH(ROWS($U$2:U741),$U$2:$U$1001,0),MATCH(COLUMNS($AB$1006:AK1006),$AB$1006:$AQ$1006,0)), HYPERLINK("#",""), HYPERLINK(CONCATENATE("#Metadata!", ADDRESS(INDEX($W$2:$W$1001,MATCH(ROWS($U$2:U741),$U$2:$U$1001,0),0), INDEX($AB$1004:$AQ$1004,1,MATCH(COLUMNS($AB$1006:AK1006),$AB$1006:$AQ$1006,0)))),"Fix")))</f>
        <v>0</v>
      </c>
      <c r="L741" s="5">
        <f>IF(OR(INDEX($V$2:$V$1001,MATCH(ROWS($U$2:U741),$U$2:$U$1001,0),1)&gt;=100000,INDEX($AB$1005:$AQ$1005,1,MATCH(COLUMNS($AB$1006:AL1006),$AB$1006:$AQ$1006,0))&gt;=100000), " ",IF(INDEX($AB$2:$AQ$1001,MATCH(ROWS($U$2:U741),$U$2:$U$1001,0),MATCH(COLUMNS($AB$1006:AL1006),$AB$1006:$AQ$1006,0)), HYPERLINK("#",""), HYPERLINK(CONCATENATE("#Metadata!", ADDRESS(INDEX($W$2:$W$1001,MATCH(ROWS($U$2:U741),$U$2:$U$1001,0),0), INDEX($AB$1004:$AQ$1004,1,MATCH(COLUMNS($AB$1006:AL1006),$AB$1006:$AQ$1006,0)))),"Fix")))</f>
        <v>0</v>
      </c>
      <c r="M741" s="5">
        <f>IF(OR(INDEX($V$2:$V$1001,MATCH(ROWS($U$2:U741),$U$2:$U$1001,0),1)&gt;=100000,INDEX($AB$1005:$AQ$1005,1,MATCH(COLUMNS($AB$1006:AM1006),$AB$1006:$AQ$1006,0))&gt;=100000), " ",IF(INDEX($AB$2:$AQ$1001,MATCH(ROWS($U$2:U741),$U$2:$U$1001,0),MATCH(COLUMNS($AB$1006:AM1006),$AB$1006:$AQ$1006,0)), HYPERLINK("#",""), HYPERLINK(CONCATENATE("#Metadata!", ADDRESS(INDEX($W$2:$W$1001,MATCH(ROWS($U$2:U741),$U$2:$U$1001,0),0), INDEX($AB$1004:$AQ$1004,1,MATCH(COLUMNS($AB$1006:AM1006),$AB$1006:$AQ$1006,0)))),"Fix")))</f>
        <v>0</v>
      </c>
      <c r="N741" s="5">
        <f>IF(OR(INDEX($V$2:$V$1001,MATCH(ROWS($U$2:U741),$U$2:$U$1001,0),1)&gt;=100000,INDEX($AB$1005:$AQ$1005,1,MATCH(COLUMNS($AB$1006:AN1006),$AB$1006:$AQ$1006,0))&gt;=100000), " ",IF(INDEX($AB$2:$AQ$1001,MATCH(ROWS($U$2:U741),$U$2:$U$1001,0),MATCH(COLUMNS($AB$1006:AN1006),$AB$1006:$AQ$1006,0)), HYPERLINK("#",""), HYPERLINK(CONCATENATE("#Metadata!", ADDRESS(INDEX($W$2:$W$1001,MATCH(ROWS($U$2:U741),$U$2:$U$1001,0),0), INDEX($AB$1004:$AQ$1004,1,MATCH(COLUMNS($AB$1006:AN1006),$AB$1006:$AQ$1006,0)))),"Fix")))</f>
        <v>0</v>
      </c>
      <c r="O741" s="5">
        <f>IF(OR(INDEX($V$2:$V$1001,MATCH(ROWS($U$2:U741),$U$2:$U$1001,0),1)&gt;=100000,INDEX($AB$1005:$AQ$1005,1,MATCH(COLUMNS($AB$1006:AO1006),$AB$1006:$AQ$1006,0))&gt;=100000), " ",IF(INDEX($AB$2:$AQ$1001,MATCH(ROWS($U$2:U741),$U$2:$U$1001,0),MATCH(COLUMNS($AB$1006:AO1006),$AB$1006:$AQ$1006,0)), HYPERLINK("#",""), HYPERLINK(CONCATENATE("#Metadata!", ADDRESS(INDEX($W$2:$W$1001,MATCH(ROWS($U$2:U741),$U$2:$U$1001,0),0), INDEX($AB$1004:$AQ$1004,1,MATCH(COLUMNS($AB$1006:AO1006),$AB$1006:$AQ$1006,0)))),"Fix")))</f>
        <v>0</v>
      </c>
      <c r="P741" s="5">
        <f>IF(OR(INDEX($V$2:$V$1001,MATCH(ROWS($U$2:U741),$U$2:$U$1001,0),1)&gt;=100000,INDEX($AB$1005:$AQ$1005,1,MATCH(COLUMNS($AB$1006:AP1006),$AB$1006:$AQ$1006,0))&gt;=100000), " ",IF(INDEX($AB$2:$AQ$1001,MATCH(ROWS($U$2:U741),$U$2:$U$1001,0),MATCH(COLUMNS($AB$1006:AP1006),$AB$1006:$AQ$1006,0)), HYPERLINK("#",""), HYPERLINK(CONCATENATE("#Metadata!", ADDRESS(INDEX($W$2:$W$1001,MATCH(ROWS($U$2:U741),$U$2:$U$1001,0),0), INDEX($AB$1004:$AQ$1004,1,MATCH(COLUMNS($AB$1006:AP1006),$AB$1006:$AQ$1006,0)))),"Fix")))</f>
        <v>0</v>
      </c>
      <c r="Q741" s="5">
        <f>IF(OR(INDEX($V$2:$V$1001,MATCH(ROWS($U$2:U741),$U$2:$U$1001,0),1)&gt;=100000,INDEX($AB$1005:$AQ$1005,1,MATCH(COLUMNS($AB$1006:AQ1006),$AB$1006:$AQ$1006,0))&gt;=100000), " ",IF(INDEX($AB$2:$AQ$1001,MATCH(ROWS($U$2:U741),$U$2:$U$1001,0),MATCH(COLUMNS($AB$1006:AQ1006),$AB$1006:$AQ$1006,0)), HYPERLINK("#",""), HYPERLINK(CONCATENATE("#Metadata!", ADDRESS(INDEX($W$2:$W$1001,MATCH(ROWS($U$2:U741),$U$2:$U$1001,0),0), INDEX($AB$1004:$AQ$1004,1,MATCH(COLUMNS($AB$1006:AQ1006),$AB$1006:$AQ$1006,0)))),"Fix")))</f>
        <v>0</v>
      </c>
      <c r="U741">
        <v>0</v>
      </c>
      <c r="V741">
        <v>0</v>
      </c>
      <c r="W741">
        <v>0</v>
      </c>
      <c r="X741">
        <f>IF(Y741,TRUE,AND(AB741:AQ741))</f>
        <v>0</v>
      </c>
      <c r="Y741">
        <f>COUNTBLANK(Metadata!B741:Q741)=COLUMNS(Metadata!B741:Q741)</f>
        <v>0</v>
      </c>
      <c r="Z741">
        <v>0</v>
      </c>
      <c r="AB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AC741">
        <f>AND(IF(Metadata!C741="",FALSE,TRUE),exact(Metadata!C741,"urban biome"))</f>
        <v>0</v>
      </c>
      <c r="AD741">
        <f>AND(IF(Metadata!D741="",FALSE,TRUE),exact(Metadata!D741,"human-associated habitat"))</f>
        <v>0</v>
      </c>
      <c r="AE741">
        <f>AND(IF(Metadata!E741="",FALSE,TRUE),OR(exact(Metadata!E741,"human-associated"),exact(Metadata!E741,"human-skin"),exact(Metadata!E741,"human-oral"),exact(Metadata!E741,"human-gut"),exact(Metadata!E741,"human-vaginal")))</f>
        <v>0</v>
      </c>
      <c r="AF741">
        <f>AND(IF(Metadata!F741="",FALSE,ISNUMBER(VALUE(Metadata!F741))),Metadata!F741&gt;0)</f>
        <v>0</v>
      </c>
      <c r="AG741">
        <f>AND(IF(Metadata!G741="",FALSE,TRUE),exact(Metadata!G741,"years"))</f>
        <v>0</v>
      </c>
      <c r="AH741">
        <f>OR(AND(IF(Metadata!H741="",FALSE,TRUE),OR(exact(Metadata!H741,"not applicable"),exact(Metadata!H741,"not collected"),exact(Metadata!H741,"not provided"),exact(Metadata!H741,"restricted access"))),AND(IF(Metadata!H741="",FALSE,ISNUMBER(VALUE(Metadata!H741))),Metadata!H741&gt;0))</f>
        <v>0</v>
      </c>
      <c r="AI741">
        <f>AND(IF(Metadata!I741="",FALSE,TRUE),exact(Metadata!I741,"human"))</f>
        <v>0</v>
      </c>
      <c r="AJ741">
        <f>AND(IF(Metadata!J741="",FALSE,ISNUMBER(VALUE(Metadata!J741))),Metadata!J741&gt;0)</f>
        <v>0</v>
      </c>
      <c r="AK741">
        <f>AND(IF(Metadata!K741="",FALSE,TRUE),exact(Metadata!K741,"cm"))</f>
        <v>0</v>
      </c>
      <c r="AL741">
        <f>AND(IF(Metadata!L741="",FALSE,TRUE),exact(Metadata!L741,"Homo sapiens"))</f>
        <v>0</v>
      </c>
      <c r="AM741">
        <f>AND(IF(Metadata!M741="",FALSE,TRUE),exact(Metadata!M741,"9606"))</f>
        <v>0</v>
      </c>
      <c r="AN741">
        <f>AND(IF(Metadata!N741="",FALSE,ISNUMBER(VALUE(Metadata!N741))),Metadata!N741&gt;0)</f>
        <v>0</v>
      </c>
      <c r="AO741">
        <f>AND(IF(Metadata!O741="",FALSE,TRUE),exact(Metadata!O741,"kg"))</f>
        <v>0</v>
      </c>
      <c r="AP741">
        <f>OR(AND(IF(Metadata!P741="",FALSE,TRUE),exact(Metadata!P741,"not provided")),IF(Metadata!P741="",FALSE,TRUE))</f>
        <v>0</v>
      </c>
      <c r="AQ741">
        <f>OR(AND(IF(Metadata!Q741="",FALSE,TRUE),exact(Metadata!Q741,"not provided")),IF(Metadata!Q741="",FALSE,TRUE))</f>
        <v>0</v>
      </c>
    </row>
    <row r="742" spans="1:43">
      <c r="A742" s="4">
        <f>IF(B742=" "," ",HYPERLINK(CONCATENATE("#metadata!",ADDRESS(INDEX($W$2:$W$1001,MATCH(ROWS($U$2:U742),$U$2:$U$1001,0),0),2)),INDEX($Z$2:$Z$1001,MATCH(ROWS($U$2:U742),$U$2:$U$1001,0),0)))</f>
        <v>0</v>
      </c>
      <c r="B742" s="5">
        <f>IF(OR(INDEX($V$2:$V$1001,MATCH(ROWS($U$2:U742),$U$2:$U$1001,0),1)&gt;=100000,INDEX($AB$1005:$AQ$1005,1,MATCH(COLUMNS($AB$1006:AB1006),$AB$1006:$AQ$1006,0))&gt;=100000), " ",IF(INDEX($AB$2:$AQ$1001,MATCH(ROWS($U$2:U742),$U$2:$U$1001,0),MATCH(COLUMNS($AB$1006:AB1006),$AB$1006:$AQ$1006,0)), HYPERLINK("#",""), HYPERLINK(CONCATENATE("#Metadata!", ADDRESS(INDEX($W$2:$W$1001,MATCH(ROWS($U$2:U742),$U$2:$U$1001,0),0), INDEX($AB$1004:$AQ$1004,1,MATCH(COLUMNS($AB$1006:AB1006),$AB$1006:$AQ$1006,0)))),"Fix")))</f>
        <v>0</v>
      </c>
      <c r="C742" s="5">
        <f>IF(OR(INDEX($V$2:$V$1001,MATCH(ROWS($U$2:U742),$U$2:$U$1001,0),1)&gt;=100000,INDEX($AB$1005:$AQ$1005,1,MATCH(COLUMNS($AB$1006:AC1006),$AB$1006:$AQ$1006,0))&gt;=100000), " ",IF(INDEX($AB$2:$AQ$1001,MATCH(ROWS($U$2:U742),$U$2:$U$1001,0),MATCH(COLUMNS($AB$1006:AC1006),$AB$1006:$AQ$1006,0)), HYPERLINK("#",""), HYPERLINK(CONCATENATE("#Metadata!", ADDRESS(INDEX($W$2:$W$1001,MATCH(ROWS($U$2:U742),$U$2:$U$1001,0),0), INDEX($AB$1004:$AQ$1004,1,MATCH(COLUMNS($AB$1006:AC1006),$AB$1006:$AQ$1006,0)))),"Fix")))</f>
        <v>0</v>
      </c>
      <c r="D742" s="5">
        <f>IF(OR(INDEX($V$2:$V$1001,MATCH(ROWS($U$2:U742),$U$2:$U$1001,0),1)&gt;=100000,INDEX($AB$1005:$AQ$1005,1,MATCH(COLUMNS($AB$1006:AD1006),$AB$1006:$AQ$1006,0))&gt;=100000), " ",IF(INDEX($AB$2:$AQ$1001,MATCH(ROWS($U$2:U742),$U$2:$U$1001,0),MATCH(COLUMNS($AB$1006:AD1006),$AB$1006:$AQ$1006,0)), HYPERLINK("#",""), HYPERLINK(CONCATENATE("#Metadata!", ADDRESS(INDEX($W$2:$W$1001,MATCH(ROWS($U$2:U742),$U$2:$U$1001,0),0), INDEX($AB$1004:$AQ$1004,1,MATCH(COLUMNS($AB$1006:AD1006),$AB$1006:$AQ$1006,0)))),"Fix")))</f>
        <v>0</v>
      </c>
      <c r="E742" s="5">
        <f>IF(OR(INDEX($V$2:$V$1001,MATCH(ROWS($U$2:U742),$U$2:$U$1001,0),1)&gt;=100000,INDEX($AB$1005:$AQ$1005,1,MATCH(COLUMNS($AB$1006:AE1006),$AB$1006:$AQ$1006,0))&gt;=100000), " ",IF(INDEX($AB$2:$AQ$1001,MATCH(ROWS($U$2:U742),$U$2:$U$1001,0),MATCH(COLUMNS($AB$1006:AE1006),$AB$1006:$AQ$1006,0)), HYPERLINK("#",""), HYPERLINK(CONCATENATE("#Metadata!", ADDRESS(INDEX($W$2:$W$1001,MATCH(ROWS($U$2:U742),$U$2:$U$1001,0),0), INDEX($AB$1004:$AQ$1004,1,MATCH(COLUMNS($AB$1006:AE1006),$AB$1006:$AQ$1006,0)))),"Fix")))</f>
        <v>0</v>
      </c>
      <c r="F742" s="5">
        <f>IF(OR(INDEX($V$2:$V$1001,MATCH(ROWS($U$2:U742),$U$2:$U$1001,0),1)&gt;=100000,INDEX($AB$1005:$AQ$1005,1,MATCH(COLUMNS($AB$1006:AF1006),$AB$1006:$AQ$1006,0))&gt;=100000), " ",IF(INDEX($AB$2:$AQ$1001,MATCH(ROWS($U$2:U742),$U$2:$U$1001,0),MATCH(COLUMNS($AB$1006:AF1006),$AB$1006:$AQ$1006,0)), HYPERLINK("#",""), HYPERLINK(CONCATENATE("#Metadata!", ADDRESS(INDEX($W$2:$W$1001,MATCH(ROWS($U$2:U742),$U$2:$U$1001,0),0), INDEX($AB$1004:$AQ$1004,1,MATCH(COLUMNS($AB$1006:AF1006),$AB$1006:$AQ$1006,0)))),"Fix")))</f>
        <v>0</v>
      </c>
      <c r="G742" s="5">
        <f>IF(OR(INDEX($V$2:$V$1001,MATCH(ROWS($U$2:U742),$U$2:$U$1001,0),1)&gt;=100000,INDEX($AB$1005:$AQ$1005,1,MATCH(COLUMNS($AB$1006:AG1006),$AB$1006:$AQ$1006,0))&gt;=100000), " ",IF(INDEX($AB$2:$AQ$1001,MATCH(ROWS($U$2:U742),$U$2:$U$1001,0),MATCH(COLUMNS($AB$1006:AG1006),$AB$1006:$AQ$1006,0)), HYPERLINK("#",""), HYPERLINK(CONCATENATE("#Metadata!", ADDRESS(INDEX($W$2:$W$1001,MATCH(ROWS($U$2:U742),$U$2:$U$1001,0),0), INDEX($AB$1004:$AQ$1004,1,MATCH(COLUMNS($AB$1006:AG1006),$AB$1006:$AQ$1006,0)))),"Fix")))</f>
        <v>0</v>
      </c>
      <c r="H742" s="5">
        <f>IF(OR(INDEX($V$2:$V$1001,MATCH(ROWS($U$2:U742),$U$2:$U$1001,0),1)&gt;=100000,INDEX($AB$1005:$AQ$1005,1,MATCH(COLUMNS($AB$1006:AH1006),$AB$1006:$AQ$1006,0))&gt;=100000), " ",IF(INDEX($AB$2:$AQ$1001,MATCH(ROWS($U$2:U742),$U$2:$U$1001,0),MATCH(COLUMNS($AB$1006:AH1006),$AB$1006:$AQ$1006,0)), HYPERLINK("#",""), HYPERLINK(CONCATENATE("#Metadata!", ADDRESS(INDEX($W$2:$W$1001,MATCH(ROWS($U$2:U742),$U$2:$U$1001,0),0), INDEX($AB$1004:$AQ$1004,1,MATCH(COLUMNS($AB$1006:AH1006),$AB$1006:$AQ$1006,0)))),"Fix")))</f>
        <v>0</v>
      </c>
      <c r="I742" s="5">
        <f>IF(OR(INDEX($V$2:$V$1001,MATCH(ROWS($U$2:U742),$U$2:$U$1001,0),1)&gt;=100000,INDEX($AB$1005:$AQ$1005,1,MATCH(COLUMNS($AB$1006:AI1006),$AB$1006:$AQ$1006,0))&gt;=100000), " ",IF(INDEX($AB$2:$AQ$1001,MATCH(ROWS($U$2:U742),$U$2:$U$1001,0),MATCH(COLUMNS($AB$1006:AI1006),$AB$1006:$AQ$1006,0)), HYPERLINK("#",""), HYPERLINK(CONCATENATE("#Metadata!", ADDRESS(INDEX($W$2:$W$1001,MATCH(ROWS($U$2:U742),$U$2:$U$1001,0),0), INDEX($AB$1004:$AQ$1004,1,MATCH(COLUMNS($AB$1006:AI1006),$AB$1006:$AQ$1006,0)))),"Fix")))</f>
        <v>0</v>
      </c>
      <c r="J742" s="5">
        <f>IF(OR(INDEX($V$2:$V$1001,MATCH(ROWS($U$2:U742),$U$2:$U$1001,0),1)&gt;=100000,INDEX($AB$1005:$AQ$1005,1,MATCH(COLUMNS($AB$1006:AJ1006),$AB$1006:$AQ$1006,0))&gt;=100000), " ",IF(INDEX($AB$2:$AQ$1001,MATCH(ROWS($U$2:U742),$U$2:$U$1001,0),MATCH(COLUMNS($AB$1006:AJ1006),$AB$1006:$AQ$1006,0)), HYPERLINK("#",""), HYPERLINK(CONCATENATE("#Metadata!", ADDRESS(INDEX($W$2:$W$1001,MATCH(ROWS($U$2:U742),$U$2:$U$1001,0),0), INDEX($AB$1004:$AQ$1004,1,MATCH(COLUMNS($AB$1006:AJ1006),$AB$1006:$AQ$1006,0)))),"Fix")))</f>
        <v>0</v>
      </c>
      <c r="K742" s="5">
        <f>IF(OR(INDEX($V$2:$V$1001,MATCH(ROWS($U$2:U742),$U$2:$U$1001,0),1)&gt;=100000,INDEX($AB$1005:$AQ$1005,1,MATCH(COLUMNS($AB$1006:AK1006),$AB$1006:$AQ$1006,0))&gt;=100000), " ",IF(INDEX($AB$2:$AQ$1001,MATCH(ROWS($U$2:U742),$U$2:$U$1001,0),MATCH(COLUMNS($AB$1006:AK1006),$AB$1006:$AQ$1006,0)), HYPERLINK("#",""), HYPERLINK(CONCATENATE("#Metadata!", ADDRESS(INDEX($W$2:$W$1001,MATCH(ROWS($U$2:U742),$U$2:$U$1001,0),0), INDEX($AB$1004:$AQ$1004,1,MATCH(COLUMNS($AB$1006:AK1006),$AB$1006:$AQ$1006,0)))),"Fix")))</f>
        <v>0</v>
      </c>
      <c r="L742" s="5">
        <f>IF(OR(INDEX($V$2:$V$1001,MATCH(ROWS($U$2:U742),$U$2:$U$1001,0),1)&gt;=100000,INDEX($AB$1005:$AQ$1005,1,MATCH(COLUMNS($AB$1006:AL1006),$AB$1006:$AQ$1006,0))&gt;=100000), " ",IF(INDEX($AB$2:$AQ$1001,MATCH(ROWS($U$2:U742),$U$2:$U$1001,0),MATCH(COLUMNS($AB$1006:AL1006),$AB$1006:$AQ$1006,0)), HYPERLINK("#",""), HYPERLINK(CONCATENATE("#Metadata!", ADDRESS(INDEX($W$2:$W$1001,MATCH(ROWS($U$2:U742),$U$2:$U$1001,0),0), INDEX($AB$1004:$AQ$1004,1,MATCH(COLUMNS($AB$1006:AL1006),$AB$1006:$AQ$1006,0)))),"Fix")))</f>
        <v>0</v>
      </c>
      <c r="M742" s="5">
        <f>IF(OR(INDEX($V$2:$V$1001,MATCH(ROWS($U$2:U742),$U$2:$U$1001,0),1)&gt;=100000,INDEX($AB$1005:$AQ$1005,1,MATCH(COLUMNS($AB$1006:AM1006),$AB$1006:$AQ$1006,0))&gt;=100000), " ",IF(INDEX($AB$2:$AQ$1001,MATCH(ROWS($U$2:U742),$U$2:$U$1001,0),MATCH(COLUMNS($AB$1006:AM1006),$AB$1006:$AQ$1006,0)), HYPERLINK("#",""), HYPERLINK(CONCATENATE("#Metadata!", ADDRESS(INDEX($W$2:$W$1001,MATCH(ROWS($U$2:U742),$U$2:$U$1001,0),0), INDEX($AB$1004:$AQ$1004,1,MATCH(COLUMNS($AB$1006:AM1006),$AB$1006:$AQ$1006,0)))),"Fix")))</f>
        <v>0</v>
      </c>
      <c r="N742" s="5">
        <f>IF(OR(INDEX($V$2:$V$1001,MATCH(ROWS($U$2:U742),$U$2:$U$1001,0),1)&gt;=100000,INDEX($AB$1005:$AQ$1005,1,MATCH(COLUMNS($AB$1006:AN1006),$AB$1006:$AQ$1006,0))&gt;=100000), " ",IF(INDEX($AB$2:$AQ$1001,MATCH(ROWS($U$2:U742),$U$2:$U$1001,0),MATCH(COLUMNS($AB$1006:AN1006),$AB$1006:$AQ$1006,0)), HYPERLINK("#",""), HYPERLINK(CONCATENATE("#Metadata!", ADDRESS(INDEX($W$2:$W$1001,MATCH(ROWS($U$2:U742),$U$2:$U$1001,0),0), INDEX($AB$1004:$AQ$1004,1,MATCH(COLUMNS($AB$1006:AN1006),$AB$1006:$AQ$1006,0)))),"Fix")))</f>
        <v>0</v>
      </c>
      <c r="O742" s="5">
        <f>IF(OR(INDEX($V$2:$V$1001,MATCH(ROWS($U$2:U742),$U$2:$U$1001,0),1)&gt;=100000,INDEX($AB$1005:$AQ$1005,1,MATCH(COLUMNS($AB$1006:AO1006),$AB$1006:$AQ$1006,0))&gt;=100000), " ",IF(INDEX($AB$2:$AQ$1001,MATCH(ROWS($U$2:U742),$U$2:$U$1001,0),MATCH(COLUMNS($AB$1006:AO1006),$AB$1006:$AQ$1006,0)), HYPERLINK("#",""), HYPERLINK(CONCATENATE("#Metadata!", ADDRESS(INDEX($W$2:$W$1001,MATCH(ROWS($U$2:U742),$U$2:$U$1001,0),0), INDEX($AB$1004:$AQ$1004,1,MATCH(COLUMNS($AB$1006:AO1006),$AB$1006:$AQ$1006,0)))),"Fix")))</f>
        <v>0</v>
      </c>
      <c r="P742" s="5">
        <f>IF(OR(INDEX($V$2:$V$1001,MATCH(ROWS($U$2:U742),$U$2:$U$1001,0),1)&gt;=100000,INDEX($AB$1005:$AQ$1005,1,MATCH(COLUMNS($AB$1006:AP1006),$AB$1006:$AQ$1006,0))&gt;=100000), " ",IF(INDEX($AB$2:$AQ$1001,MATCH(ROWS($U$2:U742),$U$2:$U$1001,0),MATCH(COLUMNS($AB$1006:AP1006),$AB$1006:$AQ$1006,0)), HYPERLINK("#",""), HYPERLINK(CONCATENATE("#Metadata!", ADDRESS(INDEX($W$2:$W$1001,MATCH(ROWS($U$2:U742),$U$2:$U$1001,0),0), INDEX($AB$1004:$AQ$1004,1,MATCH(COLUMNS($AB$1006:AP1006),$AB$1006:$AQ$1006,0)))),"Fix")))</f>
        <v>0</v>
      </c>
      <c r="Q742" s="5">
        <f>IF(OR(INDEX($V$2:$V$1001,MATCH(ROWS($U$2:U742),$U$2:$U$1001,0),1)&gt;=100000,INDEX($AB$1005:$AQ$1005,1,MATCH(COLUMNS($AB$1006:AQ1006),$AB$1006:$AQ$1006,0))&gt;=100000), " ",IF(INDEX($AB$2:$AQ$1001,MATCH(ROWS($U$2:U742),$U$2:$U$1001,0),MATCH(COLUMNS($AB$1006:AQ1006),$AB$1006:$AQ$1006,0)), HYPERLINK("#",""), HYPERLINK(CONCATENATE("#Metadata!", ADDRESS(INDEX($W$2:$W$1001,MATCH(ROWS($U$2:U742),$U$2:$U$1001,0),0), INDEX($AB$1004:$AQ$1004,1,MATCH(COLUMNS($AB$1006:AQ1006),$AB$1006:$AQ$1006,0)))),"Fix")))</f>
        <v>0</v>
      </c>
      <c r="U742">
        <v>0</v>
      </c>
      <c r="V742">
        <v>0</v>
      </c>
      <c r="W742">
        <v>0</v>
      </c>
      <c r="X742">
        <f>IF(Y742,TRUE,AND(AB742:AQ742))</f>
        <v>0</v>
      </c>
      <c r="Y742">
        <f>COUNTBLANK(Metadata!B742:Q742)=COLUMNS(Metadata!B742:Q742)</f>
        <v>0</v>
      </c>
      <c r="Z742">
        <v>0</v>
      </c>
      <c r="AB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AC742">
        <f>AND(IF(Metadata!C742="",FALSE,TRUE),exact(Metadata!C742,"urban biome"))</f>
        <v>0</v>
      </c>
      <c r="AD742">
        <f>AND(IF(Metadata!D742="",FALSE,TRUE),exact(Metadata!D742,"human-associated habitat"))</f>
        <v>0</v>
      </c>
      <c r="AE742">
        <f>AND(IF(Metadata!E742="",FALSE,TRUE),OR(exact(Metadata!E742,"human-associated"),exact(Metadata!E742,"human-skin"),exact(Metadata!E742,"human-oral"),exact(Metadata!E742,"human-gut"),exact(Metadata!E742,"human-vaginal")))</f>
        <v>0</v>
      </c>
      <c r="AF742">
        <f>AND(IF(Metadata!F742="",FALSE,ISNUMBER(VALUE(Metadata!F742))),Metadata!F742&gt;0)</f>
        <v>0</v>
      </c>
      <c r="AG742">
        <f>AND(IF(Metadata!G742="",FALSE,TRUE),exact(Metadata!G742,"years"))</f>
        <v>0</v>
      </c>
      <c r="AH742">
        <f>OR(AND(IF(Metadata!H742="",FALSE,TRUE),OR(exact(Metadata!H742,"not applicable"),exact(Metadata!H742,"not collected"),exact(Metadata!H742,"not provided"),exact(Metadata!H742,"restricted access"))),AND(IF(Metadata!H742="",FALSE,ISNUMBER(VALUE(Metadata!H742))),Metadata!H742&gt;0))</f>
        <v>0</v>
      </c>
      <c r="AI742">
        <f>AND(IF(Metadata!I742="",FALSE,TRUE),exact(Metadata!I742,"human"))</f>
        <v>0</v>
      </c>
      <c r="AJ742">
        <f>AND(IF(Metadata!J742="",FALSE,ISNUMBER(VALUE(Metadata!J742))),Metadata!J742&gt;0)</f>
        <v>0</v>
      </c>
      <c r="AK742">
        <f>AND(IF(Metadata!K742="",FALSE,TRUE),exact(Metadata!K742,"cm"))</f>
        <v>0</v>
      </c>
      <c r="AL742">
        <f>AND(IF(Metadata!L742="",FALSE,TRUE),exact(Metadata!L742,"Homo sapiens"))</f>
        <v>0</v>
      </c>
      <c r="AM742">
        <f>AND(IF(Metadata!M742="",FALSE,TRUE),exact(Metadata!M742,"9606"))</f>
        <v>0</v>
      </c>
      <c r="AN742">
        <f>AND(IF(Metadata!N742="",FALSE,ISNUMBER(VALUE(Metadata!N742))),Metadata!N742&gt;0)</f>
        <v>0</v>
      </c>
      <c r="AO742">
        <f>AND(IF(Metadata!O742="",FALSE,TRUE),exact(Metadata!O742,"kg"))</f>
        <v>0</v>
      </c>
      <c r="AP742">
        <f>OR(AND(IF(Metadata!P742="",FALSE,TRUE),exact(Metadata!P742,"not provided")),IF(Metadata!P742="",FALSE,TRUE))</f>
        <v>0</v>
      </c>
      <c r="AQ742">
        <f>OR(AND(IF(Metadata!Q742="",FALSE,TRUE),exact(Metadata!Q742,"not provided")),IF(Metadata!Q742="",FALSE,TRUE))</f>
        <v>0</v>
      </c>
    </row>
    <row r="743" spans="1:43">
      <c r="A743" s="4">
        <f>IF(B743=" "," ",HYPERLINK(CONCATENATE("#metadata!",ADDRESS(INDEX($W$2:$W$1001,MATCH(ROWS($U$2:U743),$U$2:$U$1001,0),0),2)),INDEX($Z$2:$Z$1001,MATCH(ROWS($U$2:U743),$U$2:$U$1001,0),0)))</f>
        <v>0</v>
      </c>
      <c r="B743" s="5">
        <f>IF(OR(INDEX($V$2:$V$1001,MATCH(ROWS($U$2:U743),$U$2:$U$1001,0),1)&gt;=100000,INDEX($AB$1005:$AQ$1005,1,MATCH(COLUMNS($AB$1006:AB1006),$AB$1006:$AQ$1006,0))&gt;=100000), " ",IF(INDEX($AB$2:$AQ$1001,MATCH(ROWS($U$2:U743),$U$2:$U$1001,0),MATCH(COLUMNS($AB$1006:AB1006),$AB$1006:$AQ$1006,0)), HYPERLINK("#",""), HYPERLINK(CONCATENATE("#Metadata!", ADDRESS(INDEX($W$2:$W$1001,MATCH(ROWS($U$2:U743),$U$2:$U$1001,0),0), INDEX($AB$1004:$AQ$1004,1,MATCH(COLUMNS($AB$1006:AB1006),$AB$1006:$AQ$1006,0)))),"Fix")))</f>
        <v>0</v>
      </c>
      <c r="C743" s="5">
        <f>IF(OR(INDEX($V$2:$V$1001,MATCH(ROWS($U$2:U743),$U$2:$U$1001,0),1)&gt;=100000,INDEX($AB$1005:$AQ$1005,1,MATCH(COLUMNS($AB$1006:AC1006),$AB$1006:$AQ$1006,0))&gt;=100000), " ",IF(INDEX($AB$2:$AQ$1001,MATCH(ROWS($U$2:U743),$U$2:$U$1001,0),MATCH(COLUMNS($AB$1006:AC1006),$AB$1006:$AQ$1006,0)), HYPERLINK("#",""), HYPERLINK(CONCATENATE("#Metadata!", ADDRESS(INDEX($W$2:$W$1001,MATCH(ROWS($U$2:U743),$U$2:$U$1001,0),0), INDEX($AB$1004:$AQ$1004,1,MATCH(COLUMNS($AB$1006:AC1006),$AB$1006:$AQ$1006,0)))),"Fix")))</f>
        <v>0</v>
      </c>
      <c r="D743" s="5">
        <f>IF(OR(INDEX($V$2:$V$1001,MATCH(ROWS($U$2:U743),$U$2:$U$1001,0),1)&gt;=100000,INDEX($AB$1005:$AQ$1005,1,MATCH(COLUMNS($AB$1006:AD1006),$AB$1006:$AQ$1006,0))&gt;=100000), " ",IF(INDEX($AB$2:$AQ$1001,MATCH(ROWS($U$2:U743),$U$2:$U$1001,0),MATCH(COLUMNS($AB$1006:AD1006),$AB$1006:$AQ$1006,0)), HYPERLINK("#",""), HYPERLINK(CONCATENATE("#Metadata!", ADDRESS(INDEX($W$2:$W$1001,MATCH(ROWS($U$2:U743),$U$2:$U$1001,0),0), INDEX($AB$1004:$AQ$1004,1,MATCH(COLUMNS($AB$1006:AD1006),$AB$1006:$AQ$1006,0)))),"Fix")))</f>
        <v>0</v>
      </c>
      <c r="E743" s="5">
        <f>IF(OR(INDEX($V$2:$V$1001,MATCH(ROWS($U$2:U743),$U$2:$U$1001,0),1)&gt;=100000,INDEX($AB$1005:$AQ$1005,1,MATCH(COLUMNS($AB$1006:AE1006),$AB$1006:$AQ$1006,0))&gt;=100000), " ",IF(INDEX($AB$2:$AQ$1001,MATCH(ROWS($U$2:U743),$U$2:$U$1001,0),MATCH(COLUMNS($AB$1006:AE1006),$AB$1006:$AQ$1006,0)), HYPERLINK("#",""), HYPERLINK(CONCATENATE("#Metadata!", ADDRESS(INDEX($W$2:$W$1001,MATCH(ROWS($U$2:U743),$U$2:$U$1001,0),0), INDEX($AB$1004:$AQ$1004,1,MATCH(COLUMNS($AB$1006:AE1006),$AB$1006:$AQ$1006,0)))),"Fix")))</f>
        <v>0</v>
      </c>
      <c r="F743" s="5">
        <f>IF(OR(INDEX($V$2:$V$1001,MATCH(ROWS($U$2:U743),$U$2:$U$1001,0),1)&gt;=100000,INDEX($AB$1005:$AQ$1005,1,MATCH(COLUMNS($AB$1006:AF1006),$AB$1006:$AQ$1006,0))&gt;=100000), " ",IF(INDEX($AB$2:$AQ$1001,MATCH(ROWS($U$2:U743),$U$2:$U$1001,0),MATCH(COLUMNS($AB$1006:AF1006),$AB$1006:$AQ$1006,0)), HYPERLINK("#",""), HYPERLINK(CONCATENATE("#Metadata!", ADDRESS(INDEX($W$2:$W$1001,MATCH(ROWS($U$2:U743),$U$2:$U$1001,0),0), INDEX($AB$1004:$AQ$1004,1,MATCH(COLUMNS($AB$1006:AF1006),$AB$1006:$AQ$1006,0)))),"Fix")))</f>
        <v>0</v>
      </c>
      <c r="G743" s="5">
        <f>IF(OR(INDEX($V$2:$V$1001,MATCH(ROWS($U$2:U743),$U$2:$U$1001,0),1)&gt;=100000,INDEX($AB$1005:$AQ$1005,1,MATCH(COLUMNS($AB$1006:AG1006),$AB$1006:$AQ$1006,0))&gt;=100000), " ",IF(INDEX($AB$2:$AQ$1001,MATCH(ROWS($U$2:U743),$U$2:$U$1001,0),MATCH(COLUMNS($AB$1006:AG1006),$AB$1006:$AQ$1006,0)), HYPERLINK("#",""), HYPERLINK(CONCATENATE("#Metadata!", ADDRESS(INDEX($W$2:$W$1001,MATCH(ROWS($U$2:U743),$U$2:$U$1001,0),0), INDEX($AB$1004:$AQ$1004,1,MATCH(COLUMNS($AB$1006:AG1006),$AB$1006:$AQ$1006,0)))),"Fix")))</f>
        <v>0</v>
      </c>
      <c r="H743" s="5">
        <f>IF(OR(INDEX($V$2:$V$1001,MATCH(ROWS($U$2:U743),$U$2:$U$1001,0),1)&gt;=100000,INDEX($AB$1005:$AQ$1005,1,MATCH(COLUMNS($AB$1006:AH1006),$AB$1006:$AQ$1006,0))&gt;=100000), " ",IF(INDEX($AB$2:$AQ$1001,MATCH(ROWS($U$2:U743),$U$2:$U$1001,0),MATCH(COLUMNS($AB$1006:AH1006),$AB$1006:$AQ$1006,0)), HYPERLINK("#",""), HYPERLINK(CONCATENATE("#Metadata!", ADDRESS(INDEX($W$2:$W$1001,MATCH(ROWS($U$2:U743),$U$2:$U$1001,0),0), INDEX($AB$1004:$AQ$1004,1,MATCH(COLUMNS($AB$1006:AH1006),$AB$1006:$AQ$1006,0)))),"Fix")))</f>
        <v>0</v>
      </c>
      <c r="I743" s="5">
        <f>IF(OR(INDEX($V$2:$V$1001,MATCH(ROWS($U$2:U743),$U$2:$U$1001,0),1)&gt;=100000,INDEX($AB$1005:$AQ$1005,1,MATCH(COLUMNS($AB$1006:AI1006),$AB$1006:$AQ$1006,0))&gt;=100000), " ",IF(INDEX($AB$2:$AQ$1001,MATCH(ROWS($U$2:U743),$U$2:$U$1001,0),MATCH(COLUMNS($AB$1006:AI1006),$AB$1006:$AQ$1006,0)), HYPERLINK("#",""), HYPERLINK(CONCATENATE("#Metadata!", ADDRESS(INDEX($W$2:$W$1001,MATCH(ROWS($U$2:U743),$U$2:$U$1001,0),0), INDEX($AB$1004:$AQ$1004,1,MATCH(COLUMNS($AB$1006:AI1006),$AB$1006:$AQ$1006,0)))),"Fix")))</f>
        <v>0</v>
      </c>
      <c r="J743" s="5">
        <f>IF(OR(INDEX($V$2:$V$1001,MATCH(ROWS($U$2:U743),$U$2:$U$1001,0),1)&gt;=100000,INDEX($AB$1005:$AQ$1005,1,MATCH(COLUMNS($AB$1006:AJ1006),$AB$1006:$AQ$1006,0))&gt;=100000), " ",IF(INDEX($AB$2:$AQ$1001,MATCH(ROWS($U$2:U743),$U$2:$U$1001,0),MATCH(COLUMNS($AB$1006:AJ1006),$AB$1006:$AQ$1006,0)), HYPERLINK("#",""), HYPERLINK(CONCATENATE("#Metadata!", ADDRESS(INDEX($W$2:$W$1001,MATCH(ROWS($U$2:U743),$U$2:$U$1001,0),0), INDEX($AB$1004:$AQ$1004,1,MATCH(COLUMNS($AB$1006:AJ1006),$AB$1006:$AQ$1006,0)))),"Fix")))</f>
        <v>0</v>
      </c>
      <c r="K743" s="5">
        <f>IF(OR(INDEX($V$2:$V$1001,MATCH(ROWS($U$2:U743),$U$2:$U$1001,0),1)&gt;=100000,INDEX($AB$1005:$AQ$1005,1,MATCH(COLUMNS($AB$1006:AK1006),$AB$1006:$AQ$1006,0))&gt;=100000), " ",IF(INDEX($AB$2:$AQ$1001,MATCH(ROWS($U$2:U743),$U$2:$U$1001,0),MATCH(COLUMNS($AB$1006:AK1006),$AB$1006:$AQ$1006,0)), HYPERLINK("#",""), HYPERLINK(CONCATENATE("#Metadata!", ADDRESS(INDEX($W$2:$W$1001,MATCH(ROWS($U$2:U743),$U$2:$U$1001,0),0), INDEX($AB$1004:$AQ$1004,1,MATCH(COLUMNS($AB$1006:AK1006),$AB$1006:$AQ$1006,0)))),"Fix")))</f>
        <v>0</v>
      </c>
      <c r="L743" s="5">
        <f>IF(OR(INDEX($V$2:$V$1001,MATCH(ROWS($U$2:U743),$U$2:$U$1001,0),1)&gt;=100000,INDEX($AB$1005:$AQ$1005,1,MATCH(COLUMNS($AB$1006:AL1006),$AB$1006:$AQ$1006,0))&gt;=100000), " ",IF(INDEX($AB$2:$AQ$1001,MATCH(ROWS($U$2:U743),$U$2:$U$1001,0),MATCH(COLUMNS($AB$1006:AL1006),$AB$1006:$AQ$1006,0)), HYPERLINK("#",""), HYPERLINK(CONCATENATE("#Metadata!", ADDRESS(INDEX($W$2:$W$1001,MATCH(ROWS($U$2:U743),$U$2:$U$1001,0),0), INDEX($AB$1004:$AQ$1004,1,MATCH(COLUMNS($AB$1006:AL1006),$AB$1006:$AQ$1006,0)))),"Fix")))</f>
        <v>0</v>
      </c>
      <c r="M743" s="5">
        <f>IF(OR(INDEX($V$2:$V$1001,MATCH(ROWS($U$2:U743),$U$2:$U$1001,0),1)&gt;=100000,INDEX($AB$1005:$AQ$1005,1,MATCH(COLUMNS($AB$1006:AM1006),$AB$1006:$AQ$1006,0))&gt;=100000), " ",IF(INDEX($AB$2:$AQ$1001,MATCH(ROWS($U$2:U743),$U$2:$U$1001,0),MATCH(COLUMNS($AB$1006:AM1006),$AB$1006:$AQ$1006,0)), HYPERLINK("#",""), HYPERLINK(CONCATENATE("#Metadata!", ADDRESS(INDEX($W$2:$W$1001,MATCH(ROWS($U$2:U743),$U$2:$U$1001,0),0), INDEX($AB$1004:$AQ$1004,1,MATCH(COLUMNS($AB$1006:AM1006),$AB$1006:$AQ$1006,0)))),"Fix")))</f>
        <v>0</v>
      </c>
      <c r="N743" s="5">
        <f>IF(OR(INDEX($V$2:$V$1001,MATCH(ROWS($U$2:U743),$U$2:$U$1001,0),1)&gt;=100000,INDEX($AB$1005:$AQ$1005,1,MATCH(COLUMNS($AB$1006:AN1006),$AB$1006:$AQ$1006,0))&gt;=100000), " ",IF(INDEX($AB$2:$AQ$1001,MATCH(ROWS($U$2:U743),$U$2:$U$1001,0),MATCH(COLUMNS($AB$1006:AN1006),$AB$1006:$AQ$1006,0)), HYPERLINK("#",""), HYPERLINK(CONCATENATE("#Metadata!", ADDRESS(INDEX($W$2:$W$1001,MATCH(ROWS($U$2:U743),$U$2:$U$1001,0),0), INDEX($AB$1004:$AQ$1004,1,MATCH(COLUMNS($AB$1006:AN1006),$AB$1006:$AQ$1006,0)))),"Fix")))</f>
        <v>0</v>
      </c>
      <c r="O743" s="5">
        <f>IF(OR(INDEX($V$2:$V$1001,MATCH(ROWS($U$2:U743),$U$2:$U$1001,0),1)&gt;=100000,INDEX($AB$1005:$AQ$1005,1,MATCH(COLUMNS($AB$1006:AO1006),$AB$1006:$AQ$1006,0))&gt;=100000), " ",IF(INDEX($AB$2:$AQ$1001,MATCH(ROWS($U$2:U743),$U$2:$U$1001,0),MATCH(COLUMNS($AB$1006:AO1006),$AB$1006:$AQ$1006,0)), HYPERLINK("#",""), HYPERLINK(CONCATENATE("#Metadata!", ADDRESS(INDEX($W$2:$W$1001,MATCH(ROWS($U$2:U743),$U$2:$U$1001,0),0), INDEX($AB$1004:$AQ$1004,1,MATCH(COLUMNS($AB$1006:AO1006),$AB$1006:$AQ$1006,0)))),"Fix")))</f>
        <v>0</v>
      </c>
      <c r="P743" s="5">
        <f>IF(OR(INDEX($V$2:$V$1001,MATCH(ROWS($U$2:U743),$U$2:$U$1001,0),1)&gt;=100000,INDEX($AB$1005:$AQ$1005,1,MATCH(COLUMNS($AB$1006:AP1006),$AB$1006:$AQ$1006,0))&gt;=100000), " ",IF(INDEX($AB$2:$AQ$1001,MATCH(ROWS($U$2:U743),$U$2:$U$1001,0),MATCH(COLUMNS($AB$1006:AP1006),$AB$1006:$AQ$1006,0)), HYPERLINK("#",""), HYPERLINK(CONCATENATE("#Metadata!", ADDRESS(INDEX($W$2:$W$1001,MATCH(ROWS($U$2:U743),$U$2:$U$1001,0),0), INDEX($AB$1004:$AQ$1004,1,MATCH(COLUMNS($AB$1006:AP1006),$AB$1006:$AQ$1006,0)))),"Fix")))</f>
        <v>0</v>
      </c>
      <c r="Q743" s="5">
        <f>IF(OR(INDEX($V$2:$V$1001,MATCH(ROWS($U$2:U743),$U$2:$U$1001,0),1)&gt;=100000,INDEX($AB$1005:$AQ$1005,1,MATCH(COLUMNS($AB$1006:AQ1006),$AB$1006:$AQ$1006,0))&gt;=100000), " ",IF(INDEX($AB$2:$AQ$1001,MATCH(ROWS($U$2:U743),$U$2:$U$1001,0),MATCH(COLUMNS($AB$1006:AQ1006),$AB$1006:$AQ$1006,0)), HYPERLINK("#",""), HYPERLINK(CONCATENATE("#Metadata!", ADDRESS(INDEX($W$2:$W$1001,MATCH(ROWS($U$2:U743),$U$2:$U$1001,0),0), INDEX($AB$1004:$AQ$1004,1,MATCH(COLUMNS($AB$1006:AQ1006),$AB$1006:$AQ$1006,0)))),"Fix")))</f>
        <v>0</v>
      </c>
      <c r="U743">
        <v>0</v>
      </c>
      <c r="V743">
        <v>0</v>
      </c>
      <c r="W743">
        <v>0</v>
      </c>
      <c r="X743">
        <f>IF(Y743,TRUE,AND(AB743:AQ743))</f>
        <v>0</v>
      </c>
      <c r="Y743">
        <f>COUNTBLANK(Metadata!B743:Q743)=COLUMNS(Metadata!B743:Q743)</f>
        <v>0</v>
      </c>
      <c r="Z743">
        <v>0</v>
      </c>
      <c r="AB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AC743">
        <f>AND(IF(Metadata!C743="",FALSE,TRUE),exact(Metadata!C743,"urban biome"))</f>
        <v>0</v>
      </c>
      <c r="AD743">
        <f>AND(IF(Metadata!D743="",FALSE,TRUE),exact(Metadata!D743,"human-associated habitat"))</f>
        <v>0</v>
      </c>
      <c r="AE743">
        <f>AND(IF(Metadata!E743="",FALSE,TRUE),OR(exact(Metadata!E743,"human-associated"),exact(Metadata!E743,"human-skin"),exact(Metadata!E743,"human-oral"),exact(Metadata!E743,"human-gut"),exact(Metadata!E743,"human-vaginal")))</f>
        <v>0</v>
      </c>
      <c r="AF743">
        <f>AND(IF(Metadata!F743="",FALSE,ISNUMBER(VALUE(Metadata!F743))),Metadata!F743&gt;0)</f>
        <v>0</v>
      </c>
      <c r="AG743">
        <f>AND(IF(Metadata!G743="",FALSE,TRUE),exact(Metadata!G743,"years"))</f>
        <v>0</v>
      </c>
      <c r="AH743">
        <f>OR(AND(IF(Metadata!H743="",FALSE,TRUE),OR(exact(Metadata!H743,"not applicable"),exact(Metadata!H743,"not collected"),exact(Metadata!H743,"not provided"),exact(Metadata!H743,"restricted access"))),AND(IF(Metadata!H743="",FALSE,ISNUMBER(VALUE(Metadata!H743))),Metadata!H743&gt;0))</f>
        <v>0</v>
      </c>
      <c r="AI743">
        <f>AND(IF(Metadata!I743="",FALSE,TRUE),exact(Metadata!I743,"human"))</f>
        <v>0</v>
      </c>
      <c r="AJ743">
        <f>AND(IF(Metadata!J743="",FALSE,ISNUMBER(VALUE(Metadata!J743))),Metadata!J743&gt;0)</f>
        <v>0</v>
      </c>
      <c r="AK743">
        <f>AND(IF(Metadata!K743="",FALSE,TRUE),exact(Metadata!K743,"cm"))</f>
        <v>0</v>
      </c>
      <c r="AL743">
        <f>AND(IF(Metadata!L743="",FALSE,TRUE),exact(Metadata!L743,"Homo sapiens"))</f>
        <v>0</v>
      </c>
      <c r="AM743">
        <f>AND(IF(Metadata!M743="",FALSE,TRUE),exact(Metadata!M743,"9606"))</f>
        <v>0</v>
      </c>
      <c r="AN743">
        <f>AND(IF(Metadata!N743="",FALSE,ISNUMBER(VALUE(Metadata!N743))),Metadata!N743&gt;0)</f>
        <v>0</v>
      </c>
      <c r="AO743">
        <f>AND(IF(Metadata!O743="",FALSE,TRUE),exact(Metadata!O743,"kg"))</f>
        <v>0</v>
      </c>
      <c r="AP743">
        <f>OR(AND(IF(Metadata!P743="",FALSE,TRUE),exact(Metadata!P743,"not provided")),IF(Metadata!P743="",FALSE,TRUE))</f>
        <v>0</v>
      </c>
      <c r="AQ743">
        <f>OR(AND(IF(Metadata!Q743="",FALSE,TRUE),exact(Metadata!Q743,"not provided")),IF(Metadata!Q743="",FALSE,TRUE))</f>
        <v>0</v>
      </c>
    </row>
    <row r="744" spans="1:43">
      <c r="A744" s="4">
        <f>IF(B744=" "," ",HYPERLINK(CONCATENATE("#metadata!",ADDRESS(INDEX($W$2:$W$1001,MATCH(ROWS($U$2:U744),$U$2:$U$1001,0),0),2)),INDEX($Z$2:$Z$1001,MATCH(ROWS($U$2:U744),$U$2:$U$1001,0),0)))</f>
        <v>0</v>
      </c>
      <c r="B744" s="5">
        <f>IF(OR(INDEX($V$2:$V$1001,MATCH(ROWS($U$2:U744),$U$2:$U$1001,0),1)&gt;=100000,INDEX($AB$1005:$AQ$1005,1,MATCH(COLUMNS($AB$1006:AB1006),$AB$1006:$AQ$1006,0))&gt;=100000), " ",IF(INDEX($AB$2:$AQ$1001,MATCH(ROWS($U$2:U744),$U$2:$U$1001,0),MATCH(COLUMNS($AB$1006:AB1006),$AB$1006:$AQ$1006,0)), HYPERLINK("#",""), HYPERLINK(CONCATENATE("#Metadata!", ADDRESS(INDEX($W$2:$W$1001,MATCH(ROWS($U$2:U744),$U$2:$U$1001,0),0), INDEX($AB$1004:$AQ$1004,1,MATCH(COLUMNS($AB$1006:AB1006),$AB$1006:$AQ$1006,0)))),"Fix")))</f>
        <v>0</v>
      </c>
      <c r="C744" s="5">
        <f>IF(OR(INDEX($V$2:$V$1001,MATCH(ROWS($U$2:U744),$U$2:$U$1001,0),1)&gt;=100000,INDEX($AB$1005:$AQ$1005,1,MATCH(COLUMNS($AB$1006:AC1006),$AB$1006:$AQ$1006,0))&gt;=100000), " ",IF(INDEX($AB$2:$AQ$1001,MATCH(ROWS($U$2:U744),$U$2:$U$1001,0),MATCH(COLUMNS($AB$1006:AC1006),$AB$1006:$AQ$1006,0)), HYPERLINK("#",""), HYPERLINK(CONCATENATE("#Metadata!", ADDRESS(INDEX($W$2:$W$1001,MATCH(ROWS($U$2:U744),$U$2:$U$1001,0),0), INDEX($AB$1004:$AQ$1004,1,MATCH(COLUMNS($AB$1006:AC1006),$AB$1006:$AQ$1006,0)))),"Fix")))</f>
        <v>0</v>
      </c>
      <c r="D744" s="5">
        <f>IF(OR(INDEX($V$2:$V$1001,MATCH(ROWS($U$2:U744),$U$2:$U$1001,0),1)&gt;=100000,INDEX($AB$1005:$AQ$1005,1,MATCH(COLUMNS($AB$1006:AD1006),$AB$1006:$AQ$1006,0))&gt;=100000), " ",IF(INDEX($AB$2:$AQ$1001,MATCH(ROWS($U$2:U744),$U$2:$U$1001,0),MATCH(COLUMNS($AB$1006:AD1006),$AB$1006:$AQ$1006,0)), HYPERLINK("#",""), HYPERLINK(CONCATENATE("#Metadata!", ADDRESS(INDEX($W$2:$W$1001,MATCH(ROWS($U$2:U744),$U$2:$U$1001,0),0), INDEX($AB$1004:$AQ$1004,1,MATCH(COLUMNS($AB$1006:AD1006),$AB$1006:$AQ$1006,0)))),"Fix")))</f>
        <v>0</v>
      </c>
      <c r="E744" s="5">
        <f>IF(OR(INDEX($V$2:$V$1001,MATCH(ROWS($U$2:U744),$U$2:$U$1001,0),1)&gt;=100000,INDEX($AB$1005:$AQ$1005,1,MATCH(COLUMNS($AB$1006:AE1006),$AB$1006:$AQ$1006,0))&gt;=100000), " ",IF(INDEX($AB$2:$AQ$1001,MATCH(ROWS($U$2:U744),$U$2:$U$1001,0),MATCH(COLUMNS($AB$1006:AE1006),$AB$1006:$AQ$1006,0)), HYPERLINK("#",""), HYPERLINK(CONCATENATE("#Metadata!", ADDRESS(INDEX($W$2:$W$1001,MATCH(ROWS($U$2:U744),$U$2:$U$1001,0),0), INDEX($AB$1004:$AQ$1004,1,MATCH(COLUMNS($AB$1006:AE1006),$AB$1006:$AQ$1006,0)))),"Fix")))</f>
        <v>0</v>
      </c>
      <c r="F744" s="5">
        <f>IF(OR(INDEX($V$2:$V$1001,MATCH(ROWS($U$2:U744),$U$2:$U$1001,0),1)&gt;=100000,INDEX($AB$1005:$AQ$1005,1,MATCH(COLUMNS($AB$1006:AF1006),$AB$1006:$AQ$1006,0))&gt;=100000), " ",IF(INDEX($AB$2:$AQ$1001,MATCH(ROWS($U$2:U744),$U$2:$U$1001,0),MATCH(COLUMNS($AB$1006:AF1006),$AB$1006:$AQ$1006,0)), HYPERLINK("#",""), HYPERLINK(CONCATENATE("#Metadata!", ADDRESS(INDEX($W$2:$W$1001,MATCH(ROWS($U$2:U744),$U$2:$U$1001,0),0), INDEX($AB$1004:$AQ$1004,1,MATCH(COLUMNS($AB$1006:AF1006),$AB$1006:$AQ$1006,0)))),"Fix")))</f>
        <v>0</v>
      </c>
      <c r="G744" s="5">
        <f>IF(OR(INDEX($V$2:$V$1001,MATCH(ROWS($U$2:U744),$U$2:$U$1001,0),1)&gt;=100000,INDEX($AB$1005:$AQ$1005,1,MATCH(COLUMNS($AB$1006:AG1006),$AB$1006:$AQ$1006,0))&gt;=100000), " ",IF(INDEX($AB$2:$AQ$1001,MATCH(ROWS($U$2:U744),$U$2:$U$1001,0),MATCH(COLUMNS($AB$1006:AG1006),$AB$1006:$AQ$1006,0)), HYPERLINK("#",""), HYPERLINK(CONCATENATE("#Metadata!", ADDRESS(INDEX($W$2:$W$1001,MATCH(ROWS($U$2:U744),$U$2:$U$1001,0),0), INDEX($AB$1004:$AQ$1004,1,MATCH(COLUMNS($AB$1006:AG1006),$AB$1006:$AQ$1006,0)))),"Fix")))</f>
        <v>0</v>
      </c>
      <c r="H744" s="5">
        <f>IF(OR(INDEX($V$2:$V$1001,MATCH(ROWS($U$2:U744),$U$2:$U$1001,0),1)&gt;=100000,INDEX($AB$1005:$AQ$1005,1,MATCH(COLUMNS($AB$1006:AH1006),$AB$1006:$AQ$1006,0))&gt;=100000), " ",IF(INDEX($AB$2:$AQ$1001,MATCH(ROWS($U$2:U744),$U$2:$U$1001,0),MATCH(COLUMNS($AB$1006:AH1006),$AB$1006:$AQ$1006,0)), HYPERLINK("#",""), HYPERLINK(CONCATENATE("#Metadata!", ADDRESS(INDEX($W$2:$W$1001,MATCH(ROWS($U$2:U744),$U$2:$U$1001,0),0), INDEX($AB$1004:$AQ$1004,1,MATCH(COLUMNS($AB$1006:AH1006),$AB$1006:$AQ$1006,0)))),"Fix")))</f>
        <v>0</v>
      </c>
      <c r="I744" s="5">
        <f>IF(OR(INDEX($V$2:$V$1001,MATCH(ROWS($U$2:U744),$U$2:$U$1001,0),1)&gt;=100000,INDEX($AB$1005:$AQ$1005,1,MATCH(COLUMNS($AB$1006:AI1006),$AB$1006:$AQ$1006,0))&gt;=100000), " ",IF(INDEX($AB$2:$AQ$1001,MATCH(ROWS($U$2:U744),$U$2:$U$1001,0),MATCH(COLUMNS($AB$1006:AI1006),$AB$1006:$AQ$1006,0)), HYPERLINK("#",""), HYPERLINK(CONCATENATE("#Metadata!", ADDRESS(INDEX($W$2:$W$1001,MATCH(ROWS($U$2:U744),$U$2:$U$1001,0),0), INDEX($AB$1004:$AQ$1004,1,MATCH(COLUMNS($AB$1006:AI1006),$AB$1006:$AQ$1006,0)))),"Fix")))</f>
        <v>0</v>
      </c>
      <c r="J744" s="5">
        <f>IF(OR(INDEX($V$2:$V$1001,MATCH(ROWS($U$2:U744),$U$2:$U$1001,0),1)&gt;=100000,INDEX($AB$1005:$AQ$1005,1,MATCH(COLUMNS($AB$1006:AJ1006),$AB$1006:$AQ$1006,0))&gt;=100000), " ",IF(INDEX($AB$2:$AQ$1001,MATCH(ROWS($U$2:U744),$U$2:$U$1001,0),MATCH(COLUMNS($AB$1006:AJ1006),$AB$1006:$AQ$1006,0)), HYPERLINK("#",""), HYPERLINK(CONCATENATE("#Metadata!", ADDRESS(INDEX($W$2:$W$1001,MATCH(ROWS($U$2:U744),$U$2:$U$1001,0),0), INDEX($AB$1004:$AQ$1004,1,MATCH(COLUMNS($AB$1006:AJ1006),$AB$1006:$AQ$1006,0)))),"Fix")))</f>
        <v>0</v>
      </c>
      <c r="K744" s="5">
        <f>IF(OR(INDEX($V$2:$V$1001,MATCH(ROWS($U$2:U744),$U$2:$U$1001,0),1)&gt;=100000,INDEX($AB$1005:$AQ$1005,1,MATCH(COLUMNS($AB$1006:AK1006),$AB$1006:$AQ$1006,0))&gt;=100000), " ",IF(INDEX($AB$2:$AQ$1001,MATCH(ROWS($U$2:U744),$U$2:$U$1001,0),MATCH(COLUMNS($AB$1006:AK1006),$AB$1006:$AQ$1006,0)), HYPERLINK("#",""), HYPERLINK(CONCATENATE("#Metadata!", ADDRESS(INDEX($W$2:$W$1001,MATCH(ROWS($U$2:U744),$U$2:$U$1001,0),0), INDEX($AB$1004:$AQ$1004,1,MATCH(COLUMNS($AB$1006:AK1006),$AB$1006:$AQ$1006,0)))),"Fix")))</f>
        <v>0</v>
      </c>
      <c r="L744" s="5">
        <f>IF(OR(INDEX($V$2:$V$1001,MATCH(ROWS($U$2:U744),$U$2:$U$1001,0),1)&gt;=100000,INDEX($AB$1005:$AQ$1005,1,MATCH(COLUMNS($AB$1006:AL1006),$AB$1006:$AQ$1006,0))&gt;=100000), " ",IF(INDEX($AB$2:$AQ$1001,MATCH(ROWS($U$2:U744),$U$2:$U$1001,0),MATCH(COLUMNS($AB$1006:AL1006),$AB$1006:$AQ$1006,0)), HYPERLINK("#",""), HYPERLINK(CONCATENATE("#Metadata!", ADDRESS(INDEX($W$2:$W$1001,MATCH(ROWS($U$2:U744),$U$2:$U$1001,0),0), INDEX($AB$1004:$AQ$1004,1,MATCH(COLUMNS($AB$1006:AL1006),$AB$1006:$AQ$1006,0)))),"Fix")))</f>
        <v>0</v>
      </c>
      <c r="M744" s="5">
        <f>IF(OR(INDEX($V$2:$V$1001,MATCH(ROWS($U$2:U744),$U$2:$U$1001,0),1)&gt;=100000,INDEX($AB$1005:$AQ$1005,1,MATCH(COLUMNS($AB$1006:AM1006),$AB$1006:$AQ$1006,0))&gt;=100000), " ",IF(INDEX($AB$2:$AQ$1001,MATCH(ROWS($U$2:U744),$U$2:$U$1001,0),MATCH(COLUMNS($AB$1006:AM1006),$AB$1006:$AQ$1006,0)), HYPERLINK("#",""), HYPERLINK(CONCATENATE("#Metadata!", ADDRESS(INDEX($W$2:$W$1001,MATCH(ROWS($U$2:U744),$U$2:$U$1001,0),0), INDEX($AB$1004:$AQ$1004,1,MATCH(COLUMNS($AB$1006:AM1006),$AB$1006:$AQ$1006,0)))),"Fix")))</f>
        <v>0</v>
      </c>
      <c r="N744" s="5">
        <f>IF(OR(INDEX($V$2:$V$1001,MATCH(ROWS($U$2:U744),$U$2:$U$1001,0),1)&gt;=100000,INDEX($AB$1005:$AQ$1005,1,MATCH(COLUMNS($AB$1006:AN1006),$AB$1006:$AQ$1006,0))&gt;=100000), " ",IF(INDEX($AB$2:$AQ$1001,MATCH(ROWS($U$2:U744),$U$2:$U$1001,0),MATCH(COLUMNS($AB$1006:AN1006),$AB$1006:$AQ$1006,0)), HYPERLINK("#",""), HYPERLINK(CONCATENATE("#Metadata!", ADDRESS(INDEX($W$2:$W$1001,MATCH(ROWS($U$2:U744),$U$2:$U$1001,0),0), INDEX($AB$1004:$AQ$1004,1,MATCH(COLUMNS($AB$1006:AN1006),$AB$1006:$AQ$1006,0)))),"Fix")))</f>
        <v>0</v>
      </c>
      <c r="O744" s="5">
        <f>IF(OR(INDEX($V$2:$V$1001,MATCH(ROWS($U$2:U744),$U$2:$U$1001,0),1)&gt;=100000,INDEX($AB$1005:$AQ$1005,1,MATCH(COLUMNS($AB$1006:AO1006),$AB$1006:$AQ$1006,0))&gt;=100000), " ",IF(INDEX($AB$2:$AQ$1001,MATCH(ROWS($U$2:U744),$U$2:$U$1001,0),MATCH(COLUMNS($AB$1006:AO1006),$AB$1006:$AQ$1006,0)), HYPERLINK("#",""), HYPERLINK(CONCATENATE("#Metadata!", ADDRESS(INDEX($W$2:$W$1001,MATCH(ROWS($U$2:U744),$U$2:$U$1001,0),0), INDEX($AB$1004:$AQ$1004,1,MATCH(COLUMNS($AB$1006:AO1006),$AB$1006:$AQ$1006,0)))),"Fix")))</f>
        <v>0</v>
      </c>
      <c r="P744" s="5">
        <f>IF(OR(INDEX($V$2:$V$1001,MATCH(ROWS($U$2:U744),$U$2:$U$1001,0),1)&gt;=100000,INDEX($AB$1005:$AQ$1005,1,MATCH(COLUMNS($AB$1006:AP1006),$AB$1006:$AQ$1006,0))&gt;=100000), " ",IF(INDEX($AB$2:$AQ$1001,MATCH(ROWS($U$2:U744),$U$2:$U$1001,0),MATCH(COLUMNS($AB$1006:AP1006),$AB$1006:$AQ$1006,0)), HYPERLINK("#",""), HYPERLINK(CONCATENATE("#Metadata!", ADDRESS(INDEX($W$2:$W$1001,MATCH(ROWS($U$2:U744),$U$2:$U$1001,0),0), INDEX($AB$1004:$AQ$1004,1,MATCH(COLUMNS($AB$1006:AP1006),$AB$1006:$AQ$1006,0)))),"Fix")))</f>
        <v>0</v>
      </c>
      <c r="Q744" s="5">
        <f>IF(OR(INDEX($V$2:$V$1001,MATCH(ROWS($U$2:U744),$U$2:$U$1001,0),1)&gt;=100000,INDEX($AB$1005:$AQ$1005,1,MATCH(COLUMNS($AB$1006:AQ1006),$AB$1006:$AQ$1006,0))&gt;=100000), " ",IF(INDEX($AB$2:$AQ$1001,MATCH(ROWS($U$2:U744),$U$2:$U$1001,0),MATCH(COLUMNS($AB$1006:AQ1006),$AB$1006:$AQ$1006,0)), HYPERLINK("#",""), HYPERLINK(CONCATENATE("#Metadata!", ADDRESS(INDEX($W$2:$W$1001,MATCH(ROWS($U$2:U744),$U$2:$U$1001,0),0), INDEX($AB$1004:$AQ$1004,1,MATCH(COLUMNS($AB$1006:AQ1006),$AB$1006:$AQ$1006,0)))),"Fix")))</f>
        <v>0</v>
      </c>
      <c r="U744">
        <v>0</v>
      </c>
      <c r="V744">
        <v>0</v>
      </c>
      <c r="W744">
        <v>0</v>
      </c>
      <c r="X744">
        <f>IF(Y744,TRUE,AND(AB744:AQ744))</f>
        <v>0</v>
      </c>
      <c r="Y744">
        <f>COUNTBLANK(Metadata!B744:Q744)=COLUMNS(Metadata!B744:Q744)</f>
        <v>0</v>
      </c>
      <c r="Z744">
        <v>0</v>
      </c>
      <c r="AB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AC744">
        <f>AND(IF(Metadata!C744="",FALSE,TRUE),exact(Metadata!C744,"urban biome"))</f>
        <v>0</v>
      </c>
      <c r="AD744">
        <f>AND(IF(Metadata!D744="",FALSE,TRUE),exact(Metadata!D744,"human-associated habitat"))</f>
        <v>0</v>
      </c>
      <c r="AE744">
        <f>AND(IF(Metadata!E744="",FALSE,TRUE),OR(exact(Metadata!E744,"human-associated"),exact(Metadata!E744,"human-skin"),exact(Metadata!E744,"human-oral"),exact(Metadata!E744,"human-gut"),exact(Metadata!E744,"human-vaginal")))</f>
        <v>0</v>
      </c>
      <c r="AF744">
        <f>AND(IF(Metadata!F744="",FALSE,ISNUMBER(VALUE(Metadata!F744))),Metadata!F744&gt;0)</f>
        <v>0</v>
      </c>
      <c r="AG744">
        <f>AND(IF(Metadata!G744="",FALSE,TRUE),exact(Metadata!G744,"years"))</f>
        <v>0</v>
      </c>
      <c r="AH744">
        <f>OR(AND(IF(Metadata!H744="",FALSE,TRUE),OR(exact(Metadata!H744,"not applicable"),exact(Metadata!H744,"not collected"),exact(Metadata!H744,"not provided"),exact(Metadata!H744,"restricted access"))),AND(IF(Metadata!H744="",FALSE,ISNUMBER(VALUE(Metadata!H744))),Metadata!H744&gt;0))</f>
        <v>0</v>
      </c>
      <c r="AI744">
        <f>AND(IF(Metadata!I744="",FALSE,TRUE),exact(Metadata!I744,"human"))</f>
        <v>0</v>
      </c>
      <c r="AJ744">
        <f>AND(IF(Metadata!J744="",FALSE,ISNUMBER(VALUE(Metadata!J744))),Metadata!J744&gt;0)</f>
        <v>0</v>
      </c>
      <c r="AK744">
        <f>AND(IF(Metadata!K744="",FALSE,TRUE),exact(Metadata!K744,"cm"))</f>
        <v>0</v>
      </c>
      <c r="AL744">
        <f>AND(IF(Metadata!L744="",FALSE,TRUE),exact(Metadata!L744,"Homo sapiens"))</f>
        <v>0</v>
      </c>
      <c r="AM744">
        <f>AND(IF(Metadata!M744="",FALSE,TRUE),exact(Metadata!M744,"9606"))</f>
        <v>0</v>
      </c>
      <c r="AN744">
        <f>AND(IF(Metadata!N744="",FALSE,ISNUMBER(VALUE(Metadata!N744))),Metadata!N744&gt;0)</f>
        <v>0</v>
      </c>
      <c r="AO744">
        <f>AND(IF(Metadata!O744="",FALSE,TRUE),exact(Metadata!O744,"kg"))</f>
        <v>0</v>
      </c>
      <c r="AP744">
        <f>OR(AND(IF(Metadata!P744="",FALSE,TRUE),exact(Metadata!P744,"not provided")),IF(Metadata!P744="",FALSE,TRUE))</f>
        <v>0</v>
      </c>
      <c r="AQ744">
        <f>OR(AND(IF(Metadata!Q744="",FALSE,TRUE),exact(Metadata!Q744,"not provided")),IF(Metadata!Q744="",FALSE,TRUE))</f>
        <v>0</v>
      </c>
    </row>
    <row r="745" spans="1:43">
      <c r="A745" s="4">
        <f>IF(B745=" "," ",HYPERLINK(CONCATENATE("#metadata!",ADDRESS(INDEX($W$2:$W$1001,MATCH(ROWS($U$2:U745),$U$2:$U$1001,0),0),2)),INDEX($Z$2:$Z$1001,MATCH(ROWS($U$2:U745),$U$2:$U$1001,0),0)))</f>
        <v>0</v>
      </c>
      <c r="B745" s="5">
        <f>IF(OR(INDEX($V$2:$V$1001,MATCH(ROWS($U$2:U745),$U$2:$U$1001,0),1)&gt;=100000,INDEX($AB$1005:$AQ$1005,1,MATCH(COLUMNS($AB$1006:AB1006),$AB$1006:$AQ$1006,0))&gt;=100000), " ",IF(INDEX($AB$2:$AQ$1001,MATCH(ROWS($U$2:U745),$U$2:$U$1001,0),MATCH(COLUMNS($AB$1006:AB1006),$AB$1006:$AQ$1006,0)), HYPERLINK("#",""), HYPERLINK(CONCATENATE("#Metadata!", ADDRESS(INDEX($W$2:$W$1001,MATCH(ROWS($U$2:U745),$U$2:$U$1001,0),0), INDEX($AB$1004:$AQ$1004,1,MATCH(COLUMNS($AB$1006:AB1006),$AB$1006:$AQ$1006,0)))),"Fix")))</f>
        <v>0</v>
      </c>
      <c r="C745" s="5">
        <f>IF(OR(INDEX($V$2:$V$1001,MATCH(ROWS($U$2:U745),$U$2:$U$1001,0),1)&gt;=100000,INDEX($AB$1005:$AQ$1005,1,MATCH(COLUMNS($AB$1006:AC1006),$AB$1006:$AQ$1006,0))&gt;=100000), " ",IF(INDEX($AB$2:$AQ$1001,MATCH(ROWS($U$2:U745),$U$2:$U$1001,0),MATCH(COLUMNS($AB$1006:AC1006),$AB$1006:$AQ$1006,0)), HYPERLINK("#",""), HYPERLINK(CONCATENATE("#Metadata!", ADDRESS(INDEX($W$2:$W$1001,MATCH(ROWS($U$2:U745),$U$2:$U$1001,0),0), INDEX($AB$1004:$AQ$1004,1,MATCH(COLUMNS($AB$1006:AC1006),$AB$1006:$AQ$1006,0)))),"Fix")))</f>
        <v>0</v>
      </c>
      <c r="D745" s="5">
        <f>IF(OR(INDEX($V$2:$V$1001,MATCH(ROWS($U$2:U745),$U$2:$U$1001,0),1)&gt;=100000,INDEX($AB$1005:$AQ$1005,1,MATCH(COLUMNS($AB$1006:AD1006),$AB$1006:$AQ$1006,0))&gt;=100000), " ",IF(INDEX($AB$2:$AQ$1001,MATCH(ROWS($U$2:U745),$U$2:$U$1001,0),MATCH(COLUMNS($AB$1006:AD1006),$AB$1006:$AQ$1006,0)), HYPERLINK("#",""), HYPERLINK(CONCATENATE("#Metadata!", ADDRESS(INDEX($W$2:$W$1001,MATCH(ROWS($U$2:U745),$U$2:$U$1001,0),0), INDEX($AB$1004:$AQ$1004,1,MATCH(COLUMNS($AB$1006:AD1006),$AB$1006:$AQ$1006,0)))),"Fix")))</f>
        <v>0</v>
      </c>
      <c r="E745" s="5">
        <f>IF(OR(INDEX($V$2:$V$1001,MATCH(ROWS($U$2:U745),$U$2:$U$1001,0),1)&gt;=100000,INDEX($AB$1005:$AQ$1005,1,MATCH(COLUMNS($AB$1006:AE1006),$AB$1006:$AQ$1006,0))&gt;=100000), " ",IF(INDEX($AB$2:$AQ$1001,MATCH(ROWS($U$2:U745),$U$2:$U$1001,0),MATCH(COLUMNS($AB$1006:AE1006),$AB$1006:$AQ$1006,0)), HYPERLINK("#",""), HYPERLINK(CONCATENATE("#Metadata!", ADDRESS(INDEX($W$2:$W$1001,MATCH(ROWS($U$2:U745),$U$2:$U$1001,0),0), INDEX($AB$1004:$AQ$1004,1,MATCH(COLUMNS($AB$1006:AE1006),$AB$1006:$AQ$1006,0)))),"Fix")))</f>
        <v>0</v>
      </c>
      <c r="F745" s="5">
        <f>IF(OR(INDEX($V$2:$V$1001,MATCH(ROWS($U$2:U745),$U$2:$U$1001,0),1)&gt;=100000,INDEX($AB$1005:$AQ$1005,1,MATCH(COLUMNS($AB$1006:AF1006),$AB$1006:$AQ$1006,0))&gt;=100000), " ",IF(INDEX($AB$2:$AQ$1001,MATCH(ROWS($U$2:U745),$U$2:$U$1001,0),MATCH(COLUMNS($AB$1006:AF1006),$AB$1006:$AQ$1006,0)), HYPERLINK("#",""), HYPERLINK(CONCATENATE("#Metadata!", ADDRESS(INDEX($W$2:$W$1001,MATCH(ROWS($U$2:U745),$U$2:$U$1001,0),0), INDEX($AB$1004:$AQ$1004,1,MATCH(COLUMNS($AB$1006:AF1006),$AB$1006:$AQ$1006,0)))),"Fix")))</f>
        <v>0</v>
      </c>
      <c r="G745" s="5">
        <f>IF(OR(INDEX($V$2:$V$1001,MATCH(ROWS($U$2:U745),$U$2:$U$1001,0),1)&gt;=100000,INDEX($AB$1005:$AQ$1005,1,MATCH(COLUMNS($AB$1006:AG1006),$AB$1006:$AQ$1006,0))&gt;=100000), " ",IF(INDEX($AB$2:$AQ$1001,MATCH(ROWS($U$2:U745),$U$2:$U$1001,0),MATCH(COLUMNS($AB$1006:AG1006),$AB$1006:$AQ$1006,0)), HYPERLINK("#",""), HYPERLINK(CONCATENATE("#Metadata!", ADDRESS(INDEX($W$2:$W$1001,MATCH(ROWS($U$2:U745),$U$2:$U$1001,0),0), INDEX($AB$1004:$AQ$1004,1,MATCH(COLUMNS($AB$1006:AG1006),$AB$1006:$AQ$1006,0)))),"Fix")))</f>
        <v>0</v>
      </c>
      <c r="H745" s="5">
        <f>IF(OR(INDEX($V$2:$V$1001,MATCH(ROWS($U$2:U745),$U$2:$U$1001,0),1)&gt;=100000,INDEX($AB$1005:$AQ$1005,1,MATCH(COLUMNS($AB$1006:AH1006),$AB$1006:$AQ$1006,0))&gt;=100000), " ",IF(INDEX($AB$2:$AQ$1001,MATCH(ROWS($U$2:U745),$U$2:$U$1001,0),MATCH(COLUMNS($AB$1006:AH1006),$AB$1006:$AQ$1006,0)), HYPERLINK("#",""), HYPERLINK(CONCATENATE("#Metadata!", ADDRESS(INDEX($W$2:$W$1001,MATCH(ROWS($U$2:U745),$U$2:$U$1001,0),0), INDEX($AB$1004:$AQ$1004,1,MATCH(COLUMNS($AB$1006:AH1006),$AB$1006:$AQ$1006,0)))),"Fix")))</f>
        <v>0</v>
      </c>
      <c r="I745" s="5">
        <f>IF(OR(INDEX($V$2:$V$1001,MATCH(ROWS($U$2:U745),$U$2:$U$1001,0),1)&gt;=100000,INDEX($AB$1005:$AQ$1005,1,MATCH(COLUMNS($AB$1006:AI1006),$AB$1006:$AQ$1006,0))&gt;=100000), " ",IF(INDEX($AB$2:$AQ$1001,MATCH(ROWS($U$2:U745),$U$2:$U$1001,0),MATCH(COLUMNS($AB$1006:AI1006),$AB$1006:$AQ$1006,0)), HYPERLINK("#",""), HYPERLINK(CONCATENATE("#Metadata!", ADDRESS(INDEX($W$2:$W$1001,MATCH(ROWS($U$2:U745),$U$2:$U$1001,0),0), INDEX($AB$1004:$AQ$1004,1,MATCH(COLUMNS($AB$1006:AI1006),$AB$1006:$AQ$1006,0)))),"Fix")))</f>
        <v>0</v>
      </c>
      <c r="J745" s="5">
        <f>IF(OR(INDEX($V$2:$V$1001,MATCH(ROWS($U$2:U745),$U$2:$U$1001,0),1)&gt;=100000,INDEX($AB$1005:$AQ$1005,1,MATCH(COLUMNS($AB$1006:AJ1006),$AB$1006:$AQ$1006,0))&gt;=100000), " ",IF(INDEX($AB$2:$AQ$1001,MATCH(ROWS($U$2:U745),$U$2:$U$1001,0),MATCH(COLUMNS($AB$1006:AJ1006),$AB$1006:$AQ$1006,0)), HYPERLINK("#",""), HYPERLINK(CONCATENATE("#Metadata!", ADDRESS(INDEX($W$2:$W$1001,MATCH(ROWS($U$2:U745),$U$2:$U$1001,0),0), INDEX($AB$1004:$AQ$1004,1,MATCH(COLUMNS($AB$1006:AJ1006),$AB$1006:$AQ$1006,0)))),"Fix")))</f>
        <v>0</v>
      </c>
      <c r="K745" s="5">
        <f>IF(OR(INDEX($V$2:$V$1001,MATCH(ROWS($U$2:U745),$U$2:$U$1001,0),1)&gt;=100000,INDEX($AB$1005:$AQ$1005,1,MATCH(COLUMNS($AB$1006:AK1006),$AB$1006:$AQ$1006,0))&gt;=100000), " ",IF(INDEX($AB$2:$AQ$1001,MATCH(ROWS($U$2:U745),$U$2:$U$1001,0),MATCH(COLUMNS($AB$1006:AK1006),$AB$1006:$AQ$1006,0)), HYPERLINK("#",""), HYPERLINK(CONCATENATE("#Metadata!", ADDRESS(INDEX($W$2:$W$1001,MATCH(ROWS($U$2:U745),$U$2:$U$1001,0),0), INDEX($AB$1004:$AQ$1004,1,MATCH(COLUMNS($AB$1006:AK1006),$AB$1006:$AQ$1006,0)))),"Fix")))</f>
        <v>0</v>
      </c>
      <c r="L745" s="5">
        <f>IF(OR(INDEX($V$2:$V$1001,MATCH(ROWS($U$2:U745),$U$2:$U$1001,0),1)&gt;=100000,INDEX($AB$1005:$AQ$1005,1,MATCH(COLUMNS($AB$1006:AL1006),$AB$1006:$AQ$1006,0))&gt;=100000), " ",IF(INDEX($AB$2:$AQ$1001,MATCH(ROWS($U$2:U745),$U$2:$U$1001,0),MATCH(COLUMNS($AB$1006:AL1006),$AB$1006:$AQ$1006,0)), HYPERLINK("#",""), HYPERLINK(CONCATENATE("#Metadata!", ADDRESS(INDEX($W$2:$W$1001,MATCH(ROWS($U$2:U745),$U$2:$U$1001,0),0), INDEX($AB$1004:$AQ$1004,1,MATCH(COLUMNS($AB$1006:AL1006),$AB$1006:$AQ$1006,0)))),"Fix")))</f>
        <v>0</v>
      </c>
      <c r="M745" s="5">
        <f>IF(OR(INDEX($V$2:$V$1001,MATCH(ROWS($U$2:U745),$U$2:$U$1001,0),1)&gt;=100000,INDEX($AB$1005:$AQ$1005,1,MATCH(COLUMNS($AB$1006:AM1006),$AB$1006:$AQ$1006,0))&gt;=100000), " ",IF(INDEX($AB$2:$AQ$1001,MATCH(ROWS($U$2:U745),$U$2:$U$1001,0),MATCH(COLUMNS($AB$1006:AM1006),$AB$1006:$AQ$1006,0)), HYPERLINK("#",""), HYPERLINK(CONCATENATE("#Metadata!", ADDRESS(INDEX($W$2:$W$1001,MATCH(ROWS($U$2:U745),$U$2:$U$1001,0),0), INDEX($AB$1004:$AQ$1004,1,MATCH(COLUMNS($AB$1006:AM1006),$AB$1006:$AQ$1006,0)))),"Fix")))</f>
        <v>0</v>
      </c>
      <c r="N745" s="5">
        <f>IF(OR(INDEX($V$2:$V$1001,MATCH(ROWS($U$2:U745),$U$2:$U$1001,0),1)&gt;=100000,INDEX($AB$1005:$AQ$1005,1,MATCH(COLUMNS($AB$1006:AN1006),$AB$1006:$AQ$1006,0))&gt;=100000), " ",IF(INDEX($AB$2:$AQ$1001,MATCH(ROWS($U$2:U745),$U$2:$U$1001,0),MATCH(COLUMNS($AB$1006:AN1006),$AB$1006:$AQ$1006,0)), HYPERLINK("#",""), HYPERLINK(CONCATENATE("#Metadata!", ADDRESS(INDEX($W$2:$W$1001,MATCH(ROWS($U$2:U745),$U$2:$U$1001,0),0), INDEX($AB$1004:$AQ$1004,1,MATCH(COLUMNS($AB$1006:AN1006),$AB$1006:$AQ$1006,0)))),"Fix")))</f>
        <v>0</v>
      </c>
      <c r="O745" s="5">
        <f>IF(OR(INDEX($V$2:$V$1001,MATCH(ROWS($U$2:U745),$U$2:$U$1001,0),1)&gt;=100000,INDEX($AB$1005:$AQ$1005,1,MATCH(COLUMNS($AB$1006:AO1006),$AB$1006:$AQ$1006,0))&gt;=100000), " ",IF(INDEX($AB$2:$AQ$1001,MATCH(ROWS($U$2:U745),$U$2:$U$1001,0),MATCH(COLUMNS($AB$1006:AO1006),$AB$1006:$AQ$1006,0)), HYPERLINK("#",""), HYPERLINK(CONCATENATE("#Metadata!", ADDRESS(INDEX($W$2:$W$1001,MATCH(ROWS($U$2:U745),$U$2:$U$1001,0),0), INDEX($AB$1004:$AQ$1004,1,MATCH(COLUMNS($AB$1006:AO1006),$AB$1006:$AQ$1006,0)))),"Fix")))</f>
        <v>0</v>
      </c>
      <c r="P745" s="5">
        <f>IF(OR(INDEX($V$2:$V$1001,MATCH(ROWS($U$2:U745),$U$2:$U$1001,0),1)&gt;=100000,INDEX($AB$1005:$AQ$1005,1,MATCH(COLUMNS($AB$1006:AP1006),$AB$1006:$AQ$1006,0))&gt;=100000), " ",IF(INDEX($AB$2:$AQ$1001,MATCH(ROWS($U$2:U745),$U$2:$U$1001,0),MATCH(COLUMNS($AB$1006:AP1006),$AB$1006:$AQ$1006,0)), HYPERLINK("#",""), HYPERLINK(CONCATENATE("#Metadata!", ADDRESS(INDEX($W$2:$W$1001,MATCH(ROWS($U$2:U745),$U$2:$U$1001,0),0), INDEX($AB$1004:$AQ$1004,1,MATCH(COLUMNS($AB$1006:AP1006),$AB$1006:$AQ$1006,0)))),"Fix")))</f>
        <v>0</v>
      </c>
      <c r="Q745" s="5">
        <f>IF(OR(INDEX($V$2:$V$1001,MATCH(ROWS($U$2:U745),$U$2:$U$1001,0),1)&gt;=100000,INDEX($AB$1005:$AQ$1005,1,MATCH(COLUMNS($AB$1006:AQ1006),$AB$1006:$AQ$1006,0))&gt;=100000), " ",IF(INDEX($AB$2:$AQ$1001,MATCH(ROWS($U$2:U745),$U$2:$U$1001,0),MATCH(COLUMNS($AB$1006:AQ1006),$AB$1006:$AQ$1006,0)), HYPERLINK("#",""), HYPERLINK(CONCATENATE("#Metadata!", ADDRESS(INDEX($W$2:$W$1001,MATCH(ROWS($U$2:U745),$U$2:$U$1001,0),0), INDEX($AB$1004:$AQ$1004,1,MATCH(COLUMNS($AB$1006:AQ1006),$AB$1006:$AQ$1006,0)))),"Fix")))</f>
        <v>0</v>
      </c>
      <c r="U745">
        <v>0</v>
      </c>
      <c r="V745">
        <v>0</v>
      </c>
      <c r="W745">
        <v>0</v>
      </c>
      <c r="X745">
        <f>IF(Y745,TRUE,AND(AB745:AQ745))</f>
        <v>0</v>
      </c>
      <c r="Y745">
        <f>COUNTBLANK(Metadata!B745:Q745)=COLUMNS(Metadata!B745:Q745)</f>
        <v>0</v>
      </c>
      <c r="Z745">
        <v>0</v>
      </c>
      <c r="AB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AC745">
        <f>AND(IF(Metadata!C745="",FALSE,TRUE),exact(Metadata!C745,"urban biome"))</f>
        <v>0</v>
      </c>
      <c r="AD745">
        <f>AND(IF(Metadata!D745="",FALSE,TRUE),exact(Metadata!D745,"human-associated habitat"))</f>
        <v>0</v>
      </c>
      <c r="AE745">
        <f>AND(IF(Metadata!E745="",FALSE,TRUE),OR(exact(Metadata!E745,"human-associated"),exact(Metadata!E745,"human-skin"),exact(Metadata!E745,"human-oral"),exact(Metadata!E745,"human-gut"),exact(Metadata!E745,"human-vaginal")))</f>
        <v>0</v>
      </c>
      <c r="AF745">
        <f>AND(IF(Metadata!F745="",FALSE,ISNUMBER(VALUE(Metadata!F745))),Metadata!F745&gt;0)</f>
        <v>0</v>
      </c>
      <c r="AG745">
        <f>AND(IF(Metadata!G745="",FALSE,TRUE),exact(Metadata!G745,"years"))</f>
        <v>0</v>
      </c>
      <c r="AH745">
        <f>OR(AND(IF(Metadata!H745="",FALSE,TRUE),OR(exact(Metadata!H745,"not applicable"),exact(Metadata!H745,"not collected"),exact(Metadata!H745,"not provided"),exact(Metadata!H745,"restricted access"))),AND(IF(Metadata!H745="",FALSE,ISNUMBER(VALUE(Metadata!H745))),Metadata!H745&gt;0))</f>
        <v>0</v>
      </c>
      <c r="AI745">
        <f>AND(IF(Metadata!I745="",FALSE,TRUE),exact(Metadata!I745,"human"))</f>
        <v>0</v>
      </c>
      <c r="AJ745">
        <f>AND(IF(Metadata!J745="",FALSE,ISNUMBER(VALUE(Metadata!J745))),Metadata!J745&gt;0)</f>
        <v>0</v>
      </c>
      <c r="AK745">
        <f>AND(IF(Metadata!K745="",FALSE,TRUE),exact(Metadata!K745,"cm"))</f>
        <v>0</v>
      </c>
      <c r="AL745">
        <f>AND(IF(Metadata!L745="",FALSE,TRUE),exact(Metadata!L745,"Homo sapiens"))</f>
        <v>0</v>
      </c>
      <c r="AM745">
        <f>AND(IF(Metadata!M745="",FALSE,TRUE),exact(Metadata!M745,"9606"))</f>
        <v>0</v>
      </c>
      <c r="AN745">
        <f>AND(IF(Metadata!N745="",FALSE,ISNUMBER(VALUE(Metadata!N745))),Metadata!N745&gt;0)</f>
        <v>0</v>
      </c>
      <c r="AO745">
        <f>AND(IF(Metadata!O745="",FALSE,TRUE),exact(Metadata!O745,"kg"))</f>
        <v>0</v>
      </c>
      <c r="AP745">
        <f>OR(AND(IF(Metadata!P745="",FALSE,TRUE),exact(Metadata!P745,"not provided")),IF(Metadata!P745="",FALSE,TRUE))</f>
        <v>0</v>
      </c>
      <c r="AQ745">
        <f>OR(AND(IF(Metadata!Q745="",FALSE,TRUE),exact(Metadata!Q745,"not provided")),IF(Metadata!Q745="",FALSE,TRUE))</f>
        <v>0</v>
      </c>
    </row>
    <row r="746" spans="1:43">
      <c r="A746" s="4">
        <f>IF(B746=" "," ",HYPERLINK(CONCATENATE("#metadata!",ADDRESS(INDEX($W$2:$W$1001,MATCH(ROWS($U$2:U746),$U$2:$U$1001,0),0),2)),INDEX($Z$2:$Z$1001,MATCH(ROWS($U$2:U746),$U$2:$U$1001,0),0)))</f>
        <v>0</v>
      </c>
      <c r="B746" s="5">
        <f>IF(OR(INDEX($V$2:$V$1001,MATCH(ROWS($U$2:U746),$U$2:$U$1001,0),1)&gt;=100000,INDEX($AB$1005:$AQ$1005,1,MATCH(COLUMNS($AB$1006:AB1006),$AB$1006:$AQ$1006,0))&gt;=100000), " ",IF(INDEX($AB$2:$AQ$1001,MATCH(ROWS($U$2:U746),$U$2:$U$1001,0),MATCH(COLUMNS($AB$1006:AB1006),$AB$1006:$AQ$1006,0)), HYPERLINK("#",""), HYPERLINK(CONCATENATE("#Metadata!", ADDRESS(INDEX($W$2:$W$1001,MATCH(ROWS($U$2:U746),$U$2:$U$1001,0),0), INDEX($AB$1004:$AQ$1004,1,MATCH(COLUMNS($AB$1006:AB1006),$AB$1006:$AQ$1006,0)))),"Fix")))</f>
        <v>0</v>
      </c>
      <c r="C746" s="5">
        <f>IF(OR(INDEX($V$2:$V$1001,MATCH(ROWS($U$2:U746),$U$2:$U$1001,0),1)&gt;=100000,INDEX($AB$1005:$AQ$1005,1,MATCH(COLUMNS($AB$1006:AC1006),$AB$1006:$AQ$1006,0))&gt;=100000), " ",IF(INDEX($AB$2:$AQ$1001,MATCH(ROWS($U$2:U746),$U$2:$U$1001,0),MATCH(COLUMNS($AB$1006:AC1006),$AB$1006:$AQ$1006,0)), HYPERLINK("#",""), HYPERLINK(CONCATENATE("#Metadata!", ADDRESS(INDEX($W$2:$W$1001,MATCH(ROWS($U$2:U746),$U$2:$U$1001,0),0), INDEX($AB$1004:$AQ$1004,1,MATCH(COLUMNS($AB$1006:AC1006),$AB$1006:$AQ$1006,0)))),"Fix")))</f>
        <v>0</v>
      </c>
      <c r="D746" s="5">
        <f>IF(OR(INDEX($V$2:$V$1001,MATCH(ROWS($U$2:U746),$U$2:$U$1001,0),1)&gt;=100000,INDEX($AB$1005:$AQ$1005,1,MATCH(COLUMNS($AB$1006:AD1006),$AB$1006:$AQ$1006,0))&gt;=100000), " ",IF(INDEX($AB$2:$AQ$1001,MATCH(ROWS($U$2:U746),$U$2:$U$1001,0),MATCH(COLUMNS($AB$1006:AD1006),$AB$1006:$AQ$1006,0)), HYPERLINK("#",""), HYPERLINK(CONCATENATE("#Metadata!", ADDRESS(INDEX($W$2:$W$1001,MATCH(ROWS($U$2:U746),$U$2:$U$1001,0),0), INDEX($AB$1004:$AQ$1004,1,MATCH(COLUMNS($AB$1006:AD1006),$AB$1006:$AQ$1006,0)))),"Fix")))</f>
        <v>0</v>
      </c>
      <c r="E746" s="5">
        <f>IF(OR(INDEX($V$2:$V$1001,MATCH(ROWS($U$2:U746),$U$2:$U$1001,0),1)&gt;=100000,INDEX($AB$1005:$AQ$1005,1,MATCH(COLUMNS($AB$1006:AE1006),$AB$1006:$AQ$1006,0))&gt;=100000), " ",IF(INDEX($AB$2:$AQ$1001,MATCH(ROWS($U$2:U746),$U$2:$U$1001,0),MATCH(COLUMNS($AB$1006:AE1006),$AB$1006:$AQ$1006,0)), HYPERLINK("#",""), HYPERLINK(CONCATENATE("#Metadata!", ADDRESS(INDEX($W$2:$W$1001,MATCH(ROWS($U$2:U746),$U$2:$U$1001,0),0), INDEX($AB$1004:$AQ$1004,1,MATCH(COLUMNS($AB$1006:AE1006),$AB$1006:$AQ$1006,0)))),"Fix")))</f>
        <v>0</v>
      </c>
      <c r="F746" s="5">
        <f>IF(OR(INDEX($V$2:$V$1001,MATCH(ROWS($U$2:U746),$U$2:$U$1001,0),1)&gt;=100000,INDEX($AB$1005:$AQ$1005,1,MATCH(COLUMNS($AB$1006:AF1006),$AB$1006:$AQ$1006,0))&gt;=100000), " ",IF(INDEX($AB$2:$AQ$1001,MATCH(ROWS($U$2:U746),$U$2:$U$1001,0),MATCH(COLUMNS($AB$1006:AF1006),$AB$1006:$AQ$1006,0)), HYPERLINK("#",""), HYPERLINK(CONCATENATE("#Metadata!", ADDRESS(INDEX($W$2:$W$1001,MATCH(ROWS($U$2:U746),$U$2:$U$1001,0),0), INDEX($AB$1004:$AQ$1004,1,MATCH(COLUMNS($AB$1006:AF1006),$AB$1006:$AQ$1006,0)))),"Fix")))</f>
        <v>0</v>
      </c>
      <c r="G746" s="5">
        <f>IF(OR(INDEX($V$2:$V$1001,MATCH(ROWS($U$2:U746),$U$2:$U$1001,0),1)&gt;=100000,INDEX($AB$1005:$AQ$1005,1,MATCH(COLUMNS($AB$1006:AG1006),$AB$1006:$AQ$1006,0))&gt;=100000), " ",IF(INDEX($AB$2:$AQ$1001,MATCH(ROWS($U$2:U746),$U$2:$U$1001,0),MATCH(COLUMNS($AB$1006:AG1006),$AB$1006:$AQ$1006,0)), HYPERLINK("#",""), HYPERLINK(CONCATENATE("#Metadata!", ADDRESS(INDEX($W$2:$W$1001,MATCH(ROWS($U$2:U746),$U$2:$U$1001,0),0), INDEX($AB$1004:$AQ$1004,1,MATCH(COLUMNS($AB$1006:AG1006),$AB$1006:$AQ$1006,0)))),"Fix")))</f>
        <v>0</v>
      </c>
      <c r="H746" s="5">
        <f>IF(OR(INDEX($V$2:$V$1001,MATCH(ROWS($U$2:U746),$U$2:$U$1001,0),1)&gt;=100000,INDEX($AB$1005:$AQ$1005,1,MATCH(COLUMNS($AB$1006:AH1006),$AB$1006:$AQ$1006,0))&gt;=100000), " ",IF(INDEX($AB$2:$AQ$1001,MATCH(ROWS($U$2:U746),$U$2:$U$1001,0),MATCH(COLUMNS($AB$1006:AH1006),$AB$1006:$AQ$1006,0)), HYPERLINK("#",""), HYPERLINK(CONCATENATE("#Metadata!", ADDRESS(INDEX($W$2:$W$1001,MATCH(ROWS($U$2:U746),$U$2:$U$1001,0),0), INDEX($AB$1004:$AQ$1004,1,MATCH(COLUMNS($AB$1006:AH1006),$AB$1006:$AQ$1006,0)))),"Fix")))</f>
        <v>0</v>
      </c>
      <c r="I746" s="5">
        <f>IF(OR(INDEX($V$2:$V$1001,MATCH(ROWS($U$2:U746),$U$2:$U$1001,0),1)&gt;=100000,INDEX($AB$1005:$AQ$1005,1,MATCH(COLUMNS($AB$1006:AI1006),$AB$1006:$AQ$1006,0))&gt;=100000), " ",IF(INDEX($AB$2:$AQ$1001,MATCH(ROWS($U$2:U746),$U$2:$U$1001,0),MATCH(COLUMNS($AB$1006:AI1006),$AB$1006:$AQ$1006,0)), HYPERLINK("#",""), HYPERLINK(CONCATENATE("#Metadata!", ADDRESS(INDEX($W$2:$W$1001,MATCH(ROWS($U$2:U746),$U$2:$U$1001,0),0), INDEX($AB$1004:$AQ$1004,1,MATCH(COLUMNS($AB$1006:AI1006),$AB$1006:$AQ$1006,0)))),"Fix")))</f>
        <v>0</v>
      </c>
      <c r="J746" s="5">
        <f>IF(OR(INDEX($V$2:$V$1001,MATCH(ROWS($U$2:U746),$U$2:$U$1001,0),1)&gt;=100000,INDEX($AB$1005:$AQ$1005,1,MATCH(COLUMNS($AB$1006:AJ1006),$AB$1006:$AQ$1006,0))&gt;=100000), " ",IF(INDEX($AB$2:$AQ$1001,MATCH(ROWS($U$2:U746),$U$2:$U$1001,0),MATCH(COLUMNS($AB$1006:AJ1006),$AB$1006:$AQ$1006,0)), HYPERLINK("#",""), HYPERLINK(CONCATENATE("#Metadata!", ADDRESS(INDEX($W$2:$W$1001,MATCH(ROWS($U$2:U746),$U$2:$U$1001,0),0), INDEX($AB$1004:$AQ$1004,1,MATCH(COLUMNS($AB$1006:AJ1006),$AB$1006:$AQ$1006,0)))),"Fix")))</f>
        <v>0</v>
      </c>
      <c r="K746" s="5">
        <f>IF(OR(INDEX($V$2:$V$1001,MATCH(ROWS($U$2:U746),$U$2:$U$1001,0),1)&gt;=100000,INDEX($AB$1005:$AQ$1005,1,MATCH(COLUMNS($AB$1006:AK1006),$AB$1006:$AQ$1006,0))&gt;=100000), " ",IF(INDEX($AB$2:$AQ$1001,MATCH(ROWS($U$2:U746),$U$2:$U$1001,0),MATCH(COLUMNS($AB$1006:AK1006),$AB$1006:$AQ$1006,0)), HYPERLINK("#",""), HYPERLINK(CONCATENATE("#Metadata!", ADDRESS(INDEX($W$2:$W$1001,MATCH(ROWS($U$2:U746),$U$2:$U$1001,0),0), INDEX($AB$1004:$AQ$1004,1,MATCH(COLUMNS($AB$1006:AK1006),$AB$1006:$AQ$1006,0)))),"Fix")))</f>
        <v>0</v>
      </c>
      <c r="L746" s="5">
        <f>IF(OR(INDEX($V$2:$V$1001,MATCH(ROWS($U$2:U746),$U$2:$U$1001,0),1)&gt;=100000,INDEX($AB$1005:$AQ$1005,1,MATCH(COLUMNS($AB$1006:AL1006),$AB$1006:$AQ$1006,0))&gt;=100000), " ",IF(INDEX($AB$2:$AQ$1001,MATCH(ROWS($U$2:U746),$U$2:$U$1001,0),MATCH(COLUMNS($AB$1006:AL1006),$AB$1006:$AQ$1006,0)), HYPERLINK("#",""), HYPERLINK(CONCATENATE("#Metadata!", ADDRESS(INDEX($W$2:$W$1001,MATCH(ROWS($U$2:U746),$U$2:$U$1001,0),0), INDEX($AB$1004:$AQ$1004,1,MATCH(COLUMNS($AB$1006:AL1006),$AB$1006:$AQ$1006,0)))),"Fix")))</f>
        <v>0</v>
      </c>
      <c r="M746" s="5">
        <f>IF(OR(INDEX($V$2:$V$1001,MATCH(ROWS($U$2:U746),$U$2:$U$1001,0),1)&gt;=100000,INDEX($AB$1005:$AQ$1005,1,MATCH(COLUMNS($AB$1006:AM1006),$AB$1006:$AQ$1006,0))&gt;=100000), " ",IF(INDEX($AB$2:$AQ$1001,MATCH(ROWS($U$2:U746),$U$2:$U$1001,0),MATCH(COLUMNS($AB$1006:AM1006),$AB$1006:$AQ$1006,0)), HYPERLINK("#",""), HYPERLINK(CONCATENATE("#Metadata!", ADDRESS(INDEX($W$2:$W$1001,MATCH(ROWS($U$2:U746),$U$2:$U$1001,0),0), INDEX($AB$1004:$AQ$1004,1,MATCH(COLUMNS($AB$1006:AM1006),$AB$1006:$AQ$1006,0)))),"Fix")))</f>
        <v>0</v>
      </c>
      <c r="N746" s="5">
        <f>IF(OR(INDEX($V$2:$V$1001,MATCH(ROWS($U$2:U746),$U$2:$U$1001,0),1)&gt;=100000,INDEX($AB$1005:$AQ$1005,1,MATCH(COLUMNS($AB$1006:AN1006),$AB$1006:$AQ$1006,0))&gt;=100000), " ",IF(INDEX($AB$2:$AQ$1001,MATCH(ROWS($U$2:U746),$U$2:$U$1001,0),MATCH(COLUMNS($AB$1006:AN1006),$AB$1006:$AQ$1006,0)), HYPERLINK("#",""), HYPERLINK(CONCATENATE("#Metadata!", ADDRESS(INDEX($W$2:$W$1001,MATCH(ROWS($U$2:U746),$U$2:$U$1001,0),0), INDEX($AB$1004:$AQ$1004,1,MATCH(COLUMNS($AB$1006:AN1006),$AB$1006:$AQ$1006,0)))),"Fix")))</f>
        <v>0</v>
      </c>
      <c r="O746" s="5">
        <f>IF(OR(INDEX($V$2:$V$1001,MATCH(ROWS($U$2:U746),$U$2:$U$1001,0),1)&gt;=100000,INDEX($AB$1005:$AQ$1005,1,MATCH(COLUMNS($AB$1006:AO1006),$AB$1006:$AQ$1006,0))&gt;=100000), " ",IF(INDEX($AB$2:$AQ$1001,MATCH(ROWS($U$2:U746),$U$2:$U$1001,0),MATCH(COLUMNS($AB$1006:AO1006),$AB$1006:$AQ$1006,0)), HYPERLINK("#",""), HYPERLINK(CONCATENATE("#Metadata!", ADDRESS(INDEX($W$2:$W$1001,MATCH(ROWS($U$2:U746),$U$2:$U$1001,0),0), INDEX($AB$1004:$AQ$1004,1,MATCH(COLUMNS($AB$1006:AO1006),$AB$1006:$AQ$1006,0)))),"Fix")))</f>
        <v>0</v>
      </c>
      <c r="P746" s="5">
        <f>IF(OR(INDEX($V$2:$V$1001,MATCH(ROWS($U$2:U746),$U$2:$U$1001,0),1)&gt;=100000,INDEX($AB$1005:$AQ$1005,1,MATCH(COLUMNS($AB$1006:AP1006),$AB$1006:$AQ$1006,0))&gt;=100000), " ",IF(INDEX($AB$2:$AQ$1001,MATCH(ROWS($U$2:U746),$U$2:$U$1001,0),MATCH(COLUMNS($AB$1006:AP1006),$AB$1006:$AQ$1006,0)), HYPERLINK("#",""), HYPERLINK(CONCATENATE("#Metadata!", ADDRESS(INDEX($W$2:$W$1001,MATCH(ROWS($U$2:U746),$U$2:$U$1001,0),0), INDEX($AB$1004:$AQ$1004,1,MATCH(COLUMNS($AB$1006:AP1006),$AB$1006:$AQ$1006,0)))),"Fix")))</f>
        <v>0</v>
      </c>
      <c r="Q746" s="5">
        <f>IF(OR(INDEX($V$2:$V$1001,MATCH(ROWS($U$2:U746),$U$2:$U$1001,0),1)&gt;=100000,INDEX($AB$1005:$AQ$1005,1,MATCH(COLUMNS($AB$1006:AQ1006),$AB$1006:$AQ$1006,0))&gt;=100000), " ",IF(INDEX($AB$2:$AQ$1001,MATCH(ROWS($U$2:U746),$U$2:$U$1001,0),MATCH(COLUMNS($AB$1006:AQ1006),$AB$1006:$AQ$1006,0)), HYPERLINK("#",""), HYPERLINK(CONCATENATE("#Metadata!", ADDRESS(INDEX($W$2:$W$1001,MATCH(ROWS($U$2:U746),$U$2:$U$1001,0),0), INDEX($AB$1004:$AQ$1004,1,MATCH(COLUMNS($AB$1006:AQ1006),$AB$1006:$AQ$1006,0)))),"Fix")))</f>
        <v>0</v>
      </c>
      <c r="U746">
        <v>0</v>
      </c>
      <c r="V746">
        <v>0</v>
      </c>
      <c r="W746">
        <v>0</v>
      </c>
      <c r="X746">
        <f>IF(Y746,TRUE,AND(AB746:AQ746))</f>
        <v>0</v>
      </c>
      <c r="Y746">
        <f>COUNTBLANK(Metadata!B746:Q746)=COLUMNS(Metadata!B746:Q746)</f>
        <v>0</v>
      </c>
      <c r="Z746">
        <v>0</v>
      </c>
      <c r="AB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AC746">
        <f>AND(IF(Metadata!C746="",FALSE,TRUE),exact(Metadata!C746,"urban biome"))</f>
        <v>0</v>
      </c>
      <c r="AD746">
        <f>AND(IF(Metadata!D746="",FALSE,TRUE),exact(Metadata!D746,"human-associated habitat"))</f>
        <v>0</v>
      </c>
      <c r="AE746">
        <f>AND(IF(Metadata!E746="",FALSE,TRUE),OR(exact(Metadata!E746,"human-associated"),exact(Metadata!E746,"human-skin"),exact(Metadata!E746,"human-oral"),exact(Metadata!E746,"human-gut"),exact(Metadata!E746,"human-vaginal")))</f>
        <v>0</v>
      </c>
      <c r="AF746">
        <f>AND(IF(Metadata!F746="",FALSE,ISNUMBER(VALUE(Metadata!F746))),Metadata!F746&gt;0)</f>
        <v>0</v>
      </c>
      <c r="AG746">
        <f>AND(IF(Metadata!G746="",FALSE,TRUE),exact(Metadata!G746,"years"))</f>
        <v>0</v>
      </c>
      <c r="AH746">
        <f>OR(AND(IF(Metadata!H746="",FALSE,TRUE),OR(exact(Metadata!H746,"not applicable"),exact(Metadata!H746,"not collected"),exact(Metadata!H746,"not provided"),exact(Metadata!H746,"restricted access"))),AND(IF(Metadata!H746="",FALSE,ISNUMBER(VALUE(Metadata!H746))),Metadata!H746&gt;0))</f>
        <v>0</v>
      </c>
      <c r="AI746">
        <f>AND(IF(Metadata!I746="",FALSE,TRUE),exact(Metadata!I746,"human"))</f>
        <v>0</v>
      </c>
      <c r="AJ746">
        <f>AND(IF(Metadata!J746="",FALSE,ISNUMBER(VALUE(Metadata!J746))),Metadata!J746&gt;0)</f>
        <v>0</v>
      </c>
      <c r="AK746">
        <f>AND(IF(Metadata!K746="",FALSE,TRUE),exact(Metadata!K746,"cm"))</f>
        <v>0</v>
      </c>
      <c r="AL746">
        <f>AND(IF(Metadata!L746="",FALSE,TRUE),exact(Metadata!L746,"Homo sapiens"))</f>
        <v>0</v>
      </c>
      <c r="AM746">
        <f>AND(IF(Metadata!M746="",FALSE,TRUE),exact(Metadata!M746,"9606"))</f>
        <v>0</v>
      </c>
      <c r="AN746">
        <f>AND(IF(Metadata!N746="",FALSE,ISNUMBER(VALUE(Metadata!N746))),Metadata!N746&gt;0)</f>
        <v>0</v>
      </c>
      <c r="AO746">
        <f>AND(IF(Metadata!O746="",FALSE,TRUE),exact(Metadata!O746,"kg"))</f>
        <v>0</v>
      </c>
      <c r="AP746">
        <f>OR(AND(IF(Metadata!P746="",FALSE,TRUE),exact(Metadata!P746,"not provided")),IF(Metadata!P746="",FALSE,TRUE))</f>
        <v>0</v>
      </c>
      <c r="AQ746">
        <f>OR(AND(IF(Metadata!Q746="",FALSE,TRUE),exact(Metadata!Q746,"not provided")),IF(Metadata!Q746="",FALSE,TRUE))</f>
        <v>0</v>
      </c>
    </row>
    <row r="747" spans="1:43">
      <c r="A747" s="4">
        <f>IF(B747=" "," ",HYPERLINK(CONCATENATE("#metadata!",ADDRESS(INDEX($W$2:$W$1001,MATCH(ROWS($U$2:U747),$U$2:$U$1001,0),0),2)),INDEX($Z$2:$Z$1001,MATCH(ROWS($U$2:U747),$U$2:$U$1001,0),0)))</f>
        <v>0</v>
      </c>
      <c r="B747" s="5">
        <f>IF(OR(INDEX($V$2:$V$1001,MATCH(ROWS($U$2:U747),$U$2:$U$1001,0),1)&gt;=100000,INDEX($AB$1005:$AQ$1005,1,MATCH(COLUMNS($AB$1006:AB1006),$AB$1006:$AQ$1006,0))&gt;=100000), " ",IF(INDEX($AB$2:$AQ$1001,MATCH(ROWS($U$2:U747),$U$2:$U$1001,0),MATCH(COLUMNS($AB$1006:AB1006),$AB$1006:$AQ$1006,0)), HYPERLINK("#",""), HYPERLINK(CONCATENATE("#Metadata!", ADDRESS(INDEX($W$2:$W$1001,MATCH(ROWS($U$2:U747),$U$2:$U$1001,0),0), INDEX($AB$1004:$AQ$1004,1,MATCH(COLUMNS($AB$1006:AB1006),$AB$1006:$AQ$1006,0)))),"Fix")))</f>
        <v>0</v>
      </c>
      <c r="C747" s="5">
        <f>IF(OR(INDEX($V$2:$V$1001,MATCH(ROWS($U$2:U747),$U$2:$U$1001,0),1)&gt;=100000,INDEX($AB$1005:$AQ$1005,1,MATCH(COLUMNS($AB$1006:AC1006),$AB$1006:$AQ$1006,0))&gt;=100000), " ",IF(INDEX($AB$2:$AQ$1001,MATCH(ROWS($U$2:U747),$U$2:$U$1001,0),MATCH(COLUMNS($AB$1006:AC1006),$AB$1006:$AQ$1006,0)), HYPERLINK("#",""), HYPERLINK(CONCATENATE("#Metadata!", ADDRESS(INDEX($W$2:$W$1001,MATCH(ROWS($U$2:U747),$U$2:$U$1001,0),0), INDEX($AB$1004:$AQ$1004,1,MATCH(COLUMNS($AB$1006:AC1006),$AB$1006:$AQ$1006,0)))),"Fix")))</f>
        <v>0</v>
      </c>
      <c r="D747" s="5">
        <f>IF(OR(INDEX($V$2:$V$1001,MATCH(ROWS($U$2:U747),$U$2:$U$1001,0),1)&gt;=100000,INDEX($AB$1005:$AQ$1005,1,MATCH(COLUMNS($AB$1006:AD1006),$AB$1006:$AQ$1006,0))&gt;=100000), " ",IF(INDEX($AB$2:$AQ$1001,MATCH(ROWS($U$2:U747),$U$2:$U$1001,0),MATCH(COLUMNS($AB$1006:AD1006),$AB$1006:$AQ$1006,0)), HYPERLINK("#",""), HYPERLINK(CONCATENATE("#Metadata!", ADDRESS(INDEX($W$2:$W$1001,MATCH(ROWS($U$2:U747),$U$2:$U$1001,0),0), INDEX($AB$1004:$AQ$1004,1,MATCH(COLUMNS($AB$1006:AD1006),$AB$1006:$AQ$1006,0)))),"Fix")))</f>
        <v>0</v>
      </c>
      <c r="E747" s="5">
        <f>IF(OR(INDEX($V$2:$V$1001,MATCH(ROWS($U$2:U747),$U$2:$U$1001,0),1)&gt;=100000,INDEX($AB$1005:$AQ$1005,1,MATCH(COLUMNS($AB$1006:AE1006),$AB$1006:$AQ$1006,0))&gt;=100000), " ",IF(INDEX($AB$2:$AQ$1001,MATCH(ROWS($U$2:U747),$U$2:$U$1001,0),MATCH(COLUMNS($AB$1006:AE1006),$AB$1006:$AQ$1006,0)), HYPERLINK("#",""), HYPERLINK(CONCATENATE("#Metadata!", ADDRESS(INDEX($W$2:$W$1001,MATCH(ROWS($U$2:U747),$U$2:$U$1001,0),0), INDEX($AB$1004:$AQ$1004,1,MATCH(COLUMNS($AB$1006:AE1006),$AB$1006:$AQ$1006,0)))),"Fix")))</f>
        <v>0</v>
      </c>
      <c r="F747" s="5">
        <f>IF(OR(INDEX($V$2:$V$1001,MATCH(ROWS($U$2:U747),$U$2:$U$1001,0),1)&gt;=100000,INDEX($AB$1005:$AQ$1005,1,MATCH(COLUMNS($AB$1006:AF1006),$AB$1006:$AQ$1006,0))&gt;=100000), " ",IF(INDEX($AB$2:$AQ$1001,MATCH(ROWS($U$2:U747),$U$2:$U$1001,0),MATCH(COLUMNS($AB$1006:AF1006),$AB$1006:$AQ$1006,0)), HYPERLINK("#",""), HYPERLINK(CONCATENATE("#Metadata!", ADDRESS(INDEX($W$2:$W$1001,MATCH(ROWS($U$2:U747),$U$2:$U$1001,0),0), INDEX($AB$1004:$AQ$1004,1,MATCH(COLUMNS($AB$1006:AF1006),$AB$1006:$AQ$1006,0)))),"Fix")))</f>
        <v>0</v>
      </c>
      <c r="G747" s="5">
        <f>IF(OR(INDEX($V$2:$V$1001,MATCH(ROWS($U$2:U747),$U$2:$U$1001,0),1)&gt;=100000,INDEX($AB$1005:$AQ$1005,1,MATCH(COLUMNS($AB$1006:AG1006),$AB$1006:$AQ$1006,0))&gt;=100000), " ",IF(INDEX($AB$2:$AQ$1001,MATCH(ROWS($U$2:U747),$U$2:$U$1001,0),MATCH(COLUMNS($AB$1006:AG1006),$AB$1006:$AQ$1006,0)), HYPERLINK("#",""), HYPERLINK(CONCATENATE("#Metadata!", ADDRESS(INDEX($W$2:$W$1001,MATCH(ROWS($U$2:U747),$U$2:$U$1001,0),0), INDEX($AB$1004:$AQ$1004,1,MATCH(COLUMNS($AB$1006:AG1006),$AB$1006:$AQ$1006,0)))),"Fix")))</f>
        <v>0</v>
      </c>
      <c r="H747" s="5">
        <f>IF(OR(INDEX($V$2:$V$1001,MATCH(ROWS($U$2:U747),$U$2:$U$1001,0),1)&gt;=100000,INDEX($AB$1005:$AQ$1005,1,MATCH(COLUMNS($AB$1006:AH1006),$AB$1006:$AQ$1006,0))&gt;=100000), " ",IF(INDEX($AB$2:$AQ$1001,MATCH(ROWS($U$2:U747),$U$2:$U$1001,0),MATCH(COLUMNS($AB$1006:AH1006),$AB$1006:$AQ$1006,0)), HYPERLINK("#",""), HYPERLINK(CONCATENATE("#Metadata!", ADDRESS(INDEX($W$2:$W$1001,MATCH(ROWS($U$2:U747),$U$2:$U$1001,0),0), INDEX($AB$1004:$AQ$1004,1,MATCH(COLUMNS($AB$1006:AH1006),$AB$1006:$AQ$1006,0)))),"Fix")))</f>
        <v>0</v>
      </c>
      <c r="I747" s="5">
        <f>IF(OR(INDEX($V$2:$V$1001,MATCH(ROWS($U$2:U747),$U$2:$U$1001,0),1)&gt;=100000,INDEX($AB$1005:$AQ$1005,1,MATCH(COLUMNS($AB$1006:AI1006),$AB$1006:$AQ$1006,0))&gt;=100000), " ",IF(INDEX($AB$2:$AQ$1001,MATCH(ROWS($U$2:U747),$U$2:$U$1001,0),MATCH(COLUMNS($AB$1006:AI1006),$AB$1006:$AQ$1006,0)), HYPERLINK("#",""), HYPERLINK(CONCATENATE("#Metadata!", ADDRESS(INDEX($W$2:$W$1001,MATCH(ROWS($U$2:U747),$U$2:$U$1001,0),0), INDEX($AB$1004:$AQ$1004,1,MATCH(COLUMNS($AB$1006:AI1006),$AB$1006:$AQ$1006,0)))),"Fix")))</f>
        <v>0</v>
      </c>
      <c r="J747" s="5">
        <f>IF(OR(INDEX($V$2:$V$1001,MATCH(ROWS($U$2:U747),$U$2:$U$1001,0),1)&gt;=100000,INDEX($AB$1005:$AQ$1005,1,MATCH(COLUMNS($AB$1006:AJ1006),$AB$1006:$AQ$1006,0))&gt;=100000), " ",IF(INDEX($AB$2:$AQ$1001,MATCH(ROWS($U$2:U747),$U$2:$U$1001,0),MATCH(COLUMNS($AB$1006:AJ1006),$AB$1006:$AQ$1006,0)), HYPERLINK("#",""), HYPERLINK(CONCATENATE("#Metadata!", ADDRESS(INDEX($W$2:$W$1001,MATCH(ROWS($U$2:U747),$U$2:$U$1001,0),0), INDEX($AB$1004:$AQ$1004,1,MATCH(COLUMNS($AB$1006:AJ1006),$AB$1006:$AQ$1006,0)))),"Fix")))</f>
        <v>0</v>
      </c>
      <c r="K747" s="5">
        <f>IF(OR(INDEX($V$2:$V$1001,MATCH(ROWS($U$2:U747),$U$2:$U$1001,0),1)&gt;=100000,INDEX($AB$1005:$AQ$1005,1,MATCH(COLUMNS($AB$1006:AK1006),$AB$1006:$AQ$1006,0))&gt;=100000), " ",IF(INDEX($AB$2:$AQ$1001,MATCH(ROWS($U$2:U747),$U$2:$U$1001,0),MATCH(COLUMNS($AB$1006:AK1006),$AB$1006:$AQ$1006,0)), HYPERLINK("#",""), HYPERLINK(CONCATENATE("#Metadata!", ADDRESS(INDEX($W$2:$W$1001,MATCH(ROWS($U$2:U747),$U$2:$U$1001,0),0), INDEX($AB$1004:$AQ$1004,1,MATCH(COLUMNS($AB$1006:AK1006),$AB$1006:$AQ$1006,0)))),"Fix")))</f>
        <v>0</v>
      </c>
      <c r="L747" s="5">
        <f>IF(OR(INDEX($V$2:$V$1001,MATCH(ROWS($U$2:U747),$U$2:$U$1001,0),1)&gt;=100000,INDEX($AB$1005:$AQ$1005,1,MATCH(COLUMNS($AB$1006:AL1006),$AB$1006:$AQ$1006,0))&gt;=100000), " ",IF(INDEX($AB$2:$AQ$1001,MATCH(ROWS($U$2:U747),$U$2:$U$1001,0),MATCH(COLUMNS($AB$1006:AL1006),$AB$1006:$AQ$1006,0)), HYPERLINK("#",""), HYPERLINK(CONCATENATE("#Metadata!", ADDRESS(INDEX($W$2:$W$1001,MATCH(ROWS($U$2:U747),$U$2:$U$1001,0),0), INDEX($AB$1004:$AQ$1004,1,MATCH(COLUMNS($AB$1006:AL1006),$AB$1006:$AQ$1006,0)))),"Fix")))</f>
        <v>0</v>
      </c>
      <c r="M747" s="5">
        <f>IF(OR(INDEX($V$2:$V$1001,MATCH(ROWS($U$2:U747),$U$2:$U$1001,0),1)&gt;=100000,INDEX($AB$1005:$AQ$1005,1,MATCH(COLUMNS($AB$1006:AM1006),$AB$1006:$AQ$1006,0))&gt;=100000), " ",IF(INDEX($AB$2:$AQ$1001,MATCH(ROWS($U$2:U747),$U$2:$U$1001,0),MATCH(COLUMNS($AB$1006:AM1006),$AB$1006:$AQ$1006,0)), HYPERLINK("#",""), HYPERLINK(CONCATENATE("#Metadata!", ADDRESS(INDEX($W$2:$W$1001,MATCH(ROWS($U$2:U747),$U$2:$U$1001,0),0), INDEX($AB$1004:$AQ$1004,1,MATCH(COLUMNS($AB$1006:AM1006),$AB$1006:$AQ$1006,0)))),"Fix")))</f>
        <v>0</v>
      </c>
      <c r="N747" s="5">
        <f>IF(OR(INDEX($V$2:$V$1001,MATCH(ROWS($U$2:U747),$U$2:$U$1001,0),1)&gt;=100000,INDEX($AB$1005:$AQ$1005,1,MATCH(COLUMNS($AB$1006:AN1006),$AB$1006:$AQ$1006,0))&gt;=100000), " ",IF(INDEX($AB$2:$AQ$1001,MATCH(ROWS($U$2:U747),$U$2:$U$1001,0),MATCH(COLUMNS($AB$1006:AN1006),$AB$1006:$AQ$1006,0)), HYPERLINK("#",""), HYPERLINK(CONCATENATE("#Metadata!", ADDRESS(INDEX($W$2:$W$1001,MATCH(ROWS($U$2:U747),$U$2:$U$1001,0),0), INDEX($AB$1004:$AQ$1004,1,MATCH(COLUMNS($AB$1006:AN1006),$AB$1006:$AQ$1006,0)))),"Fix")))</f>
        <v>0</v>
      </c>
      <c r="O747" s="5">
        <f>IF(OR(INDEX($V$2:$V$1001,MATCH(ROWS($U$2:U747),$U$2:$U$1001,0),1)&gt;=100000,INDEX($AB$1005:$AQ$1005,1,MATCH(COLUMNS($AB$1006:AO1006),$AB$1006:$AQ$1006,0))&gt;=100000), " ",IF(INDEX($AB$2:$AQ$1001,MATCH(ROWS($U$2:U747),$U$2:$U$1001,0),MATCH(COLUMNS($AB$1006:AO1006),$AB$1006:$AQ$1006,0)), HYPERLINK("#",""), HYPERLINK(CONCATENATE("#Metadata!", ADDRESS(INDEX($W$2:$W$1001,MATCH(ROWS($U$2:U747),$U$2:$U$1001,0),0), INDEX($AB$1004:$AQ$1004,1,MATCH(COLUMNS($AB$1006:AO1006),$AB$1006:$AQ$1006,0)))),"Fix")))</f>
        <v>0</v>
      </c>
      <c r="P747" s="5">
        <f>IF(OR(INDEX($V$2:$V$1001,MATCH(ROWS($U$2:U747),$U$2:$U$1001,0),1)&gt;=100000,INDEX($AB$1005:$AQ$1005,1,MATCH(COLUMNS($AB$1006:AP1006),$AB$1006:$AQ$1006,0))&gt;=100000), " ",IF(INDEX($AB$2:$AQ$1001,MATCH(ROWS($U$2:U747),$U$2:$U$1001,0),MATCH(COLUMNS($AB$1006:AP1006),$AB$1006:$AQ$1006,0)), HYPERLINK("#",""), HYPERLINK(CONCATENATE("#Metadata!", ADDRESS(INDEX($W$2:$W$1001,MATCH(ROWS($U$2:U747),$U$2:$U$1001,0),0), INDEX($AB$1004:$AQ$1004,1,MATCH(COLUMNS($AB$1006:AP1006),$AB$1006:$AQ$1006,0)))),"Fix")))</f>
        <v>0</v>
      </c>
      <c r="Q747" s="5">
        <f>IF(OR(INDEX($V$2:$V$1001,MATCH(ROWS($U$2:U747),$U$2:$U$1001,0),1)&gt;=100000,INDEX($AB$1005:$AQ$1005,1,MATCH(COLUMNS($AB$1006:AQ1006),$AB$1006:$AQ$1006,0))&gt;=100000), " ",IF(INDEX($AB$2:$AQ$1001,MATCH(ROWS($U$2:U747),$U$2:$U$1001,0),MATCH(COLUMNS($AB$1006:AQ1006),$AB$1006:$AQ$1006,0)), HYPERLINK("#",""), HYPERLINK(CONCATENATE("#Metadata!", ADDRESS(INDEX($W$2:$W$1001,MATCH(ROWS($U$2:U747),$U$2:$U$1001,0),0), INDEX($AB$1004:$AQ$1004,1,MATCH(COLUMNS($AB$1006:AQ1006),$AB$1006:$AQ$1006,0)))),"Fix")))</f>
        <v>0</v>
      </c>
      <c r="U747">
        <v>0</v>
      </c>
      <c r="V747">
        <v>0</v>
      </c>
      <c r="W747">
        <v>0</v>
      </c>
      <c r="X747">
        <f>IF(Y747,TRUE,AND(AB747:AQ747))</f>
        <v>0</v>
      </c>
      <c r="Y747">
        <f>COUNTBLANK(Metadata!B747:Q747)=COLUMNS(Metadata!B747:Q747)</f>
        <v>0</v>
      </c>
      <c r="Z747">
        <v>0</v>
      </c>
      <c r="AB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AC747">
        <f>AND(IF(Metadata!C747="",FALSE,TRUE),exact(Metadata!C747,"urban biome"))</f>
        <v>0</v>
      </c>
      <c r="AD747">
        <f>AND(IF(Metadata!D747="",FALSE,TRUE),exact(Metadata!D747,"human-associated habitat"))</f>
        <v>0</v>
      </c>
      <c r="AE747">
        <f>AND(IF(Metadata!E747="",FALSE,TRUE),OR(exact(Metadata!E747,"human-associated"),exact(Metadata!E747,"human-skin"),exact(Metadata!E747,"human-oral"),exact(Metadata!E747,"human-gut"),exact(Metadata!E747,"human-vaginal")))</f>
        <v>0</v>
      </c>
      <c r="AF747">
        <f>AND(IF(Metadata!F747="",FALSE,ISNUMBER(VALUE(Metadata!F747))),Metadata!F747&gt;0)</f>
        <v>0</v>
      </c>
      <c r="AG747">
        <f>AND(IF(Metadata!G747="",FALSE,TRUE),exact(Metadata!G747,"years"))</f>
        <v>0</v>
      </c>
      <c r="AH747">
        <f>OR(AND(IF(Metadata!H747="",FALSE,TRUE),OR(exact(Metadata!H747,"not applicable"),exact(Metadata!H747,"not collected"),exact(Metadata!H747,"not provided"),exact(Metadata!H747,"restricted access"))),AND(IF(Metadata!H747="",FALSE,ISNUMBER(VALUE(Metadata!H747))),Metadata!H747&gt;0))</f>
        <v>0</v>
      </c>
      <c r="AI747">
        <f>AND(IF(Metadata!I747="",FALSE,TRUE),exact(Metadata!I747,"human"))</f>
        <v>0</v>
      </c>
      <c r="AJ747">
        <f>AND(IF(Metadata!J747="",FALSE,ISNUMBER(VALUE(Metadata!J747))),Metadata!J747&gt;0)</f>
        <v>0</v>
      </c>
      <c r="AK747">
        <f>AND(IF(Metadata!K747="",FALSE,TRUE),exact(Metadata!K747,"cm"))</f>
        <v>0</v>
      </c>
      <c r="AL747">
        <f>AND(IF(Metadata!L747="",FALSE,TRUE),exact(Metadata!L747,"Homo sapiens"))</f>
        <v>0</v>
      </c>
      <c r="AM747">
        <f>AND(IF(Metadata!M747="",FALSE,TRUE),exact(Metadata!M747,"9606"))</f>
        <v>0</v>
      </c>
      <c r="AN747">
        <f>AND(IF(Metadata!N747="",FALSE,ISNUMBER(VALUE(Metadata!N747))),Metadata!N747&gt;0)</f>
        <v>0</v>
      </c>
      <c r="AO747">
        <f>AND(IF(Metadata!O747="",FALSE,TRUE),exact(Metadata!O747,"kg"))</f>
        <v>0</v>
      </c>
      <c r="AP747">
        <f>OR(AND(IF(Metadata!P747="",FALSE,TRUE),exact(Metadata!P747,"not provided")),IF(Metadata!P747="",FALSE,TRUE))</f>
        <v>0</v>
      </c>
      <c r="AQ747">
        <f>OR(AND(IF(Metadata!Q747="",FALSE,TRUE),exact(Metadata!Q747,"not provided")),IF(Metadata!Q747="",FALSE,TRUE))</f>
        <v>0</v>
      </c>
    </row>
    <row r="748" spans="1:43">
      <c r="A748" s="4">
        <f>IF(B748=" "," ",HYPERLINK(CONCATENATE("#metadata!",ADDRESS(INDEX($W$2:$W$1001,MATCH(ROWS($U$2:U748),$U$2:$U$1001,0),0),2)),INDEX($Z$2:$Z$1001,MATCH(ROWS($U$2:U748),$U$2:$U$1001,0),0)))</f>
        <v>0</v>
      </c>
      <c r="B748" s="5">
        <f>IF(OR(INDEX($V$2:$V$1001,MATCH(ROWS($U$2:U748),$U$2:$U$1001,0),1)&gt;=100000,INDEX($AB$1005:$AQ$1005,1,MATCH(COLUMNS($AB$1006:AB1006),$AB$1006:$AQ$1006,0))&gt;=100000), " ",IF(INDEX($AB$2:$AQ$1001,MATCH(ROWS($U$2:U748),$U$2:$U$1001,0),MATCH(COLUMNS($AB$1006:AB1006),$AB$1006:$AQ$1006,0)), HYPERLINK("#",""), HYPERLINK(CONCATENATE("#Metadata!", ADDRESS(INDEX($W$2:$W$1001,MATCH(ROWS($U$2:U748),$U$2:$U$1001,0),0), INDEX($AB$1004:$AQ$1004,1,MATCH(COLUMNS($AB$1006:AB1006),$AB$1006:$AQ$1006,0)))),"Fix")))</f>
        <v>0</v>
      </c>
      <c r="C748" s="5">
        <f>IF(OR(INDEX($V$2:$V$1001,MATCH(ROWS($U$2:U748),$U$2:$U$1001,0),1)&gt;=100000,INDEX($AB$1005:$AQ$1005,1,MATCH(COLUMNS($AB$1006:AC1006),$AB$1006:$AQ$1006,0))&gt;=100000), " ",IF(INDEX($AB$2:$AQ$1001,MATCH(ROWS($U$2:U748),$U$2:$U$1001,0),MATCH(COLUMNS($AB$1006:AC1006),$AB$1006:$AQ$1006,0)), HYPERLINK("#",""), HYPERLINK(CONCATENATE("#Metadata!", ADDRESS(INDEX($W$2:$W$1001,MATCH(ROWS($U$2:U748),$U$2:$U$1001,0),0), INDEX($AB$1004:$AQ$1004,1,MATCH(COLUMNS($AB$1006:AC1006),$AB$1006:$AQ$1006,0)))),"Fix")))</f>
        <v>0</v>
      </c>
      <c r="D748" s="5">
        <f>IF(OR(INDEX($V$2:$V$1001,MATCH(ROWS($U$2:U748),$U$2:$U$1001,0),1)&gt;=100000,INDEX($AB$1005:$AQ$1005,1,MATCH(COLUMNS($AB$1006:AD1006),$AB$1006:$AQ$1006,0))&gt;=100000), " ",IF(INDEX($AB$2:$AQ$1001,MATCH(ROWS($U$2:U748),$U$2:$U$1001,0),MATCH(COLUMNS($AB$1006:AD1006),$AB$1006:$AQ$1006,0)), HYPERLINK("#",""), HYPERLINK(CONCATENATE("#Metadata!", ADDRESS(INDEX($W$2:$W$1001,MATCH(ROWS($U$2:U748),$U$2:$U$1001,0),0), INDEX($AB$1004:$AQ$1004,1,MATCH(COLUMNS($AB$1006:AD1006),$AB$1006:$AQ$1006,0)))),"Fix")))</f>
        <v>0</v>
      </c>
      <c r="E748" s="5">
        <f>IF(OR(INDEX($V$2:$V$1001,MATCH(ROWS($U$2:U748),$U$2:$U$1001,0),1)&gt;=100000,INDEX($AB$1005:$AQ$1005,1,MATCH(COLUMNS($AB$1006:AE1006),$AB$1006:$AQ$1006,0))&gt;=100000), " ",IF(INDEX($AB$2:$AQ$1001,MATCH(ROWS($U$2:U748),$U$2:$U$1001,0),MATCH(COLUMNS($AB$1006:AE1006),$AB$1006:$AQ$1006,0)), HYPERLINK("#",""), HYPERLINK(CONCATENATE("#Metadata!", ADDRESS(INDEX($W$2:$W$1001,MATCH(ROWS($U$2:U748),$U$2:$U$1001,0),0), INDEX($AB$1004:$AQ$1004,1,MATCH(COLUMNS($AB$1006:AE1006),$AB$1006:$AQ$1006,0)))),"Fix")))</f>
        <v>0</v>
      </c>
      <c r="F748" s="5">
        <f>IF(OR(INDEX($V$2:$V$1001,MATCH(ROWS($U$2:U748),$U$2:$U$1001,0),1)&gt;=100000,INDEX($AB$1005:$AQ$1005,1,MATCH(COLUMNS($AB$1006:AF1006),$AB$1006:$AQ$1006,0))&gt;=100000), " ",IF(INDEX($AB$2:$AQ$1001,MATCH(ROWS($U$2:U748),$U$2:$U$1001,0),MATCH(COLUMNS($AB$1006:AF1006),$AB$1006:$AQ$1006,0)), HYPERLINK("#",""), HYPERLINK(CONCATENATE("#Metadata!", ADDRESS(INDEX($W$2:$W$1001,MATCH(ROWS($U$2:U748),$U$2:$U$1001,0),0), INDEX($AB$1004:$AQ$1004,1,MATCH(COLUMNS($AB$1006:AF1006),$AB$1006:$AQ$1006,0)))),"Fix")))</f>
        <v>0</v>
      </c>
      <c r="G748" s="5">
        <f>IF(OR(INDEX($V$2:$V$1001,MATCH(ROWS($U$2:U748),$U$2:$U$1001,0),1)&gt;=100000,INDEX($AB$1005:$AQ$1005,1,MATCH(COLUMNS($AB$1006:AG1006),$AB$1006:$AQ$1006,0))&gt;=100000), " ",IF(INDEX($AB$2:$AQ$1001,MATCH(ROWS($U$2:U748),$U$2:$U$1001,0),MATCH(COLUMNS($AB$1006:AG1006),$AB$1006:$AQ$1006,0)), HYPERLINK("#",""), HYPERLINK(CONCATENATE("#Metadata!", ADDRESS(INDEX($W$2:$W$1001,MATCH(ROWS($U$2:U748),$U$2:$U$1001,0),0), INDEX($AB$1004:$AQ$1004,1,MATCH(COLUMNS($AB$1006:AG1006),$AB$1006:$AQ$1006,0)))),"Fix")))</f>
        <v>0</v>
      </c>
      <c r="H748" s="5">
        <f>IF(OR(INDEX($V$2:$V$1001,MATCH(ROWS($U$2:U748),$U$2:$U$1001,0),1)&gt;=100000,INDEX($AB$1005:$AQ$1005,1,MATCH(COLUMNS($AB$1006:AH1006),$AB$1006:$AQ$1006,0))&gt;=100000), " ",IF(INDEX($AB$2:$AQ$1001,MATCH(ROWS($U$2:U748),$U$2:$U$1001,0),MATCH(COLUMNS($AB$1006:AH1006),$AB$1006:$AQ$1006,0)), HYPERLINK("#",""), HYPERLINK(CONCATENATE("#Metadata!", ADDRESS(INDEX($W$2:$W$1001,MATCH(ROWS($U$2:U748),$U$2:$U$1001,0),0), INDEX($AB$1004:$AQ$1004,1,MATCH(COLUMNS($AB$1006:AH1006),$AB$1006:$AQ$1006,0)))),"Fix")))</f>
        <v>0</v>
      </c>
      <c r="I748" s="5">
        <f>IF(OR(INDEX($V$2:$V$1001,MATCH(ROWS($U$2:U748),$U$2:$U$1001,0),1)&gt;=100000,INDEX($AB$1005:$AQ$1005,1,MATCH(COLUMNS($AB$1006:AI1006),$AB$1006:$AQ$1006,0))&gt;=100000), " ",IF(INDEX($AB$2:$AQ$1001,MATCH(ROWS($U$2:U748),$U$2:$U$1001,0),MATCH(COLUMNS($AB$1006:AI1006),$AB$1006:$AQ$1006,0)), HYPERLINK("#",""), HYPERLINK(CONCATENATE("#Metadata!", ADDRESS(INDEX($W$2:$W$1001,MATCH(ROWS($U$2:U748),$U$2:$U$1001,0),0), INDEX($AB$1004:$AQ$1004,1,MATCH(COLUMNS($AB$1006:AI1006),$AB$1006:$AQ$1006,0)))),"Fix")))</f>
        <v>0</v>
      </c>
      <c r="J748" s="5">
        <f>IF(OR(INDEX($V$2:$V$1001,MATCH(ROWS($U$2:U748),$U$2:$U$1001,0),1)&gt;=100000,INDEX($AB$1005:$AQ$1005,1,MATCH(COLUMNS($AB$1006:AJ1006),$AB$1006:$AQ$1006,0))&gt;=100000), " ",IF(INDEX($AB$2:$AQ$1001,MATCH(ROWS($U$2:U748),$U$2:$U$1001,0),MATCH(COLUMNS($AB$1006:AJ1006),$AB$1006:$AQ$1006,0)), HYPERLINK("#",""), HYPERLINK(CONCATENATE("#Metadata!", ADDRESS(INDEX($W$2:$W$1001,MATCH(ROWS($U$2:U748),$U$2:$U$1001,0),0), INDEX($AB$1004:$AQ$1004,1,MATCH(COLUMNS($AB$1006:AJ1006),$AB$1006:$AQ$1006,0)))),"Fix")))</f>
        <v>0</v>
      </c>
      <c r="K748" s="5">
        <f>IF(OR(INDEX($V$2:$V$1001,MATCH(ROWS($U$2:U748),$U$2:$U$1001,0),1)&gt;=100000,INDEX($AB$1005:$AQ$1005,1,MATCH(COLUMNS($AB$1006:AK1006),$AB$1006:$AQ$1006,0))&gt;=100000), " ",IF(INDEX($AB$2:$AQ$1001,MATCH(ROWS($U$2:U748),$U$2:$U$1001,0),MATCH(COLUMNS($AB$1006:AK1006),$AB$1006:$AQ$1006,0)), HYPERLINK("#",""), HYPERLINK(CONCATENATE("#Metadata!", ADDRESS(INDEX($W$2:$W$1001,MATCH(ROWS($U$2:U748),$U$2:$U$1001,0),0), INDEX($AB$1004:$AQ$1004,1,MATCH(COLUMNS($AB$1006:AK1006),$AB$1006:$AQ$1006,0)))),"Fix")))</f>
        <v>0</v>
      </c>
      <c r="L748" s="5">
        <f>IF(OR(INDEX($V$2:$V$1001,MATCH(ROWS($U$2:U748),$U$2:$U$1001,0),1)&gt;=100000,INDEX($AB$1005:$AQ$1005,1,MATCH(COLUMNS($AB$1006:AL1006),$AB$1006:$AQ$1006,0))&gt;=100000), " ",IF(INDEX($AB$2:$AQ$1001,MATCH(ROWS($U$2:U748),$U$2:$U$1001,0),MATCH(COLUMNS($AB$1006:AL1006),$AB$1006:$AQ$1006,0)), HYPERLINK("#",""), HYPERLINK(CONCATENATE("#Metadata!", ADDRESS(INDEX($W$2:$W$1001,MATCH(ROWS($U$2:U748),$U$2:$U$1001,0),0), INDEX($AB$1004:$AQ$1004,1,MATCH(COLUMNS($AB$1006:AL1006),$AB$1006:$AQ$1006,0)))),"Fix")))</f>
        <v>0</v>
      </c>
      <c r="M748" s="5">
        <f>IF(OR(INDEX($V$2:$V$1001,MATCH(ROWS($U$2:U748),$U$2:$U$1001,0),1)&gt;=100000,INDEX($AB$1005:$AQ$1005,1,MATCH(COLUMNS($AB$1006:AM1006),$AB$1006:$AQ$1006,0))&gt;=100000), " ",IF(INDEX($AB$2:$AQ$1001,MATCH(ROWS($U$2:U748),$U$2:$U$1001,0),MATCH(COLUMNS($AB$1006:AM1006),$AB$1006:$AQ$1006,0)), HYPERLINK("#",""), HYPERLINK(CONCATENATE("#Metadata!", ADDRESS(INDEX($W$2:$W$1001,MATCH(ROWS($U$2:U748),$U$2:$U$1001,0),0), INDEX($AB$1004:$AQ$1004,1,MATCH(COLUMNS($AB$1006:AM1006),$AB$1006:$AQ$1006,0)))),"Fix")))</f>
        <v>0</v>
      </c>
      <c r="N748" s="5">
        <f>IF(OR(INDEX($V$2:$V$1001,MATCH(ROWS($U$2:U748),$U$2:$U$1001,0),1)&gt;=100000,INDEX($AB$1005:$AQ$1005,1,MATCH(COLUMNS($AB$1006:AN1006),$AB$1006:$AQ$1006,0))&gt;=100000), " ",IF(INDEX($AB$2:$AQ$1001,MATCH(ROWS($U$2:U748),$U$2:$U$1001,0),MATCH(COLUMNS($AB$1006:AN1006),$AB$1006:$AQ$1006,0)), HYPERLINK("#",""), HYPERLINK(CONCATENATE("#Metadata!", ADDRESS(INDEX($W$2:$W$1001,MATCH(ROWS($U$2:U748),$U$2:$U$1001,0),0), INDEX($AB$1004:$AQ$1004,1,MATCH(COLUMNS($AB$1006:AN1006),$AB$1006:$AQ$1006,0)))),"Fix")))</f>
        <v>0</v>
      </c>
      <c r="O748" s="5">
        <f>IF(OR(INDEX($V$2:$V$1001,MATCH(ROWS($U$2:U748),$U$2:$U$1001,0),1)&gt;=100000,INDEX($AB$1005:$AQ$1005,1,MATCH(COLUMNS($AB$1006:AO1006),$AB$1006:$AQ$1006,0))&gt;=100000), " ",IF(INDEX($AB$2:$AQ$1001,MATCH(ROWS($U$2:U748),$U$2:$U$1001,0),MATCH(COLUMNS($AB$1006:AO1006),$AB$1006:$AQ$1006,0)), HYPERLINK("#",""), HYPERLINK(CONCATENATE("#Metadata!", ADDRESS(INDEX($W$2:$W$1001,MATCH(ROWS($U$2:U748),$U$2:$U$1001,0),0), INDEX($AB$1004:$AQ$1004,1,MATCH(COLUMNS($AB$1006:AO1006),$AB$1006:$AQ$1006,0)))),"Fix")))</f>
        <v>0</v>
      </c>
      <c r="P748" s="5">
        <f>IF(OR(INDEX($V$2:$V$1001,MATCH(ROWS($U$2:U748),$U$2:$U$1001,0),1)&gt;=100000,INDEX($AB$1005:$AQ$1005,1,MATCH(COLUMNS($AB$1006:AP1006),$AB$1006:$AQ$1006,0))&gt;=100000), " ",IF(INDEX($AB$2:$AQ$1001,MATCH(ROWS($U$2:U748),$U$2:$U$1001,0),MATCH(COLUMNS($AB$1006:AP1006),$AB$1006:$AQ$1006,0)), HYPERLINK("#",""), HYPERLINK(CONCATENATE("#Metadata!", ADDRESS(INDEX($W$2:$W$1001,MATCH(ROWS($U$2:U748),$U$2:$U$1001,0),0), INDEX($AB$1004:$AQ$1004,1,MATCH(COLUMNS($AB$1006:AP1006),$AB$1006:$AQ$1006,0)))),"Fix")))</f>
        <v>0</v>
      </c>
      <c r="Q748" s="5">
        <f>IF(OR(INDEX($V$2:$V$1001,MATCH(ROWS($U$2:U748),$U$2:$U$1001,0),1)&gt;=100000,INDEX($AB$1005:$AQ$1005,1,MATCH(COLUMNS($AB$1006:AQ1006),$AB$1006:$AQ$1006,0))&gt;=100000), " ",IF(INDEX($AB$2:$AQ$1001,MATCH(ROWS($U$2:U748),$U$2:$U$1001,0),MATCH(COLUMNS($AB$1006:AQ1006),$AB$1006:$AQ$1006,0)), HYPERLINK("#",""), HYPERLINK(CONCATENATE("#Metadata!", ADDRESS(INDEX($W$2:$W$1001,MATCH(ROWS($U$2:U748),$U$2:$U$1001,0),0), INDEX($AB$1004:$AQ$1004,1,MATCH(COLUMNS($AB$1006:AQ1006),$AB$1006:$AQ$1006,0)))),"Fix")))</f>
        <v>0</v>
      </c>
      <c r="U748">
        <v>0</v>
      </c>
      <c r="V748">
        <v>0</v>
      </c>
      <c r="W748">
        <v>0</v>
      </c>
      <c r="X748">
        <f>IF(Y748,TRUE,AND(AB748:AQ748))</f>
        <v>0</v>
      </c>
      <c r="Y748">
        <f>COUNTBLANK(Metadata!B748:Q748)=COLUMNS(Metadata!B748:Q748)</f>
        <v>0</v>
      </c>
      <c r="Z748">
        <v>0</v>
      </c>
      <c r="AB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AC748">
        <f>AND(IF(Metadata!C748="",FALSE,TRUE),exact(Metadata!C748,"urban biome"))</f>
        <v>0</v>
      </c>
      <c r="AD748">
        <f>AND(IF(Metadata!D748="",FALSE,TRUE),exact(Metadata!D748,"human-associated habitat"))</f>
        <v>0</v>
      </c>
      <c r="AE748">
        <f>AND(IF(Metadata!E748="",FALSE,TRUE),OR(exact(Metadata!E748,"human-associated"),exact(Metadata!E748,"human-skin"),exact(Metadata!E748,"human-oral"),exact(Metadata!E748,"human-gut"),exact(Metadata!E748,"human-vaginal")))</f>
        <v>0</v>
      </c>
      <c r="AF748">
        <f>AND(IF(Metadata!F748="",FALSE,ISNUMBER(VALUE(Metadata!F748))),Metadata!F748&gt;0)</f>
        <v>0</v>
      </c>
      <c r="AG748">
        <f>AND(IF(Metadata!G748="",FALSE,TRUE),exact(Metadata!G748,"years"))</f>
        <v>0</v>
      </c>
      <c r="AH748">
        <f>OR(AND(IF(Metadata!H748="",FALSE,TRUE),OR(exact(Metadata!H748,"not applicable"),exact(Metadata!H748,"not collected"),exact(Metadata!H748,"not provided"),exact(Metadata!H748,"restricted access"))),AND(IF(Metadata!H748="",FALSE,ISNUMBER(VALUE(Metadata!H748))),Metadata!H748&gt;0))</f>
        <v>0</v>
      </c>
      <c r="AI748">
        <f>AND(IF(Metadata!I748="",FALSE,TRUE),exact(Metadata!I748,"human"))</f>
        <v>0</v>
      </c>
      <c r="AJ748">
        <f>AND(IF(Metadata!J748="",FALSE,ISNUMBER(VALUE(Metadata!J748))),Metadata!J748&gt;0)</f>
        <v>0</v>
      </c>
      <c r="AK748">
        <f>AND(IF(Metadata!K748="",FALSE,TRUE),exact(Metadata!K748,"cm"))</f>
        <v>0</v>
      </c>
      <c r="AL748">
        <f>AND(IF(Metadata!L748="",FALSE,TRUE),exact(Metadata!L748,"Homo sapiens"))</f>
        <v>0</v>
      </c>
      <c r="AM748">
        <f>AND(IF(Metadata!M748="",FALSE,TRUE),exact(Metadata!M748,"9606"))</f>
        <v>0</v>
      </c>
      <c r="AN748">
        <f>AND(IF(Metadata!N748="",FALSE,ISNUMBER(VALUE(Metadata!N748))),Metadata!N748&gt;0)</f>
        <v>0</v>
      </c>
      <c r="AO748">
        <f>AND(IF(Metadata!O748="",FALSE,TRUE),exact(Metadata!O748,"kg"))</f>
        <v>0</v>
      </c>
      <c r="AP748">
        <f>OR(AND(IF(Metadata!P748="",FALSE,TRUE),exact(Metadata!P748,"not provided")),IF(Metadata!P748="",FALSE,TRUE))</f>
        <v>0</v>
      </c>
      <c r="AQ748">
        <f>OR(AND(IF(Metadata!Q748="",FALSE,TRUE),exact(Metadata!Q748,"not provided")),IF(Metadata!Q748="",FALSE,TRUE))</f>
        <v>0</v>
      </c>
    </row>
    <row r="749" spans="1:43">
      <c r="A749" s="4">
        <f>IF(B749=" "," ",HYPERLINK(CONCATENATE("#metadata!",ADDRESS(INDEX($W$2:$W$1001,MATCH(ROWS($U$2:U749),$U$2:$U$1001,0),0),2)),INDEX($Z$2:$Z$1001,MATCH(ROWS($U$2:U749),$U$2:$U$1001,0),0)))</f>
        <v>0</v>
      </c>
      <c r="B749" s="5">
        <f>IF(OR(INDEX($V$2:$V$1001,MATCH(ROWS($U$2:U749),$U$2:$U$1001,0),1)&gt;=100000,INDEX($AB$1005:$AQ$1005,1,MATCH(COLUMNS($AB$1006:AB1006),$AB$1006:$AQ$1006,0))&gt;=100000), " ",IF(INDEX($AB$2:$AQ$1001,MATCH(ROWS($U$2:U749),$U$2:$U$1001,0),MATCH(COLUMNS($AB$1006:AB1006),$AB$1006:$AQ$1006,0)), HYPERLINK("#",""), HYPERLINK(CONCATENATE("#Metadata!", ADDRESS(INDEX($W$2:$W$1001,MATCH(ROWS($U$2:U749),$U$2:$U$1001,0),0), INDEX($AB$1004:$AQ$1004,1,MATCH(COLUMNS($AB$1006:AB1006),$AB$1006:$AQ$1006,0)))),"Fix")))</f>
        <v>0</v>
      </c>
      <c r="C749" s="5">
        <f>IF(OR(INDEX($V$2:$V$1001,MATCH(ROWS($U$2:U749),$U$2:$U$1001,0),1)&gt;=100000,INDEX($AB$1005:$AQ$1005,1,MATCH(COLUMNS($AB$1006:AC1006),$AB$1006:$AQ$1006,0))&gt;=100000), " ",IF(INDEX($AB$2:$AQ$1001,MATCH(ROWS($U$2:U749),$U$2:$U$1001,0),MATCH(COLUMNS($AB$1006:AC1006),$AB$1006:$AQ$1006,0)), HYPERLINK("#",""), HYPERLINK(CONCATENATE("#Metadata!", ADDRESS(INDEX($W$2:$W$1001,MATCH(ROWS($U$2:U749),$U$2:$U$1001,0),0), INDEX($AB$1004:$AQ$1004,1,MATCH(COLUMNS($AB$1006:AC1006),$AB$1006:$AQ$1006,0)))),"Fix")))</f>
        <v>0</v>
      </c>
      <c r="D749" s="5">
        <f>IF(OR(INDEX($V$2:$V$1001,MATCH(ROWS($U$2:U749),$U$2:$U$1001,0),1)&gt;=100000,INDEX($AB$1005:$AQ$1005,1,MATCH(COLUMNS($AB$1006:AD1006),$AB$1006:$AQ$1006,0))&gt;=100000), " ",IF(INDEX($AB$2:$AQ$1001,MATCH(ROWS($U$2:U749),$U$2:$U$1001,0),MATCH(COLUMNS($AB$1006:AD1006),$AB$1006:$AQ$1006,0)), HYPERLINK("#",""), HYPERLINK(CONCATENATE("#Metadata!", ADDRESS(INDEX($W$2:$W$1001,MATCH(ROWS($U$2:U749),$U$2:$U$1001,0),0), INDEX($AB$1004:$AQ$1004,1,MATCH(COLUMNS($AB$1006:AD1006),$AB$1006:$AQ$1006,0)))),"Fix")))</f>
        <v>0</v>
      </c>
      <c r="E749" s="5">
        <f>IF(OR(INDEX($V$2:$V$1001,MATCH(ROWS($U$2:U749),$U$2:$U$1001,0),1)&gt;=100000,INDEX($AB$1005:$AQ$1005,1,MATCH(COLUMNS($AB$1006:AE1006),$AB$1006:$AQ$1006,0))&gt;=100000), " ",IF(INDEX($AB$2:$AQ$1001,MATCH(ROWS($U$2:U749),$U$2:$U$1001,0),MATCH(COLUMNS($AB$1006:AE1006),$AB$1006:$AQ$1006,0)), HYPERLINK("#",""), HYPERLINK(CONCATENATE("#Metadata!", ADDRESS(INDEX($W$2:$W$1001,MATCH(ROWS($U$2:U749),$U$2:$U$1001,0),0), INDEX($AB$1004:$AQ$1004,1,MATCH(COLUMNS($AB$1006:AE1006),$AB$1006:$AQ$1006,0)))),"Fix")))</f>
        <v>0</v>
      </c>
      <c r="F749" s="5">
        <f>IF(OR(INDEX($V$2:$V$1001,MATCH(ROWS($U$2:U749),$U$2:$U$1001,0),1)&gt;=100000,INDEX($AB$1005:$AQ$1005,1,MATCH(COLUMNS($AB$1006:AF1006),$AB$1006:$AQ$1006,0))&gt;=100000), " ",IF(INDEX($AB$2:$AQ$1001,MATCH(ROWS($U$2:U749),$U$2:$U$1001,0),MATCH(COLUMNS($AB$1006:AF1006),$AB$1006:$AQ$1006,0)), HYPERLINK("#",""), HYPERLINK(CONCATENATE("#Metadata!", ADDRESS(INDEX($W$2:$W$1001,MATCH(ROWS($U$2:U749),$U$2:$U$1001,0),0), INDEX($AB$1004:$AQ$1004,1,MATCH(COLUMNS($AB$1006:AF1006),$AB$1006:$AQ$1006,0)))),"Fix")))</f>
        <v>0</v>
      </c>
      <c r="G749" s="5">
        <f>IF(OR(INDEX($V$2:$V$1001,MATCH(ROWS($U$2:U749),$U$2:$U$1001,0),1)&gt;=100000,INDEX($AB$1005:$AQ$1005,1,MATCH(COLUMNS($AB$1006:AG1006),$AB$1006:$AQ$1006,0))&gt;=100000), " ",IF(INDEX($AB$2:$AQ$1001,MATCH(ROWS($U$2:U749),$U$2:$U$1001,0),MATCH(COLUMNS($AB$1006:AG1006),$AB$1006:$AQ$1006,0)), HYPERLINK("#",""), HYPERLINK(CONCATENATE("#Metadata!", ADDRESS(INDEX($W$2:$W$1001,MATCH(ROWS($U$2:U749),$U$2:$U$1001,0),0), INDEX($AB$1004:$AQ$1004,1,MATCH(COLUMNS($AB$1006:AG1006),$AB$1006:$AQ$1006,0)))),"Fix")))</f>
        <v>0</v>
      </c>
      <c r="H749" s="5">
        <f>IF(OR(INDEX($V$2:$V$1001,MATCH(ROWS($U$2:U749),$U$2:$U$1001,0),1)&gt;=100000,INDEX($AB$1005:$AQ$1005,1,MATCH(COLUMNS($AB$1006:AH1006),$AB$1006:$AQ$1006,0))&gt;=100000), " ",IF(INDEX($AB$2:$AQ$1001,MATCH(ROWS($U$2:U749),$U$2:$U$1001,0),MATCH(COLUMNS($AB$1006:AH1006),$AB$1006:$AQ$1006,0)), HYPERLINK("#",""), HYPERLINK(CONCATENATE("#Metadata!", ADDRESS(INDEX($W$2:$W$1001,MATCH(ROWS($U$2:U749),$U$2:$U$1001,0),0), INDEX($AB$1004:$AQ$1004,1,MATCH(COLUMNS($AB$1006:AH1006),$AB$1006:$AQ$1006,0)))),"Fix")))</f>
        <v>0</v>
      </c>
      <c r="I749" s="5">
        <f>IF(OR(INDEX($V$2:$V$1001,MATCH(ROWS($U$2:U749),$U$2:$U$1001,0),1)&gt;=100000,INDEX($AB$1005:$AQ$1005,1,MATCH(COLUMNS($AB$1006:AI1006),$AB$1006:$AQ$1006,0))&gt;=100000), " ",IF(INDEX($AB$2:$AQ$1001,MATCH(ROWS($U$2:U749),$U$2:$U$1001,0),MATCH(COLUMNS($AB$1006:AI1006),$AB$1006:$AQ$1006,0)), HYPERLINK("#",""), HYPERLINK(CONCATENATE("#Metadata!", ADDRESS(INDEX($W$2:$W$1001,MATCH(ROWS($U$2:U749),$U$2:$U$1001,0),0), INDEX($AB$1004:$AQ$1004,1,MATCH(COLUMNS($AB$1006:AI1006),$AB$1006:$AQ$1006,0)))),"Fix")))</f>
        <v>0</v>
      </c>
      <c r="J749" s="5">
        <f>IF(OR(INDEX($V$2:$V$1001,MATCH(ROWS($U$2:U749),$U$2:$U$1001,0),1)&gt;=100000,INDEX($AB$1005:$AQ$1005,1,MATCH(COLUMNS($AB$1006:AJ1006),$AB$1006:$AQ$1006,0))&gt;=100000), " ",IF(INDEX($AB$2:$AQ$1001,MATCH(ROWS($U$2:U749),$U$2:$U$1001,0),MATCH(COLUMNS($AB$1006:AJ1006),$AB$1006:$AQ$1006,0)), HYPERLINK("#",""), HYPERLINK(CONCATENATE("#Metadata!", ADDRESS(INDEX($W$2:$W$1001,MATCH(ROWS($U$2:U749),$U$2:$U$1001,0),0), INDEX($AB$1004:$AQ$1004,1,MATCH(COLUMNS($AB$1006:AJ1006),$AB$1006:$AQ$1006,0)))),"Fix")))</f>
        <v>0</v>
      </c>
      <c r="K749" s="5">
        <f>IF(OR(INDEX($V$2:$V$1001,MATCH(ROWS($U$2:U749),$U$2:$U$1001,0),1)&gt;=100000,INDEX($AB$1005:$AQ$1005,1,MATCH(COLUMNS($AB$1006:AK1006),$AB$1006:$AQ$1006,0))&gt;=100000), " ",IF(INDEX($AB$2:$AQ$1001,MATCH(ROWS($U$2:U749),$U$2:$U$1001,0),MATCH(COLUMNS($AB$1006:AK1006),$AB$1006:$AQ$1006,0)), HYPERLINK("#",""), HYPERLINK(CONCATENATE("#Metadata!", ADDRESS(INDEX($W$2:$W$1001,MATCH(ROWS($U$2:U749),$U$2:$U$1001,0),0), INDEX($AB$1004:$AQ$1004,1,MATCH(COLUMNS($AB$1006:AK1006),$AB$1006:$AQ$1006,0)))),"Fix")))</f>
        <v>0</v>
      </c>
      <c r="L749" s="5">
        <f>IF(OR(INDEX($V$2:$V$1001,MATCH(ROWS($U$2:U749),$U$2:$U$1001,0),1)&gt;=100000,INDEX($AB$1005:$AQ$1005,1,MATCH(COLUMNS($AB$1006:AL1006),$AB$1006:$AQ$1006,0))&gt;=100000), " ",IF(INDEX($AB$2:$AQ$1001,MATCH(ROWS($U$2:U749),$U$2:$U$1001,0),MATCH(COLUMNS($AB$1006:AL1006),$AB$1006:$AQ$1006,0)), HYPERLINK("#",""), HYPERLINK(CONCATENATE("#Metadata!", ADDRESS(INDEX($W$2:$W$1001,MATCH(ROWS($U$2:U749),$U$2:$U$1001,0),0), INDEX($AB$1004:$AQ$1004,1,MATCH(COLUMNS($AB$1006:AL1006),$AB$1006:$AQ$1006,0)))),"Fix")))</f>
        <v>0</v>
      </c>
      <c r="M749" s="5">
        <f>IF(OR(INDEX($V$2:$V$1001,MATCH(ROWS($U$2:U749),$U$2:$U$1001,0),1)&gt;=100000,INDEX($AB$1005:$AQ$1005,1,MATCH(COLUMNS($AB$1006:AM1006),$AB$1006:$AQ$1006,0))&gt;=100000), " ",IF(INDEX($AB$2:$AQ$1001,MATCH(ROWS($U$2:U749),$U$2:$U$1001,0),MATCH(COLUMNS($AB$1006:AM1006),$AB$1006:$AQ$1006,0)), HYPERLINK("#",""), HYPERLINK(CONCATENATE("#Metadata!", ADDRESS(INDEX($W$2:$W$1001,MATCH(ROWS($U$2:U749),$U$2:$U$1001,0),0), INDEX($AB$1004:$AQ$1004,1,MATCH(COLUMNS($AB$1006:AM1006),$AB$1006:$AQ$1006,0)))),"Fix")))</f>
        <v>0</v>
      </c>
      <c r="N749" s="5">
        <f>IF(OR(INDEX($V$2:$V$1001,MATCH(ROWS($U$2:U749),$U$2:$U$1001,0),1)&gt;=100000,INDEX($AB$1005:$AQ$1005,1,MATCH(COLUMNS($AB$1006:AN1006),$AB$1006:$AQ$1006,0))&gt;=100000), " ",IF(INDEX($AB$2:$AQ$1001,MATCH(ROWS($U$2:U749),$U$2:$U$1001,0),MATCH(COLUMNS($AB$1006:AN1006),$AB$1006:$AQ$1006,0)), HYPERLINK("#",""), HYPERLINK(CONCATENATE("#Metadata!", ADDRESS(INDEX($W$2:$W$1001,MATCH(ROWS($U$2:U749),$U$2:$U$1001,0),0), INDEX($AB$1004:$AQ$1004,1,MATCH(COLUMNS($AB$1006:AN1006),$AB$1006:$AQ$1006,0)))),"Fix")))</f>
        <v>0</v>
      </c>
      <c r="O749" s="5">
        <f>IF(OR(INDEX($V$2:$V$1001,MATCH(ROWS($U$2:U749),$U$2:$U$1001,0),1)&gt;=100000,INDEX($AB$1005:$AQ$1005,1,MATCH(COLUMNS($AB$1006:AO1006),$AB$1006:$AQ$1006,0))&gt;=100000), " ",IF(INDEX($AB$2:$AQ$1001,MATCH(ROWS($U$2:U749),$U$2:$U$1001,0),MATCH(COLUMNS($AB$1006:AO1006),$AB$1006:$AQ$1006,0)), HYPERLINK("#",""), HYPERLINK(CONCATENATE("#Metadata!", ADDRESS(INDEX($W$2:$W$1001,MATCH(ROWS($U$2:U749),$U$2:$U$1001,0),0), INDEX($AB$1004:$AQ$1004,1,MATCH(COLUMNS($AB$1006:AO1006),$AB$1006:$AQ$1006,0)))),"Fix")))</f>
        <v>0</v>
      </c>
      <c r="P749" s="5">
        <f>IF(OR(INDEX($V$2:$V$1001,MATCH(ROWS($U$2:U749),$U$2:$U$1001,0),1)&gt;=100000,INDEX($AB$1005:$AQ$1005,1,MATCH(COLUMNS($AB$1006:AP1006),$AB$1006:$AQ$1006,0))&gt;=100000), " ",IF(INDEX($AB$2:$AQ$1001,MATCH(ROWS($U$2:U749),$U$2:$U$1001,0),MATCH(COLUMNS($AB$1006:AP1006),$AB$1006:$AQ$1006,0)), HYPERLINK("#",""), HYPERLINK(CONCATENATE("#Metadata!", ADDRESS(INDEX($W$2:$W$1001,MATCH(ROWS($U$2:U749),$U$2:$U$1001,0),0), INDEX($AB$1004:$AQ$1004,1,MATCH(COLUMNS($AB$1006:AP1006),$AB$1006:$AQ$1006,0)))),"Fix")))</f>
        <v>0</v>
      </c>
      <c r="Q749" s="5">
        <f>IF(OR(INDEX($V$2:$V$1001,MATCH(ROWS($U$2:U749),$U$2:$U$1001,0),1)&gt;=100000,INDEX($AB$1005:$AQ$1005,1,MATCH(COLUMNS($AB$1006:AQ1006),$AB$1006:$AQ$1006,0))&gt;=100000), " ",IF(INDEX($AB$2:$AQ$1001,MATCH(ROWS($U$2:U749),$U$2:$U$1001,0),MATCH(COLUMNS($AB$1006:AQ1006),$AB$1006:$AQ$1006,0)), HYPERLINK("#",""), HYPERLINK(CONCATENATE("#Metadata!", ADDRESS(INDEX($W$2:$W$1001,MATCH(ROWS($U$2:U749),$U$2:$U$1001,0),0), INDEX($AB$1004:$AQ$1004,1,MATCH(COLUMNS($AB$1006:AQ1006),$AB$1006:$AQ$1006,0)))),"Fix")))</f>
        <v>0</v>
      </c>
      <c r="U749">
        <v>0</v>
      </c>
      <c r="V749">
        <v>0</v>
      </c>
      <c r="W749">
        <v>0</v>
      </c>
      <c r="X749">
        <f>IF(Y749,TRUE,AND(AB749:AQ749))</f>
        <v>0</v>
      </c>
      <c r="Y749">
        <f>COUNTBLANK(Metadata!B749:Q749)=COLUMNS(Metadata!B749:Q749)</f>
        <v>0</v>
      </c>
      <c r="Z749">
        <v>0</v>
      </c>
      <c r="AB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AC749">
        <f>AND(IF(Metadata!C749="",FALSE,TRUE),exact(Metadata!C749,"urban biome"))</f>
        <v>0</v>
      </c>
      <c r="AD749">
        <f>AND(IF(Metadata!D749="",FALSE,TRUE),exact(Metadata!D749,"human-associated habitat"))</f>
        <v>0</v>
      </c>
      <c r="AE749">
        <f>AND(IF(Metadata!E749="",FALSE,TRUE),OR(exact(Metadata!E749,"human-associated"),exact(Metadata!E749,"human-skin"),exact(Metadata!E749,"human-oral"),exact(Metadata!E749,"human-gut"),exact(Metadata!E749,"human-vaginal")))</f>
        <v>0</v>
      </c>
      <c r="AF749">
        <f>AND(IF(Metadata!F749="",FALSE,ISNUMBER(VALUE(Metadata!F749))),Metadata!F749&gt;0)</f>
        <v>0</v>
      </c>
      <c r="AG749">
        <f>AND(IF(Metadata!G749="",FALSE,TRUE),exact(Metadata!G749,"years"))</f>
        <v>0</v>
      </c>
      <c r="AH749">
        <f>OR(AND(IF(Metadata!H749="",FALSE,TRUE),OR(exact(Metadata!H749,"not applicable"),exact(Metadata!H749,"not collected"),exact(Metadata!H749,"not provided"),exact(Metadata!H749,"restricted access"))),AND(IF(Metadata!H749="",FALSE,ISNUMBER(VALUE(Metadata!H749))),Metadata!H749&gt;0))</f>
        <v>0</v>
      </c>
      <c r="AI749">
        <f>AND(IF(Metadata!I749="",FALSE,TRUE),exact(Metadata!I749,"human"))</f>
        <v>0</v>
      </c>
      <c r="AJ749">
        <f>AND(IF(Metadata!J749="",FALSE,ISNUMBER(VALUE(Metadata!J749))),Metadata!J749&gt;0)</f>
        <v>0</v>
      </c>
      <c r="AK749">
        <f>AND(IF(Metadata!K749="",FALSE,TRUE),exact(Metadata!K749,"cm"))</f>
        <v>0</v>
      </c>
      <c r="AL749">
        <f>AND(IF(Metadata!L749="",FALSE,TRUE),exact(Metadata!L749,"Homo sapiens"))</f>
        <v>0</v>
      </c>
      <c r="AM749">
        <f>AND(IF(Metadata!M749="",FALSE,TRUE),exact(Metadata!M749,"9606"))</f>
        <v>0</v>
      </c>
      <c r="AN749">
        <f>AND(IF(Metadata!N749="",FALSE,ISNUMBER(VALUE(Metadata!N749))),Metadata!N749&gt;0)</f>
        <v>0</v>
      </c>
      <c r="AO749">
        <f>AND(IF(Metadata!O749="",FALSE,TRUE),exact(Metadata!O749,"kg"))</f>
        <v>0</v>
      </c>
      <c r="AP749">
        <f>OR(AND(IF(Metadata!P749="",FALSE,TRUE),exact(Metadata!P749,"not provided")),IF(Metadata!P749="",FALSE,TRUE))</f>
        <v>0</v>
      </c>
      <c r="AQ749">
        <f>OR(AND(IF(Metadata!Q749="",FALSE,TRUE),exact(Metadata!Q749,"not provided")),IF(Metadata!Q749="",FALSE,TRUE))</f>
        <v>0</v>
      </c>
    </row>
    <row r="750" spans="1:43">
      <c r="A750" s="4">
        <f>IF(B750=" "," ",HYPERLINK(CONCATENATE("#metadata!",ADDRESS(INDEX($W$2:$W$1001,MATCH(ROWS($U$2:U750),$U$2:$U$1001,0),0),2)),INDEX($Z$2:$Z$1001,MATCH(ROWS($U$2:U750),$U$2:$U$1001,0),0)))</f>
        <v>0</v>
      </c>
      <c r="B750" s="5">
        <f>IF(OR(INDEX($V$2:$V$1001,MATCH(ROWS($U$2:U750),$U$2:$U$1001,0),1)&gt;=100000,INDEX($AB$1005:$AQ$1005,1,MATCH(COLUMNS($AB$1006:AB1006),$AB$1006:$AQ$1006,0))&gt;=100000), " ",IF(INDEX($AB$2:$AQ$1001,MATCH(ROWS($U$2:U750),$U$2:$U$1001,0),MATCH(COLUMNS($AB$1006:AB1006),$AB$1006:$AQ$1006,0)), HYPERLINK("#",""), HYPERLINK(CONCATENATE("#Metadata!", ADDRESS(INDEX($W$2:$W$1001,MATCH(ROWS($U$2:U750),$U$2:$U$1001,0),0), INDEX($AB$1004:$AQ$1004,1,MATCH(COLUMNS($AB$1006:AB1006),$AB$1006:$AQ$1006,0)))),"Fix")))</f>
        <v>0</v>
      </c>
      <c r="C750" s="5">
        <f>IF(OR(INDEX($V$2:$V$1001,MATCH(ROWS($U$2:U750),$U$2:$U$1001,0),1)&gt;=100000,INDEX($AB$1005:$AQ$1005,1,MATCH(COLUMNS($AB$1006:AC1006),$AB$1006:$AQ$1006,0))&gt;=100000), " ",IF(INDEX($AB$2:$AQ$1001,MATCH(ROWS($U$2:U750),$U$2:$U$1001,0),MATCH(COLUMNS($AB$1006:AC1006),$AB$1006:$AQ$1006,0)), HYPERLINK("#",""), HYPERLINK(CONCATENATE("#Metadata!", ADDRESS(INDEX($W$2:$W$1001,MATCH(ROWS($U$2:U750),$U$2:$U$1001,0),0), INDEX($AB$1004:$AQ$1004,1,MATCH(COLUMNS($AB$1006:AC1006),$AB$1006:$AQ$1006,0)))),"Fix")))</f>
        <v>0</v>
      </c>
      <c r="D750" s="5">
        <f>IF(OR(INDEX($V$2:$V$1001,MATCH(ROWS($U$2:U750),$U$2:$U$1001,0),1)&gt;=100000,INDEX($AB$1005:$AQ$1005,1,MATCH(COLUMNS($AB$1006:AD1006),$AB$1006:$AQ$1006,0))&gt;=100000), " ",IF(INDEX($AB$2:$AQ$1001,MATCH(ROWS($U$2:U750),$U$2:$U$1001,0),MATCH(COLUMNS($AB$1006:AD1006),$AB$1006:$AQ$1006,0)), HYPERLINK("#",""), HYPERLINK(CONCATENATE("#Metadata!", ADDRESS(INDEX($W$2:$W$1001,MATCH(ROWS($U$2:U750),$U$2:$U$1001,0),0), INDEX($AB$1004:$AQ$1004,1,MATCH(COLUMNS($AB$1006:AD1006),$AB$1006:$AQ$1006,0)))),"Fix")))</f>
        <v>0</v>
      </c>
      <c r="E750" s="5">
        <f>IF(OR(INDEX($V$2:$V$1001,MATCH(ROWS($U$2:U750),$U$2:$U$1001,0),1)&gt;=100000,INDEX($AB$1005:$AQ$1005,1,MATCH(COLUMNS($AB$1006:AE1006),$AB$1006:$AQ$1006,0))&gt;=100000), " ",IF(INDEX($AB$2:$AQ$1001,MATCH(ROWS($U$2:U750),$U$2:$U$1001,0),MATCH(COLUMNS($AB$1006:AE1006),$AB$1006:$AQ$1006,0)), HYPERLINK("#",""), HYPERLINK(CONCATENATE("#Metadata!", ADDRESS(INDEX($W$2:$W$1001,MATCH(ROWS($U$2:U750),$U$2:$U$1001,0),0), INDEX($AB$1004:$AQ$1004,1,MATCH(COLUMNS($AB$1006:AE1006),$AB$1006:$AQ$1006,0)))),"Fix")))</f>
        <v>0</v>
      </c>
      <c r="F750" s="5">
        <f>IF(OR(INDEX($V$2:$V$1001,MATCH(ROWS($U$2:U750),$U$2:$U$1001,0),1)&gt;=100000,INDEX($AB$1005:$AQ$1005,1,MATCH(COLUMNS($AB$1006:AF1006),$AB$1006:$AQ$1006,0))&gt;=100000), " ",IF(INDEX($AB$2:$AQ$1001,MATCH(ROWS($U$2:U750),$U$2:$U$1001,0),MATCH(COLUMNS($AB$1006:AF1006),$AB$1006:$AQ$1006,0)), HYPERLINK("#",""), HYPERLINK(CONCATENATE("#Metadata!", ADDRESS(INDEX($W$2:$W$1001,MATCH(ROWS($U$2:U750),$U$2:$U$1001,0),0), INDEX($AB$1004:$AQ$1004,1,MATCH(COLUMNS($AB$1006:AF1006),$AB$1006:$AQ$1006,0)))),"Fix")))</f>
        <v>0</v>
      </c>
      <c r="G750" s="5">
        <f>IF(OR(INDEX($V$2:$V$1001,MATCH(ROWS($U$2:U750),$U$2:$U$1001,0),1)&gt;=100000,INDEX($AB$1005:$AQ$1005,1,MATCH(COLUMNS($AB$1006:AG1006),$AB$1006:$AQ$1006,0))&gt;=100000), " ",IF(INDEX($AB$2:$AQ$1001,MATCH(ROWS($U$2:U750),$U$2:$U$1001,0),MATCH(COLUMNS($AB$1006:AG1006),$AB$1006:$AQ$1006,0)), HYPERLINK("#",""), HYPERLINK(CONCATENATE("#Metadata!", ADDRESS(INDEX($W$2:$W$1001,MATCH(ROWS($U$2:U750),$U$2:$U$1001,0),0), INDEX($AB$1004:$AQ$1004,1,MATCH(COLUMNS($AB$1006:AG1006),$AB$1006:$AQ$1006,0)))),"Fix")))</f>
        <v>0</v>
      </c>
      <c r="H750" s="5">
        <f>IF(OR(INDEX($V$2:$V$1001,MATCH(ROWS($U$2:U750),$U$2:$U$1001,0),1)&gt;=100000,INDEX($AB$1005:$AQ$1005,1,MATCH(COLUMNS($AB$1006:AH1006),$AB$1006:$AQ$1006,0))&gt;=100000), " ",IF(INDEX($AB$2:$AQ$1001,MATCH(ROWS($U$2:U750),$U$2:$U$1001,0),MATCH(COLUMNS($AB$1006:AH1006),$AB$1006:$AQ$1006,0)), HYPERLINK("#",""), HYPERLINK(CONCATENATE("#Metadata!", ADDRESS(INDEX($W$2:$W$1001,MATCH(ROWS($U$2:U750),$U$2:$U$1001,0),0), INDEX($AB$1004:$AQ$1004,1,MATCH(COLUMNS($AB$1006:AH1006),$AB$1006:$AQ$1006,0)))),"Fix")))</f>
        <v>0</v>
      </c>
      <c r="I750" s="5">
        <f>IF(OR(INDEX($V$2:$V$1001,MATCH(ROWS($U$2:U750),$U$2:$U$1001,0),1)&gt;=100000,INDEX($AB$1005:$AQ$1005,1,MATCH(COLUMNS($AB$1006:AI1006),$AB$1006:$AQ$1006,0))&gt;=100000), " ",IF(INDEX($AB$2:$AQ$1001,MATCH(ROWS($U$2:U750),$U$2:$U$1001,0),MATCH(COLUMNS($AB$1006:AI1006),$AB$1006:$AQ$1006,0)), HYPERLINK("#",""), HYPERLINK(CONCATENATE("#Metadata!", ADDRESS(INDEX($W$2:$W$1001,MATCH(ROWS($U$2:U750),$U$2:$U$1001,0),0), INDEX($AB$1004:$AQ$1004,1,MATCH(COLUMNS($AB$1006:AI1006),$AB$1006:$AQ$1006,0)))),"Fix")))</f>
        <v>0</v>
      </c>
      <c r="J750" s="5">
        <f>IF(OR(INDEX($V$2:$V$1001,MATCH(ROWS($U$2:U750),$U$2:$U$1001,0),1)&gt;=100000,INDEX($AB$1005:$AQ$1005,1,MATCH(COLUMNS($AB$1006:AJ1006),$AB$1006:$AQ$1006,0))&gt;=100000), " ",IF(INDEX($AB$2:$AQ$1001,MATCH(ROWS($U$2:U750),$U$2:$U$1001,0),MATCH(COLUMNS($AB$1006:AJ1006),$AB$1006:$AQ$1006,0)), HYPERLINK("#",""), HYPERLINK(CONCATENATE("#Metadata!", ADDRESS(INDEX($W$2:$W$1001,MATCH(ROWS($U$2:U750),$U$2:$U$1001,0),0), INDEX($AB$1004:$AQ$1004,1,MATCH(COLUMNS($AB$1006:AJ1006),$AB$1006:$AQ$1006,0)))),"Fix")))</f>
        <v>0</v>
      </c>
      <c r="K750" s="5">
        <f>IF(OR(INDEX($V$2:$V$1001,MATCH(ROWS($U$2:U750),$U$2:$U$1001,0),1)&gt;=100000,INDEX($AB$1005:$AQ$1005,1,MATCH(COLUMNS($AB$1006:AK1006),$AB$1006:$AQ$1006,0))&gt;=100000), " ",IF(INDEX($AB$2:$AQ$1001,MATCH(ROWS($U$2:U750),$U$2:$U$1001,0),MATCH(COLUMNS($AB$1006:AK1006),$AB$1006:$AQ$1006,0)), HYPERLINK("#",""), HYPERLINK(CONCATENATE("#Metadata!", ADDRESS(INDEX($W$2:$W$1001,MATCH(ROWS($U$2:U750),$U$2:$U$1001,0),0), INDEX($AB$1004:$AQ$1004,1,MATCH(COLUMNS($AB$1006:AK1006),$AB$1006:$AQ$1006,0)))),"Fix")))</f>
        <v>0</v>
      </c>
      <c r="L750" s="5">
        <f>IF(OR(INDEX($V$2:$V$1001,MATCH(ROWS($U$2:U750),$U$2:$U$1001,0),1)&gt;=100000,INDEX($AB$1005:$AQ$1005,1,MATCH(COLUMNS($AB$1006:AL1006),$AB$1006:$AQ$1006,0))&gt;=100000), " ",IF(INDEX($AB$2:$AQ$1001,MATCH(ROWS($U$2:U750),$U$2:$U$1001,0),MATCH(COLUMNS($AB$1006:AL1006),$AB$1006:$AQ$1006,0)), HYPERLINK("#",""), HYPERLINK(CONCATENATE("#Metadata!", ADDRESS(INDEX($W$2:$W$1001,MATCH(ROWS($U$2:U750),$U$2:$U$1001,0),0), INDEX($AB$1004:$AQ$1004,1,MATCH(COLUMNS($AB$1006:AL1006),$AB$1006:$AQ$1006,0)))),"Fix")))</f>
        <v>0</v>
      </c>
      <c r="M750" s="5">
        <f>IF(OR(INDEX($V$2:$V$1001,MATCH(ROWS($U$2:U750),$U$2:$U$1001,0),1)&gt;=100000,INDEX($AB$1005:$AQ$1005,1,MATCH(COLUMNS($AB$1006:AM1006),$AB$1006:$AQ$1006,0))&gt;=100000), " ",IF(INDEX($AB$2:$AQ$1001,MATCH(ROWS($U$2:U750),$U$2:$U$1001,0),MATCH(COLUMNS($AB$1006:AM1006),$AB$1006:$AQ$1006,0)), HYPERLINK("#",""), HYPERLINK(CONCATENATE("#Metadata!", ADDRESS(INDEX($W$2:$W$1001,MATCH(ROWS($U$2:U750),$U$2:$U$1001,0),0), INDEX($AB$1004:$AQ$1004,1,MATCH(COLUMNS($AB$1006:AM1006),$AB$1006:$AQ$1006,0)))),"Fix")))</f>
        <v>0</v>
      </c>
      <c r="N750" s="5">
        <f>IF(OR(INDEX($V$2:$V$1001,MATCH(ROWS($U$2:U750),$U$2:$U$1001,0),1)&gt;=100000,INDEX($AB$1005:$AQ$1005,1,MATCH(COLUMNS($AB$1006:AN1006),$AB$1006:$AQ$1006,0))&gt;=100000), " ",IF(INDEX($AB$2:$AQ$1001,MATCH(ROWS($U$2:U750),$U$2:$U$1001,0),MATCH(COLUMNS($AB$1006:AN1006),$AB$1006:$AQ$1006,0)), HYPERLINK("#",""), HYPERLINK(CONCATENATE("#Metadata!", ADDRESS(INDEX($W$2:$W$1001,MATCH(ROWS($U$2:U750),$U$2:$U$1001,0),0), INDEX($AB$1004:$AQ$1004,1,MATCH(COLUMNS($AB$1006:AN1006),$AB$1006:$AQ$1006,0)))),"Fix")))</f>
        <v>0</v>
      </c>
      <c r="O750" s="5">
        <f>IF(OR(INDEX($V$2:$V$1001,MATCH(ROWS($U$2:U750),$U$2:$U$1001,0),1)&gt;=100000,INDEX($AB$1005:$AQ$1005,1,MATCH(COLUMNS($AB$1006:AO1006),$AB$1006:$AQ$1006,0))&gt;=100000), " ",IF(INDEX($AB$2:$AQ$1001,MATCH(ROWS($U$2:U750),$U$2:$U$1001,0),MATCH(COLUMNS($AB$1006:AO1006),$AB$1006:$AQ$1006,0)), HYPERLINK("#",""), HYPERLINK(CONCATENATE("#Metadata!", ADDRESS(INDEX($W$2:$W$1001,MATCH(ROWS($U$2:U750),$U$2:$U$1001,0),0), INDEX($AB$1004:$AQ$1004,1,MATCH(COLUMNS($AB$1006:AO1006),$AB$1006:$AQ$1006,0)))),"Fix")))</f>
        <v>0</v>
      </c>
      <c r="P750" s="5">
        <f>IF(OR(INDEX($V$2:$V$1001,MATCH(ROWS($U$2:U750),$U$2:$U$1001,0),1)&gt;=100000,INDEX($AB$1005:$AQ$1005,1,MATCH(COLUMNS($AB$1006:AP1006),$AB$1006:$AQ$1006,0))&gt;=100000), " ",IF(INDEX($AB$2:$AQ$1001,MATCH(ROWS($U$2:U750),$U$2:$U$1001,0),MATCH(COLUMNS($AB$1006:AP1006),$AB$1006:$AQ$1006,0)), HYPERLINK("#",""), HYPERLINK(CONCATENATE("#Metadata!", ADDRESS(INDEX($W$2:$W$1001,MATCH(ROWS($U$2:U750),$U$2:$U$1001,0),0), INDEX($AB$1004:$AQ$1004,1,MATCH(COLUMNS($AB$1006:AP1006),$AB$1006:$AQ$1006,0)))),"Fix")))</f>
        <v>0</v>
      </c>
      <c r="Q750" s="5">
        <f>IF(OR(INDEX($V$2:$V$1001,MATCH(ROWS($U$2:U750),$U$2:$U$1001,0),1)&gt;=100000,INDEX($AB$1005:$AQ$1005,1,MATCH(COLUMNS($AB$1006:AQ1006),$AB$1006:$AQ$1006,0))&gt;=100000), " ",IF(INDEX($AB$2:$AQ$1001,MATCH(ROWS($U$2:U750),$U$2:$U$1001,0),MATCH(COLUMNS($AB$1006:AQ1006),$AB$1006:$AQ$1006,0)), HYPERLINK("#",""), HYPERLINK(CONCATENATE("#Metadata!", ADDRESS(INDEX($W$2:$W$1001,MATCH(ROWS($U$2:U750),$U$2:$U$1001,0),0), INDEX($AB$1004:$AQ$1004,1,MATCH(COLUMNS($AB$1006:AQ1006),$AB$1006:$AQ$1006,0)))),"Fix")))</f>
        <v>0</v>
      </c>
      <c r="U750">
        <v>0</v>
      </c>
      <c r="V750">
        <v>0</v>
      </c>
      <c r="W750">
        <v>0</v>
      </c>
      <c r="X750">
        <f>IF(Y750,TRUE,AND(AB750:AQ750))</f>
        <v>0</v>
      </c>
      <c r="Y750">
        <f>COUNTBLANK(Metadata!B750:Q750)=COLUMNS(Metadata!B750:Q750)</f>
        <v>0</v>
      </c>
      <c r="Z750">
        <v>0</v>
      </c>
      <c r="AB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AC750">
        <f>AND(IF(Metadata!C750="",FALSE,TRUE),exact(Metadata!C750,"urban biome"))</f>
        <v>0</v>
      </c>
      <c r="AD750">
        <f>AND(IF(Metadata!D750="",FALSE,TRUE),exact(Metadata!D750,"human-associated habitat"))</f>
        <v>0</v>
      </c>
      <c r="AE750">
        <f>AND(IF(Metadata!E750="",FALSE,TRUE),OR(exact(Metadata!E750,"human-associated"),exact(Metadata!E750,"human-skin"),exact(Metadata!E750,"human-oral"),exact(Metadata!E750,"human-gut"),exact(Metadata!E750,"human-vaginal")))</f>
        <v>0</v>
      </c>
      <c r="AF750">
        <f>AND(IF(Metadata!F750="",FALSE,ISNUMBER(VALUE(Metadata!F750))),Metadata!F750&gt;0)</f>
        <v>0</v>
      </c>
      <c r="AG750">
        <f>AND(IF(Metadata!G750="",FALSE,TRUE),exact(Metadata!G750,"years"))</f>
        <v>0</v>
      </c>
      <c r="AH750">
        <f>OR(AND(IF(Metadata!H750="",FALSE,TRUE),OR(exact(Metadata!H750,"not applicable"),exact(Metadata!H750,"not collected"),exact(Metadata!H750,"not provided"),exact(Metadata!H750,"restricted access"))),AND(IF(Metadata!H750="",FALSE,ISNUMBER(VALUE(Metadata!H750))),Metadata!H750&gt;0))</f>
        <v>0</v>
      </c>
      <c r="AI750">
        <f>AND(IF(Metadata!I750="",FALSE,TRUE),exact(Metadata!I750,"human"))</f>
        <v>0</v>
      </c>
      <c r="AJ750">
        <f>AND(IF(Metadata!J750="",FALSE,ISNUMBER(VALUE(Metadata!J750))),Metadata!J750&gt;0)</f>
        <v>0</v>
      </c>
      <c r="AK750">
        <f>AND(IF(Metadata!K750="",FALSE,TRUE),exact(Metadata!K750,"cm"))</f>
        <v>0</v>
      </c>
      <c r="AL750">
        <f>AND(IF(Metadata!L750="",FALSE,TRUE),exact(Metadata!L750,"Homo sapiens"))</f>
        <v>0</v>
      </c>
      <c r="AM750">
        <f>AND(IF(Metadata!M750="",FALSE,TRUE),exact(Metadata!M750,"9606"))</f>
        <v>0</v>
      </c>
      <c r="AN750">
        <f>AND(IF(Metadata!N750="",FALSE,ISNUMBER(VALUE(Metadata!N750))),Metadata!N750&gt;0)</f>
        <v>0</v>
      </c>
      <c r="AO750">
        <f>AND(IF(Metadata!O750="",FALSE,TRUE),exact(Metadata!O750,"kg"))</f>
        <v>0</v>
      </c>
      <c r="AP750">
        <f>OR(AND(IF(Metadata!P750="",FALSE,TRUE),exact(Metadata!P750,"not provided")),IF(Metadata!P750="",FALSE,TRUE))</f>
        <v>0</v>
      </c>
      <c r="AQ750">
        <f>OR(AND(IF(Metadata!Q750="",FALSE,TRUE),exact(Metadata!Q750,"not provided")),IF(Metadata!Q750="",FALSE,TRUE))</f>
        <v>0</v>
      </c>
    </row>
    <row r="751" spans="1:43">
      <c r="A751" s="4">
        <f>IF(B751=" "," ",HYPERLINK(CONCATENATE("#metadata!",ADDRESS(INDEX($W$2:$W$1001,MATCH(ROWS($U$2:U751),$U$2:$U$1001,0),0),2)),INDEX($Z$2:$Z$1001,MATCH(ROWS($U$2:U751),$U$2:$U$1001,0),0)))</f>
        <v>0</v>
      </c>
      <c r="B751" s="5">
        <f>IF(OR(INDEX($V$2:$V$1001,MATCH(ROWS($U$2:U751),$U$2:$U$1001,0),1)&gt;=100000,INDEX($AB$1005:$AQ$1005,1,MATCH(COLUMNS($AB$1006:AB1006),$AB$1006:$AQ$1006,0))&gt;=100000), " ",IF(INDEX($AB$2:$AQ$1001,MATCH(ROWS($U$2:U751),$U$2:$U$1001,0),MATCH(COLUMNS($AB$1006:AB1006),$AB$1006:$AQ$1006,0)), HYPERLINK("#",""), HYPERLINK(CONCATENATE("#Metadata!", ADDRESS(INDEX($W$2:$W$1001,MATCH(ROWS($U$2:U751),$U$2:$U$1001,0),0), INDEX($AB$1004:$AQ$1004,1,MATCH(COLUMNS($AB$1006:AB1006),$AB$1006:$AQ$1006,0)))),"Fix")))</f>
        <v>0</v>
      </c>
      <c r="C751" s="5">
        <f>IF(OR(INDEX($V$2:$V$1001,MATCH(ROWS($U$2:U751),$U$2:$U$1001,0),1)&gt;=100000,INDEX($AB$1005:$AQ$1005,1,MATCH(COLUMNS($AB$1006:AC1006),$AB$1006:$AQ$1006,0))&gt;=100000), " ",IF(INDEX($AB$2:$AQ$1001,MATCH(ROWS($U$2:U751),$U$2:$U$1001,0),MATCH(COLUMNS($AB$1006:AC1006),$AB$1006:$AQ$1006,0)), HYPERLINK("#",""), HYPERLINK(CONCATENATE("#Metadata!", ADDRESS(INDEX($W$2:$W$1001,MATCH(ROWS($U$2:U751),$U$2:$U$1001,0),0), INDEX($AB$1004:$AQ$1004,1,MATCH(COLUMNS($AB$1006:AC1006),$AB$1006:$AQ$1006,0)))),"Fix")))</f>
        <v>0</v>
      </c>
      <c r="D751" s="5">
        <f>IF(OR(INDEX($V$2:$V$1001,MATCH(ROWS($U$2:U751),$U$2:$U$1001,0),1)&gt;=100000,INDEX($AB$1005:$AQ$1005,1,MATCH(COLUMNS($AB$1006:AD1006),$AB$1006:$AQ$1006,0))&gt;=100000), " ",IF(INDEX($AB$2:$AQ$1001,MATCH(ROWS($U$2:U751),$U$2:$U$1001,0),MATCH(COLUMNS($AB$1006:AD1006),$AB$1006:$AQ$1006,0)), HYPERLINK("#",""), HYPERLINK(CONCATENATE("#Metadata!", ADDRESS(INDEX($W$2:$W$1001,MATCH(ROWS($U$2:U751),$U$2:$U$1001,0),0), INDEX($AB$1004:$AQ$1004,1,MATCH(COLUMNS($AB$1006:AD1006),$AB$1006:$AQ$1006,0)))),"Fix")))</f>
        <v>0</v>
      </c>
      <c r="E751" s="5">
        <f>IF(OR(INDEX($V$2:$V$1001,MATCH(ROWS($U$2:U751),$U$2:$U$1001,0),1)&gt;=100000,INDEX($AB$1005:$AQ$1005,1,MATCH(COLUMNS($AB$1006:AE1006),$AB$1006:$AQ$1006,0))&gt;=100000), " ",IF(INDEX($AB$2:$AQ$1001,MATCH(ROWS($U$2:U751),$U$2:$U$1001,0),MATCH(COLUMNS($AB$1006:AE1006),$AB$1006:$AQ$1006,0)), HYPERLINK("#",""), HYPERLINK(CONCATENATE("#Metadata!", ADDRESS(INDEX($W$2:$W$1001,MATCH(ROWS($U$2:U751),$U$2:$U$1001,0),0), INDEX($AB$1004:$AQ$1004,1,MATCH(COLUMNS($AB$1006:AE1006),$AB$1006:$AQ$1006,0)))),"Fix")))</f>
        <v>0</v>
      </c>
      <c r="F751" s="5">
        <f>IF(OR(INDEX($V$2:$V$1001,MATCH(ROWS($U$2:U751),$U$2:$U$1001,0),1)&gt;=100000,INDEX($AB$1005:$AQ$1005,1,MATCH(COLUMNS($AB$1006:AF1006),$AB$1006:$AQ$1006,0))&gt;=100000), " ",IF(INDEX($AB$2:$AQ$1001,MATCH(ROWS($U$2:U751),$U$2:$U$1001,0),MATCH(COLUMNS($AB$1006:AF1006),$AB$1006:$AQ$1006,0)), HYPERLINK("#",""), HYPERLINK(CONCATENATE("#Metadata!", ADDRESS(INDEX($W$2:$W$1001,MATCH(ROWS($U$2:U751),$U$2:$U$1001,0),0), INDEX($AB$1004:$AQ$1004,1,MATCH(COLUMNS($AB$1006:AF1006),$AB$1006:$AQ$1006,0)))),"Fix")))</f>
        <v>0</v>
      </c>
      <c r="G751" s="5">
        <f>IF(OR(INDEX($V$2:$V$1001,MATCH(ROWS($U$2:U751),$U$2:$U$1001,0),1)&gt;=100000,INDEX($AB$1005:$AQ$1005,1,MATCH(COLUMNS($AB$1006:AG1006),$AB$1006:$AQ$1006,0))&gt;=100000), " ",IF(INDEX($AB$2:$AQ$1001,MATCH(ROWS($U$2:U751),$U$2:$U$1001,0),MATCH(COLUMNS($AB$1006:AG1006),$AB$1006:$AQ$1006,0)), HYPERLINK("#",""), HYPERLINK(CONCATENATE("#Metadata!", ADDRESS(INDEX($W$2:$W$1001,MATCH(ROWS($U$2:U751),$U$2:$U$1001,0),0), INDEX($AB$1004:$AQ$1004,1,MATCH(COLUMNS($AB$1006:AG1006),$AB$1006:$AQ$1006,0)))),"Fix")))</f>
        <v>0</v>
      </c>
      <c r="H751" s="5">
        <f>IF(OR(INDEX($V$2:$V$1001,MATCH(ROWS($U$2:U751),$U$2:$U$1001,0),1)&gt;=100000,INDEX($AB$1005:$AQ$1005,1,MATCH(COLUMNS($AB$1006:AH1006),$AB$1006:$AQ$1006,0))&gt;=100000), " ",IF(INDEX($AB$2:$AQ$1001,MATCH(ROWS($U$2:U751),$U$2:$U$1001,0),MATCH(COLUMNS($AB$1006:AH1006),$AB$1006:$AQ$1006,0)), HYPERLINK("#",""), HYPERLINK(CONCATENATE("#Metadata!", ADDRESS(INDEX($W$2:$W$1001,MATCH(ROWS($U$2:U751),$U$2:$U$1001,0),0), INDEX($AB$1004:$AQ$1004,1,MATCH(COLUMNS($AB$1006:AH1006),$AB$1006:$AQ$1006,0)))),"Fix")))</f>
        <v>0</v>
      </c>
      <c r="I751" s="5">
        <f>IF(OR(INDEX($V$2:$V$1001,MATCH(ROWS($U$2:U751),$U$2:$U$1001,0),1)&gt;=100000,INDEX($AB$1005:$AQ$1005,1,MATCH(COLUMNS($AB$1006:AI1006),$AB$1006:$AQ$1006,0))&gt;=100000), " ",IF(INDEX($AB$2:$AQ$1001,MATCH(ROWS($U$2:U751),$U$2:$U$1001,0),MATCH(COLUMNS($AB$1006:AI1006),$AB$1006:$AQ$1006,0)), HYPERLINK("#",""), HYPERLINK(CONCATENATE("#Metadata!", ADDRESS(INDEX($W$2:$W$1001,MATCH(ROWS($U$2:U751),$U$2:$U$1001,0),0), INDEX($AB$1004:$AQ$1004,1,MATCH(COLUMNS($AB$1006:AI1006),$AB$1006:$AQ$1006,0)))),"Fix")))</f>
        <v>0</v>
      </c>
      <c r="J751" s="5">
        <f>IF(OR(INDEX($V$2:$V$1001,MATCH(ROWS($U$2:U751),$U$2:$U$1001,0),1)&gt;=100000,INDEX($AB$1005:$AQ$1005,1,MATCH(COLUMNS($AB$1006:AJ1006),$AB$1006:$AQ$1006,0))&gt;=100000), " ",IF(INDEX($AB$2:$AQ$1001,MATCH(ROWS($U$2:U751),$U$2:$U$1001,0),MATCH(COLUMNS($AB$1006:AJ1006),$AB$1006:$AQ$1006,0)), HYPERLINK("#",""), HYPERLINK(CONCATENATE("#Metadata!", ADDRESS(INDEX($W$2:$W$1001,MATCH(ROWS($U$2:U751),$U$2:$U$1001,0),0), INDEX($AB$1004:$AQ$1004,1,MATCH(COLUMNS($AB$1006:AJ1006),$AB$1006:$AQ$1006,0)))),"Fix")))</f>
        <v>0</v>
      </c>
      <c r="K751" s="5">
        <f>IF(OR(INDEX($V$2:$V$1001,MATCH(ROWS($U$2:U751),$U$2:$U$1001,0),1)&gt;=100000,INDEX($AB$1005:$AQ$1005,1,MATCH(COLUMNS($AB$1006:AK1006),$AB$1006:$AQ$1006,0))&gt;=100000), " ",IF(INDEX($AB$2:$AQ$1001,MATCH(ROWS($U$2:U751),$U$2:$U$1001,0),MATCH(COLUMNS($AB$1006:AK1006),$AB$1006:$AQ$1006,0)), HYPERLINK("#",""), HYPERLINK(CONCATENATE("#Metadata!", ADDRESS(INDEX($W$2:$W$1001,MATCH(ROWS($U$2:U751),$U$2:$U$1001,0),0), INDEX($AB$1004:$AQ$1004,1,MATCH(COLUMNS($AB$1006:AK1006),$AB$1006:$AQ$1006,0)))),"Fix")))</f>
        <v>0</v>
      </c>
      <c r="L751" s="5">
        <f>IF(OR(INDEX($V$2:$V$1001,MATCH(ROWS($U$2:U751),$U$2:$U$1001,0),1)&gt;=100000,INDEX($AB$1005:$AQ$1005,1,MATCH(COLUMNS($AB$1006:AL1006),$AB$1006:$AQ$1006,0))&gt;=100000), " ",IF(INDEX($AB$2:$AQ$1001,MATCH(ROWS($U$2:U751),$U$2:$U$1001,0),MATCH(COLUMNS($AB$1006:AL1006),$AB$1006:$AQ$1006,0)), HYPERLINK("#",""), HYPERLINK(CONCATENATE("#Metadata!", ADDRESS(INDEX($W$2:$W$1001,MATCH(ROWS($U$2:U751),$U$2:$U$1001,0),0), INDEX($AB$1004:$AQ$1004,1,MATCH(COLUMNS($AB$1006:AL1006),$AB$1006:$AQ$1006,0)))),"Fix")))</f>
        <v>0</v>
      </c>
      <c r="M751" s="5">
        <f>IF(OR(INDEX($V$2:$V$1001,MATCH(ROWS($U$2:U751),$U$2:$U$1001,0),1)&gt;=100000,INDEX($AB$1005:$AQ$1005,1,MATCH(COLUMNS($AB$1006:AM1006),$AB$1006:$AQ$1006,0))&gt;=100000), " ",IF(INDEX($AB$2:$AQ$1001,MATCH(ROWS($U$2:U751),$U$2:$U$1001,0),MATCH(COLUMNS($AB$1006:AM1006),$AB$1006:$AQ$1006,0)), HYPERLINK("#",""), HYPERLINK(CONCATENATE("#Metadata!", ADDRESS(INDEX($W$2:$W$1001,MATCH(ROWS($U$2:U751),$U$2:$U$1001,0),0), INDEX($AB$1004:$AQ$1004,1,MATCH(COLUMNS($AB$1006:AM1006),$AB$1006:$AQ$1006,0)))),"Fix")))</f>
        <v>0</v>
      </c>
      <c r="N751" s="5">
        <f>IF(OR(INDEX($V$2:$V$1001,MATCH(ROWS($U$2:U751),$U$2:$U$1001,0),1)&gt;=100000,INDEX($AB$1005:$AQ$1005,1,MATCH(COLUMNS($AB$1006:AN1006),$AB$1006:$AQ$1006,0))&gt;=100000), " ",IF(INDEX($AB$2:$AQ$1001,MATCH(ROWS($U$2:U751),$U$2:$U$1001,0),MATCH(COLUMNS($AB$1006:AN1006),$AB$1006:$AQ$1006,0)), HYPERLINK("#",""), HYPERLINK(CONCATENATE("#Metadata!", ADDRESS(INDEX($W$2:$W$1001,MATCH(ROWS($U$2:U751),$U$2:$U$1001,0),0), INDEX($AB$1004:$AQ$1004,1,MATCH(COLUMNS($AB$1006:AN1006),$AB$1006:$AQ$1006,0)))),"Fix")))</f>
        <v>0</v>
      </c>
      <c r="O751" s="5">
        <f>IF(OR(INDEX($V$2:$V$1001,MATCH(ROWS($U$2:U751),$U$2:$U$1001,0),1)&gt;=100000,INDEX($AB$1005:$AQ$1005,1,MATCH(COLUMNS($AB$1006:AO1006),$AB$1006:$AQ$1006,0))&gt;=100000), " ",IF(INDEX($AB$2:$AQ$1001,MATCH(ROWS($U$2:U751),$U$2:$U$1001,0),MATCH(COLUMNS($AB$1006:AO1006),$AB$1006:$AQ$1006,0)), HYPERLINK("#",""), HYPERLINK(CONCATENATE("#Metadata!", ADDRESS(INDEX($W$2:$W$1001,MATCH(ROWS($U$2:U751),$U$2:$U$1001,0),0), INDEX($AB$1004:$AQ$1004,1,MATCH(COLUMNS($AB$1006:AO1006),$AB$1006:$AQ$1006,0)))),"Fix")))</f>
        <v>0</v>
      </c>
      <c r="P751" s="5">
        <f>IF(OR(INDEX($V$2:$V$1001,MATCH(ROWS($U$2:U751),$U$2:$U$1001,0),1)&gt;=100000,INDEX($AB$1005:$AQ$1005,1,MATCH(COLUMNS($AB$1006:AP1006),$AB$1006:$AQ$1006,0))&gt;=100000), " ",IF(INDEX($AB$2:$AQ$1001,MATCH(ROWS($U$2:U751),$U$2:$U$1001,0),MATCH(COLUMNS($AB$1006:AP1006),$AB$1006:$AQ$1006,0)), HYPERLINK("#",""), HYPERLINK(CONCATENATE("#Metadata!", ADDRESS(INDEX($W$2:$W$1001,MATCH(ROWS($U$2:U751),$U$2:$U$1001,0),0), INDEX($AB$1004:$AQ$1004,1,MATCH(COLUMNS($AB$1006:AP1006),$AB$1006:$AQ$1006,0)))),"Fix")))</f>
        <v>0</v>
      </c>
      <c r="Q751" s="5">
        <f>IF(OR(INDEX($V$2:$V$1001,MATCH(ROWS($U$2:U751),$U$2:$U$1001,0),1)&gt;=100000,INDEX($AB$1005:$AQ$1005,1,MATCH(COLUMNS($AB$1006:AQ1006),$AB$1006:$AQ$1006,0))&gt;=100000), " ",IF(INDEX($AB$2:$AQ$1001,MATCH(ROWS($U$2:U751),$U$2:$U$1001,0),MATCH(COLUMNS($AB$1006:AQ1006),$AB$1006:$AQ$1006,0)), HYPERLINK("#",""), HYPERLINK(CONCATENATE("#Metadata!", ADDRESS(INDEX($W$2:$W$1001,MATCH(ROWS($U$2:U751),$U$2:$U$1001,0),0), INDEX($AB$1004:$AQ$1004,1,MATCH(COLUMNS($AB$1006:AQ1006),$AB$1006:$AQ$1006,0)))),"Fix")))</f>
        <v>0</v>
      </c>
      <c r="U751">
        <v>0</v>
      </c>
      <c r="V751">
        <v>0</v>
      </c>
      <c r="W751">
        <v>0</v>
      </c>
      <c r="X751">
        <f>IF(Y751,TRUE,AND(AB751:AQ751))</f>
        <v>0</v>
      </c>
      <c r="Y751">
        <f>COUNTBLANK(Metadata!B751:Q751)=COLUMNS(Metadata!B751:Q751)</f>
        <v>0</v>
      </c>
      <c r="Z751">
        <v>0</v>
      </c>
      <c r="AB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AC751">
        <f>AND(IF(Metadata!C751="",FALSE,TRUE),exact(Metadata!C751,"urban biome"))</f>
        <v>0</v>
      </c>
      <c r="AD751">
        <f>AND(IF(Metadata!D751="",FALSE,TRUE),exact(Metadata!D751,"human-associated habitat"))</f>
        <v>0</v>
      </c>
      <c r="AE751">
        <f>AND(IF(Metadata!E751="",FALSE,TRUE),OR(exact(Metadata!E751,"human-associated"),exact(Metadata!E751,"human-skin"),exact(Metadata!E751,"human-oral"),exact(Metadata!E751,"human-gut"),exact(Metadata!E751,"human-vaginal")))</f>
        <v>0</v>
      </c>
      <c r="AF751">
        <f>AND(IF(Metadata!F751="",FALSE,ISNUMBER(VALUE(Metadata!F751))),Metadata!F751&gt;0)</f>
        <v>0</v>
      </c>
      <c r="AG751">
        <f>AND(IF(Metadata!G751="",FALSE,TRUE),exact(Metadata!G751,"years"))</f>
        <v>0</v>
      </c>
      <c r="AH751">
        <f>OR(AND(IF(Metadata!H751="",FALSE,TRUE),OR(exact(Metadata!H751,"not applicable"),exact(Metadata!H751,"not collected"),exact(Metadata!H751,"not provided"),exact(Metadata!H751,"restricted access"))),AND(IF(Metadata!H751="",FALSE,ISNUMBER(VALUE(Metadata!H751))),Metadata!H751&gt;0))</f>
        <v>0</v>
      </c>
      <c r="AI751">
        <f>AND(IF(Metadata!I751="",FALSE,TRUE),exact(Metadata!I751,"human"))</f>
        <v>0</v>
      </c>
      <c r="AJ751">
        <f>AND(IF(Metadata!J751="",FALSE,ISNUMBER(VALUE(Metadata!J751))),Metadata!J751&gt;0)</f>
        <v>0</v>
      </c>
      <c r="AK751">
        <f>AND(IF(Metadata!K751="",FALSE,TRUE),exact(Metadata!K751,"cm"))</f>
        <v>0</v>
      </c>
      <c r="AL751">
        <f>AND(IF(Metadata!L751="",FALSE,TRUE),exact(Metadata!L751,"Homo sapiens"))</f>
        <v>0</v>
      </c>
      <c r="AM751">
        <f>AND(IF(Metadata!M751="",FALSE,TRUE),exact(Metadata!M751,"9606"))</f>
        <v>0</v>
      </c>
      <c r="AN751">
        <f>AND(IF(Metadata!N751="",FALSE,ISNUMBER(VALUE(Metadata!N751))),Metadata!N751&gt;0)</f>
        <v>0</v>
      </c>
      <c r="AO751">
        <f>AND(IF(Metadata!O751="",FALSE,TRUE),exact(Metadata!O751,"kg"))</f>
        <v>0</v>
      </c>
      <c r="AP751">
        <f>OR(AND(IF(Metadata!P751="",FALSE,TRUE),exact(Metadata!P751,"not provided")),IF(Metadata!P751="",FALSE,TRUE))</f>
        <v>0</v>
      </c>
      <c r="AQ751">
        <f>OR(AND(IF(Metadata!Q751="",FALSE,TRUE),exact(Metadata!Q751,"not provided")),IF(Metadata!Q751="",FALSE,TRUE))</f>
        <v>0</v>
      </c>
    </row>
    <row r="752" spans="1:43">
      <c r="A752" s="4">
        <f>IF(B752=" "," ",HYPERLINK(CONCATENATE("#metadata!",ADDRESS(INDEX($W$2:$W$1001,MATCH(ROWS($U$2:U752),$U$2:$U$1001,0),0),2)),INDEX($Z$2:$Z$1001,MATCH(ROWS($U$2:U752),$U$2:$U$1001,0),0)))</f>
        <v>0</v>
      </c>
      <c r="B752" s="5">
        <f>IF(OR(INDEX($V$2:$V$1001,MATCH(ROWS($U$2:U752),$U$2:$U$1001,0),1)&gt;=100000,INDEX($AB$1005:$AQ$1005,1,MATCH(COLUMNS($AB$1006:AB1006),$AB$1006:$AQ$1006,0))&gt;=100000), " ",IF(INDEX($AB$2:$AQ$1001,MATCH(ROWS($U$2:U752),$U$2:$U$1001,0),MATCH(COLUMNS($AB$1006:AB1006),$AB$1006:$AQ$1006,0)), HYPERLINK("#",""), HYPERLINK(CONCATENATE("#Metadata!", ADDRESS(INDEX($W$2:$W$1001,MATCH(ROWS($U$2:U752),$U$2:$U$1001,0),0), INDEX($AB$1004:$AQ$1004,1,MATCH(COLUMNS($AB$1006:AB1006),$AB$1006:$AQ$1006,0)))),"Fix")))</f>
        <v>0</v>
      </c>
      <c r="C752" s="5">
        <f>IF(OR(INDEX($V$2:$V$1001,MATCH(ROWS($U$2:U752),$U$2:$U$1001,0),1)&gt;=100000,INDEX($AB$1005:$AQ$1005,1,MATCH(COLUMNS($AB$1006:AC1006),$AB$1006:$AQ$1006,0))&gt;=100000), " ",IF(INDEX($AB$2:$AQ$1001,MATCH(ROWS($U$2:U752),$U$2:$U$1001,0),MATCH(COLUMNS($AB$1006:AC1006),$AB$1006:$AQ$1006,0)), HYPERLINK("#",""), HYPERLINK(CONCATENATE("#Metadata!", ADDRESS(INDEX($W$2:$W$1001,MATCH(ROWS($U$2:U752),$U$2:$U$1001,0),0), INDEX($AB$1004:$AQ$1004,1,MATCH(COLUMNS($AB$1006:AC1006),$AB$1006:$AQ$1006,0)))),"Fix")))</f>
        <v>0</v>
      </c>
      <c r="D752" s="5">
        <f>IF(OR(INDEX($V$2:$V$1001,MATCH(ROWS($U$2:U752),$U$2:$U$1001,0),1)&gt;=100000,INDEX($AB$1005:$AQ$1005,1,MATCH(COLUMNS($AB$1006:AD1006),$AB$1006:$AQ$1006,0))&gt;=100000), " ",IF(INDEX($AB$2:$AQ$1001,MATCH(ROWS($U$2:U752),$U$2:$U$1001,0),MATCH(COLUMNS($AB$1006:AD1006),$AB$1006:$AQ$1006,0)), HYPERLINK("#",""), HYPERLINK(CONCATENATE("#Metadata!", ADDRESS(INDEX($W$2:$W$1001,MATCH(ROWS($U$2:U752),$U$2:$U$1001,0),0), INDEX($AB$1004:$AQ$1004,1,MATCH(COLUMNS($AB$1006:AD1006),$AB$1006:$AQ$1006,0)))),"Fix")))</f>
        <v>0</v>
      </c>
      <c r="E752" s="5">
        <f>IF(OR(INDEX($V$2:$V$1001,MATCH(ROWS($U$2:U752),$U$2:$U$1001,0),1)&gt;=100000,INDEX($AB$1005:$AQ$1005,1,MATCH(COLUMNS($AB$1006:AE1006),$AB$1006:$AQ$1006,0))&gt;=100000), " ",IF(INDEX($AB$2:$AQ$1001,MATCH(ROWS($U$2:U752),$U$2:$U$1001,0),MATCH(COLUMNS($AB$1006:AE1006),$AB$1006:$AQ$1006,0)), HYPERLINK("#",""), HYPERLINK(CONCATENATE("#Metadata!", ADDRESS(INDEX($W$2:$W$1001,MATCH(ROWS($U$2:U752),$U$2:$U$1001,0),0), INDEX($AB$1004:$AQ$1004,1,MATCH(COLUMNS($AB$1006:AE1006),$AB$1006:$AQ$1006,0)))),"Fix")))</f>
        <v>0</v>
      </c>
      <c r="F752" s="5">
        <f>IF(OR(INDEX($V$2:$V$1001,MATCH(ROWS($U$2:U752),$U$2:$U$1001,0),1)&gt;=100000,INDEX($AB$1005:$AQ$1005,1,MATCH(COLUMNS($AB$1006:AF1006),$AB$1006:$AQ$1006,0))&gt;=100000), " ",IF(INDEX($AB$2:$AQ$1001,MATCH(ROWS($U$2:U752),$U$2:$U$1001,0),MATCH(COLUMNS($AB$1006:AF1006),$AB$1006:$AQ$1006,0)), HYPERLINK("#",""), HYPERLINK(CONCATENATE("#Metadata!", ADDRESS(INDEX($W$2:$W$1001,MATCH(ROWS($U$2:U752),$U$2:$U$1001,0),0), INDEX($AB$1004:$AQ$1004,1,MATCH(COLUMNS($AB$1006:AF1006),$AB$1006:$AQ$1006,0)))),"Fix")))</f>
        <v>0</v>
      </c>
      <c r="G752" s="5">
        <f>IF(OR(INDEX($V$2:$V$1001,MATCH(ROWS($U$2:U752),$U$2:$U$1001,0),1)&gt;=100000,INDEX($AB$1005:$AQ$1005,1,MATCH(COLUMNS($AB$1006:AG1006),$AB$1006:$AQ$1006,0))&gt;=100000), " ",IF(INDEX($AB$2:$AQ$1001,MATCH(ROWS($U$2:U752),$U$2:$U$1001,0),MATCH(COLUMNS($AB$1006:AG1006),$AB$1006:$AQ$1006,0)), HYPERLINK("#",""), HYPERLINK(CONCATENATE("#Metadata!", ADDRESS(INDEX($W$2:$W$1001,MATCH(ROWS($U$2:U752),$U$2:$U$1001,0),0), INDEX($AB$1004:$AQ$1004,1,MATCH(COLUMNS($AB$1006:AG1006),$AB$1006:$AQ$1006,0)))),"Fix")))</f>
        <v>0</v>
      </c>
      <c r="H752" s="5">
        <f>IF(OR(INDEX($V$2:$V$1001,MATCH(ROWS($U$2:U752),$U$2:$U$1001,0),1)&gt;=100000,INDEX($AB$1005:$AQ$1005,1,MATCH(COLUMNS($AB$1006:AH1006),$AB$1006:$AQ$1006,0))&gt;=100000), " ",IF(INDEX($AB$2:$AQ$1001,MATCH(ROWS($U$2:U752),$U$2:$U$1001,0),MATCH(COLUMNS($AB$1006:AH1006),$AB$1006:$AQ$1006,0)), HYPERLINK("#",""), HYPERLINK(CONCATENATE("#Metadata!", ADDRESS(INDEX($W$2:$W$1001,MATCH(ROWS($U$2:U752),$U$2:$U$1001,0),0), INDEX($AB$1004:$AQ$1004,1,MATCH(COLUMNS($AB$1006:AH1006),$AB$1006:$AQ$1006,0)))),"Fix")))</f>
        <v>0</v>
      </c>
      <c r="I752" s="5">
        <f>IF(OR(INDEX($V$2:$V$1001,MATCH(ROWS($U$2:U752),$U$2:$U$1001,0),1)&gt;=100000,INDEX($AB$1005:$AQ$1005,1,MATCH(COLUMNS($AB$1006:AI1006),$AB$1006:$AQ$1006,0))&gt;=100000), " ",IF(INDEX($AB$2:$AQ$1001,MATCH(ROWS($U$2:U752),$U$2:$U$1001,0),MATCH(COLUMNS($AB$1006:AI1006),$AB$1006:$AQ$1006,0)), HYPERLINK("#",""), HYPERLINK(CONCATENATE("#Metadata!", ADDRESS(INDEX($W$2:$W$1001,MATCH(ROWS($U$2:U752),$U$2:$U$1001,0),0), INDEX($AB$1004:$AQ$1004,1,MATCH(COLUMNS($AB$1006:AI1006),$AB$1006:$AQ$1006,0)))),"Fix")))</f>
        <v>0</v>
      </c>
      <c r="J752" s="5">
        <f>IF(OR(INDEX($V$2:$V$1001,MATCH(ROWS($U$2:U752),$U$2:$U$1001,0),1)&gt;=100000,INDEX($AB$1005:$AQ$1005,1,MATCH(COLUMNS($AB$1006:AJ1006),$AB$1006:$AQ$1006,0))&gt;=100000), " ",IF(INDEX($AB$2:$AQ$1001,MATCH(ROWS($U$2:U752),$U$2:$U$1001,0),MATCH(COLUMNS($AB$1006:AJ1006),$AB$1006:$AQ$1006,0)), HYPERLINK("#",""), HYPERLINK(CONCATENATE("#Metadata!", ADDRESS(INDEX($W$2:$W$1001,MATCH(ROWS($U$2:U752),$U$2:$U$1001,0),0), INDEX($AB$1004:$AQ$1004,1,MATCH(COLUMNS($AB$1006:AJ1006),$AB$1006:$AQ$1006,0)))),"Fix")))</f>
        <v>0</v>
      </c>
      <c r="K752" s="5">
        <f>IF(OR(INDEX($V$2:$V$1001,MATCH(ROWS($U$2:U752),$U$2:$U$1001,0),1)&gt;=100000,INDEX($AB$1005:$AQ$1005,1,MATCH(COLUMNS($AB$1006:AK1006),$AB$1006:$AQ$1006,0))&gt;=100000), " ",IF(INDEX($AB$2:$AQ$1001,MATCH(ROWS($U$2:U752),$U$2:$U$1001,0),MATCH(COLUMNS($AB$1006:AK1006),$AB$1006:$AQ$1006,0)), HYPERLINK("#",""), HYPERLINK(CONCATENATE("#Metadata!", ADDRESS(INDEX($W$2:$W$1001,MATCH(ROWS($U$2:U752),$U$2:$U$1001,0),0), INDEX($AB$1004:$AQ$1004,1,MATCH(COLUMNS($AB$1006:AK1006),$AB$1006:$AQ$1006,0)))),"Fix")))</f>
        <v>0</v>
      </c>
      <c r="L752" s="5">
        <f>IF(OR(INDEX($V$2:$V$1001,MATCH(ROWS($U$2:U752),$U$2:$U$1001,0),1)&gt;=100000,INDEX($AB$1005:$AQ$1005,1,MATCH(COLUMNS($AB$1006:AL1006),$AB$1006:$AQ$1006,0))&gt;=100000), " ",IF(INDEX($AB$2:$AQ$1001,MATCH(ROWS($U$2:U752),$U$2:$U$1001,0),MATCH(COLUMNS($AB$1006:AL1006),$AB$1006:$AQ$1006,0)), HYPERLINK("#",""), HYPERLINK(CONCATENATE("#Metadata!", ADDRESS(INDEX($W$2:$W$1001,MATCH(ROWS($U$2:U752),$U$2:$U$1001,0),0), INDEX($AB$1004:$AQ$1004,1,MATCH(COLUMNS($AB$1006:AL1006),$AB$1006:$AQ$1006,0)))),"Fix")))</f>
        <v>0</v>
      </c>
      <c r="M752" s="5">
        <f>IF(OR(INDEX($V$2:$V$1001,MATCH(ROWS($U$2:U752),$U$2:$U$1001,0),1)&gt;=100000,INDEX($AB$1005:$AQ$1005,1,MATCH(COLUMNS($AB$1006:AM1006),$AB$1006:$AQ$1006,0))&gt;=100000), " ",IF(INDEX($AB$2:$AQ$1001,MATCH(ROWS($U$2:U752),$U$2:$U$1001,0),MATCH(COLUMNS($AB$1006:AM1006),$AB$1006:$AQ$1006,0)), HYPERLINK("#",""), HYPERLINK(CONCATENATE("#Metadata!", ADDRESS(INDEX($W$2:$W$1001,MATCH(ROWS($U$2:U752),$U$2:$U$1001,0),0), INDEX($AB$1004:$AQ$1004,1,MATCH(COLUMNS($AB$1006:AM1006),$AB$1006:$AQ$1006,0)))),"Fix")))</f>
        <v>0</v>
      </c>
      <c r="N752" s="5">
        <f>IF(OR(INDEX($V$2:$V$1001,MATCH(ROWS($U$2:U752),$U$2:$U$1001,0),1)&gt;=100000,INDEX($AB$1005:$AQ$1005,1,MATCH(COLUMNS($AB$1006:AN1006),$AB$1006:$AQ$1006,0))&gt;=100000), " ",IF(INDEX($AB$2:$AQ$1001,MATCH(ROWS($U$2:U752),$U$2:$U$1001,0),MATCH(COLUMNS($AB$1006:AN1006),$AB$1006:$AQ$1006,0)), HYPERLINK("#",""), HYPERLINK(CONCATENATE("#Metadata!", ADDRESS(INDEX($W$2:$W$1001,MATCH(ROWS($U$2:U752),$U$2:$U$1001,0),0), INDEX($AB$1004:$AQ$1004,1,MATCH(COLUMNS($AB$1006:AN1006),$AB$1006:$AQ$1006,0)))),"Fix")))</f>
        <v>0</v>
      </c>
      <c r="O752" s="5">
        <f>IF(OR(INDEX($V$2:$V$1001,MATCH(ROWS($U$2:U752),$U$2:$U$1001,0),1)&gt;=100000,INDEX($AB$1005:$AQ$1005,1,MATCH(COLUMNS($AB$1006:AO1006),$AB$1006:$AQ$1006,0))&gt;=100000), " ",IF(INDEX($AB$2:$AQ$1001,MATCH(ROWS($U$2:U752),$U$2:$U$1001,0),MATCH(COLUMNS($AB$1006:AO1006),$AB$1006:$AQ$1006,0)), HYPERLINK("#",""), HYPERLINK(CONCATENATE("#Metadata!", ADDRESS(INDEX($W$2:$W$1001,MATCH(ROWS($U$2:U752),$U$2:$U$1001,0),0), INDEX($AB$1004:$AQ$1004,1,MATCH(COLUMNS($AB$1006:AO1006),$AB$1006:$AQ$1006,0)))),"Fix")))</f>
        <v>0</v>
      </c>
      <c r="P752" s="5">
        <f>IF(OR(INDEX($V$2:$V$1001,MATCH(ROWS($U$2:U752),$U$2:$U$1001,0),1)&gt;=100000,INDEX($AB$1005:$AQ$1005,1,MATCH(COLUMNS($AB$1006:AP1006),$AB$1006:$AQ$1006,0))&gt;=100000), " ",IF(INDEX($AB$2:$AQ$1001,MATCH(ROWS($U$2:U752),$U$2:$U$1001,0),MATCH(COLUMNS($AB$1006:AP1006),$AB$1006:$AQ$1006,0)), HYPERLINK("#",""), HYPERLINK(CONCATENATE("#Metadata!", ADDRESS(INDEX($W$2:$W$1001,MATCH(ROWS($U$2:U752),$U$2:$U$1001,0),0), INDEX($AB$1004:$AQ$1004,1,MATCH(COLUMNS($AB$1006:AP1006),$AB$1006:$AQ$1006,0)))),"Fix")))</f>
        <v>0</v>
      </c>
      <c r="Q752" s="5">
        <f>IF(OR(INDEX($V$2:$V$1001,MATCH(ROWS($U$2:U752),$U$2:$U$1001,0),1)&gt;=100000,INDEX($AB$1005:$AQ$1005,1,MATCH(COLUMNS($AB$1006:AQ1006),$AB$1006:$AQ$1006,0))&gt;=100000), " ",IF(INDEX($AB$2:$AQ$1001,MATCH(ROWS($U$2:U752),$U$2:$U$1001,0),MATCH(COLUMNS($AB$1006:AQ1006),$AB$1006:$AQ$1006,0)), HYPERLINK("#",""), HYPERLINK(CONCATENATE("#Metadata!", ADDRESS(INDEX($W$2:$W$1001,MATCH(ROWS($U$2:U752),$U$2:$U$1001,0),0), INDEX($AB$1004:$AQ$1004,1,MATCH(COLUMNS($AB$1006:AQ1006),$AB$1006:$AQ$1006,0)))),"Fix")))</f>
        <v>0</v>
      </c>
      <c r="U752">
        <v>0</v>
      </c>
      <c r="V752">
        <v>0</v>
      </c>
      <c r="W752">
        <v>0</v>
      </c>
      <c r="X752">
        <f>IF(Y752,TRUE,AND(AB752:AQ752))</f>
        <v>0</v>
      </c>
      <c r="Y752">
        <f>COUNTBLANK(Metadata!B752:Q752)=COLUMNS(Metadata!B752:Q752)</f>
        <v>0</v>
      </c>
      <c r="Z752">
        <v>0</v>
      </c>
      <c r="AB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AC752">
        <f>AND(IF(Metadata!C752="",FALSE,TRUE),exact(Metadata!C752,"urban biome"))</f>
        <v>0</v>
      </c>
      <c r="AD752">
        <f>AND(IF(Metadata!D752="",FALSE,TRUE),exact(Metadata!D752,"human-associated habitat"))</f>
        <v>0</v>
      </c>
      <c r="AE752">
        <f>AND(IF(Metadata!E752="",FALSE,TRUE),OR(exact(Metadata!E752,"human-associated"),exact(Metadata!E752,"human-skin"),exact(Metadata!E752,"human-oral"),exact(Metadata!E752,"human-gut"),exact(Metadata!E752,"human-vaginal")))</f>
        <v>0</v>
      </c>
      <c r="AF752">
        <f>AND(IF(Metadata!F752="",FALSE,ISNUMBER(VALUE(Metadata!F752))),Metadata!F752&gt;0)</f>
        <v>0</v>
      </c>
      <c r="AG752">
        <f>AND(IF(Metadata!G752="",FALSE,TRUE),exact(Metadata!G752,"years"))</f>
        <v>0</v>
      </c>
      <c r="AH752">
        <f>OR(AND(IF(Metadata!H752="",FALSE,TRUE),OR(exact(Metadata!H752,"not applicable"),exact(Metadata!H752,"not collected"),exact(Metadata!H752,"not provided"),exact(Metadata!H752,"restricted access"))),AND(IF(Metadata!H752="",FALSE,ISNUMBER(VALUE(Metadata!H752))),Metadata!H752&gt;0))</f>
        <v>0</v>
      </c>
      <c r="AI752">
        <f>AND(IF(Metadata!I752="",FALSE,TRUE),exact(Metadata!I752,"human"))</f>
        <v>0</v>
      </c>
      <c r="AJ752">
        <f>AND(IF(Metadata!J752="",FALSE,ISNUMBER(VALUE(Metadata!J752))),Metadata!J752&gt;0)</f>
        <v>0</v>
      </c>
      <c r="AK752">
        <f>AND(IF(Metadata!K752="",FALSE,TRUE),exact(Metadata!K752,"cm"))</f>
        <v>0</v>
      </c>
      <c r="AL752">
        <f>AND(IF(Metadata!L752="",FALSE,TRUE),exact(Metadata!L752,"Homo sapiens"))</f>
        <v>0</v>
      </c>
      <c r="AM752">
        <f>AND(IF(Metadata!M752="",FALSE,TRUE),exact(Metadata!M752,"9606"))</f>
        <v>0</v>
      </c>
      <c r="AN752">
        <f>AND(IF(Metadata!N752="",FALSE,ISNUMBER(VALUE(Metadata!N752))),Metadata!N752&gt;0)</f>
        <v>0</v>
      </c>
      <c r="AO752">
        <f>AND(IF(Metadata!O752="",FALSE,TRUE),exact(Metadata!O752,"kg"))</f>
        <v>0</v>
      </c>
      <c r="AP752">
        <f>OR(AND(IF(Metadata!P752="",FALSE,TRUE),exact(Metadata!P752,"not provided")),IF(Metadata!P752="",FALSE,TRUE))</f>
        <v>0</v>
      </c>
      <c r="AQ752">
        <f>OR(AND(IF(Metadata!Q752="",FALSE,TRUE),exact(Metadata!Q752,"not provided")),IF(Metadata!Q752="",FALSE,TRUE))</f>
        <v>0</v>
      </c>
    </row>
    <row r="753" spans="1:43">
      <c r="A753" s="4">
        <f>IF(B753=" "," ",HYPERLINK(CONCATENATE("#metadata!",ADDRESS(INDEX($W$2:$W$1001,MATCH(ROWS($U$2:U753),$U$2:$U$1001,0),0),2)),INDEX($Z$2:$Z$1001,MATCH(ROWS($U$2:U753),$U$2:$U$1001,0),0)))</f>
        <v>0</v>
      </c>
      <c r="B753" s="5">
        <f>IF(OR(INDEX($V$2:$V$1001,MATCH(ROWS($U$2:U753),$U$2:$U$1001,0),1)&gt;=100000,INDEX($AB$1005:$AQ$1005,1,MATCH(COLUMNS($AB$1006:AB1006),$AB$1006:$AQ$1006,0))&gt;=100000), " ",IF(INDEX($AB$2:$AQ$1001,MATCH(ROWS($U$2:U753),$U$2:$U$1001,0),MATCH(COLUMNS($AB$1006:AB1006),$AB$1006:$AQ$1006,0)), HYPERLINK("#",""), HYPERLINK(CONCATENATE("#Metadata!", ADDRESS(INDEX($W$2:$W$1001,MATCH(ROWS($U$2:U753),$U$2:$U$1001,0),0), INDEX($AB$1004:$AQ$1004,1,MATCH(COLUMNS($AB$1006:AB1006),$AB$1006:$AQ$1006,0)))),"Fix")))</f>
        <v>0</v>
      </c>
      <c r="C753" s="5">
        <f>IF(OR(INDEX($V$2:$V$1001,MATCH(ROWS($U$2:U753),$U$2:$U$1001,0),1)&gt;=100000,INDEX($AB$1005:$AQ$1005,1,MATCH(COLUMNS($AB$1006:AC1006),$AB$1006:$AQ$1006,0))&gt;=100000), " ",IF(INDEX($AB$2:$AQ$1001,MATCH(ROWS($U$2:U753),$U$2:$U$1001,0),MATCH(COLUMNS($AB$1006:AC1006),$AB$1006:$AQ$1006,0)), HYPERLINK("#",""), HYPERLINK(CONCATENATE("#Metadata!", ADDRESS(INDEX($W$2:$W$1001,MATCH(ROWS($U$2:U753),$U$2:$U$1001,0),0), INDEX($AB$1004:$AQ$1004,1,MATCH(COLUMNS($AB$1006:AC1006),$AB$1006:$AQ$1006,0)))),"Fix")))</f>
        <v>0</v>
      </c>
      <c r="D753" s="5">
        <f>IF(OR(INDEX($V$2:$V$1001,MATCH(ROWS($U$2:U753),$U$2:$U$1001,0),1)&gt;=100000,INDEX($AB$1005:$AQ$1005,1,MATCH(COLUMNS($AB$1006:AD1006),$AB$1006:$AQ$1006,0))&gt;=100000), " ",IF(INDEX($AB$2:$AQ$1001,MATCH(ROWS($U$2:U753),$U$2:$U$1001,0),MATCH(COLUMNS($AB$1006:AD1006),$AB$1006:$AQ$1006,0)), HYPERLINK("#",""), HYPERLINK(CONCATENATE("#Metadata!", ADDRESS(INDEX($W$2:$W$1001,MATCH(ROWS($U$2:U753),$U$2:$U$1001,0),0), INDEX($AB$1004:$AQ$1004,1,MATCH(COLUMNS($AB$1006:AD1006),$AB$1006:$AQ$1006,0)))),"Fix")))</f>
        <v>0</v>
      </c>
      <c r="E753" s="5">
        <f>IF(OR(INDEX($V$2:$V$1001,MATCH(ROWS($U$2:U753),$U$2:$U$1001,0),1)&gt;=100000,INDEX($AB$1005:$AQ$1005,1,MATCH(COLUMNS($AB$1006:AE1006),$AB$1006:$AQ$1006,0))&gt;=100000), " ",IF(INDEX($AB$2:$AQ$1001,MATCH(ROWS($U$2:U753),$U$2:$U$1001,0),MATCH(COLUMNS($AB$1006:AE1006),$AB$1006:$AQ$1006,0)), HYPERLINK("#",""), HYPERLINK(CONCATENATE("#Metadata!", ADDRESS(INDEX($W$2:$W$1001,MATCH(ROWS($U$2:U753),$U$2:$U$1001,0),0), INDEX($AB$1004:$AQ$1004,1,MATCH(COLUMNS($AB$1006:AE1006),$AB$1006:$AQ$1006,0)))),"Fix")))</f>
        <v>0</v>
      </c>
      <c r="F753" s="5">
        <f>IF(OR(INDEX($V$2:$V$1001,MATCH(ROWS($U$2:U753),$U$2:$U$1001,0),1)&gt;=100000,INDEX($AB$1005:$AQ$1005,1,MATCH(COLUMNS($AB$1006:AF1006),$AB$1006:$AQ$1006,0))&gt;=100000), " ",IF(INDEX($AB$2:$AQ$1001,MATCH(ROWS($U$2:U753),$U$2:$U$1001,0),MATCH(COLUMNS($AB$1006:AF1006),$AB$1006:$AQ$1006,0)), HYPERLINK("#",""), HYPERLINK(CONCATENATE("#Metadata!", ADDRESS(INDEX($W$2:$W$1001,MATCH(ROWS($U$2:U753),$U$2:$U$1001,0),0), INDEX($AB$1004:$AQ$1004,1,MATCH(COLUMNS($AB$1006:AF1006),$AB$1006:$AQ$1006,0)))),"Fix")))</f>
        <v>0</v>
      </c>
      <c r="G753" s="5">
        <f>IF(OR(INDEX($V$2:$V$1001,MATCH(ROWS($U$2:U753),$U$2:$U$1001,0),1)&gt;=100000,INDEX($AB$1005:$AQ$1005,1,MATCH(COLUMNS($AB$1006:AG1006),$AB$1006:$AQ$1006,0))&gt;=100000), " ",IF(INDEX($AB$2:$AQ$1001,MATCH(ROWS($U$2:U753),$U$2:$U$1001,0),MATCH(COLUMNS($AB$1006:AG1006),$AB$1006:$AQ$1006,0)), HYPERLINK("#",""), HYPERLINK(CONCATENATE("#Metadata!", ADDRESS(INDEX($W$2:$W$1001,MATCH(ROWS($U$2:U753),$U$2:$U$1001,0),0), INDEX($AB$1004:$AQ$1004,1,MATCH(COLUMNS($AB$1006:AG1006),$AB$1006:$AQ$1006,0)))),"Fix")))</f>
        <v>0</v>
      </c>
      <c r="H753" s="5">
        <f>IF(OR(INDEX($V$2:$V$1001,MATCH(ROWS($U$2:U753),$U$2:$U$1001,0),1)&gt;=100000,INDEX($AB$1005:$AQ$1005,1,MATCH(COLUMNS($AB$1006:AH1006),$AB$1006:$AQ$1006,0))&gt;=100000), " ",IF(INDEX($AB$2:$AQ$1001,MATCH(ROWS($U$2:U753),$U$2:$U$1001,0),MATCH(COLUMNS($AB$1006:AH1006),$AB$1006:$AQ$1006,0)), HYPERLINK("#",""), HYPERLINK(CONCATENATE("#Metadata!", ADDRESS(INDEX($W$2:$W$1001,MATCH(ROWS($U$2:U753),$U$2:$U$1001,0),0), INDEX($AB$1004:$AQ$1004,1,MATCH(COLUMNS($AB$1006:AH1006),$AB$1006:$AQ$1006,0)))),"Fix")))</f>
        <v>0</v>
      </c>
      <c r="I753" s="5">
        <f>IF(OR(INDEX($V$2:$V$1001,MATCH(ROWS($U$2:U753),$U$2:$U$1001,0),1)&gt;=100000,INDEX($AB$1005:$AQ$1005,1,MATCH(COLUMNS($AB$1006:AI1006),$AB$1006:$AQ$1006,0))&gt;=100000), " ",IF(INDEX($AB$2:$AQ$1001,MATCH(ROWS($U$2:U753),$U$2:$U$1001,0),MATCH(COLUMNS($AB$1006:AI1006),$AB$1006:$AQ$1006,0)), HYPERLINK("#",""), HYPERLINK(CONCATENATE("#Metadata!", ADDRESS(INDEX($W$2:$W$1001,MATCH(ROWS($U$2:U753),$U$2:$U$1001,0),0), INDEX($AB$1004:$AQ$1004,1,MATCH(COLUMNS($AB$1006:AI1006),$AB$1006:$AQ$1006,0)))),"Fix")))</f>
        <v>0</v>
      </c>
      <c r="J753" s="5">
        <f>IF(OR(INDEX($V$2:$V$1001,MATCH(ROWS($U$2:U753),$U$2:$U$1001,0),1)&gt;=100000,INDEX($AB$1005:$AQ$1005,1,MATCH(COLUMNS($AB$1006:AJ1006),$AB$1006:$AQ$1006,0))&gt;=100000), " ",IF(INDEX($AB$2:$AQ$1001,MATCH(ROWS($U$2:U753),$U$2:$U$1001,0),MATCH(COLUMNS($AB$1006:AJ1006),$AB$1006:$AQ$1006,0)), HYPERLINK("#",""), HYPERLINK(CONCATENATE("#Metadata!", ADDRESS(INDEX($W$2:$W$1001,MATCH(ROWS($U$2:U753),$U$2:$U$1001,0),0), INDEX($AB$1004:$AQ$1004,1,MATCH(COLUMNS($AB$1006:AJ1006),$AB$1006:$AQ$1006,0)))),"Fix")))</f>
        <v>0</v>
      </c>
      <c r="K753" s="5">
        <f>IF(OR(INDEX($V$2:$V$1001,MATCH(ROWS($U$2:U753),$U$2:$U$1001,0),1)&gt;=100000,INDEX($AB$1005:$AQ$1005,1,MATCH(COLUMNS($AB$1006:AK1006),$AB$1006:$AQ$1006,0))&gt;=100000), " ",IF(INDEX($AB$2:$AQ$1001,MATCH(ROWS($U$2:U753),$U$2:$U$1001,0),MATCH(COLUMNS($AB$1006:AK1006),$AB$1006:$AQ$1006,0)), HYPERLINK("#",""), HYPERLINK(CONCATENATE("#Metadata!", ADDRESS(INDEX($W$2:$W$1001,MATCH(ROWS($U$2:U753),$U$2:$U$1001,0),0), INDEX($AB$1004:$AQ$1004,1,MATCH(COLUMNS($AB$1006:AK1006),$AB$1006:$AQ$1006,0)))),"Fix")))</f>
        <v>0</v>
      </c>
      <c r="L753" s="5">
        <f>IF(OR(INDEX($V$2:$V$1001,MATCH(ROWS($U$2:U753),$U$2:$U$1001,0),1)&gt;=100000,INDEX($AB$1005:$AQ$1005,1,MATCH(COLUMNS($AB$1006:AL1006),$AB$1006:$AQ$1006,0))&gt;=100000), " ",IF(INDEX($AB$2:$AQ$1001,MATCH(ROWS($U$2:U753),$U$2:$U$1001,0),MATCH(COLUMNS($AB$1006:AL1006),$AB$1006:$AQ$1006,0)), HYPERLINK("#",""), HYPERLINK(CONCATENATE("#Metadata!", ADDRESS(INDEX($W$2:$W$1001,MATCH(ROWS($U$2:U753),$U$2:$U$1001,0),0), INDEX($AB$1004:$AQ$1004,1,MATCH(COLUMNS($AB$1006:AL1006),$AB$1006:$AQ$1006,0)))),"Fix")))</f>
        <v>0</v>
      </c>
      <c r="M753" s="5">
        <f>IF(OR(INDEX($V$2:$V$1001,MATCH(ROWS($U$2:U753),$U$2:$U$1001,0),1)&gt;=100000,INDEX($AB$1005:$AQ$1005,1,MATCH(COLUMNS($AB$1006:AM1006),$AB$1006:$AQ$1006,0))&gt;=100000), " ",IF(INDEX($AB$2:$AQ$1001,MATCH(ROWS($U$2:U753),$U$2:$U$1001,0),MATCH(COLUMNS($AB$1006:AM1006),$AB$1006:$AQ$1006,0)), HYPERLINK("#",""), HYPERLINK(CONCATENATE("#Metadata!", ADDRESS(INDEX($W$2:$W$1001,MATCH(ROWS($U$2:U753),$U$2:$U$1001,0),0), INDEX($AB$1004:$AQ$1004,1,MATCH(COLUMNS($AB$1006:AM1006),$AB$1006:$AQ$1006,0)))),"Fix")))</f>
        <v>0</v>
      </c>
      <c r="N753" s="5">
        <f>IF(OR(INDEX($V$2:$V$1001,MATCH(ROWS($U$2:U753),$U$2:$U$1001,0),1)&gt;=100000,INDEX($AB$1005:$AQ$1005,1,MATCH(COLUMNS($AB$1006:AN1006),$AB$1006:$AQ$1006,0))&gt;=100000), " ",IF(INDEX($AB$2:$AQ$1001,MATCH(ROWS($U$2:U753),$U$2:$U$1001,0),MATCH(COLUMNS($AB$1006:AN1006),$AB$1006:$AQ$1006,0)), HYPERLINK("#",""), HYPERLINK(CONCATENATE("#Metadata!", ADDRESS(INDEX($W$2:$W$1001,MATCH(ROWS($U$2:U753),$U$2:$U$1001,0),0), INDEX($AB$1004:$AQ$1004,1,MATCH(COLUMNS($AB$1006:AN1006),$AB$1006:$AQ$1006,0)))),"Fix")))</f>
        <v>0</v>
      </c>
      <c r="O753" s="5">
        <f>IF(OR(INDEX($V$2:$V$1001,MATCH(ROWS($U$2:U753),$U$2:$U$1001,0),1)&gt;=100000,INDEX($AB$1005:$AQ$1005,1,MATCH(COLUMNS($AB$1006:AO1006),$AB$1006:$AQ$1006,0))&gt;=100000), " ",IF(INDEX($AB$2:$AQ$1001,MATCH(ROWS($U$2:U753),$U$2:$U$1001,0),MATCH(COLUMNS($AB$1006:AO1006),$AB$1006:$AQ$1006,0)), HYPERLINK("#",""), HYPERLINK(CONCATENATE("#Metadata!", ADDRESS(INDEX($W$2:$W$1001,MATCH(ROWS($U$2:U753),$U$2:$U$1001,0),0), INDEX($AB$1004:$AQ$1004,1,MATCH(COLUMNS($AB$1006:AO1006),$AB$1006:$AQ$1006,0)))),"Fix")))</f>
        <v>0</v>
      </c>
      <c r="P753" s="5">
        <f>IF(OR(INDEX($V$2:$V$1001,MATCH(ROWS($U$2:U753),$U$2:$U$1001,0),1)&gt;=100000,INDEX($AB$1005:$AQ$1005,1,MATCH(COLUMNS($AB$1006:AP1006),$AB$1006:$AQ$1006,0))&gt;=100000), " ",IF(INDEX($AB$2:$AQ$1001,MATCH(ROWS($U$2:U753),$U$2:$U$1001,0),MATCH(COLUMNS($AB$1006:AP1006),$AB$1006:$AQ$1006,0)), HYPERLINK("#",""), HYPERLINK(CONCATENATE("#Metadata!", ADDRESS(INDEX($W$2:$W$1001,MATCH(ROWS($U$2:U753),$U$2:$U$1001,0),0), INDEX($AB$1004:$AQ$1004,1,MATCH(COLUMNS($AB$1006:AP1006),$AB$1006:$AQ$1006,0)))),"Fix")))</f>
        <v>0</v>
      </c>
      <c r="Q753" s="5">
        <f>IF(OR(INDEX($V$2:$V$1001,MATCH(ROWS($U$2:U753),$U$2:$U$1001,0),1)&gt;=100000,INDEX($AB$1005:$AQ$1005,1,MATCH(COLUMNS($AB$1006:AQ1006),$AB$1006:$AQ$1006,0))&gt;=100000), " ",IF(INDEX($AB$2:$AQ$1001,MATCH(ROWS($U$2:U753),$U$2:$U$1001,0),MATCH(COLUMNS($AB$1006:AQ1006),$AB$1006:$AQ$1006,0)), HYPERLINK("#",""), HYPERLINK(CONCATENATE("#Metadata!", ADDRESS(INDEX($W$2:$W$1001,MATCH(ROWS($U$2:U753),$U$2:$U$1001,0),0), INDEX($AB$1004:$AQ$1004,1,MATCH(COLUMNS($AB$1006:AQ1006),$AB$1006:$AQ$1006,0)))),"Fix")))</f>
        <v>0</v>
      </c>
      <c r="U753">
        <v>0</v>
      </c>
      <c r="V753">
        <v>0</v>
      </c>
      <c r="W753">
        <v>0</v>
      </c>
      <c r="X753">
        <f>IF(Y753,TRUE,AND(AB753:AQ753))</f>
        <v>0</v>
      </c>
      <c r="Y753">
        <f>COUNTBLANK(Metadata!B753:Q753)=COLUMNS(Metadata!B753:Q753)</f>
        <v>0</v>
      </c>
      <c r="Z753">
        <v>0</v>
      </c>
      <c r="AB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AC753">
        <f>AND(IF(Metadata!C753="",FALSE,TRUE),exact(Metadata!C753,"urban biome"))</f>
        <v>0</v>
      </c>
      <c r="AD753">
        <f>AND(IF(Metadata!D753="",FALSE,TRUE),exact(Metadata!D753,"human-associated habitat"))</f>
        <v>0</v>
      </c>
      <c r="AE753">
        <f>AND(IF(Metadata!E753="",FALSE,TRUE),OR(exact(Metadata!E753,"human-associated"),exact(Metadata!E753,"human-skin"),exact(Metadata!E753,"human-oral"),exact(Metadata!E753,"human-gut"),exact(Metadata!E753,"human-vaginal")))</f>
        <v>0</v>
      </c>
      <c r="AF753">
        <f>AND(IF(Metadata!F753="",FALSE,ISNUMBER(VALUE(Metadata!F753))),Metadata!F753&gt;0)</f>
        <v>0</v>
      </c>
      <c r="AG753">
        <f>AND(IF(Metadata!G753="",FALSE,TRUE),exact(Metadata!G753,"years"))</f>
        <v>0</v>
      </c>
      <c r="AH753">
        <f>OR(AND(IF(Metadata!H753="",FALSE,TRUE),OR(exact(Metadata!H753,"not applicable"),exact(Metadata!H753,"not collected"),exact(Metadata!H753,"not provided"),exact(Metadata!H753,"restricted access"))),AND(IF(Metadata!H753="",FALSE,ISNUMBER(VALUE(Metadata!H753))),Metadata!H753&gt;0))</f>
        <v>0</v>
      </c>
      <c r="AI753">
        <f>AND(IF(Metadata!I753="",FALSE,TRUE),exact(Metadata!I753,"human"))</f>
        <v>0</v>
      </c>
      <c r="AJ753">
        <f>AND(IF(Metadata!J753="",FALSE,ISNUMBER(VALUE(Metadata!J753))),Metadata!J753&gt;0)</f>
        <v>0</v>
      </c>
      <c r="AK753">
        <f>AND(IF(Metadata!K753="",FALSE,TRUE),exact(Metadata!K753,"cm"))</f>
        <v>0</v>
      </c>
      <c r="AL753">
        <f>AND(IF(Metadata!L753="",FALSE,TRUE),exact(Metadata!L753,"Homo sapiens"))</f>
        <v>0</v>
      </c>
      <c r="AM753">
        <f>AND(IF(Metadata!M753="",FALSE,TRUE),exact(Metadata!M753,"9606"))</f>
        <v>0</v>
      </c>
      <c r="AN753">
        <f>AND(IF(Metadata!N753="",FALSE,ISNUMBER(VALUE(Metadata!N753))),Metadata!N753&gt;0)</f>
        <v>0</v>
      </c>
      <c r="AO753">
        <f>AND(IF(Metadata!O753="",FALSE,TRUE),exact(Metadata!O753,"kg"))</f>
        <v>0</v>
      </c>
      <c r="AP753">
        <f>OR(AND(IF(Metadata!P753="",FALSE,TRUE),exact(Metadata!P753,"not provided")),IF(Metadata!P753="",FALSE,TRUE))</f>
        <v>0</v>
      </c>
      <c r="AQ753">
        <f>OR(AND(IF(Metadata!Q753="",FALSE,TRUE),exact(Metadata!Q753,"not provided")),IF(Metadata!Q753="",FALSE,TRUE))</f>
        <v>0</v>
      </c>
    </row>
    <row r="754" spans="1:43">
      <c r="A754" s="4">
        <f>IF(B754=" "," ",HYPERLINK(CONCATENATE("#metadata!",ADDRESS(INDEX($W$2:$W$1001,MATCH(ROWS($U$2:U754),$U$2:$U$1001,0),0),2)),INDEX($Z$2:$Z$1001,MATCH(ROWS($U$2:U754),$U$2:$U$1001,0),0)))</f>
        <v>0</v>
      </c>
      <c r="B754" s="5">
        <f>IF(OR(INDEX($V$2:$V$1001,MATCH(ROWS($U$2:U754),$U$2:$U$1001,0),1)&gt;=100000,INDEX($AB$1005:$AQ$1005,1,MATCH(COLUMNS($AB$1006:AB1006),$AB$1006:$AQ$1006,0))&gt;=100000), " ",IF(INDEX($AB$2:$AQ$1001,MATCH(ROWS($U$2:U754),$U$2:$U$1001,0),MATCH(COLUMNS($AB$1006:AB1006),$AB$1006:$AQ$1006,0)), HYPERLINK("#",""), HYPERLINK(CONCATENATE("#Metadata!", ADDRESS(INDEX($W$2:$W$1001,MATCH(ROWS($U$2:U754),$U$2:$U$1001,0),0), INDEX($AB$1004:$AQ$1004,1,MATCH(COLUMNS($AB$1006:AB1006),$AB$1006:$AQ$1006,0)))),"Fix")))</f>
        <v>0</v>
      </c>
      <c r="C754" s="5">
        <f>IF(OR(INDEX($V$2:$V$1001,MATCH(ROWS($U$2:U754),$U$2:$U$1001,0),1)&gt;=100000,INDEX($AB$1005:$AQ$1005,1,MATCH(COLUMNS($AB$1006:AC1006),$AB$1006:$AQ$1006,0))&gt;=100000), " ",IF(INDEX($AB$2:$AQ$1001,MATCH(ROWS($U$2:U754),$U$2:$U$1001,0),MATCH(COLUMNS($AB$1006:AC1006),$AB$1006:$AQ$1006,0)), HYPERLINK("#",""), HYPERLINK(CONCATENATE("#Metadata!", ADDRESS(INDEX($W$2:$W$1001,MATCH(ROWS($U$2:U754),$U$2:$U$1001,0),0), INDEX($AB$1004:$AQ$1004,1,MATCH(COLUMNS($AB$1006:AC1006),$AB$1006:$AQ$1006,0)))),"Fix")))</f>
        <v>0</v>
      </c>
      <c r="D754" s="5">
        <f>IF(OR(INDEX($V$2:$V$1001,MATCH(ROWS($U$2:U754),$U$2:$U$1001,0),1)&gt;=100000,INDEX($AB$1005:$AQ$1005,1,MATCH(COLUMNS($AB$1006:AD1006),$AB$1006:$AQ$1006,0))&gt;=100000), " ",IF(INDEX($AB$2:$AQ$1001,MATCH(ROWS($U$2:U754),$U$2:$U$1001,0),MATCH(COLUMNS($AB$1006:AD1006),$AB$1006:$AQ$1006,0)), HYPERLINK("#",""), HYPERLINK(CONCATENATE("#Metadata!", ADDRESS(INDEX($W$2:$W$1001,MATCH(ROWS($U$2:U754),$U$2:$U$1001,0),0), INDEX($AB$1004:$AQ$1004,1,MATCH(COLUMNS($AB$1006:AD1006),$AB$1006:$AQ$1006,0)))),"Fix")))</f>
        <v>0</v>
      </c>
      <c r="E754" s="5">
        <f>IF(OR(INDEX($V$2:$V$1001,MATCH(ROWS($U$2:U754),$U$2:$U$1001,0),1)&gt;=100000,INDEX($AB$1005:$AQ$1005,1,MATCH(COLUMNS($AB$1006:AE1006),$AB$1006:$AQ$1006,0))&gt;=100000), " ",IF(INDEX($AB$2:$AQ$1001,MATCH(ROWS($U$2:U754),$U$2:$U$1001,0),MATCH(COLUMNS($AB$1006:AE1006),$AB$1006:$AQ$1006,0)), HYPERLINK("#",""), HYPERLINK(CONCATENATE("#Metadata!", ADDRESS(INDEX($W$2:$W$1001,MATCH(ROWS($U$2:U754),$U$2:$U$1001,0),0), INDEX($AB$1004:$AQ$1004,1,MATCH(COLUMNS($AB$1006:AE1006),$AB$1006:$AQ$1006,0)))),"Fix")))</f>
        <v>0</v>
      </c>
      <c r="F754" s="5">
        <f>IF(OR(INDEX($V$2:$V$1001,MATCH(ROWS($U$2:U754),$U$2:$U$1001,0),1)&gt;=100000,INDEX($AB$1005:$AQ$1005,1,MATCH(COLUMNS($AB$1006:AF1006),$AB$1006:$AQ$1006,0))&gt;=100000), " ",IF(INDEX($AB$2:$AQ$1001,MATCH(ROWS($U$2:U754),$U$2:$U$1001,0),MATCH(COLUMNS($AB$1006:AF1006),$AB$1006:$AQ$1006,0)), HYPERLINK("#",""), HYPERLINK(CONCATENATE("#Metadata!", ADDRESS(INDEX($W$2:$W$1001,MATCH(ROWS($U$2:U754),$U$2:$U$1001,0),0), INDEX($AB$1004:$AQ$1004,1,MATCH(COLUMNS($AB$1006:AF1006),$AB$1006:$AQ$1006,0)))),"Fix")))</f>
        <v>0</v>
      </c>
      <c r="G754" s="5">
        <f>IF(OR(INDEX($V$2:$V$1001,MATCH(ROWS($U$2:U754),$U$2:$U$1001,0),1)&gt;=100000,INDEX($AB$1005:$AQ$1005,1,MATCH(COLUMNS($AB$1006:AG1006),$AB$1006:$AQ$1006,0))&gt;=100000), " ",IF(INDEX($AB$2:$AQ$1001,MATCH(ROWS($U$2:U754),$U$2:$U$1001,0),MATCH(COLUMNS($AB$1006:AG1006),$AB$1006:$AQ$1006,0)), HYPERLINK("#",""), HYPERLINK(CONCATENATE("#Metadata!", ADDRESS(INDEX($W$2:$W$1001,MATCH(ROWS($U$2:U754),$U$2:$U$1001,0),0), INDEX($AB$1004:$AQ$1004,1,MATCH(COLUMNS($AB$1006:AG1006),$AB$1006:$AQ$1006,0)))),"Fix")))</f>
        <v>0</v>
      </c>
      <c r="H754" s="5">
        <f>IF(OR(INDEX($V$2:$V$1001,MATCH(ROWS($U$2:U754),$U$2:$U$1001,0),1)&gt;=100000,INDEX($AB$1005:$AQ$1005,1,MATCH(COLUMNS($AB$1006:AH1006),$AB$1006:$AQ$1006,0))&gt;=100000), " ",IF(INDEX($AB$2:$AQ$1001,MATCH(ROWS($U$2:U754),$U$2:$U$1001,0),MATCH(COLUMNS($AB$1006:AH1006),$AB$1006:$AQ$1006,0)), HYPERLINK("#",""), HYPERLINK(CONCATENATE("#Metadata!", ADDRESS(INDEX($W$2:$W$1001,MATCH(ROWS($U$2:U754),$U$2:$U$1001,0),0), INDEX($AB$1004:$AQ$1004,1,MATCH(COLUMNS($AB$1006:AH1006),$AB$1006:$AQ$1006,0)))),"Fix")))</f>
        <v>0</v>
      </c>
      <c r="I754" s="5">
        <f>IF(OR(INDEX($V$2:$V$1001,MATCH(ROWS($U$2:U754),$U$2:$U$1001,0),1)&gt;=100000,INDEX($AB$1005:$AQ$1005,1,MATCH(COLUMNS($AB$1006:AI1006),$AB$1006:$AQ$1006,0))&gt;=100000), " ",IF(INDEX($AB$2:$AQ$1001,MATCH(ROWS($U$2:U754),$U$2:$U$1001,0),MATCH(COLUMNS($AB$1006:AI1006),$AB$1006:$AQ$1006,0)), HYPERLINK("#",""), HYPERLINK(CONCATENATE("#Metadata!", ADDRESS(INDEX($W$2:$W$1001,MATCH(ROWS($U$2:U754),$U$2:$U$1001,0),0), INDEX($AB$1004:$AQ$1004,1,MATCH(COLUMNS($AB$1006:AI1006),$AB$1006:$AQ$1006,0)))),"Fix")))</f>
        <v>0</v>
      </c>
      <c r="J754" s="5">
        <f>IF(OR(INDEX($V$2:$V$1001,MATCH(ROWS($U$2:U754),$U$2:$U$1001,0),1)&gt;=100000,INDEX($AB$1005:$AQ$1005,1,MATCH(COLUMNS($AB$1006:AJ1006),$AB$1006:$AQ$1006,0))&gt;=100000), " ",IF(INDEX($AB$2:$AQ$1001,MATCH(ROWS($U$2:U754),$U$2:$U$1001,0),MATCH(COLUMNS($AB$1006:AJ1006),$AB$1006:$AQ$1006,0)), HYPERLINK("#",""), HYPERLINK(CONCATENATE("#Metadata!", ADDRESS(INDEX($W$2:$W$1001,MATCH(ROWS($U$2:U754),$U$2:$U$1001,0),0), INDEX($AB$1004:$AQ$1004,1,MATCH(COLUMNS($AB$1006:AJ1006),$AB$1006:$AQ$1006,0)))),"Fix")))</f>
        <v>0</v>
      </c>
      <c r="K754" s="5">
        <f>IF(OR(INDEX($V$2:$V$1001,MATCH(ROWS($U$2:U754),$U$2:$U$1001,0),1)&gt;=100000,INDEX($AB$1005:$AQ$1005,1,MATCH(COLUMNS($AB$1006:AK1006),$AB$1006:$AQ$1006,0))&gt;=100000), " ",IF(INDEX($AB$2:$AQ$1001,MATCH(ROWS($U$2:U754),$U$2:$U$1001,0),MATCH(COLUMNS($AB$1006:AK1006),$AB$1006:$AQ$1006,0)), HYPERLINK("#",""), HYPERLINK(CONCATENATE("#Metadata!", ADDRESS(INDEX($W$2:$W$1001,MATCH(ROWS($U$2:U754),$U$2:$U$1001,0),0), INDEX($AB$1004:$AQ$1004,1,MATCH(COLUMNS($AB$1006:AK1006),$AB$1006:$AQ$1006,0)))),"Fix")))</f>
        <v>0</v>
      </c>
      <c r="L754" s="5">
        <f>IF(OR(INDEX($V$2:$V$1001,MATCH(ROWS($U$2:U754),$U$2:$U$1001,0),1)&gt;=100000,INDEX($AB$1005:$AQ$1005,1,MATCH(COLUMNS($AB$1006:AL1006),$AB$1006:$AQ$1006,0))&gt;=100000), " ",IF(INDEX($AB$2:$AQ$1001,MATCH(ROWS($U$2:U754),$U$2:$U$1001,0),MATCH(COLUMNS($AB$1006:AL1006),$AB$1006:$AQ$1006,0)), HYPERLINK("#",""), HYPERLINK(CONCATENATE("#Metadata!", ADDRESS(INDEX($W$2:$W$1001,MATCH(ROWS($U$2:U754),$U$2:$U$1001,0),0), INDEX($AB$1004:$AQ$1004,1,MATCH(COLUMNS($AB$1006:AL1006),$AB$1006:$AQ$1006,0)))),"Fix")))</f>
        <v>0</v>
      </c>
      <c r="M754" s="5">
        <f>IF(OR(INDEX($V$2:$V$1001,MATCH(ROWS($U$2:U754),$U$2:$U$1001,0),1)&gt;=100000,INDEX($AB$1005:$AQ$1005,1,MATCH(COLUMNS($AB$1006:AM1006),$AB$1006:$AQ$1006,0))&gt;=100000), " ",IF(INDEX($AB$2:$AQ$1001,MATCH(ROWS($U$2:U754),$U$2:$U$1001,0),MATCH(COLUMNS($AB$1006:AM1006),$AB$1006:$AQ$1006,0)), HYPERLINK("#",""), HYPERLINK(CONCATENATE("#Metadata!", ADDRESS(INDEX($W$2:$W$1001,MATCH(ROWS($U$2:U754),$U$2:$U$1001,0),0), INDEX($AB$1004:$AQ$1004,1,MATCH(COLUMNS($AB$1006:AM1006),$AB$1006:$AQ$1006,0)))),"Fix")))</f>
        <v>0</v>
      </c>
      <c r="N754" s="5">
        <f>IF(OR(INDEX($V$2:$V$1001,MATCH(ROWS($U$2:U754),$U$2:$U$1001,0),1)&gt;=100000,INDEX($AB$1005:$AQ$1005,1,MATCH(COLUMNS($AB$1006:AN1006),$AB$1006:$AQ$1006,0))&gt;=100000), " ",IF(INDEX($AB$2:$AQ$1001,MATCH(ROWS($U$2:U754),$U$2:$U$1001,0),MATCH(COLUMNS($AB$1006:AN1006),$AB$1006:$AQ$1006,0)), HYPERLINK("#",""), HYPERLINK(CONCATENATE("#Metadata!", ADDRESS(INDEX($W$2:$W$1001,MATCH(ROWS($U$2:U754),$U$2:$U$1001,0),0), INDEX($AB$1004:$AQ$1004,1,MATCH(COLUMNS($AB$1006:AN1006),$AB$1006:$AQ$1006,0)))),"Fix")))</f>
        <v>0</v>
      </c>
      <c r="O754" s="5">
        <f>IF(OR(INDEX($V$2:$V$1001,MATCH(ROWS($U$2:U754),$U$2:$U$1001,0),1)&gt;=100000,INDEX($AB$1005:$AQ$1005,1,MATCH(COLUMNS($AB$1006:AO1006),$AB$1006:$AQ$1006,0))&gt;=100000), " ",IF(INDEX($AB$2:$AQ$1001,MATCH(ROWS($U$2:U754),$U$2:$U$1001,0),MATCH(COLUMNS($AB$1006:AO1006),$AB$1006:$AQ$1006,0)), HYPERLINK("#",""), HYPERLINK(CONCATENATE("#Metadata!", ADDRESS(INDEX($W$2:$W$1001,MATCH(ROWS($U$2:U754),$U$2:$U$1001,0),0), INDEX($AB$1004:$AQ$1004,1,MATCH(COLUMNS($AB$1006:AO1006),$AB$1006:$AQ$1006,0)))),"Fix")))</f>
        <v>0</v>
      </c>
      <c r="P754" s="5">
        <f>IF(OR(INDEX($V$2:$V$1001,MATCH(ROWS($U$2:U754),$U$2:$U$1001,0),1)&gt;=100000,INDEX($AB$1005:$AQ$1005,1,MATCH(COLUMNS($AB$1006:AP1006),$AB$1006:$AQ$1006,0))&gt;=100000), " ",IF(INDEX($AB$2:$AQ$1001,MATCH(ROWS($U$2:U754),$U$2:$U$1001,0),MATCH(COLUMNS($AB$1006:AP1006),$AB$1006:$AQ$1006,0)), HYPERLINK("#",""), HYPERLINK(CONCATENATE("#Metadata!", ADDRESS(INDEX($W$2:$W$1001,MATCH(ROWS($U$2:U754),$U$2:$U$1001,0),0), INDEX($AB$1004:$AQ$1004,1,MATCH(COLUMNS($AB$1006:AP1006),$AB$1006:$AQ$1006,0)))),"Fix")))</f>
        <v>0</v>
      </c>
      <c r="Q754" s="5">
        <f>IF(OR(INDEX($V$2:$V$1001,MATCH(ROWS($U$2:U754),$U$2:$U$1001,0),1)&gt;=100000,INDEX($AB$1005:$AQ$1005,1,MATCH(COLUMNS($AB$1006:AQ1006),$AB$1006:$AQ$1006,0))&gt;=100000), " ",IF(INDEX($AB$2:$AQ$1001,MATCH(ROWS($U$2:U754),$U$2:$U$1001,0),MATCH(COLUMNS($AB$1006:AQ1006),$AB$1006:$AQ$1006,0)), HYPERLINK("#",""), HYPERLINK(CONCATENATE("#Metadata!", ADDRESS(INDEX($W$2:$W$1001,MATCH(ROWS($U$2:U754),$U$2:$U$1001,0),0), INDEX($AB$1004:$AQ$1004,1,MATCH(COLUMNS($AB$1006:AQ1006),$AB$1006:$AQ$1006,0)))),"Fix")))</f>
        <v>0</v>
      </c>
      <c r="U754">
        <v>0</v>
      </c>
      <c r="V754">
        <v>0</v>
      </c>
      <c r="W754">
        <v>0</v>
      </c>
      <c r="X754">
        <f>IF(Y754,TRUE,AND(AB754:AQ754))</f>
        <v>0</v>
      </c>
      <c r="Y754">
        <f>COUNTBLANK(Metadata!B754:Q754)=COLUMNS(Metadata!B754:Q754)</f>
        <v>0</v>
      </c>
      <c r="Z754">
        <v>0</v>
      </c>
      <c r="AB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AC754">
        <f>AND(IF(Metadata!C754="",FALSE,TRUE),exact(Metadata!C754,"urban biome"))</f>
        <v>0</v>
      </c>
      <c r="AD754">
        <f>AND(IF(Metadata!D754="",FALSE,TRUE),exact(Metadata!D754,"human-associated habitat"))</f>
        <v>0</v>
      </c>
      <c r="AE754">
        <f>AND(IF(Metadata!E754="",FALSE,TRUE),OR(exact(Metadata!E754,"human-associated"),exact(Metadata!E754,"human-skin"),exact(Metadata!E754,"human-oral"),exact(Metadata!E754,"human-gut"),exact(Metadata!E754,"human-vaginal")))</f>
        <v>0</v>
      </c>
      <c r="AF754">
        <f>AND(IF(Metadata!F754="",FALSE,ISNUMBER(VALUE(Metadata!F754))),Metadata!F754&gt;0)</f>
        <v>0</v>
      </c>
      <c r="AG754">
        <f>AND(IF(Metadata!G754="",FALSE,TRUE),exact(Metadata!G754,"years"))</f>
        <v>0</v>
      </c>
      <c r="AH754">
        <f>OR(AND(IF(Metadata!H754="",FALSE,TRUE),OR(exact(Metadata!H754,"not applicable"),exact(Metadata!H754,"not collected"),exact(Metadata!H754,"not provided"),exact(Metadata!H754,"restricted access"))),AND(IF(Metadata!H754="",FALSE,ISNUMBER(VALUE(Metadata!H754))),Metadata!H754&gt;0))</f>
        <v>0</v>
      </c>
      <c r="AI754">
        <f>AND(IF(Metadata!I754="",FALSE,TRUE),exact(Metadata!I754,"human"))</f>
        <v>0</v>
      </c>
      <c r="AJ754">
        <f>AND(IF(Metadata!J754="",FALSE,ISNUMBER(VALUE(Metadata!J754))),Metadata!J754&gt;0)</f>
        <v>0</v>
      </c>
      <c r="AK754">
        <f>AND(IF(Metadata!K754="",FALSE,TRUE),exact(Metadata!K754,"cm"))</f>
        <v>0</v>
      </c>
      <c r="AL754">
        <f>AND(IF(Metadata!L754="",FALSE,TRUE),exact(Metadata!L754,"Homo sapiens"))</f>
        <v>0</v>
      </c>
      <c r="AM754">
        <f>AND(IF(Metadata!M754="",FALSE,TRUE),exact(Metadata!M754,"9606"))</f>
        <v>0</v>
      </c>
      <c r="AN754">
        <f>AND(IF(Metadata!N754="",FALSE,ISNUMBER(VALUE(Metadata!N754))),Metadata!N754&gt;0)</f>
        <v>0</v>
      </c>
      <c r="AO754">
        <f>AND(IF(Metadata!O754="",FALSE,TRUE),exact(Metadata!O754,"kg"))</f>
        <v>0</v>
      </c>
      <c r="AP754">
        <f>OR(AND(IF(Metadata!P754="",FALSE,TRUE),exact(Metadata!P754,"not provided")),IF(Metadata!P754="",FALSE,TRUE))</f>
        <v>0</v>
      </c>
      <c r="AQ754">
        <f>OR(AND(IF(Metadata!Q754="",FALSE,TRUE),exact(Metadata!Q754,"not provided")),IF(Metadata!Q754="",FALSE,TRUE))</f>
        <v>0</v>
      </c>
    </row>
    <row r="755" spans="1:43">
      <c r="A755" s="4">
        <f>IF(B755=" "," ",HYPERLINK(CONCATENATE("#metadata!",ADDRESS(INDEX($W$2:$W$1001,MATCH(ROWS($U$2:U755),$U$2:$U$1001,0),0),2)),INDEX($Z$2:$Z$1001,MATCH(ROWS($U$2:U755),$U$2:$U$1001,0),0)))</f>
        <v>0</v>
      </c>
      <c r="B755" s="5">
        <f>IF(OR(INDEX($V$2:$V$1001,MATCH(ROWS($U$2:U755),$U$2:$U$1001,0),1)&gt;=100000,INDEX($AB$1005:$AQ$1005,1,MATCH(COLUMNS($AB$1006:AB1006),$AB$1006:$AQ$1006,0))&gt;=100000), " ",IF(INDEX($AB$2:$AQ$1001,MATCH(ROWS($U$2:U755),$U$2:$U$1001,0),MATCH(COLUMNS($AB$1006:AB1006),$AB$1006:$AQ$1006,0)), HYPERLINK("#",""), HYPERLINK(CONCATENATE("#Metadata!", ADDRESS(INDEX($W$2:$W$1001,MATCH(ROWS($U$2:U755),$U$2:$U$1001,0),0), INDEX($AB$1004:$AQ$1004,1,MATCH(COLUMNS($AB$1006:AB1006),$AB$1006:$AQ$1006,0)))),"Fix")))</f>
        <v>0</v>
      </c>
      <c r="C755" s="5">
        <f>IF(OR(INDEX($V$2:$V$1001,MATCH(ROWS($U$2:U755),$U$2:$U$1001,0),1)&gt;=100000,INDEX($AB$1005:$AQ$1005,1,MATCH(COLUMNS($AB$1006:AC1006),$AB$1006:$AQ$1006,0))&gt;=100000), " ",IF(INDEX($AB$2:$AQ$1001,MATCH(ROWS($U$2:U755),$U$2:$U$1001,0),MATCH(COLUMNS($AB$1006:AC1006),$AB$1006:$AQ$1006,0)), HYPERLINK("#",""), HYPERLINK(CONCATENATE("#Metadata!", ADDRESS(INDEX($W$2:$W$1001,MATCH(ROWS($U$2:U755),$U$2:$U$1001,0),0), INDEX($AB$1004:$AQ$1004,1,MATCH(COLUMNS($AB$1006:AC1006),$AB$1006:$AQ$1006,0)))),"Fix")))</f>
        <v>0</v>
      </c>
      <c r="D755" s="5">
        <f>IF(OR(INDEX($V$2:$V$1001,MATCH(ROWS($U$2:U755),$U$2:$U$1001,0),1)&gt;=100000,INDEX($AB$1005:$AQ$1005,1,MATCH(COLUMNS($AB$1006:AD1006),$AB$1006:$AQ$1006,0))&gt;=100000), " ",IF(INDEX($AB$2:$AQ$1001,MATCH(ROWS($U$2:U755),$U$2:$U$1001,0),MATCH(COLUMNS($AB$1006:AD1006),$AB$1006:$AQ$1006,0)), HYPERLINK("#",""), HYPERLINK(CONCATENATE("#Metadata!", ADDRESS(INDEX($W$2:$W$1001,MATCH(ROWS($U$2:U755),$U$2:$U$1001,0),0), INDEX($AB$1004:$AQ$1004,1,MATCH(COLUMNS($AB$1006:AD1006),$AB$1006:$AQ$1006,0)))),"Fix")))</f>
        <v>0</v>
      </c>
      <c r="E755" s="5">
        <f>IF(OR(INDEX($V$2:$V$1001,MATCH(ROWS($U$2:U755),$U$2:$U$1001,0),1)&gt;=100000,INDEX($AB$1005:$AQ$1005,1,MATCH(COLUMNS($AB$1006:AE1006),$AB$1006:$AQ$1006,0))&gt;=100000), " ",IF(INDEX($AB$2:$AQ$1001,MATCH(ROWS($U$2:U755),$U$2:$U$1001,0),MATCH(COLUMNS($AB$1006:AE1006),$AB$1006:$AQ$1006,0)), HYPERLINK("#",""), HYPERLINK(CONCATENATE("#Metadata!", ADDRESS(INDEX($W$2:$W$1001,MATCH(ROWS($U$2:U755),$U$2:$U$1001,0),0), INDEX($AB$1004:$AQ$1004,1,MATCH(COLUMNS($AB$1006:AE1006),$AB$1006:$AQ$1006,0)))),"Fix")))</f>
        <v>0</v>
      </c>
      <c r="F755" s="5">
        <f>IF(OR(INDEX($V$2:$V$1001,MATCH(ROWS($U$2:U755),$U$2:$U$1001,0),1)&gt;=100000,INDEX($AB$1005:$AQ$1005,1,MATCH(COLUMNS($AB$1006:AF1006),$AB$1006:$AQ$1006,0))&gt;=100000), " ",IF(INDEX($AB$2:$AQ$1001,MATCH(ROWS($U$2:U755),$U$2:$U$1001,0),MATCH(COLUMNS($AB$1006:AF1006),$AB$1006:$AQ$1006,0)), HYPERLINK("#",""), HYPERLINK(CONCATENATE("#Metadata!", ADDRESS(INDEX($W$2:$W$1001,MATCH(ROWS($U$2:U755),$U$2:$U$1001,0),0), INDEX($AB$1004:$AQ$1004,1,MATCH(COLUMNS($AB$1006:AF1006),$AB$1006:$AQ$1006,0)))),"Fix")))</f>
        <v>0</v>
      </c>
      <c r="G755" s="5">
        <f>IF(OR(INDEX($V$2:$V$1001,MATCH(ROWS($U$2:U755),$U$2:$U$1001,0),1)&gt;=100000,INDEX($AB$1005:$AQ$1005,1,MATCH(COLUMNS($AB$1006:AG1006),$AB$1006:$AQ$1006,0))&gt;=100000), " ",IF(INDEX($AB$2:$AQ$1001,MATCH(ROWS($U$2:U755),$U$2:$U$1001,0),MATCH(COLUMNS($AB$1006:AG1006),$AB$1006:$AQ$1006,0)), HYPERLINK("#",""), HYPERLINK(CONCATENATE("#Metadata!", ADDRESS(INDEX($W$2:$W$1001,MATCH(ROWS($U$2:U755),$U$2:$U$1001,0),0), INDEX($AB$1004:$AQ$1004,1,MATCH(COLUMNS($AB$1006:AG1006),$AB$1006:$AQ$1006,0)))),"Fix")))</f>
        <v>0</v>
      </c>
      <c r="H755" s="5">
        <f>IF(OR(INDEX($V$2:$V$1001,MATCH(ROWS($U$2:U755),$U$2:$U$1001,0),1)&gt;=100000,INDEX($AB$1005:$AQ$1005,1,MATCH(COLUMNS($AB$1006:AH1006),$AB$1006:$AQ$1006,0))&gt;=100000), " ",IF(INDEX($AB$2:$AQ$1001,MATCH(ROWS($U$2:U755),$U$2:$U$1001,0),MATCH(COLUMNS($AB$1006:AH1006),$AB$1006:$AQ$1006,0)), HYPERLINK("#",""), HYPERLINK(CONCATENATE("#Metadata!", ADDRESS(INDEX($W$2:$W$1001,MATCH(ROWS($U$2:U755),$U$2:$U$1001,0),0), INDEX($AB$1004:$AQ$1004,1,MATCH(COLUMNS($AB$1006:AH1006),$AB$1006:$AQ$1006,0)))),"Fix")))</f>
        <v>0</v>
      </c>
      <c r="I755" s="5">
        <f>IF(OR(INDEX($V$2:$V$1001,MATCH(ROWS($U$2:U755),$U$2:$U$1001,0),1)&gt;=100000,INDEX($AB$1005:$AQ$1005,1,MATCH(COLUMNS($AB$1006:AI1006),$AB$1006:$AQ$1006,0))&gt;=100000), " ",IF(INDEX($AB$2:$AQ$1001,MATCH(ROWS($U$2:U755),$U$2:$U$1001,0),MATCH(COLUMNS($AB$1006:AI1006),$AB$1006:$AQ$1006,0)), HYPERLINK("#",""), HYPERLINK(CONCATENATE("#Metadata!", ADDRESS(INDEX($W$2:$W$1001,MATCH(ROWS($U$2:U755),$U$2:$U$1001,0),0), INDEX($AB$1004:$AQ$1004,1,MATCH(COLUMNS($AB$1006:AI1006),$AB$1006:$AQ$1006,0)))),"Fix")))</f>
        <v>0</v>
      </c>
      <c r="J755" s="5">
        <f>IF(OR(INDEX($V$2:$V$1001,MATCH(ROWS($U$2:U755),$U$2:$U$1001,0),1)&gt;=100000,INDEX($AB$1005:$AQ$1005,1,MATCH(COLUMNS($AB$1006:AJ1006),$AB$1006:$AQ$1006,0))&gt;=100000), " ",IF(INDEX($AB$2:$AQ$1001,MATCH(ROWS($U$2:U755),$U$2:$U$1001,0),MATCH(COLUMNS($AB$1006:AJ1006),$AB$1006:$AQ$1006,0)), HYPERLINK("#",""), HYPERLINK(CONCATENATE("#Metadata!", ADDRESS(INDEX($W$2:$W$1001,MATCH(ROWS($U$2:U755),$U$2:$U$1001,0),0), INDEX($AB$1004:$AQ$1004,1,MATCH(COLUMNS($AB$1006:AJ1006),$AB$1006:$AQ$1006,0)))),"Fix")))</f>
        <v>0</v>
      </c>
      <c r="K755" s="5">
        <f>IF(OR(INDEX($V$2:$V$1001,MATCH(ROWS($U$2:U755),$U$2:$U$1001,0),1)&gt;=100000,INDEX($AB$1005:$AQ$1005,1,MATCH(COLUMNS($AB$1006:AK1006),$AB$1006:$AQ$1006,0))&gt;=100000), " ",IF(INDEX($AB$2:$AQ$1001,MATCH(ROWS($U$2:U755),$U$2:$U$1001,0),MATCH(COLUMNS($AB$1006:AK1006),$AB$1006:$AQ$1006,0)), HYPERLINK("#",""), HYPERLINK(CONCATENATE("#Metadata!", ADDRESS(INDEX($W$2:$W$1001,MATCH(ROWS($U$2:U755),$U$2:$U$1001,0),0), INDEX($AB$1004:$AQ$1004,1,MATCH(COLUMNS($AB$1006:AK1006),$AB$1006:$AQ$1006,0)))),"Fix")))</f>
        <v>0</v>
      </c>
      <c r="L755" s="5">
        <f>IF(OR(INDEX($V$2:$V$1001,MATCH(ROWS($U$2:U755),$U$2:$U$1001,0),1)&gt;=100000,INDEX($AB$1005:$AQ$1005,1,MATCH(COLUMNS($AB$1006:AL1006),$AB$1006:$AQ$1006,0))&gt;=100000), " ",IF(INDEX($AB$2:$AQ$1001,MATCH(ROWS($U$2:U755),$U$2:$U$1001,0),MATCH(COLUMNS($AB$1006:AL1006),$AB$1006:$AQ$1006,0)), HYPERLINK("#",""), HYPERLINK(CONCATENATE("#Metadata!", ADDRESS(INDEX($W$2:$W$1001,MATCH(ROWS($U$2:U755),$U$2:$U$1001,0),0), INDEX($AB$1004:$AQ$1004,1,MATCH(COLUMNS($AB$1006:AL1006),$AB$1006:$AQ$1006,0)))),"Fix")))</f>
        <v>0</v>
      </c>
      <c r="M755" s="5">
        <f>IF(OR(INDEX($V$2:$V$1001,MATCH(ROWS($U$2:U755),$U$2:$U$1001,0),1)&gt;=100000,INDEX($AB$1005:$AQ$1005,1,MATCH(COLUMNS($AB$1006:AM1006),$AB$1006:$AQ$1006,0))&gt;=100000), " ",IF(INDEX($AB$2:$AQ$1001,MATCH(ROWS($U$2:U755),$U$2:$U$1001,0),MATCH(COLUMNS($AB$1006:AM1006),$AB$1006:$AQ$1006,0)), HYPERLINK("#",""), HYPERLINK(CONCATENATE("#Metadata!", ADDRESS(INDEX($W$2:$W$1001,MATCH(ROWS($U$2:U755),$U$2:$U$1001,0),0), INDEX($AB$1004:$AQ$1004,1,MATCH(COLUMNS($AB$1006:AM1006),$AB$1006:$AQ$1006,0)))),"Fix")))</f>
        <v>0</v>
      </c>
      <c r="N755" s="5">
        <f>IF(OR(INDEX($V$2:$V$1001,MATCH(ROWS($U$2:U755),$U$2:$U$1001,0),1)&gt;=100000,INDEX($AB$1005:$AQ$1005,1,MATCH(COLUMNS($AB$1006:AN1006),$AB$1006:$AQ$1006,0))&gt;=100000), " ",IF(INDEX($AB$2:$AQ$1001,MATCH(ROWS($U$2:U755),$U$2:$U$1001,0),MATCH(COLUMNS($AB$1006:AN1006),$AB$1006:$AQ$1006,0)), HYPERLINK("#",""), HYPERLINK(CONCATENATE("#Metadata!", ADDRESS(INDEX($W$2:$W$1001,MATCH(ROWS($U$2:U755),$U$2:$U$1001,0),0), INDEX($AB$1004:$AQ$1004,1,MATCH(COLUMNS($AB$1006:AN1006),$AB$1006:$AQ$1006,0)))),"Fix")))</f>
        <v>0</v>
      </c>
      <c r="O755" s="5">
        <f>IF(OR(INDEX($V$2:$V$1001,MATCH(ROWS($U$2:U755),$U$2:$U$1001,0),1)&gt;=100000,INDEX($AB$1005:$AQ$1005,1,MATCH(COLUMNS($AB$1006:AO1006),$AB$1006:$AQ$1006,0))&gt;=100000), " ",IF(INDEX($AB$2:$AQ$1001,MATCH(ROWS($U$2:U755),$U$2:$U$1001,0),MATCH(COLUMNS($AB$1006:AO1006),$AB$1006:$AQ$1006,0)), HYPERLINK("#",""), HYPERLINK(CONCATENATE("#Metadata!", ADDRESS(INDEX($W$2:$W$1001,MATCH(ROWS($U$2:U755),$U$2:$U$1001,0),0), INDEX($AB$1004:$AQ$1004,1,MATCH(COLUMNS($AB$1006:AO1006),$AB$1006:$AQ$1006,0)))),"Fix")))</f>
        <v>0</v>
      </c>
      <c r="P755" s="5">
        <f>IF(OR(INDEX($V$2:$V$1001,MATCH(ROWS($U$2:U755),$U$2:$U$1001,0),1)&gt;=100000,INDEX($AB$1005:$AQ$1005,1,MATCH(COLUMNS($AB$1006:AP1006),$AB$1006:$AQ$1006,0))&gt;=100000), " ",IF(INDEX($AB$2:$AQ$1001,MATCH(ROWS($U$2:U755),$U$2:$U$1001,0),MATCH(COLUMNS($AB$1006:AP1006),$AB$1006:$AQ$1006,0)), HYPERLINK("#",""), HYPERLINK(CONCATENATE("#Metadata!", ADDRESS(INDEX($W$2:$W$1001,MATCH(ROWS($U$2:U755),$U$2:$U$1001,0),0), INDEX($AB$1004:$AQ$1004,1,MATCH(COLUMNS($AB$1006:AP1006),$AB$1006:$AQ$1006,0)))),"Fix")))</f>
        <v>0</v>
      </c>
      <c r="Q755" s="5">
        <f>IF(OR(INDEX($V$2:$V$1001,MATCH(ROWS($U$2:U755),$U$2:$U$1001,0),1)&gt;=100000,INDEX($AB$1005:$AQ$1005,1,MATCH(COLUMNS($AB$1006:AQ1006),$AB$1006:$AQ$1006,0))&gt;=100000), " ",IF(INDEX($AB$2:$AQ$1001,MATCH(ROWS($U$2:U755),$U$2:$U$1001,0),MATCH(COLUMNS($AB$1006:AQ1006),$AB$1006:$AQ$1006,0)), HYPERLINK("#",""), HYPERLINK(CONCATENATE("#Metadata!", ADDRESS(INDEX($W$2:$W$1001,MATCH(ROWS($U$2:U755),$U$2:$U$1001,0),0), INDEX($AB$1004:$AQ$1004,1,MATCH(COLUMNS($AB$1006:AQ1006),$AB$1006:$AQ$1006,0)))),"Fix")))</f>
        <v>0</v>
      </c>
      <c r="U755">
        <v>0</v>
      </c>
      <c r="V755">
        <v>0</v>
      </c>
      <c r="W755">
        <v>0</v>
      </c>
      <c r="X755">
        <f>IF(Y755,TRUE,AND(AB755:AQ755))</f>
        <v>0</v>
      </c>
      <c r="Y755">
        <f>COUNTBLANK(Metadata!B755:Q755)=COLUMNS(Metadata!B755:Q755)</f>
        <v>0</v>
      </c>
      <c r="Z755">
        <v>0</v>
      </c>
      <c r="AB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AC755">
        <f>AND(IF(Metadata!C755="",FALSE,TRUE),exact(Metadata!C755,"urban biome"))</f>
        <v>0</v>
      </c>
      <c r="AD755">
        <f>AND(IF(Metadata!D755="",FALSE,TRUE),exact(Metadata!D755,"human-associated habitat"))</f>
        <v>0</v>
      </c>
      <c r="AE755">
        <f>AND(IF(Metadata!E755="",FALSE,TRUE),OR(exact(Metadata!E755,"human-associated"),exact(Metadata!E755,"human-skin"),exact(Metadata!E755,"human-oral"),exact(Metadata!E755,"human-gut"),exact(Metadata!E755,"human-vaginal")))</f>
        <v>0</v>
      </c>
      <c r="AF755">
        <f>AND(IF(Metadata!F755="",FALSE,ISNUMBER(VALUE(Metadata!F755))),Metadata!F755&gt;0)</f>
        <v>0</v>
      </c>
      <c r="AG755">
        <f>AND(IF(Metadata!G755="",FALSE,TRUE),exact(Metadata!G755,"years"))</f>
        <v>0</v>
      </c>
      <c r="AH755">
        <f>OR(AND(IF(Metadata!H755="",FALSE,TRUE),OR(exact(Metadata!H755,"not applicable"),exact(Metadata!H755,"not collected"),exact(Metadata!H755,"not provided"),exact(Metadata!H755,"restricted access"))),AND(IF(Metadata!H755="",FALSE,ISNUMBER(VALUE(Metadata!H755))),Metadata!H755&gt;0))</f>
        <v>0</v>
      </c>
      <c r="AI755">
        <f>AND(IF(Metadata!I755="",FALSE,TRUE),exact(Metadata!I755,"human"))</f>
        <v>0</v>
      </c>
      <c r="AJ755">
        <f>AND(IF(Metadata!J755="",FALSE,ISNUMBER(VALUE(Metadata!J755))),Metadata!J755&gt;0)</f>
        <v>0</v>
      </c>
      <c r="AK755">
        <f>AND(IF(Metadata!K755="",FALSE,TRUE),exact(Metadata!K755,"cm"))</f>
        <v>0</v>
      </c>
      <c r="AL755">
        <f>AND(IF(Metadata!L755="",FALSE,TRUE),exact(Metadata!L755,"Homo sapiens"))</f>
        <v>0</v>
      </c>
      <c r="AM755">
        <f>AND(IF(Metadata!M755="",FALSE,TRUE),exact(Metadata!M755,"9606"))</f>
        <v>0</v>
      </c>
      <c r="AN755">
        <f>AND(IF(Metadata!N755="",FALSE,ISNUMBER(VALUE(Metadata!N755))),Metadata!N755&gt;0)</f>
        <v>0</v>
      </c>
      <c r="AO755">
        <f>AND(IF(Metadata!O755="",FALSE,TRUE),exact(Metadata!O755,"kg"))</f>
        <v>0</v>
      </c>
      <c r="AP755">
        <f>OR(AND(IF(Metadata!P755="",FALSE,TRUE),exact(Metadata!P755,"not provided")),IF(Metadata!P755="",FALSE,TRUE))</f>
        <v>0</v>
      </c>
      <c r="AQ755">
        <f>OR(AND(IF(Metadata!Q755="",FALSE,TRUE),exact(Metadata!Q755,"not provided")),IF(Metadata!Q755="",FALSE,TRUE))</f>
        <v>0</v>
      </c>
    </row>
    <row r="756" spans="1:43">
      <c r="A756" s="4">
        <f>IF(B756=" "," ",HYPERLINK(CONCATENATE("#metadata!",ADDRESS(INDEX($W$2:$W$1001,MATCH(ROWS($U$2:U756),$U$2:$U$1001,0),0),2)),INDEX($Z$2:$Z$1001,MATCH(ROWS($U$2:U756),$U$2:$U$1001,0),0)))</f>
        <v>0</v>
      </c>
      <c r="B756" s="5">
        <f>IF(OR(INDEX($V$2:$V$1001,MATCH(ROWS($U$2:U756),$U$2:$U$1001,0),1)&gt;=100000,INDEX($AB$1005:$AQ$1005,1,MATCH(COLUMNS($AB$1006:AB1006),$AB$1006:$AQ$1006,0))&gt;=100000), " ",IF(INDEX($AB$2:$AQ$1001,MATCH(ROWS($U$2:U756),$U$2:$U$1001,0),MATCH(COLUMNS($AB$1006:AB1006),$AB$1006:$AQ$1006,0)), HYPERLINK("#",""), HYPERLINK(CONCATENATE("#Metadata!", ADDRESS(INDEX($W$2:$W$1001,MATCH(ROWS($U$2:U756),$U$2:$U$1001,0),0), INDEX($AB$1004:$AQ$1004,1,MATCH(COLUMNS($AB$1006:AB1006),$AB$1006:$AQ$1006,0)))),"Fix")))</f>
        <v>0</v>
      </c>
      <c r="C756" s="5">
        <f>IF(OR(INDEX($V$2:$V$1001,MATCH(ROWS($U$2:U756),$U$2:$U$1001,0),1)&gt;=100000,INDEX($AB$1005:$AQ$1005,1,MATCH(COLUMNS($AB$1006:AC1006),$AB$1006:$AQ$1006,0))&gt;=100000), " ",IF(INDEX($AB$2:$AQ$1001,MATCH(ROWS($U$2:U756),$U$2:$U$1001,0),MATCH(COLUMNS($AB$1006:AC1006),$AB$1006:$AQ$1006,0)), HYPERLINK("#",""), HYPERLINK(CONCATENATE("#Metadata!", ADDRESS(INDEX($W$2:$W$1001,MATCH(ROWS($U$2:U756),$U$2:$U$1001,0),0), INDEX($AB$1004:$AQ$1004,1,MATCH(COLUMNS($AB$1006:AC1006),$AB$1006:$AQ$1006,0)))),"Fix")))</f>
        <v>0</v>
      </c>
      <c r="D756" s="5">
        <f>IF(OR(INDEX($V$2:$V$1001,MATCH(ROWS($U$2:U756),$U$2:$U$1001,0),1)&gt;=100000,INDEX($AB$1005:$AQ$1005,1,MATCH(COLUMNS($AB$1006:AD1006),$AB$1006:$AQ$1006,0))&gt;=100000), " ",IF(INDEX($AB$2:$AQ$1001,MATCH(ROWS($U$2:U756),$U$2:$U$1001,0),MATCH(COLUMNS($AB$1006:AD1006),$AB$1006:$AQ$1006,0)), HYPERLINK("#",""), HYPERLINK(CONCATENATE("#Metadata!", ADDRESS(INDEX($W$2:$W$1001,MATCH(ROWS($U$2:U756),$U$2:$U$1001,0),0), INDEX($AB$1004:$AQ$1004,1,MATCH(COLUMNS($AB$1006:AD1006),$AB$1006:$AQ$1006,0)))),"Fix")))</f>
        <v>0</v>
      </c>
      <c r="E756" s="5">
        <f>IF(OR(INDEX($V$2:$V$1001,MATCH(ROWS($U$2:U756),$U$2:$U$1001,0),1)&gt;=100000,INDEX($AB$1005:$AQ$1005,1,MATCH(COLUMNS($AB$1006:AE1006),$AB$1006:$AQ$1006,0))&gt;=100000), " ",IF(INDEX($AB$2:$AQ$1001,MATCH(ROWS($U$2:U756),$U$2:$U$1001,0),MATCH(COLUMNS($AB$1006:AE1006),$AB$1006:$AQ$1006,0)), HYPERLINK("#",""), HYPERLINK(CONCATENATE("#Metadata!", ADDRESS(INDEX($W$2:$W$1001,MATCH(ROWS($U$2:U756),$U$2:$U$1001,0),0), INDEX($AB$1004:$AQ$1004,1,MATCH(COLUMNS($AB$1006:AE1006),$AB$1006:$AQ$1006,0)))),"Fix")))</f>
        <v>0</v>
      </c>
      <c r="F756" s="5">
        <f>IF(OR(INDEX($V$2:$V$1001,MATCH(ROWS($U$2:U756),$U$2:$U$1001,0),1)&gt;=100000,INDEX($AB$1005:$AQ$1005,1,MATCH(COLUMNS($AB$1006:AF1006),$AB$1006:$AQ$1006,0))&gt;=100000), " ",IF(INDEX($AB$2:$AQ$1001,MATCH(ROWS($U$2:U756),$U$2:$U$1001,0),MATCH(COLUMNS($AB$1006:AF1006),$AB$1006:$AQ$1006,0)), HYPERLINK("#",""), HYPERLINK(CONCATENATE("#Metadata!", ADDRESS(INDEX($W$2:$W$1001,MATCH(ROWS($U$2:U756),$U$2:$U$1001,0),0), INDEX($AB$1004:$AQ$1004,1,MATCH(COLUMNS($AB$1006:AF1006),$AB$1006:$AQ$1006,0)))),"Fix")))</f>
        <v>0</v>
      </c>
      <c r="G756" s="5">
        <f>IF(OR(INDEX($V$2:$V$1001,MATCH(ROWS($U$2:U756),$U$2:$U$1001,0),1)&gt;=100000,INDEX($AB$1005:$AQ$1005,1,MATCH(COLUMNS($AB$1006:AG1006),$AB$1006:$AQ$1006,0))&gt;=100000), " ",IF(INDEX($AB$2:$AQ$1001,MATCH(ROWS($U$2:U756),$U$2:$U$1001,0),MATCH(COLUMNS($AB$1006:AG1006),$AB$1006:$AQ$1006,0)), HYPERLINK("#",""), HYPERLINK(CONCATENATE("#Metadata!", ADDRESS(INDEX($W$2:$W$1001,MATCH(ROWS($U$2:U756),$U$2:$U$1001,0),0), INDEX($AB$1004:$AQ$1004,1,MATCH(COLUMNS($AB$1006:AG1006),$AB$1006:$AQ$1006,0)))),"Fix")))</f>
        <v>0</v>
      </c>
      <c r="H756" s="5">
        <f>IF(OR(INDEX($V$2:$V$1001,MATCH(ROWS($U$2:U756),$U$2:$U$1001,0),1)&gt;=100000,INDEX($AB$1005:$AQ$1005,1,MATCH(COLUMNS($AB$1006:AH1006),$AB$1006:$AQ$1006,0))&gt;=100000), " ",IF(INDEX($AB$2:$AQ$1001,MATCH(ROWS($U$2:U756),$U$2:$U$1001,0),MATCH(COLUMNS($AB$1006:AH1006),$AB$1006:$AQ$1006,0)), HYPERLINK("#",""), HYPERLINK(CONCATENATE("#Metadata!", ADDRESS(INDEX($W$2:$W$1001,MATCH(ROWS($U$2:U756),$U$2:$U$1001,0),0), INDEX($AB$1004:$AQ$1004,1,MATCH(COLUMNS($AB$1006:AH1006),$AB$1006:$AQ$1006,0)))),"Fix")))</f>
        <v>0</v>
      </c>
      <c r="I756" s="5">
        <f>IF(OR(INDEX($V$2:$V$1001,MATCH(ROWS($U$2:U756),$U$2:$U$1001,0),1)&gt;=100000,INDEX($AB$1005:$AQ$1005,1,MATCH(COLUMNS($AB$1006:AI1006),$AB$1006:$AQ$1006,0))&gt;=100000), " ",IF(INDEX($AB$2:$AQ$1001,MATCH(ROWS($U$2:U756),$U$2:$U$1001,0),MATCH(COLUMNS($AB$1006:AI1006),$AB$1006:$AQ$1006,0)), HYPERLINK("#",""), HYPERLINK(CONCATENATE("#Metadata!", ADDRESS(INDEX($W$2:$W$1001,MATCH(ROWS($U$2:U756),$U$2:$U$1001,0),0), INDEX($AB$1004:$AQ$1004,1,MATCH(COLUMNS($AB$1006:AI1006),$AB$1006:$AQ$1006,0)))),"Fix")))</f>
        <v>0</v>
      </c>
      <c r="J756" s="5">
        <f>IF(OR(INDEX($V$2:$V$1001,MATCH(ROWS($U$2:U756),$U$2:$U$1001,0),1)&gt;=100000,INDEX($AB$1005:$AQ$1005,1,MATCH(COLUMNS($AB$1006:AJ1006),$AB$1006:$AQ$1006,0))&gt;=100000), " ",IF(INDEX($AB$2:$AQ$1001,MATCH(ROWS($U$2:U756),$U$2:$U$1001,0),MATCH(COLUMNS($AB$1006:AJ1006),$AB$1006:$AQ$1006,0)), HYPERLINK("#",""), HYPERLINK(CONCATENATE("#Metadata!", ADDRESS(INDEX($W$2:$W$1001,MATCH(ROWS($U$2:U756),$U$2:$U$1001,0),0), INDEX($AB$1004:$AQ$1004,1,MATCH(COLUMNS($AB$1006:AJ1006),$AB$1006:$AQ$1006,0)))),"Fix")))</f>
        <v>0</v>
      </c>
      <c r="K756" s="5">
        <f>IF(OR(INDEX($V$2:$V$1001,MATCH(ROWS($U$2:U756),$U$2:$U$1001,0),1)&gt;=100000,INDEX($AB$1005:$AQ$1005,1,MATCH(COLUMNS($AB$1006:AK1006),$AB$1006:$AQ$1006,0))&gt;=100000), " ",IF(INDEX($AB$2:$AQ$1001,MATCH(ROWS($U$2:U756),$U$2:$U$1001,0),MATCH(COLUMNS($AB$1006:AK1006),$AB$1006:$AQ$1006,0)), HYPERLINK("#",""), HYPERLINK(CONCATENATE("#Metadata!", ADDRESS(INDEX($W$2:$W$1001,MATCH(ROWS($U$2:U756),$U$2:$U$1001,0),0), INDEX($AB$1004:$AQ$1004,1,MATCH(COLUMNS($AB$1006:AK1006),$AB$1006:$AQ$1006,0)))),"Fix")))</f>
        <v>0</v>
      </c>
      <c r="L756" s="5">
        <f>IF(OR(INDEX($V$2:$V$1001,MATCH(ROWS($U$2:U756),$U$2:$U$1001,0),1)&gt;=100000,INDEX($AB$1005:$AQ$1005,1,MATCH(COLUMNS($AB$1006:AL1006),$AB$1006:$AQ$1006,0))&gt;=100000), " ",IF(INDEX($AB$2:$AQ$1001,MATCH(ROWS($U$2:U756),$U$2:$U$1001,0),MATCH(COLUMNS($AB$1006:AL1006),$AB$1006:$AQ$1006,0)), HYPERLINK("#",""), HYPERLINK(CONCATENATE("#Metadata!", ADDRESS(INDEX($W$2:$W$1001,MATCH(ROWS($U$2:U756),$U$2:$U$1001,0),0), INDEX($AB$1004:$AQ$1004,1,MATCH(COLUMNS($AB$1006:AL1006),$AB$1006:$AQ$1006,0)))),"Fix")))</f>
        <v>0</v>
      </c>
      <c r="M756" s="5">
        <f>IF(OR(INDEX($V$2:$V$1001,MATCH(ROWS($U$2:U756),$U$2:$U$1001,0),1)&gt;=100000,INDEX($AB$1005:$AQ$1005,1,MATCH(COLUMNS($AB$1006:AM1006),$AB$1006:$AQ$1006,0))&gt;=100000), " ",IF(INDEX($AB$2:$AQ$1001,MATCH(ROWS($U$2:U756),$U$2:$U$1001,0),MATCH(COLUMNS($AB$1006:AM1006),$AB$1006:$AQ$1006,0)), HYPERLINK("#",""), HYPERLINK(CONCATENATE("#Metadata!", ADDRESS(INDEX($W$2:$W$1001,MATCH(ROWS($U$2:U756),$U$2:$U$1001,0),0), INDEX($AB$1004:$AQ$1004,1,MATCH(COLUMNS($AB$1006:AM1006),$AB$1006:$AQ$1006,0)))),"Fix")))</f>
        <v>0</v>
      </c>
      <c r="N756" s="5">
        <f>IF(OR(INDEX($V$2:$V$1001,MATCH(ROWS($U$2:U756),$U$2:$U$1001,0),1)&gt;=100000,INDEX($AB$1005:$AQ$1005,1,MATCH(COLUMNS($AB$1006:AN1006),$AB$1006:$AQ$1006,0))&gt;=100000), " ",IF(INDEX($AB$2:$AQ$1001,MATCH(ROWS($U$2:U756),$U$2:$U$1001,0),MATCH(COLUMNS($AB$1006:AN1006),$AB$1006:$AQ$1006,0)), HYPERLINK("#",""), HYPERLINK(CONCATENATE("#Metadata!", ADDRESS(INDEX($W$2:$W$1001,MATCH(ROWS($U$2:U756),$U$2:$U$1001,0),0), INDEX($AB$1004:$AQ$1004,1,MATCH(COLUMNS($AB$1006:AN1006),$AB$1006:$AQ$1006,0)))),"Fix")))</f>
        <v>0</v>
      </c>
      <c r="O756" s="5">
        <f>IF(OR(INDEX($V$2:$V$1001,MATCH(ROWS($U$2:U756),$U$2:$U$1001,0),1)&gt;=100000,INDEX($AB$1005:$AQ$1005,1,MATCH(COLUMNS($AB$1006:AO1006),$AB$1006:$AQ$1006,0))&gt;=100000), " ",IF(INDEX($AB$2:$AQ$1001,MATCH(ROWS($U$2:U756),$U$2:$U$1001,0),MATCH(COLUMNS($AB$1006:AO1006),$AB$1006:$AQ$1006,0)), HYPERLINK("#",""), HYPERLINK(CONCATENATE("#Metadata!", ADDRESS(INDEX($W$2:$W$1001,MATCH(ROWS($U$2:U756),$U$2:$U$1001,0),0), INDEX($AB$1004:$AQ$1004,1,MATCH(COLUMNS($AB$1006:AO1006),$AB$1006:$AQ$1006,0)))),"Fix")))</f>
        <v>0</v>
      </c>
      <c r="P756" s="5">
        <f>IF(OR(INDEX($V$2:$V$1001,MATCH(ROWS($U$2:U756),$U$2:$U$1001,0),1)&gt;=100000,INDEX($AB$1005:$AQ$1005,1,MATCH(COLUMNS($AB$1006:AP1006),$AB$1006:$AQ$1006,0))&gt;=100000), " ",IF(INDEX($AB$2:$AQ$1001,MATCH(ROWS($U$2:U756),$U$2:$U$1001,0),MATCH(COLUMNS($AB$1006:AP1006),$AB$1006:$AQ$1006,0)), HYPERLINK("#",""), HYPERLINK(CONCATENATE("#Metadata!", ADDRESS(INDEX($W$2:$W$1001,MATCH(ROWS($U$2:U756),$U$2:$U$1001,0),0), INDEX($AB$1004:$AQ$1004,1,MATCH(COLUMNS($AB$1006:AP1006),$AB$1006:$AQ$1006,0)))),"Fix")))</f>
        <v>0</v>
      </c>
      <c r="Q756" s="5">
        <f>IF(OR(INDEX($V$2:$V$1001,MATCH(ROWS($U$2:U756),$U$2:$U$1001,0),1)&gt;=100000,INDEX($AB$1005:$AQ$1005,1,MATCH(COLUMNS($AB$1006:AQ1006),$AB$1006:$AQ$1006,0))&gt;=100000), " ",IF(INDEX($AB$2:$AQ$1001,MATCH(ROWS($U$2:U756),$U$2:$U$1001,0),MATCH(COLUMNS($AB$1006:AQ1006),$AB$1006:$AQ$1006,0)), HYPERLINK("#",""), HYPERLINK(CONCATENATE("#Metadata!", ADDRESS(INDEX($W$2:$W$1001,MATCH(ROWS($U$2:U756),$U$2:$U$1001,0),0), INDEX($AB$1004:$AQ$1004,1,MATCH(COLUMNS($AB$1006:AQ1006),$AB$1006:$AQ$1006,0)))),"Fix")))</f>
        <v>0</v>
      </c>
      <c r="U756">
        <v>0</v>
      </c>
      <c r="V756">
        <v>0</v>
      </c>
      <c r="W756">
        <v>0</v>
      </c>
      <c r="X756">
        <f>IF(Y756,TRUE,AND(AB756:AQ756))</f>
        <v>0</v>
      </c>
      <c r="Y756">
        <f>COUNTBLANK(Metadata!B756:Q756)=COLUMNS(Metadata!B756:Q756)</f>
        <v>0</v>
      </c>
      <c r="Z756">
        <v>0</v>
      </c>
      <c r="AB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AC756">
        <f>AND(IF(Metadata!C756="",FALSE,TRUE),exact(Metadata!C756,"urban biome"))</f>
        <v>0</v>
      </c>
      <c r="AD756">
        <f>AND(IF(Metadata!D756="",FALSE,TRUE),exact(Metadata!D756,"human-associated habitat"))</f>
        <v>0</v>
      </c>
      <c r="AE756">
        <f>AND(IF(Metadata!E756="",FALSE,TRUE),OR(exact(Metadata!E756,"human-associated"),exact(Metadata!E756,"human-skin"),exact(Metadata!E756,"human-oral"),exact(Metadata!E756,"human-gut"),exact(Metadata!E756,"human-vaginal")))</f>
        <v>0</v>
      </c>
      <c r="AF756">
        <f>AND(IF(Metadata!F756="",FALSE,ISNUMBER(VALUE(Metadata!F756))),Metadata!F756&gt;0)</f>
        <v>0</v>
      </c>
      <c r="AG756">
        <f>AND(IF(Metadata!G756="",FALSE,TRUE),exact(Metadata!G756,"years"))</f>
        <v>0</v>
      </c>
      <c r="AH756">
        <f>OR(AND(IF(Metadata!H756="",FALSE,TRUE),OR(exact(Metadata!H756,"not applicable"),exact(Metadata!H756,"not collected"),exact(Metadata!H756,"not provided"),exact(Metadata!H756,"restricted access"))),AND(IF(Metadata!H756="",FALSE,ISNUMBER(VALUE(Metadata!H756))),Metadata!H756&gt;0))</f>
        <v>0</v>
      </c>
      <c r="AI756">
        <f>AND(IF(Metadata!I756="",FALSE,TRUE),exact(Metadata!I756,"human"))</f>
        <v>0</v>
      </c>
      <c r="AJ756">
        <f>AND(IF(Metadata!J756="",FALSE,ISNUMBER(VALUE(Metadata!J756))),Metadata!J756&gt;0)</f>
        <v>0</v>
      </c>
      <c r="AK756">
        <f>AND(IF(Metadata!K756="",FALSE,TRUE),exact(Metadata!K756,"cm"))</f>
        <v>0</v>
      </c>
      <c r="AL756">
        <f>AND(IF(Metadata!L756="",FALSE,TRUE),exact(Metadata!L756,"Homo sapiens"))</f>
        <v>0</v>
      </c>
      <c r="AM756">
        <f>AND(IF(Metadata!M756="",FALSE,TRUE),exact(Metadata!M756,"9606"))</f>
        <v>0</v>
      </c>
      <c r="AN756">
        <f>AND(IF(Metadata!N756="",FALSE,ISNUMBER(VALUE(Metadata!N756))),Metadata!N756&gt;0)</f>
        <v>0</v>
      </c>
      <c r="AO756">
        <f>AND(IF(Metadata!O756="",FALSE,TRUE),exact(Metadata!O756,"kg"))</f>
        <v>0</v>
      </c>
      <c r="AP756">
        <f>OR(AND(IF(Metadata!P756="",FALSE,TRUE),exact(Metadata!P756,"not provided")),IF(Metadata!P756="",FALSE,TRUE))</f>
        <v>0</v>
      </c>
      <c r="AQ756">
        <f>OR(AND(IF(Metadata!Q756="",FALSE,TRUE),exact(Metadata!Q756,"not provided")),IF(Metadata!Q756="",FALSE,TRUE))</f>
        <v>0</v>
      </c>
    </row>
    <row r="757" spans="1:43">
      <c r="A757" s="4">
        <f>IF(B757=" "," ",HYPERLINK(CONCATENATE("#metadata!",ADDRESS(INDEX($W$2:$W$1001,MATCH(ROWS($U$2:U757),$U$2:$U$1001,0),0),2)),INDEX($Z$2:$Z$1001,MATCH(ROWS($U$2:U757),$U$2:$U$1001,0),0)))</f>
        <v>0</v>
      </c>
      <c r="B757" s="5">
        <f>IF(OR(INDEX($V$2:$V$1001,MATCH(ROWS($U$2:U757),$U$2:$U$1001,0),1)&gt;=100000,INDEX($AB$1005:$AQ$1005,1,MATCH(COLUMNS($AB$1006:AB1006),$AB$1006:$AQ$1006,0))&gt;=100000), " ",IF(INDEX($AB$2:$AQ$1001,MATCH(ROWS($U$2:U757),$U$2:$U$1001,0),MATCH(COLUMNS($AB$1006:AB1006),$AB$1006:$AQ$1006,0)), HYPERLINK("#",""), HYPERLINK(CONCATENATE("#Metadata!", ADDRESS(INDEX($W$2:$W$1001,MATCH(ROWS($U$2:U757),$U$2:$U$1001,0),0), INDEX($AB$1004:$AQ$1004,1,MATCH(COLUMNS($AB$1006:AB1006),$AB$1006:$AQ$1006,0)))),"Fix")))</f>
        <v>0</v>
      </c>
      <c r="C757" s="5">
        <f>IF(OR(INDEX($V$2:$V$1001,MATCH(ROWS($U$2:U757),$U$2:$U$1001,0),1)&gt;=100000,INDEX($AB$1005:$AQ$1005,1,MATCH(COLUMNS($AB$1006:AC1006),$AB$1006:$AQ$1006,0))&gt;=100000), " ",IF(INDEX($AB$2:$AQ$1001,MATCH(ROWS($U$2:U757),$U$2:$U$1001,0),MATCH(COLUMNS($AB$1006:AC1006),$AB$1006:$AQ$1006,0)), HYPERLINK("#",""), HYPERLINK(CONCATENATE("#Metadata!", ADDRESS(INDEX($W$2:$W$1001,MATCH(ROWS($U$2:U757),$U$2:$U$1001,0),0), INDEX($AB$1004:$AQ$1004,1,MATCH(COLUMNS($AB$1006:AC1006),$AB$1006:$AQ$1006,0)))),"Fix")))</f>
        <v>0</v>
      </c>
      <c r="D757" s="5">
        <f>IF(OR(INDEX($V$2:$V$1001,MATCH(ROWS($U$2:U757),$U$2:$U$1001,0),1)&gt;=100000,INDEX($AB$1005:$AQ$1005,1,MATCH(COLUMNS($AB$1006:AD1006),$AB$1006:$AQ$1006,0))&gt;=100000), " ",IF(INDEX($AB$2:$AQ$1001,MATCH(ROWS($U$2:U757),$U$2:$U$1001,0),MATCH(COLUMNS($AB$1006:AD1006),$AB$1006:$AQ$1006,0)), HYPERLINK("#",""), HYPERLINK(CONCATENATE("#Metadata!", ADDRESS(INDEX($W$2:$W$1001,MATCH(ROWS($U$2:U757),$U$2:$U$1001,0),0), INDEX($AB$1004:$AQ$1004,1,MATCH(COLUMNS($AB$1006:AD1006),$AB$1006:$AQ$1006,0)))),"Fix")))</f>
        <v>0</v>
      </c>
      <c r="E757" s="5">
        <f>IF(OR(INDEX($V$2:$V$1001,MATCH(ROWS($U$2:U757),$U$2:$U$1001,0),1)&gt;=100000,INDEX($AB$1005:$AQ$1005,1,MATCH(COLUMNS($AB$1006:AE1006),$AB$1006:$AQ$1006,0))&gt;=100000), " ",IF(INDEX($AB$2:$AQ$1001,MATCH(ROWS($U$2:U757),$U$2:$U$1001,0),MATCH(COLUMNS($AB$1006:AE1006),$AB$1006:$AQ$1006,0)), HYPERLINK("#",""), HYPERLINK(CONCATENATE("#Metadata!", ADDRESS(INDEX($W$2:$W$1001,MATCH(ROWS($U$2:U757),$U$2:$U$1001,0),0), INDEX($AB$1004:$AQ$1004,1,MATCH(COLUMNS($AB$1006:AE1006),$AB$1006:$AQ$1006,0)))),"Fix")))</f>
        <v>0</v>
      </c>
      <c r="F757" s="5">
        <f>IF(OR(INDEX($V$2:$V$1001,MATCH(ROWS($U$2:U757),$U$2:$U$1001,0),1)&gt;=100000,INDEX($AB$1005:$AQ$1005,1,MATCH(COLUMNS($AB$1006:AF1006),$AB$1006:$AQ$1006,0))&gt;=100000), " ",IF(INDEX($AB$2:$AQ$1001,MATCH(ROWS($U$2:U757),$U$2:$U$1001,0),MATCH(COLUMNS($AB$1006:AF1006),$AB$1006:$AQ$1006,0)), HYPERLINK("#",""), HYPERLINK(CONCATENATE("#Metadata!", ADDRESS(INDEX($W$2:$W$1001,MATCH(ROWS($U$2:U757),$U$2:$U$1001,0),0), INDEX($AB$1004:$AQ$1004,1,MATCH(COLUMNS($AB$1006:AF1006),$AB$1006:$AQ$1006,0)))),"Fix")))</f>
        <v>0</v>
      </c>
      <c r="G757" s="5">
        <f>IF(OR(INDEX($V$2:$V$1001,MATCH(ROWS($U$2:U757),$U$2:$U$1001,0),1)&gt;=100000,INDEX($AB$1005:$AQ$1005,1,MATCH(COLUMNS($AB$1006:AG1006),$AB$1006:$AQ$1006,0))&gt;=100000), " ",IF(INDEX($AB$2:$AQ$1001,MATCH(ROWS($U$2:U757),$U$2:$U$1001,0),MATCH(COLUMNS($AB$1006:AG1006),$AB$1006:$AQ$1006,0)), HYPERLINK("#",""), HYPERLINK(CONCATENATE("#Metadata!", ADDRESS(INDEX($W$2:$W$1001,MATCH(ROWS($U$2:U757),$U$2:$U$1001,0),0), INDEX($AB$1004:$AQ$1004,1,MATCH(COLUMNS($AB$1006:AG1006),$AB$1006:$AQ$1006,0)))),"Fix")))</f>
        <v>0</v>
      </c>
      <c r="H757" s="5">
        <f>IF(OR(INDEX($V$2:$V$1001,MATCH(ROWS($U$2:U757),$U$2:$U$1001,0),1)&gt;=100000,INDEX($AB$1005:$AQ$1005,1,MATCH(COLUMNS($AB$1006:AH1006),$AB$1006:$AQ$1006,0))&gt;=100000), " ",IF(INDEX($AB$2:$AQ$1001,MATCH(ROWS($U$2:U757),$U$2:$U$1001,0),MATCH(COLUMNS($AB$1006:AH1006),$AB$1006:$AQ$1006,0)), HYPERLINK("#",""), HYPERLINK(CONCATENATE("#Metadata!", ADDRESS(INDEX($W$2:$W$1001,MATCH(ROWS($U$2:U757),$U$2:$U$1001,0),0), INDEX($AB$1004:$AQ$1004,1,MATCH(COLUMNS($AB$1006:AH1006),$AB$1006:$AQ$1006,0)))),"Fix")))</f>
        <v>0</v>
      </c>
      <c r="I757" s="5">
        <f>IF(OR(INDEX($V$2:$V$1001,MATCH(ROWS($U$2:U757),$U$2:$U$1001,0),1)&gt;=100000,INDEX($AB$1005:$AQ$1005,1,MATCH(COLUMNS($AB$1006:AI1006),$AB$1006:$AQ$1006,0))&gt;=100000), " ",IF(INDEX($AB$2:$AQ$1001,MATCH(ROWS($U$2:U757),$U$2:$U$1001,0),MATCH(COLUMNS($AB$1006:AI1006),$AB$1006:$AQ$1006,0)), HYPERLINK("#",""), HYPERLINK(CONCATENATE("#Metadata!", ADDRESS(INDEX($W$2:$W$1001,MATCH(ROWS($U$2:U757),$U$2:$U$1001,0),0), INDEX($AB$1004:$AQ$1004,1,MATCH(COLUMNS($AB$1006:AI1006),$AB$1006:$AQ$1006,0)))),"Fix")))</f>
        <v>0</v>
      </c>
      <c r="J757" s="5">
        <f>IF(OR(INDEX($V$2:$V$1001,MATCH(ROWS($U$2:U757),$U$2:$U$1001,0),1)&gt;=100000,INDEX($AB$1005:$AQ$1005,1,MATCH(COLUMNS($AB$1006:AJ1006),$AB$1006:$AQ$1006,0))&gt;=100000), " ",IF(INDEX($AB$2:$AQ$1001,MATCH(ROWS($U$2:U757),$U$2:$U$1001,0),MATCH(COLUMNS($AB$1006:AJ1006),$AB$1006:$AQ$1006,0)), HYPERLINK("#",""), HYPERLINK(CONCATENATE("#Metadata!", ADDRESS(INDEX($W$2:$W$1001,MATCH(ROWS($U$2:U757),$U$2:$U$1001,0),0), INDEX($AB$1004:$AQ$1004,1,MATCH(COLUMNS($AB$1006:AJ1006),$AB$1006:$AQ$1006,0)))),"Fix")))</f>
        <v>0</v>
      </c>
      <c r="K757" s="5">
        <f>IF(OR(INDEX($V$2:$V$1001,MATCH(ROWS($U$2:U757),$U$2:$U$1001,0),1)&gt;=100000,INDEX($AB$1005:$AQ$1005,1,MATCH(COLUMNS($AB$1006:AK1006),$AB$1006:$AQ$1006,0))&gt;=100000), " ",IF(INDEX($AB$2:$AQ$1001,MATCH(ROWS($U$2:U757),$U$2:$U$1001,0),MATCH(COLUMNS($AB$1006:AK1006),$AB$1006:$AQ$1006,0)), HYPERLINK("#",""), HYPERLINK(CONCATENATE("#Metadata!", ADDRESS(INDEX($W$2:$W$1001,MATCH(ROWS($U$2:U757),$U$2:$U$1001,0),0), INDEX($AB$1004:$AQ$1004,1,MATCH(COLUMNS($AB$1006:AK1006),$AB$1006:$AQ$1006,0)))),"Fix")))</f>
        <v>0</v>
      </c>
      <c r="L757" s="5">
        <f>IF(OR(INDEX($V$2:$V$1001,MATCH(ROWS($U$2:U757),$U$2:$U$1001,0),1)&gt;=100000,INDEX($AB$1005:$AQ$1005,1,MATCH(COLUMNS($AB$1006:AL1006),$AB$1006:$AQ$1006,0))&gt;=100000), " ",IF(INDEX($AB$2:$AQ$1001,MATCH(ROWS($U$2:U757),$U$2:$U$1001,0),MATCH(COLUMNS($AB$1006:AL1006),$AB$1006:$AQ$1006,0)), HYPERLINK("#",""), HYPERLINK(CONCATENATE("#Metadata!", ADDRESS(INDEX($W$2:$W$1001,MATCH(ROWS($U$2:U757),$U$2:$U$1001,0),0), INDEX($AB$1004:$AQ$1004,1,MATCH(COLUMNS($AB$1006:AL1006),$AB$1006:$AQ$1006,0)))),"Fix")))</f>
        <v>0</v>
      </c>
      <c r="M757" s="5">
        <f>IF(OR(INDEX($V$2:$V$1001,MATCH(ROWS($U$2:U757),$U$2:$U$1001,0),1)&gt;=100000,INDEX($AB$1005:$AQ$1005,1,MATCH(COLUMNS($AB$1006:AM1006),$AB$1006:$AQ$1006,0))&gt;=100000), " ",IF(INDEX($AB$2:$AQ$1001,MATCH(ROWS($U$2:U757),$U$2:$U$1001,0),MATCH(COLUMNS($AB$1006:AM1006),$AB$1006:$AQ$1006,0)), HYPERLINK("#",""), HYPERLINK(CONCATENATE("#Metadata!", ADDRESS(INDEX($W$2:$W$1001,MATCH(ROWS($U$2:U757),$U$2:$U$1001,0),0), INDEX($AB$1004:$AQ$1004,1,MATCH(COLUMNS($AB$1006:AM1006),$AB$1006:$AQ$1006,0)))),"Fix")))</f>
        <v>0</v>
      </c>
      <c r="N757" s="5">
        <f>IF(OR(INDEX($V$2:$V$1001,MATCH(ROWS($U$2:U757),$U$2:$U$1001,0),1)&gt;=100000,INDEX($AB$1005:$AQ$1005,1,MATCH(COLUMNS($AB$1006:AN1006),$AB$1006:$AQ$1006,0))&gt;=100000), " ",IF(INDEX($AB$2:$AQ$1001,MATCH(ROWS($U$2:U757),$U$2:$U$1001,0),MATCH(COLUMNS($AB$1006:AN1006),$AB$1006:$AQ$1006,0)), HYPERLINK("#",""), HYPERLINK(CONCATENATE("#Metadata!", ADDRESS(INDEX($W$2:$W$1001,MATCH(ROWS($U$2:U757),$U$2:$U$1001,0),0), INDEX($AB$1004:$AQ$1004,1,MATCH(COLUMNS($AB$1006:AN1006),$AB$1006:$AQ$1006,0)))),"Fix")))</f>
        <v>0</v>
      </c>
      <c r="O757" s="5">
        <f>IF(OR(INDEX($V$2:$V$1001,MATCH(ROWS($U$2:U757),$U$2:$U$1001,0),1)&gt;=100000,INDEX($AB$1005:$AQ$1005,1,MATCH(COLUMNS($AB$1006:AO1006),$AB$1006:$AQ$1006,0))&gt;=100000), " ",IF(INDEX($AB$2:$AQ$1001,MATCH(ROWS($U$2:U757),$U$2:$U$1001,0),MATCH(COLUMNS($AB$1006:AO1006),$AB$1006:$AQ$1006,0)), HYPERLINK("#",""), HYPERLINK(CONCATENATE("#Metadata!", ADDRESS(INDEX($W$2:$W$1001,MATCH(ROWS($U$2:U757),$U$2:$U$1001,0),0), INDEX($AB$1004:$AQ$1004,1,MATCH(COLUMNS($AB$1006:AO1006),$AB$1006:$AQ$1006,0)))),"Fix")))</f>
        <v>0</v>
      </c>
      <c r="P757" s="5">
        <f>IF(OR(INDEX($V$2:$V$1001,MATCH(ROWS($U$2:U757),$U$2:$U$1001,0),1)&gt;=100000,INDEX($AB$1005:$AQ$1005,1,MATCH(COLUMNS($AB$1006:AP1006),$AB$1006:$AQ$1006,0))&gt;=100000), " ",IF(INDEX($AB$2:$AQ$1001,MATCH(ROWS($U$2:U757),$U$2:$U$1001,0),MATCH(COLUMNS($AB$1006:AP1006),$AB$1006:$AQ$1006,0)), HYPERLINK("#",""), HYPERLINK(CONCATENATE("#Metadata!", ADDRESS(INDEX($W$2:$W$1001,MATCH(ROWS($U$2:U757),$U$2:$U$1001,0),0), INDEX($AB$1004:$AQ$1004,1,MATCH(COLUMNS($AB$1006:AP1006),$AB$1006:$AQ$1006,0)))),"Fix")))</f>
        <v>0</v>
      </c>
      <c r="Q757" s="5">
        <f>IF(OR(INDEX($V$2:$V$1001,MATCH(ROWS($U$2:U757),$U$2:$U$1001,0),1)&gt;=100000,INDEX($AB$1005:$AQ$1005,1,MATCH(COLUMNS($AB$1006:AQ1006),$AB$1006:$AQ$1006,0))&gt;=100000), " ",IF(INDEX($AB$2:$AQ$1001,MATCH(ROWS($U$2:U757),$U$2:$U$1001,0),MATCH(COLUMNS($AB$1006:AQ1006),$AB$1006:$AQ$1006,0)), HYPERLINK("#",""), HYPERLINK(CONCATENATE("#Metadata!", ADDRESS(INDEX($W$2:$W$1001,MATCH(ROWS($U$2:U757),$U$2:$U$1001,0),0), INDEX($AB$1004:$AQ$1004,1,MATCH(COLUMNS($AB$1006:AQ1006),$AB$1006:$AQ$1006,0)))),"Fix")))</f>
        <v>0</v>
      </c>
      <c r="U757">
        <v>0</v>
      </c>
      <c r="V757">
        <v>0</v>
      </c>
      <c r="W757">
        <v>0</v>
      </c>
      <c r="X757">
        <f>IF(Y757,TRUE,AND(AB757:AQ757))</f>
        <v>0</v>
      </c>
      <c r="Y757">
        <f>COUNTBLANK(Metadata!B757:Q757)=COLUMNS(Metadata!B757:Q757)</f>
        <v>0</v>
      </c>
      <c r="Z757">
        <v>0</v>
      </c>
      <c r="AB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AC757">
        <f>AND(IF(Metadata!C757="",FALSE,TRUE),exact(Metadata!C757,"urban biome"))</f>
        <v>0</v>
      </c>
      <c r="AD757">
        <f>AND(IF(Metadata!D757="",FALSE,TRUE),exact(Metadata!D757,"human-associated habitat"))</f>
        <v>0</v>
      </c>
      <c r="AE757">
        <f>AND(IF(Metadata!E757="",FALSE,TRUE),OR(exact(Metadata!E757,"human-associated"),exact(Metadata!E757,"human-skin"),exact(Metadata!E757,"human-oral"),exact(Metadata!E757,"human-gut"),exact(Metadata!E757,"human-vaginal")))</f>
        <v>0</v>
      </c>
      <c r="AF757">
        <f>AND(IF(Metadata!F757="",FALSE,ISNUMBER(VALUE(Metadata!F757))),Metadata!F757&gt;0)</f>
        <v>0</v>
      </c>
      <c r="AG757">
        <f>AND(IF(Metadata!G757="",FALSE,TRUE),exact(Metadata!G757,"years"))</f>
        <v>0</v>
      </c>
      <c r="AH757">
        <f>OR(AND(IF(Metadata!H757="",FALSE,TRUE),OR(exact(Metadata!H757,"not applicable"),exact(Metadata!H757,"not collected"),exact(Metadata!H757,"not provided"),exact(Metadata!H757,"restricted access"))),AND(IF(Metadata!H757="",FALSE,ISNUMBER(VALUE(Metadata!H757))),Metadata!H757&gt;0))</f>
        <v>0</v>
      </c>
      <c r="AI757">
        <f>AND(IF(Metadata!I757="",FALSE,TRUE),exact(Metadata!I757,"human"))</f>
        <v>0</v>
      </c>
      <c r="AJ757">
        <f>AND(IF(Metadata!J757="",FALSE,ISNUMBER(VALUE(Metadata!J757))),Metadata!J757&gt;0)</f>
        <v>0</v>
      </c>
      <c r="AK757">
        <f>AND(IF(Metadata!K757="",FALSE,TRUE),exact(Metadata!K757,"cm"))</f>
        <v>0</v>
      </c>
      <c r="AL757">
        <f>AND(IF(Metadata!L757="",FALSE,TRUE),exact(Metadata!L757,"Homo sapiens"))</f>
        <v>0</v>
      </c>
      <c r="AM757">
        <f>AND(IF(Metadata!M757="",FALSE,TRUE),exact(Metadata!M757,"9606"))</f>
        <v>0</v>
      </c>
      <c r="AN757">
        <f>AND(IF(Metadata!N757="",FALSE,ISNUMBER(VALUE(Metadata!N757))),Metadata!N757&gt;0)</f>
        <v>0</v>
      </c>
      <c r="AO757">
        <f>AND(IF(Metadata!O757="",FALSE,TRUE),exact(Metadata!O757,"kg"))</f>
        <v>0</v>
      </c>
      <c r="AP757">
        <f>OR(AND(IF(Metadata!P757="",FALSE,TRUE),exact(Metadata!P757,"not provided")),IF(Metadata!P757="",FALSE,TRUE))</f>
        <v>0</v>
      </c>
      <c r="AQ757">
        <f>OR(AND(IF(Metadata!Q757="",FALSE,TRUE),exact(Metadata!Q757,"not provided")),IF(Metadata!Q757="",FALSE,TRUE))</f>
        <v>0</v>
      </c>
    </row>
    <row r="758" spans="1:43">
      <c r="A758" s="4">
        <f>IF(B758=" "," ",HYPERLINK(CONCATENATE("#metadata!",ADDRESS(INDEX($W$2:$W$1001,MATCH(ROWS($U$2:U758),$U$2:$U$1001,0),0),2)),INDEX($Z$2:$Z$1001,MATCH(ROWS($U$2:U758),$U$2:$U$1001,0),0)))</f>
        <v>0</v>
      </c>
      <c r="B758" s="5">
        <f>IF(OR(INDEX($V$2:$V$1001,MATCH(ROWS($U$2:U758),$U$2:$U$1001,0),1)&gt;=100000,INDEX($AB$1005:$AQ$1005,1,MATCH(COLUMNS($AB$1006:AB1006),$AB$1006:$AQ$1006,0))&gt;=100000), " ",IF(INDEX($AB$2:$AQ$1001,MATCH(ROWS($U$2:U758),$U$2:$U$1001,0),MATCH(COLUMNS($AB$1006:AB1006),$AB$1006:$AQ$1006,0)), HYPERLINK("#",""), HYPERLINK(CONCATENATE("#Metadata!", ADDRESS(INDEX($W$2:$W$1001,MATCH(ROWS($U$2:U758),$U$2:$U$1001,0),0), INDEX($AB$1004:$AQ$1004,1,MATCH(COLUMNS($AB$1006:AB1006),$AB$1006:$AQ$1006,0)))),"Fix")))</f>
        <v>0</v>
      </c>
      <c r="C758" s="5">
        <f>IF(OR(INDEX($V$2:$V$1001,MATCH(ROWS($U$2:U758),$U$2:$U$1001,0),1)&gt;=100000,INDEX($AB$1005:$AQ$1005,1,MATCH(COLUMNS($AB$1006:AC1006),$AB$1006:$AQ$1006,0))&gt;=100000), " ",IF(INDEX($AB$2:$AQ$1001,MATCH(ROWS($U$2:U758),$U$2:$U$1001,0),MATCH(COLUMNS($AB$1006:AC1006),$AB$1006:$AQ$1006,0)), HYPERLINK("#",""), HYPERLINK(CONCATENATE("#Metadata!", ADDRESS(INDEX($W$2:$W$1001,MATCH(ROWS($U$2:U758),$U$2:$U$1001,0),0), INDEX($AB$1004:$AQ$1004,1,MATCH(COLUMNS($AB$1006:AC1006),$AB$1006:$AQ$1006,0)))),"Fix")))</f>
        <v>0</v>
      </c>
      <c r="D758" s="5">
        <f>IF(OR(INDEX($V$2:$V$1001,MATCH(ROWS($U$2:U758),$U$2:$U$1001,0),1)&gt;=100000,INDEX($AB$1005:$AQ$1005,1,MATCH(COLUMNS($AB$1006:AD1006),$AB$1006:$AQ$1006,0))&gt;=100000), " ",IF(INDEX($AB$2:$AQ$1001,MATCH(ROWS($U$2:U758),$U$2:$U$1001,0),MATCH(COLUMNS($AB$1006:AD1006),$AB$1006:$AQ$1006,0)), HYPERLINK("#",""), HYPERLINK(CONCATENATE("#Metadata!", ADDRESS(INDEX($W$2:$W$1001,MATCH(ROWS($U$2:U758),$U$2:$U$1001,0),0), INDEX($AB$1004:$AQ$1004,1,MATCH(COLUMNS($AB$1006:AD1006),$AB$1006:$AQ$1006,0)))),"Fix")))</f>
        <v>0</v>
      </c>
      <c r="E758" s="5">
        <f>IF(OR(INDEX($V$2:$V$1001,MATCH(ROWS($U$2:U758),$U$2:$U$1001,0),1)&gt;=100000,INDEX($AB$1005:$AQ$1005,1,MATCH(COLUMNS($AB$1006:AE1006),$AB$1006:$AQ$1006,0))&gt;=100000), " ",IF(INDEX($AB$2:$AQ$1001,MATCH(ROWS($U$2:U758),$U$2:$U$1001,0),MATCH(COLUMNS($AB$1006:AE1006),$AB$1006:$AQ$1006,0)), HYPERLINK("#",""), HYPERLINK(CONCATENATE("#Metadata!", ADDRESS(INDEX($W$2:$W$1001,MATCH(ROWS($U$2:U758),$U$2:$U$1001,0),0), INDEX($AB$1004:$AQ$1004,1,MATCH(COLUMNS($AB$1006:AE1006),$AB$1006:$AQ$1006,0)))),"Fix")))</f>
        <v>0</v>
      </c>
      <c r="F758" s="5">
        <f>IF(OR(INDEX($V$2:$V$1001,MATCH(ROWS($U$2:U758),$U$2:$U$1001,0),1)&gt;=100000,INDEX($AB$1005:$AQ$1005,1,MATCH(COLUMNS($AB$1006:AF1006),$AB$1006:$AQ$1006,0))&gt;=100000), " ",IF(INDEX($AB$2:$AQ$1001,MATCH(ROWS($U$2:U758),$U$2:$U$1001,0),MATCH(COLUMNS($AB$1006:AF1006),$AB$1006:$AQ$1006,0)), HYPERLINK("#",""), HYPERLINK(CONCATENATE("#Metadata!", ADDRESS(INDEX($W$2:$W$1001,MATCH(ROWS($U$2:U758),$U$2:$U$1001,0),0), INDEX($AB$1004:$AQ$1004,1,MATCH(COLUMNS($AB$1006:AF1006),$AB$1006:$AQ$1006,0)))),"Fix")))</f>
        <v>0</v>
      </c>
      <c r="G758" s="5">
        <f>IF(OR(INDEX($V$2:$V$1001,MATCH(ROWS($U$2:U758),$U$2:$U$1001,0),1)&gt;=100000,INDEX($AB$1005:$AQ$1005,1,MATCH(COLUMNS($AB$1006:AG1006),$AB$1006:$AQ$1006,0))&gt;=100000), " ",IF(INDEX($AB$2:$AQ$1001,MATCH(ROWS($U$2:U758),$U$2:$U$1001,0),MATCH(COLUMNS($AB$1006:AG1006),$AB$1006:$AQ$1006,0)), HYPERLINK("#",""), HYPERLINK(CONCATENATE("#Metadata!", ADDRESS(INDEX($W$2:$W$1001,MATCH(ROWS($U$2:U758),$U$2:$U$1001,0),0), INDEX($AB$1004:$AQ$1004,1,MATCH(COLUMNS($AB$1006:AG1006),$AB$1006:$AQ$1006,0)))),"Fix")))</f>
        <v>0</v>
      </c>
      <c r="H758" s="5">
        <f>IF(OR(INDEX($V$2:$V$1001,MATCH(ROWS($U$2:U758),$U$2:$U$1001,0),1)&gt;=100000,INDEX($AB$1005:$AQ$1005,1,MATCH(COLUMNS($AB$1006:AH1006),$AB$1006:$AQ$1006,0))&gt;=100000), " ",IF(INDEX($AB$2:$AQ$1001,MATCH(ROWS($U$2:U758),$U$2:$U$1001,0),MATCH(COLUMNS($AB$1006:AH1006),$AB$1006:$AQ$1006,0)), HYPERLINK("#",""), HYPERLINK(CONCATENATE("#Metadata!", ADDRESS(INDEX($W$2:$W$1001,MATCH(ROWS($U$2:U758),$U$2:$U$1001,0),0), INDEX($AB$1004:$AQ$1004,1,MATCH(COLUMNS($AB$1006:AH1006),$AB$1006:$AQ$1006,0)))),"Fix")))</f>
        <v>0</v>
      </c>
      <c r="I758" s="5">
        <f>IF(OR(INDEX($V$2:$V$1001,MATCH(ROWS($U$2:U758),$U$2:$U$1001,0),1)&gt;=100000,INDEX($AB$1005:$AQ$1005,1,MATCH(COLUMNS($AB$1006:AI1006),$AB$1006:$AQ$1006,0))&gt;=100000), " ",IF(INDEX($AB$2:$AQ$1001,MATCH(ROWS($U$2:U758),$U$2:$U$1001,0),MATCH(COLUMNS($AB$1006:AI1006),$AB$1006:$AQ$1006,0)), HYPERLINK("#",""), HYPERLINK(CONCATENATE("#Metadata!", ADDRESS(INDEX($W$2:$W$1001,MATCH(ROWS($U$2:U758),$U$2:$U$1001,0),0), INDEX($AB$1004:$AQ$1004,1,MATCH(COLUMNS($AB$1006:AI1006),$AB$1006:$AQ$1006,0)))),"Fix")))</f>
        <v>0</v>
      </c>
      <c r="J758" s="5">
        <f>IF(OR(INDEX($V$2:$V$1001,MATCH(ROWS($U$2:U758),$U$2:$U$1001,0),1)&gt;=100000,INDEX($AB$1005:$AQ$1005,1,MATCH(COLUMNS($AB$1006:AJ1006),$AB$1006:$AQ$1006,0))&gt;=100000), " ",IF(INDEX($AB$2:$AQ$1001,MATCH(ROWS($U$2:U758),$U$2:$U$1001,0),MATCH(COLUMNS($AB$1006:AJ1006),$AB$1006:$AQ$1006,0)), HYPERLINK("#",""), HYPERLINK(CONCATENATE("#Metadata!", ADDRESS(INDEX($W$2:$W$1001,MATCH(ROWS($U$2:U758),$U$2:$U$1001,0),0), INDEX($AB$1004:$AQ$1004,1,MATCH(COLUMNS($AB$1006:AJ1006),$AB$1006:$AQ$1006,0)))),"Fix")))</f>
        <v>0</v>
      </c>
      <c r="K758" s="5">
        <f>IF(OR(INDEX($V$2:$V$1001,MATCH(ROWS($U$2:U758),$U$2:$U$1001,0),1)&gt;=100000,INDEX($AB$1005:$AQ$1005,1,MATCH(COLUMNS($AB$1006:AK1006),$AB$1006:$AQ$1006,0))&gt;=100000), " ",IF(INDEX($AB$2:$AQ$1001,MATCH(ROWS($U$2:U758),$U$2:$U$1001,0),MATCH(COLUMNS($AB$1006:AK1006),$AB$1006:$AQ$1006,0)), HYPERLINK("#",""), HYPERLINK(CONCATENATE("#Metadata!", ADDRESS(INDEX($W$2:$W$1001,MATCH(ROWS($U$2:U758),$U$2:$U$1001,0),0), INDEX($AB$1004:$AQ$1004,1,MATCH(COLUMNS($AB$1006:AK1006),$AB$1006:$AQ$1006,0)))),"Fix")))</f>
        <v>0</v>
      </c>
      <c r="L758" s="5">
        <f>IF(OR(INDEX($V$2:$V$1001,MATCH(ROWS($U$2:U758),$U$2:$U$1001,0),1)&gt;=100000,INDEX($AB$1005:$AQ$1005,1,MATCH(COLUMNS($AB$1006:AL1006),$AB$1006:$AQ$1006,0))&gt;=100000), " ",IF(INDEX($AB$2:$AQ$1001,MATCH(ROWS($U$2:U758),$U$2:$U$1001,0),MATCH(COLUMNS($AB$1006:AL1006),$AB$1006:$AQ$1006,0)), HYPERLINK("#",""), HYPERLINK(CONCATENATE("#Metadata!", ADDRESS(INDEX($W$2:$W$1001,MATCH(ROWS($U$2:U758),$U$2:$U$1001,0),0), INDEX($AB$1004:$AQ$1004,1,MATCH(COLUMNS($AB$1006:AL1006),$AB$1006:$AQ$1006,0)))),"Fix")))</f>
        <v>0</v>
      </c>
      <c r="M758" s="5">
        <f>IF(OR(INDEX($V$2:$V$1001,MATCH(ROWS($U$2:U758),$U$2:$U$1001,0),1)&gt;=100000,INDEX($AB$1005:$AQ$1005,1,MATCH(COLUMNS($AB$1006:AM1006),$AB$1006:$AQ$1006,0))&gt;=100000), " ",IF(INDEX($AB$2:$AQ$1001,MATCH(ROWS($U$2:U758),$U$2:$U$1001,0),MATCH(COLUMNS($AB$1006:AM1006),$AB$1006:$AQ$1006,0)), HYPERLINK("#",""), HYPERLINK(CONCATENATE("#Metadata!", ADDRESS(INDEX($W$2:$W$1001,MATCH(ROWS($U$2:U758),$U$2:$U$1001,0),0), INDEX($AB$1004:$AQ$1004,1,MATCH(COLUMNS($AB$1006:AM1006),$AB$1006:$AQ$1006,0)))),"Fix")))</f>
        <v>0</v>
      </c>
      <c r="N758" s="5">
        <f>IF(OR(INDEX($V$2:$V$1001,MATCH(ROWS($U$2:U758),$U$2:$U$1001,0),1)&gt;=100000,INDEX($AB$1005:$AQ$1005,1,MATCH(COLUMNS($AB$1006:AN1006),$AB$1006:$AQ$1006,0))&gt;=100000), " ",IF(INDEX($AB$2:$AQ$1001,MATCH(ROWS($U$2:U758),$U$2:$U$1001,0),MATCH(COLUMNS($AB$1006:AN1006),$AB$1006:$AQ$1006,0)), HYPERLINK("#",""), HYPERLINK(CONCATENATE("#Metadata!", ADDRESS(INDEX($W$2:$W$1001,MATCH(ROWS($U$2:U758),$U$2:$U$1001,0),0), INDEX($AB$1004:$AQ$1004,1,MATCH(COLUMNS($AB$1006:AN1006),$AB$1006:$AQ$1006,0)))),"Fix")))</f>
        <v>0</v>
      </c>
      <c r="O758" s="5">
        <f>IF(OR(INDEX($V$2:$V$1001,MATCH(ROWS($U$2:U758),$U$2:$U$1001,0),1)&gt;=100000,INDEX($AB$1005:$AQ$1005,1,MATCH(COLUMNS($AB$1006:AO1006),$AB$1006:$AQ$1006,0))&gt;=100000), " ",IF(INDEX($AB$2:$AQ$1001,MATCH(ROWS($U$2:U758),$U$2:$U$1001,0),MATCH(COLUMNS($AB$1006:AO1006),$AB$1006:$AQ$1006,0)), HYPERLINK("#",""), HYPERLINK(CONCATENATE("#Metadata!", ADDRESS(INDEX($W$2:$W$1001,MATCH(ROWS($U$2:U758),$U$2:$U$1001,0),0), INDEX($AB$1004:$AQ$1004,1,MATCH(COLUMNS($AB$1006:AO1006),$AB$1006:$AQ$1006,0)))),"Fix")))</f>
        <v>0</v>
      </c>
      <c r="P758" s="5">
        <f>IF(OR(INDEX($V$2:$V$1001,MATCH(ROWS($U$2:U758),$U$2:$U$1001,0),1)&gt;=100000,INDEX($AB$1005:$AQ$1005,1,MATCH(COLUMNS($AB$1006:AP1006),$AB$1006:$AQ$1006,0))&gt;=100000), " ",IF(INDEX($AB$2:$AQ$1001,MATCH(ROWS($U$2:U758),$U$2:$U$1001,0),MATCH(COLUMNS($AB$1006:AP1006),$AB$1006:$AQ$1006,0)), HYPERLINK("#",""), HYPERLINK(CONCATENATE("#Metadata!", ADDRESS(INDEX($W$2:$W$1001,MATCH(ROWS($U$2:U758),$U$2:$U$1001,0),0), INDEX($AB$1004:$AQ$1004,1,MATCH(COLUMNS($AB$1006:AP1006),$AB$1006:$AQ$1006,0)))),"Fix")))</f>
        <v>0</v>
      </c>
      <c r="Q758" s="5">
        <f>IF(OR(INDEX($V$2:$V$1001,MATCH(ROWS($U$2:U758),$U$2:$U$1001,0),1)&gt;=100000,INDEX($AB$1005:$AQ$1005,1,MATCH(COLUMNS($AB$1006:AQ1006),$AB$1006:$AQ$1006,0))&gt;=100000), " ",IF(INDEX($AB$2:$AQ$1001,MATCH(ROWS($U$2:U758),$U$2:$U$1001,0),MATCH(COLUMNS($AB$1006:AQ1006),$AB$1006:$AQ$1006,0)), HYPERLINK("#",""), HYPERLINK(CONCATENATE("#Metadata!", ADDRESS(INDEX($W$2:$W$1001,MATCH(ROWS($U$2:U758),$U$2:$U$1001,0),0), INDEX($AB$1004:$AQ$1004,1,MATCH(COLUMNS($AB$1006:AQ1006),$AB$1006:$AQ$1006,0)))),"Fix")))</f>
        <v>0</v>
      </c>
      <c r="U758">
        <v>0</v>
      </c>
      <c r="V758">
        <v>0</v>
      </c>
      <c r="W758">
        <v>0</v>
      </c>
      <c r="X758">
        <f>IF(Y758,TRUE,AND(AB758:AQ758))</f>
        <v>0</v>
      </c>
      <c r="Y758">
        <f>COUNTBLANK(Metadata!B758:Q758)=COLUMNS(Metadata!B758:Q758)</f>
        <v>0</v>
      </c>
      <c r="Z758">
        <v>0</v>
      </c>
      <c r="AB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AC758">
        <f>AND(IF(Metadata!C758="",FALSE,TRUE),exact(Metadata!C758,"urban biome"))</f>
        <v>0</v>
      </c>
      <c r="AD758">
        <f>AND(IF(Metadata!D758="",FALSE,TRUE),exact(Metadata!D758,"human-associated habitat"))</f>
        <v>0</v>
      </c>
      <c r="AE758">
        <f>AND(IF(Metadata!E758="",FALSE,TRUE),OR(exact(Metadata!E758,"human-associated"),exact(Metadata!E758,"human-skin"),exact(Metadata!E758,"human-oral"),exact(Metadata!E758,"human-gut"),exact(Metadata!E758,"human-vaginal")))</f>
        <v>0</v>
      </c>
      <c r="AF758">
        <f>AND(IF(Metadata!F758="",FALSE,ISNUMBER(VALUE(Metadata!F758))),Metadata!F758&gt;0)</f>
        <v>0</v>
      </c>
      <c r="AG758">
        <f>AND(IF(Metadata!G758="",FALSE,TRUE),exact(Metadata!G758,"years"))</f>
        <v>0</v>
      </c>
      <c r="AH758">
        <f>OR(AND(IF(Metadata!H758="",FALSE,TRUE),OR(exact(Metadata!H758,"not applicable"),exact(Metadata!H758,"not collected"),exact(Metadata!H758,"not provided"),exact(Metadata!H758,"restricted access"))),AND(IF(Metadata!H758="",FALSE,ISNUMBER(VALUE(Metadata!H758))),Metadata!H758&gt;0))</f>
        <v>0</v>
      </c>
      <c r="AI758">
        <f>AND(IF(Metadata!I758="",FALSE,TRUE),exact(Metadata!I758,"human"))</f>
        <v>0</v>
      </c>
      <c r="AJ758">
        <f>AND(IF(Metadata!J758="",FALSE,ISNUMBER(VALUE(Metadata!J758))),Metadata!J758&gt;0)</f>
        <v>0</v>
      </c>
      <c r="AK758">
        <f>AND(IF(Metadata!K758="",FALSE,TRUE),exact(Metadata!K758,"cm"))</f>
        <v>0</v>
      </c>
      <c r="AL758">
        <f>AND(IF(Metadata!L758="",FALSE,TRUE),exact(Metadata!L758,"Homo sapiens"))</f>
        <v>0</v>
      </c>
      <c r="AM758">
        <f>AND(IF(Metadata!M758="",FALSE,TRUE),exact(Metadata!M758,"9606"))</f>
        <v>0</v>
      </c>
      <c r="AN758">
        <f>AND(IF(Metadata!N758="",FALSE,ISNUMBER(VALUE(Metadata!N758))),Metadata!N758&gt;0)</f>
        <v>0</v>
      </c>
      <c r="AO758">
        <f>AND(IF(Metadata!O758="",FALSE,TRUE),exact(Metadata!O758,"kg"))</f>
        <v>0</v>
      </c>
      <c r="AP758">
        <f>OR(AND(IF(Metadata!P758="",FALSE,TRUE),exact(Metadata!P758,"not provided")),IF(Metadata!P758="",FALSE,TRUE))</f>
        <v>0</v>
      </c>
      <c r="AQ758">
        <f>OR(AND(IF(Metadata!Q758="",FALSE,TRUE),exact(Metadata!Q758,"not provided")),IF(Metadata!Q758="",FALSE,TRUE))</f>
        <v>0</v>
      </c>
    </row>
    <row r="759" spans="1:43">
      <c r="A759" s="4">
        <f>IF(B759=" "," ",HYPERLINK(CONCATENATE("#metadata!",ADDRESS(INDEX($W$2:$W$1001,MATCH(ROWS($U$2:U759),$U$2:$U$1001,0),0),2)),INDEX($Z$2:$Z$1001,MATCH(ROWS($U$2:U759),$U$2:$U$1001,0),0)))</f>
        <v>0</v>
      </c>
      <c r="B759" s="5">
        <f>IF(OR(INDEX($V$2:$V$1001,MATCH(ROWS($U$2:U759),$U$2:$U$1001,0),1)&gt;=100000,INDEX($AB$1005:$AQ$1005,1,MATCH(COLUMNS($AB$1006:AB1006),$AB$1006:$AQ$1006,0))&gt;=100000), " ",IF(INDEX($AB$2:$AQ$1001,MATCH(ROWS($U$2:U759),$U$2:$U$1001,0),MATCH(COLUMNS($AB$1006:AB1006),$AB$1006:$AQ$1006,0)), HYPERLINK("#",""), HYPERLINK(CONCATENATE("#Metadata!", ADDRESS(INDEX($W$2:$W$1001,MATCH(ROWS($U$2:U759),$U$2:$U$1001,0),0), INDEX($AB$1004:$AQ$1004,1,MATCH(COLUMNS($AB$1006:AB1006),$AB$1006:$AQ$1006,0)))),"Fix")))</f>
        <v>0</v>
      </c>
      <c r="C759" s="5">
        <f>IF(OR(INDEX($V$2:$V$1001,MATCH(ROWS($U$2:U759),$U$2:$U$1001,0),1)&gt;=100000,INDEX($AB$1005:$AQ$1005,1,MATCH(COLUMNS($AB$1006:AC1006),$AB$1006:$AQ$1006,0))&gt;=100000), " ",IF(INDEX($AB$2:$AQ$1001,MATCH(ROWS($U$2:U759),$U$2:$U$1001,0),MATCH(COLUMNS($AB$1006:AC1006),$AB$1006:$AQ$1006,0)), HYPERLINK("#",""), HYPERLINK(CONCATENATE("#Metadata!", ADDRESS(INDEX($W$2:$W$1001,MATCH(ROWS($U$2:U759),$U$2:$U$1001,0),0), INDEX($AB$1004:$AQ$1004,1,MATCH(COLUMNS($AB$1006:AC1006),$AB$1006:$AQ$1006,0)))),"Fix")))</f>
        <v>0</v>
      </c>
      <c r="D759" s="5">
        <f>IF(OR(INDEX($V$2:$V$1001,MATCH(ROWS($U$2:U759),$U$2:$U$1001,0),1)&gt;=100000,INDEX($AB$1005:$AQ$1005,1,MATCH(COLUMNS($AB$1006:AD1006),$AB$1006:$AQ$1006,0))&gt;=100000), " ",IF(INDEX($AB$2:$AQ$1001,MATCH(ROWS($U$2:U759),$U$2:$U$1001,0),MATCH(COLUMNS($AB$1006:AD1006),$AB$1006:$AQ$1006,0)), HYPERLINK("#",""), HYPERLINK(CONCATENATE("#Metadata!", ADDRESS(INDEX($W$2:$W$1001,MATCH(ROWS($U$2:U759),$U$2:$U$1001,0),0), INDEX($AB$1004:$AQ$1004,1,MATCH(COLUMNS($AB$1006:AD1006),$AB$1006:$AQ$1006,0)))),"Fix")))</f>
        <v>0</v>
      </c>
      <c r="E759" s="5">
        <f>IF(OR(INDEX($V$2:$V$1001,MATCH(ROWS($U$2:U759),$U$2:$U$1001,0),1)&gt;=100000,INDEX($AB$1005:$AQ$1005,1,MATCH(COLUMNS($AB$1006:AE1006),$AB$1006:$AQ$1006,0))&gt;=100000), " ",IF(INDEX($AB$2:$AQ$1001,MATCH(ROWS($U$2:U759),$U$2:$U$1001,0),MATCH(COLUMNS($AB$1006:AE1006),$AB$1006:$AQ$1006,0)), HYPERLINK("#",""), HYPERLINK(CONCATENATE("#Metadata!", ADDRESS(INDEX($W$2:$W$1001,MATCH(ROWS($U$2:U759),$U$2:$U$1001,0),0), INDEX($AB$1004:$AQ$1004,1,MATCH(COLUMNS($AB$1006:AE1006),$AB$1006:$AQ$1006,0)))),"Fix")))</f>
        <v>0</v>
      </c>
      <c r="F759" s="5">
        <f>IF(OR(INDEX($V$2:$V$1001,MATCH(ROWS($U$2:U759),$U$2:$U$1001,0),1)&gt;=100000,INDEX($AB$1005:$AQ$1005,1,MATCH(COLUMNS($AB$1006:AF1006),$AB$1006:$AQ$1006,0))&gt;=100000), " ",IF(INDEX($AB$2:$AQ$1001,MATCH(ROWS($U$2:U759),$U$2:$U$1001,0),MATCH(COLUMNS($AB$1006:AF1006),$AB$1006:$AQ$1006,0)), HYPERLINK("#",""), HYPERLINK(CONCATENATE("#Metadata!", ADDRESS(INDEX($W$2:$W$1001,MATCH(ROWS($U$2:U759),$U$2:$U$1001,0),0), INDEX($AB$1004:$AQ$1004,1,MATCH(COLUMNS($AB$1006:AF1006),$AB$1006:$AQ$1006,0)))),"Fix")))</f>
        <v>0</v>
      </c>
      <c r="G759" s="5">
        <f>IF(OR(INDEX($V$2:$V$1001,MATCH(ROWS($U$2:U759),$U$2:$U$1001,0),1)&gt;=100000,INDEX($AB$1005:$AQ$1005,1,MATCH(COLUMNS($AB$1006:AG1006),$AB$1006:$AQ$1006,0))&gt;=100000), " ",IF(INDEX($AB$2:$AQ$1001,MATCH(ROWS($U$2:U759),$U$2:$U$1001,0),MATCH(COLUMNS($AB$1006:AG1006),$AB$1006:$AQ$1006,0)), HYPERLINK("#",""), HYPERLINK(CONCATENATE("#Metadata!", ADDRESS(INDEX($W$2:$W$1001,MATCH(ROWS($U$2:U759),$U$2:$U$1001,0),0), INDEX($AB$1004:$AQ$1004,1,MATCH(COLUMNS($AB$1006:AG1006),$AB$1006:$AQ$1006,0)))),"Fix")))</f>
        <v>0</v>
      </c>
      <c r="H759" s="5">
        <f>IF(OR(INDEX($V$2:$V$1001,MATCH(ROWS($U$2:U759),$U$2:$U$1001,0),1)&gt;=100000,INDEX($AB$1005:$AQ$1005,1,MATCH(COLUMNS($AB$1006:AH1006),$AB$1006:$AQ$1006,0))&gt;=100000), " ",IF(INDEX($AB$2:$AQ$1001,MATCH(ROWS($U$2:U759),$U$2:$U$1001,0),MATCH(COLUMNS($AB$1006:AH1006),$AB$1006:$AQ$1006,0)), HYPERLINK("#",""), HYPERLINK(CONCATENATE("#Metadata!", ADDRESS(INDEX($W$2:$W$1001,MATCH(ROWS($U$2:U759),$U$2:$U$1001,0),0), INDEX($AB$1004:$AQ$1004,1,MATCH(COLUMNS($AB$1006:AH1006),$AB$1006:$AQ$1006,0)))),"Fix")))</f>
        <v>0</v>
      </c>
      <c r="I759" s="5">
        <f>IF(OR(INDEX($V$2:$V$1001,MATCH(ROWS($U$2:U759),$U$2:$U$1001,0),1)&gt;=100000,INDEX($AB$1005:$AQ$1005,1,MATCH(COLUMNS($AB$1006:AI1006),$AB$1006:$AQ$1006,0))&gt;=100000), " ",IF(INDEX($AB$2:$AQ$1001,MATCH(ROWS($U$2:U759),$U$2:$U$1001,0),MATCH(COLUMNS($AB$1006:AI1006),$AB$1006:$AQ$1006,0)), HYPERLINK("#",""), HYPERLINK(CONCATENATE("#Metadata!", ADDRESS(INDEX($W$2:$W$1001,MATCH(ROWS($U$2:U759),$U$2:$U$1001,0),0), INDEX($AB$1004:$AQ$1004,1,MATCH(COLUMNS($AB$1006:AI1006),$AB$1006:$AQ$1006,0)))),"Fix")))</f>
        <v>0</v>
      </c>
      <c r="J759" s="5">
        <f>IF(OR(INDEX($V$2:$V$1001,MATCH(ROWS($U$2:U759),$U$2:$U$1001,0),1)&gt;=100000,INDEX($AB$1005:$AQ$1005,1,MATCH(COLUMNS($AB$1006:AJ1006),$AB$1006:$AQ$1006,0))&gt;=100000), " ",IF(INDEX($AB$2:$AQ$1001,MATCH(ROWS($U$2:U759),$U$2:$U$1001,0),MATCH(COLUMNS($AB$1006:AJ1006),$AB$1006:$AQ$1006,0)), HYPERLINK("#",""), HYPERLINK(CONCATENATE("#Metadata!", ADDRESS(INDEX($W$2:$W$1001,MATCH(ROWS($U$2:U759),$U$2:$U$1001,0),0), INDEX($AB$1004:$AQ$1004,1,MATCH(COLUMNS($AB$1006:AJ1006),$AB$1006:$AQ$1006,0)))),"Fix")))</f>
        <v>0</v>
      </c>
      <c r="K759" s="5">
        <f>IF(OR(INDEX($V$2:$V$1001,MATCH(ROWS($U$2:U759),$U$2:$U$1001,0),1)&gt;=100000,INDEX($AB$1005:$AQ$1005,1,MATCH(COLUMNS($AB$1006:AK1006),$AB$1006:$AQ$1006,0))&gt;=100000), " ",IF(INDEX($AB$2:$AQ$1001,MATCH(ROWS($U$2:U759),$U$2:$U$1001,0),MATCH(COLUMNS($AB$1006:AK1006),$AB$1006:$AQ$1006,0)), HYPERLINK("#",""), HYPERLINK(CONCATENATE("#Metadata!", ADDRESS(INDEX($W$2:$W$1001,MATCH(ROWS($U$2:U759),$U$2:$U$1001,0),0), INDEX($AB$1004:$AQ$1004,1,MATCH(COLUMNS($AB$1006:AK1006),$AB$1006:$AQ$1006,0)))),"Fix")))</f>
        <v>0</v>
      </c>
      <c r="L759" s="5">
        <f>IF(OR(INDEX($V$2:$V$1001,MATCH(ROWS($U$2:U759),$U$2:$U$1001,0),1)&gt;=100000,INDEX($AB$1005:$AQ$1005,1,MATCH(COLUMNS($AB$1006:AL1006),$AB$1006:$AQ$1006,0))&gt;=100000), " ",IF(INDEX($AB$2:$AQ$1001,MATCH(ROWS($U$2:U759),$U$2:$U$1001,0),MATCH(COLUMNS($AB$1006:AL1006),$AB$1006:$AQ$1006,0)), HYPERLINK("#",""), HYPERLINK(CONCATENATE("#Metadata!", ADDRESS(INDEX($W$2:$W$1001,MATCH(ROWS($U$2:U759),$U$2:$U$1001,0),0), INDEX($AB$1004:$AQ$1004,1,MATCH(COLUMNS($AB$1006:AL1006),$AB$1006:$AQ$1006,0)))),"Fix")))</f>
        <v>0</v>
      </c>
      <c r="M759" s="5">
        <f>IF(OR(INDEX($V$2:$V$1001,MATCH(ROWS($U$2:U759),$U$2:$U$1001,0),1)&gt;=100000,INDEX($AB$1005:$AQ$1005,1,MATCH(COLUMNS($AB$1006:AM1006),$AB$1006:$AQ$1006,0))&gt;=100000), " ",IF(INDEX($AB$2:$AQ$1001,MATCH(ROWS($U$2:U759),$U$2:$U$1001,0),MATCH(COLUMNS($AB$1006:AM1006),$AB$1006:$AQ$1006,0)), HYPERLINK("#",""), HYPERLINK(CONCATENATE("#Metadata!", ADDRESS(INDEX($W$2:$W$1001,MATCH(ROWS($U$2:U759),$U$2:$U$1001,0),0), INDEX($AB$1004:$AQ$1004,1,MATCH(COLUMNS($AB$1006:AM1006),$AB$1006:$AQ$1006,0)))),"Fix")))</f>
        <v>0</v>
      </c>
      <c r="N759" s="5">
        <f>IF(OR(INDEX($V$2:$V$1001,MATCH(ROWS($U$2:U759),$U$2:$U$1001,0),1)&gt;=100000,INDEX($AB$1005:$AQ$1005,1,MATCH(COLUMNS($AB$1006:AN1006),$AB$1006:$AQ$1006,0))&gt;=100000), " ",IF(INDEX($AB$2:$AQ$1001,MATCH(ROWS($U$2:U759),$U$2:$U$1001,0),MATCH(COLUMNS($AB$1006:AN1006),$AB$1006:$AQ$1006,0)), HYPERLINK("#",""), HYPERLINK(CONCATENATE("#Metadata!", ADDRESS(INDEX($W$2:$W$1001,MATCH(ROWS($U$2:U759),$U$2:$U$1001,0),0), INDEX($AB$1004:$AQ$1004,1,MATCH(COLUMNS($AB$1006:AN1006),$AB$1006:$AQ$1006,0)))),"Fix")))</f>
        <v>0</v>
      </c>
      <c r="O759" s="5">
        <f>IF(OR(INDEX($V$2:$V$1001,MATCH(ROWS($U$2:U759),$U$2:$U$1001,0),1)&gt;=100000,INDEX($AB$1005:$AQ$1005,1,MATCH(COLUMNS($AB$1006:AO1006),$AB$1006:$AQ$1006,0))&gt;=100000), " ",IF(INDEX($AB$2:$AQ$1001,MATCH(ROWS($U$2:U759),$U$2:$U$1001,0),MATCH(COLUMNS($AB$1006:AO1006),$AB$1006:$AQ$1006,0)), HYPERLINK("#",""), HYPERLINK(CONCATENATE("#Metadata!", ADDRESS(INDEX($W$2:$W$1001,MATCH(ROWS($U$2:U759),$U$2:$U$1001,0),0), INDEX($AB$1004:$AQ$1004,1,MATCH(COLUMNS($AB$1006:AO1006),$AB$1006:$AQ$1006,0)))),"Fix")))</f>
        <v>0</v>
      </c>
      <c r="P759" s="5">
        <f>IF(OR(INDEX($V$2:$V$1001,MATCH(ROWS($U$2:U759),$U$2:$U$1001,0),1)&gt;=100000,INDEX($AB$1005:$AQ$1005,1,MATCH(COLUMNS($AB$1006:AP1006),$AB$1006:$AQ$1006,0))&gt;=100000), " ",IF(INDEX($AB$2:$AQ$1001,MATCH(ROWS($U$2:U759),$U$2:$U$1001,0),MATCH(COLUMNS($AB$1006:AP1006),$AB$1006:$AQ$1006,0)), HYPERLINK("#",""), HYPERLINK(CONCATENATE("#Metadata!", ADDRESS(INDEX($W$2:$W$1001,MATCH(ROWS($U$2:U759),$U$2:$U$1001,0),0), INDEX($AB$1004:$AQ$1004,1,MATCH(COLUMNS($AB$1006:AP1006),$AB$1006:$AQ$1006,0)))),"Fix")))</f>
        <v>0</v>
      </c>
      <c r="Q759" s="5">
        <f>IF(OR(INDEX($V$2:$V$1001,MATCH(ROWS($U$2:U759),$U$2:$U$1001,0),1)&gt;=100000,INDEX($AB$1005:$AQ$1005,1,MATCH(COLUMNS($AB$1006:AQ1006),$AB$1006:$AQ$1006,0))&gt;=100000), " ",IF(INDEX($AB$2:$AQ$1001,MATCH(ROWS($U$2:U759),$U$2:$U$1001,0),MATCH(COLUMNS($AB$1006:AQ1006),$AB$1006:$AQ$1006,0)), HYPERLINK("#",""), HYPERLINK(CONCATENATE("#Metadata!", ADDRESS(INDEX($W$2:$W$1001,MATCH(ROWS($U$2:U759),$U$2:$U$1001,0),0), INDEX($AB$1004:$AQ$1004,1,MATCH(COLUMNS($AB$1006:AQ1006),$AB$1006:$AQ$1006,0)))),"Fix")))</f>
        <v>0</v>
      </c>
      <c r="U759">
        <v>0</v>
      </c>
      <c r="V759">
        <v>0</v>
      </c>
      <c r="W759">
        <v>0</v>
      </c>
      <c r="X759">
        <f>IF(Y759,TRUE,AND(AB759:AQ759))</f>
        <v>0</v>
      </c>
      <c r="Y759">
        <f>COUNTBLANK(Metadata!B759:Q759)=COLUMNS(Metadata!B759:Q759)</f>
        <v>0</v>
      </c>
      <c r="Z759">
        <v>0</v>
      </c>
      <c r="AB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AC759">
        <f>AND(IF(Metadata!C759="",FALSE,TRUE),exact(Metadata!C759,"urban biome"))</f>
        <v>0</v>
      </c>
      <c r="AD759">
        <f>AND(IF(Metadata!D759="",FALSE,TRUE),exact(Metadata!D759,"human-associated habitat"))</f>
        <v>0</v>
      </c>
      <c r="AE759">
        <f>AND(IF(Metadata!E759="",FALSE,TRUE),OR(exact(Metadata!E759,"human-associated"),exact(Metadata!E759,"human-skin"),exact(Metadata!E759,"human-oral"),exact(Metadata!E759,"human-gut"),exact(Metadata!E759,"human-vaginal")))</f>
        <v>0</v>
      </c>
      <c r="AF759">
        <f>AND(IF(Metadata!F759="",FALSE,ISNUMBER(VALUE(Metadata!F759))),Metadata!F759&gt;0)</f>
        <v>0</v>
      </c>
      <c r="AG759">
        <f>AND(IF(Metadata!G759="",FALSE,TRUE),exact(Metadata!G759,"years"))</f>
        <v>0</v>
      </c>
      <c r="AH759">
        <f>OR(AND(IF(Metadata!H759="",FALSE,TRUE),OR(exact(Metadata!H759,"not applicable"),exact(Metadata!H759,"not collected"),exact(Metadata!H759,"not provided"),exact(Metadata!H759,"restricted access"))),AND(IF(Metadata!H759="",FALSE,ISNUMBER(VALUE(Metadata!H759))),Metadata!H759&gt;0))</f>
        <v>0</v>
      </c>
      <c r="AI759">
        <f>AND(IF(Metadata!I759="",FALSE,TRUE),exact(Metadata!I759,"human"))</f>
        <v>0</v>
      </c>
      <c r="AJ759">
        <f>AND(IF(Metadata!J759="",FALSE,ISNUMBER(VALUE(Metadata!J759))),Metadata!J759&gt;0)</f>
        <v>0</v>
      </c>
      <c r="AK759">
        <f>AND(IF(Metadata!K759="",FALSE,TRUE),exact(Metadata!K759,"cm"))</f>
        <v>0</v>
      </c>
      <c r="AL759">
        <f>AND(IF(Metadata!L759="",FALSE,TRUE),exact(Metadata!L759,"Homo sapiens"))</f>
        <v>0</v>
      </c>
      <c r="AM759">
        <f>AND(IF(Metadata!M759="",FALSE,TRUE),exact(Metadata!M759,"9606"))</f>
        <v>0</v>
      </c>
      <c r="AN759">
        <f>AND(IF(Metadata!N759="",FALSE,ISNUMBER(VALUE(Metadata!N759))),Metadata!N759&gt;0)</f>
        <v>0</v>
      </c>
      <c r="AO759">
        <f>AND(IF(Metadata!O759="",FALSE,TRUE),exact(Metadata!O759,"kg"))</f>
        <v>0</v>
      </c>
      <c r="AP759">
        <f>OR(AND(IF(Metadata!P759="",FALSE,TRUE),exact(Metadata!P759,"not provided")),IF(Metadata!P759="",FALSE,TRUE))</f>
        <v>0</v>
      </c>
      <c r="AQ759">
        <f>OR(AND(IF(Metadata!Q759="",FALSE,TRUE),exact(Metadata!Q759,"not provided")),IF(Metadata!Q759="",FALSE,TRUE))</f>
        <v>0</v>
      </c>
    </row>
    <row r="760" spans="1:43">
      <c r="A760" s="4">
        <f>IF(B760=" "," ",HYPERLINK(CONCATENATE("#metadata!",ADDRESS(INDEX($W$2:$W$1001,MATCH(ROWS($U$2:U760),$U$2:$U$1001,0),0),2)),INDEX($Z$2:$Z$1001,MATCH(ROWS($U$2:U760),$U$2:$U$1001,0),0)))</f>
        <v>0</v>
      </c>
      <c r="B760" s="5">
        <f>IF(OR(INDEX($V$2:$V$1001,MATCH(ROWS($U$2:U760),$U$2:$U$1001,0),1)&gt;=100000,INDEX($AB$1005:$AQ$1005,1,MATCH(COLUMNS($AB$1006:AB1006),$AB$1006:$AQ$1006,0))&gt;=100000), " ",IF(INDEX($AB$2:$AQ$1001,MATCH(ROWS($U$2:U760),$U$2:$U$1001,0),MATCH(COLUMNS($AB$1006:AB1006),$AB$1006:$AQ$1006,0)), HYPERLINK("#",""), HYPERLINK(CONCATENATE("#Metadata!", ADDRESS(INDEX($W$2:$W$1001,MATCH(ROWS($U$2:U760),$U$2:$U$1001,0),0), INDEX($AB$1004:$AQ$1004,1,MATCH(COLUMNS($AB$1006:AB1006),$AB$1006:$AQ$1006,0)))),"Fix")))</f>
        <v>0</v>
      </c>
      <c r="C760" s="5">
        <f>IF(OR(INDEX($V$2:$V$1001,MATCH(ROWS($U$2:U760),$U$2:$U$1001,0),1)&gt;=100000,INDEX($AB$1005:$AQ$1005,1,MATCH(COLUMNS($AB$1006:AC1006),$AB$1006:$AQ$1006,0))&gt;=100000), " ",IF(INDEX($AB$2:$AQ$1001,MATCH(ROWS($U$2:U760),$U$2:$U$1001,0),MATCH(COLUMNS($AB$1006:AC1006),$AB$1006:$AQ$1006,0)), HYPERLINK("#",""), HYPERLINK(CONCATENATE("#Metadata!", ADDRESS(INDEX($W$2:$W$1001,MATCH(ROWS($U$2:U760),$U$2:$U$1001,0),0), INDEX($AB$1004:$AQ$1004,1,MATCH(COLUMNS($AB$1006:AC1006),$AB$1006:$AQ$1006,0)))),"Fix")))</f>
        <v>0</v>
      </c>
      <c r="D760" s="5">
        <f>IF(OR(INDEX($V$2:$V$1001,MATCH(ROWS($U$2:U760),$U$2:$U$1001,0),1)&gt;=100000,INDEX($AB$1005:$AQ$1005,1,MATCH(COLUMNS($AB$1006:AD1006),$AB$1006:$AQ$1006,0))&gt;=100000), " ",IF(INDEX($AB$2:$AQ$1001,MATCH(ROWS($U$2:U760),$U$2:$U$1001,0),MATCH(COLUMNS($AB$1006:AD1006),$AB$1006:$AQ$1006,0)), HYPERLINK("#",""), HYPERLINK(CONCATENATE("#Metadata!", ADDRESS(INDEX($W$2:$W$1001,MATCH(ROWS($U$2:U760),$U$2:$U$1001,0),0), INDEX($AB$1004:$AQ$1004,1,MATCH(COLUMNS($AB$1006:AD1006),$AB$1006:$AQ$1006,0)))),"Fix")))</f>
        <v>0</v>
      </c>
      <c r="E760" s="5">
        <f>IF(OR(INDEX($V$2:$V$1001,MATCH(ROWS($U$2:U760),$U$2:$U$1001,0),1)&gt;=100000,INDEX($AB$1005:$AQ$1005,1,MATCH(COLUMNS($AB$1006:AE1006),$AB$1006:$AQ$1006,0))&gt;=100000), " ",IF(INDEX($AB$2:$AQ$1001,MATCH(ROWS($U$2:U760),$U$2:$U$1001,0),MATCH(COLUMNS($AB$1006:AE1006),$AB$1006:$AQ$1006,0)), HYPERLINK("#",""), HYPERLINK(CONCATENATE("#Metadata!", ADDRESS(INDEX($W$2:$W$1001,MATCH(ROWS($U$2:U760),$U$2:$U$1001,0),0), INDEX($AB$1004:$AQ$1004,1,MATCH(COLUMNS($AB$1006:AE1006),$AB$1006:$AQ$1006,0)))),"Fix")))</f>
        <v>0</v>
      </c>
      <c r="F760" s="5">
        <f>IF(OR(INDEX($V$2:$V$1001,MATCH(ROWS($U$2:U760),$U$2:$U$1001,0),1)&gt;=100000,INDEX($AB$1005:$AQ$1005,1,MATCH(COLUMNS($AB$1006:AF1006),$AB$1006:$AQ$1006,0))&gt;=100000), " ",IF(INDEX($AB$2:$AQ$1001,MATCH(ROWS($U$2:U760),$U$2:$U$1001,0),MATCH(COLUMNS($AB$1006:AF1006),$AB$1006:$AQ$1006,0)), HYPERLINK("#",""), HYPERLINK(CONCATENATE("#Metadata!", ADDRESS(INDEX($W$2:$W$1001,MATCH(ROWS($U$2:U760),$U$2:$U$1001,0),0), INDEX($AB$1004:$AQ$1004,1,MATCH(COLUMNS($AB$1006:AF1006),$AB$1006:$AQ$1006,0)))),"Fix")))</f>
        <v>0</v>
      </c>
      <c r="G760" s="5">
        <f>IF(OR(INDEX($V$2:$V$1001,MATCH(ROWS($U$2:U760),$U$2:$U$1001,0),1)&gt;=100000,INDEX($AB$1005:$AQ$1005,1,MATCH(COLUMNS($AB$1006:AG1006),$AB$1006:$AQ$1006,0))&gt;=100000), " ",IF(INDEX($AB$2:$AQ$1001,MATCH(ROWS($U$2:U760),$U$2:$U$1001,0),MATCH(COLUMNS($AB$1006:AG1006),$AB$1006:$AQ$1006,0)), HYPERLINK("#",""), HYPERLINK(CONCATENATE("#Metadata!", ADDRESS(INDEX($W$2:$W$1001,MATCH(ROWS($U$2:U760),$U$2:$U$1001,0),0), INDEX($AB$1004:$AQ$1004,1,MATCH(COLUMNS($AB$1006:AG1006),$AB$1006:$AQ$1006,0)))),"Fix")))</f>
        <v>0</v>
      </c>
      <c r="H760" s="5">
        <f>IF(OR(INDEX($V$2:$V$1001,MATCH(ROWS($U$2:U760),$U$2:$U$1001,0),1)&gt;=100000,INDEX($AB$1005:$AQ$1005,1,MATCH(COLUMNS($AB$1006:AH1006),$AB$1006:$AQ$1006,0))&gt;=100000), " ",IF(INDEX($AB$2:$AQ$1001,MATCH(ROWS($U$2:U760),$U$2:$U$1001,0),MATCH(COLUMNS($AB$1006:AH1006),$AB$1006:$AQ$1006,0)), HYPERLINK("#",""), HYPERLINK(CONCATENATE("#Metadata!", ADDRESS(INDEX($W$2:$W$1001,MATCH(ROWS($U$2:U760),$U$2:$U$1001,0),0), INDEX($AB$1004:$AQ$1004,1,MATCH(COLUMNS($AB$1006:AH1006),$AB$1006:$AQ$1006,0)))),"Fix")))</f>
        <v>0</v>
      </c>
      <c r="I760" s="5">
        <f>IF(OR(INDEX($V$2:$V$1001,MATCH(ROWS($U$2:U760),$U$2:$U$1001,0),1)&gt;=100000,INDEX($AB$1005:$AQ$1005,1,MATCH(COLUMNS($AB$1006:AI1006),$AB$1006:$AQ$1006,0))&gt;=100000), " ",IF(INDEX($AB$2:$AQ$1001,MATCH(ROWS($U$2:U760),$U$2:$U$1001,0),MATCH(COLUMNS($AB$1006:AI1006),$AB$1006:$AQ$1006,0)), HYPERLINK("#",""), HYPERLINK(CONCATENATE("#Metadata!", ADDRESS(INDEX($W$2:$W$1001,MATCH(ROWS($U$2:U760),$U$2:$U$1001,0),0), INDEX($AB$1004:$AQ$1004,1,MATCH(COLUMNS($AB$1006:AI1006),$AB$1006:$AQ$1006,0)))),"Fix")))</f>
        <v>0</v>
      </c>
      <c r="J760" s="5">
        <f>IF(OR(INDEX($V$2:$V$1001,MATCH(ROWS($U$2:U760),$U$2:$U$1001,0),1)&gt;=100000,INDEX($AB$1005:$AQ$1005,1,MATCH(COLUMNS($AB$1006:AJ1006),$AB$1006:$AQ$1006,0))&gt;=100000), " ",IF(INDEX($AB$2:$AQ$1001,MATCH(ROWS($U$2:U760),$U$2:$U$1001,0),MATCH(COLUMNS($AB$1006:AJ1006),$AB$1006:$AQ$1006,0)), HYPERLINK("#",""), HYPERLINK(CONCATENATE("#Metadata!", ADDRESS(INDEX($W$2:$W$1001,MATCH(ROWS($U$2:U760),$U$2:$U$1001,0),0), INDEX($AB$1004:$AQ$1004,1,MATCH(COLUMNS($AB$1006:AJ1006),$AB$1006:$AQ$1006,0)))),"Fix")))</f>
        <v>0</v>
      </c>
      <c r="K760" s="5">
        <f>IF(OR(INDEX($V$2:$V$1001,MATCH(ROWS($U$2:U760),$U$2:$U$1001,0),1)&gt;=100000,INDEX($AB$1005:$AQ$1005,1,MATCH(COLUMNS($AB$1006:AK1006),$AB$1006:$AQ$1006,0))&gt;=100000), " ",IF(INDEX($AB$2:$AQ$1001,MATCH(ROWS($U$2:U760),$U$2:$U$1001,0),MATCH(COLUMNS($AB$1006:AK1006),$AB$1006:$AQ$1006,0)), HYPERLINK("#",""), HYPERLINK(CONCATENATE("#Metadata!", ADDRESS(INDEX($W$2:$W$1001,MATCH(ROWS($U$2:U760),$U$2:$U$1001,0),0), INDEX($AB$1004:$AQ$1004,1,MATCH(COLUMNS($AB$1006:AK1006),$AB$1006:$AQ$1006,0)))),"Fix")))</f>
        <v>0</v>
      </c>
      <c r="L760" s="5">
        <f>IF(OR(INDEX($V$2:$V$1001,MATCH(ROWS($U$2:U760),$U$2:$U$1001,0),1)&gt;=100000,INDEX($AB$1005:$AQ$1005,1,MATCH(COLUMNS($AB$1006:AL1006),$AB$1006:$AQ$1006,0))&gt;=100000), " ",IF(INDEX($AB$2:$AQ$1001,MATCH(ROWS($U$2:U760),$U$2:$U$1001,0),MATCH(COLUMNS($AB$1006:AL1006),$AB$1006:$AQ$1006,0)), HYPERLINK("#",""), HYPERLINK(CONCATENATE("#Metadata!", ADDRESS(INDEX($W$2:$W$1001,MATCH(ROWS($U$2:U760),$U$2:$U$1001,0),0), INDEX($AB$1004:$AQ$1004,1,MATCH(COLUMNS($AB$1006:AL1006),$AB$1006:$AQ$1006,0)))),"Fix")))</f>
        <v>0</v>
      </c>
      <c r="M760" s="5">
        <f>IF(OR(INDEX($V$2:$V$1001,MATCH(ROWS($U$2:U760),$U$2:$U$1001,0),1)&gt;=100000,INDEX($AB$1005:$AQ$1005,1,MATCH(COLUMNS($AB$1006:AM1006),$AB$1006:$AQ$1006,0))&gt;=100000), " ",IF(INDEX($AB$2:$AQ$1001,MATCH(ROWS($U$2:U760),$U$2:$U$1001,0),MATCH(COLUMNS($AB$1006:AM1006),$AB$1006:$AQ$1006,0)), HYPERLINK("#",""), HYPERLINK(CONCATENATE("#Metadata!", ADDRESS(INDEX($W$2:$W$1001,MATCH(ROWS($U$2:U760),$U$2:$U$1001,0),0), INDEX($AB$1004:$AQ$1004,1,MATCH(COLUMNS($AB$1006:AM1006),$AB$1006:$AQ$1006,0)))),"Fix")))</f>
        <v>0</v>
      </c>
      <c r="N760" s="5">
        <f>IF(OR(INDEX($V$2:$V$1001,MATCH(ROWS($U$2:U760),$U$2:$U$1001,0),1)&gt;=100000,INDEX($AB$1005:$AQ$1005,1,MATCH(COLUMNS($AB$1006:AN1006),$AB$1006:$AQ$1006,0))&gt;=100000), " ",IF(INDEX($AB$2:$AQ$1001,MATCH(ROWS($U$2:U760),$U$2:$U$1001,0),MATCH(COLUMNS($AB$1006:AN1006),$AB$1006:$AQ$1006,0)), HYPERLINK("#",""), HYPERLINK(CONCATENATE("#Metadata!", ADDRESS(INDEX($W$2:$W$1001,MATCH(ROWS($U$2:U760),$U$2:$U$1001,0),0), INDEX($AB$1004:$AQ$1004,1,MATCH(COLUMNS($AB$1006:AN1006),$AB$1006:$AQ$1006,0)))),"Fix")))</f>
        <v>0</v>
      </c>
      <c r="O760" s="5">
        <f>IF(OR(INDEX($V$2:$V$1001,MATCH(ROWS($U$2:U760),$U$2:$U$1001,0),1)&gt;=100000,INDEX($AB$1005:$AQ$1005,1,MATCH(COLUMNS($AB$1006:AO1006),$AB$1006:$AQ$1006,0))&gt;=100000), " ",IF(INDEX($AB$2:$AQ$1001,MATCH(ROWS($U$2:U760),$U$2:$U$1001,0),MATCH(COLUMNS($AB$1006:AO1006),$AB$1006:$AQ$1006,0)), HYPERLINK("#",""), HYPERLINK(CONCATENATE("#Metadata!", ADDRESS(INDEX($W$2:$W$1001,MATCH(ROWS($U$2:U760),$U$2:$U$1001,0),0), INDEX($AB$1004:$AQ$1004,1,MATCH(COLUMNS($AB$1006:AO1006),$AB$1006:$AQ$1006,0)))),"Fix")))</f>
        <v>0</v>
      </c>
      <c r="P760" s="5">
        <f>IF(OR(INDEX($V$2:$V$1001,MATCH(ROWS($U$2:U760),$U$2:$U$1001,0),1)&gt;=100000,INDEX($AB$1005:$AQ$1005,1,MATCH(COLUMNS($AB$1006:AP1006),$AB$1006:$AQ$1006,0))&gt;=100000), " ",IF(INDEX($AB$2:$AQ$1001,MATCH(ROWS($U$2:U760),$U$2:$U$1001,0),MATCH(COLUMNS($AB$1006:AP1006),$AB$1006:$AQ$1006,0)), HYPERLINK("#",""), HYPERLINK(CONCATENATE("#Metadata!", ADDRESS(INDEX($W$2:$W$1001,MATCH(ROWS($U$2:U760),$U$2:$U$1001,0),0), INDEX($AB$1004:$AQ$1004,1,MATCH(COLUMNS($AB$1006:AP1006),$AB$1006:$AQ$1006,0)))),"Fix")))</f>
        <v>0</v>
      </c>
      <c r="Q760" s="5">
        <f>IF(OR(INDEX($V$2:$V$1001,MATCH(ROWS($U$2:U760),$U$2:$U$1001,0),1)&gt;=100000,INDEX($AB$1005:$AQ$1005,1,MATCH(COLUMNS($AB$1006:AQ1006),$AB$1006:$AQ$1006,0))&gt;=100000), " ",IF(INDEX($AB$2:$AQ$1001,MATCH(ROWS($U$2:U760),$U$2:$U$1001,0),MATCH(COLUMNS($AB$1006:AQ1006),$AB$1006:$AQ$1006,0)), HYPERLINK("#",""), HYPERLINK(CONCATENATE("#Metadata!", ADDRESS(INDEX($W$2:$W$1001,MATCH(ROWS($U$2:U760),$U$2:$U$1001,0),0), INDEX($AB$1004:$AQ$1004,1,MATCH(COLUMNS($AB$1006:AQ1006),$AB$1006:$AQ$1006,0)))),"Fix")))</f>
        <v>0</v>
      </c>
      <c r="U760">
        <v>0</v>
      </c>
      <c r="V760">
        <v>0</v>
      </c>
      <c r="W760">
        <v>0</v>
      </c>
      <c r="X760">
        <f>IF(Y760,TRUE,AND(AB760:AQ760))</f>
        <v>0</v>
      </c>
      <c r="Y760">
        <f>COUNTBLANK(Metadata!B760:Q760)=COLUMNS(Metadata!B760:Q760)</f>
        <v>0</v>
      </c>
      <c r="Z760">
        <v>0</v>
      </c>
      <c r="AB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AC760">
        <f>AND(IF(Metadata!C760="",FALSE,TRUE),exact(Metadata!C760,"urban biome"))</f>
        <v>0</v>
      </c>
      <c r="AD760">
        <f>AND(IF(Metadata!D760="",FALSE,TRUE),exact(Metadata!D760,"human-associated habitat"))</f>
        <v>0</v>
      </c>
      <c r="AE760">
        <f>AND(IF(Metadata!E760="",FALSE,TRUE),OR(exact(Metadata!E760,"human-associated"),exact(Metadata!E760,"human-skin"),exact(Metadata!E760,"human-oral"),exact(Metadata!E760,"human-gut"),exact(Metadata!E760,"human-vaginal")))</f>
        <v>0</v>
      </c>
      <c r="AF760">
        <f>AND(IF(Metadata!F760="",FALSE,ISNUMBER(VALUE(Metadata!F760))),Metadata!F760&gt;0)</f>
        <v>0</v>
      </c>
      <c r="AG760">
        <f>AND(IF(Metadata!G760="",FALSE,TRUE),exact(Metadata!G760,"years"))</f>
        <v>0</v>
      </c>
      <c r="AH760">
        <f>OR(AND(IF(Metadata!H760="",FALSE,TRUE),OR(exact(Metadata!H760,"not applicable"),exact(Metadata!H760,"not collected"),exact(Metadata!H760,"not provided"),exact(Metadata!H760,"restricted access"))),AND(IF(Metadata!H760="",FALSE,ISNUMBER(VALUE(Metadata!H760))),Metadata!H760&gt;0))</f>
        <v>0</v>
      </c>
      <c r="AI760">
        <f>AND(IF(Metadata!I760="",FALSE,TRUE),exact(Metadata!I760,"human"))</f>
        <v>0</v>
      </c>
      <c r="AJ760">
        <f>AND(IF(Metadata!J760="",FALSE,ISNUMBER(VALUE(Metadata!J760))),Metadata!J760&gt;0)</f>
        <v>0</v>
      </c>
      <c r="AK760">
        <f>AND(IF(Metadata!K760="",FALSE,TRUE),exact(Metadata!K760,"cm"))</f>
        <v>0</v>
      </c>
      <c r="AL760">
        <f>AND(IF(Metadata!L760="",FALSE,TRUE),exact(Metadata!L760,"Homo sapiens"))</f>
        <v>0</v>
      </c>
      <c r="AM760">
        <f>AND(IF(Metadata!M760="",FALSE,TRUE),exact(Metadata!M760,"9606"))</f>
        <v>0</v>
      </c>
      <c r="AN760">
        <f>AND(IF(Metadata!N760="",FALSE,ISNUMBER(VALUE(Metadata!N760))),Metadata!N760&gt;0)</f>
        <v>0</v>
      </c>
      <c r="AO760">
        <f>AND(IF(Metadata!O760="",FALSE,TRUE),exact(Metadata!O760,"kg"))</f>
        <v>0</v>
      </c>
      <c r="AP760">
        <f>OR(AND(IF(Metadata!P760="",FALSE,TRUE),exact(Metadata!P760,"not provided")),IF(Metadata!P760="",FALSE,TRUE))</f>
        <v>0</v>
      </c>
      <c r="AQ760">
        <f>OR(AND(IF(Metadata!Q760="",FALSE,TRUE),exact(Metadata!Q760,"not provided")),IF(Metadata!Q760="",FALSE,TRUE))</f>
        <v>0</v>
      </c>
    </row>
    <row r="761" spans="1:43">
      <c r="A761" s="4">
        <f>IF(B761=" "," ",HYPERLINK(CONCATENATE("#metadata!",ADDRESS(INDEX($W$2:$W$1001,MATCH(ROWS($U$2:U761),$U$2:$U$1001,0),0),2)),INDEX($Z$2:$Z$1001,MATCH(ROWS($U$2:U761),$U$2:$U$1001,0),0)))</f>
        <v>0</v>
      </c>
      <c r="B761" s="5">
        <f>IF(OR(INDEX($V$2:$V$1001,MATCH(ROWS($U$2:U761),$U$2:$U$1001,0),1)&gt;=100000,INDEX($AB$1005:$AQ$1005,1,MATCH(COLUMNS($AB$1006:AB1006),$AB$1006:$AQ$1006,0))&gt;=100000), " ",IF(INDEX($AB$2:$AQ$1001,MATCH(ROWS($U$2:U761),$U$2:$U$1001,0),MATCH(COLUMNS($AB$1006:AB1006),$AB$1006:$AQ$1006,0)), HYPERLINK("#",""), HYPERLINK(CONCATENATE("#Metadata!", ADDRESS(INDEX($W$2:$W$1001,MATCH(ROWS($U$2:U761),$U$2:$U$1001,0),0), INDEX($AB$1004:$AQ$1004,1,MATCH(COLUMNS($AB$1006:AB1006),$AB$1006:$AQ$1006,0)))),"Fix")))</f>
        <v>0</v>
      </c>
      <c r="C761" s="5">
        <f>IF(OR(INDEX($V$2:$V$1001,MATCH(ROWS($U$2:U761),$U$2:$U$1001,0),1)&gt;=100000,INDEX($AB$1005:$AQ$1005,1,MATCH(COLUMNS($AB$1006:AC1006),$AB$1006:$AQ$1006,0))&gt;=100000), " ",IF(INDEX($AB$2:$AQ$1001,MATCH(ROWS($U$2:U761),$U$2:$U$1001,0),MATCH(COLUMNS($AB$1006:AC1006),$AB$1006:$AQ$1006,0)), HYPERLINK("#",""), HYPERLINK(CONCATENATE("#Metadata!", ADDRESS(INDEX($W$2:$W$1001,MATCH(ROWS($U$2:U761),$U$2:$U$1001,0),0), INDEX($AB$1004:$AQ$1004,1,MATCH(COLUMNS($AB$1006:AC1006),$AB$1006:$AQ$1006,0)))),"Fix")))</f>
        <v>0</v>
      </c>
      <c r="D761" s="5">
        <f>IF(OR(INDEX($V$2:$V$1001,MATCH(ROWS($U$2:U761),$U$2:$U$1001,0),1)&gt;=100000,INDEX($AB$1005:$AQ$1005,1,MATCH(COLUMNS($AB$1006:AD1006),$AB$1006:$AQ$1006,0))&gt;=100000), " ",IF(INDEX($AB$2:$AQ$1001,MATCH(ROWS($U$2:U761),$U$2:$U$1001,0),MATCH(COLUMNS($AB$1006:AD1006),$AB$1006:$AQ$1006,0)), HYPERLINK("#",""), HYPERLINK(CONCATENATE("#Metadata!", ADDRESS(INDEX($W$2:$W$1001,MATCH(ROWS($U$2:U761),$U$2:$U$1001,0),0), INDEX($AB$1004:$AQ$1004,1,MATCH(COLUMNS($AB$1006:AD1006),$AB$1006:$AQ$1006,0)))),"Fix")))</f>
        <v>0</v>
      </c>
      <c r="E761" s="5">
        <f>IF(OR(INDEX($V$2:$V$1001,MATCH(ROWS($U$2:U761),$U$2:$U$1001,0),1)&gt;=100000,INDEX($AB$1005:$AQ$1005,1,MATCH(COLUMNS($AB$1006:AE1006),$AB$1006:$AQ$1006,0))&gt;=100000), " ",IF(INDEX($AB$2:$AQ$1001,MATCH(ROWS($U$2:U761),$U$2:$U$1001,0),MATCH(COLUMNS($AB$1006:AE1006),$AB$1006:$AQ$1006,0)), HYPERLINK("#",""), HYPERLINK(CONCATENATE("#Metadata!", ADDRESS(INDEX($W$2:$W$1001,MATCH(ROWS($U$2:U761),$U$2:$U$1001,0),0), INDEX($AB$1004:$AQ$1004,1,MATCH(COLUMNS($AB$1006:AE1006),$AB$1006:$AQ$1006,0)))),"Fix")))</f>
        <v>0</v>
      </c>
      <c r="F761" s="5">
        <f>IF(OR(INDEX($V$2:$V$1001,MATCH(ROWS($U$2:U761),$U$2:$U$1001,0),1)&gt;=100000,INDEX($AB$1005:$AQ$1005,1,MATCH(COLUMNS($AB$1006:AF1006),$AB$1006:$AQ$1006,0))&gt;=100000), " ",IF(INDEX($AB$2:$AQ$1001,MATCH(ROWS($U$2:U761),$U$2:$U$1001,0),MATCH(COLUMNS($AB$1006:AF1006),$AB$1006:$AQ$1006,0)), HYPERLINK("#",""), HYPERLINK(CONCATENATE("#Metadata!", ADDRESS(INDEX($W$2:$W$1001,MATCH(ROWS($U$2:U761),$U$2:$U$1001,0),0), INDEX($AB$1004:$AQ$1004,1,MATCH(COLUMNS($AB$1006:AF1006),$AB$1006:$AQ$1006,0)))),"Fix")))</f>
        <v>0</v>
      </c>
      <c r="G761" s="5">
        <f>IF(OR(INDEX($V$2:$V$1001,MATCH(ROWS($U$2:U761),$U$2:$U$1001,0),1)&gt;=100000,INDEX($AB$1005:$AQ$1005,1,MATCH(COLUMNS($AB$1006:AG1006),$AB$1006:$AQ$1006,0))&gt;=100000), " ",IF(INDEX($AB$2:$AQ$1001,MATCH(ROWS($U$2:U761),$U$2:$U$1001,0),MATCH(COLUMNS($AB$1006:AG1006),$AB$1006:$AQ$1006,0)), HYPERLINK("#",""), HYPERLINK(CONCATENATE("#Metadata!", ADDRESS(INDEX($W$2:$W$1001,MATCH(ROWS($U$2:U761),$U$2:$U$1001,0),0), INDEX($AB$1004:$AQ$1004,1,MATCH(COLUMNS($AB$1006:AG1006),$AB$1006:$AQ$1006,0)))),"Fix")))</f>
        <v>0</v>
      </c>
      <c r="H761" s="5">
        <f>IF(OR(INDEX($V$2:$V$1001,MATCH(ROWS($U$2:U761),$U$2:$U$1001,0),1)&gt;=100000,INDEX($AB$1005:$AQ$1005,1,MATCH(COLUMNS($AB$1006:AH1006),$AB$1006:$AQ$1006,0))&gt;=100000), " ",IF(INDEX($AB$2:$AQ$1001,MATCH(ROWS($U$2:U761),$U$2:$U$1001,0),MATCH(COLUMNS($AB$1006:AH1006),$AB$1006:$AQ$1006,0)), HYPERLINK("#",""), HYPERLINK(CONCATENATE("#Metadata!", ADDRESS(INDEX($W$2:$W$1001,MATCH(ROWS($U$2:U761),$U$2:$U$1001,0),0), INDEX($AB$1004:$AQ$1004,1,MATCH(COLUMNS($AB$1006:AH1006),$AB$1006:$AQ$1006,0)))),"Fix")))</f>
        <v>0</v>
      </c>
      <c r="I761" s="5">
        <f>IF(OR(INDEX($V$2:$V$1001,MATCH(ROWS($U$2:U761),$U$2:$U$1001,0),1)&gt;=100000,INDEX($AB$1005:$AQ$1005,1,MATCH(COLUMNS($AB$1006:AI1006),$AB$1006:$AQ$1006,0))&gt;=100000), " ",IF(INDEX($AB$2:$AQ$1001,MATCH(ROWS($U$2:U761),$U$2:$U$1001,0),MATCH(COLUMNS($AB$1006:AI1006),$AB$1006:$AQ$1006,0)), HYPERLINK("#",""), HYPERLINK(CONCATENATE("#Metadata!", ADDRESS(INDEX($W$2:$W$1001,MATCH(ROWS($U$2:U761),$U$2:$U$1001,0),0), INDEX($AB$1004:$AQ$1004,1,MATCH(COLUMNS($AB$1006:AI1006),$AB$1006:$AQ$1006,0)))),"Fix")))</f>
        <v>0</v>
      </c>
      <c r="J761" s="5">
        <f>IF(OR(INDEX($V$2:$V$1001,MATCH(ROWS($U$2:U761),$U$2:$U$1001,0),1)&gt;=100000,INDEX($AB$1005:$AQ$1005,1,MATCH(COLUMNS($AB$1006:AJ1006),$AB$1006:$AQ$1006,0))&gt;=100000), " ",IF(INDEX($AB$2:$AQ$1001,MATCH(ROWS($U$2:U761),$U$2:$U$1001,0),MATCH(COLUMNS($AB$1006:AJ1006),$AB$1006:$AQ$1006,0)), HYPERLINK("#",""), HYPERLINK(CONCATENATE("#Metadata!", ADDRESS(INDEX($W$2:$W$1001,MATCH(ROWS($U$2:U761),$U$2:$U$1001,0),0), INDEX($AB$1004:$AQ$1004,1,MATCH(COLUMNS($AB$1006:AJ1006),$AB$1006:$AQ$1006,0)))),"Fix")))</f>
        <v>0</v>
      </c>
      <c r="K761" s="5">
        <f>IF(OR(INDEX($V$2:$V$1001,MATCH(ROWS($U$2:U761),$U$2:$U$1001,0),1)&gt;=100000,INDEX($AB$1005:$AQ$1005,1,MATCH(COLUMNS($AB$1006:AK1006),$AB$1006:$AQ$1006,0))&gt;=100000), " ",IF(INDEX($AB$2:$AQ$1001,MATCH(ROWS($U$2:U761),$U$2:$U$1001,0),MATCH(COLUMNS($AB$1006:AK1006),$AB$1006:$AQ$1006,0)), HYPERLINK("#",""), HYPERLINK(CONCATENATE("#Metadata!", ADDRESS(INDEX($W$2:$W$1001,MATCH(ROWS($U$2:U761),$U$2:$U$1001,0),0), INDEX($AB$1004:$AQ$1004,1,MATCH(COLUMNS($AB$1006:AK1006),$AB$1006:$AQ$1006,0)))),"Fix")))</f>
        <v>0</v>
      </c>
      <c r="L761" s="5">
        <f>IF(OR(INDEX($V$2:$V$1001,MATCH(ROWS($U$2:U761),$U$2:$U$1001,0),1)&gt;=100000,INDEX($AB$1005:$AQ$1005,1,MATCH(COLUMNS($AB$1006:AL1006),$AB$1006:$AQ$1006,0))&gt;=100000), " ",IF(INDEX($AB$2:$AQ$1001,MATCH(ROWS($U$2:U761),$U$2:$U$1001,0),MATCH(COLUMNS($AB$1006:AL1006),$AB$1006:$AQ$1006,0)), HYPERLINK("#",""), HYPERLINK(CONCATENATE("#Metadata!", ADDRESS(INDEX($W$2:$W$1001,MATCH(ROWS($U$2:U761),$U$2:$U$1001,0),0), INDEX($AB$1004:$AQ$1004,1,MATCH(COLUMNS($AB$1006:AL1006),$AB$1006:$AQ$1006,0)))),"Fix")))</f>
        <v>0</v>
      </c>
      <c r="M761" s="5">
        <f>IF(OR(INDEX($V$2:$V$1001,MATCH(ROWS($U$2:U761),$U$2:$U$1001,0),1)&gt;=100000,INDEX($AB$1005:$AQ$1005,1,MATCH(COLUMNS($AB$1006:AM1006),$AB$1006:$AQ$1006,0))&gt;=100000), " ",IF(INDEX($AB$2:$AQ$1001,MATCH(ROWS($U$2:U761),$U$2:$U$1001,0),MATCH(COLUMNS($AB$1006:AM1006),$AB$1006:$AQ$1006,0)), HYPERLINK("#",""), HYPERLINK(CONCATENATE("#Metadata!", ADDRESS(INDEX($W$2:$W$1001,MATCH(ROWS($U$2:U761),$U$2:$U$1001,0),0), INDEX($AB$1004:$AQ$1004,1,MATCH(COLUMNS($AB$1006:AM1006),$AB$1006:$AQ$1006,0)))),"Fix")))</f>
        <v>0</v>
      </c>
      <c r="N761" s="5">
        <f>IF(OR(INDEX($V$2:$V$1001,MATCH(ROWS($U$2:U761),$U$2:$U$1001,0),1)&gt;=100000,INDEX($AB$1005:$AQ$1005,1,MATCH(COLUMNS($AB$1006:AN1006),$AB$1006:$AQ$1006,0))&gt;=100000), " ",IF(INDEX($AB$2:$AQ$1001,MATCH(ROWS($U$2:U761),$U$2:$U$1001,0),MATCH(COLUMNS($AB$1006:AN1006),$AB$1006:$AQ$1006,0)), HYPERLINK("#",""), HYPERLINK(CONCATENATE("#Metadata!", ADDRESS(INDEX($W$2:$W$1001,MATCH(ROWS($U$2:U761),$U$2:$U$1001,0),0), INDEX($AB$1004:$AQ$1004,1,MATCH(COLUMNS($AB$1006:AN1006),$AB$1006:$AQ$1006,0)))),"Fix")))</f>
        <v>0</v>
      </c>
      <c r="O761" s="5">
        <f>IF(OR(INDEX($V$2:$V$1001,MATCH(ROWS($U$2:U761),$U$2:$U$1001,0),1)&gt;=100000,INDEX($AB$1005:$AQ$1005,1,MATCH(COLUMNS($AB$1006:AO1006),$AB$1006:$AQ$1006,0))&gt;=100000), " ",IF(INDEX($AB$2:$AQ$1001,MATCH(ROWS($U$2:U761),$U$2:$U$1001,0),MATCH(COLUMNS($AB$1006:AO1006),$AB$1006:$AQ$1006,0)), HYPERLINK("#",""), HYPERLINK(CONCATENATE("#Metadata!", ADDRESS(INDEX($W$2:$W$1001,MATCH(ROWS($U$2:U761),$U$2:$U$1001,0),0), INDEX($AB$1004:$AQ$1004,1,MATCH(COLUMNS($AB$1006:AO1006),$AB$1006:$AQ$1006,0)))),"Fix")))</f>
        <v>0</v>
      </c>
      <c r="P761" s="5">
        <f>IF(OR(INDEX($V$2:$V$1001,MATCH(ROWS($U$2:U761),$U$2:$U$1001,0),1)&gt;=100000,INDEX($AB$1005:$AQ$1005,1,MATCH(COLUMNS($AB$1006:AP1006),$AB$1006:$AQ$1006,0))&gt;=100000), " ",IF(INDEX($AB$2:$AQ$1001,MATCH(ROWS($U$2:U761),$U$2:$U$1001,0),MATCH(COLUMNS($AB$1006:AP1006),$AB$1006:$AQ$1006,0)), HYPERLINK("#",""), HYPERLINK(CONCATENATE("#Metadata!", ADDRESS(INDEX($W$2:$W$1001,MATCH(ROWS($U$2:U761),$U$2:$U$1001,0),0), INDEX($AB$1004:$AQ$1004,1,MATCH(COLUMNS($AB$1006:AP1006),$AB$1006:$AQ$1006,0)))),"Fix")))</f>
        <v>0</v>
      </c>
      <c r="Q761" s="5">
        <f>IF(OR(INDEX($V$2:$V$1001,MATCH(ROWS($U$2:U761),$U$2:$U$1001,0),1)&gt;=100000,INDEX($AB$1005:$AQ$1005,1,MATCH(COLUMNS($AB$1006:AQ1006),$AB$1006:$AQ$1006,0))&gt;=100000), " ",IF(INDEX($AB$2:$AQ$1001,MATCH(ROWS($U$2:U761),$U$2:$U$1001,0),MATCH(COLUMNS($AB$1006:AQ1006),$AB$1006:$AQ$1006,0)), HYPERLINK("#",""), HYPERLINK(CONCATENATE("#Metadata!", ADDRESS(INDEX($W$2:$W$1001,MATCH(ROWS($U$2:U761),$U$2:$U$1001,0),0), INDEX($AB$1004:$AQ$1004,1,MATCH(COLUMNS($AB$1006:AQ1006),$AB$1006:$AQ$1006,0)))),"Fix")))</f>
        <v>0</v>
      </c>
      <c r="U761">
        <v>0</v>
      </c>
      <c r="V761">
        <v>0</v>
      </c>
      <c r="W761">
        <v>0</v>
      </c>
      <c r="X761">
        <f>IF(Y761,TRUE,AND(AB761:AQ761))</f>
        <v>0</v>
      </c>
      <c r="Y761">
        <f>COUNTBLANK(Metadata!B761:Q761)=COLUMNS(Metadata!B761:Q761)</f>
        <v>0</v>
      </c>
      <c r="Z761">
        <v>0</v>
      </c>
      <c r="AB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AC761">
        <f>AND(IF(Metadata!C761="",FALSE,TRUE),exact(Metadata!C761,"urban biome"))</f>
        <v>0</v>
      </c>
      <c r="AD761">
        <f>AND(IF(Metadata!D761="",FALSE,TRUE),exact(Metadata!D761,"human-associated habitat"))</f>
        <v>0</v>
      </c>
      <c r="AE761">
        <f>AND(IF(Metadata!E761="",FALSE,TRUE),OR(exact(Metadata!E761,"human-associated"),exact(Metadata!E761,"human-skin"),exact(Metadata!E761,"human-oral"),exact(Metadata!E761,"human-gut"),exact(Metadata!E761,"human-vaginal")))</f>
        <v>0</v>
      </c>
      <c r="AF761">
        <f>AND(IF(Metadata!F761="",FALSE,ISNUMBER(VALUE(Metadata!F761))),Metadata!F761&gt;0)</f>
        <v>0</v>
      </c>
      <c r="AG761">
        <f>AND(IF(Metadata!G761="",FALSE,TRUE),exact(Metadata!G761,"years"))</f>
        <v>0</v>
      </c>
      <c r="AH761">
        <f>OR(AND(IF(Metadata!H761="",FALSE,TRUE),OR(exact(Metadata!H761,"not applicable"),exact(Metadata!H761,"not collected"),exact(Metadata!H761,"not provided"),exact(Metadata!H761,"restricted access"))),AND(IF(Metadata!H761="",FALSE,ISNUMBER(VALUE(Metadata!H761))),Metadata!H761&gt;0))</f>
        <v>0</v>
      </c>
      <c r="AI761">
        <f>AND(IF(Metadata!I761="",FALSE,TRUE),exact(Metadata!I761,"human"))</f>
        <v>0</v>
      </c>
      <c r="AJ761">
        <f>AND(IF(Metadata!J761="",FALSE,ISNUMBER(VALUE(Metadata!J761))),Metadata!J761&gt;0)</f>
        <v>0</v>
      </c>
      <c r="AK761">
        <f>AND(IF(Metadata!K761="",FALSE,TRUE),exact(Metadata!K761,"cm"))</f>
        <v>0</v>
      </c>
      <c r="AL761">
        <f>AND(IF(Metadata!L761="",FALSE,TRUE),exact(Metadata!L761,"Homo sapiens"))</f>
        <v>0</v>
      </c>
      <c r="AM761">
        <f>AND(IF(Metadata!M761="",FALSE,TRUE),exact(Metadata!M761,"9606"))</f>
        <v>0</v>
      </c>
      <c r="AN761">
        <f>AND(IF(Metadata!N761="",FALSE,ISNUMBER(VALUE(Metadata!N761))),Metadata!N761&gt;0)</f>
        <v>0</v>
      </c>
      <c r="AO761">
        <f>AND(IF(Metadata!O761="",FALSE,TRUE),exact(Metadata!O761,"kg"))</f>
        <v>0</v>
      </c>
      <c r="AP761">
        <f>OR(AND(IF(Metadata!P761="",FALSE,TRUE),exact(Metadata!P761,"not provided")),IF(Metadata!P761="",FALSE,TRUE))</f>
        <v>0</v>
      </c>
      <c r="AQ761">
        <f>OR(AND(IF(Metadata!Q761="",FALSE,TRUE),exact(Metadata!Q761,"not provided")),IF(Metadata!Q761="",FALSE,TRUE))</f>
        <v>0</v>
      </c>
    </row>
    <row r="762" spans="1:43">
      <c r="A762" s="4">
        <f>IF(B762=" "," ",HYPERLINK(CONCATENATE("#metadata!",ADDRESS(INDEX($W$2:$W$1001,MATCH(ROWS($U$2:U762),$U$2:$U$1001,0),0),2)),INDEX($Z$2:$Z$1001,MATCH(ROWS($U$2:U762),$U$2:$U$1001,0),0)))</f>
        <v>0</v>
      </c>
      <c r="B762" s="5">
        <f>IF(OR(INDEX($V$2:$V$1001,MATCH(ROWS($U$2:U762),$U$2:$U$1001,0),1)&gt;=100000,INDEX($AB$1005:$AQ$1005,1,MATCH(COLUMNS($AB$1006:AB1006),$AB$1006:$AQ$1006,0))&gt;=100000), " ",IF(INDEX($AB$2:$AQ$1001,MATCH(ROWS($U$2:U762),$U$2:$U$1001,0),MATCH(COLUMNS($AB$1006:AB1006),$AB$1006:$AQ$1006,0)), HYPERLINK("#",""), HYPERLINK(CONCATENATE("#Metadata!", ADDRESS(INDEX($W$2:$W$1001,MATCH(ROWS($U$2:U762),$U$2:$U$1001,0),0), INDEX($AB$1004:$AQ$1004,1,MATCH(COLUMNS($AB$1006:AB1006),$AB$1006:$AQ$1006,0)))),"Fix")))</f>
        <v>0</v>
      </c>
      <c r="C762" s="5">
        <f>IF(OR(INDEX($V$2:$V$1001,MATCH(ROWS($U$2:U762),$U$2:$U$1001,0),1)&gt;=100000,INDEX($AB$1005:$AQ$1005,1,MATCH(COLUMNS($AB$1006:AC1006),$AB$1006:$AQ$1006,0))&gt;=100000), " ",IF(INDEX($AB$2:$AQ$1001,MATCH(ROWS($U$2:U762),$U$2:$U$1001,0),MATCH(COLUMNS($AB$1006:AC1006),$AB$1006:$AQ$1006,0)), HYPERLINK("#",""), HYPERLINK(CONCATENATE("#Metadata!", ADDRESS(INDEX($W$2:$W$1001,MATCH(ROWS($U$2:U762),$U$2:$U$1001,0),0), INDEX($AB$1004:$AQ$1004,1,MATCH(COLUMNS($AB$1006:AC1006),$AB$1006:$AQ$1006,0)))),"Fix")))</f>
        <v>0</v>
      </c>
      <c r="D762" s="5">
        <f>IF(OR(INDEX($V$2:$V$1001,MATCH(ROWS($U$2:U762),$U$2:$U$1001,0),1)&gt;=100000,INDEX($AB$1005:$AQ$1005,1,MATCH(COLUMNS($AB$1006:AD1006),$AB$1006:$AQ$1006,0))&gt;=100000), " ",IF(INDEX($AB$2:$AQ$1001,MATCH(ROWS($U$2:U762),$U$2:$U$1001,0),MATCH(COLUMNS($AB$1006:AD1006),$AB$1006:$AQ$1006,0)), HYPERLINK("#",""), HYPERLINK(CONCATENATE("#Metadata!", ADDRESS(INDEX($W$2:$W$1001,MATCH(ROWS($U$2:U762),$U$2:$U$1001,0),0), INDEX($AB$1004:$AQ$1004,1,MATCH(COLUMNS($AB$1006:AD1006),$AB$1006:$AQ$1006,0)))),"Fix")))</f>
        <v>0</v>
      </c>
      <c r="E762" s="5">
        <f>IF(OR(INDEX($V$2:$V$1001,MATCH(ROWS($U$2:U762),$U$2:$U$1001,0),1)&gt;=100000,INDEX($AB$1005:$AQ$1005,1,MATCH(COLUMNS($AB$1006:AE1006),$AB$1006:$AQ$1006,0))&gt;=100000), " ",IF(INDEX($AB$2:$AQ$1001,MATCH(ROWS($U$2:U762),$U$2:$U$1001,0),MATCH(COLUMNS($AB$1006:AE1006),$AB$1006:$AQ$1006,0)), HYPERLINK("#",""), HYPERLINK(CONCATENATE("#Metadata!", ADDRESS(INDEX($W$2:$W$1001,MATCH(ROWS($U$2:U762),$U$2:$U$1001,0),0), INDEX($AB$1004:$AQ$1004,1,MATCH(COLUMNS($AB$1006:AE1006),$AB$1006:$AQ$1006,0)))),"Fix")))</f>
        <v>0</v>
      </c>
      <c r="F762" s="5">
        <f>IF(OR(INDEX($V$2:$V$1001,MATCH(ROWS($U$2:U762),$U$2:$U$1001,0),1)&gt;=100000,INDEX($AB$1005:$AQ$1005,1,MATCH(COLUMNS($AB$1006:AF1006),$AB$1006:$AQ$1006,0))&gt;=100000), " ",IF(INDEX($AB$2:$AQ$1001,MATCH(ROWS($U$2:U762),$U$2:$U$1001,0),MATCH(COLUMNS($AB$1006:AF1006),$AB$1006:$AQ$1006,0)), HYPERLINK("#",""), HYPERLINK(CONCATENATE("#Metadata!", ADDRESS(INDEX($W$2:$W$1001,MATCH(ROWS($U$2:U762),$U$2:$U$1001,0),0), INDEX($AB$1004:$AQ$1004,1,MATCH(COLUMNS($AB$1006:AF1006),$AB$1006:$AQ$1006,0)))),"Fix")))</f>
        <v>0</v>
      </c>
      <c r="G762" s="5">
        <f>IF(OR(INDEX($V$2:$V$1001,MATCH(ROWS($U$2:U762),$U$2:$U$1001,0),1)&gt;=100000,INDEX($AB$1005:$AQ$1005,1,MATCH(COLUMNS($AB$1006:AG1006),$AB$1006:$AQ$1006,0))&gt;=100000), " ",IF(INDEX($AB$2:$AQ$1001,MATCH(ROWS($U$2:U762),$U$2:$U$1001,0),MATCH(COLUMNS($AB$1006:AG1006),$AB$1006:$AQ$1006,0)), HYPERLINK("#",""), HYPERLINK(CONCATENATE("#Metadata!", ADDRESS(INDEX($W$2:$W$1001,MATCH(ROWS($U$2:U762),$U$2:$U$1001,0),0), INDEX($AB$1004:$AQ$1004,1,MATCH(COLUMNS($AB$1006:AG1006),$AB$1006:$AQ$1006,0)))),"Fix")))</f>
        <v>0</v>
      </c>
      <c r="H762" s="5">
        <f>IF(OR(INDEX($V$2:$V$1001,MATCH(ROWS($U$2:U762),$U$2:$U$1001,0),1)&gt;=100000,INDEX($AB$1005:$AQ$1005,1,MATCH(COLUMNS($AB$1006:AH1006),$AB$1006:$AQ$1006,0))&gt;=100000), " ",IF(INDEX($AB$2:$AQ$1001,MATCH(ROWS($U$2:U762),$U$2:$U$1001,0),MATCH(COLUMNS($AB$1006:AH1006),$AB$1006:$AQ$1006,0)), HYPERLINK("#",""), HYPERLINK(CONCATENATE("#Metadata!", ADDRESS(INDEX($W$2:$W$1001,MATCH(ROWS($U$2:U762),$U$2:$U$1001,0),0), INDEX($AB$1004:$AQ$1004,1,MATCH(COLUMNS($AB$1006:AH1006),$AB$1006:$AQ$1006,0)))),"Fix")))</f>
        <v>0</v>
      </c>
      <c r="I762" s="5">
        <f>IF(OR(INDEX($V$2:$V$1001,MATCH(ROWS($U$2:U762),$U$2:$U$1001,0),1)&gt;=100000,INDEX($AB$1005:$AQ$1005,1,MATCH(COLUMNS($AB$1006:AI1006),$AB$1006:$AQ$1006,0))&gt;=100000), " ",IF(INDEX($AB$2:$AQ$1001,MATCH(ROWS($U$2:U762),$U$2:$U$1001,0),MATCH(COLUMNS($AB$1006:AI1006),$AB$1006:$AQ$1006,0)), HYPERLINK("#",""), HYPERLINK(CONCATENATE("#Metadata!", ADDRESS(INDEX($W$2:$W$1001,MATCH(ROWS($U$2:U762),$U$2:$U$1001,0),0), INDEX($AB$1004:$AQ$1004,1,MATCH(COLUMNS($AB$1006:AI1006),$AB$1006:$AQ$1006,0)))),"Fix")))</f>
        <v>0</v>
      </c>
      <c r="J762" s="5">
        <f>IF(OR(INDEX($V$2:$V$1001,MATCH(ROWS($U$2:U762),$U$2:$U$1001,0),1)&gt;=100000,INDEX($AB$1005:$AQ$1005,1,MATCH(COLUMNS($AB$1006:AJ1006),$AB$1006:$AQ$1006,0))&gt;=100000), " ",IF(INDEX($AB$2:$AQ$1001,MATCH(ROWS($U$2:U762),$U$2:$U$1001,0),MATCH(COLUMNS($AB$1006:AJ1006),$AB$1006:$AQ$1006,0)), HYPERLINK("#",""), HYPERLINK(CONCATENATE("#Metadata!", ADDRESS(INDEX($W$2:$W$1001,MATCH(ROWS($U$2:U762),$U$2:$U$1001,0),0), INDEX($AB$1004:$AQ$1004,1,MATCH(COLUMNS($AB$1006:AJ1006),$AB$1006:$AQ$1006,0)))),"Fix")))</f>
        <v>0</v>
      </c>
      <c r="K762" s="5">
        <f>IF(OR(INDEX($V$2:$V$1001,MATCH(ROWS($U$2:U762),$U$2:$U$1001,0),1)&gt;=100000,INDEX($AB$1005:$AQ$1005,1,MATCH(COLUMNS($AB$1006:AK1006),$AB$1006:$AQ$1006,0))&gt;=100000), " ",IF(INDEX($AB$2:$AQ$1001,MATCH(ROWS($U$2:U762),$U$2:$U$1001,0),MATCH(COLUMNS($AB$1006:AK1006),$AB$1006:$AQ$1006,0)), HYPERLINK("#",""), HYPERLINK(CONCATENATE("#Metadata!", ADDRESS(INDEX($W$2:$W$1001,MATCH(ROWS($U$2:U762),$U$2:$U$1001,0),0), INDEX($AB$1004:$AQ$1004,1,MATCH(COLUMNS($AB$1006:AK1006),$AB$1006:$AQ$1006,0)))),"Fix")))</f>
        <v>0</v>
      </c>
      <c r="L762" s="5">
        <f>IF(OR(INDEX($V$2:$V$1001,MATCH(ROWS($U$2:U762),$U$2:$U$1001,0),1)&gt;=100000,INDEX($AB$1005:$AQ$1005,1,MATCH(COLUMNS($AB$1006:AL1006),$AB$1006:$AQ$1006,0))&gt;=100000), " ",IF(INDEX($AB$2:$AQ$1001,MATCH(ROWS($U$2:U762),$U$2:$U$1001,0),MATCH(COLUMNS($AB$1006:AL1006),$AB$1006:$AQ$1006,0)), HYPERLINK("#",""), HYPERLINK(CONCATENATE("#Metadata!", ADDRESS(INDEX($W$2:$W$1001,MATCH(ROWS($U$2:U762),$U$2:$U$1001,0),0), INDEX($AB$1004:$AQ$1004,1,MATCH(COLUMNS($AB$1006:AL1006),$AB$1006:$AQ$1006,0)))),"Fix")))</f>
        <v>0</v>
      </c>
      <c r="M762" s="5">
        <f>IF(OR(INDEX($V$2:$V$1001,MATCH(ROWS($U$2:U762),$U$2:$U$1001,0),1)&gt;=100000,INDEX($AB$1005:$AQ$1005,1,MATCH(COLUMNS($AB$1006:AM1006),$AB$1006:$AQ$1006,0))&gt;=100000), " ",IF(INDEX($AB$2:$AQ$1001,MATCH(ROWS($U$2:U762),$U$2:$U$1001,0),MATCH(COLUMNS($AB$1006:AM1006),$AB$1006:$AQ$1006,0)), HYPERLINK("#",""), HYPERLINK(CONCATENATE("#Metadata!", ADDRESS(INDEX($W$2:$W$1001,MATCH(ROWS($U$2:U762),$U$2:$U$1001,0),0), INDEX($AB$1004:$AQ$1004,1,MATCH(COLUMNS($AB$1006:AM1006),$AB$1006:$AQ$1006,0)))),"Fix")))</f>
        <v>0</v>
      </c>
      <c r="N762" s="5">
        <f>IF(OR(INDEX($V$2:$V$1001,MATCH(ROWS($U$2:U762),$U$2:$U$1001,0),1)&gt;=100000,INDEX($AB$1005:$AQ$1005,1,MATCH(COLUMNS($AB$1006:AN1006),$AB$1006:$AQ$1006,0))&gt;=100000), " ",IF(INDEX($AB$2:$AQ$1001,MATCH(ROWS($U$2:U762),$U$2:$U$1001,0),MATCH(COLUMNS($AB$1006:AN1006),$AB$1006:$AQ$1006,0)), HYPERLINK("#",""), HYPERLINK(CONCATENATE("#Metadata!", ADDRESS(INDEX($W$2:$W$1001,MATCH(ROWS($U$2:U762),$U$2:$U$1001,0),0), INDEX($AB$1004:$AQ$1004,1,MATCH(COLUMNS($AB$1006:AN1006),$AB$1006:$AQ$1006,0)))),"Fix")))</f>
        <v>0</v>
      </c>
      <c r="O762" s="5">
        <f>IF(OR(INDEX($V$2:$V$1001,MATCH(ROWS($U$2:U762),$U$2:$U$1001,0),1)&gt;=100000,INDEX($AB$1005:$AQ$1005,1,MATCH(COLUMNS($AB$1006:AO1006),$AB$1006:$AQ$1006,0))&gt;=100000), " ",IF(INDEX($AB$2:$AQ$1001,MATCH(ROWS($U$2:U762),$U$2:$U$1001,0),MATCH(COLUMNS($AB$1006:AO1006),$AB$1006:$AQ$1006,0)), HYPERLINK("#",""), HYPERLINK(CONCATENATE("#Metadata!", ADDRESS(INDEX($W$2:$W$1001,MATCH(ROWS($U$2:U762),$U$2:$U$1001,0),0), INDEX($AB$1004:$AQ$1004,1,MATCH(COLUMNS($AB$1006:AO1006),$AB$1006:$AQ$1006,0)))),"Fix")))</f>
        <v>0</v>
      </c>
      <c r="P762" s="5">
        <f>IF(OR(INDEX($V$2:$V$1001,MATCH(ROWS($U$2:U762),$U$2:$U$1001,0),1)&gt;=100000,INDEX($AB$1005:$AQ$1005,1,MATCH(COLUMNS($AB$1006:AP1006),$AB$1006:$AQ$1006,0))&gt;=100000), " ",IF(INDEX($AB$2:$AQ$1001,MATCH(ROWS($U$2:U762),$U$2:$U$1001,0),MATCH(COLUMNS($AB$1006:AP1006),$AB$1006:$AQ$1006,0)), HYPERLINK("#",""), HYPERLINK(CONCATENATE("#Metadata!", ADDRESS(INDEX($W$2:$W$1001,MATCH(ROWS($U$2:U762),$U$2:$U$1001,0),0), INDEX($AB$1004:$AQ$1004,1,MATCH(COLUMNS($AB$1006:AP1006),$AB$1006:$AQ$1006,0)))),"Fix")))</f>
        <v>0</v>
      </c>
      <c r="Q762" s="5">
        <f>IF(OR(INDEX($V$2:$V$1001,MATCH(ROWS($U$2:U762),$U$2:$U$1001,0),1)&gt;=100000,INDEX($AB$1005:$AQ$1005,1,MATCH(COLUMNS($AB$1006:AQ1006),$AB$1006:$AQ$1006,0))&gt;=100000), " ",IF(INDEX($AB$2:$AQ$1001,MATCH(ROWS($U$2:U762),$U$2:$U$1001,0),MATCH(COLUMNS($AB$1006:AQ1006),$AB$1006:$AQ$1006,0)), HYPERLINK("#",""), HYPERLINK(CONCATENATE("#Metadata!", ADDRESS(INDEX($W$2:$W$1001,MATCH(ROWS($U$2:U762),$U$2:$U$1001,0),0), INDEX($AB$1004:$AQ$1004,1,MATCH(COLUMNS($AB$1006:AQ1006),$AB$1006:$AQ$1006,0)))),"Fix")))</f>
        <v>0</v>
      </c>
      <c r="U762">
        <v>0</v>
      </c>
      <c r="V762">
        <v>0</v>
      </c>
      <c r="W762">
        <v>0</v>
      </c>
      <c r="X762">
        <f>IF(Y762,TRUE,AND(AB762:AQ762))</f>
        <v>0</v>
      </c>
      <c r="Y762">
        <f>COUNTBLANK(Metadata!B762:Q762)=COLUMNS(Metadata!B762:Q762)</f>
        <v>0</v>
      </c>
      <c r="Z762">
        <v>0</v>
      </c>
      <c r="AB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AC762">
        <f>AND(IF(Metadata!C762="",FALSE,TRUE),exact(Metadata!C762,"urban biome"))</f>
        <v>0</v>
      </c>
      <c r="AD762">
        <f>AND(IF(Metadata!D762="",FALSE,TRUE),exact(Metadata!D762,"human-associated habitat"))</f>
        <v>0</v>
      </c>
      <c r="AE762">
        <f>AND(IF(Metadata!E762="",FALSE,TRUE),OR(exact(Metadata!E762,"human-associated"),exact(Metadata!E762,"human-skin"),exact(Metadata!E762,"human-oral"),exact(Metadata!E762,"human-gut"),exact(Metadata!E762,"human-vaginal")))</f>
        <v>0</v>
      </c>
      <c r="AF762">
        <f>AND(IF(Metadata!F762="",FALSE,ISNUMBER(VALUE(Metadata!F762))),Metadata!F762&gt;0)</f>
        <v>0</v>
      </c>
      <c r="AG762">
        <f>AND(IF(Metadata!G762="",FALSE,TRUE),exact(Metadata!G762,"years"))</f>
        <v>0</v>
      </c>
      <c r="AH762">
        <f>OR(AND(IF(Metadata!H762="",FALSE,TRUE),OR(exact(Metadata!H762,"not applicable"),exact(Metadata!H762,"not collected"),exact(Metadata!H762,"not provided"),exact(Metadata!H762,"restricted access"))),AND(IF(Metadata!H762="",FALSE,ISNUMBER(VALUE(Metadata!H762))),Metadata!H762&gt;0))</f>
        <v>0</v>
      </c>
      <c r="AI762">
        <f>AND(IF(Metadata!I762="",FALSE,TRUE),exact(Metadata!I762,"human"))</f>
        <v>0</v>
      </c>
      <c r="AJ762">
        <f>AND(IF(Metadata!J762="",FALSE,ISNUMBER(VALUE(Metadata!J762))),Metadata!J762&gt;0)</f>
        <v>0</v>
      </c>
      <c r="AK762">
        <f>AND(IF(Metadata!K762="",FALSE,TRUE),exact(Metadata!K762,"cm"))</f>
        <v>0</v>
      </c>
      <c r="AL762">
        <f>AND(IF(Metadata!L762="",FALSE,TRUE),exact(Metadata!L762,"Homo sapiens"))</f>
        <v>0</v>
      </c>
      <c r="AM762">
        <f>AND(IF(Metadata!M762="",FALSE,TRUE),exact(Metadata!M762,"9606"))</f>
        <v>0</v>
      </c>
      <c r="AN762">
        <f>AND(IF(Metadata!N762="",FALSE,ISNUMBER(VALUE(Metadata!N762))),Metadata!N762&gt;0)</f>
        <v>0</v>
      </c>
      <c r="AO762">
        <f>AND(IF(Metadata!O762="",FALSE,TRUE),exact(Metadata!O762,"kg"))</f>
        <v>0</v>
      </c>
      <c r="AP762">
        <f>OR(AND(IF(Metadata!P762="",FALSE,TRUE),exact(Metadata!P762,"not provided")),IF(Metadata!P762="",FALSE,TRUE))</f>
        <v>0</v>
      </c>
      <c r="AQ762">
        <f>OR(AND(IF(Metadata!Q762="",FALSE,TRUE),exact(Metadata!Q762,"not provided")),IF(Metadata!Q762="",FALSE,TRUE))</f>
        <v>0</v>
      </c>
    </row>
    <row r="763" spans="1:43">
      <c r="A763" s="4">
        <f>IF(B763=" "," ",HYPERLINK(CONCATENATE("#metadata!",ADDRESS(INDEX($W$2:$W$1001,MATCH(ROWS($U$2:U763),$U$2:$U$1001,0),0),2)),INDEX($Z$2:$Z$1001,MATCH(ROWS($U$2:U763),$U$2:$U$1001,0),0)))</f>
        <v>0</v>
      </c>
      <c r="B763" s="5">
        <f>IF(OR(INDEX($V$2:$V$1001,MATCH(ROWS($U$2:U763),$U$2:$U$1001,0),1)&gt;=100000,INDEX($AB$1005:$AQ$1005,1,MATCH(COLUMNS($AB$1006:AB1006),$AB$1006:$AQ$1006,0))&gt;=100000), " ",IF(INDEX($AB$2:$AQ$1001,MATCH(ROWS($U$2:U763),$U$2:$U$1001,0),MATCH(COLUMNS($AB$1006:AB1006),$AB$1006:$AQ$1006,0)), HYPERLINK("#",""), HYPERLINK(CONCATENATE("#Metadata!", ADDRESS(INDEX($W$2:$W$1001,MATCH(ROWS($U$2:U763),$U$2:$U$1001,0),0), INDEX($AB$1004:$AQ$1004,1,MATCH(COLUMNS($AB$1006:AB1006),$AB$1006:$AQ$1006,0)))),"Fix")))</f>
        <v>0</v>
      </c>
      <c r="C763" s="5">
        <f>IF(OR(INDEX($V$2:$V$1001,MATCH(ROWS($U$2:U763),$U$2:$U$1001,0),1)&gt;=100000,INDEX($AB$1005:$AQ$1005,1,MATCH(COLUMNS($AB$1006:AC1006),$AB$1006:$AQ$1006,0))&gt;=100000), " ",IF(INDEX($AB$2:$AQ$1001,MATCH(ROWS($U$2:U763),$U$2:$U$1001,0),MATCH(COLUMNS($AB$1006:AC1006),$AB$1006:$AQ$1006,0)), HYPERLINK("#",""), HYPERLINK(CONCATENATE("#Metadata!", ADDRESS(INDEX($W$2:$W$1001,MATCH(ROWS($U$2:U763),$U$2:$U$1001,0),0), INDEX($AB$1004:$AQ$1004,1,MATCH(COLUMNS($AB$1006:AC1006),$AB$1006:$AQ$1006,0)))),"Fix")))</f>
        <v>0</v>
      </c>
      <c r="D763" s="5">
        <f>IF(OR(INDEX($V$2:$V$1001,MATCH(ROWS($U$2:U763),$U$2:$U$1001,0),1)&gt;=100000,INDEX($AB$1005:$AQ$1005,1,MATCH(COLUMNS($AB$1006:AD1006),$AB$1006:$AQ$1006,0))&gt;=100000), " ",IF(INDEX($AB$2:$AQ$1001,MATCH(ROWS($U$2:U763),$U$2:$U$1001,0),MATCH(COLUMNS($AB$1006:AD1006),$AB$1006:$AQ$1006,0)), HYPERLINK("#",""), HYPERLINK(CONCATENATE("#Metadata!", ADDRESS(INDEX($W$2:$W$1001,MATCH(ROWS($U$2:U763),$U$2:$U$1001,0),0), INDEX($AB$1004:$AQ$1004,1,MATCH(COLUMNS($AB$1006:AD1006),$AB$1006:$AQ$1006,0)))),"Fix")))</f>
        <v>0</v>
      </c>
      <c r="E763" s="5">
        <f>IF(OR(INDEX($V$2:$V$1001,MATCH(ROWS($U$2:U763),$U$2:$U$1001,0),1)&gt;=100000,INDEX($AB$1005:$AQ$1005,1,MATCH(COLUMNS($AB$1006:AE1006),$AB$1006:$AQ$1006,0))&gt;=100000), " ",IF(INDEX($AB$2:$AQ$1001,MATCH(ROWS($U$2:U763),$U$2:$U$1001,0),MATCH(COLUMNS($AB$1006:AE1006),$AB$1006:$AQ$1006,0)), HYPERLINK("#",""), HYPERLINK(CONCATENATE("#Metadata!", ADDRESS(INDEX($W$2:$W$1001,MATCH(ROWS($U$2:U763),$U$2:$U$1001,0),0), INDEX($AB$1004:$AQ$1004,1,MATCH(COLUMNS($AB$1006:AE1006),$AB$1006:$AQ$1006,0)))),"Fix")))</f>
        <v>0</v>
      </c>
      <c r="F763" s="5">
        <f>IF(OR(INDEX($V$2:$V$1001,MATCH(ROWS($U$2:U763),$U$2:$U$1001,0),1)&gt;=100000,INDEX($AB$1005:$AQ$1005,1,MATCH(COLUMNS($AB$1006:AF1006),$AB$1006:$AQ$1006,0))&gt;=100000), " ",IF(INDEX($AB$2:$AQ$1001,MATCH(ROWS($U$2:U763),$U$2:$U$1001,0),MATCH(COLUMNS($AB$1006:AF1006),$AB$1006:$AQ$1006,0)), HYPERLINK("#",""), HYPERLINK(CONCATENATE("#Metadata!", ADDRESS(INDEX($W$2:$W$1001,MATCH(ROWS($U$2:U763),$U$2:$U$1001,0),0), INDEX($AB$1004:$AQ$1004,1,MATCH(COLUMNS($AB$1006:AF1006),$AB$1006:$AQ$1006,0)))),"Fix")))</f>
        <v>0</v>
      </c>
      <c r="G763" s="5">
        <f>IF(OR(INDEX($V$2:$V$1001,MATCH(ROWS($U$2:U763),$U$2:$U$1001,0),1)&gt;=100000,INDEX($AB$1005:$AQ$1005,1,MATCH(COLUMNS($AB$1006:AG1006),$AB$1006:$AQ$1006,0))&gt;=100000), " ",IF(INDEX($AB$2:$AQ$1001,MATCH(ROWS($U$2:U763),$U$2:$U$1001,0),MATCH(COLUMNS($AB$1006:AG1006),$AB$1006:$AQ$1006,0)), HYPERLINK("#",""), HYPERLINK(CONCATENATE("#Metadata!", ADDRESS(INDEX($W$2:$W$1001,MATCH(ROWS($U$2:U763),$U$2:$U$1001,0),0), INDEX($AB$1004:$AQ$1004,1,MATCH(COLUMNS($AB$1006:AG1006),$AB$1006:$AQ$1006,0)))),"Fix")))</f>
        <v>0</v>
      </c>
      <c r="H763" s="5">
        <f>IF(OR(INDEX($V$2:$V$1001,MATCH(ROWS($U$2:U763),$U$2:$U$1001,0),1)&gt;=100000,INDEX($AB$1005:$AQ$1005,1,MATCH(COLUMNS($AB$1006:AH1006),$AB$1006:$AQ$1006,0))&gt;=100000), " ",IF(INDEX($AB$2:$AQ$1001,MATCH(ROWS($U$2:U763),$U$2:$U$1001,0),MATCH(COLUMNS($AB$1006:AH1006),$AB$1006:$AQ$1006,0)), HYPERLINK("#",""), HYPERLINK(CONCATENATE("#Metadata!", ADDRESS(INDEX($W$2:$W$1001,MATCH(ROWS($U$2:U763),$U$2:$U$1001,0),0), INDEX($AB$1004:$AQ$1004,1,MATCH(COLUMNS($AB$1006:AH1006),$AB$1006:$AQ$1006,0)))),"Fix")))</f>
        <v>0</v>
      </c>
      <c r="I763" s="5">
        <f>IF(OR(INDEX($V$2:$V$1001,MATCH(ROWS($U$2:U763),$U$2:$U$1001,0),1)&gt;=100000,INDEX($AB$1005:$AQ$1005,1,MATCH(COLUMNS($AB$1006:AI1006),$AB$1006:$AQ$1006,0))&gt;=100000), " ",IF(INDEX($AB$2:$AQ$1001,MATCH(ROWS($U$2:U763),$U$2:$U$1001,0),MATCH(COLUMNS($AB$1006:AI1006),$AB$1006:$AQ$1006,0)), HYPERLINK("#",""), HYPERLINK(CONCATENATE("#Metadata!", ADDRESS(INDEX($W$2:$W$1001,MATCH(ROWS($U$2:U763),$U$2:$U$1001,0),0), INDEX($AB$1004:$AQ$1004,1,MATCH(COLUMNS($AB$1006:AI1006),$AB$1006:$AQ$1006,0)))),"Fix")))</f>
        <v>0</v>
      </c>
      <c r="J763" s="5">
        <f>IF(OR(INDEX($V$2:$V$1001,MATCH(ROWS($U$2:U763),$U$2:$U$1001,0),1)&gt;=100000,INDEX($AB$1005:$AQ$1005,1,MATCH(COLUMNS($AB$1006:AJ1006),$AB$1006:$AQ$1006,0))&gt;=100000), " ",IF(INDEX($AB$2:$AQ$1001,MATCH(ROWS($U$2:U763),$U$2:$U$1001,0),MATCH(COLUMNS($AB$1006:AJ1006),$AB$1006:$AQ$1006,0)), HYPERLINK("#",""), HYPERLINK(CONCATENATE("#Metadata!", ADDRESS(INDEX($W$2:$W$1001,MATCH(ROWS($U$2:U763),$U$2:$U$1001,0),0), INDEX($AB$1004:$AQ$1004,1,MATCH(COLUMNS($AB$1006:AJ1006),$AB$1006:$AQ$1006,0)))),"Fix")))</f>
        <v>0</v>
      </c>
      <c r="K763" s="5">
        <f>IF(OR(INDEX($V$2:$V$1001,MATCH(ROWS($U$2:U763),$U$2:$U$1001,0),1)&gt;=100000,INDEX($AB$1005:$AQ$1005,1,MATCH(COLUMNS($AB$1006:AK1006),$AB$1006:$AQ$1006,0))&gt;=100000), " ",IF(INDEX($AB$2:$AQ$1001,MATCH(ROWS($U$2:U763),$U$2:$U$1001,0),MATCH(COLUMNS($AB$1006:AK1006),$AB$1006:$AQ$1006,0)), HYPERLINK("#",""), HYPERLINK(CONCATENATE("#Metadata!", ADDRESS(INDEX($W$2:$W$1001,MATCH(ROWS($U$2:U763),$U$2:$U$1001,0),0), INDEX($AB$1004:$AQ$1004,1,MATCH(COLUMNS($AB$1006:AK1006),$AB$1006:$AQ$1006,0)))),"Fix")))</f>
        <v>0</v>
      </c>
      <c r="L763" s="5">
        <f>IF(OR(INDEX($V$2:$V$1001,MATCH(ROWS($U$2:U763),$U$2:$U$1001,0),1)&gt;=100000,INDEX($AB$1005:$AQ$1005,1,MATCH(COLUMNS($AB$1006:AL1006),$AB$1006:$AQ$1006,0))&gt;=100000), " ",IF(INDEX($AB$2:$AQ$1001,MATCH(ROWS($U$2:U763),$U$2:$U$1001,0),MATCH(COLUMNS($AB$1006:AL1006),$AB$1006:$AQ$1006,0)), HYPERLINK("#",""), HYPERLINK(CONCATENATE("#Metadata!", ADDRESS(INDEX($W$2:$W$1001,MATCH(ROWS($U$2:U763),$U$2:$U$1001,0),0), INDEX($AB$1004:$AQ$1004,1,MATCH(COLUMNS($AB$1006:AL1006),$AB$1006:$AQ$1006,0)))),"Fix")))</f>
        <v>0</v>
      </c>
      <c r="M763" s="5">
        <f>IF(OR(INDEX($V$2:$V$1001,MATCH(ROWS($U$2:U763),$U$2:$U$1001,0),1)&gt;=100000,INDEX($AB$1005:$AQ$1005,1,MATCH(COLUMNS($AB$1006:AM1006),$AB$1006:$AQ$1006,0))&gt;=100000), " ",IF(INDEX($AB$2:$AQ$1001,MATCH(ROWS($U$2:U763),$U$2:$U$1001,0),MATCH(COLUMNS($AB$1006:AM1006),$AB$1006:$AQ$1006,0)), HYPERLINK("#",""), HYPERLINK(CONCATENATE("#Metadata!", ADDRESS(INDEX($W$2:$W$1001,MATCH(ROWS($U$2:U763),$U$2:$U$1001,0),0), INDEX($AB$1004:$AQ$1004,1,MATCH(COLUMNS($AB$1006:AM1006),$AB$1006:$AQ$1006,0)))),"Fix")))</f>
        <v>0</v>
      </c>
      <c r="N763" s="5">
        <f>IF(OR(INDEX($V$2:$V$1001,MATCH(ROWS($U$2:U763),$U$2:$U$1001,0),1)&gt;=100000,INDEX($AB$1005:$AQ$1005,1,MATCH(COLUMNS($AB$1006:AN1006),$AB$1006:$AQ$1006,0))&gt;=100000), " ",IF(INDEX($AB$2:$AQ$1001,MATCH(ROWS($U$2:U763),$U$2:$U$1001,0),MATCH(COLUMNS($AB$1006:AN1006),$AB$1006:$AQ$1006,0)), HYPERLINK("#",""), HYPERLINK(CONCATENATE("#Metadata!", ADDRESS(INDEX($W$2:$W$1001,MATCH(ROWS($U$2:U763),$U$2:$U$1001,0),0), INDEX($AB$1004:$AQ$1004,1,MATCH(COLUMNS($AB$1006:AN1006),$AB$1006:$AQ$1006,0)))),"Fix")))</f>
        <v>0</v>
      </c>
      <c r="O763" s="5">
        <f>IF(OR(INDEX($V$2:$V$1001,MATCH(ROWS($U$2:U763),$U$2:$U$1001,0),1)&gt;=100000,INDEX($AB$1005:$AQ$1005,1,MATCH(COLUMNS($AB$1006:AO1006),$AB$1006:$AQ$1006,0))&gt;=100000), " ",IF(INDEX($AB$2:$AQ$1001,MATCH(ROWS($U$2:U763),$U$2:$U$1001,0),MATCH(COLUMNS($AB$1006:AO1006),$AB$1006:$AQ$1006,0)), HYPERLINK("#",""), HYPERLINK(CONCATENATE("#Metadata!", ADDRESS(INDEX($W$2:$W$1001,MATCH(ROWS($U$2:U763),$U$2:$U$1001,0),0), INDEX($AB$1004:$AQ$1004,1,MATCH(COLUMNS($AB$1006:AO1006),$AB$1006:$AQ$1006,0)))),"Fix")))</f>
        <v>0</v>
      </c>
      <c r="P763" s="5">
        <f>IF(OR(INDEX($V$2:$V$1001,MATCH(ROWS($U$2:U763),$U$2:$U$1001,0),1)&gt;=100000,INDEX($AB$1005:$AQ$1005,1,MATCH(COLUMNS($AB$1006:AP1006),$AB$1006:$AQ$1006,0))&gt;=100000), " ",IF(INDEX($AB$2:$AQ$1001,MATCH(ROWS($U$2:U763),$U$2:$U$1001,0),MATCH(COLUMNS($AB$1006:AP1006),$AB$1006:$AQ$1006,0)), HYPERLINK("#",""), HYPERLINK(CONCATENATE("#Metadata!", ADDRESS(INDEX($W$2:$W$1001,MATCH(ROWS($U$2:U763),$U$2:$U$1001,0),0), INDEX($AB$1004:$AQ$1004,1,MATCH(COLUMNS($AB$1006:AP1006),$AB$1006:$AQ$1006,0)))),"Fix")))</f>
        <v>0</v>
      </c>
      <c r="Q763" s="5">
        <f>IF(OR(INDEX($V$2:$V$1001,MATCH(ROWS($U$2:U763),$U$2:$U$1001,0),1)&gt;=100000,INDEX($AB$1005:$AQ$1005,1,MATCH(COLUMNS($AB$1006:AQ1006),$AB$1006:$AQ$1006,0))&gt;=100000), " ",IF(INDEX($AB$2:$AQ$1001,MATCH(ROWS($U$2:U763),$U$2:$U$1001,0),MATCH(COLUMNS($AB$1006:AQ1006),$AB$1006:$AQ$1006,0)), HYPERLINK("#",""), HYPERLINK(CONCATENATE("#Metadata!", ADDRESS(INDEX($W$2:$W$1001,MATCH(ROWS($U$2:U763),$U$2:$U$1001,0),0), INDEX($AB$1004:$AQ$1004,1,MATCH(COLUMNS($AB$1006:AQ1006),$AB$1006:$AQ$1006,0)))),"Fix")))</f>
        <v>0</v>
      </c>
      <c r="U763">
        <v>0</v>
      </c>
      <c r="V763">
        <v>0</v>
      </c>
      <c r="W763">
        <v>0</v>
      </c>
      <c r="X763">
        <f>IF(Y763,TRUE,AND(AB763:AQ763))</f>
        <v>0</v>
      </c>
      <c r="Y763">
        <f>COUNTBLANK(Metadata!B763:Q763)=COLUMNS(Metadata!B763:Q763)</f>
        <v>0</v>
      </c>
      <c r="Z763">
        <v>0</v>
      </c>
      <c r="AB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AC763">
        <f>AND(IF(Metadata!C763="",FALSE,TRUE),exact(Metadata!C763,"urban biome"))</f>
        <v>0</v>
      </c>
      <c r="AD763">
        <f>AND(IF(Metadata!D763="",FALSE,TRUE),exact(Metadata!D763,"human-associated habitat"))</f>
        <v>0</v>
      </c>
      <c r="AE763">
        <f>AND(IF(Metadata!E763="",FALSE,TRUE),OR(exact(Metadata!E763,"human-associated"),exact(Metadata!E763,"human-skin"),exact(Metadata!E763,"human-oral"),exact(Metadata!E763,"human-gut"),exact(Metadata!E763,"human-vaginal")))</f>
        <v>0</v>
      </c>
      <c r="AF763">
        <f>AND(IF(Metadata!F763="",FALSE,ISNUMBER(VALUE(Metadata!F763))),Metadata!F763&gt;0)</f>
        <v>0</v>
      </c>
      <c r="AG763">
        <f>AND(IF(Metadata!G763="",FALSE,TRUE),exact(Metadata!G763,"years"))</f>
        <v>0</v>
      </c>
      <c r="AH763">
        <f>OR(AND(IF(Metadata!H763="",FALSE,TRUE),OR(exact(Metadata!H763,"not applicable"),exact(Metadata!H763,"not collected"),exact(Metadata!H763,"not provided"),exact(Metadata!H763,"restricted access"))),AND(IF(Metadata!H763="",FALSE,ISNUMBER(VALUE(Metadata!H763))),Metadata!H763&gt;0))</f>
        <v>0</v>
      </c>
      <c r="AI763">
        <f>AND(IF(Metadata!I763="",FALSE,TRUE),exact(Metadata!I763,"human"))</f>
        <v>0</v>
      </c>
      <c r="AJ763">
        <f>AND(IF(Metadata!J763="",FALSE,ISNUMBER(VALUE(Metadata!J763))),Metadata!J763&gt;0)</f>
        <v>0</v>
      </c>
      <c r="AK763">
        <f>AND(IF(Metadata!K763="",FALSE,TRUE),exact(Metadata!K763,"cm"))</f>
        <v>0</v>
      </c>
      <c r="AL763">
        <f>AND(IF(Metadata!L763="",FALSE,TRUE),exact(Metadata!L763,"Homo sapiens"))</f>
        <v>0</v>
      </c>
      <c r="AM763">
        <f>AND(IF(Metadata!M763="",FALSE,TRUE),exact(Metadata!M763,"9606"))</f>
        <v>0</v>
      </c>
      <c r="AN763">
        <f>AND(IF(Metadata!N763="",FALSE,ISNUMBER(VALUE(Metadata!N763))),Metadata!N763&gt;0)</f>
        <v>0</v>
      </c>
      <c r="AO763">
        <f>AND(IF(Metadata!O763="",FALSE,TRUE),exact(Metadata!O763,"kg"))</f>
        <v>0</v>
      </c>
      <c r="AP763">
        <f>OR(AND(IF(Metadata!P763="",FALSE,TRUE),exact(Metadata!P763,"not provided")),IF(Metadata!P763="",FALSE,TRUE))</f>
        <v>0</v>
      </c>
      <c r="AQ763">
        <f>OR(AND(IF(Metadata!Q763="",FALSE,TRUE),exact(Metadata!Q763,"not provided")),IF(Metadata!Q763="",FALSE,TRUE))</f>
        <v>0</v>
      </c>
    </row>
    <row r="764" spans="1:43">
      <c r="A764" s="4">
        <f>IF(B764=" "," ",HYPERLINK(CONCATENATE("#metadata!",ADDRESS(INDEX($W$2:$W$1001,MATCH(ROWS($U$2:U764),$U$2:$U$1001,0),0),2)),INDEX($Z$2:$Z$1001,MATCH(ROWS($U$2:U764),$U$2:$U$1001,0),0)))</f>
        <v>0</v>
      </c>
      <c r="B764" s="5">
        <f>IF(OR(INDEX($V$2:$V$1001,MATCH(ROWS($U$2:U764),$U$2:$U$1001,0),1)&gt;=100000,INDEX($AB$1005:$AQ$1005,1,MATCH(COLUMNS($AB$1006:AB1006),$AB$1006:$AQ$1006,0))&gt;=100000), " ",IF(INDEX($AB$2:$AQ$1001,MATCH(ROWS($U$2:U764),$U$2:$U$1001,0),MATCH(COLUMNS($AB$1006:AB1006),$AB$1006:$AQ$1006,0)), HYPERLINK("#",""), HYPERLINK(CONCATENATE("#Metadata!", ADDRESS(INDEX($W$2:$W$1001,MATCH(ROWS($U$2:U764),$U$2:$U$1001,0),0), INDEX($AB$1004:$AQ$1004,1,MATCH(COLUMNS($AB$1006:AB1006),$AB$1006:$AQ$1006,0)))),"Fix")))</f>
        <v>0</v>
      </c>
      <c r="C764" s="5">
        <f>IF(OR(INDEX($V$2:$V$1001,MATCH(ROWS($U$2:U764),$U$2:$U$1001,0),1)&gt;=100000,INDEX($AB$1005:$AQ$1005,1,MATCH(COLUMNS($AB$1006:AC1006),$AB$1006:$AQ$1006,0))&gt;=100000), " ",IF(INDEX($AB$2:$AQ$1001,MATCH(ROWS($U$2:U764),$U$2:$U$1001,0),MATCH(COLUMNS($AB$1006:AC1006),$AB$1006:$AQ$1006,0)), HYPERLINK("#",""), HYPERLINK(CONCATENATE("#Metadata!", ADDRESS(INDEX($W$2:$W$1001,MATCH(ROWS($U$2:U764),$U$2:$U$1001,0),0), INDEX($AB$1004:$AQ$1004,1,MATCH(COLUMNS($AB$1006:AC1006),$AB$1006:$AQ$1006,0)))),"Fix")))</f>
        <v>0</v>
      </c>
      <c r="D764" s="5">
        <f>IF(OR(INDEX($V$2:$V$1001,MATCH(ROWS($U$2:U764),$U$2:$U$1001,0),1)&gt;=100000,INDEX($AB$1005:$AQ$1005,1,MATCH(COLUMNS($AB$1006:AD1006),$AB$1006:$AQ$1006,0))&gt;=100000), " ",IF(INDEX($AB$2:$AQ$1001,MATCH(ROWS($U$2:U764),$U$2:$U$1001,0),MATCH(COLUMNS($AB$1006:AD1006),$AB$1006:$AQ$1006,0)), HYPERLINK("#",""), HYPERLINK(CONCATENATE("#Metadata!", ADDRESS(INDEX($W$2:$W$1001,MATCH(ROWS($U$2:U764),$U$2:$U$1001,0),0), INDEX($AB$1004:$AQ$1004,1,MATCH(COLUMNS($AB$1006:AD1006),$AB$1006:$AQ$1006,0)))),"Fix")))</f>
        <v>0</v>
      </c>
      <c r="E764" s="5">
        <f>IF(OR(INDEX($V$2:$V$1001,MATCH(ROWS($U$2:U764),$U$2:$U$1001,0),1)&gt;=100000,INDEX($AB$1005:$AQ$1005,1,MATCH(COLUMNS($AB$1006:AE1006),$AB$1006:$AQ$1006,0))&gt;=100000), " ",IF(INDEX($AB$2:$AQ$1001,MATCH(ROWS($U$2:U764),$U$2:$U$1001,0),MATCH(COLUMNS($AB$1006:AE1006),$AB$1006:$AQ$1006,0)), HYPERLINK("#",""), HYPERLINK(CONCATENATE("#Metadata!", ADDRESS(INDEX($W$2:$W$1001,MATCH(ROWS($U$2:U764),$U$2:$U$1001,0),0), INDEX($AB$1004:$AQ$1004,1,MATCH(COLUMNS($AB$1006:AE1006),$AB$1006:$AQ$1006,0)))),"Fix")))</f>
        <v>0</v>
      </c>
      <c r="F764" s="5">
        <f>IF(OR(INDEX($V$2:$V$1001,MATCH(ROWS($U$2:U764),$U$2:$U$1001,0),1)&gt;=100000,INDEX($AB$1005:$AQ$1005,1,MATCH(COLUMNS($AB$1006:AF1006),$AB$1006:$AQ$1006,0))&gt;=100000), " ",IF(INDEX($AB$2:$AQ$1001,MATCH(ROWS($U$2:U764),$U$2:$U$1001,0),MATCH(COLUMNS($AB$1006:AF1006),$AB$1006:$AQ$1006,0)), HYPERLINK("#",""), HYPERLINK(CONCATENATE("#Metadata!", ADDRESS(INDEX($W$2:$W$1001,MATCH(ROWS($U$2:U764),$U$2:$U$1001,0),0), INDEX($AB$1004:$AQ$1004,1,MATCH(COLUMNS($AB$1006:AF1006),$AB$1006:$AQ$1006,0)))),"Fix")))</f>
        <v>0</v>
      </c>
      <c r="G764" s="5">
        <f>IF(OR(INDEX($V$2:$V$1001,MATCH(ROWS($U$2:U764),$U$2:$U$1001,0),1)&gt;=100000,INDEX($AB$1005:$AQ$1005,1,MATCH(COLUMNS($AB$1006:AG1006),$AB$1006:$AQ$1006,0))&gt;=100000), " ",IF(INDEX($AB$2:$AQ$1001,MATCH(ROWS($U$2:U764),$U$2:$U$1001,0),MATCH(COLUMNS($AB$1006:AG1006),$AB$1006:$AQ$1006,0)), HYPERLINK("#",""), HYPERLINK(CONCATENATE("#Metadata!", ADDRESS(INDEX($W$2:$W$1001,MATCH(ROWS($U$2:U764),$U$2:$U$1001,0),0), INDEX($AB$1004:$AQ$1004,1,MATCH(COLUMNS($AB$1006:AG1006),$AB$1006:$AQ$1006,0)))),"Fix")))</f>
        <v>0</v>
      </c>
      <c r="H764" s="5">
        <f>IF(OR(INDEX($V$2:$V$1001,MATCH(ROWS($U$2:U764),$U$2:$U$1001,0),1)&gt;=100000,INDEX($AB$1005:$AQ$1005,1,MATCH(COLUMNS($AB$1006:AH1006),$AB$1006:$AQ$1006,0))&gt;=100000), " ",IF(INDEX($AB$2:$AQ$1001,MATCH(ROWS($U$2:U764),$U$2:$U$1001,0),MATCH(COLUMNS($AB$1006:AH1006),$AB$1006:$AQ$1006,0)), HYPERLINK("#",""), HYPERLINK(CONCATENATE("#Metadata!", ADDRESS(INDEX($W$2:$W$1001,MATCH(ROWS($U$2:U764),$U$2:$U$1001,0),0), INDEX($AB$1004:$AQ$1004,1,MATCH(COLUMNS($AB$1006:AH1006),$AB$1006:$AQ$1006,0)))),"Fix")))</f>
        <v>0</v>
      </c>
      <c r="I764" s="5">
        <f>IF(OR(INDEX($V$2:$V$1001,MATCH(ROWS($U$2:U764),$U$2:$U$1001,0),1)&gt;=100000,INDEX($AB$1005:$AQ$1005,1,MATCH(COLUMNS($AB$1006:AI1006),$AB$1006:$AQ$1006,0))&gt;=100000), " ",IF(INDEX($AB$2:$AQ$1001,MATCH(ROWS($U$2:U764),$U$2:$U$1001,0),MATCH(COLUMNS($AB$1006:AI1006),$AB$1006:$AQ$1006,0)), HYPERLINK("#",""), HYPERLINK(CONCATENATE("#Metadata!", ADDRESS(INDEX($W$2:$W$1001,MATCH(ROWS($U$2:U764),$U$2:$U$1001,0),0), INDEX($AB$1004:$AQ$1004,1,MATCH(COLUMNS($AB$1006:AI1006),$AB$1006:$AQ$1006,0)))),"Fix")))</f>
        <v>0</v>
      </c>
      <c r="J764" s="5">
        <f>IF(OR(INDEX($V$2:$V$1001,MATCH(ROWS($U$2:U764),$U$2:$U$1001,0),1)&gt;=100000,INDEX($AB$1005:$AQ$1005,1,MATCH(COLUMNS($AB$1006:AJ1006),$AB$1006:$AQ$1006,0))&gt;=100000), " ",IF(INDEX($AB$2:$AQ$1001,MATCH(ROWS($U$2:U764),$U$2:$U$1001,0),MATCH(COLUMNS($AB$1006:AJ1006),$AB$1006:$AQ$1006,0)), HYPERLINK("#",""), HYPERLINK(CONCATENATE("#Metadata!", ADDRESS(INDEX($W$2:$W$1001,MATCH(ROWS($U$2:U764),$U$2:$U$1001,0),0), INDEX($AB$1004:$AQ$1004,1,MATCH(COLUMNS($AB$1006:AJ1006),$AB$1006:$AQ$1006,0)))),"Fix")))</f>
        <v>0</v>
      </c>
      <c r="K764" s="5">
        <f>IF(OR(INDEX($V$2:$V$1001,MATCH(ROWS($U$2:U764),$U$2:$U$1001,0),1)&gt;=100000,INDEX($AB$1005:$AQ$1005,1,MATCH(COLUMNS($AB$1006:AK1006),$AB$1006:$AQ$1006,0))&gt;=100000), " ",IF(INDEX($AB$2:$AQ$1001,MATCH(ROWS($U$2:U764),$U$2:$U$1001,0),MATCH(COLUMNS($AB$1006:AK1006),$AB$1006:$AQ$1006,0)), HYPERLINK("#",""), HYPERLINK(CONCATENATE("#Metadata!", ADDRESS(INDEX($W$2:$W$1001,MATCH(ROWS($U$2:U764),$U$2:$U$1001,0),0), INDEX($AB$1004:$AQ$1004,1,MATCH(COLUMNS($AB$1006:AK1006),$AB$1006:$AQ$1006,0)))),"Fix")))</f>
        <v>0</v>
      </c>
      <c r="L764" s="5">
        <f>IF(OR(INDEX($V$2:$V$1001,MATCH(ROWS($U$2:U764),$U$2:$U$1001,0),1)&gt;=100000,INDEX($AB$1005:$AQ$1005,1,MATCH(COLUMNS($AB$1006:AL1006),$AB$1006:$AQ$1006,0))&gt;=100000), " ",IF(INDEX($AB$2:$AQ$1001,MATCH(ROWS($U$2:U764),$U$2:$U$1001,0),MATCH(COLUMNS($AB$1006:AL1006),$AB$1006:$AQ$1006,0)), HYPERLINK("#",""), HYPERLINK(CONCATENATE("#Metadata!", ADDRESS(INDEX($W$2:$W$1001,MATCH(ROWS($U$2:U764),$U$2:$U$1001,0),0), INDEX($AB$1004:$AQ$1004,1,MATCH(COLUMNS($AB$1006:AL1006),$AB$1006:$AQ$1006,0)))),"Fix")))</f>
        <v>0</v>
      </c>
      <c r="M764" s="5">
        <f>IF(OR(INDEX($V$2:$V$1001,MATCH(ROWS($U$2:U764),$U$2:$U$1001,0),1)&gt;=100000,INDEX($AB$1005:$AQ$1005,1,MATCH(COLUMNS($AB$1006:AM1006),$AB$1006:$AQ$1006,0))&gt;=100000), " ",IF(INDEX($AB$2:$AQ$1001,MATCH(ROWS($U$2:U764),$U$2:$U$1001,0),MATCH(COLUMNS($AB$1006:AM1006),$AB$1006:$AQ$1006,0)), HYPERLINK("#",""), HYPERLINK(CONCATENATE("#Metadata!", ADDRESS(INDEX($W$2:$W$1001,MATCH(ROWS($U$2:U764),$U$2:$U$1001,0),0), INDEX($AB$1004:$AQ$1004,1,MATCH(COLUMNS($AB$1006:AM1006),$AB$1006:$AQ$1006,0)))),"Fix")))</f>
        <v>0</v>
      </c>
      <c r="N764" s="5">
        <f>IF(OR(INDEX($V$2:$V$1001,MATCH(ROWS($U$2:U764),$U$2:$U$1001,0),1)&gt;=100000,INDEX($AB$1005:$AQ$1005,1,MATCH(COLUMNS($AB$1006:AN1006),$AB$1006:$AQ$1006,0))&gt;=100000), " ",IF(INDEX($AB$2:$AQ$1001,MATCH(ROWS($U$2:U764),$U$2:$U$1001,0),MATCH(COLUMNS($AB$1006:AN1006),$AB$1006:$AQ$1006,0)), HYPERLINK("#",""), HYPERLINK(CONCATENATE("#Metadata!", ADDRESS(INDEX($W$2:$W$1001,MATCH(ROWS($U$2:U764),$U$2:$U$1001,0),0), INDEX($AB$1004:$AQ$1004,1,MATCH(COLUMNS($AB$1006:AN1006),$AB$1006:$AQ$1006,0)))),"Fix")))</f>
        <v>0</v>
      </c>
      <c r="O764" s="5">
        <f>IF(OR(INDEX($V$2:$V$1001,MATCH(ROWS($U$2:U764),$U$2:$U$1001,0),1)&gt;=100000,INDEX($AB$1005:$AQ$1005,1,MATCH(COLUMNS($AB$1006:AO1006),$AB$1006:$AQ$1006,0))&gt;=100000), " ",IF(INDEX($AB$2:$AQ$1001,MATCH(ROWS($U$2:U764),$U$2:$U$1001,0),MATCH(COLUMNS($AB$1006:AO1006),$AB$1006:$AQ$1006,0)), HYPERLINK("#",""), HYPERLINK(CONCATENATE("#Metadata!", ADDRESS(INDEX($W$2:$W$1001,MATCH(ROWS($U$2:U764),$U$2:$U$1001,0),0), INDEX($AB$1004:$AQ$1004,1,MATCH(COLUMNS($AB$1006:AO1006),$AB$1006:$AQ$1006,0)))),"Fix")))</f>
        <v>0</v>
      </c>
      <c r="P764" s="5">
        <f>IF(OR(INDEX($V$2:$V$1001,MATCH(ROWS($U$2:U764),$U$2:$U$1001,0),1)&gt;=100000,INDEX($AB$1005:$AQ$1005,1,MATCH(COLUMNS($AB$1006:AP1006),$AB$1006:$AQ$1006,0))&gt;=100000), " ",IF(INDEX($AB$2:$AQ$1001,MATCH(ROWS($U$2:U764),$U$2:$U$1001,0),MATCH(COLUMNS($AB$1006:AP1006),$AB$1006:$AQ$1006,0)), HYPERLINK("#",""), HYPERLINK(CONCATENATE("#Metadata!", ADDRESS(INDEX($W$2:$W$1001,MATCH(ROWS($U$2:U764),$U$2:$U$1001,0),0), INDEX($AB$1004:$AQ$1004,1,MATCH(COLUMNS($AB$1006:AP1006),$AB$1006:$AQ$1006,0)))),"Fix")))</f>
        <v>0</v>
      </c>
      <c r="Q764" s="5">
        <f>IF(OR(INDEX($V$2:$V$1001,MATCH(ROWS($U$2:U764),$U$2:$U$1001,0),1)&gt;=100000,INDEX($AB$1005:$AQ$1005,1,MATCH(COLUMNS($AB$1006:AQ1006),$AB$1006:$AQ$1006,0))&gt;=100000), " ",IF(INDEX($AB$2:$AQ$1001,MATCH(ROWS($U$2:U764),$U$2:$U$1001,0),MATCH(COLUMNS($AB$1006:AQ1006),$AB$1006:$AQ$1006,0)), HYPERLINK("#",""), HYPERLINK(CONCATENATE("#Metadata!", ADDRESS(INDEX($W$2:$W$1001,MATCH(ROWS($U$2:U764),$U$2:$U$1001,0),0), INDEX($AB$1004:$AQ$1004,1,MATCH(COLUMNS($AB$1006:AQ1006),$AB$1006:$AQ$1006,0)))),"Fix")))</f>
        <v>0</v>
      </c>
      <c r="U764">
        <v>0</v>
      </c>
      <c r="V764">
        <v>0</v>
      </c>
      <c r="W764">
        <v>0</v>
      </c>
      <c r="X764">
        <f>IF(Y764,TRUE,AND(AB764:AQ764))</f>
        <v>0</v>
      </c>
      <c r="Y764">
        <f>COUNTBLANK(Metadata!B764:Q764)=COLUMNS(Metadata!B764:Q764)</f>
        <v>0</v>
      </c>
      <c r="Z764">
        <v>0</v>
      </c>
      <c r="AB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AC764">
        <f>AND(IF(Metadata!C764="",FALSE,TRUE),exact(Metadata!C764,"urban biome"))</f>
        <v>0</v>
      </c>
      <c r="AD764">
        <f>AND(IF(Metadata!D764="",FALSE,TRUE),exact(Metadata!D764,"human-associated habitat"))</f>
        <v>0</v>
      </c>
      <c r="AE764">
        <f>AND(IF(Metadata!E764="",FALSE,TRUE),OR(exact(Metadata!E764,"human-associated"),exact(Metadata!E764,"human-skin"),exact(Metadata!E764,"human-oral"),exact(Metadata!E764,"human-gut"),exact(Metadata!E764,"human-vaginal")))</f>
        <v>0</v>
      </c>
      <c r="AF764">
        <f>AND(IF(Metadata!F764="",FALSE,ISNUMBER(VALUE(Metadata!F764))),Metadata!F764&gt;0)</f>
        <v>0</v>
      </c>
      <c r="AG764">
        <f>AND(IF(Metadata!G764="",FALSE,TRUE),exact(Metadata!G764,"years"))</f>
        <v>0</v>
      </c>
      <c r="AH764">
        <f>OR(AND(IF(Metadata!H764="",FALSE,TRUE),OR(exact(Metadata!H764,"not applicable"),exact(Metadata!H764,"not collected"),exact(Metadata!H764,"not provided"),exact(Metadata!H764,"restricted access"))),AND(IF(Metadata!H764="",FALSE,ISNUMBER(VALUE(Metadata!H764))),Metadata!H764&gt;0))</f>
        <v>0</v>
      </c>
      <c r="AI764">
        <f>AND(IF(Metadata!I764="",FALSE,TRUE),exact(Metadata!I764,"human"))</f>
        <v>0</v>
      </c>
      <c r="AJ764">
        <f>AND(IF(Metadata!J764="",FALSE,ISNUMBER(VALUE(Metadata!J764))),Metadata!J764&gt;0)</f>
        <v>0</v>
      </c>
      <c r="AK764">
        <f>AND(IF(Metadata!K764="",FALSE,TRUE),exact(Metadata!K764,"cm"))</f>
        <v>0</v>
      </c>
      <c r="AL764">
        <f>AND(IF(Metadata!L764="",FALSE,TRUE),exact(Metadata!L764,"Homo sapiens"))</f>
        <v>0</v>
      </c>
      <c r="AM764">
        <f>AND(IF(Metadata!M764="",FALSE,TRUE),exact(Metadata!M764,"9606"))</f>
        <v>0</v>
      </c>
      <c r="AN764">
        <f>AND(IF(Metadata!N764="",FALSE,ISNUMBER(VALUE(Metadata!N764))),Metadata!N764&gt;0)</f>
        <v>0</v>
      </c>
      <c r="AO764">
        <f>AND(IF(Metadata!O764="",FALSE,TRUE),exact(Metadata!O764,"kg"))</f>
        <v>0</v>
      </c>
      <c r="AP764">
        <f>OR(AND(IF(Metadata!P764="",FALSE,TRUE),exact(Metadata!P764,"not provided")),IF(Metadata!P764="",FALSE,TRUE))</f>
        <v>0</v>
      </c>
      <c r="AQ764">
        <f>OR(AND(IF(Metadata!Q764="",FALSE,TRUE),exact(Metadata!Q764,"not provided")),IF(Metadata!Q764="",FALSE,TRUE))</f>
        <v>0</v>
      </c>
    </row>
    <row r="765" spans="1:43">
      <c r="A765" s="4">
        <f>IF(B765=" "," ",HYPERLINK(CONCATENATE("#metadata!",ADDRESS(INDEX($W$2:$W$1001,MATCH(ROWS($U$2:U765),$U$2:$U$1001,0),0),2)),INDEX($Z$2:$Z$1001,MATCH(ROWS($U$2:U765),$U$2:$U$1001,0),0)))</f>
        <v>0</v>
      </c>
      <c r="B765" s="5">
        <f>IF(OR(INDEX($V$2:$V$1001,MATCH(ROWS($U$2:U765),$U$2:$U$1001,0),1)&gt;=100000,INDEX($AB$1005:$AQ$1005,1,MATCH(COLUMNS($AB$1006:AB1006),$AB$1006:$AQ$1006,0))&gt;=100000), " ",IF(INDEX($AB$2:$AQ$1001,MATCH(ROWS($U$2:U765),$U$2:$U$1001,0),MATCH(COLUMNS($AB$1006:AB1006),$AB$1006:$AQ$1006,0)), HYPERLINK("#",""), HYPERLINK(CONCATENATE("#Metadata!", ADDRESS(INDEX($W$2:$W$1001,MATCH(ROWS($U$2:U765),$U$2:$U$1001,0),0), INDEX($AB$1004:$AQ$1004,1,MATCH(COLUMNS($AB$1006:AB1006),$AB$1006:$AQ$1006,0)))),"Fix")))</f>
        <v>0</v>
      </c>
      <c r="C765" s="5">
        <f>IF(OR(INDEX($V$2:$V$1001,MATCH(ROWS($U$2:U765),$U$2:$U$1001,0),1)&gt;=100000,INDEX($AB$1005:$AQ$1005,1,MATCH(COLUMNS($AB$1006:AC1006),$AB$1006:$AQ$1006,0))&gt;=100000), " ",IF(INDEX($AB$2:$AQ$1001,MATCH(ROWS($U$2:U765),$U$2:$U$1001,0),MATCH(COLUMNS($AB$1006:AC1006),$AB$1006:$AQ$1006,0)), HYPERLINK("#",""), HYPERLINK(CONCATENATE("#Metadata!", ADDRESS(INDEX($W$2:$W$1001,MATCH(ROWS($U$2:U765),$U$2:$U$1001,0),0), INDEX($AB$1004:$AQ$1004,1,MATCH(COLUMNS($AB$1006:AC1006),$AB$1006:$AQ$1006,0)))),"Fix")))</f>
        <v>0</v>
      </c>
      <c r="D765" s="5">
        <f>IF(OR(INDEX($V$2:$V$1001,MATCH(ROWS($U$2:U765),$U$2:$U$1001,0),1)&gt;=100000,INDEX($AB$1005:$AQ$1005,1,MATCH(COLUMNS($AB$1006:AD1006),$AB$1006:$AQ$1006,0))&gt;=100000), " ",IF(INDEX($AB$2:$AQ$1001,MATCH(ROWS($U$2:U765),$U$2:$U$1001,0),MATCH(COLUMNS($AB$1006:AD1006),$AB$1006:$AQ$1006,0)), HYPERLINK("#",""), HYPERLINK(CONCATENATE("#Metadata!", ADDRESS(INDEX($W$2:$W$1001,MATCH(ROWS($U$2:U765),$U$2:$U$1001,0),0), INDEX($AB$1004:$AQ$1004,1,MATCH(COLUMNS($AB$1006:AD1006),$AB$1006:$AQ$1006,0)))),"Fix")))</f>
        <v>0</v>
      </c>
      <c r="E765" s="5">
        <f>IF(OR(INDEX($V$2:$V$1001,MATCH(ROWS($U$2:U765),$U$2:$U$1001,0),1)&gt;=100000,INDEX($AB$1005:$AQ$1005,1,MATCH(COLUMNS($AB$1006:AE1006),$AB$1006:$AQ$1006,0))&gt;=100000), " ",IF(INDEX($AB$2:$AQ$1001,MATCH(ROWS($U$2:U765),$U$2:$U$1001,0),MATCH(COLUMNS($AB$1006:AE1006),$AB$1006:$AQ$1006,0)), HYPERLINK("#",""), HYPERLINK(CONCATENATE("#Metadata!", ADDRESS(INDEX($W$2:$W$1001,MATCH(ROWS($U$2:U765),$U$2:$U$1001,0),0), INDEX($AB$1004:$AQ$1004,1,MATCH(COLUMNS($AB$1006:AE1006),$AB$1006:$AQ$1006,0)))),"Fix")))</f>
        <v>0</v>
      </c>
      <c r="F765" s="5">
        <f>IF(OR(INDEX($V$2:$V$1001,MATCH(ROWS($U$2:U765),$U$2:$U$1001,0),1)&gt;=100000,INDEX($AB$1005:$AQ$1005,1,MATCH(COLUMNS($AB$1006:AF1006),$AB$1006:$AQ$1006,0))&gt;=100000), " ",IF(INDEX($AB$2:$AQ$1001,MATCH(ROWS($U$2:U765),$U$2:$U$1001,0),MATCH(COLUMNS($AB$1006:AF1006),$AB$1006:$AQ$1006,0)), HYPERLINK("#",""), HYPERLINK(CONCATENATE("#Metadata!", ADDRESS(INDEX($W$2:$W$1001,MATCH(ROWS($U$2:U765),$U$2:$U$1001,0),0), INDEX($AB$1004:$AQ$1004,1,MATCH(COLUMNS($AB$1006:AF1006),$AB$1006:$AQ$1006,0)))),"Fix")))</f>
        <v>0</v>
      </c>
      <c r="G765" s="5">
        <f>IF(OR(INDEX($V$2:$V$1001,MATCH(ROWS($U$2:U765),$U$2:$U$1001,0),1)&gt;=100000,INDEX($AB$1005:$AQ$1005,1,MATCH(COLUMNS($AB$1006:AG1006),$AB$1006:$AQ$1006,0))&gt;=100000), " ",IF(INDEX($AB$2:$AQ$1001,MATCH(ROWS($U$2:U765),$U$2:$U$1001,0),MATCH(COLUMNS($AB$1006:AG1006),$AB$1006:$AQ$1006,0)), HYPERLINK("#",""), HYPERLINK(CONCATENATE("#Metadata!", ADDRESS(INDEX($W$2:$W$1001,MATCH(ROWS($U$2:U765),$U$2:$U$1001,0),0), INDEX($AB$1004:$AQ$1004,1,MATCH(COLUMNS($AB$1006:AG1006),$AB$1006:$AQ$1006,0)))),"Fix")))</f>
        <v>0</v>
      </c>
      <c r="H765" s="5">
        <f>IF(OR(INDEX($V$2:$V$1001,MATCH(ROWS($U$2:U765),$U$2:$U$1001,0),1)&gt;=100000,INDEX($AB$1005:$AQ$1005,1,MATCH(COLUMNS($AB$1006:AH1006),$AB$1006:$AQ$1006,0))&gt;=100000), " ",IF(INDEX($AB$2:$AQ$1001,MATCH(ROWS($U$2:U765),$U$2:$U$1001,0),MATCH(COLUMNS($AB$1006:AH1006),$AB$1006:$AQ$1006,0)), HYPERLINK("#",""), HYPERLINK(CONCATENATE("#Metadata!", ADDRESS(INDEX($W$2:$W$1001,MATCH(ROWS($U$2:U765),$U$2:$U$1001,0),0), INDEX($AB$1004:$AQ$1004,1,MATCH(COLUMNS($AB$1006:AH1006),$AB$1006:$AQ$1006,0)))),"Fix")))</f>
        <v>0</v>
      </c>
      <c r="I765" s="5">
        <f>IF(OR(INDEX($V$2:$V$1001,MATCH(ROWS($U$2:U765),$U$2:$U$1001,0),1)&gt;=100000,INDEX($AB$1005:$AQ$1005,1,MATCH(COLUMNS($AB$1006:AI1006),$AB$1006:$AQ$1006,0))&gt;=100000), " ",IF(INDEX($AB$2:$AQ$1001,MATCH(ROWS($U$2:U765),$U$2:$U$1001,0),MATCH(COLUMNS($AB$1006:AI1006),$AB$1006:$AQ$1006,0)), HYPERLINK("#",""), HYPERLINK(CONCATENATE("#Metadata!", ADDRESS(INDEX($W$2:$W$1001,MATCH(ROWS($U$2:U765),$U$2:$U$1001,0),0), INDEX($AB$1004:$AQ$1004,1,MATCH(COLUMNS($AB$1006:AI1006),$AB$1006:$AQ$1006,0)))),"Fix")))</f>
        <v>0</v>
      </c>
      <c r="J765" s="5">
        <f>IF(OR(INDEX($V$2:$V$1001,MATCH(ROWS($U$2:U765),$U$2:$U$1001,0),1)&gt;=100000,INDEX($AB$1005:$AQ$1005,1,MATCH(COLUMNS($AB$1006:AJ1006),$AB$1006:$AQ$1006,0))&gt;=100000), " ",IF(INDEX($AB$2:$AQ$1001,MATCH(ROWS($U$2:U765),$U$2:$U$1001,0),MATCH(COLUMNS($AB$1006:AJ1006),$AB$1006:$AQ$1006,0)), HYPERLINK("#",""), HYPERLINK(CONCATENATE("#Metadata!", ADDRESS(INDEX($W$2:$W$1001,MATCH(ROWS($U$2:U765),$U$2:$U$1001,0),0), INDEX($AB$1004:$AQ$1004,1,MATCH(COLUMNS($AB$1006:AJ1006),$AB$1006:$AQ$1006,0)))),"Fix")))</f>
        <v>0</v>
      </c>
      <c r="K765" s="5">
        <f>IF(OR(INDEX($V$2:$V$1001,MATCH(ROWS($U$2:U765),$U$2:$U$1001,0),1)&gt;=100000,INDEX($AB$1005:$AQ$1005,1,MATCH(COLUMNS($AB$1006:AK1006),$AB$1006:$AQ$1006,0))&gt;=100000), " ",IF(INDEX($AB$2:$AQ$1001,MATCH(ROWS($U$2:U765),$U$2:$U$1001,0),MATCH(COLUMNS($AB$1006:AK1006),$AB$1006:$AQ$1006,0)), HYPERLINK("#",""), HYPERLINK(CONCATENATE("#Metadata!", ADDRESS(INDEX($W$2:$W$1001,MATCH(ROWS($U$2:U765),$U$2:$U$1001,0),0), INDEX($AB$1004:$AQ$1004,1,MATCH(COLUMNS($AB$1006:AK1006),$AB$1006:$AQ$1006,0)))),"Fix")))</f>
        <v>0</v>
      </c>
      <c r="L765" s="5">
        <f>IF(OR(INDEX($V$2:$V$1001,MATCH(ROWS($U$2:U765),$U$2:$U$1001,0),1)&gt;=100000,INDEX($AB$1005:$AQ$1005,1,MATCH(COLUMNS($AB$1006:AL1006),$AB$1006:$AQ$1006,0))&gt;=100000), " ",IF(INDEX($AB$2:$AQ$1001,MATCH(ROWS($U$2:U765),$U$2:$U$1001,0),MATCH(COLUMNS($AB$1006:AL1006),$AB$1006:$AQ$1006,0)), HYPERLINK("#",""), HYPERLINK(CONCATENATE("#Metadata!", ADDRESS(INDEX($W$2:$W$1001,MATCH(ROWS($U$2:U765),$U$2:$U$1001,0),0), INDEX($AB$1004:$AQ$1004,1,MATCH(COLUMNS($AB$1006:AL1006),$AB$1006:$AQ$1006,0)))),"Fix")))</f>
        <v>0</v>
      </c>
      <c r="M765" s="5">
        <f>IF(OR(INDEX($V$2:$V$1001,MATCH(ROWS($U$2:U765),$U$2:$U$1001,0),1)&gt;=100000,INDEX($AB$1005:$AQ$1005,1,MATCH(COLUMNS($AB$1006:AM1006),$AB$1006:$AQ$1006,0))&gt;=100000), " ",IF(INDEX($AB$2:$AQ$1001,MATCH(ROWS($U$2:U765),$U$2:$U$1001,0),MATCH(COLUMNS($AB$1006:AM1006),$AB$1006:$AQ$1006,0)), HYPERLINK("#",""), HYPERLINK(CONCATENATE("#Metadata!", ADDRESS(INDEX($W$2:$W$1001,MATCH(ROWS($U$2:U765),$U$2:$U$1001,0),0), INDEX($AB$1004:$AQ$1004,1,MATCH(COLUMNS($AB$1006:AM1006),$AB$1006:$AQ$1006,0)))),"Fix")))</f>
        <v>0</v>
      </c>
      <c r="N765" s="5">
        <f>IF(OR(INDEX($V$2:$V$1001,MATCH(ROWS($U$2:U765),$U$2:$U$1001,0),1)&gt;=100000,INDEX($AB$1005:$AQ$1005,1,MATCH(COLUMNS($AB$1006:AN1006),$AB$1006:$AQ$1006,0))&gt;=100000), " ",IF(INDEX($AB$2:$AQ$1001,MATCH(ROWS($U$2:U765),$U$2:$U$1001,0),MATCH(COLUMNS($AB$1006:AN1006),$AB$1006:$AQ$1006,0)), HYPERLINK("#",""), HYPERLINK(CONCATENATE("#Metadata!", ADDRESS(INDEX($W$2:$W$1001,MATCH(ROWS($U$2:U765),$U$2:$U$1001,0),0), INDEX($AB$1004:$AQ$1004,1,MATCH(COLUMNS($AB$1006:AN1006),$AB$1006:$AQ$1006,0)))),"Fix")))</f>
        <v>0</v>
      </c>
      <c r="O765" s="5">
        <f>IF(OR(INDEX($V$2:$V$1001,MATCH(ROWS($U$2:U765),$U$2:$U$1001,0),1)&gt;=100000,INDEX($AB$1005:$AQ$1005,1,MATCH(COLUMNS($AB$1006:AO1006),$AB$1006:$AQ$1006,0))&gt;=100000), " ",IF(INDEX($AB$2:$AQ$1001,MATCH(ROWS($U$2:U765),$U$2:$U$1001,0),MATCH(COLUMNS($AB$1006:AO1006),$AB$1006:$AQ$1006,0)), HYPERLINK("#",""), HYPERLINK(CONCATENATE("#Metadata!", ADDRESS(INDEX($W$2:$W$1001,MATCH(ROWS($U$2:U765),$U$2:$U$1001,0),0), INDEX($AB$1004:$AQ$1004,1,MATCH(COLUMNS($AB$1006:AO1006),$AB$1006:$AQ$1006,0)))),"Fix")))</f>
        <v>0</v>
      </c>
      <c r="P765" s="5">
        <f>IF(OR(INDEX($V$2:$V$1001,MATCH(ROWS($U$2:U765),$U$2:$U$1001,0),1)&gt;=100000,INDEX($AB$1005:$AQ$1005,1,MATCH(COLUMNS($AB$1006:AP1006),$AB$1006:$AQ$1006,0))&gt;=100000), " ",IF(INDEX($AB$2:$AQ$1001,MATCH(ROWS($U$2:U765),$U$2:$U$1001,0),MATCH(COLUMNS($AB$1006:AP1006),$AB$1006:$AQ$1006,0)), HYPERLINK("#",""), HYPERLINK(CONCATENATE("#Metadata!", ADDRESS(INDEX($W$2:$W$1001,MATCH(ROWS($U$2:U765),$U$2:$U$1001,0),0), INDEX($AB$1004:$AQ$1004,1,MATCH(COLUMNS($AB$1006:AP1006),$AB$1006:$AQ$1006,0)))),"Fix")))</f>
        <v>0</v>
      </c>
      <c r="Q765" s="5">
        <f>IF(OR(INDEX($V$2:$V$1001,MATCH(ROWS($U$2:U765),$U$2:$U$1001,0),1)&gt;=100000,INDEX($AB$1005:$AQ$1005,1,MATCH(COLUMNS($AB$1006:AQ1006),$AB$1006:$AQ$1006,0))&gt;=100000), " ",IF(INDEX($AB$2:$AQ$1001,MATCH(ROWS($U$2:U765),$U$2:$U$1001,0),MATCH(COLUMNS($AB$1006:AQ1006),$AB$1006:$AQ$1006,0)), HYPERLINK("#",""), HYPERLINK(CONCATENATE("#Metadata!", ADDRESS(INDEX($W$2:$W$1001,MATCH(ROWS($U$2:U765),$U$2:$U$1001,0),0), INDEX($AB$1004:$AQ$1004,1,MATCH(COLUMNS($AB$1006:AQ1006),$AB$1006:$AQ$1006,0)))),"Fix")))</f>
        <v>0</v>
      </c>
      <c r="U765">
        <v>0</v>
      </c>
      <c r="V765">
        <v>0</v>
      </c>
      <c r="W765">
        <v>0</v>
      </c>
      <c r="X765">
        <f>IF(Y765,TRUE,AND(AB765:AQ765))</f>
        <v>0</v>
      </c>
      <c r="Y765">
        <f>COUNTBLANK(Metadata!B765:Q765)=COLUMNS(Metadata!B765:Q765)</f>
        <v>0</v>
      </c>
      <c r="Z765">
        <v>0</v>
      </c>
      <c r="AB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AC765">
        <f>AND(IF(Metadata!C765="",FALSE,TRUE),exact(Metadata!C765,"urban biome"))</f>
        <v>0</v>
      </c>
      <c r="AD765">
        <f>AND(IF(Metadata!D765="",FALSE,TRUE),exact(Metadata!D765,"human-associated habitat"))</f>
        <v>0</v>
      </c>
      <c r="AE765">
        <f>AND(IF(Metadata!E765="",FALSE,TRUE),OR(exact(Metadata!E765,"human-associated"),exact(Metadata!E765,"human-skin"),exact(Metadata!E765,"human-oral"),exact(Metadata!E765,"human-gut"),exact(Metadata!E765,"human-vaginal")))</f>
        <v>0</v>
      </c>
      <c r="AF765">
        <f>AND(IF(Metadata!F765="",FALSE,ISNUMBER(VALUE(Metadata!F765))),Metadata!F765&gt;0)</f>
        <v>0</v>
      </c>
      <c r="AG765">
        <f>AND(IF(Metadata!G765="",FALSE,TRUE),exact(Metadata!G765,"years"))</f>
        <v>0</v>
      </c>
      <c r="AH765">
        <f>OR(AND(IF(Metadata!H765="",FALSE,TRUE),OR(exact(Metadata!H765,"not applicable"),exact(Metadata!H765,"not collected"),exact(Metadata!H765,"not provided"),exact(Metadata!H765,"restricted access"))),AND(IF(Metadata!H765="",FALSE,ISNUMBER(VALUE(Metadata!H765))),Metadata!H765&gt;0))</f>
        <v>0</v>
      </c>
      <c r="AI765">
        <f>AND(IF(Metadata!I765="",FALSE,TRUE),exact(Metadata!I765,"human"))</f>
        <v>0</v>
      </c>
      <c r="AJ765">
        <f>AND(IF(Metadata!J765="",FALSE,ISNUMBER(VALUE(Metadata!J765))),Metadata!J765&gt;0)</f>
        <v>0</v>
      </c>
      <c r="AK765">
        <f>AND(IF(Metadata!K765="",FALSE,TRUE),exact(Metadata!K765,"cm"))</f>
        <v>0</v>
      </c>
      <c r="AL765">
        <f>AND(IF(Metadata!L765="",FALSE,TRUE),exact(Metadata!L765,"Homo sapiens"))</f>
        <v>0</v>
      </c>
      <c r="AM765">
        <f>AND(IF(Metadata!M765="",FALSE,TRUE),exact(Metadata!M765,"9606"))</f>
        <v>0</v>
      </c>
      <c r="AN765">
        <f>AND(IF(Metadata!N765="",FALSE,ISNUMBER(VALUE(Metadata!N765))),Metadata!N765&gt;0)</f>
        <v>0</v>
      </c>
      <c r="AO765">
        <f>AND(IF(Metadata!O765="",FALSE,TRUE),exact(Metadata!O765,"kg"))</f>
        <v>0</v>
      </c>
      <c r="AP765">
        <f>OR(AND(IF(Metadata!P765="",FALSE,TRUE),exact(Metadata!P765,"not provided")),IF(Metadata!P765="",FALSE,TRUE))</f>
        <v>0</v>
      </c>
      <c r="AQ765">
        <f>OR(AND(IF(Metadata!Q765="",FALSE,TRUE),exact(Metadata!Q765,"not provided")),IF(Metadata!Q765="",FALSE,TRUE))</f>
        <v>0</v>
      </c>
    </row>
    <row r="766" spans="1:43">
      <c r="A766" s="4">
        <f>IF(B766=" "," ",HYPERLINK(CONCATENATE("#metadata!",ADDRESS(INDEX($W$2:$W$1001,MATCH(ROWS($U$2:U766),$U$2:$U$1001,0),0),2)),INDEX($Z$2:$Z$1001,MATCH(ROWS($U$2:U766),$U$2:$U$1001,0),0)))</f>
        <v>0</v>
      </c>
      <c r="B766" s="5">
        <f>IF(OR(INDEX($V$2:$V$1001,MATCH(ROWS($U$2:U766),$U$2:$U$1001,0),1)&gt;=100000,INDEX($AB$1005:$AQ$1005,1,MATCH(COLUMNS($AB$1006:AB1006),$AB$1006:$AQ$1006,0))&gt;=100000), " ",IF(INDEX($AB$2:$AQ$1001,MATCH(ROWS($U$2:U766),$U$2:$U$1001,0),MATCH(COLUMNS($AB$1006:AB1006),$AB$1006:$AQ$1006,0)), HYPERLINK("#",""), HYPERLINK(CONCATENATE("#Metadata!", ADDRESS(INDEX($W$2:$W$1001,MATCH(ROWS($U$2:U766),$U$2:$U$1001,0),0), INDEX($AB$1004:$AQ$1004,1,MATCH(COLUMNS($AB$1006:AB1006),$AB$1006:$AQ$1006,0)))),"Fix")))</f>
        <v>0</v>
      </c>
      <c r="C766" s="5">
        <f>IF(OR(INDEX($V$2:$V$1001,MATCH(ROWS($U$2:U766),$U$2:$U$1001,0),1)&gt;=100000,INDEX($AB$1005:$AQ$1005,1,MATCH(COLUMNS($AB$1006:AC1006),$AB$1006:$AQ$1006,0))&gt;=100000), " ",IF(INDEX($AB$2:$AQ$1001,MATCH(ROWS($U$2:U766),$U$2:$U$1001,0),MATCH(COLUMNS($AB$1006:AC1006),$AB$1006:$AQ$1006,0)), HYPERLINK("#",""), HYPERLINK(CONCATENATE("#Metadata!", ADDRESS(INDEX($W$2:$W$1001,MATCH(ROWS($U$2:U766),$U$2:$U$1001,0),0), INDEX($AB$1004:$AQ$1004,1,MATCH(COLUMNS($AB$1006:AC1006),$AB$1006:$AQ$1006,0)))),"Fix")))</f>
        <v>0</v>
      </c>
      <c r="D766" s="5">
        <f>IF(OR(INDEX($V$2:$V$1001,MATCH(ROWS($U$2:U766),$U$2:$U$1001,0),1)&gt;=100000,INDEX($AB$1005:$AQ$1005,1,MATCH(COLUMNS($AB$1006:AD1006),$AB$1006:$AQ$1006,0))&gt;=100000), " ",IF(INDEX($AB$2:$AQ$1001,MATCH(ROWS($U$2:U766),$U$2:$U$1001,0),MATCH(COLUMNS($AB$1006:AD1006),$AB$1006:$AQ$1006,0)), HYPERLINK("#",""), HYPERLINK(CONCATENATE("#Metadata!", ADDRESS(INDEX($W$2:$W$1001,MATCH(ROWS($U$2:U766),$U$2:$U$1001,0),0), INDEX($AB$1004:$AQ$1004,1,MATCH(COLUMNS($AB$1006:AD1006),$AB$1006:$AQ$1006,0)))),"Fix")))</f>
        <v>0</v>
      </c>
      <c r="E766" s="5">
        <f>IF(OR(INDEX($V$2:$V$1001,MATCH(ROWS($U$2:U766),$U$2:$U$1001,0),1)&gt;=100000,INDEX($AB$1005:$AQ$1005,1,MATCH(COLUMNS($AB$1006:AE1006),$AB$1006:$AQ$1006,0))&gt;=100000), " ",IF(INDEX($AB$2:$AQ$1001,MATCH(ROWS($U$2:U766),$U$2:$U$1001,0),MATCH(COLUMNS($AB$1006:AE1006),$AB$1006:$AQ$1006,0)), HYPERLINK("#",""), HYPERLINK(CONCATENATE("#Metadata!", ADDRESS(INDEX($W$2:$W$1001,MATCH(ROWS($U$2:U766),$U$2:$U$1001,0),0), INDEX($AB$1004:$AQ$1004,1,MATCH(COLUMNS($AB$1006:AE1006),$AB$1006:$AQ$1006,0)))),"Fix")))</f>
        <v>0</v>
      </c>
      <c r="F766" s="5">
        <f>IF(OR(INDEX($V$2:$V$1001,MATCH(ROWS($U$2:U766),$U$2:$U$1001,0),1)&gt;=100000,INDEX($AB$1005:$AQ$1005,1,MATCH(COLUMNS($AB$1006:AF1006),$AB$1006:$AQ$1006,0))&gt;=100000), " ",IF(INDEX($AB$2:$AQ$1001,MATCH(ROWS($U$2:U766),$U$2:$U$1001,0),MATCH(COLUMNS($AB$1006:AF1006),$AB$1006:$AQ$1006,0)), HYPERLINK("#",""), HYPERLINK(CONCATENATE("#Metadata!", ADDRESS(INDEX($W$2:$W$1001,MATCH(ROWS($U$2:U766),$U$2:$U$1001,0),0), INDEX($AB$1004:$AQ$1004,1,MATCH(COLUMNS($AB$1006:AF1006),$AB$1006:$AQ$1006,0)))),"Fix")))</f>
        <v>0</v>
      </c>
      <c r="G766" s="5">
        <f>IF(OR(INDEX($V$2:$V$1001,MATCH(ROWS($U$2:U766),$U$2:$U$1001,0),1)&gt;=100000,INDEX($AB$1005:$AQ$1005,1,MATCH(COLUMNS($AB$1006:AG1006),$AB$1006:$AQ$1006,0))&gt;=100000), " ",IF(INDEX($AB$2:$AQ$1001,MATCH(ROWS($U$2:U766),$U$2:$U$1001,0),MATCH(COLUMNS($AB$1006:AG1006),$AB$1006:$AQ$1006,0)), HYPERLINK("#",""), HYPERLINK(CONCATENATE("#Metadata!", ADDRESS(INDEX($W$2:$W$1001,MATCH(ROWS($U$2:U766),$U$2:$U$1001,0),0), INDEX($AB$1004:$AQ$1004,1,MATCH(COLUMNS($AB$1006:AG1006),$AB$1006:$AQ$1006,0)))),"Fix")))</f>
        <v>0</v>
      </c>
      <c r="H766" s="5">
        <f>IF(OR(INDEX($V$2:$V$1001,MATCH(ROWS($U$2:U766),$U$2:$U$1001,0),1)&gt;=100000,INDEX($AB$1005:$AQ$1005,1,MATCH(COLUMNS($AB$1006:AH1006),$AB$1006:$AQ$1006,0))&gt;=100000), " ",IF(INDEX($AB$2:$AQ$1001,MATCH(ROWS($U$2:U766),$U$2:$U$1001,0),MATCH(COLUMNS($AB$1006:AH1006),$AB$1006:$AQ$1006,0)), HYPERLINK("#",""), HYPERLINK(CONCATENATE("#Metadata!", ADDRESS(INDEX($W$2:$W$1001,MATCH(ROWS($U$2:U766),$U$2:$U$1001,0),0), INDEX($AB$1004:$AQ$1004,1,MATCH(COLUMNS($AB$1006:AH1006),$AB$1006:$AQ$1006,0)))),"Fix")))</f>
        <v>0</v>
      </c>
      <c r="I766" s="5">
        <f>IF(OR(INDEX($V$2:$V$1001,MATCH(ROWS($U$2:U766),$U$2:$U$1001,0),1)&gt;=100000,INDEX($AB$1005:$AQ$1005,1,MATCH(COLUMNS($AB$1006:AI1006),$AB$1006:$AQ$1006,0))&gt;=100000), " ",IF(INDEX($AB$2:$AQ$1001,MATCH(ROWS($U$2:U766),$U$2:$U$1001,0),MATCH(COLUMNS($AB$1006:AI1006),$AB$1006:$AQ$1006,0)), HYPERLINK("#",""), HYPERLINK(CONCATENATE("#Metadata!", ADDRESS(INDEX($W$2:$W$1001,MATCH(ROWS($U$2:U766),$U$2:$U$1001,0),0), INDEX($AB$1004:$AQ$1004,1,MATCH(COLUMNS($AB$1006:AI1006),$AB$1006:$AQ$1006,0)))),"Fix")))</f>
        <v>0</v>
      </c>
      <c r="J766" s="5">
        <f>IF(OR(INDEX($V$2:$V$1001,MATCH(ROWS($U$2:U766),$U$2:$U$1001,0),1)&gt;=100000,INDEX($AB$1005:$AQ$1005,1,MATCH(COLUMNS($AB$1006:AJ1006),$AB$1006:$AQ$1006,0))&gt;=100000), " ",IF(INDEX($AB$2:$AQ$1001,MATCH(ROWS($U$2:U766),$U$2:$U$1001,0),MATCH(COLUMNS($AB$1006:AJ1006),$AB$1006:$AQ$1006,0)), HYPERLINK("#",""), HYPERLINK(CONCATENATE("#Metadata!", ADDRESS(INDEX($W$2:$W$1001,MATCH(ROWS($U$2:U766),$U$2:$U$1001,0),0), INDEX($AB$1004:$AQ$1004,1,MATCH(COLUMNS($AB$1006:AJ1006),$AB$1006:$AQ$1006,0)))),"Fix")))</f>
        <v>0</v>
      </c>
      <c r="K766" s="5">
        <f>IF(OR(INDEX($V$2:$V$1001,MATCH(ROWS($U$2:U766),$U$2:$U$1001,0),1)&gt;=100000,INDEX($AB$1005:$AQ$1005,1,MATCH(COLUMNS($AB$1006:AK1006),$AB$1006:$AQ$1006,0))&gt;=100000), " ",IF(INDEX($AB$2:$AQ$1001,MATCH(ROWS($U$2:U766),$U$2:$U$1001,0),MATCH(COLUMNS($AB$1006:AK1006),$AB$1006:$AQ$1006,0)), HYPERLINK("#",""), HYPERLINK(CONCATENATE("#Metadata!", ADDRESS(INDEX($W$2:$W$1001,MATCH(ROWS($U$2:U766),$U$2:$U$1001,0),0), INDEX($AB$1004:$AQ$1004,1,MATCH(COLUMNS($AB$1006:AK1006),$AB$1006:$AQ$1006,0)))),"Fix")))</f>
        <v>0</v>
      </c>
      <c r="L766" s="5">
        <f>IF(OR(INDEX($V$2:$V$1001,MATCH(ROWS($U$2:U766),$U$2:$U$1001,0),1)&gt;=100000,INDEX($AB$1005:$AQ$1005,1,MATCH(COLUMNS($AB$1006:AL1006),$AB$1006:$AQ$1006,0))&gt;=100000), " ",IF(INDEX($AB$2:$AQ$1001,MATCH(ROWS($U$2:U766),$U$2:$U$1001,0),MATCH(COLUMNS($AB$1006:AL1006),$AB$1006:$AQ$1006,0)), HYPERLINK("#",""), HYPERLINK(CONCATENATE("#Metadata!", ADDRESS(INDEX($W$2:$W$1001,MATCH(ROWS($U$2:U766),$U$2:$U$1001,0),0), INDEX($AB$1004:$AQ$1004,1,MATCH(COLUMNS($AB$1006:AL1006),$AB$1006:$AQ$1006,0)))),"Fix")))</f>
        <v>0</v>
      </c>
      <c r="M766" s="5">
        <f>IF(OR(INDEX($V$2:$V$1001,MATCH(ROWS($U$2:U766),$U$2:$U$1001,0),1)&gt;=100000,INDEX($AB$1005:$AQ$1005,1,MATCH(COLUMNS($AB$1006:AM1006),$AB$1006:$AQ$1006,0))&gt;=100000), " ",IF(INDEX($AB$2:$AQ$1001,MATCH(ROWS($U$2:U766),$U$2:$U$1001,0),MATCH(COLUMNS($AB$1006:AM1006),$AB$1006:$AQ$1006,0)), HYPERLINK("#",""), HYPERLINK(CONCATENATE("#Metadata!", ADDRESS(INDEX($W$2:$W$1001,MATCH(ROWS($U$2:U766),$U$2:$U$1001,0),0), INDEX($AB$1004:$AQ$1004,1,MATCH(COLUMNS($AB$1006:AM1006),$AB$1006:$AQ$1006,0)))),"Fix")))</f>
        <v>0</v>
      </c>
      <c r="N766" s="5">
        <f>IF(OR(INDEX($V$2:$V$1001,MATCH(ROWS($U$2:U766),$U$2:$U$1001,0),1)&gt;=100000,INDEX($AB$1005:$AQ$1005,1,MATCH(COLUMNS($AB$1006:AN1006),$AB$1006:$AQ$1006,0))&gt;=100000), " ",IF(INDEX($AB$2:$AQ$1001,MATCH(ROWS($U$2:U766),$U$2:$U$1001,0),MATCH(COLUMNS($AB$1006:AN1006),$AB$1006:$AQ$1006,0)), HYPERLINK("#",""), HYPERLINK(CONCATENATE("#Metadata!", ADDRESS(INDEX($W$2:$W$1001,MATCH(ROWS($U$2:U766),$U$2:$U$1001,0),0), INDEX($AB$1004:$AQ$1004,1,MATCH(COLUMNS($AB$1006:AN1006),$AB$1006:$AQ$1006,0)))),"Fix")))</f>
        <v>0</v>
      </c>
      <c r="O766" s="5">
        <f>IF(OR(INDEX($V$2:$V$1001,MATCH(ROWS($U$2:U766),$U$2:$U$1001,0),1)&gt;=100000,INDEX($AB$1005:$AQ$1005,1,MATCH(COLUMNS($AB$1006:AO1006),$AB$1006:$AQ$1006,0))&gt;=100000), " ",IF(INDEX($AB$2:$AQ$1001,MATCH(ROWS($U$2:U766),$U$2:$U$1001,0),MATCH(COLUMNS($AB$1006:AO1006),$AB$1006:$AQ$1006,0)), HYPERLINK("#",""), HYPERLINK(CONCATENATE("#Metadata!", ADDRESS(INDEX($W$2:$W$1001,MATCH(ROWS($U$2:U766),$U$2:$U$1001,0),0), INDEX($AB$1004:$AQ$1004,1,MATCH(COLUMNS($AB$1006:AO1006),$AB$1006:$AQ$1006,0)))),"Fix")))</f>
        <v>0</v>
      </c>
      <c r="P766" s="5">
        <f>IF(OR(INDEX($V$2:$V$1001,MATCH(ROWS($U$2:U766),$U$2:$U$1001,0),1)&gt;=100000,INDEX($AB$1005:$AQ$1005,1,MATCH(COLUMNS($AB$1006:AP1006),$AB$1006:$AQ$1006,0))&gt;=100000), " ",IF(INDEX($AB$2:$AQ$1001,MATCH(ROWS($U$2:U766),$U$2:$U$1001,0),MATCH(COLUMNS($AB$1006:AP1006),$AB$1006:$AQ$1006,0)), HYPERLINK("#",""), HYPERLINK(CONCATENATE("#Metadata!", ADDRESS(INDEX($W$2:$W$1001,MATCH(ROWS($U$2:U766),$U$2:$U$1001,0),0), INDEX($AB$1004:$AQ$1004,1,MATCH(COLUMNS($AB$1006:AP1006),$AB$1006:$AQ$1006,0)))),"Fix")))</f>
        <v>0</v>
      </c>
      <c r="Q766" s="5">
        <f>IF(OR(INDEX($V$2:$V$1001,MATCH(ROWS($U$2:U766),$U$2:$U$1001,0),1)&gt;=100000,INDEX($AB$1005:$AQ$1005,1,MATCH(COLUMNS($AB$1006:AQ1006),$AB$1006:$AQ$1006,0))&gt;=100000), " ",IF(INDEX($AB$2:$AQ$1001,MATCH(ROWS($U$2:U766),$U$2:$U$1001,0),MATCH(COLUMNS($AB$1006:AQ1006),$AB$1006:$AQ$1006,0)), HYPERLINK("#",""), HYPERLINK(CONCATENATE("#Metadata!", ADDRESS(INDEX($W$2:$W$1001,MATCH(ROWS($U$2:U766),$U$2:$U$1001,0),0), INDEX($AB$1004:$AQ$1004,1,MATCH(COLUMNS($AB$1006:AQ1006),$AB$1006:$AQ$1006,0)))),"Fix")))</f>
        <v>0</v>
      </c>
      <c r="U766">
        <v>0</v>
      </c>
      <c r="V766">
        <v>0</v>
      </c>
      <c r="W766">
        <v>0</v>
      </c>
      <c r="X766">
        <f>IF(Y766,TRUE,AND(AB766:AQ766))</f>
        <v>0</v>
      </c>
      <c r="Y766">
        <f>COUNTBLANK(Metadata!B766:Q766)=COLUMNS(Metadata!B766:Q766)</f>
        <v>0</v>
      </c>
      <c r="Z766">
        <v>0</v>
      </c>
      <c r="AB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AC766">
        <f>AND(IF(Metadata!C766="",FALSE,TRUE),exact(Metadata!C766,"urban biome"))</f>
        <v>0</v>
      </c>
      <c r="AD766">
        <f>AND(IF(Metadata!D766="",FALSE,TRUE),exact(Metadata!D766,"human-associated habitat"))</f>
        <v>0</v>
      </c>
      <c r="AE766">
        <f>AND(IF(Metadata!E766="",FALSE,TRUE),OR(exact(Metadata!E766,"human-associated"),exact(Metadata!E766,"human-skin"),exact(Metadata!E766,"human-oral"),exact(Metadata!E766,"human-gut"),exact(Metadata!E766,"human-vaginal")))</f>
        <v>0</v>
      </c>
      <c r="AF766">
        <f>AND(IF(Metadata!F766="",FALSE,ISNUMBER(VALUE(Metadata!F766))),Metadata!F766&gt;0)</f>
        <v>0</v>
      </c>
      <c r="AG766">
        <f>AND(IF(Metadata!G766="",FALSE,TRUE),exact(Metadata!G766,"years"))</f>
        <v>0</v>
      </c>
      <c r="AH766">
        <f>OR(AND(IF(Metadata!H766="",FALSE,TRUE),OR(exact(Metadata!H766,"not applicable"),exact(Metadata!H766,"not collected"),exact(Metadata!H766,"not provided"),exact(Metadata!H766,"restricted access"))),AND(IF(Metadata!H766="",FALSE,ISNUMBER(VALUE(Metadata!H766))),Metadata!H766&gt;0))</f>
        <v>0</v>
      </c>
      <c r="AI766">
        <f>AND(IF(Metadata!I766="",FALSE,TRUE),exact(Metadata!I766,"human"))</f>
        <v>0</v>
      </c>
      <c r="AJ766">
        <f>AND(IF(Metadata!J766="",FALSE,ISNUMBER(VALUE(Metadata!J766))),Metadata!J766&gt;0)</f>
        <v>0</v>
      </c>
      <c r="AK766">
        <f>AND(IF(Metadata!K766="",FALSE,TRUE),exact(Metadata!K766,"cm"))</f>
        <v>0</v>
      </c>
      <c r="AL766">
        <f>AND(IF(Metadata!L766="",FALSE,TRUE),exact(Metadata!L766,"Homo sapiens"))</f>
        <v>0</v>
      </c>
      <c r="AM766">
        <f>AND(IF(Metadata!M766="",FALSE,TRUE),exact(Metadata!M766,"9606"))</f>
        <v>0</v>
      </c>
      <c r="AN766">
        <f>AND(IF(Metadata!N766="",FALSE,ISNUMBER(VALUE(Metadata!N766))),Metadata!N766&gt;0)</f>
        <v>0</v>
      </c>
      <c r="AO766">
        <f>AND(IF(Metadata!O766="",FALSE,TRUE),exact(Metadata!O766,"kg"))</f>
        <v>0</v>
      </c>
      <c r="AP766">
        <f>OR(AND(IF(Metadata!P766="",FALSE,TRUE),exact(Metadata!P766,"not provided")),IF(Metadata!P766="",FALSE,TRUE))</f>
        <v>0</v>
      </c>
      <c r="AQ766">
        <f>OR(AND(IF(Metadata!Q766="",FALSE,TRUE),exact(Metadata!Q766,"not provided")),IF(Metadata!Q766="",FALSE,TRUE))</f>
        <v>0</v>
      </c>
    </row>
    <row r="767" spans="1:43">
      <c r="A767" s="4">
        <f>IF(B767=" "," ",HYPERLINK(CONCATENATE("#metadata!",ADDRESS(INDEX($W$2:$W$1001,MATCH(ROWS($U$2:U767),$U$2:$U$1001,0),0),2)),INDEX($Z$2:$Z$1001,MATCH(ROWS($U$2:U767),$U$2:$U$1001,0),0)))</f>
        <v>0</v>
      </c>
      <c r="B767" s="5">
        <f>IF(OR(INDEX($V$2:$V$1001,MATCH(ROWS($U$2:U767),$U$2:$U$1001,0),1)&gt;=100000,INDEX($AB$1005:$AQ$1005,1,MATCH(COLUMNS($AB$1006:AB1006),$AB$1006:$AQ$1006,0))&gt;=100000), " ",IF(INDEX($AB$2:$AQ$1001,MATCH(ROWS($U$2:U767),$U$2:$U$1001,0),MATCH(COLUMNS($AB$1006:AB1006),$AB$1006:$AQ$1006,0)), HYPERLINK("#",""), HYPERLINK(CONCATENATE("#Metadata!", ADDRESS(INDEX($W$2:$W$1001,MATCH(ROWS($U$2:U767),$U$2:$U$1001,0),0), INDEX($AB$1004:$AQ$1004,1,MATCH(COLUMNS($AB$1006:AB1006),$AB$1006:$AQ$1006,0)))),"Fix")))</f>
        <v>0</v>
      </c>
      <c r="C767" s="5">
        <f>IF(OR(INDEX($V$2:$V$1001,MATCH(ROWS($U$2:U767),$U$2:$U$1001,0),1)&gt;=100000,INDEX($AB$1005:$AQ$1005,1,MATCH(COLUMNS($AB$1006:AC1006),$AB$1006:$AQ$1006,0))&gt;=100000), " ",IF(INDEX($AB$2:$AQ$1001,MATCH(ROWS($U$2:U767),$U$2:$U$1001,0),MATCH(COLUMNS($AB$1006:AC1006),$AB$1006:$AQ$1006,0)), HYPERLINK("#",""), HYPERLINK(CONCATENATE("#Metadata!", ADDRESS(INDEX($W$2:$W$1001,MATCH(ROWS($U$2:U767),$U$2:$U$1001,0),0), INDEX($AB$1004:$AQ$1004,1,MATCH(COLUMNS($AB$1006:AC1006),$AB$1006:$AQ$1006,0)))),"Fix")))</f>
        <v>0</v>
      </c>
      <c r="D767" s="5">
        <f>IF(OR(INDEX($V$2:$V$1001,MATCH(ROWS($U$2:U767),$U$2:$U$1001,0),1)&gt;=100000,INDEX($AB$1005:$AQ$1005,1,MATCH(COLUMNS($AB$1006:AD1006),$AB$1006:$AQ$1006,0))&gt;=100000), " ",IF(INDEX($AB$2:$AQ$1001,MATCH(ROWS($U$2:U767),$U$2:$U$1001,0),MATCH(COLUMNS($AB$1006:AD1006),$AB$1006:$AQ$1006,0)), HYPERLINK("#",""), HYPERLINK(CONCATENATE("#Metadata!", ADDRESS(INDEX($W$2:$W$1001,MATCH(ROWS($U$2:U767),$U$2:$U$1001,0),0), INDEX($AB$1004:$AQ$1004,1,MATCH(COLUMNS($AB$1006:AD1006),$AB$1006:$AQ$1006,0)))),"Fix")))</f>
        <v>0</v>
      </c>
      <c r="E767" s="5">
        <f>IF(OR(INDEX($V$2:$V$1001,MATCH(ROWS($U$2:U767),$U$2:$U$1001,0),1)&gt;=100000,INDEX($AB$1005:$AQ$1005,1,MATCH(COLUMNS($AB$1006:AE1006),$AB$1006:$AQ$1006,0))&gt;=100000), " ",IF(INDEX($AB$2:$AQ$1001,MATCH(ROWS($U$2:U767),$U$2:$U$1001,0),MATCH(COLUMNS($AB$1006:AE1006),$AB$1006:$AQ$1006,0)), HYPERLINK("#",""), HYPERLINK(CONCATENATE("#Metadata!", ADDRESS(INDEX($W$2:$W$1001,MATCH(ROWS($U$2:U767),$U$2:$U$1001,0),0), INDEX($AB$1004:$AQ$1004,1,MATCH(COLUMNS($AB$1006:AE1006),$AB$1006:$AQ$1006,0)))),"Fix")))</f>
        <v>0</v>
      </c>
      <c r="F767" s="5">
        <f>IF(OR(INDEX($V$2:$V$1001,MATCH(ROWS($U$2:U767),$U$2:$U$1001,0),1)&gt;=100000,INDEX($AB$1005:$AQ$1005,1,MATCH(COLUMNS($AB$1006:AF1006),$AB$1006:$AQ$1006,0))&gt;=100000), " ",IF(INDEX($AB$2:$AQ$1001,MATCH(ROWS($U$2:U767),$U$2:$U$1001,0),MATCH(COLUMNS($AB$1006:AF1006),$AB$1006:$AQ$1006,0)), HYPERLINK("#",""), HYPERLINK(CONCATENATE("#Metadata!", ADDRESS(INDEX($W$2:$W$1001,MATCH(ROWS($U$2:U767),$U$2:$U$1001,0),0), INDEX($AB$1004:$AQ$1004,1,MATCH(COLUMNS($AB$1006:AF1006),$AB$1006:$AQ$1006,0)))),"Fix")))</f>
        <v>0</v>
      </c>
      <c r="G767" s="5">
        <f>IF(OR(INDEX($V$2:$V$1001,MATCH(ROWS($U$2:U767),$U$2:$U$1001,0),1)&gt;=100000,INDEX($AB$1005:$AQ$1005,1,MATCH(COLUMNS($AB$1006:AG1006),$AB$1006:$AQ$1006,0))&gt;=100000), " ",IF(INDEX($AB$2:$AQ$1001,MATCH(ROWS($U$2:U767),$U$2:$U$1001,0),MATCH(COLUMNS($AB$1006:AG1006),$AB$1006:$AQ$1006,0)), HYPERLINK("#",""), HYPERLINK(CONCATENATE("#Metadata!", ADDRESS(INDEX($W$2:$W$1001,MATCH(ROWS($U$2:U767),$U$2:$U$1001,0),0), INDEX($AB$1004:$AQ$1004,1,MATCH(COLUMNS($AB$1006:AG1006),$AB$1006:$AQ$1006,0)))),"Fix")))</f>
        <v>0</v>
      </c>
      <c r="H767" s="5">
        <f>IF(OR(INDEX($V$2:$V$1001,MATCH(ROWS($U$2:U767),$U$2:$U$1001,0),1)&gt;=100000,INDEX($AB$1005:$AQ$1005,1,MATCH(COLUMNS($AB$1006:AH1006),$AB$1006:$AQ$1006,0))&gt;=100000), " ",IF(INDEX($AB$2:$AQ$1001,MATCH(ROWS($U$2:U767),$U$2:$U$1001,0),MATCH(COLUMNS($AB$1006:AH1006),$AB$1006:$AQ$1006,0)), HYPERLINK("#",""), HYPERLINK(CONCATENATE("#Metadata!", ADDRESS(INDEX($W$2:$W$1001,MATCH(ROWS($U$2:U767),$U$2:$U$1001,0),0), INDEX($AB$1004:$AQ$1004,1,MATCH(COLUMNS($AB$1006:AH1006),$AB$1006:$AQ$1006,0)))),"Fix")))</f>
        <v>0</v>
      </c>
      <c r="I767" s="5">
        <f>IF(OR(INDEX($V$2:$V$1001,MATCH(ROWS($U$2:U767),$U$2:$U$1001,0),1)&gt;=100000,INDEX($AB$1005:$AQ$1005,1,MATCH(COLUMNS($AB$1006:AI1006),$AB$1006:$AQ$1006,0))&gt;=100000), " ",IF(INDEX($AB$2:$AQ$1001,MATCH(ROWS($U$2:U767),$U$2:$U$1001,0),MATCH(COLUMNS($AB$1006:AI1006),$AB$1006:$AQ$1006,0)), HYPERLINK("#",""), HYPERLINK(CONCATENATE("#Metadata!", ADDRESS(INDEX($W$2:$W$1001,MATCH(ROWS($U$2:U767),$U$2:$U$1001,0),0), INDEX($AB$1004:$AQ$1004,1,MATCH(COLUMNS($AB$1006:AI1006),$AB$1006:$AQ$1006,0)))),"Fix")))</f>
        <v>0</v>
      </c>
      <c r="J767" s="5">
        <f>IF(OR(INDEX($V$2:$V$1001,MATCH(ROWS($U$2:U767),$U$2:$U$1001,0),1)&gt;=100000,INDEX($AB$1005:$AQ$1005,1,MATCH(COLUMNS($AB$1006:AJ1006),$AB$1006:$AQ$1006,0))&gt;=100000), " ",IF(INDEX($AB$2:$AQ$1001,MATCH(ROWS($U$2:U767),$U$2:$U$1001,0),MATCH(COLUMNS($AB$1006:AJ1006),$AB$1006:$AQ$1006,0)), HYPERLINK("#",""), HYPERLINK(CONCATENATE("#Metadata!", ADDRESS(INDEX($W$2:$W$1001,MATCH(ROWS($U$2:U767),$U$2:$U$1001,0),0), INDEX($AB$1004:$AQ$1004,1,MATCH(COLUMNS($AB$1006:AJ1006),$AB$1006:$AQ$1006,0)))),"Fix")))</f>
        <v>0</v>
      </c>
      <c r="K767" s="5">
        <f>IF(OR(INDEX($V$2:$V$1001,MATCH(ROWS($U$2:U767),$U$2:$U$1001,0),1)&gt;=100000,INDEX($AB$1005:$AQ$1005,1,MATCH(COLUMNS($AB$1006:AK1006),$AB$1006:$AQ$1006,0))&gt;=100000), " ",IF(INDEX($AB$2:$AQ$1001,MATCH(ROWS($U$2:U767),$U$2:$U$1001,0),MATCH(COLUMNS($AB$1006:AK1006),$AB$1006:$AQ$1006,0)), HYPERLINK("#",""), HYPERLINK(CONCATENATE("#Metadata!", ADDRESS(INDEX($W$2:$W$1001,MATCH(ROWS($U$2:U767),$U$2:$U$1001,0),0), INDEX($AB$1004:$AQ$1004,1,MATCH(COLUMNS($AB$1006:AK1006),$AB$1006:$AQ$1006,0)))),"Fix")))</f>
        <v>0</v>
      </c>
      <c r="L767" s="5">
        <f>IF(OR(INDEX($V$2:$V$1001,MATCH(ROWS($U$2:U767),$U$2:$U$1001,0),1)&gt;=100000,INDEX($AB$1005:$AQ$1005,1,MATCH(COLUMNS($AB$1006:AL1006),$AB$1006:$AQ$1006,0))&gt;=100000), " ",IF(INDEX($AB$2:$AQ$1001,MATCH(ROWS($U$2:U767),$U$2:$U$1001,0),MATCH(COLUMNS($AB$1006:AL1006),$AB$1006:$AQ$1006,0)), HYPERLINK("#",""), HYPERLINK(CONCATENATE("#Metadata!", ADDRESS(INDEX($W$2:$W$1001,MATCH(ROWS($U$2:U767),$U$2:$U$1001,0),0), INDEX($AB$1004:$AQ$1004,1,MATCH(COLUMNS($AB$1006:AL1006),$AB$1006:$AQ$1006,0)))),"Fix")))</f>
        <v>0</v>
      </c>
      <c r="M767" s="5">
        <f>IF(OR(INDEX($V$2:$V$1001,MATCH(ROWS($U$2:U767),$U$2:$U$1001,0),1)&gt;=100000,INDEX($AB$1005:$AQ$1005,1,MATCH(COLUMNS($AB$1006:AM1006),$AB$1006:$AQ$1006,0))&gt;=100000), " ",IF(INDEX($AB$2:$AQ$1001,MATCH(ROWS($U$2:U767),$U$2:$U$1001,0),MATCH(COLUMNS($AB$1006:AM1006),$AB$1006:$AQ$1006,0)), HYPERLINK("#",""), HYPERLINK(CONCATENATE("#Metadata!", ADDRESS(INDEX($W$2:$W$1001,MATCH(ROWS($U$2:U767),$U$2:$U$1001,0),0), INDEX($AB$1004:$AQ$1004,1,MATCH(COLUMNS($AB$1006:AM1006),$AB$1006:$AQ$1006,0)))),"Fix")))</f>
        <v>0</v>
      </c>
      <c r="N767" s="5">
        <f>IF(OR(INDEX($V$2:$V$1001,MATCH(ROWS($U$2:U767),$U$2:$U$1001,0),1)&gt;=100000,INDEX($AB$1005:$AQ$1005,1,MATCH(COLUMNS($AB$1006:AN1006),$AB$1006:$AQ$1006,0))&gt;=100000), " ",IF(INDEX($AB$2:$AQ$1001,MATCH(ROWS($U$2:U767),$U$2:$U$1001,0),MATCH(COLUMNS($AB$1006:AN1006),$AB$1006:$AQ$1006,0)), HYPERLINK("#",""), HYPERLINK(CONCATENATE("#Metadata!", ADDRESS(INDEX($W$2:$W$1001,MATCH(ROWS($U$2:U767),$U$2:$U$1001,0),0), INDEX($AB$1004:$AQ$1004,1,MATCH(COLUMNS($AB$1006:AN1006),$AB$1006:$AQ$1006,0)))),"Fix")))</f>
        <v>0</v>
      </c>
      <c r="O767" s="5">
        <f>IF(OR(INDEX($V$2:$V$1001,MATCH(ROWS($U$2:U767),$U$2:$U$1001,0),1)&gt;=100000,INDEX($AB$1005:$AQ$1005,1,MATCH(COLUMNS($AB$1006:AO1006),$AB$1006:$AQ$1006,0))&gt;=100000), " ",IF(INDEX($AB$2:$AQ$1001,MATCH(ROWS($U$2:U767),$U$2:$U$1001,0),MATCH(COLUMNS($AB$1006:AO1006),$AB$1006:$AQ$1006,0)), HYPERLINK("#",""), HYPERLINK(CONCATENATE("#Metadata!", ADDRESS(INDEX($W$2:$W$1001,MATCH(ROWS($U$2:U767),$U$2:$U$1001,0),0), INDEX($AB$1004:$AQ$1004,1,MATCH(COLUMNS($AB$1006:AO1006),$AB$1006:$AQ$1006,0)))),"Fix")))</f>
        <v>0</v>
      </c>
      <c r="P767" s="5">
        <f>IF(OR(INDEX($V$2:$V$1001,MATCH(ROWS($U$2:U767),$U$2:$U$1001,0),1)&gt;=100000,INDEX($AB$1005:$AQ$1005,1,MATCH(COLUMNS($AB$1006:AP1006),$AB$1006:$AQ$1006,0))&gt;=100000), " ",IF(INDEX($AB$2:$AQ$1001,MATCH(ROWS($U$2:U767),$U$2:$U$1001,0),MATCH(COLUMNS($AB$1006:AP1006),$AB$1006:$AQ$1006,0)), HYPERLINK("#",""), HYPERLINK(CONCATENATE("#Metadata!", ADDRESS(INDEX($W$2:$W$1001,MATCH(ROWS($U$2:U767),$U$2:$U$1001,0),0), INDEX($AB$1004:$AQ$1004,1,MATCH(COLUMNS($AB$1006:AP1006),$AB$1006:$AQ$1006,0)))),"Fix")))</f>
        <v>0</v>
      </c>
      <c r="Q767" s="5">
        <f>IF(OR(INDEX($V$2:$V$1001,MATCH(ROWS($U$2:U767),$U$2:$U$1001,0),1)&gt;=100000,INDEX($AB$1005:$AQ$1005,1,MATCH(COLUMNS($AB$1006:AQ1006),$AB$1006:$AQ$1006,0))&gt;=100000), " ",IF(INDEX($AB$2:$AQ$1001,MATCH(ROWS($U$2:U767),$U$2:$U$1001,0),MATCH(COLUMNS($AB$1006:AQ1006),$AB$1006:$AQ$1006,0)), HYPERLINK("#",""), HYPERLINK(CONCATENATE("#Metadata!", ADDRESS(INDEX($W$2:$W$1001,MATCH(ROWS($U$2:U767),$U$2:$U$1001,0),0), INDEX($AB$1004:$AQ$1004,1,MATCH(COLUMNS($AB$1006:AQ1006),$AB$1006:$AQ$1006,0)))),"Fix")))</f>
        <v>0</v>
      </c>
      <c r="U767">
        <v>0</v>
      </c>
      <c r="V767">
        <v>0</v>
      </c>
      <c r="W767">
        <v>0</v>
      </c>
      <c r="X767">
        <f>IF(Y767,TRUE,AND(AB767:AQ767))</f>
        <v>0</v>
      </c>
      <c r="Y767">
        <f>COUNTBLANK(Metadata!B767:Q767)=COLUMNS(Metadata!B767:Q767)</f>
        <v>0</v>
      </c>
      <c r="Z767">
        <v>0</v>
      </c>
      <c r="AB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AC767">
        <f>AND(IF(Metadata!C767="",FALSE,TRUE),exact(Metadata!C767,"urban biome"))</f>
        <v>0</v>
      </c>
      <c r="AD767">
        <f>AND(IF(Metadata!D767="",FALSE,TRUE),exact(Metadata!D767,"human-associated habitat"))</f>
        <v>0</v>
      </c>
      <c r="AE767">
        <f>AND(IF(Metadata!E767="",FALSE,TRUE),OR(exact(Metadata!E767,"human-associated"),exact(Metadata!E767,"human-skin"),exact(Metadata!E767,"human-oral"),exact(Metadata!E767,"human-gut"),exact(Metadata!E767,"human-vaginal")))</f>
        <v>0</v>
      </c>
      <c r="AF767">
        <f>AND(IF(Metadata!F767="",FALSE,ISNUMBER(VALUE(Metadata!F767))),Metadata!F767&gt;0)</f>
        <v>0</v>
      </c>
      <c r="AG767">
        <f>AND(IF(Metadata!G767="",FALSE,TRUE),exact(Metadata!G767,"years"))</f>
        <v>0</v>
      </c>
      <c r="AH767">
        <f>OR(AND(IF(Metadata!H767="",FALSE,TRUE),OR(exact(Metadata!H767,"not applicable"),exact(Metadata!H767,"not collected"),exact(Metadata!H767,"not provided"),exact(Metadata!H767,"restricted access"))),AND(IF(Metadata!H767="",FALSE,ISNUMBER(VALUE(Metadata!H767))),Metadata!H767&gt;0))</f>
        <v>0</v>
      </c>
      <c r="AI767">
        <f>AND(IF(Metadata!I767="",FALSE,TRUE),exact(Metadata!I767,"human"))</f>
        <v>0</v>
      </c>
      <c r="AJ767">
        <f>AND(IF(Metadata!J767="",FALSE,ISNUMBER(VALUE(Metadata!J767))),Metadata!J767&gt;0)</f>
        <v>0</v>
      </c>
      <c r="AK767">
        <f>AND(IF(Metadata!K767="",FALSE,TRUE),exact(Metadata!K767,"cm"))</f>
        <v>0</v>
      </c>
      <c r="AL767">
        <f>AND(IF(Metadata!L767="",FALSE,TRUE),exact(Metadata!L767,"Homo sapiens"))</f>
        <v>0</v>
      </c>
      <c r="AM767">
        <f>AND(IF(Metadata!M767="",FALSE,TRUE),exact(Metadata!M767,"9606"))</f>
        <v>0</v>
      </c>
      <c r="AN767">
        <f>AND(IF(Metadata!N767="",FALSE,ISNUMBER(VALUE(Metadata!N767))),Metadata!N767&gt;0)</f>
        <v>0</v>
      </c>
      <c r="AO767">
        <f>AND(IF(Metadata!O767="",FALSE,TRUE),exact(Metadata!O767,"kg"))</f>
        <v>0</v>
      </c>
      <c r="AP767">
        <f>OR(AND(IF(Metadata!P767="",FALSE,TRUE),exact(Metadata!P767,"not provided")),IF(Metadata!P767="",FALSE,TRUE))</f>
        <v>0</v>
      </c>
      <c r="AQ767">
        <f>OR(AND(IF(Metadata!Q767="",FALSE,TRUE),exact(Metadata!Q767,"not provided")),IF(Metadata!Q767="",FALSE,TRUE))</f>
        <v>0</v>
      </c>
    </row>
    <row r="768" spans="1:43">
      <c r="A768" s="4">
        <f>IF(B768=" "," ",HYPERLINK(CONCATENATE("#metadata!",ADDRESS(INDEX($W$2:$W$1001,MATCH(ROWS($U$2:U768),$U$2:$U$1001,0),0),2)),INDEX($Z$2:$Z$1001,MATCH(ROWS($U$2:U768),$U$2:$U$1001,0),0)))</f>
        <v>0</v>
      </c>
      <c r="B768" s="5">
        <f>IF(OR(INDEX($V$2:$V$1001,MATCH(ROWS($U$2:U768),$U$2:$U$1001,0),1)&gt;=100000,INDEX($AB$1005:$AQ$1005,1,MATCH(COLUMNS($AB$1006:AB1006),$AB$1006:$AQ$1006,0))&gt;=100000), " ",IF(INDEX($AB$2:$AQ$1001,MATCH(ROWS($U$2:U768),$U$2:$U$1001,0),MATCH(COLUMNS($AB$1006:AB1006),$AB$1006:$AQ$1006,0)), HYPERLINK("#",""), HYPERLINK(CONCATENATE("#Metadata!", ADDRESS(INDEX($W$2:$W$1001,MATCH(ROWS($U$2:U768),$U$2:$U$1001,0),0), INDEX($AB$1004:$AQ$1004,1,MATCH(COLUMNS($AB$1006:AB1006),$AB$1006:$AQ$1006,0)))),"Fix")))</f>
        <v>0</v>
      </c>
      <c r="C768" s="5">
        <f>IF(OR(INDEX($V$2:$V$1001,MATCH(ROWS($U$2:U768),$U$2:$U$1001,0),1)&gt;=100000,INDEX($AB$1005:$AQ$1005,1,MATCH(COLUMNS($AB$1006:AC1006),$AB$1006:$AQ$1006,0))&gt;=100000), " ",IF(INDEX($AB$2:$AQ$1001,MATCH(ROWS($U$2:U768),$U$2:$U$1001,0),MATCH(COLUMNS($AB$1006:AC1006),$AB$1006:$AQ$1006,0)), HYPERLINK("#",""), HYPERLINK(CONCATENATE("#Metadata!", ADDRESS(INDEX($W$2:$W$1001,MATCH(ROWS($U$2:U768),$U$2:$U$1001,0),0), INDEX($AB$1004:$AQ$1004,1,MATCH(COLUMNS($AB$1006:AC1006),$AB$1006:$AQ$1006,0)))),"Fix")))</f>
        <v>0</v>
      </c>
      <c r="D768" s="5">
        <f>IF(OR(INDEX($V$2:$V$1001,MATCH(ROWS($U$2:U768),$U$2:$U$1001,0),1)&gt;=100000,INDEX($AB$1005:$AQ$1005,1,MATCH(COLUMNS($AB$1006:AD1006),$AB$1006:$AQ$1006,0))&gt;=100000), " ",IF(INDEX($AB$2:$AQ$1001,MATCH(ROWS($U$2:U768),$U$2:$U$1001,0),MATCH(COLUMNS($AB$1006:AD1006),$AB$1006:$AQ$1006,0)), HYPERLINK("#",""), HYPERLINK(CONCATENATE("#Metadata!", ADDRESS(INDEX($W$2:$W$1001,MATCH(ROWS($U$2:U768),$U$2:$U$1001,0),0), INDEX($AB$1004:$AQ$1004,1,MATCH(COLUMNS($AB$1006:AD1006),$AB$1006:$AQ$1006,0)))),"Fix")))</f>
        <v>0</v>
      </c>
      <c r="E768" s="5">
        <f>IF(OR(INDEX($V$2:$V$1001,MATCH(ROWS($U$2:U768),$U$2:$U$1001,0),1)&gt;=100000,INDEX($AB$1005:$AQ$1005,1,MATCH(COLUMNS($AB$1006:AE1006),$AB$1006:$AQ$1006,0))&gt;=100000), " ",IF(INDEX($AB$2:$AQ$1001,MATCH(ROWS($U$2:U768),$U$2:$U$1001,0),MATCH(COLUMNS($AB$1006:AE1006),$AB$1006:$AQ$1006,0)), HYPERLINK("#",""), HYPERLINK(CONCATENATE("#Metadata!", ADDRESS(INDEX($W$2:$W$1001,MATCH(ROWS($U$2:U768),$U$2:$U$1001,0),0), INDEX($AB$1004:$AQ$1004,1,MATCH(COLUMNS($AB$1006:AE1006),$AB$1006:$AQ$1006,0)))),"Fix")))</f>
        <v>0</v>
      </c>
      <c r="F768" s="5">
        <f>IF(OR(INDEX($V$2:$V$1001,MATCH(ROWS($U$2:U768),$U$2:$U$1001,0),1)&gt;=100000,INDEX($AB$1005:$AQ$1005,1,MATCH(COLUMNS($AB$1006:AF1006),$AB$1006:$AQ$1006,0))&gt;=100000), " ",IF(INDEX($AB$2:$AQ$1001,MATCH(ROWS($U$2:U768),$U$2:$U$1001,0),MATCH(COLUMNS($AB$1006:AF1006),$AB$1006:$AQ$1006,0)), HYPERLINK("#",""), HYPERLINK(CONCATENATE("#Metadata!", ADDRESS(INDEX($W$2:$W$1001,MATCH(ROWS($U$2:U768),$U$2:$U$1001,0),0), INDEX($AB$1004:$AQ$1004,1,MATCH(COLUMNS($AB$1006:AF1006),$AB$1006:$AQ$1006,0)))),"Fix")))</f>
        <v>0</v>
      </c>
      <c r="G768" s="5">
        <f>IF(OR(INDEX($V$2:$V$1001,MATCH(ROWS($U$2:U768),$U$2:$U$1001,0),1)&gt;=100000,INDEX($AB$1005:$AQ$1005,1,MATCH(COLUMNS($AB$1006:AG1006),$AB$1006:$AQ$1006,0))&gt;=100000), " ",IF(INDEX($AB$2:$AQ$1001,MATCH(ROWS($U$2:U768),$U$2:$U$1001,0),MATCH(COLUMNS($AB$1006:AG1006),$AB$1006:$AQ$1006,0)), HYPERLINK("#",""), HYPERLINK(CONCATENATE("#Metadata!", ADDRESS(INDEX($W$2:$W$1001,MATCH(ROWS($U$2:U768),$U$2:$U$1001,0),0), INDEX($AB$1004:$AQ$1004,1,MATCH(COLUMNS($AB$1006:AG1006),$AB$1006:$AQ$1006,0)))),"Fix")))</f>
        <v>0</v>
      </c>
      <c r="H768" s="5">
        <f>IF(OR(INDEX($V$2:$V$1001,MATCH(ROWS($U$2:U768),$U$2:$U$1001,0),1)&gt;=100000,INDEX($AB$1005:$AQ$1005,1,MATCH(COLUMNS($AB$1006:AH1006),$AB$1006:$AQ$1006,0))&gt;=100000), " ",IF(INDEX($AB$2:$AQ$1001,MATCH(ROWS($U$2:U768),$U$2:$U$1001,0),MATCH(COLUMNS($AB$1006:AH1006),$AB$1006:$AQ$1006,0)), HYPERLINK("#",""), HYPERLINK(CONCATENATE("#Metadata!", ADDRESS(INDEX($W$2:$W$1001,MATCH(ROWS($U$2:U768),$U$2:$U$1001,0),0), INDEX($AB$1004:$AQ$1004,1,MATCH(COLUMNS($AB$1006:AH1006),$AB$1006:$AQ$1006,0)))),"Fix")))</f>
        <v>0</v>
      </c>
      <c r="I768" s="5">
        <f>IF(OR(INDEX($V$2:$V$1001,MATCH(ROWS($U$2:U768),$U$2:$U$1001,0),1)&gt;=100000,INDEX($AB$1005:$AQ$1005,1,MATCH(COLUMNS($AB$1006:AI1006),$AB$1006:$AQ$1006,0))&gt;=100000), " ",IF(INDEX($AB$2:$AQ$1001,MATCH(ROWS($U$2:U768),$U$2:$U$1001,0),MATCH(COLUMNS($AB$1006:AI1006),$AB$1006:$AQ$1006,0)), HYPERLINK("#",""), HYPERLINK(CONCATENATE("#Metadata!", ADDRESS(INDEX($W$2:$W$1001,MATCH(ROWS($U$2:U768),$U$2:$U$1001,0),0), INDEX($AB$1004:$AQ$1004,1,MATCH(COLUMNS($AB$1006:AI1006),$AB$1006:$AQ$1006,0)))),"Fix")))</f>
        <v>0</v>
      </c>
      <c r="J768" s="5">
        <f>IF(OR(INDEX($V$2:$V$1001,MATCH(ROWS($U$2:U768),$U$2:$U$1001,0),1)&gt;=100000,INDEX($AB$1005:$AQ$1005,1,MATCH(COLUMNS($AB$1006:AJ1006),$AB$1006:$AQ$1006,0))&gt;=100000), " ",IF(INDEX($AB$2:$AQ$1001,MATCH(ROWS($U$2:U768),$U$2:$U$1001,0),MATCH(COLUMNS($AB$1006:AJ1006),$AB$1006:$AQ$1006,0)), HYPERLINK("#",""), HYPERLINK(CONCATENATE("#Metadata!", ADDRESS(INDEX($W$2:$W$1001,MATCH(ROWS($U$2:U768),$U$2:$U$1001,0),0), INDEX($AB$1004:$AQ$1004,1,MATCH(COLUMNS($AB$1006:AJ1006),$AB$1006:$AQ$1006,0)))),"Fix")))</f>
        <v>0</v>
      </c>
      <c r="K768" s="5">
        <f>IF(OR(INDEX($V$2:$V$1001,MATCH(ROWS($U$2:U768),$U$2:$U$1001,0),1)&gt;=100000,INDEX($AB$1005:$AQ$1005,1,MATCH(COLUMNS($AB$1006:AK1006),$AB$1006:$AQ$1006,0))&gt;=100000), " ",IF(INDEX($AB$2:$AQ$1001,MATCH(ROWS($U$2:U768),$U$2:$U$1001,0),MATCH(COLUMNS($AB$1006:AK1006),$AB$1006:$AQ$1006,0)), HYPERLINK("#",""), HYPERLINK(CONCATENATE("#Metadata!", ADDRESS(INDEX($W$2:$W$1001,MATCH(ROWS($U$2:U768),$U$2:$U$1001,0),0), INDEX($AB$1004:$AQ$1004,1,MATCH(COLUMNS($AB$1006:AK1006),$AB$1006:$AQ$1006,0)))),"Fix")))</f>
        <v>0</v>
      </c>
      <c r="L768" s="5">
        <f>IF(OR(INDEX($V$2:$V$1001,MATCH(ROWS($U$2:U768),$U$2:$U$1001,0),1)&gt;=100000,INDEX($AB$1005:$AQ$1005,1,MATCH(COLUMNS($AB$1006:AL1006),$AB$1006:$AQ$1006,0))&gt;=100000), " ",IF(INDEX($AB$2:$AQ$1001,MATCH(ROWS($U$2:U768),$U$2:$U$1001,0),MATCH(COLUMNS($AB$1006:AL1006),$AB$1006:$AQ$1006,0)), HYPERLINK("#",""), HYPERLINK(CONCATENATE("#Metadata!", ADDRESS(INDEX($W$2:$W$1001,MATCH(ROWS($U$2:U768),$U$2:$U$1001,0),0), INDEX($AB$1004:$AQ$1004,1,MATCH(COLUMNS($AB$1006:AL1006),$AB$1006:$AQ$1006,0)))),"Fix")))</f>
        <v>0</v>
      </c>
      <c r="M768" s="5">
        <f>IF(OR(INDEX($V$2:$V$1001,MATCH(ROWS($U$2:U768),$U$2:$U$1001,0),1)&gt;=100000,INDEX($AB$1005:$AQ$1005,1,MATCH(COLUMNS($AB$1006:AM1006),$AB$1006:$AQ$1006,0))&gt;=100000), " ",IF(INDEX($AB$2:$AQ$1001,MATCH(ROWS($U$2:U768),$U$2:$U$1001,0),MATCH(COLUMNS($AB$1006:AM1006),$AB$1006:$AQ$1006,0)), HYPERLINK("#",""), HYPERLINK(CONCATENATE("#Metadata!", ADDRESS(INDEX($W$2:$W$1001,MATCH(ROWS($U$2:U768),$U$2:$U$1001,0),0), INDEX($AB$1004:$AQ$1004,1,MATCH(COLUMNS($AB$1006:AM1006),$AB$1006:$AQ$1006,0)))),"Fix")))</f>
        <v>0</v>
      </c>
      <c r="N768" s="5">
        <f>IF(OR(INDEX($V$2:$V$1001,MATCH(ROWS($U$2:U768),$U$2:$U$1001,0),1)&gt;=100000,INDEX($AB$1005:$AQ$1005,1,MATCH(COLUMNS($AB$1006:AN1006),$AB$1006:$AQ$1006,0))&gt;=100000), " ",IF(INDEX($AB$2:$AQ$1001,MATCH(ROWS($U$2:U768),$U$2:$U$1001,0),MATCH(COLUMNS($AB$1006:AN1006),$AB$1006:$AQ$1006,0)), HYPERLINK("#",""), HYPERLINK(CONCATENATE("#Metadata!", ADDRESS(INDEX($W$2:$W$1001,MATCH(ROWS($U$2:U768),$U$2:$U$1001,0),0), INDEX($AB$1004:$AQ$1004,1,MATCH(COLUMNS($AB$1006:AN1006),$AB$1006:$AQ$1006,0)))),"Fix")))</f>
        <v>0</v>
      </c>
      <c r="O768" s="5">
        <f>IF(OR(INDEX($V$2:$V$1001,MATCH(ROWS($U$2:U768),$U$2:$U$1001,0),1)&gt;=100000,INDEX($AB$1005:$AQ$1005,1,MATCH(COLUMNS($AB$1006:AO1006),$AB$1006:$AQ$1006,0))&gt;=100000), " ",IF(INDEX($AB$2:$AQ$1001,MATCH(ROWS($U$2:U768),$U$2:$U$1001,0),MATCH(COLUMNS($AB$1006:AO1006),$AB$1006:$AQ$1006,0)), HYPERLINK("#",""), HYPERLINK(CONCATENATE("#Metadata!", ADDRESS(INDEX($W$2:$W$1001,MATCH(ROWS($U$2:U768),$U$2:$U$1001,0),0), INDEX($AB$1004:$AQ$1004,1,MATCH(COLUMNS($AB$1006:AO1006),$AB$1006:$AQ$1006,0)))),"Fix")))</f>
        <v>0</v>
      </c>
      <c r="P768" s="5">
        <f>IF(OR(INDEX($V$2:$V$1001,MATCH(ROWS($U$2:U768),$U$2:$U$1001,0),1)&gt;=100000,INDEX($AB$1005:$AQ$1005,1,MATCH(COLUMNS($AB$1006:AP1006),$AB$1006:$AQ$1006,0))&gt;=100000), " ",IF(INDEX($AB$2:$AQ$1001,MATCH(ROWS($U$2:U768),$U$2:$U$1001,0),MATCH(COLUMNS($AB$1006:AP1006),$AB$1006:$AQ$1006,0)), HYPERLINK("#",""), HYPERLINK(CONCATENATE("#Metadata!", ADDRESS(INDEX($W$2:$W$1001,MATCH(ROWS($U$2:U768),$U$2:$U$1001,0),0), INDEX($AB$1004:$AQ$1004,1,MATCH(COLUMNS($AB$1006:AP1006),$AB$1006:$AQ$1006,0)))),"Fix")))</f>
        <v>0</v>
      </c>
      <c r="Q768" s="5">
        <f>IF(OR(INDEX($V$2:$V$1001,MATCH(ROWS($U$2:U768),$U$2:$U$1001,0),1)&gt;=100000,INDEX($AB$1005:$AQ$1005,1,MATCH(COLUMNS($AB$1006:AQ1006),$AB$1006:$AQ$1006,0))&gt;=100000), " ",IF(INDEX($AB$2:$AQ$1001,MATCH(ROWS($U$2:U768),$U$2:$U$1001,0),MATCH(COLUMNS($AB$1006:AQ1006),$AB$1006:$AQ$1006,0)), HYPERLINK("#",""), HYPERLINK(CONCATENATE("#Metadata!", ADDRESS(INDEX($W$2:$W$1001,MATCH(ROWS($U$2:U768),$U$2:$U$1001,0),0), INDEX($AB$1004:$AQ$1004,1,MATCH(COLUMNS($AB$1006:AQ1006),$AB$1006:$AQ$1006,0)))),"Fix")))</f>
        <v>0</v>
      </c>
      <c r="U768">
        <v>0</v>
      </c>
      <c r="V768">
        <v>0</v>
      </c>
      <c r="W768">
        <v>0</v>
      </c>
      <c r="X768">
        <f>IF(Y768,TRUE,AND(AB768:AQ768))</f>
        <v>0</v>
      </c>
      <c r="Y768">
        <f>COUNTBLANK(Metadata!B768:Q768)=COLUMNS(Metadata!B768:Q768)</f>
        <v>0</v>
      </c>
      <c r="Z768">
        <v>0</v>
      </c>
      <c r="AB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AC768">
        <f>AND(IF(Metadata!C768="",FALSE,TRUE),exact(Metadata!C768,"urban biome"))</f>
        <v>0</v>
      </c>
      <c r="AD768">
        <f>AND(IF(Metadata!D768="",FALSE,TRUE),exact(Metadata!D768,"human-associated habitat"))</f>
        <v>0</v>
      </c>
      <c r="AE768">
        <f>AND(IF(Metadata!E768="",FALSE,TRUE),OR(exact(Metadata!E768,"human-associated"),exact(Metadata!E768,"human-skin"),exact(Metadata!E768,"human-oral"),exact(Metadata!E768,"human-gut"),exact(Metadata!E768,"human-vaginal")))</f>
        <v>0</v>
      </c>
      <c r="AF768">
        <f>AND(IF(Metadata!F768="",FALSE,ISNUMBER(VALUE(Metadata!F768))),Metadata!F768&gt;0)</f>
        <v>0</v>
      </c>
      <c r="AG768">
        <f>AND(IF(Metadata!G768="",FALSE,TRUE),exact(Metadata!G768,"years"))</f>
        <v>0</v>
      </c>
      <c r="AH768">
        <f>OR(AND(IF(Metadata!H768="",FALSE,TRUE),OR(exact(Metadata!H768,"not applicable"),exact(Metadata!H768,"not collected"),exact(Metadata!H768,"not provided"),exact(Metadata!H768,"restricted access"))),AND(IF(Metadata!H768="",FALSE,ISNUMBER(VALUE(Metadata!H768))),Metadata!H768&gt;0))</f>
        <v>0</v>
      </c>
      <c r="AI768">
        <f>AND(IF(Metadata!I768="",FALSE,TRUE),exact(Metadata!I768,"human"))</f>
        <v>0</v>
      </c>
      <c r="AJ768">
        <f>AND(IF(Metadata!J768="",FALSE,ISNUMBER(VALUE(Metadata!J768))),Metadata!J768&gt;0)</f>
        <v>0</v>
      </c>
      <c r="AK768">
        <f>AND(IF(Metadata!K768="",FALSE,TRUE),exact(Metadata!K768,"cm"))</f>
        <v>0</v>
      </c>
      <c r="AL768">
        <f>AND(IF(Metadata!L768="",FALSE,TRUE),exact(Metadata!L768,"Homo sapiens"))</f>
        <v>0</v>
      </c>
      <c r="AM768">
        <f>AND(IF(Metadata!M768="",FALSE,TRUE),exact(Metadata!M768,"9606"))</f>
        <v>0</v>
      </c>
      <c r="AN768">
        <f>AND(IF(Metadata!N768="",FALSE,ISNUMBER(VALUE(Metadata!N768))),Metadata!N768&gt;0)</f>
        <v>0</v>
      </c>
      <c r="AO768">
        <f>AND(IF(Metadata!O768="",FALSE,TRUE),exact(Metadata!O768,"kg"))</f>
        <v>0</v>
      </c>
      <c r="AP768">
        <f>OR(AND(IF(Metadata!P768="",FALSE,TRUE),exact(Metadata!P768,"not provided")),IF(Metadata!P768="",FALSE,TRUE))</f>
        <v>0</v>
      </c>
      <c r="AQ768">
        <f>OR(AND(IF(Metadata!Q768="",FALSE,TRUE),exact(Metadata!Q768,"not provided")),IF(Metadata!Q768="",FALSE,TRUE))</f>
        <v>0</v>
      </c>
    </row>
    <row r="769" spans="1:43">
      <c r="A769" s="4">
        <f>IF(B769=" "," ",HYPERLINK(CONCATENATE("#metadata!",ADDRESS(INDEX($W$2:$W$1001,MATCH(ROWS($U$2:U769),$U$2:$U$1001,0),0),2)),INDEX($Z$2:$Z$1001,MATCH(ROWS($U$2:U769),$U$2:$U$1001,0),0)))</f>
        <v>0</v>
      </c>
      <c r="B769" s="5">
        <f>IF(OR(INDEX($V$2:$V$1001,MATCH(ROWS($U$2:U769),$U$2:$U$1001,0),1)&gt;=100000,INDEX($AB$1005:$AQ$1005,1,MATCH(COLUMNS($AB$1006:AB1006),$AB$1006:$AQ$1006,0))&gt;=100000), " ",IF(INDEX($AB$2:$AQ$1001,MATCH(ROWS($U$2:U769),$U$2:$U$1001,0),MATCH(COLUMNS($AB$1006:AB1006),$AB$1006:$AQ$1006,0)), HYPERLINK("#",""), HYPERLINK(CONCATENATE("#Metadata!", ADDRESS(INDEX($W$2:$W$1001,MATCH(ROWS($U$2:U769),$U$2:$U$1001,0),0), INDEX($AB$1004:$AQ$1004,1,MATCH(COLUMNS($AB$1006:AB1006),$AB$1006:$AQ$1006,0)))),"Fix")))</f>
        <v>0</v>
      </c>
      <c r="C769" s="5">
        <f>IF(OR(INDEX($V$2:$V$1001,MATCH(ROWS($U$2:U769),$U$2:$U$1001,0),1)&gt;=100000,INDEX($AB$1005:$AQ$1005,1,MATCH(COLUMNS($AB$1006:AC1006),$AB$1006:$AQ$1006,0))&gt;=100000), " ",IF(INDEX($AB$2:$AQ$1001,MATCH(ROWS($U$2:U769),$U$2:$U$1001,0),MATCH(COLUMNS($AB$1006:AC1006),$AB$1006:$AQ$1006,0)), HYPERLINK("#",""), HYPERLINK(CONCATENATE("#Metadata!", ADDRESS(INDEX($W$2:$W$1001,MATCH(ROWS($U$2:U769),$U$2:$U$1001,0),0), INDEX($AB$1004:$AQ$1004,1,MATCH(COLUMNS($AB$1006:AC1006),$AB$1006:$AQ$1006,0)))),"Fix")))</f>
        <v>0</v>
      </c>
      <c r="D769" s="5">
        <f>IF(OR(INDEX($V$2:$V$1001,MATCH(ROWS($U$2:U769),$U$2:$U$1001,0),1)&gt;=100000,INDEX($AB$1005:$AQ$1005,1,MATCH(COLUMNS($AB$1006:AD1006),$AB$1006:$AQ$1006,0))&gt;=100000), " ",IF(INDEX($AB$2:$AQ$1001,MATCH(ROWS($U$2:U769),$U$2:$U$1001,0),MATCH(COLUMNS($AB$1006:AD1006),$AB$1006:$AQ$1006,0)), HYPERLINK("#",""), HYPERLINK(CONCATENATE("#Metadata!", ADDRESS(INDEX($W$2:$W$1001,MATCH(ROWS($U$2:U769),$U$2:$U$1001,0),0), INDEX($AB$1004:$AQ$1004,1,MATCH(COLUMNS($AB$1006:AD1006),$AB$1006:$AQ$1006,0)))),"Fix")))</f>
        <v>0</v>
      </c>
      <c r="E769" s="5">
        <f>IF(OR(INDEX($V$2:$V$1001,MATCH(ROWS($U$2:U769),$U$2:$U$1001,0),1)&gt;=100000,INDEX($AB$1005:$AQ$1005,1,MATCH(COLUMNS($AB$1006:AE1006),$AB$1006:$AQ$1006,0))&gt;=100000), " ",IF(INDEX($AB$2:$AQ$1001,MATCH(ROWS($U$2:U769),$U$2:$U$1001,0),MATCH(COLUMNS($AB$1006:AE1006),$AB$1006:$AQ$1006,0)), HYPERLINK("#",""), HYPERLINK(CONCATENATE("#Metadata!", ADDRESS(INDEX($W$2:$W$1001,MATCH(ROWS($U$2:U769),$U$2:$U$1001,0),0), INDEX($AB$1004:$AQ$1004,1,MATCH(COLUMNS($AB$1006:AE1006),$AB$1006:$AQ$1006,0)))),"Fix")))</f>
        <v>0</v>
      </c>
      <c r="F769" s="5">
        <f>IF(OR(INDEX($V$2:$V$1001,MATCH(ROWS($U$2:U769),$U$2:$U$1001,0),1)&gt;=100000,INDEX($AB$1005:$AQ$1005,1,MATCH(COLUMNS($AB$1006:AF1006),$AB$1006:$AQ$1006,0))&gt;=100000), " ",IF(INDEX($AB$2:$AQ$1001,MATCH(ROWS($U$2:U769),$U$2:$U$1001,0),MATCH(COLUMNS($AB$1006:AF1006),$AB$1006:$AQ$1006,0)), HYPERLINK("#",""), HYPERLINK(CONCATENATE("#Metadata!", ADDRESS(INDEX($W$2:$W$1001,MATCH(ROWS($U$2:U769),$U$2:$U$1001,0),0), INDEX($AB$1004:$AQ$1004,1,MATCH(COLUMNS($AB$1006:AF1006),$AB$1006:$AQ$1006,0)))),"Fix")))</f>
        <v>0</v>
      </c>
      <c r="G769" s="5">
        <f>IF(OR(INDEX($V$2:$V$1001,MATCH(ROWS($U$2:U769),$U$2:$U$1001,0),1)&gt;=100000,INDEX($AB$1005:$AQ$1005,1,MATCH(COLUMNS($AB$1006:AG1006),$AB$1006:$AQ$1006,0))&gt;=100000), " ",IF(INDEX($AB$2:$AQ$1001,MATCH(ROWS($U$2:U769),$U$2:$U$1001,0),MATCH(COLUMNS($AB$1006:AG1006),$AB$1006:$AQ$1006,0)), HYPERLINK("#",""), HYPERLINK(CONCATENATE("#Metadata!", ADDRESS(INDEX($W$2:$W$1001,MATCH(ROWS($U$2:U769),$U$2:$U$1001,0),0), INDEX($AB$1004:$AQ$1004,1,MATCH(COLUMNS($AB$1006:AG1006),$AB$1006:$AQ$1006,0)))),"Fix")))</f>
        <v>0</v>
      </c>
      <c r="H769" s="5">
        <f>IF(OR(INDEX($V$2:$V$1001,MATCH(ROWS($U$2:U769),$U$2:$U$1001,0),1)&gt;=100000,INDEX($AB$1005:$AQ$1005,1,MATCH(COLUMNS($AB$1006:AH1006),$AB$1006:$AQ$1006,0))&gt;=100000), " ",IF(INDEX($AB$2:$AQ$1001,MATCH(ROWS($U$2:U769),$U$2:$U$1001,0),MATCH(COLUMNS($AB$1006:AH1006),$AB$1006:$AQ$1006,0)), HYPERLINK("#",""), HYPERLINK(CONCATENATE("#Metadata!", ADDRESS(INDEX($W$2:$W$1001,MATCH(ROWS($U$2:U769),$U$2:$U$1001,0),0), INDEX($AB$1004:$AQ$1004,1,MATCH(COLUMNS($AB$1006:AH1006),$AB$1006:$AQ$1006,0)))),"Fix")))</f>
        <v>0</v>
      </c>
      <c r="I769" s="5">
        <f>IF(OR(INDEX($V$2:$V$1001,MATCH(ROWS($U$2:U769),$U$2:$U$1001,0),1)&gt;=100000,INDEX($AB$1005:$AQ$1005,1,MATCH(COLUMNS($AB$1006:AI1006),$AB$1006:$AQ$1006,0))&gt;=100000), " ",IF(INDEX($AB$2:$AQ$1001,MATCH(ROWS($U$2:U769),$U$2:$U$1001,0),MATCH(COLUMNS($AB$1006:AI1006),$AB$1006:$AQ$1006,0)), HYPERLINK("#",""), HYPERLINK(CONCATENATE("#Metadata!", ADDRESS(INDEX($W$2:$W$1001,MATCH(ROWS($U$2:U769),$U$2:$U$1001,0),0), INDEX($AB$1004:$AQ$1004,1,MATCH(COLUMNS($AB$1006:AI1006),$AB$1006:$AQ$1006,0)))),"Fix")))</f>
        <v>0</v>
      </c>
      <c r="J769" s="5">
        <f>IF(OR(INDEX($V$2:$V$1001,MATCH(ROWS($U$2:U769),$U$2:$U$1001,0),1)&gt;=100000,INDEX($AB$1005:$AQ$1005,1,MATCH(COLUMNS($AB$1006:AJ1006),$AB$1006:$AQ$1006,0))&gt;=100000), " ",IF(INDEX($AB$2:$AQ$1001,MATCH(ROWS($U$2:U769),$U$2:$U$1001,0),MATCH(COLUMNS($AB$1006:AJ1006),$AB$1006:$AQ$1006,0)), HYPERLINK("#",""), HYPERLINK(CONCATENATE("#Metadata!", ADDRESS(INDEX($W$2:$W$1001,MATCH(ROWS($U$2:U769),$U$2:$U$1001,0),0), INDEX($AB$1004:$AQ$1004,1,MATCH(COLUMNS($AB$1006:AJ1006),$AB$1006:$AQ$1006,0)))),"Fix")))</f>
        <v>0</v>
      </c>
      <c r="K769" s="5">
        <f>IF(OR(INDEX($V$2:$V$1001,MATCH(ROWS($U$2:U769),$U$2:$U$1001,0),1)&gt;=100000,INDEX($AB$1005:$AQ$1005,1,MATCH(COLUMNS($AB$1006:AK1006),$AB$1006:$AQ$1006,0))&gt;=100000), " ",IF(INDEX($AB$2:$AQ$1001,MATCH(ROWS($U$2:U769),$U$2:$U$1001,0),MATCH(COLUMNS($AB$1006:AK1006),$AB$1006:$AQ$1006,0)), HYPERLINK("#",""), HYPERLINK(CONCATENATE("#Metadata!", ADDRESS(INDEX($W$2:$W$1001,MATCH(ROWS($U$2:U769),$U$2:$U$1001,0),0), INDEX($AB$1004:$AQ$1004,1,MATCH(COLUMNS($AB$1006:AK1006),$AB$1006:$AQ$1006,0)))),"Fix")))</f>
        <v>0</v>
      </c>
      <c r="L769" s="5">
        <f>IF(OR(INDEX($V$2:$V$1001,MATCH(ROWS($U$2:U769),$U$2:$U$1001,0),1)&gt;=100000,INDEX($AB$1005:$AQ$1005,1,MATCH(COLUMNS($AB$1006:AL1006),$AB$1006:$AQ$1006,0))&gt;=100000), " ",IF(INDEX($AB$2:$AQ$1001,MATCH(ROWS($U$2:U769),$U$2:$U$1001,0),MATCH(COLUMNS($AB$1006:AL1006),$AB$1006:$AQ$1006,0)), HYPERLINK("#",""), HYPERLINK(CONCATENATE("#Metadata!", ADDRESS(INDEX($W$2:$W$1001,MATCH(ROWS($U$2:U769),$U$2:$U$1001,0),0), INDEX($AB$1004:$AQ$1004,1,MATCH(COLUMNS($AB$1006:AL1006),$AB$1006:$AQ$1006,0)))),"Fix")))</f>
        <v>0</v>
      </c>
      <c r="M769" s="5">
        <f>IF(OR(INDEX($V$2:$V$1001,MATCH(ROWS($U$2:U769),$U$2:$U$1001,0),1)&gt;=100000,INDEX($AB$1005:$AQ$1005,1,MATCH(COLUMNS($AB$1006:AM1006),$AB$1006:$AQ$1006,0))&gt;=100000), " ",IF(INDEX($AB$2:$AQ$1001,MATCH(ROWS($U$2:U769),$U$2:$U$1001,0),MATCH(COLUMNS($AB$1006:AM1006),$AB$1006:$AQ$1006,0)), HYPERLINK("#",""), HYPERLINK(CONCATENATE("#Metadata!", ADDRESS(INDEX($W$2:$W$1001,MATCH(ROWS($U$2:U769),$U$2:$U$1001,0),0), INDEX($AB$1004:$AQ$1004,1,MATCH(COLUMNS($AB$1006:AM1006),$AB$1006:$AQ$1006,0)))),"Fix")))</f>
        <v>0</v>
      </c>
      <c r="N769" s="5">
        <f>IF(OR(INDEX($V$2:$V$1001,MATCH(ROWS($U$2:U769),$U$2:$U$1001,0),1)&gt;=100000,INDEX($AB$1005:$AQ$1005,1,MATCH(COLUMNS($AB$1006:AN1006),$AB$1006:$AQ$1006,0))&gt;=100000), " ",IF(INDEX($AB$2:$AQ$1001,MATCH(ROWS($U$2:U769),$U$2:$U$1001,0),MATCH(COLUMNS($AB$1006:AN1006),$AB$1006:$AQ$1006,0)), HYPERLINK("#",""), HYPERLINK(CONCATENATE("#Metadata!", ADDRESS(INDEX($W$2:$W$1001,MATCH(ROWS($U$2:U769),$U$2:$U$1001,0),0), INDEX($AB$1004:$AQ$1004,1,MATCH(COLUMNS($AB$1006:AN1006),$AB$1006:$AQ$1006,0)))),"Fix")))</f>
        <v>0</v>
      </c>
      <c r="O769" s="5">
        <f>IF(OR(INDEX($V$2:$V$1001,MATCH(ROWS($U$2:U769),$U$2:$U$1001,0),1)&gt;=100000,INDEX($AB$1005:$AQ$1005,1,MATCH(COLUMNS($AB$1006:AO1006),$AB$1006:$AQ$1006,0))&gt;=100000), " ",IF(INDEX($AB$2:$AQ$1001,MATCH(ROWS($U$2:U769),$U$2:$U$1001,0),MATCH(COLUMNS($AB$1006:AO1006),$AB$1006:$AQ$1006,0)), HYPERLINK("#",""), HYPERLINK(CONCATENATE("#Metadata!", ADDRESS(INDEX($W$2:$W$1001,MATCH(ROWS($U$2:U769),$U$2:$U$1001,0),0), INDEX($AB$1004:$AQ$1004,1,MATCH(COLUMNS($AB$1006:AO1006),$AB$1006:$AQ$1006,0)))),"Fix")))</f>
        <v>0</v>
      </c>
      <c r="P769" s="5">
        <f>IF(OR(INDEX($V$2:$V$1001,MATCH(ROWS($U$2:U769),$U$2:$U$1001,0),1)&gt;=100000,INDEX($AB$1005:$AQ$1005,1,MATCH(COLUMNS($AB$1006:AP1006),$AB$1006:$AQ$1006,0))&gt;=100000), " ",IF(INDEX($AB$2:$AQ$1001,MATCH(ROWS($U$2:U769),$U$2:$U$1001,0),MATCH(COLUMNS($AB$1006:AP1006),$AB$1006:$AQ$1006,0)), HYPERLINK("#",""), HYPERLINK(CONCATENATE("#Metadata!", ADDRESS(INDEX($W$2:$W$1001,MATCH(ROWS($U$2:U769),$U$2:$U$1001,0),0), INDEX($AB$1004:$AQ$1004,1,MATCH(COLUMNS($AB$1006:AP1006),$AB$1006:$AQ$1006,0)))),"Fix")))</f>
        <v>0</v>
      </c>
      <c r="Q769" s="5">
        <f>IF(OR(INDEX($V$2:$V$1001,MATCH(ROWS($U$2:U769),$U$2:$U$1001,0),1)&gt;=100000,INDEX($AB$1005:$AQ$1005,1,MATCH(COLUMNS($AB$1006:AQ1006),$AB$1006:$AQ$1006,0))&gt;=100000), " ",IF(INDEX($AB$2:$AQ$1001,MATCH(ROWS($U$2:U769),$U$2:$U$1001,0),MATCH(COLUMNS($AB$1006:AQ1006),$AB$1006:$AQ$1006,0)), HYPERLINK("#",""), HYPERLINK(CONCATENATE("#Metadata!", ADDRESS(INDEX($W$2:$W$1001,MATCH(ROWS($U$2:U769),$U$2:$U$1001,0),0), INDEX($AB$1004:$AQ$1004,1,MATCH(COLUMNS($AB$1006:AQ1006),$AB$1006:$AQ$1006,0)))),"Fix")))</f>
        <v>0</v>
      </c>
      <c r="U769">
        <v>0</v>
      </c>
      <c r="V769">
        <v>0</v>
      </c>
      <c r="W769">
        <v>0</v>
      </c>
      <c r="X769">
        <f>IF(Y769,TRUE,AND(AB769:AQ769))</f>
        <v>0</v>
      </c>
      <c r="Y769">
        <f>COUNTBLANK(Metadata!B769:Q769)=COLUMNS(Metadata!B769:Q769)</f>
        <v>0</v>
      </c>
      <c r="Z769">
        <v>0</v>
      </c>
      <c r="AB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AC769">
        <f>AND(IF(Metadata!C769="",FALSE,TRUE),exact(Metadata!C769,"urban biome"))</f>
        <v>0</v>
      </c>
      <c r="AD769">
        <f>AND(IF(Metadata!D769="",FALSE,TRUE),exact(Metadata!D769,"human-associated habitat"))</f>
        <v>0</v>
      </c>
      <c r="AE769">
        <f>AND(IF(Metadata!E769="",FALSE,TRUE),OR(exact(Metadata!E769,"human-associated"),exact(Metadata!E769,"human-skin"),exact(Metadata!E769,"human-oral"),exact(Metadata!E769,"human-gut"),exact(Metadata!E769,"human-vaginal")))</f>
        <v>0</v>
      </c>
      <c r="AF769">
        <f>AND(IF(Metadata!F769="",FALSE,ISNUMBER(VALUE(Metadata!F769))),Metadata!F769&gt;0)</f>
        <v>0</v>
      </c>
      <c r="AG769">
        <f>AND(IF(Metadata!G769="",FALSE,TRUE),exact(Metadata!G769,"years"))</f>
        <v>0</v>
      </c>
      <c r="AH769">
        <f>OR(AND(IF(Metadata!H769="",FALSE,TRUE),OR(exact(Metadata!H769,"not applicable"),exact(Metadata!H769,"not collected"),exact(Metadata!H769,"not provided"),exact(Metadata!H769,"restricted access"))),AND(IF(Metadata!H769="",FALSE,ISNUMBER(VALUE(Metadata!H769))),Metadata!H769&gt;0))</f>
        <v>0</v>
      </c>
      <c r="AI769">
        <f>AND(IF(Metadata!I769="",FALSE,TRUE),exact(Metadata!I769,"human"))</f>
        <v>0</v>
      </c>
      <c r="AJ769">
        <f>AND(IF(Metadata!J769="",FALSE,ISNUMBER(VALUE(Metadata!J769))),Metadata!J769&gt;0)</f>
        <v>0</v>
      </c>
      <c r="AK769">
        <f>AND(IF(Metadata!K769="",FALSE,TRUE),exact(Metadata!K769,"cm"))</f>
        <v>0</v>
      </c>
      <c r="AL769">
        <f>AND(IF(Metadata!L769="",FALSE,TRUE),exact(Metadata!L769,"Homo sapiens"))</f>
        <v>0</v>
      </c>
      <c r="AM769">
        <f>AND(IF(Metadata!M769="",FALSE,TRUE),exact(Metadata!M769,"9606"))</f>
        <v>0</v>
      </c>
      <c r="AN769">
        <f>AND(IF(Metadata!N769="",FALSE,ISNUMBER(VALUE(Metadata!N769))),Metadata!N769&gt;0)</f>
        <v>0</v>
      </c>
      <c r="AO769">
        <f>AND(IF(Metadata!O769="",FALSE,TRUE),exact(Metadata!O769,"kg"))</f>
        <v>0</v>
      </c>
      <c r="AP769">
        <f>OR(AND(IF(Metadata!P769="",FALSE,TRUE),exact(Metadata!P769,"not provided")),IF(Metadata!P769="",FALSE,TRUE))</f>
        <v>0</v>
      </c>
      <c r="AQ769">
        <f>OR(AND(IF(Metadata!Q769="",FALSE,TRUE),exact(Metadata!Q769,"not provided")),IF(Metadata!Q769="",FALSE,TRUE))</f>
        <v>0</v>
      </c>
    </row>
    <row r="770" spans="1:43">
      <c r="A770" s="4">
        <f>IF(B770=" "," ",HYPERLINK(CONCATENATE("#metadata!",ADDRESS(INDEX($W$2:$W$1001,MATCH(ROWS($U$2:U770),$U$2:$U$1001,0),0),2)),INDEX($Z$2:$Z$1001,MATCH(ROWS($U$2:U770),$U$2:$U$1001,0),0)))</f>
        <v>0</v>
      </c>
      <c r="B770" s="5">
        <f>IF(OR(INDEX($V$2:$V$1001,MATCH(ROWS($U$2:U770),$U$2:$U$1001,0),1)&gt;=100000,INDEX($AB$1005:$AQ$1005,1,MATCH(COLUMNS($AB$1006:AB1006),$AB$1006:$AQ$1006,0))&gt;=100000), " ",IF(INDEX($AB$2:$AQ$1001,MATCH(ROWS($U$2:U770),$U$2:$U$1001,0),MATCH(COLUMNS($AB$1006:AB1006),$AB$1006:$AQ$1006,0)), HYPERLINK("#",""), HYPERLINK(CONCATENATE("#Metadata!", ADDRESS(INDEX($W$2:$W$1001,MATCH(ROWS($U$2:U770),$U$2:$U$1001,0),0), INDEX($AB$1004:$AQ$1004,1,MATCH(COLUMNS($AB$1006:AB1006),$AB$1006:$AQ$1006,0)))),"Fix")))</f>
        <v>0</v>
      </c>
      <c r="C770" s="5">
        <f>IF(OR(INDEX($V$2:$V$1001,MATCH(ROWS($U$2:U770),$U$2:$U$1001,0),1)&gt;=100000,INDEX($AB$1005:$AQ$1005,1,MATCH(COLUMNS($AB$1006:AC1006),$AB$1006:$AQ$1006,0))&gt;=100000), " ",IF(INDEX($AB$2:$AQ$1001,MATCH(ROWS($U$2:U770),$U$2:$U$1001,0),MATCH(COLUMNS($AB$1006:AC1006),$AB$1006:$AQ$1006,0)), HYPERLINK("#",""), HYPERLINK(CONCATENATE("#Metadata!", ADDRESS(INDEX($W$2:$W$1001,MATCH(ROWS($U$2:U770),$U$2:$U$1001,0),0), INDEX($AB$1004:$AQ$1004,1,MATCH(COLUMNS($AB$1006:AC1006),$AB$1006:$AQ$1006,0)))),"Fix")))</f>
        <v>0</v>
      </c>
      <c r="D770" s="5">
        <f>IF(OR(INDEX($V$2:$V$1001,MATCH(ROWS($U$2:U770),$U$2:$U$1001,0),1)&gt;=100000,INDEX($AB$1005:$AQ$1005,1,MATCH(COLUMNS($AB$1006:AD1006),$AB$1006:$AQ$1006,0))&gt;=100000), " ",IF(INDEX($AB$2:$AQ$1001,MATCH(ROWS($U$2:U770),$U$2:$U$1001,0),MATCH(COLUMNS($AB$1006:AD1006),$AB$1006:$AQ$1006,0)), HYPERLINK("#",""), HYPERLINK(CONCATENATE("#Metadata!", ADDRESS(INDEX($W$2:$W$1001,MATCH(ROWS($U$2:U770),$U$2:$U$1001,0),0), INDEX($AB$1004:$AQ$1004,1,MATCH(COLUMNS($AB$1006:AD1006),$AB$1006:$AQ$1006,0)))),"Fix")))</f>
        <v>0</v>
      </c>
      <c r="E770" s="5">
        <f>IF(OR(INDEX($V$2:$V$1001,MATCH(ROWS($U$2:U770),$U$2:$U$1001,0),1)&gt;=100000,INDEX($AB$1005:$AQ$1005,1,MATCH(COLUMNS($AB$1006:AE1006),$AB$1006:$AQ$1006,0))&gt;=100000), " ",IF(INDEX($AB$2:$AQ$1001,MATCH(ROWS($U$2:U770),$U$2:$U$1001,0),MATCH(COLUMNS($AB$1006:AE1006),$AB$1006:$AQ$1006,0)), HYPERLINK("#",""), HYPERLINK(CONCATENATE("#Metadata!", ADDRESS(INDEX($W$2:$W$1001,MATCH(ROWS($U$2:U770),$U$2:$U$1001,0),0), INDEX($AB$1004:$AQ$1004,1,MATCH(COLUMNS($AB$1006:AE1006),$AB$1006:$AQ$1006,0)))),"Fix")))</f>
        <v>0</v>
      </c>
      <c r="F770" s="5">
        <f>IF(OR(INDEX($V$2:$V$1001,MATCH(ROWS($U$2:U770),$U$2:$U$1001,0),1)&gt;=100000,INDEX($AB$1005:$AQ$1005,1,MATCH(COLUMNS($AB$1006:AF1006),$AB$1006:$AQ$1006,0))&gt;=100000), " ",IF(INDEX($AB$2:$AQ$1001,MATCH(ROWS($U$2:U770),$U$2:$U$1001,0),MATCH(COLUMNS($AB$1006:AF1006),$AB$1006:$AQ$1006,0)), HYPERLINK("#",""), HYPERLINK(CONCATENATE("#Metadata!", ADDRESS(INDEX($W$2:$W$1001,MATCH(ROWS($U$2:U770),$U$2:$U$1001,0),0), INDEX($AB$1004:$AQ$1004,1,MATCH(COLUMNS($AB$1006:AF1006),$AB$1006:$AQ$1006,0)))),"Fix")))</f>
        <v>0</v>
      </c>
      <c r="G770" s="5">
        <f>IF(OR(INDEX($V$2:$V$1001,MATCH(ROWS($U$2:U770),$U$2:$U$1001,0),1)&gt;=100000,INDEX($AB$1005:$AQ$1005,1,MATCH(COLUMNS($AB$1006:AG1006),$AB$1006:$AQ$1006,0))&gt;=100000), " ",IF(INDEX($AB$2:$AQ$1001,MATCH(ROWS($U$2:U770),$U$2:$U$1001,0),MATCH(COLUMNS($AB$1006:AG1006),$AB$1006:$AQ$1006,0)), HYPERLINK("#",""), HYPERLINK(CONCATENATE("#Metadata!", ADDRESS(INDEX($W$2:$W$1001,MATCH(ROWS($U$2:U770),$U$2:$U$1001,0),0), INDEX($AB$1004:$AQ$1004,1,MATCH(COLUMNS($AB$1006:AG1006),$AB$1006:$AQ$1006,0)))),"Fix")))</f>
        <v>0</v>
      </c>
      <c r="H770" s="5">
        <f>IF(OR(INDEX($V$2:$V$1001,MATCH(ROWS($U$2:U770),$U$2:$U$1001,0),1)&gt;=100000,INDEX($AB$1005:$AQ$1005,1,MATCH(COLUMNS($AB$1006:AH1006),$AB$1006:$AQ$1006,0))&gt;=100000), " ",IF(INDEX($AB$2:$AQ$1001,MATCH(ROWS($U$2:U770),$U$2:$U$1001,0),MATCH(COLUMNS($AB$1006:AH1006),$AB$1006:$AQ$1006,0)), HYPERLINK("#",""), HYPERLINK(CONCATENATE("#Metadata!", ADDRESS(INDEX($W$2:$W$1001,MATCH(ROWS($U$2:U770),$U$2:$U$1001,0),0), INDEX($AB$1004:$AQ$1004,1,MATCH(COLUMNS($AB$1006:AH1006),$AB$1006:$AQ$1006,0)))),"Fix")))</f>
        <v>0</v>
      </c>
      <c r="I770" s="5">
        <f>IF(OR(INDEX($V$2:$V$1001,MATCH(ROWS($U$2:U770),$U$2:$U$1001,0),1)&gt;=100000,INDEX($AB$1005:$AQ$1005,1,MATCH(COLUMNS($AB$1006:AI1006),$AB$1006:$AQ$1006,0))&gt;=100000), " ",IF(INDEX($AB$2:$AQ$1001,MATCH(ROWS($U$2:U770),$U$2:$U$1001,0),MATCH(COLUMNS($AB$1006:AI1006),$AB$1006:$AQ$1006,0)), HYPERLINK("#",""), HYPERLINK(CONCATENATE("#Metadata!", ADDRESS(INDEX($W$2:$W$1001,MATCH(ROWS($U$2:U770),$U$2:$U$1001,0),0), INDEX($AB$1004:$AQ$1004,1,MATCH(COLUMNS($AB$1006:AI1006),$AB$1006:$AQ$1006,0)))),"Fix")))</f>
        <v>0</v>
      </c>
      <c r="J770" s="5">
        <f>IF(OR(INDEX($V$2:$V$1001,MATCH(ROWS($U$2:U770),$U$2:$U$1001,0),1)&gt;=100000,INDEX($AB$1005:$AQ$1005,1,MATCH(COLUMNS($AB$1006:AJ1006),$AB$1006:$AQ$1006,0))&gt;=100000), " ",IF(INDEX($AB$2:$AQ$1001,MATCH(ROWS($U$2:U770),$U$2:$U$1001,0),MATCH(COLUMNS($AB$1006:AJ1006),$AB$1006:$AQ$1006,0)), HYPERLINK("#",""), HYPERLINK(CONCATENATE("#Metadata!", ADDRESS(INDEX($W$2:$W$1001,MATCH(ROWS($U$2:U770),$U$2:$U$1001,0),0), INDEX($AB$1004:$AQ$1004,1,MATCH(COLUMNS($AB$1006:AJ1006),$AB$1006:$AQ$1006,0)))),"Fix")))</f>
        <v>0</v>
      </c>
      <c r="K770" s="5">
        <f>IF(OR(INDEX($V$2:$V$1001,MATCH(ROWS($U$2:U770),$U$2:$U$1001,0),1)&gt;=100000,INDEX($AB$1005:$AQ$1005,1,MATCH(COLUMNS($AB$1006:AK1006),$AB$1006:$AQ$1006,0))&gt;=100000), " ",IF(INDEX($AB$2:$AQ$1001,MATCH(ROWS($U$2:U770),$U$2:$U$1001,0),MATCH(COLUMNS($AB$1006:AK1006),$AB$1006:$AQ$1006,0)), HYPERLINK("#",""), HYPERLINK(CONCATENATE("#Metadata!", ADDRESS(INDEX($W$2:$W$1001,MATCH(ROWS($U$2:U770),$U$2:$U$1001,0),0), INDEX($AB$1004:$AQ$1004,1,MATCH(COLUMNS($AB$1006:AK1006),$AB$1006:$AQ$1006,0)))),"Fix")))</f>
        <v>0</v>
      </c>
      <c r="L770" s="5">
        <f>IF(OR(INDEX($V$2:$V$1001,MATCH(ROWS($U$2:U770),$U$2:$U$1001,0),1)&gt;=100000,INDEX($AB$1005:$AQ$1005,1,MATCH(COLUMNS($AB$1006:AL1006),$AB$1006:$AQ$1006,0))&gt;=100000), " ",IF(INDEX($AB$2:$AQ$1001,MATCH(ROWS($U$2:U770),$U$2:$U$1001,0),MATCH(COLUMNS($AB$1006:AL1006),$AB$1006:$AQ$1006,0)), HYPERLINK("#",""), HYPERLINK(CONCATENATE("#Metadata!", ADDRESS(INDEX($W$2:$W$1001,MATCH(ROWS($U$2:U770),$U$2:$U$1001,0),0), INDEX($AB$1004:$AQ$1004,1,MATCH(COLUMNS($AB$1006:AL1006),$AB$1006:$AQ$1006,0)))),"Fix")))</f>
        <v>0</v>
      </c>
      <c r="M770" s="5">
        <f>IF(OR(INDEX($V$2:$V$1001,MATCH(ROWS($U$2:U770),$U$2:$U$1001,0),1)&gt;=100000,INDEX($AB$1005:$AQ$1005,1,MATCH(COLUMNS($AB$1006:AM1006),$AB$1006:$AQ$1006,0))&gt;=100000), " ",IF(INDEX($AB$2:$AQ$1001,MATCH(ROWS($U$2:U770),$U$2:$U$1001,0),MATCH(COLUMNS($AB$1006:AM1006),$AB$1006:$AQ$1006,0)), HYPERLINK("#",""), HYPERLINK(CONCATENATE("#Metadata!", ADDRESS(INDEX($W$2:$W$1001,MATCH(ROWS($U$2:U770),$U$2:$U$1001,0),0), INDEX($AB$1004:$AQ$1004,1,MATCH(COLUMNS($AB$1006:AM1006),$AB$1006:$AQ$1006,0)))),"Fix")))</f>
        <v>0</v>
      </c>
      <c r="N770" s="5">
        <f>IF(OR(INDEX($V$2:$V$1001,MATCH(ROWS($U$2:U770),$U$2:$U$1001,0),1)&gt;=100000,INDEX($AB$1005:$AQ$1005,1,MATCH(COLUMNS($AB$1006:AN1006),$AB$1006:$AQ$1006,0))&gt;=100000), " ",IF(INDEX($AB$2:$AQ$1001,MATCH(ROWS($U$2:U770),$U$2:$U$1001,0),MATCH(COLUMNS($AB$1006:AN1006),$AB$1006:$AQ$1006,0)), HYPERLINK("#",""), HYPERLINK(CONCATENATE("#Metadata!", ADDRESS(INDEX($W$2:$W$1001,MATCH(ROWS($U$2:U770),$U$2:$U$1001,0),0), INDEX($AB$1004:$AQ$1004,1,MATCH(COLUMNS($AB$1006:AN1006),$AB$1006:$AQ$1006,0)))),"Fix")))</f>
        <v>0</v>
      </c>
      <c r="O770" s="5">
        <f>IF(OR(INDEX($V$2:$V$1001,MATCH(ROWS($U$2:U770),$U$2:$U$1001,0),1)&gt;=100000,INDEX($AB$1005:$AQ$1005,1,MATCH(COLUMNS($AB$1006:AO1006),$AB$1006:$AQ$1006,0))&gt;=100000), " ",IF(INDEX($AB$2:$AQ$1001,MATCH(ROWS($U$2:U770),$U$2:$U$1001,0),MATCH(COLUMNS($AB$1006:AO1006),$AB$1006:$AQ$1006,0)), HYPERLINK("#",""), HYPERLINK(CONCATENATE("#Metadata!", ADDRESS(INDEX($W$2:$W$1001,MATCH(ROWS($U$2:U770),$U$2:$U$1001,0),0), INDEX($AB$1004:$AQ$1004,1,MATCH(COLUMNS($AB$1006:AO1006),$AB$1006:$AQ$1006,0)))),"Fix")))</f>
        <v>0</v>
      </c>
      <c r="P770" s="5">
        <f>IF(OR(INDEX($V$2:$V$1001,MATCH(ROWS($U$2:U770),$U$2:$U$1001,0),1)&gt;=100000,INDEX($AB$1005:$AQ$1005,1,MATCH(COLUMNS($AB$1006:AP1006),$AB$1006:$AQ$1006,0))&gt;=100000), " ",IF(INDEX($AB$2:$AQ$1001,MATCH(ROWS($U$2:U770),$U$2:$U$1001,0),MATCH(COLUMNS($AB$1006:AP1006),$AB$1006:$AQ$1006,0)), HYPERLINK("#",""), HYPERLINK(CONCATENATE("#Metadata!", ADDRESS(INDEX($W$2:$W$1001,MATCH(ROWS($U$2:U770),$U$2:$U$1001,0),0), INDEX($AB$1004:$AQ$1004,1,MATCH(COLUMNS($AB$1006:AP1006),$AB$1006:$AQ$1006,0)))),"Fix")))</f>
        <v>0</v>
      </c>
      <c r="Q770" s="5">
        <f>IF(OR(INDEX($V$2:$V$1001,MATCH(ROWS($U$2:U770),$U$2:$U$1001,0),1)&gt;=100000,INDEX($AB$1005:$AQ$1005,1,MATCH(COLUMNS($AB$1006:AQ1006),$AB$1006:$AQ$1006,0))&gt;=100000), " ",IF(INDEX($AB$2:$AQ$1001,MATCH(ROWS($U$2:U770),$U$2:$U$1001,0),MATCH(COLUMNS($AB$1006:AQ1006),$AB$1006:$AQ$1006,0)), HYPERLINK("#",""), HYPERLINK(CONCATENATE("#Metadata!", ADDRESS(INDEX($W$2:$W$1001,MATCH(ROWS($U$2:U770),$U$2:$U$1001,0),0), INDEX($AB$1004:$AQ$1004,1,MATCH(COLUMNS($AB$1006:AQ1006),$AB$1006:$AQ$1006,0)))),"Fix")))</f>
        <v>0</v>
      </c>
      <c r="U770">
        <v>0</v>
      </c>
      <c r="V770">
        <v>0</v>
      </c>
      <c r="W770">
        <v>0</v>
      </c>
      <c r="X770">
        <f>IF(Y770,TRUE,AND(AB770:AQ770))</f>
        <v>0</v>
      </c>
      <c r="Y770">
        <f>COUNTBLANK(Metadata!B770:Q770)=COLUMNS(Metadata!B770:Q770)</f>
        <v>0</v>
      </c>
      <c r="Z770">
        <v>0</v>
      </c>
      <c r="AB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AC770">
        <f>AND(IF(Metadata!C770="",FALSE,TRUE),exact(Metadata!C770,"urban biome"))</f>
        <v>0</v>
      </c>
      <c r="AD770">
        <f>AND(IF(Metadata!D770="",FALSE,TRUE),exact(Metadata!D770,"human-associated habitat"))</f>
        <v>0</v>
      </c>
      <c r="AE770">
        <f>AND(IF(Metadata!E770="",FALSE,TRUE),OR(exact(Metadata!E770,"human-associated"),exact(Metadata!E770,"human-skin"),exact(Metadata!E770,"human-oral"),exact(Metadata!E770,"human-gut"),exact(Metadata!E770,"human-vaginal")))</f>
        <v>0</v>
      </c>
      <c r="AF770">
        <f>AND(IF(Metadata!F770="",FALSE,ISNUMBER(VALUE(Metadata!F770))),Metadata!F770&gt;0)</f>
        <v>0</v>
      </c>
      <c r="AG770">
        <f>AND(IF(Metadata!G770="",FALSE,TRUE),exact(Metadata!G770,"years"))</f>
        <v>0</v>
      </c>
      <c r="AH770">
        <f>OR(AND(IF(Metadata!H770="",FALSE,TRUE),OR(exact(Metadata!H770,"not applicable"),exact(Metadata!H770,"not collected"),exact(Metadata!H770,"not provided"),exact(Metadata!H770,"restricted access"))),AND(IF(Metadata!H770="",FALSE,ISNUMBER(VALUE(Metadata!H770))),Metadata!H770&gt;0))</f>
        <v>0</v>
      </c>
      <c r="AI770">
        <f>AND(IF(Metadata!I770="",FALSE,TRUE),exact(Metadata!I770,"human"))</f>
        <v>0</v>
      </c>
      <c r="AJ770">
        <f>AND(IF(Metadata!J770="",FALSE,ISNUMBER(VALUE(Metadata!J770))),Metadata!J770&gt;0)</f>
        <v>0</v>
      </c>
      <c r="AK770">
        <f>AND(IF(Metadata!K770="",FALSE,TRUE),exact(Metadata!K770,"cm"))</f>
        <v>0</v>
      </c>
      <c r="AL770">
        <f>AND(IF(Metadata!L770="",FALSE,TRUE),exact(Metadata!L770,"Homo sapiens"))</f>
        <v>0</v>
      </c>
      <c r="AM770">
        <f>AND(IF(Metadata!M770="",FALSE,TRUE),exact(Metadata!M770,"9606"))</f>
        <v>0</v>
      </c>
      <c r="AN770">
        <f>AND(IF(Metadata!N770="",FALSE,ISNUMBER(VALUE(Metadata!N770))),Metadata!N770&gt;0)</f>
        <v>0</v>
      </c>
      <c r="AO770">
        <f>AND(IF(Metadata!O770="",FALSE,TRUE),exact(Metadata!O770,"kg"))</f>
        <v>0</v>
      </c>
      <c r="AP770">
        <f>OR(AND(IF(Metadata!P770="",FALSE,TRUE),exact(Metadata!P770,"not provided")),IF(Metadata!P770="",FALSE,TRUE))</f>
        <v>0</v>
      </c>
      <c r="AQ770">
        <f>OR(AND(IF(Metadata!Q770="",FALSE,TRUE),exact(Metadata!Q770,"not provided")),IF(Metadata!Q770="",FALSE,TRUE))</f>
        <v>0</v>
      </c>
    </row>
    <row r="771" spans="1:43">
      <c r="A771" s="4">
        <f>IF(B771=" "," ",HYPERLINK(CONCATENATE("#metadata!",ADDRESS(INDEX($W$2:$W$1001,MATCH(ROWS($U$2:U771),$U$2:$U$1001,0),0),2)),INDEX($Z$2:$Z$1001,MATCH(ROWS($U$2:U771),$U$2:$U$1001,0),0)))</f>
        <v>0</v>
      </c>
      <c r="B771" s="5">
        <f>IF(OR(INDEX($V$2:$V$1001,MATCH(ROWS($U$2:U771),$U$2:$U$1001,0),1)&gt;=100000,INDEX($AB$1005:$AQ$1005,1,MATCH(COLUMNS($AB$1006:AB1006),$AB$1006:$AQ$1006,0))&gt;=100000), " ",IF(INDEX($AB$2:$AQ$1001,MATCH(ROWS($U$2:U771),$U$2:$U$1001,0),MATCH(COLUMNS($AB$1006:AB1006),$AB$1006:$AQ$1006,0)), HYPERLINK("#",""), HYPERLINK(CONCATENATE("#Metadata!", ADDRESS(INDEX($W$2:$W$1001,MATCH(ROWS($U$2:U771),$U$2:$U$1001,0),0), INDEX($AB$1004:$AQ$1004,1,MATCH(COLUMNS($AB$1006:AB1006),$AB$1006:$AQ$1006,0)))),"Fix")))</f>
        <v>0</v>
      </c>
      <c r="C771" s="5">
        <f>IF(OR(INDEX($V$2:$V$1001,MATCH(ROWS($U$2:U771),$U$2:$U$1001,0),1)&gt;=100000,INDEX($AB$1005:$AQ$1005,1,MATCH(COLUMNS($AB$1006:AC1006),$AB$1006:$AQ$1006,0))&gt;=100000), " ",IF(INDEX($AB$2:$AQ$1001,MATCH(ROWS($U$2:U771),$U$2:$U$1001,0),MATCH(COLUMNS($AB$1006:AC1006),$AB$1006:$AQ$1006,0)), HYPERLINK("#",""), HYPERLINK(CONCATENATE("#Metadata!", ADDRESS(INDEX($W$2:$W$1001,MATCH(ROWS($U$2:U771),$U$2:$U$1001,0),0), INDEX($AB$1004:$AQ$1004,1,MATCH(COLUMNS($AB$1006:AC1006),$AB$1006:$AQ$1006,0)))),"Fix")))</f>
        <v>0</v>
      </c>
      <c r="D771" s="5">
        <f>IF(OR(INDEX($V$2:$V$1001,MATCH(ROWS($U$2:U771),$U$2:$U$1001,0),1)&gt;=100000,INDEX($AB$1005:$AQ$1005,1,MATCH(COLUMNS($AB$1006:AD1006),$AB$1006:$AQ$1006,0))&gt;=100000), " ",IF(INDEX($AB$2:$AQ$1001,MATCH(ROWS($U$2:U771),$U$2:$U$1001,0),MATCH(COLUMNS($AB$1006:AD1006),$AB$1006:$AQ$1006,0)), HYPERLINK("#",""), HYPERLINK(CONCATENATE("#Metadata!", ADDRESS(INDEX($W$2:$W$1001,MATCH(ROWS($U$2:U771),$U$2:$U$1001,0),0), INDEX($AB$1004:$AQ$1004,1,MATCH(COLUMNS($AB$1006:AD1006),$AB$1006:$AQ$1006,0)))),"Fix")))</f>
        <v>0</v>
      </c>
      <c r="E771" s="5">
        <f>IF(OR(INDEX($V$2:$V$1001,MATCH(ROWS($U$2:U771),$U$2:$U$1001,0),1)&gt;=100000,INDEX($AB$1005:$AQ$1005,1,MATCH(COLUMNS($AB$1006:AE1006),$AB$1006:$AQ$1006,0))&gt;=100000), " ",IF(INDEX($AB$2:$AQ$1001,MATCH(ROWS($U$2:U771),$U$2:$U$1001,0),MATCH(COLUMNS($AB$1006:AE1006),$AB$1006:$AQ$1006,0)), HYPERLINK("#",""), HYPERLINK(CONCATENATE("#Metadata!", ADDRESS(INDEX($W$2:$W$1001,MATCH(ROWS($U$2:U771),$U$2:$U$1001,0),0), INDEX($AB$1004:$AQ$1004,1,MATCH(COLUMNS($AB$1006:AE1006),$AB$1006:$AQ$1006,0)))),"Fix")))</f>
        <v>0</v>
      </c>
      <c r="F771" s="5">
        <f>IF(OR(INDEX($V$2:$V$1001,MATCH(ROWS($U$2:U771),$U$2:$U$1001,0),1)&gt;=100000,INDEX($AB$1005:$AQ$1005,1,MATCH(COLUMNS($AB$1006:AF1006),$AB$1006:$AQ$1006,0))&gt;=100000), " ",IF(INDEX($AB$2:$AQ$1001,MATCH(ROWS($U$2:U771),$U$2:$U$1001,0),MATCH(COLUMNS($AB$1006:AF1006),$AB$1006:$AQ$1006,0)), HYPERLINK("#",""), HYPERLINK(CONCATENATE("#Metadata!", ADDRESS(INDEX($W$2:$W$1001,MATCH(ROWS($U$2:U771),$U$2:$U$1001,0),0), INDEX($AB$1004:$AQ$1004,1,MATCH(COLUMNS($AB$1006:AF1006),$AB$1006:$AQ$1006,0)))),"Fix")))</f>
        <v>0</v>
      </c>
      <c r="G771" s="5">
        <f>IF(OR(INDEX($V$2:$V$1001,MATCH(ROWS($U$2:U771),$U$2:$U$1001,0),1)&gt;=100000,INDEX($AB$1005:$AQ$1005,1,MATCH(COLUMNS($AB$1006:AG1006),$AB$1006:$AQ$1006,0))&gt;=100000), " ",IF(INDEX($AB$2:$AQ$1001,MATCH(ROWS($U$2:U771),$U$2:$U$1001,0),MATCH(COLUMNS($AB$1006:AG1006),$AB$1006:$AQ$1006,0)), HYPERLINK("#",""), HYPERLINK(CONCATENATE("#Metadata!", ADDRESS(INDEX($W$2:$W$1001,MATCH(ROWS($U$2:U771),$U$2:$U$1001,0),0), INDEX($AB$1004:$AQ$1004,1,MATCH(COLUMNS($AB$1006:AG1006),$AB$1006:$AQ$1006,0)))),"Fix")))</f>
        <v>0</v>
      </c>
      <c r="H771" s="5">
        <f>IF(OR(INDEX($V$2:$V$1001,MATCH(ROWS($U$2:U771),$U$2:$U$1001,0),1)&gt;=100000,INDEX($AB$1005:$AQ$1005,1,MATCH(COLUMNS($AB$1006:AH1006),$AB$1006:$AQ$1006,0))&gt;=100000), " ",IF(INDEX($AB$2:$AQ$1001,MATCH(ROWS($U$2:U771),$U$2:$U$1001,0),MATCH(COLUMNS($AB$1006:AH1006),$AB$1006:$AQ$1006,0)), HYPERLINK("#",""), HYPERLINK(CONCATENATE("#Metadata!", ADDRESS(INDEX($W$2:$W$1001,MATCH(ROWS($U$2:U771),$U$2:$U$1001,0),0), INDEX($AB$1004:$AQ$1004,1,MATCH(COLUMNS($AB$1006:AH1006),$AB$1006:$AQ$1006,0)))),"Fix")))</f>
        <v>0</v>
      </c>
      <c r="I771" s="5">
        <f>IF(OR(INDEX($V$2:$V$1001,MATCH(ROWS($U$2:U771),$U$2:$U$1001,0),1)&gt;=100000,INDEX($AB$1005:$AQ$1005,1,MATCH(COLUMNS($AB$1006:AI1006),$AB$1006:$AQ$1006,0))&gt;=100000), " ",IF(INDEX($AB$2:$AQ$1001,MATCH(ROWS($U$2:U771),$U$2:$U$1001,0),MATCH(COLUMNS($AB$1006:AI1006),$AB$1006:$AQ$1006,0)), HYPERLINK("#",""), HYPERLINK(CONCATENATE("#Metadata!", ADDRESS(INDEX($W$2:$W$1001,MATCH(ROWS($U$2:U771),$U$2:$U$1001,0),0), INDEX($AB$1004:$AQ$1004,1,MATCH(COLUMNS($AB$1006:AI1006),$AB$1006:$AQ$1006,0)))),"Fix")))</f>
        <v>0</v>
      </c>
      <c r="J771" s="5">
        <f>IF(OR(INDEX($V$2:$V$1001,MATCH(ROWS($U$2:U771),$U$2:$U$1001,0),1)&gt;=100000,INDEX($AB$1005:$AQ$1005,1,MATCH(COLUMNS($AB$1006:AJ1006),$AB$1006:$AQ$1006,0))&gt;=100000), " ",IF(INDEX($AB$2:$AQ$1001,MATCH(ROWS($U$2:U771),$U$2:$U$1001,0),MATCH(COLUMNS($AB$1006:AJ1006),$AB$1006:$AQ$1006,0)), HYPERLINK("#",""), HYPERLINK(CONCATENATE("#Metadata!", ADDRESS(INDEX($W$2:$W$1001,MATCH(ROWS($U$2:U771),$U$2:$U$1001,0),0), INDEX($AB$1004:$AQ$1004,1,MATCH(COLUMNS($AB$1006:AJ1006),$AB$1006:$AQ$1006,0)))),"Fix")))</f>
        <v>0</v>
      </c>
      <c r="K771" s="5">
        <f>IF(OR(INDEX($V$2:$V$1001,MATCH(ROWS($U$2:U771),$U$2:$U$1001,0),1)&gt;=100000,INDEX($AB$1005:$AQ$1005,1,MATCH(COLUMNS($AB$1006:AK1006),$AB$1006:$AQ$1006,0))&gt;=100000), " ",IF(INDEX($AB$2:$AQ$1001,MATCH(ROWS($U$2:U771),$U$2:$U$1001,0),MATCH(COLUMNS($AB$1006:AK1006),$AB$1006:$AQ$1006,0)), HYPERLINK("#",""), HYPERLINK(CONCATENATE("#Metadata!", ADDRESS(INDEX($W$2:$W$1001,MATCH(ROWS($U$2:U771),$U$2:$U$1001,0),0), INDEX($AB$1004:$AQ$1004,1,MATCH(COLUMNS($AB$1006:AK1006),$AB$1006:$AQ$1006,0)))),"Fix")))</f>
        <v>0</v>
      </c>
      <c r="L771" s="5">
        <f>IF(OR(INDEX($V$2:$V$1001,MATCH(ROWS($U$2:U771),$U$2:$U$1001,0),1)&gt;=100000,INDEX($AB$1005:$AQ$1005,1,MATCH(COLUMNS($AB$1006:AL1006),$AB$1006:$AQ$1006,0))&gt;=100000), " ",IF(INDEX($AB$2:$AQ$1001,MATCH(ROWS($U$2:U771),$U$2:$U$1001,0),MATCH(COLUMNS($AB$1006:AL1006),$AB$1006:$AQ$1006,0)), HYPERLINK("#",""), HYPERLINK(CONCATENATE("#Metadata!", ADDRESS(INDEX($W$2:$W$1001,MATCH(ROWS($U$2:U771),$U$2:$U$1001,0),0), INDEX($AB$1004:$AQ$1004,1,MATCH(COLUMNS($AB$1006:AL1006),$AB$1006:$AQ$1006,0)))),"Fix")))</f>
        <v>0</v>
      </c>
      <c r="M771" s="5">
        <f>IF(OR(INDEX($V$2:$V$1001,MATCH(ROWS($U$2:U771),$U$2:$U$1001,0),1)&gt;=100000,INDEX($AB$1005:$AQ$1005,1,MATCH(COLUMNS($AB$1006:AM1006),$AB$1006:$AQ$1006,0))&gt;=100000), " ",IF(INDEX($AB$2:$AQ$1001,MATCH(ROWS($U$2:U771),$U$2:$U$1001,0),MATCH(COLUMNS($AB$1006:AM1006),$AB$1006:$AQ$1006,0)), HYPERLINK("#",""), HYPERLINK(CONCATENATE("#Metadata!", ADDRESS(INDEX($W$2:$W$1001,MATCH(ROWS($U$2:U771),$U$2:$U$1001,0),0), INDEX($AB$1004:$AQ$1004,1,MATCH(COLUMNS($AB$1006:AM1006),$AB$1006:$AQ$1006,0)))),"Fix")))</f>
        <v>0</v>
      </c>
      <c r="N771" s="5">
        <f>IF(OR(INDEX($V$2:$V$1001,MATCH(ROWS($U$2:U771),$U$2:$U$1001,0),1)&gt;=100000,INDEX($AB$1005:$AQ$1005,1,MATCH(COLUMNS($AB$1006:AN1006),$AB$1006:$AQ$1006,0))&gt;=100000), " ",IF(INDEX($AB$2:$AQ$1001,MATCH(ROWS($U$2:U771),$U$2:$U$1001,0),MATCH(COLUMNS($AB$1006:AN1006),$AB$1006:$AQ$1006,0)), HYPERLINK("#",""), HYPERLINK(CONCATENATE("#Metadata!", ADDRESS(INDEX($W$2:$W$1001,MATCH(ROWS($U$2:U771),$U$2:$U$1001,0),0), INDEX($AB$1004:$AQ$1004,1,MATCH(COLUMNS($AB$1006:AN1006),$AB$1006:$AQ$1006,0)))),"Fix")))</f>
        <v>0</v>
      </c>
      <c r="O771" s="5">
        <f>IF(OR(INDEX($V$2:$V$1001,MATCH(ROWS($U$2:U771),$U$2:$U$1001,0),1)&gt;=100000,INDEX($AB$1005:$AQ$1005,1,MATCH(COLUMNS($AB$1006:AO1006),$AB$1006:$AQ$1006,0))&gt;=100000), " ",IF(INDEX($AB$2:$AQ$1001,MATCH(ROWS($U$2:U771),$U$2:$U$1001,0),MATCH(COLUMNS($AB$1006:AO1006),$AB$1006:$AQ$1006,0)), HYPERLINK("#",""), HYPERLINK(CONCATENATE("#Metadata!", ADDRESS(INDEX($W$2:$W$1001,MATCH(ROWS($U$2:U771),$U$2:$U$1001,0),0), INDEX($AB$1004:$AQ$1004,1,MATCH(COLUMNS($AB$1006:AO1006),$AB$1006:$AQ$1006,0)))),"Fix")))</f>
        <v>0</v>
      </c>
      <c r="P771" s="5">
        <f>IF(OR(INDEX($V$2:$V$1001,MATCH(ROWS($U$2:U771),$U$2:$U$1001,0),1)&gt;=100000,INDEX($AB$1005:$AQ$1005,1,MATCH(COLUMNS($AB$1006:AP1006),$AB$1006:$AQ$1006,0))&gt;=100000), " ",IF(INDEX($AB$2:$AQ$1001,MATCH(ROWS($U$2:U771),$U$2:$U$1001,0),MATCH(COLUMNS($AB$1006:AP1006),$AB$1006:$AQ$1006,0)), HYPERLINK("#",""), HYPERLINK(CONCATENATE("#Metadata!", ADDRESS(INDEX($W$2:$W$1001,MATCH(ROWS($U$2:U771),$U$2:$U$1001,0),0), INDEX($AB$1004:$AQ$1004,1,MATCH(COLUMNS($AB$1006:AP1006),$AB$1006:$AQ$1006,0)))),"Fix")))</f>
        <v>0</v>
      </c>
      <c r="Q771" s="5">
        <f>IF(OR(INDEX($V$2:$V$1001,MATCH(ROWS($U$2:U771),$U$2:$U$1001,0),1)&gt;=100000,INDEX($AB$1005:$AQ$1005,1,MATCH(COLUMNS($AB$1006:AQ1006),$AB$1006:$AQ$1006,0))&gt;=100000), " ",IF(INDEX($AB$2:$AQ$1001,MATCH(ROWS($U$2:U771),$U$2:$U$1001,0),MATCH(COLUMNS($AB$1006:AQ1006),$AB$1006:$AQ$1006,0)), HYPERLINK("#",""), HYPERLINK(CONCATENATE("#Metadata!", ADDRESS(INDEX($W$2:$W$1001,MATCH(ROWS($U$2:U771),$U$2:$U$1001,0),0), INDEX($AB$1004:$AQ$1004,1,MATCH(COLUMNS($AB$1006:AQ1006),$AB$1006:$AQ$1006,0)))),"Fix")))</f>
        <v>0</v>
      </c>
      <c r="U771">
        <v>0</v>
      </c>
      <c r="V771">
        <v>0</v>
      </c>
      <c r="W771">
        <v>0</v>
      </c>
      <c r="X771">
        <f>IF(Y771,TRUE,AND(AB771:AQ771))</f>
        <v>0</v>
      </c>
      <c r="Y771">
        <f>COUNTBLANK(Metadata!B771:Q771)=COLUMNS(Metadata!B771:Q771)</f>
        <v>0</v>
      </c>
      <c r="Z771">
        <v>0</v>
      </c>
      <c r="AB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AC771">
        <f>AND(IF(Metadata!C771="",FALSE,TRUE),exact(Metadata!C771,"urban biome"))</f>
        <v>0</v>
      </c>
      <c r="AD771">
        <f>AND(IF(Metadata!D771="",FALSE,TRUE),exact(Metadata!D771,"human-associated habitat"))</f>
        <v>0</v>
      </c>
      <c r="AE771">
        <f>AND(IF(Metadata!E771="",FALSE,TRUE),OR(exact(Metadata!E771,"human-associated"),exact(Metadata!E771,"human-skin"),exact(Metadata!E771,"human-oral"),exact(Metadata!E771,"human-gut"),exact(Metadata!E771,"human-vaginal")))</f>
        <v>0</v>
      </c>
      <c r="AF771">
        <f>AND(IF(Metadata!F771="",FALSE,ISNUMBER(VALUE(Metadata!F771))),Metadata!F771&gt;0)</f>
        <v>0</v>
      </c>
      <c r="AG771">
        <f>AND(IF(Metadata!G771="",FALSE,TRUE),exact(Metadata!G771,"years"))</f>
        <v>0</v>
      </c>
      <c r="AH771">
        <f>OR(AND(IF(Metadata!H771="",FALSE,TRUE),OR(exact(Metadata!H771,"not applicable"),exact(Metadata!H771,"not collected"),exact(Metadata!H771,"not provided"),exact(Metadata!H771,"restricted access"))),AND(IF(Metadata!H771="",FALSE,ISNUMBER(VALUE(Metadata!H771))),Metadata!H771&gt;0))</f>
        <v>0</v>
      </c>
      <c r="AI771">
        <f>AND(IF(Metadata!I771="",FALSE,TRUE),exact(Metadata!I771,"human"))</f>
        <v>0</v>
      </c>
      <c r="AJ771">
        <f>AND(IF(Metadata!J771="",FALSE,ISNUMBER(VALUE(Metadata!J771))),Metadata!J771&gt;0)</f>
        <v>0</v>
      </c>
      <c r="AK771">
        <f>AND(IF(Metadata!K771="",FALSE,TRUE),exact(Metadata!K771,"cm"))</f>
        <v>0</v>
      </c>
      <c r="AL771">
        <f>AND(IF(Metadata!L771="",FALSE,TRUE),exact(Metadata!L771,"Homo sapiens"))</f>
        <v>0</v>
      </c>
      <c r="AM771">
        <f>AND(IF(Metadata!M771="",FALSE,TRUE),exact(Metadata!M771,"9606"))</f>
        <v>0</v>
      </c>
      <c r="AN771">
        <f>AND(IF(Metadata!N771="",FALSE,ISNUMBER(VALUE(Metadata!N771))),Metadata!N771&gt;0)</f>
        <v>0</v>
      </c>
      <c r="AO771">
        <f>AND(IF(Metadata!O771="",FALSE,TRUE),exact(Metadata!O771,"kg"))</f>
        <v>0</v>
      </c>
      <c r="AP771">
        <f>OR(AND(IF(Metadata!P771="",FALSE,TRUE),exact(Metadata!P771,"not provided")),IF(Metadata!P771="",FALSE,TRUE))</f>
        <v>0</v>
      </c>
      <c r="AQ771">
        <f>OR(AND(IF(Metadata!Q771="",FALSE,TRUE),exact(Metadata!Q771,"not provided")),IF(Metadata!Q771="",FALSE,TRUE))</f>
        <v>0</v>
      </c>
    </row>
    <row r="772" spans="1:43">
      <c r="A772" s="4">
        <f>IF(B772=" "," ",HYPERLINK(CONCATENATE("#metadata!",ADDRESS(INDEX($W$2:$W$1001,MATCH(ROWS($U$2:U772),$U$2:$U$1001,0),0),2)),INDEX($Z$2:$Z$1001,MATCH(ROWS($U$2:U772),$U$2:$U$1001,0),0)))</f>
        <v>0</v>
      </c>
      <c r="B772" s="5">
        <f>IF(OR(INDEX($V$2:$V$1001,MATCH(ROWS($U$2:U772),$U$2:$U$1001,0),1)&gt;=100000,INDEX($AB$1005:$AQ$1005,1,MATCH(COLUMNS($AB$1006:AB1006),$AB$1006:$AQ$1006,0))&gt;=100000), " ",IF(INDEX($AB$2:$AQ$1001,MATCH(ROWS($U$2:U772),$U$2:$U$1001,0),MATCH(COLUMNS($AB$1006:AB1006),$AB$1006:$AQ$1006,0)), HYPERLINK("#",""), HYPERLINK(CONCATENATE("#Metadata!", ADDRESS(INDEX($W$2:$W$1001,MATCH(ROWS($U$2:U772),$U$2:$U$1001,0),0), INDEX($AB$1004:$AQ$1004,1,MATCH(COLUMNS($AB$1006:AB1006),$AB$1006:$AQ$1006,0)))),"Fix")))</f>
        <v>0</v>
      </c>
      <c r="C772" s="5">
        <f>IF(OR(INDEX($V$2:$V$1001,MATCH(ROWS($U$2:U772),$U$2:$U$1001,0),1)&gt;=100000,INDEX($AB$1005:$AQ$1005,1,MATCH(COLUMNS($AB$1006:AC1006),$AB$1006:$AQ$1006,0))&gt;=100000), " ",IF(INDEX($AB$2:$AQ$1001,MATCH(ROWS($U$2:U772),$U$2:$U$1001,0),MATCH(COLUMNS($AB$1006:AC1006),$AB$1006:$AQ$1006,0)), HYPERLINK("#",""), HYPERLINK(CONCATENATE("#Metadata!", ADDRESS(INDEX($W$2:$W$1001,MATCH(ROWS($U$2:U772),$U$2:$U$1001,0),0), INDEX($AB$1004:$AQ$1004,1,MATCH(COLUMNS($AB$1006:AC1006),$AB$1006:$AQ$1006,0)))),"Fix")))</f>
        <v>0</v>
      </c>
      <c r="D772" s="5">
        <f>IF(OR(INDEX($V$2:$V$1001,MATCH(ROWS($U$2:U772),$U$2:$U$1001,0),1)&gt;=100000,INDEX($AB$1005:$AQ$1005,1,MATCH(COLUMNS($AB$1006:AD1006),$AB$1006:$AQ$1006,0))&gt;=100000), " ",IF(INDEX($AB$2:$AQ$1001,MATCH(ROWS($U$2:U772),$U$2:$U$1001,0),MATCH(COLUMNS($AB$1006:AD1006),$AB$1006:$AQ$1006,0)), HYPERLINK("#",""), HYPERLINK(CONCATENATE("#Metadata!", ADDRESS(INDEX($W$2:$W$1001,MATCH(ROWS($U$2:U772),$U$2:$U$1001,0),0), INDEX($AB$1004:$AQ$1004,1,MATCH(COLUMNS($AB$1006:AD1006),$AB$1006:$AQ$1006,0)))),"Fix")))</f>
        <v>0</v>
      </c>
      <c r="E772" s="5">
        <f>IF(OR(INDEX($V$2:$V$1001,MATCH(ROWS($U$2:U772),$U$2:$U$1001,0),1)&gt;=100000,INDEX($AB$1005:$AQ$1005,1,MATCH(COLUMNS($AB$1006:AE1006),$AB$1006:$AQ$1006,0))&gt;=100000), " ",IF(INDEX($AB$2:$AQ$1001,MATCH(ROWS($U$2:U772),$U$2:$U$1001,0),MATCH(COLUMNS($AB$1006:AE1006),$AB$1006:$AQ$1006,0)), HYPERLINK("#",""), HYPERLINK(CONCATENATE("#Metadata!", ADDRESS(INDEX($W$2:$W$1001,MATCH(ROWS($U$2:U772),$U$2:$U$1001,0),0), INDEX($AB$1004:$AQ$1004,1,MATCH(COLUMNS($AB$1006:AE1006),$AB$1006:$AQ$1006,0)))),"Fix")))</f>
        <v>0</v>
      </c>
      <c r="F772" s="5">
        <f>IF(OR(INDEX($V$2:$V$1001,MATCH(ROWS($U$2:U772),$U$2:$U$1001,0),1)&gt;=100000,INDEX($AB$1005:$AQ$1005,1,MATCH(COLUMNS($AB$1006:AF1006),$AB$1006:$AQ$1006,0))&gt;=100000), " ",IF(INDEX($AB$2:$AQ$1001,MATCH(ROWS($U$2:U772),$U$2:$U$1001,0),MATCH(COLUMNS($AB$1006:AF1006),$AB$1006:$AQ$1006,0)), HYPERLINK("#",""), HYPERLINK(CONCATENATE("#Metadata!", ADDRESS(INDEX($W$2:$W$1001,MATCH(ROWS($U$2:U772),$U$2:$U$1001,0),0), INDEX($AB$1004:$AQ$1004,1,MATCH(COLUMNS($AB$1006:AF1006),$AB$1006:$AQ$1006,0)))),"Fix")))</f>
        <v>0</v>
      </c>
      <c r="G772" s="5">
        <f>IF(OR(INDEX($V$2:$V$1001,MATCH(ROWS($U$2:U772),$U$2:$U$1001,0),1)&gt;=100000,INDEX($AB$1005:$AQ$1005,1,MATCH(COLUMNS($AB$1006:AG1006),$AB$1006:$AQ$1006,0))&gt;=100000), " ",IF(INDEX($AB$2:$AQ$1001,MATCH(ROWS($U$2:U772),$U$2:$U$1001,0),MATCH(COLUMNS($AB$1006:AG1006),$AB$1006:$AQ$1006,0)), HYPERLINK("#",""), HYPERLINK(CONCATENATE("#Metadata!", ADDRESS(INDEX($W$2:$W$1001,MATCH(ROWS($U$2:U772),$U$2:$U$1001,0),0), INDEX($AB$1004:$AQ$1004,1,MATCH(COLUMNS($AB$1006:AG1006),$AB$1006:$AQ$1006,0)))),"Fix")))</f>
        <v>0</v>
      </c>
      <c r="H772" s="5">
        <f>IF(OR(INDEX($V$2:$V$1001,MATCH(ROWS($U$2:U772),$U$2:$U$1001,0),1)&gt;=100000,INDEX($AB$1005:$AQ$1005,1,MATCH(COLUMNS($AB$1006:AH1006),$AB$1006:$AQ$1006,0))&gt;=100000), " ",IF(INDEX($AB$2:$AQ$1001,MATCH(ROWS($U$2:U772),$U$2:$U$1001,0),MATCH(COLUMNS($AB$1006:AH1006),$AB$1006:$AQ$1006,0)), HYPERLINK("#",""), HYPERLINK(CONCATENATE("#Metadata!", ADDRESS(INDEX($W$2:$W$1001,MATCH(ROWS($U$2:U772),$U$2:$U$1001,0),0), INDEX($AB$1004:$AQ$1004,1,MATCH(COLUMNS($AB$1006:AH1006),$AB$1006:$AQ$1006,0)))),"Fix")))</f>
        <v>0</v>
      </c>
      <c r="I772" s="5">
        <f>IF(OR(INDEX($V$2:$V$1001,MATCH(ROWS($U$2:U772),$U$2:$U$1001,0),1)&gt;=100000,INDEX($AB$1005:$AQ$1005,1,MATCH(COLUMNS($AB$1006:AI1006),$AB$1006:$AQ$1006,0))&gt;=100000), " ",IF(INDEX($AB$2:$AQ$1001,MATCH(ROWS($U$2:U772),$U$2:$U$1001,0),MATCH(COLUMNS($AB$1006:AI1006),$AB$1006:$AQ$1006,0)), HYPERLINK("#",""), HYPERLINK(CONCATENATE("#Metadata!", ADDRESS(INDEX($W$2:$W$1001,MATCH(ROWS($U$2:U772),$U$2:$U$1001,0),0), INDEX($AB$1004:$AQ$1004,1,MATCH(COLUMNS($AB$1006:AI1006),$AB$1006:$AQ$1006,0)))),"Fix")))</f>
        <v>0</v>
      </c>
      <c r="J772" s="5">
        <f>IF(OR(INDEX($V$2:$V$1001,MATCH(ROWS($U$2:U772),$U$2:$U$1001,0),1)&gt;=100000,INDEX($AB$1005:$AQ$1005,1,MATCH(COLUMNS($AB$1006:AJ1006),$AB$1006:$AQ$1006,0))&gt;=100000), " ",IF(INDEX($AB$2:$AQ$1001,MATCH(ROWS($U$2:U772),$U$2:$U$1001,0),MATCH(COLUMNS($AB$1006:AJ1006),$AB$1006:$AQ$1006,0)), HYPERLINK("#",""), HYPERLINK(CONCATENATE("#Metadata!", ADDRESS(INDEX($W$2:$W$1001,MATCH(ROWS($U$2:U772),$U$2:$U$1001,0),0), INDEX($AB$1004:$AQ$1004,1,MATCH(COLUMNS($AB$1006:AJ1006),$AB$1006:$AQ$1006,0)))),"Fix")))</f>
        <v>0</v>
      </c>
      <c r="K772" s="5">
        <f>IF(OR(INDEX($V$2:$V$1001,MATCH(ROWS($U$2:U772),$U$2:$U$1001,0),1)&gt;=100000,INDEX($AB$1005:$AQ$1005,1,MATCH(COLUMNS($AB$1006:AK1006),$AB$1006:$AQ$1006,0))&gt;=100000), " ",IF(INDEX($AB$2:$AQ$1001,MATCH(ROWS($U$2:U772),$U$2:$U$1001,0),MATCH(COLUMNS($AB$1006:AK1006),$AB$1006:$AQ$1006,0)), HYPERLINK("#",""), HYPERLINK(CONCATENATE("#Metadata!", ADDRESS(INDEX($W$2:$W$1001,MATCH(ROWS($U$2:U772),$U$2:$U$1001,0),0), INDEX($AB$1004:$AQ$1004,1,MATCH(COLUMNS($AB$1006:AK1006),$AB$1006:$AQ$1006,0)))),"Fix")))</f>
        <v>0</v>
      </c>
      <c r="L772" s="5">
        <f>IF(OR(INDEX($V$2:$V$1001,MATCH(ROWS($U$2:U772),$U$2:$U$1001,0),1)&gt;=100000,INDEX($AB$1005:$AQ$1005,1,MATCH(COLUMNS($AB$1006:AL1006),$AB$1006:$AQ$1006,0))&gt;=100000), " ",IF(INDEX($AB$2:$AQ$1001,MATCH(ROWS($U$2:U772),$U$2:$U$1001,0),MATCH(COLUMNS($AB$1006:AL1006),$AB$1006:$AQ$1006,0)), HYPERLINK("#",""), HYPERLINK(CONCATENATE("#Metadata!", ADDRESS(INDEX($W$2:$W$1001,MATCH(ROWS($U$2:U772),$U$2:$U$1001,0),0), INDEX($AB$1004:$AQ$1004,1,MATCH(COLUMNS($AB$1006:AL1006),$AB$1006:$AQ$1006,0)))),"Fix")))</f>
        <v>0</v>
      </c>
      <c r="M772" s="5">
        <f>IF(OR(INDEX($V$2:$V$1001,MATCH(ROWS($U$2:U772),$U$2:$U$1001,0),1)&gt;=100000,INDEX($AB$1005:$AQ$1005,1,MATCH(COLUMNS($AB$1006:AM1006),$AB$1006:$AQ$1006,0))&gt;=100000), " ",IF(INDEX($AB$2:$AQ$1001,MATCH(ROWS($U$2:U772),$U$2:$U$1001,0),MATCH(COLUMNS($AB$1006:AM1006),$AB$1006:$AQ$1006,0)), HYPERLINK("#",""), HYPERLINK(CONCATENATE("#Metadata!", ADDRESS(INDEX($W$2:$W$1001,MATCH(ROWS($U$2:U772),$U$2:$U$1001,0),0), INDEX($AB$1004:$AQ$1004,1,MATCH(COLUMNS($AB$1006:AM1006),$AB$1006:$AQ$1006,0)))),"Fix")))</f>
        <v>0</v>
      </c>
      <c r="N772" s="5">
        <f>IF(OR(INDEX($V$2:$V$1001,MATCH(ROWS($U$2:U772),$U$2:$U$1001,0),1)&gt;=100000,INDEX($AB$1005:$AQ$1005,1,MATCH(COLUMNS($AB$1006:AN1006),$AB$1006:$AQ$1006,0))&gt;=100000), " ",IF(INDEX($AB$2:$AQ$1001,MATCH(ROWS($U$2:U772),$U$2:$U$1001,0),MATCH(COLUMNS($AB$1006:AN1006),$AB$1006:$AQ$1006,0)), HYPERLINK("#",""), HYPERLINK(CONCATENATE("#Metadata!", ADDRESS(INDEX($W$2:$W$1001,MATCH(ROWS($U$2:U772),$U$2:$U$1001,0),0), INDEX($AB$1004:$AQ$1004,1,MATCH(COLUMNS($AB$1006:AN1006),$AB$1006:$AQ$1006,0)))),"Fix")))</f>
        <v>0</v>
      </c>
      <c r="O772" s="5">
        <f>IF(OR(INDEX($V$2:$V$1001,MATCH(ROWS($U$2:U772),$U$2:$U$1001,0),1)&gt;=100000,INDEX($AB$1005:$AQ$1005,1,MATCH(COLUMNS($AB$1006:AO1006),$AB$1006:$AQ$1006,0))&gt;=100000), " ",IF(INDEX($AB$2:$AQ$1001,MATCH(ROWS($U$2:U772),$U$2:$U$1001,0),MATCH(COLUMNS($AB$1006:AO1006),$AB$1006:$AQ$1006,0)), HYPERLINK("#",""), HYPERLINK(CONCATENATE("#Metadata!", ADDRESS(INDEX($W$2:$W$1001,MATCH(ROWS($U$2:U772),$U$2:$U$1001,0),0), INDEX($AB$1004:$AQ$1004,1,MATCH(COLUMNS($AB$1006:AO1006),$AB$1006:$AQ$1006,0)))),"Fix")))</f>
        <v>0</v>
      </c>
      <c r="P772" s="5">
        <f>IF(OR(INDEX($V$2:$V$1001,MATCH(ROWS($U$2:U772),$U$2:$U$1001,0),1)&gt;=100000,INDEX($AB$1005:$AQ$1005,1,MATCH(COLUMNS($AB$1006:AP1006),$AB$1006:$AQ$1006,0))&gt;=100000), " ",IF(INDEX($AB$2:$AQ$1001,MATCH(ROWS($U$2:U772),$U$2:$U$1001,0),MATCH(COLUMNS($AB$1006:AP1006),$AB$1006:$AQ$1006,0)), HYPERLINK("#",""), HYPERLINK(CONCATENATE("#Metadata!", ADDRESS(INDEX($W$2:$W$1001,MATCH(ROWS($U$2:U772),$U$2:$U$1001,0),0), INDEX($AB$1004:$AQ$1004,1,MATCH(COLUMNS($AB$1006:AP1006),$AB$1006:$AQ$1006,0)))),"Fix")))</f>
        <v>0</v>
      </c>
      <c r="Q772" s="5">
        <f>IF(OR(INDEX($V$2:$V$1001,MATCH(ROWS($U$2:U772),$U$2:$U$1001,0),1)&gt;=100000,INDEX($AB$1005:$AQ$1005,1,MATCH(COLUMNS($AB$1006:AQ1006),$AB$1006:$AQ$1006,0))&gt;=100000), " ",IF(INDEX($AB$2:$AQ$1001,MATCH(ROWS($U$2:U772),$U$2:$U$1001,0),MATCH(COLUMNS($AB$1006:AQ1006),$AB$1006:$AQ$1006,0)), HYPERLINK("#",""), HYPERLINK(CONCATENATE("#Metadata!", ADDRESS(INDEX($W$2:$W$1001,MATCH(ROWS($U$2:U772),$U$2:$U$1001,0),0), INDEX($AB$1004:$AQ$1004,1,MATCH(COLUMNS($AB$1006:AQ1006),$AB$1006:$AQ$1006,0)))),"Fix")))</f>
        <v>0</v>
      </c>
      <c r="U772">
        <v>0</v>
      </c>
      <c r="V772">
        <v>0</v>
      </c>
      <c r="W772">
        <v>0</v>
      </c>
      <c r="X772">
        <f>IF(Y772,TRUE,AND(AB772:AQ772))</f>
        <v>0</v>
      </c>
      <c r="Y772">
        <f>COUNTBLANK(Metadata!B772:Q772)=COLUMNS(Metadata!B772:Q772)</f>
        <v>0</v>
      </c>
      <c r="Z772">
        <v>0</v>
      </c>
      <c r="AB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AC772">
        <f>AND(IF(Metadata!C772="",FALSE,TRUE),exact(Metadata!C772,"urban biome"))</f>
        <v>0</v>
      </c>
      <c r="AD772">
        <f>AND(IF(Metadata!D772="",FALSE,TRUE),exact(Metadata!D772,"human-associated habitat"))</f>
        <v>0</v>
      </c>
      <c r="AE772">
        <f>AND(IF(Metadata!E772="",FALSE,TRUE),OR(exact(Metadata!E772,"human-associated"),exact(Metadata!E772,"human-skin"),exact(Metadata!E772,"human-oral"),exact(Metadata!E772,"human-gut"),exact(Metadata!E772,"human-vaginal")))</f>
        <v>0</v>
      </c>
      <c r="AF772">
        <f>AND(IF(Metadata!F772="",FALSE,ISNUMBER(VALUE(Metadata!F772))),Metadata!F772&gt;0)</f>
        <v>0</v>
      </c>
      <c r="AG772">
        <f>AND(IF(Metadata!G772="",FALSE,TRUE),exact(Metadata!G772,"years"))</f>
        <v>0</v>
      </c>
      <c r="AH772">
        <f>OR(AND(IF(Metadata!H772="",FALSE,TRUE),OR(exact(Metadata!H772,"not applicable"),exact(Metadata!H772,"not collected"),exact(Metadata!H772,"not provided"),exact(Metadata!H772,"restricted access"))),AND(IF(Metadata!H772="",FALSE,ISNUMBER(VALUE(Metadata!H772))),Metadata!H772&gt;0))</f>
        <v>0</v>
      </c>
      <c r="AI772">
        <f>AND(IF(Metadata!I772="",FALSE,TRUE),exact(Metadata!I772,"human"))</f>
        <v>0</v>
      </c>
      <c r="AJ772">
        <f>AND(IF(Metadata!J772="",FALSE,ISNUMBER(VALUE(Metadata!J772))),Metadata!J772&gt;0)</f>
        <v>0</v>
      </c>
      <c r="AK772">
        <f>AND(IF(Metadata!K772="",FALSE,TRUE),exact(Metadata!K772,"cm"))</f>
        <v>0</v>
      </c>
      <c r="AL772">
        <f>AND(IF(Metadata!L772="",FALSE,TRUE),exact(Metadata!L772,"Homo sapiens"))</f>
        <v>0</v>
      </c>
      <c r="AM772">
        <f>AND(IF(Metadata!M772="",FALSE,TRUE),exact(Metadata!M772,"9606"))</f>
        <v>0</v>
      </c>
      <c r="AN772">
        <f>AND(IF(Metadata!N772="",FALSE,ISNUMBER(VALUE(Metadata!N772))),Metadata!N772&gt;0)</f>
        <v>0</v>
      </c>
      <c r="AO772">
        <f>AND(IF(Metadata!O772="",FALSE,TRUE),exact(Metadata!O772,"kg"))</f>
        <v>0</v>
      </c>
      <c r="AP772">
        <f>OR(AND(IF(Metadata!P772="",FALSE,TRUE),exact(Metadata!P772,"not provided")),IF(Metadata!P772="",FALSE,TRUE))</f>
        <v>0</v>
      </c>
      <c r="AQ772">
        <f>OR(AND(IF(Metadata!Q772="",FALSE,TRUE),exact(Metadata!Q772,"not provided")),IF(Metadata!Q772="",FALSE,TRUE))</f>
        <v>0</v>
      </c>
    </row>
    <row r="773" spans="1:43">
      <c r="A773" s="4">
        <f>IF(B773=" "," ",HYPERLINK(CONCATENATE("#metadata!",ADDRESS(INDEX($W$2:$W$1001,MATCH(ROWS($U$2:U773),$U$2:$U$1001,0),0),2)),INDEX($Z$2:$Z$1001,MATCH(ROWS($U$2:U773),$U$2:$U$1001,0),0)))</f>
        <v>0</v>
      </c>
      <c r="B773" s="5">
        <f>IF(OR(INDEX($V$2:$V$1001,MATCH(ROWS($U$2:U773),$U$2:$U$1001,0),1)&gt;=100000,INDEX($AB$1005:$AQ$1005,1,MATCH(COLUMNS($AB$1006:AB1006),$AB$1006:$AQ$1006,0))&gt;=100000), " ",IF(INDEX($AB$2:$AQ$1001,MATCH(ROWS($U$2:U773),$U$2:$U$1001,0),MATCH(COLUMNS($AB$1006:AB1006),$AB$1006:$AQ$1006,0)), HYPERLINK("#",""), HYPERLINK(CONCATENATE("#Metadata!", ADDRESS(INDEX($W$2:$W$1001,MATCH(ROWS($U$2:U773),$U$2:$U$1001,0),0), INDEX($AB$1004:$AQ$1004,1,MATCH(COLUMNS($AB$1006:AB1006),$AB$1006:$AQ$1006,0)))),"Fix")))</f>
        <v>0</v>
      </c>
      <c r="C773" s="5">
        <f>IF(OR(INDEX($V$2:$V$1001,MATCH(ROWS($U$2:U773),$U$2:$U$1001,0),1)&gt;=100000,INDEX($AB$1005:$AQ$1005,1,MATCH(COLUMNS($AB$1006:AC1006),$AB$1006:$AQ$1006,0))&gt;=100000), " ",IF(INDEX($AB$2:$AQ$1001,MATCH(ROWS($U$2:U773),$U$2:$U$1001,0),MATCH(COLUMNS($AB$1006:AC1006),$AB$1006:$AQ$1006,0)), HYPERLINK("#",""), HYPERLINK(CONCATENATE("#Metadata!", ADDRESS(INDEX($W$2:$W$1001,MATCH(ROWS($U$2:U773),$U$2:$U$1001,0),0), INDEX($AB$1004:$AQ$1004,1,MATCH(COLUMNS($AB$1006:AC1006),$AB$1006:$AQ$1006,0)))),"Fix")))</f>
        <v>0</v>
      </c>
      <c r="D773" s="5">
        <f>IF(OR(INDEX($V$2:$V$1001,MATCH(ROWS($U$2:U773),$U$2:$U$1001,0),1)&gt;=100000,INDEX($AB$1005:$AQ$1005,1,MATCH(COLUMNS($AB$1006:AD1006),$AB$1006:$AQ$1006,0))&gt;=100000), " ",IF(INDEX($AB$2:$AQ$1001,MATCH(ROWS($U$2:U773),$U$2:$U$1001,0),MATCH(COLUMNS($AB$1006:AD1006),$AB$1006:$AQ$1006,0)), HYPERLINK("#",""), HYPERLINK(CONCATENATE("#Metadata!", ADDRESS(INDEX($W$2:$W$1001,MATCH(ROWS($U$2:U773),$U$2:$U$1001,0),0), INDEX($AB$1004:$AQ$1004,1,MATCH(COLUMNS($AB$1006:AD1006),$AB$1006:$AQ$1006,0)))),"Fix")))</f>
        <v>0</v>
      </c>
      <c r="E773" s="5">
        <f>IF(OR(INDEX($V$2:$V$1001,MATCH(ROWS($U$2:U773),$U$2:$U$1001,0),1)&gt;=100000,INDEX($AB$1005:$AQ$1005,1,MATCH(COLUMNS($AB$1006:AE1006),$AB$1006:$AQ$1006,0))&gt;=100000), " ",IF(INDEX($AB$2:$AQ$1001,MATCH(ROWS($U$2:U773),$U$2:$U$1001,0),MATCH(COLUMNS($AB$1006:AE1006),$AB$1006:$AQ$1006,0)), HYPERLINK("#",""), HYPERLINK(CONCATENATE("#Metadata!", ADDRESS(INDEX($W$2:$W$1001,MATCH(ROWS($U$2:U773),$U$2:$U$1001,0),0), INDEX($AB$1004:$AQ$1004,1,MATCH(COLUMNS($AB$1006:AE1006),$AB$1006:$AQ$1006,0)))),"Fix")))</f>
        <v>0</v>
      </c>
      <c r="F773" s="5">
        <f>IF(OR(INDEX($V$2:$V$1001,MATCH(ROWS($U$2:U773),$U$2:$U$1001,0),1)&gt;=100000,INDEX($AB$1005:$AQ$1005,1,MATCH(COLUMNS($AB$1006:AF1006),$AB$1006:$AQ$1006,0))&gt;=100000), " ",IF(INDEX($AB$2:$AQ$1001,MATCH(ROWS($U$2:U773),$U$2:$U$1001,0),MATCH(COLUMNS($AB$1006:AF1006),$AB$1006:$AQ$1006,0)), HYPERLINK("#",""), HYPERLINK(CONCATENATE("#Metadata!", ADDRESS(INDEX($W$2:$W$1001,MATCH(ROWS($U$2:U773),$U$2:$U$1001,0),0), INDEX($AB$1004:$AQ$1004,1,MATCH(COLUMNS($AB$1006:AF1006),$AB$1006:$AQ$1006,0)))),"Fix")))</f>
        <v>0</v>
      </c>
      <c r="G773" s="5">
        <f>IF(OR(INDEX($V$2:$V$1001,MATCH(ROWS($U$2:U773),$U$2:$U$1001,0),1)&gt;=100000,INDEX($AB$1005:$AQ$1005,1,MATCH(COLUMNS($AB$1006:AG1006),$AB$1006:$AQ$1006,0))&gt;=100000), " ",IF(INDEX($AB$2:$AQ$1001,MATCH(ROWS($U$2:U773),$U$2:$U$1001,0),MATCH(COLUMNS($AB$1006:AG1006),$AB$1006:$AQ$1006,0)), HYPERLINK("#",""), HYPERLINK(CONCATENATE("#Metadata!", ADDRESS(INDEX($W$2:$W$1001,MATCH(ROWS($U$2:U773),$U$2:$U$1001,0),0), INDEX($AB$1004:$AQ$1004,1,MATCH(COLUMNS($AB$1006:AG1006),$AB$1006:$AQ$1006,0)))),"Fix")))</f>
        <v>0</v>
      </c>
      <c r="H773" s="5">
        <f>IF(OR(INDEX($V$2:$V$1001,MATCH(ROWS($U$2:U773),$U$2:$U$1001,0),1)&gt;=100000,INDEX($AB$1005:$AQ$1005,1,MATCH(COLUMNS($AB$1006:AH1006),$AB$1006:$AQ$1006,0))&gt;=100000), " ",IF(INDEX($AB$2:$AQ$1001,MATCH(ROWS($U$2:U773),$U$2:$U$1001,0),MATCH(COLUMNS($AB$1006:AH1006),$AB$1006:$AQ$1006,0)), HYPERLINK("#",""), HYPERLINK(CONCATENATE("#Metadata!", ADDRESS(INDEX($W$2:$W$1001,MATCH(ROWS($U$2:U773),$U$2:$U$1001,0),0), INDEX($AB$1004:$AQ$1004,1,MATCH(COLUMNS($AB$1006:AH1006),$AB$1006:$AQ$1006,0)))),"Fix")))</f>
        <v>0</v>
      </c>
      <c r="I773" s="5">
        <f>IF(OR(INDEX($V$2:$V$1001,MATCH(ROWS($U$2:U773),$U$2:$U$1001,0),1)&gt;=100000,INDEX($AB$1005:$AQ$1005,1,MATCH(COLUMNS($AB$1006:AI1006),$AB$1006:$AQ$1006,0))&gt;=100000), " ",IF(INDEX($AB$2:$AQ$1001,MATCH(ROWS($U$2:U773),$U$2:$U$1001,0),MATCH(COLUMNS($AB$1006:AI1006),$AB$1006:$AQ$1006,0)), HYPERLINK("#",""), HYPERLINK(CONCATENATE("#Metadata!", ADDRESS(INDEX($W$2:$W$1001,MATCH(ROWS($U$2:U773),$U$2:$U$1001,0),0), INDEX($AB$1004:$AQ$1004,1,MATCH(COLUMNS($AB$1006:AI1006),$AB$1006:$AQ$1006,0)))),"Fix")))</f>
        <v>0</v>
      </c>
      <c r="J773" s="5">
        <f>IF(OR(INDEX($V$2:$V$1001,MATCH(ROWS($U$2:U773),$U$2:$U$1001,0),1)&gt;=100000,INDEX($AB$1005:$AQ$1005,1,MATCH(COLUMNS($AB$1006:AJ1006),$AB$1006:$AQ$1006,0))&gt;=100000), " ",IF(INDEX($AB$2:$AQ$1001,MATCH(ROWS($U$2:U773),$U$2:$U$1001,0),MATCH(COLUMNS($AB$1006:AJ1006),$AB$1006:$AQ$1006,0)), HYPERLINK("#",""), HYPERLINK(CONCATENATE("#Metadata!", ADDRESS(INDEX($W$2:$W$1001,MATCH(ROWS($U$2:U773),$U$2:$U$1001,0),0), INDEX($AB$1004:$AQ$1004,1,MATCH(COLUMNS($AB$1006:AJ1006),$AB$1006:$AQ$1006,0)))),"Fix")))</f>
        <v>0</v>
      </c>
      <c r="K773" s="5">
        <f>IF(OR(INDEX($V$2:$V$1001,MATCH(ROWS($U$2:U773),$U$2:$U$1001,0),1)&gt;=100000,INDEX($AB$1005:$AQ$1005,1,MATCH(COLUMNS($AB$1006:AK1006),$AB$1006:$AQ$1006,0))&gt;=100000), " ",IF(INDEX($AB$2:$AQ$1001,MATCH(ROWS($U$2:U773),$U$2:$U$1001,0),MATCH(COLUMNS($AB$1006:AK1006),$AB$1006:$AQ$1006,0)), HYPERLINK("#",""), HYPERLINK(CONCATENATE("#Metadata!", ADDRESS(INDEX($W$2:$W$1001,MATCH(ROWS($U$2:U773),$U$2:$U$1001,0),0), INDEX($AB$1004:$AQ$1004,1,MATCH(COLUMNS($AB$1006:AK1006),$AB$1006:$AQ$1006,0)))),"Fix")))</f>
        <v>0</v>
      </c>
      <c r="L773" s="5">
        <f>IF(OR(INDEX($V$2:$V$1001,MATCH(ROWS($U$2:U773),$U$2:$U$1001,0),1)&gt;=100000,INDEX($AB$1005:$AQ$1005,1,MATCH(COLUMNS($AB$1006:AL1006),$AB$1006:$AQ$1006,0))&gt;=100000), " ",IF(INDEX($AB$2:$AQ$1001,MATCH(ROWS($U$2:U773),$U$2:$U$1001,0),MATCH(COLUMNS($AB$1006:AL1006),$AB$1006:$AQ$1006,0)), HYPERLINK("#",""), HYPERLINK(CONCATENATE("#Metadata!", ADDRESS(INDEX($W$2:$W$1001,MATCH(ROWS($U$2:U773),$U$2:$U$1001,0),0), INDEX($AB$1004:$AQ$1004,1,MATCH(COLUMNS($AB$1006:AL1006),$AB$1006:$AQ$1006,0)))),"Fix")))</f>
        <v>0</v>
      </c>
      <c r="M773" s="5">
        <f>IF(OR(INDEX($V$2:$V$1001,MATCH(ROWS($U$2:U773),$U$2:$U$1001,0),1)&gt;=100000,INDEX($AB$1005:$AQ$1005,1,MATCH(COLUMNS($AB$1006:AM1006),$AB$1006:$AQ$1006,0))&gt;=100000), " ",IF(INDEX($AB$2:$AQ$1001,MATCH(ROWS($U$2:U773),$U$2:$U$1001,0),MATCH(COLUMNS($AB$1006:AM1006),$AB$1006:$AQ$1006,0)), HYPERLINK("#",""), HYPERLINK(CONCATENATE("#Metadata!", ADDRESS(INDEX($W$2:$W$1001,MATCH(ROWS($U$2:U773),$U$2:$U$1001,0),0), INDEX($AB$1004:$AQ$1004,1,MATCH(COLUMNS($AB$1006:AM1006),$AB$1006:$AQ$1006,0)))),"Fix")))</f>
        <v>0</v>
      </c>
      <c r="N773" s="5">
        <f>IF(OR(INDEX($V$2:$V$1001,MATCH(ROWS($U$2:U773),$U$2:$U$1001,0),1)&gt;=100000,INDEX($AB$1005:$AQ$1005,1,MATCH(COLUMNS($AB$1006:AN1006),$AB$1006:$AQ$1006,0))&gt;=100000), " ",IF(INDEX($AB$2:$AQ$1001,MATCH(ROWS($U$2:U773),$U$2:$U$1001,0),MATCH(COLUMNS($AB$1006:AN1006),$AB$1006:$AQ$1006,0)), HYPERLINK("#",""), HYPERLINK(CONCATENATE("#Metadata!", ADDRESS(INDEX($W$2:$W$1001,MATCH(ROWS($U$2:U773),$U$2:$U$1001,0),0), INDEX($AB$1004:$AQ$1004,1,MATCH(COLUMNS($AB$1006:AN1006),$AB$1006:$AQ$1006,0)))),"Fix")))</f>
        <v>0</v>
      </c>
      <c r="O773" s="5">
        <f>IF(OR(INDEX($V$2:$V$1001,MATCH(ROWS($U$2:U773),$U$2:$U$1001,0),1)&gt;=100000,INDEX($AB$1005:$AQ$1005,1,MATCH(COLUMNS($AB$1006:AO1006),$AB$1006:$AQ$1006,0))&gt;=100000), " ",IF(INDEX($AB$2:$AQ$1001,MATCH(ROWS($U$2:U773),$U$2:$U$1001,0),MATCH(COLUMNS($AB$1006:AO1006),$AB$1006:$AQ$1006,0)), HYPERLINK("#",""), HYPERLINK(CONCATENATE("#Metadata!", ADDRESS(INDEX($W$2:$W$1001,MATCH(ROWS($U$2:U773),$U$2:$U$1001,0),0), INDEX($AB$1004:$AQ$1004,1,MATCH(COLUMNS($AB$1006:AO1006),$AB$1006:$AQ$1006,0)))),"Fix")))</f>
        <v>0</v>
      </c>
      <c r="P773" s="5">
        <f>IF(OR(INDEX($V$2:$V$1001,MATCH(ROWS($U$2:U773),$U$2:$U$1001,0),1)&gt;=100000,INDEX($AB$1005:$AQ$1005,1,MATCH(COLUMNS($AB$1006:AP1006),$AB$1006:$AQ$1006,0))&gt;=100000), " ",IF(INDEX($AB$2:$AQ$1001,MATCH(ROWS($U$2:U773),$U$2:$U$1001,0),MATCH(COLUMNS($AB$1006:AP1006),$AB$1006:$AQ$1006,0)), HYPERLINK("#",""), HYPERLINK(CONCATENATE("#Metadata!", ADDRESS(INDEX($W$2:$W$1001,MATCH(ROWS($U$2:U773),$U$2:$U$1001,0),0), INDEX($AB$1004:$AQ$1004,1,MATCH(COLUMNS($AB$1006:AP1006),$AB$1006:$AQ$1006,0)))),"Fix")))</f>
        <v>0</v>
      </c>
      <c r="Q773" s="5">
        <f>IF(OR(INDEX($V$2:$V$1001,MATCH(ROWS($U$2:U773),$U$2:$U$1001,0),1)&gt;=100000,INDEX($AB$1005:$AQ$1005,1,MATCH(COLUMNS($AB$1006:AQ1006),$AB$1006:$AQ$1006,0))&gt;=100000), " ",IF(INDEX($AB$2:$AQ$1001,MATCH(ROWS($U$2:U773),$U$2:$U$1001,0),MATCH(COLUMNS($AB$1006:AQ1006),$AB$1006:$AQ$1006,0)), HYPERLINK("#",""), HYPERLINK(CONCATENATE("#Metadata!", ADDRESS(INDEX($W$2:$W$1001,MATCH(ROWS($U$2:U773),$U$2:$U$1001,0),0), INDEX($AB$1004:$AQ$1004,1,MATCH(COLUMNS($AB$1006:AQ1006),$AB$1006:$AQ$1006,0)))),"Fix")))</f>
        <v>0</v>
      </c>
      <c r="U773">
        <v>0</v>
      </c>
      <c r="V773">
        <v>0</v>
      </c>
      <c r="W773">
        <v>0</v>
      </c>
      <c r="X773">
        <f>IF(Y773,TRUE,AND(AB773:AQ773))</f>
        <v>0</v>
      </c>
      <c r="Y773">
        <f>COUNTBLANK(Metadata!B773:Q773)=COLUMNS(Metadata!B773:Q773)</f>
        <v>0</v>
      </c>
      <c r="Z773">
        <v>0</v>
      </c>
      <c r="AB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AC773">
        <f>AND(IF(Metadata!C773="",FALSE,TRUE),exact(Metadata!C773,"urban biome"))</f>
        <v>0</v>
      </c>
      <c r="AD773">
        <f>AND(IF(Metadata!D773="",FALSE,TRUE),exact(Metadata!D773,"human-associated habitat"))</f>
        <v>0</v>
      </c>
      <c r="AE773">
        <f>AND(IF(Metadata!E773="",FALSE,TRUE),OR(exact(Metadata!E773,"human-associated"),exact(Metadata!E773,"human-skin"),exact(Metadata!E773,"human-oral"),exact(Metadata!E773,"human-gut"),exact(Metadata!E773,"human-vaginal")))</f>
        <v>0</v>
      </c>
      <c r="AF773">
        <f>AND(IF(Metadata!F773="",FALSE,ISNUMBER(VALUE(Metadata!F773))),Metadata!F773&gt;0)</f>
        <v>0</v>
      </c>
      <c r="AG773">
        <f>AND(IF(Metadata!G773="",FALSE,TRUE),exact(Metadata!G773,"years"))</f>
        <v>0</v>
      </c>
      <c r="AH773">
        <f>OR(AND(IF(Metadata!H773="",FALSE,TRUE),OR(exact(Metadata!H773,"not applicable"),exact(Metadata!H773,"not collected"),exact(Metadata!H773,"not provided"),exact(Metadata!H773,"restricted access"))),AND(IF(Metadata!H773="",FALSE,ISNUMBER(VALUE(Metadata!H773))),Metadata!H773&gt;0))</f>
        <v>0</v>
      </c>
      <c r="AI773">
        <f>AND(IF(Metadata!I773="",FALSE,TRUE),exact(Metadata!I773,"human"))</f>
        <v>0</v>
      </c>
      <c r="AJ773">
        <f>AND(IF(Metadata!J773="",FALSE,ISNUMBER(VALUE(Metadata!J773))),Metadata!J773&gt;0)</f>
        <v>0</v>
      </c>
      <c r="AK773">
        <f>AND(IF(Metadata!K773="",FALSE,TRUE),exact(Metadata!K773,"cm"))</f>
        <v>0</v>
      </c>
      <c r="AL773">
        <f>AND(IF(Metadata!L773="",FALSE,TRUE),exact(Metadata!L773,"Homo sapiens"))</f>
        <v>0</v>
      </c>
      <c r="AM773">
        <f>AND(IF(Metadata!M773="",FALSE,TRUE),exact(Metadata!M773,"9606"))</f>
        <v>0</v>
      </c>
      <c r="AN773">
        <f>AND(IF(Metadata!N773="",FALSE,ISNUMBER(VALUE(Metadata!N773))),Metadata!N773&gt;0)</f>
        <v>0</v>
      </c>
      <c r="AO773">
        <f>AND(IF(Metadata!O773="",FALSE,TRUE),exact(Metadata!O773,"kg"))</f>
        <v>0</v>
      </c>
      <c r="AP773">
        <f>OR(AND(IF(Metadata!P773="",FALSE,TRUE),exact(Metadata!P773,"not provided")),IF(Metadata!P773="",FALSE,TRUE))</f>
        <v>0</v>
      </c>
      <c r="AQ773">
        <f>OR(AND(IF(Metadata!Q773="",FALSE,TRUE),exact(Metadata!Q773,"not provided")),IF(Metadata!Q773="",FALSE,TRUE))</f>
        <v>0</v>
      </c>
    </row>
    <row r="774" spans="1:43">
      <c r="A774" s="4">
        <f>IF(B774=" "," ",HYPERLINK(CONCATENATE("#metadata!",ADDRESS(INDEX($W$2:$W$1001,MATCH(ROWS($U$2:U774),$U$2:$U$1001,0),0),2)),INDEX($Z$2:$Z$1001,MATCH(ROWS($U$2:U774),$U$2:$U$1001,0),0)))</f>
        <v>0</v>
      </c>
      <c r="B774" s="5">
        <f>IF(OR(INDEX($V$2:$V$1001,MATCH(ROWS($U$2:U774),$U$2:$U$1001,0),1)&gt;=100000,INDEX($AB$1005:$AQ$1005,1,MATCH(COLUMNS($AB$1006:AB1006),$AB$1006:$AQ$1006,0))&gt;=100000), " ",IF(INDEX($AB$2:$AQ$1001,MATCH(ROWS($U$2:U774),$U$2:$U$1001,0),MATCH(COLUMNS($AB$1006:AB1006),$AB$1006:$AQ$1006,0)), HYPERLINK("#",""), HYPERLINK(CONCATENATE("#Metadata!", ADDRESS(INDEX($W$2:$W$1001,MATCH(ROWS($U$2:U774),$U$2:$U$1001,0),0), INDEX($AB$1004:$AQ$1004,1,MATCH(COLUMNS($AB$1006:AB1006),$AB$1006:$AQ$1006,0)))),"Fix")))</f>
        <v>0</v>
      </c>
      <c r="C774" s="5">
        <f>IF(OR(INDEX($V$2:$V$1001,MATCH(ROWS($U$2:U774),$U$2:$U$1001,0),1)&gt;=100000,INDEX($AB$1005:$AQ$1005,1,MATCH(COLUMNS($AB$1006:AC1006),$AB$1006:$AQ$1006,0))&gt;=100000), " ",IF(INDEX($AB$2:$AQ$1001,MATCH(ROWS($U$2:U774),$U$2:$U$1001,0),MATCH(COLUMNS($AB$1006:AC1006),$AB$1006:$AQ$1006,0)), HYPERLINK("#",""), HYPERLINK(CONCATENATE("#Metadata!", ADDRESS(INDEX($W$2:$W$1001,MATCH(ROWS($U$2:U774),$U$2:$U$1001,0),0), INDEX($AB$1004:$AQ$1004,1,MATCH(COLUMNS($AB$1006:AC1006),$AB$1006:$AQ$1006,0)))),"Fix")))</f>
        <v>0</v>
      </c>
      <c r="D774" s="5">
        <f>IF(OR(INDEX($V$2:$V$1001,MATCH(ROWS($U$2:U774),$U$2:$U$1001,0),1)&gt;=100000,INDEX($AB$1005:$AQ$1005,1,MATCH(COLUMNS($AB$1006:AD1006),$AB$1006:$AQ$1006,0))&gt;=100000), " ",IF(INDEX($AB$2:$AQ$1001,MATCH(ROWS($U$2:U774),$U$2:$U$1001,0),MATCH(COLUMNS($AB$1006:AD1006),$AB$1006:$AQ$1006,0)), HYPERLINK("#",""), HYPERLINK(CONCATENATE("#Metadata!", ADDRESS(INDEX($W$2:$W$1001,MATCH(ROWS($U$2:U774),$U$2:$U$1001,0),0), INDEX($AB$1004:$AQ$1004,1,MATCH(COLUMNS($AB$1006:AD1006),$AB$1006:$AQ$1006,0)))),"Fix")))</f>
        <v>0</v>
      </c>
      <c r="E774" s="5">
        <f>IF(OR(INDEX($V$2:$V$1001,MATCH(ROWS($U$2:U774),$U$2:$U$1001,0),1)&gt;=100000,INDEX($AB$1005:$AQ$1005,1,MATCH(COLUMNS($AB$1006:AE1006),$AB$1006:$AQ$1006,0))&gt;=100000), " ",IF(INDEX($AB$2:$AQ$1001,MATCH(ROWS($U$2:U774),$U$2:$U$1001,0),MATCH(COLUMNS($AB$1006:AE1006),$AB$1006:$AQ$1006,0)), HYPERLINK("#",""), HYPERLINK(CONCATENATE("#Metadata!", ADDRESS(INDEX($W$2:$W$1001,MATCH(ROWS($U$2:U774),$U$2:$U$1001,0),0), INDEX($AB$1004:$AQ$1004,1,MATCH(COLUMNS($AB$1006:AE1006),$AB$1006:$AQ$1006,0)))),"Fix")))</f>
        <v>0</v>
      </c>
      <c r="F774" s="5">
        <f>IF(OR(INDEX($V$2:$V$1001,MATCH(ROWS($U$2:U774),$U$2:$U$1001,0),1)&gt;=100000,INDEX($AB$1005:$AQ$1005,1,MATCH(COLUMNS($AB$1006:AF1006),$AB$1006:$AQ$1006,0))&gt;=100000), " ",IF(INDEX($AB$2:$AQ$1001,MATCH(ROWS($U$2:U774),$U$2:$U$1001,0),MATCH(COLUMNS($AB$1006:AF1006),$AB$1006:$AQ$1006,0)), HYPERLINK("#",""), HYPERLINK(CONCATENATE("#Metadata!", ADDRESS(INDEX($W$2:$W$1001,MATCH(ROWS($U$2:U774),$U$2:$U$1001,0),0), INDEX($AB$1004:$AQ$1004,1,MATCH(COLUMNS($AB$1006:AF1006),$AB$1006:$AQ$1006,0)))),"Fix")))</f>
        <v>0</v>
      </c>
      <c r="G774" s="5">
        <f>IF(OR(INDEX($V$2:$V$1001,MATCH(ROWS($U$2:U774),$U$2:$U$1001,0),1)&gt;=100000,INDEX($AB$1005:$AQ$1005,1,MATCH(COLUMNS($AB$1006:AG1006),$AB$1006:$AQ$1006,0))&gt;=100000), " ",IF(INDEX($AB$2:$AQ$1001,MATCH(ROWS($U$2:U774),$U$2:$U$1001,0),MATCH(COLUMNS($AB$1006:AG1006),$AB$1006:$AQ$1006,0)), HYPERLINK("#",""), HYPERLINK(CONCATENATE("#Metadata!", ADDRESS(INDEX($W$2:$W$1001,MATCH(ROWS($U$2:U774),$U$2:$U$1001,0),0), INDEX($AB$1004:$AQ$1004,1,MATCH(COLUMNS($AB$1006:AG1006),$AB$1006:$AQ$1006,0)))),"Fix")))</f>
        <v>0</v>
      </c>
      <c r="H774" s="5">
        <f>IF(OR(INDEX($V$2:$V$1001,MATCH(ROWS($U$2:U774),$U$2:$U$1001,0),1)&gt;=100000,INDEX($AB$1005:$AQ$1005,1,MATCH(COLUMNS($AB$1006:AH1006),$AB$1006:$AQ$1006,0))&gt;=100000), " ",IF(INDEX($AB$2:$AQ$1001,MATCH(ROWS($U$2:U774),$U$2:$U$1001,0),MATCH(COLUMNS($AB$1006:AH1006),$AB$1006:$AQ$1006,0)), HYPERLINK("#",""), HYPERLINK(CONCATENATE("#Metadata!", ADDRESS(INDEX($W$2:$W$1001,MATCH(ROWS($U$2:U774),$U$2:$U$1001,0),0), INDEX($AB$1004:$AQ$1004,1,MATCH(COLUMNS($AB$1006:AH1006),$AB$1006:$AQ$1006,0)))),"Fix")))</f>
        <v>0</v>
      </c>
      <c r="I774" s="5">
        <f>IF(OR(INDEX($V$2:$V$1001,MATCH(ROWS($U$2:U774),$U$2:$U$1001,0),1)&gt;=100000,INDEX($AB$1005:$AQ$1005,1,MATCH(COLUMNS($AB$1006:AI1006),$AB$1006:$AQ$1006,0))&gt;=100000), " ",IF(INDEX($AB$2:$AQ$1001,MATCH(ROWS($U$2:U774),$U$2:$U$1001,0),MATCH(COLUMNS($AB$1006:AI1006),$AB$1006:$AQ$1006,0)), HYPERLINK("#",""), HYPERLINK(CONCATENATE("#Metadata!", ADDRESS(INDEX($W$2:$W$1001,MATCH(ROWS($U$2:U774),$U$2:$U$1001,0),0), INDEX($AB$1004:$AQ$1004,1,MATCH(COLUMNS($AB$1006:AI1006),$AB$1006:$AQ$1006,0)))),"Fix")))</f>
        <v>0</v>
      </c>
      <c r="J774" s="5">
        <f>IF(OR(INDEX($V$2:$V$1001,MATCH(ROWS($U$2:U774),$U$2:$U$1001,0),1)&gt;=100000,INDEX($AB$1005:$AQ$1005,1,MATCH(COLUMNS($AB$1006:AJ1006),$AB$1006:$AQ$1006,0))&gt;=100000), " ",IF(INDEX($AB$2:$AQ$1001,MATCH(ROWS($U$2:U774),$U$2:$U$1001,0),MATCH(COLUMNS($AB$1006:AJ1006),$AB$1006:$AQ$1006,0)), HYPERLINK("#",""), HYPERLINK(CONCATENATE("#Metadata!", ADDRESS(INDEX($W$2:$W$1001,MATCH(ROWS($U$2:U774),$U$2:$U$1001,0),0), INDEX($AB$1004:$AQ$1004,1,MATCH(COLUMNS($AB$1006:AJ1006),$AB$1006:$AQ$1006,0)))),"Fix")))</f>
        <v>0</v>
      </c>
      <c r="K774" s="5">
        <f>IF(OR(INDEX($V$2:$V$1001,MATCH(ROWS($U$2:U774),$U$2:$U$1001,0),1)&gt;=100000,INDEX($AB$1005:$AQ$1005,1,MATCH(COLUMNS($AB$1006:AK1006),$AB$1006:$AQ$1006,0))&gt;=100000), " ",IF(INDEX($AB$2:$AQ$1001,MATCH(ROWS($U$2:U774),$U$2:$U$1001,0),MATCH(COLUMNS($AB$1006:AK1006),$AB$1006:$AQ$1006,0)), HYPERLINK("#",""), HYPERLINK(CONCATENATE("#Metadata!", ADDRESS(INDEX($W$2:$W$1001,MATCH(ROWS($U$2:U774),$U$2:$U$1001,0),0), INDEX($AB$1004:$AQ$1004,1,MATCH(COLUMNS($AB$1006:AK1006),$AB$1006:$AQ$1006,0)))),"Fix")))</f>
        <v>0</v>
      </c>
      <c r="L774" s="5">
        <f>IF(OR(INDEX($V$2:$V$1001,MATCH(ROWS($U$2:U774),$U$2:$U$1001,0),1)&gt;=100000,INDEX($AB$1005:$AQ$1005,1,MATCH(COLUMNS($AB$1006:AL1006),$AB$1006:$AQ$1006,0))&gt;=100000), " ",IF(INDEX($AB$2:$AQ$1001,MATCH(ROWS($U$2:U774),$U$2:$U$1001,0),MATCH(COLUMNS($AB$1006:AL1006),$AB$1006:$AQ$1006,0)), HYPERLINK("#",""), HYPERLINK(CONCATENATE("#Metadata!", ADDRESS(INDEX($W$2:$W$1001,MATCH(ROWS($U$2:U774),$U$2:$U$1001,0),0), INDEX($AB$1004:$AQ$1004,1,MATCH(COLUMNS($AB$1006:AL1006),$AB$1006:$AQ$1006,0)))),"Fix")))</f>
        <v>0</v>
      </c>
      <c r="M774" s="5">
        <f>IF(OR(INDEX($V$2:$V$1001,MATCH(ROWS($U$2:U774),$U$2:$U$1001,0),1)&gt;=100000,INDEX($AB$1005:$AQ$1005,1,MATCH(COLUMNS($AB$1006:AM1006),$AB$1006:$AQ$1006,0))&gt;=100000), " ",IF(INDEX($AB$2:$AQ$1001,MATCH(ROWS($U$2:U774),$U$2:$U$1001,0),MATCH(COLUMNS($AB$1006:AM1006),$AB$1006:$AQ$1006,0)), HYPERLINK("#",""), HYPERLINK(CONCATENATE("#Metadata!", ADDRESS(INDEX($W$2:$W$1001,MATCH(ROWS($U$2:U774),$U$2:$U$1001,0),0), INDEX($AB$1004:$AQ$1004,1,MATCH(COLUMNS($AB$1006:AM1006),$AB$1006:$AQ$1006,0)))),"Fix")))</f>
        <v>0</v>
      </c>
      <c r="N774" s="5">
        <f>IF(OR(INDEX($V$2:$V$1001,MATCH(ROWS($U$2:U774),$U$2:$U$1001,0),1)&gt;=100000,INDEX($AB$1005:$AQ$1005,1,MATCH(COLUMNS($AB$1006:AN1006),$AB$1006:$AQ$1006,0))&gt;=100000), " ",IF(INDEX($AB$2:$AQ$1001,MATCH(ROWS($U$2:U774),$U$2:$U$1001,0),MATCH(COLUMNS($AB$1006:AN1006),$AB$1006:$AQ$1006,0)), HYPERLINK("#",""), HYPERLINK(CONCATENATE("#Metadata!", ADDRESS(INDEX($W$2:$W$1001,MATCH(ROWS($U$2:U774),$U$2:$U$1001,0),0), INDEX($AB$1004:$AQ$1004,1,MATCH(COLUMNS($AB$1006:AN1006),$AB$1006:$AQ$1006,0)))),"Fix")))</f>
        <v>0</v>
      </c>
      <c r="O774" s="5">
        <f>IF(OR(INDEX($V$2:$V$1001,MATCH(ROWS($U$2:U774),$U$2:$U$1001,0),1)&gt;=100000,INDEX($AB$1005:$AQ$1005,1,MATCH(COLUMNS($AB$1006:AO1006),$AB$1006:$AQ$1006,0))&gt;=100000), " ",IF(INDEX($AB$2:$AQ$1001,MATCH(ROWS($U$2:U774),$U$2:$U$1001,0),MATCH(COLUMNS($AB$1006:AO1006),$AB$1006:$AQ$1006,0)), HYPERLINK("#",""), HYPERLINK(CONCATENATE("#Metadata!", ADDRESS(INDEX($W$2:$W$1001,MATCH(ROWS($U$2:U774),$U$2:$U$1001,0),0), INDEX($AB$1004:$AQ$1004,1,MATCH(COLUMNS($AB$1006:AO1006),$AB$1006:$AQ$1006,0)))),"Fix")))</f>
        <v>0</v>
      </c>
      <c r="P774" s="5">
        <f>IF(OR(INDEX($V$2:$V$1001,MATCH(ROWS($U$2:U774),$U$2:$U$1001,0),1)&gt;=100000,INDEX($AB$1005:$AQ$1005,1,MATCH(COLUMNS($AB$1006:AP1006),$AB$1006:$AQ$1006,0))&gt;=100000), " ",IF(INDEX($AB$2:$AQ$1001,MATCH(ROWS($U$2:U774),$U$2:$U$1001,0),MATCH(COLUMNS($AB$1006:AP1006),$AB$1006:$AQ$1006,0)), HYPERLINK("#",""), HYPERLINK(CONCATENATE("#Metadata!", ADDRESS(INDEX($W$2:$W$1001,MATCH(ROWS($U$2:U774),$U$2:$U$1001,0),0), INDEX($AB$1004:$AQ$1004,1,MATCH(COLUMNS($AB$1006:AP1006),$AB$1006:$AQ$1006,0)))),"Fix")))</f>
        <v>0</v>
      </c>
      <c r="Q774" s="5">
        <f>IF(OR(INDEX($V$2:$V$1001,MATCH(ROWS($U$2:U774),$U$2:$U$1001,0),1)&gt;=100000,INDEX($AB$1005:$AQ$1005,1,MATCH(COLUMNS($AB$1006:AQ1006),$AB$1006:$AQ$1006,0))&gt;=100000), " ",IF(INDEX($AB$2:$AQ$1001,MATCH(ROWS($U$2:U774),$U$2:$U$1001,0),MATCH(COLUMNS($AB$1006:AQ1006),$AB$1006:$AQ$1006,0)), HYPERLINK("#",""), HYPERLINK(CONCATENATE("#Metadata!", ADDRESS(INDEX($W$2:$W$1001,MATCH(ROWS($U$2:U774),$U$2:$U$1001,0),0), INDEX($AB$1004:$AQ$1004,1,MATCH(COLUMNS($AB$1006:AQ1006),$AB$1006:$AQ$1006,0)))),"Fix")))</f>
        <v>0</v>
      </c>
      <c r="U774">
        <v>0</v>
      </c>
      <c r="V774">
        <v>0</v>
      </c>
      <c r="W774">
        <v>0</v>
      </c>
      <c r="X774">
        <f>IF(Y774,TRUE,AND(AB774:AQ774))</f>
        <v>0</v>
      </c>
      <c r="Y774">
        <f>COUNTBLANK(Metadata!B774:Q774)=COLUMNS(Metadata!B774:Q774)</f>
        <v>0</v>
      </c>
      <c r="Z774">
        <v>0</v>
      </c>
      <c r="AB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AC774">
        <f>AND(IF(Metadata!C774="",FALSE,TRUE),exact(Metadata!C774,"urban biome"))</f>
        <v>0</v>
      </c>
      <c r="AD774">
        <f>AND(IF(Metadata!D774="",FALSE,TRUE),exact(Metadata!D774,"human-associated habitat"))</f>
        <v>0</v>
      </c>
      <c r="AE774">
        <f>AND(IF(Metadata!E774="",FALSE,TRUE),OR(exact(Metadata!E774,"human-associated"),exact(Metadata!E774,"human-skin"),exact(Metadata!E774,"human-oral"),exact(Metadata!E774,"human-gut"),exact(Metadata!E774,"human-vaginal")))</f>
        <v>0</v>
      </c>
      <c r="AF774">
        <f>AND(IF(Metadata!F774="",FALSE,ISNUMBER(VALUE(Metadata!F774))),Metadata!F774&gt;0)</f>
        <v>0</v>
      </c>
      <c r="AG774">
        <f>AND(IF(Metadata!G774="",FALSE,TRUE),exact(Metadata!G774,"years"))</f>
        <v>0</v>
      </c>
      <c r="AH774">
        <f>OR(AND(IF(Metadata!H774="",FALSE,TRUE),OR(exact(Metadata!H774,"not applicable"),exact(Metadata!H774,"not collected"),exact(Metadata!H774,"not provided"),exact(Metadata!H774,"restricted access"))),AND(IF(Metadata!H774="",FALSE,ISNUMBER(VALUE(Metadata!H774))),Metadata!H774&gt;0))</f>
        <v>0</v>
      </c>
      <c r="AI774">
        <f>AND(IF(Metadata!I774="",FALSE,TRUE),exact(Metadata!I774,"human"))</f>
        <v>0</v>
      </c>
      <c r="AJ774">
        <f>AND(IF(Metadata!J774="",FALSE,ISNUMBER(VALUE(Metadata!J774))),Metadata!J774&gt;0)</f>
        <v>0</v>
      </c>
      <c r="AK774">
        <f>AND(IF(Metadata!K774="",FALSE,TRUE),exact(Metadata!K774,"cm"))</f>
        <v>0</v>
      </c>
      <c r="AL774">
        <f>AND(IF(Metadata!L774="",FALSE,TRUE),exact(Metadata!L774,"Homo sapiens"))</f>
        <v>0</v>
      </c>
      <c r="AM774">
        <f>AND(IF(Metadata!M774="",FALSE,TRUE),exact(Metadata!M774,"9606"))</f>
        <v>0</v>
      </c>
      <c r="AN774">
        <f>AND(IF(Metadata!N774="",FALSE,ISNUMBER(VALUE(Metadata!N774))),Metadata!N774&gt;0)</f>
        <v>0</v>
      </c>
      <c r="AO774">
        <f>AND(IF(Metadata!O774="",FALSE,TRUE),exact(Metadata!O774,"kg"))</f>
        <v>0</v>
      </c>
      <c r="AP774">
        <f>OR(AND(IF(Metadata!P774="",FALSE,TRUE),exact(Metadata!P774,"not provided")),IF(Metadata!P774="",FALSE,TRUE))</f>
        <v>0</v>
      </c>
      <c r="AQ774">
        <f>OR(AND(IF(Metadata!Q774="",FALSE,TRUE),exact(Metadata!Q774,"not provided")),IF(Metadata!Q774="",FALSE,TRUE))</f>
        <v>0</v>
      </c>
    </row>
    <row r="775" spans="1:43">
      <c r="A775" s="4">
        <f>IF(B775=" "," ",HYPERLINK(CONCATENATE("#metadata!",ADDRESS(INDEX($W$2:$W$1001,MATCH(ROWS($U$2:U775),$U$2:$U$1001,0),0),2)),INDEX($Z$2:$Z$1001,MATCH(ROWS($U$2:U775),$U$2:$U$1001,0),0)))</f>
        <v>0</v>
      </c>
      <c r="B775" s="5">
        <f>IF(OR(INDEX($V$2:$V$1001,MATCH(ROWS($U$2:U775),$U$2:$U$1001,0),1)&gt;=100000,INDEX($AB$1005:$AQ$1005,1,MATCH(COLUMNS($AB$1006:AB1006),$AB$1006:$AQ$1006,0))&gt;=100000), " ",IF(INDEX($AB$2:$AQ$1001,MATCH(ROWS($U$2:U775),$U$2:$U$1001,0),MATCH(COLUMNS($AB$1006:AB1006),$AB$1006:$AQ$1006,0)), HYPERLINK("#",""), HYPERLINK(CONCATENATE("#Metadata!", ADDRESS(INDEX($W$2:$W$1001,MATCH(ROWS($U$2:U775),$U$2:$U$1001,0),0), INDEX($AB$1004:$AQ$1004,1,MATCH(COLUMNS($AB$1006:AB1006),$AB$1006:$AQ$1006,0)))),"Fix")))</f>
        <v>0</v>
      </c>
      <c r="C775" s="5">
        <f>IF(OR(INDEX($V$2:$V$1001,MATCH(ROWS($U$2:U775),$U$2:$U$1001,0),1)&gt;=100000,INDEX($AB$1005:$AQ$1005,1,MATCH(COLUMNS($AB$1006:AC1006),$AB$1006:$AQ$1006,0))&gt;=100000), " ",IF(INDEX($AB$2:$AQ$1001,MATCH(ROWS($U$2:U775),$U$2:$U$1001,0),MATCH(COLUMNS($AB$1006:AC1006),$AB$1006:$AQ$1006,0)), HYPERLINK("#",""), HYPERLINK(CONCATENATE("#Metadata!", ADDRESS(INDEX($W$2:$W$1001,MATCH(ROWS($U$2:U775),$U$2:$U$1001,0),0), INDEX($AB$1004:$AQ$1004,1,MATCH(COLUMNS($AB$1006:AC1006),$AB$1006:$AQ$1006,0)))),"Fix")))</f>
        <v>0</v>
      </c>
      <c r="D775" s="5">
        <f>IF(OR(INDEX($V$2:$V$1001,MATCH(ROWS($U$2:U775),$U$2:$U$1001,0),1)&gt;=100000,INDEX($AB$1005:$AQ$1005,1,MATCH(COLUMNS($AB$1006:AD1006),$AB$1006:$AQ$1006,0))&gt;=100000), " ",IF(INDEX($AB$2:$AQ$1001,MATCH(ROWS($U$2:U775),$U$2:$U$1001,0),MATCH(COLUMNS($AB$1006:AD1006),$AB$1006:$AQ$1006,0)), HYPERLINK("#",""), HYPERLINK(CONCATENATE("#Metadata!", ADDRESS(INDEX($W$2:$W$1001,MATCH(ROWS($U$2:U775),$U$2:$U$1001,0),0), INDEX($AB$1004:$AQ$1004,1,MATCH(COLUMNS($AB$1006:AD1006),$AB$1006:$AQ$1006,0)))),"Fix")))</f>
        <v>0</v>
      </c>
      <c r="E775" s="5">
        <f>IF(OR(INDEX($V$2:$V$1001,MATCH(ROWS($U$2:U775),$U$2:$U$1001,0),1)&gt;=100000,INDEX($AB$1005:$AQ$1005,1,MATCH(COLUMNS($AB$1006:AE1006),$AB$1006:$AQ$1006,0))&gt;=100000), " ",IF(INDEX($AB$2:$AQ$1001,MATCH(ROWS($U$2:U775),$U$2:$U$1001,0),MATCH(COLUMNS($AB$1006:AE1006),$AB$1006:$AQ$1006,0)), HYPERLINK("#",""), HYPERLINK(CONCATENATE("#Metadata!", ADDRESS(INDEX($W$2:$W$1001,MATCH(ROWS($U$2:U775),$U$2:$U$1001,0),0), INDEX($AB$1004:$AQ$1004,1,MATCH(COLUMNS($AB$1006:AE1006),$AB$1006:$AQ$1006,0)))),"Fix")))</f>
        <v>0</v>
      </c>
      <c r="F775" s="5">
        <f>IF(OR(INDEX($V$2:$V$1001,MATCH(ROWS($U$2:U775),$U$2:$U$1001,0),1)&gt;=100000,INDEX($AB$1005:$AQ$1005,1,MATCH(COLUMNS($AB$1006:AF1006),$AB$1006:$AQ$1006,0))&gt;=100000), " ",IF(INDEX($AB$2:$AQ$1001,MATCH(ROWS($U$2:U775),$U$2:$U$1001,0),MATCH(COLUMNS($AB$1006:AF1006),$AB$1006:$AQ$1006,0)), HYPERLINK("#",""), HYPERLINK(CONCATENATE("#Metadata!", ADDRESS(INDEX($W$2:$W$1001,MATCH(ROWS($U$2:U775),$U$2:$U$1001,0),0), INDEX($AB$1004:$AQ$1004,1,MATCH(COLUMNS($AB$1006:AF1006),$AB$1006:$AQ$1006,0)))),"Fix")))</f>
        <v>0</v>
      </c>
      <c r="G775" s="5">
        <f>IF(OR(INDEX($V$2:$V$1001,MATCH(ROWS($U$2:U775),$U$2:$U$1001,0),1)&gt;=100000,INDEX($AB$1005:$AQ$1005,1,MATCH(COLUMNS($AB$1006:AG1006),$AB$1006:$AQ$1006,0))&gt;=100000), " ",IF(INDEX($AB$2:$AQ$1001,MATCH(ROWS($U$2:U775),$U$2:$U$1001,0),MATCH(COLUMNS($AB$1006:AG1006),$AB$1006:$AQ$1006,0)), HYPERLINK("#",""), HYPERLINK(CONCATENATE("#Metadata!", ADDRESS(INDEX($W$2:$W$1001,MATCH(ROWS($U$2:U775),$U$2:$U$1001,0),0), INDEX($AB$1004:$AQ$1004,1,MATCH(COLUMNS($AB$1006:AG1006),$AB$1006:$AQ$1006,0)))),"Fix")))</f>
        <v>0</v>
      </c>
      <c r="H775" s="5">
        <f>IF(OR(INDEX($V$2:$V$1001,MATCH(ROWS($U$2:U775),$U$2:$U$1001,0),1)&gt;=100000,INDEX($AB$1005:$AQ$1005,1,MATCH(COLUMNS($AB$1006:AH1006),$AB$1006:$AQ$1006,0))&gt;=100000), " ",IF(INDEX($AB$2:$AQ$1001,MATCH(ROWS($U$2:U775),$U$2:$U$1001,0),MATCH(COLUMNS($AB$1006:AH1006),$AB$1006:$AQ$1006,0)), HYPERLINK("#",""), HYPERLINK(CONCATENATE("#Metadata!", ADDRESS(INDEX($W$2:$W$1001,MATCH(ROWS($U$2:U775),$U$2:$U$1001,0),0), INDEX($AB$1004:$AQ$1004,1,MATCH(COLUMNS($AB$1006:AH1006),$AB$1006:$AQ$1006,0)))),"Fix")))</f>
        <v>0</v>
      </c>
      <c r="I775" s="5">
        <f>IF(OR(INDEX($V$2:$V$1001,MATCH(ROWS($U$2:U775),$U$2:$U$1001,0),1)&gt;=100000,INDEX($AB$1005:$AQ$1005,1,MATCH(COLUMNS($AB$1006:AI1006),$AB$1006:$AQ$1006,0))&gt;=100000), " ",IF(INDEX($AB$2:$AQ$1001,MATCH(ROWS($U$2:U775),$U$2:$U$1001,0),MATCH(COLUMNS($AB$1006:AI1006),$AB$1006:$AQ$1006,0)), HYPERLINK("#",""), HYPERLINK(CONCATENATE("#Metadata!", ADDRESS(INDEX($W$2:$W$1001,MATCH(ROWS($U$2:U775),$U$2:$U$1001,0),0), INDEX($AB$1004:$AQ$1004,1,MATCH(COLUMNS($AB$1006:AI1006),$AB$1006:$AQ$1006,0)))),"Fix")))</f>
        <v>0</v>
      </c>
      <c r="J775" s="5">
        <f>IF(OR(INDEX($V$2:$V$1001,MATCH(ROWS($U$2:U775),$U$2:$U$1001,0),1)&gt;=100000,INDEX($AB$1005:$AQ$1005,1,MATCH(COLUMNS($AB$1006:AJ1006),$AB$1006:$AQ$1006,0))&gt;=100000), " ",IF(INDEX($AB$2:$AQ$1001,MATCH(ROWS($U$2:U775),$U$2:$U$1001,0),MATCH(COLUMNS($AB$1006:AJ1006),$AB$1006:$AQ$1006,0)), HYPERLINK("#",""), HYPERLINK(CONCATENATE("#Metadata!", ADDRESS(INDEX($W$2:$W$1001,MATCH(ROWS($U$2:U775),$U$2:$U$1001,0),0), INDEX($AB$1004:$AQ$1004,1,MATCH(COLUMNS($AB$1006:AJ1006),$AB$1006:$AQ$1006,0)))),"Fix")))</f>
        <v>0</v>
      </c>
      <c r="K775" s="5">
        <f>IF(OR(INDEX($V$2:$V$1001,MATCH(ROWS($U$2:U775),$U$2:$U$1001,0),1)&gt;=100000,INDEX($AB$1005:$AQ$1005,1,MATCH(COLUMNS($AB$1006:AK1006),$AB$1006:$AQ$1006,0))&gt;=100000), " ",IF(INDEX($AB$2:$AQ$1001,MATCH(ROWS($U$2:U775),$U$2:$U$1001,0),MATCH(COLUMNS($AB$1006:AK1006),$AB$1006:$AQ$1006,0)), HYPERLINK("#",""), HYPERLINK(CONCATENATE("#Metadata!", ADDRESS(INDEX($W$2:$W$1001,MATCH(ROWS($U$2:U775),$U$2:$U$1001,0),0), INDEX($AB$1004:$AQ$1004,1,MATCH(COLUMNS($AB$1006:AK1006),$AB$1006:$AQ$1006,0)))),"Fix")))</f>
        <v>0</v>
      </c>
      <c r="L775" s="5">
        <f>IF(OR(INDEX($V$2:$V$1001,MATCH(ROWS($U$2:U775),$U$2:$U$1001,0),1)&gt;=100000,INDEX($AB$1005:$AQ$1005,1,MATCH(COLUMNS($AB$1006:AL1006),$AB$1006:$AQ$1006,0))&gt;=100000), " ",IF(INDEX($AB$2:$AQ$1001,MATCH(ROWS($U$2:U775),$U$2:$U$1001,0),MATCH(COLUMNS($AB$1006:AL1006),$AB$1006:$AQ$1006,0)), HYPERLINK("#",""), HYPERLINK(CONCATENATE("#Metadata!", ADDRESS(INDEX($W$2:$W$1001,MATCH(ROWS($U$2:U775),$U$2:$U$1001,0),0), INDEX($AB$1004:$AQ$1004,1,MATCH(COLUMNS($AB$1006:AL1006),$AB$1006:$AQ$1006,0)))),"Fix")))</f>
        <v>0</v>
      </c>
      <c r="M775" s="5">
        <f>IF(OR(INDEX($V$2:$V$1001,MATCH(ROWS($U$2:U775),$U$2:$U$1001,0),1)&gt;=100000,INDEX($AB$1005:$AQ$1005,1,MATCH(COLUMNS($AB$1006:AM1006),$AB$1006:$AQ$1006,0))&gt;=100000), " ",IF(INDEX($AB$2:$AQ$1001,MATCH(ROWS($U$2:U775),$U$2:$U$1001,0),MATCH(COLUMNS($AB$1006:AM1006),$AB$1006:$AQ$1006,0)), HYPERLINK("#",""), HYPERLINK(CONCATENATE("#Metadata!", ADDRESS(INDEX($W$2:$W$1001,MATCH(ROWS($U$2:U775),$U$2:$U$1001,0),0), INDEX($AB$1004:$AQ$1004,1,MATCH(COLUMNS($AB$1006:AM1006),$AB$1006:$AQ$1006,0)))),"Fix")))</f>
        <v>0</v>
      </c>
      <c r="N775" s="5">
        <f>IF(OR(INDEX($V$2:$V$1001,MATCH(ROWS($U$2:U775),$U$2:$U$1001,0),1)&gt;=100000,INDEX($AB$1005:$AQ$1005,1,MATCH(COLUMNS($AB$1006:AN1006),$AB$1006:$AQ$1006,0))&gt;=100000), " ",IF(INDEX($AB$2:$AQ$1001,MATCH(ROWS($U$2:U775),$U$2:$U$1001,0),MATCH(COLUMNS($AB$1006:AN1006),$AB$1006:$AQ$1006,0)), HYPERLINK("#",""), HYPERLINK(CONCATENATE("#Metadata!", ADDRESS(INDEX($W$2:$W$1001,MATCH(ROWS($U$2:U775),$U$2:$U$1001,0),0), INDEX($AB$1004:$AQ$1004,1,MATCH(COLUMNS($AB$1006:AN1006),$AB$1006:$AQ$1006,0)))),"Fix")))</f>
        <v>0</v>
      </c>
      <c r="O775" s="5">
        <f>IF(OR(INDEX($V$2:$V$1001,MATCH(ROWS($U$2:U775),$U$2:$U$1001,0),1)&gt;=100000,INDEX($AB$1005:$AQ$1005,1,MATCH(COLUMNS($AB$1006:AO1006),$AB$1006:$AQ$1006,0))&gt;=100000), " ",IF(INDEX($AB$2:$AQ$1001,MATCH(ROWS($U$2:U775),$U$2:$U$1001,0),MATCH(COLUMNS($AB$1006:AO1006),$AB$1006:$AQ$1006,0)), HYPERLINK("#",""), HYPERLINK(CONCATENATE("#Metadata!", ADDRESS(INDEX($W$2:$W$1001,MATCH(ROWS($U$2:U775),$U$2:$U$1001,0),0), INDEX($AB$1004:$AQ$1004,1,MATCH(COLUMNS($AB$1006:AO1006),$AB$1006:$AQ$1006,0)))),"Fix")))</f>
        <v>0</v>
      </c>
      <c r="P775" s="5">
        <f>IF(OR(INDEX($V$2:$V$1001,MATCH(ROWS($U$2:U775),$U$2:$U$1001,0),1)&gt;=100000,INDEX($AB$1005:$AQ$1005,1,MATCH(COLUMNS($AB$1006:AP1006),$AB$1006:$AQ$1006,0))&gt;=100000), " ",IF(INDEX($AB$2:$AQ$1001,MATCH(ROWS($U$2:U775),$U$2:$U$1001,0),MATCH(COLUMNS($AB$1006:AP1006),$AB$1006:$AQ$1006,0)), HYPERLINK("#",""), HYPERLINK(CONCATENATE("#Metadata!", ADDRESS(INDEX($W$2:$W$1001,MATCH(ROWS($U$2:U775),$U$2:$U$1001,0),0), INDEX($AB$1004:$AQ$1004,1,MATCH(COLUMNS($AB$1006:AP1006),$AB$1006:$AQ$1006,0)))),"Fix")))</f>
        <v>0</v>
      </c>
      <c r="Q775" s="5">
        <f>IF(OR(INDEX($V$2:$V$1001,MATCH(ROWS($U$2:U775),$U$2:$U$1001,0),1)&gt;=100000,INDEX($AB$1005:$AQ$1005,1,MATCH(COLUMNS($AB$1006:AQ1006),$AB$1006:$AQ$1006,0))&gt;=100000), " ",IF(INDEX($AB$2:$AQ$1001,MATCH(ROWS($U$2:U775),$U$2:$U$1001,0),MATCH(COLUMNS($AB$1006:AQ1006),$AB$1006:$AQ$1006,0)), HYPERLINK("#",""), HYPERLINK(CONCATENATE("#Metadata!", ADDRESS(INDEX($W$2:$W$1001,MATCH(ROWS($U$2:U775),$U$2:$U$1001,0),0), INDEX($AB$1004:$AQ$1004,1,MATCH(COLUMNS($AB$1006:AQ1006),$AB$1006:$AQ$1006,0)))),"Fix")))</f>
        <v>0</v>
      </c>
      <c r="U775">
        <v>0</v>
      </c>
      <c r="V775">
        <v>0</v>
      </c>
      <c r="W775">
        <v>0</v>
      </c>
      <c r="X775">
        <f>IF(Y775,TRUE,AND(AB775:AQ775))</f>
        <v>0</v>
      </c>
      <c r="Y775">
        <f>COUNTBLANK(Metadata!B775:Q775)=COLUMNS(Metadata!B775:Q775)</f>
        <v>0</v>
      </c>
      <c r="Z775">
        <v>0</v>
      </c>
      <c r="AB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AC775">
        <f>AND(IF(Metadata!C775="",FALSE,TRUE),exact(Metadata!C775,"urban biome"))</f>
        <v>0</v>
      </c>
      <c r="AD775">
        <f>AND(IF(Metadata!D775="",FALSE,TRUE),exact(Metadata!D775,"human-associated habitat"))</f>
        <v>0</v>
      </c>
      <c r="AE775">
        <f>AND(IF(Metadata!E775="",FALSE,TRUE),OR(exact(Metadata!E775,"human-associated"),exact(Metadata!E775,"human-skin"),exact(Metadata!E775,"human-oral"),exact(Metadata!E775,"human-gut"),exact(Metadata!E775,"human-vaginal")))</f>
        <v>0</v>
      </c>
      <c r="AF775">
        <f>AND(IF(Metadata!F775="",FALSE,ISNUMBER(VALUE(Metadata!F775))),Metadata!F775&gt;0)</f>
        <v>0</v>
      </c>
      <c r="AG775">
        <f>AND(IF(Metadata!G775="",FALSE,TRUE),exact(Metadata!G775,"years"))</f>
        <v>0</v>
      </c>
      <c r="AH775">
        <f>OR(AND(IF(Metadata!H775="",FALSE,TRUE),OR(exact(Metadata!H775,"not applicable"),exact(Metadata!H775,"not collected"),exact(Metadata!H775,"not provided"),exact(Metadata!H775,"restricted access"))),AND(IF(Metadata!H775="",FALSE,ISNUMBER(VALUE(Metadata!H775))),Metadata!H775&gt;0))</f>
        <v>0</v>
      </c>
      <c r="AI775">
        <f>AND(IF(Metadata!I775="",FALSE,TRUE),exact(Metadata!I775,"human"))</f>
        <v>0</v>
      </c>
      <c r="AJ775">
        <f>AND(IF(Metadata!J775="",FALSE,ISNUMBER(VALUE(Metadata!J775))),Metadata!J775&gt;0)</f>
        <v>0</v>
      </c>
      <c r="AK775">
        <f>AND(IF(Metadata!K775="",FALSE,TRUE),exact(Metadata!K775,"cm"))</f>
        <v>0</v>
      </c>
      <c r="AL775">
        <f>AND(IF(Metadata!L775="",FALSE,TRUE),exact(Metadata!L775,"Homo sapiens"))</f>
        <v>0</v>
      </c>
      <c r="AM775">
        <f>AND(IF(Metadata!M775="",FALSE,TRUE),exact(Metadata!M775,"9606"))</f>
        <v>0</v>
      </c>
      <c r="AN775">
        <f>AND(IF(Metadata!N775="",FALSE,ISNUMBER(VALUE(Metadata!N775))),Metadata!N775&gt;0)</f>
        <v>0</v>
      </c>
      <c r="AO775">
        <f>AND(IF(Metadata!O775="",FALSE,TRUE),exact(Metadata!O775,"kg"))</f>
        <v>0</v>
      </c>
      <c r="AP775">
        <f>OR(AND(IF(Metadata!P775="",FALSE,TRUE),exact(Metadata!P775,"not provided")),IF(Metadata!P775="",FALSE,TRUE))</f>
        <v>0</v>
      </c>
      <c r="AQ775">
        <f>OR(AND(IF(Metadata!Q775="",FALSE,TRUE),exact(Metadata!Q775,"not provided")),IF(Metadata!Q775="",FALSE,TRUE))</f>
        <v>0</v>
      </c>
    </row>
    <row r="776" spans="1:43">
      <c r="A776" s="4">
        <f>IF(B776=" "," ",HYPERLINK(CONCATENATE("#metadata!",ADDRESS(INDEX($W$2:$W$1001,MATCH(ROWS($U$2:U776),$U$2:$U$1001,0),0),2)),INDEX($Z$2:$Z$1001,MATCH(ROWS($U$2:U776),$U$2:$U$1001,0),0)))</f>
        <v>0</v>
      </c>
      <c r="B776" s="5">
        <f>IF(OR(INDEX($V$2:$V$1001,MATCH(ROWS($U$2:U776),$U$2:$U$1001,0),1)&gt;=100000,INDEX($AB$1005:$AQ$1005,1,MATCH(COLUMNS($AB$1006:AB1006),$AB$1006:$AQ$1006,0))&gt;=100000), " ",IF(INDEX($AB$2:$AQ$1001,MATCH(ROWS($U$2:U776),$U$2:$U$1001,0),MATCH(COLUMNS($AB$1006:AB1006),$AB$1006:$AQ$1006,0)), HYPERLINK("#",""), HYPERLINK(CONCATENATE("#Metadata!", ADDRESS(INDEX($W$2:$W$1001,MATCH(ROWS($U$2:U776),$U$2:$U$1001,0),0), INDEX($AB$1004:$AQ$1004,1,MATCH(COLUMNS($AB$1006:AB1006),$AB$1006:$AQ$1006,0)))),"Fix")))</f>
        <v>0</v>
      </c>
      <c r="C776" s="5">
        <f>IF(OR(INDEX($V$2:$V$1001,MATCH(ROWS($U$2:U776),$U$2:$U$1001,0),1)&gt;=100000,INDEX($AB$1005:$AQ$1005,1,MATCH(COLUMNS($AB$1006:AC1006),$AB$1006:$AQ$1006,0))&gt;=100000), " ",IF(INDEX($AB$2:$AQ$1001,MATCH(ROWS($U$2:U776),$U$2:$U$1001,0),MATCH(COLUMNS($AB$1006:AC1006),$AB$1006:$AQ$1006,0)), HYPERLINK("#",""), HYPERLINK(CONCATENATE("#Metadata!", ADDRESS(INDEX($W$2:$W$1001,MATCH(ROWS($U$2:U776),$U$2:$U$1001,0),0), INDEX($AB$1004:$AQ$1004,1,MATCH(COLUMNS($AB$1006:AC1006),$AB$1006:$AQ$1006,0)))),"Fix")))</f>
        <v>0</v>
      </c>
      <c r="D776" s="5">
        <f>IF(OR(INDEX($V$2:$V$1001,MATCH(ROWS($U$2:U776),$U$2:$U$1001,0),1)&gt;=100000,INDEX($AB$1005:$AQ$1005,1,MATCH(COLUMNS($AB$1006:AD1006),$AB$1006:$AQ$1006,0))&gt;=100000), " ",IF(INDEX($AB$2:$AQ$1001,MATCH(ROWS($U$2:U776),$U$2:$U$1001,0),MATCH(COLUMNS($AB$1006:AD1006),$AB$1006:$AQ$1006,0)), HYPERLINK("#",""), HYPERLINK(CONCATENATE("#Metadata!", ADDRESS(INDEX($W$2:$W$1001,MATCH(ROWS($U$2:U776),$U$2:$U$1001,0),0), INDEX($AB$1004:$AQ$1004,1,MATCH(COLUMNS($AB$1006:AD1006),$AB$1006:$AQ$1006,0)))),"Fix")))</f>
        <v>0</v>
      </c>
      <c r="E776" s="5">
        <f>IF(OR(INDEX($V$2:$V$1001,MATCH(ROWS($U$2:U776),$U$2:$U$1001,0),1)&gt;=100000,INDEX($AB$1005:$AQ$1005,1,MATCH(COLUMNS($AB$1006:AE1006),$AB$1006:$AQ$1006,0))&gt;=100000), " ",IF(INDEX($AB$2:$AQ$1001,MATCH(ROWS($U$2:U776),$U$2:$U$1001,0),MATCH(COLUMNS($AB$1006:AE1006),$AB$1006:$AQ$1006,0)), HYPERLINK("#",""), HYPERLINK(CONCATENATE("#Metadata!", ADDRESS(INDEX($W$2:$W$1001,MATCH(ROWS($U$2:U776),$U$2:$U$1001,0),0), INDEX($AB$1004:$AQ$1004,1,MATCH(COLUMNS($AB$1006:AE1006),$AB$1006:$AQ$1006,0)))),"Fix")))</f>
        <v>0</v>
      </c>
      <c r="F776" s="5">
        <f>IF(OR(INDEX($V$2:$V$1001,MATCH(ROWS($U$2:U776),$U$2:$U$1001,0),1)&gt;=100000,INDEX($AB$1005:$AQ$1005,1,MATCH(COLUMNS($AB$1006:AF1006),$AB$1006:$AQ$1006,0))&gt;=100000), " ",IF(INDEX($AB$2:$AQ$1001,MATCH(ROWS($U$2:U776),$U$2:$U$1001,0),MATCH(COLUMNS($AB$1006:AF1006),$AB$1006:$AQ$1006,0)), HYPERLINK("#",""), HYPERLINK(CONCATENATE("#Metadata!", ADDRESS(INDEX($W$2:$W$1001,MATCH(ROWS($U$2:U776),$U$2:$U$1001,0),0), INDEX($AB$1004:$AQ$1004,1,MATCH(COLUMNS($AB$1006:AF1006),$AB$1006:$AQ$1006,0)))),"Fix")))</f>
        <v>0</v>
      </c>
      <c r="G776" s="5">
        <f>IF(OR(INDEX($V$2:$V$1001,MATCH(ROWS($U$2:U776),$U$2:$U$1001,0),1)&gt;=100000,INDEX($AB$1005:$AQ$1005,1,MATCH(COLUMNS($AB$1006:AG1006),$AB$1006:$AQ$1006,0))&gt;=100000), " ",IF(INDEX($AB$2:$AQ$1001,MATCH(ROWS($U$2:U776),$U$2:$U$1001,0),MATCH(COLUMNS($AB$1006:AG1006),$AB$1006:$AQ$1006,0)), HYPERLINK("#",""), HYPERLINK(CONCATENATE("#Metadata!", ADDRESS(INDEX($W$2:$W$1001,MATCH(ROWS($U$2:U776),$U$2:$U$1001,0),0), INDEX($AB$1004:$AQ$1004,1,MATCH(COLUMNS($AB$1006:AG1006),$AB$1006:$AQ$1006,0)))),"Fix")))</f>
        <v>0</v>
      </c>
      <c r="H776" s="5">
        <f>IF(OR(INDEX($V$2:$V$1001,MATCH(ROWS($U$2:U776),$U$2:$U$1001,0),1)&gt;=100000,INDEX($AB$1005:$AQ$1005,1,MATCH(COLUMNS($AB$1006:AH1006),$AB$1006:$AQ$1006,0))&gt;=100000), " ",IF(INDEX($AB$2:$AQ$1001,MATCH(ROWS($U$2:U776),$U$2:$U$1001,0),MATCH(COLUMNS($AB$1006:AH1006),$AB$1006:$AQ$1006,0)), HYPERLINK("#",""), HYPERLINK(CONCATENATE("#Metadata!", ADDRESS(INDEX($W$2:$W$1001,MATCH(ROWS($U$2:U776),$U$2:$U$1001,0),0), INDEX($AB$1004:$AQ$1004,1,MATCH(COLUMNS($AB$1006:AH1006),$AB$1006:$AQ$1006,0)))),"Fix")))</f>
        <v>0</v>
      </c>
      <c r="I776" s="5">
        <f>IF(OR(INDEX($V$2:$V$1001,MATCH(ROWS($U$2:U776),$U$2:$U$1001,0),1)&gt;=100000,INDEX($AB$1005:$AQ$1005,1,MATCH(COLUMNS($AB$1006:AI1006),$AB$1006:$AQ$1006,0))&gt;=100000), " ",IF(INDEX($AB$2:$AQ$1001,MATCH(ROWS($U$2:U776),$U$2:$U$1001,0),MATCH(COLUMNS($AB$1006:AI1006),$AB$1006:$AQ$1006,0)), HYPERLINK("#",""), HYPERLINK(CONCATENATE("#Metadata!", ADDRESS(INDEX($W$2:$W$1001,MATCH(ROWS($U$2:U776),$U$2:$U$1001,0),0), INDEX($AB$1004:$AQ$1004,1,MATCH(COLUMNS($AB$1006:AI1006),$AB$1006:$AQ$1006,0)))),"Fix")))</f>
        <v>0</v>
      </c>
      <c r="J776" s="5">
        <f>IF(OR(INDEX($V$2:$V$1001,MATCH(ROWS($U$2:U776),$U$2:$U$1001,0),1)&gt;=100000,INDEX($AB$1005:$AQ$1005,1,MATCH(COLUMNS($AB$1006:AJ1006),$AB$1006:$AQ$1006,0))&gt;=100000), " ",IF(INDEX($AB$2:$AQ$1001,MATCH(ROWS($U$2:U776),$U$2:$U$1001,0),MATCH(COLUMNS($AB$1006:AJ1006),$AB$1006:$AQ$1006,0)), HYPERLINK("#",""), HYPERLINK(CONCATENATE("#Metadata!", ADDRESS(INDEX($W$2:$W$1001,MATCH(ROWS($U$2:U776),$U$2:$U$1001,0),0), INDEX($AB$1004:$AQ$1004,1,MATCH(COLUMNS($AB$1006:AJ1006),$AB$1006:$AQ$1006,0)))),"Fix")))</f>
        <v>0</v>
      </c>
      <c r="K776" s="5">
        <f>IF(OR(INDEX($V$2:$V$1001,MATCH(ROWS($U$2:U776),$U$2:$U$1001,0),1)&gt;=100000,INDEX($AB$1005:$AQ$1005,1,MATCH(COLUMNS($AB$1006:AK1006),$AB$1006:$AQ$1006,0))&gt;=100000), " ",IF(INDEX($AB$2:$AQ$1001,MATCH(ROWS($U$2:U776),$U$2:$U$1001,0),MATCH(COLUMNS($AB$1006:AK1006),$AB$1006:$AQ$1006,0)), HYPERLINK("#",""), HYPERLINK(CONCATENATE("#Metadata!", ADDRESS(INDEX($W$2:$W$1001,MATCH(ROWS($U$2:U776),$U$2:$U$1001,0),0), INDEX($AB$1004:$AQ$1004,1,MATCH(COLUMNS($AB$1006:AK1006),$AB$1006:$AQ$1006,0)))),"Fix")))</f>
        <v>0</v>
      </c>
      <c r="L776" s="5">
        <f>IF(OR(INDEX($V$2:$V$1001,MATCH(ROWS($U$2:U776),$U$2:$U$1001,0),1)&gt;=100000,INDEX($AB$1005:$AQ$1005,1,MATCH(COLUMNS($AB$1006:AL1006),$AB$1006:$AQ$1006,0))&gt;=100000), " ",IF(INDEX($AB$2:$AQ$1001,MATCH(ROWS($U$2:U776),$U$2:$U$1001,0),MATCH(COLUMNS($AB$1006:AL1006),$AB$1006:$AQ$1006,0)), HYPERLINK("#",""), HYPERLINK(CONCATENATE("#Metadata!", ADDRESS(INDEX($W$2:$W$1001,MATCH(ROWS($U$2:U776),$U$2:$U$1001,0),0), INDEX($AB$1004:$AQ$1004,1,MATCH(COLUMNS($AB$1006:AL1006),$AB$1006:$AQ$1006,0)))),"Fix")))</f>
        <v>0</v>
      </c>
      <c r="M776" s="5">
        <f>IF(OR(INDEX($V$2:$V$1001,MATCH(ROWS($U$2:U776),$U$2:$U$1001,0),1)&gt;=100000,INDEX($AB$1005:$AQ$1005,1,MATCH(COLUMNS($AB$1006:AM1006),$AB$1006:$AQ$1006,0))&gt;=100000), " ",IF(INDEX($AB$2:$AQ$1001,MATCH(ROWS($U$2:U776),$U$2:$U$1001,0),MATCH(COLUMNS($AB$1006:AM1006),$AB$1006:$AQ$1006,0)), HYPERLINK("#",""), HYPERLINK(CONCATENATE("#Metadata!", ADDRESS(INDEX($W$2:$W$1001,MATCH(ROWS($U$2:U776),$U$2:$U$1001,0),0), INDEX($AB$1004:$AQ$1004,1,MATCH(COLUMNS($AB$1006:AM1006),$AB$1006:$AQ$1006,0)))),"Fix")))</f>
        <v>0</v>
      </c>
      <c r="N776" s="5">
        <f>IF(OR(INDEX($V$2:$V$1001,MATCH(ROWS($U$2:U776),$U$2:$U$1001,0),1)&gt;=100000,INDEX($AB$1005:$AQ$1005,1,MATCH(COLUMNS($AB$1006:AN1006),$AB$1006:$AQ$1006,0))&gt;=100000), " ",IF(INDEX($AB$2:$AQ$1001,MATCH(ROWS($U$2:U776),$U$2:$U$1001,0),MATCH(COLUMNS($AB$1006:AN1006),$AB$1006:$AQ$1006,0)), HYPERLINK("#",""), HYPERLINK(CONCATENATE("#Metadata!", ADDRESS(INDEX($W$2:$W$1001,MATCH(ROWS($U$2:U776),$U$2:$U$1001,0),0), INDEX($AB$1004:$AQ$1004,1,MATCH(COLUMNS($AB$1006:AN1006),$AB$1006:$AQ$1006,0)))),"Fix")))</f>
        <v>0</v>
      </c>
      <c r="O776" s="5">
        <f>IF(OR(INDEX($V$2:$V$1001,MATCH(ROWS($U$2:U776),$U$2:$U$1001,0),1)&gt;=100000,INDEX($AB$1005:$AQ$1005,1,MATCH(COLUMNS($AB$1006:AO1006),$AB$1006:$AQ$1006,0))&gt;=100000), " ",IF(INDEX($AB$2:$AQ$1001,MATCH(ROWS($U$2:U776),$U$2:$U$1001,0),MATCH(COLUMNS($AB$1006:AO1006),$AB$1006:$AQ$1006,0)), HYPERLINK("#",""), HYPERLINK(CONCATENATE("#Metadata!", ADDRESS(INDEX($W$2:$W$1001,MATCH(ROWS($U$2:U776),$U$2:$U$1001,0),0), INDEX($AB$1004:$AQ$1004,1,MATCH(COLUMNS($AB$1006:AO1006),$AB$1006:$AQ$1006,0)))),"Fix")))</f>
        <v>0</v>
      </c>
      <c r="P776" s="5">
        <f>IF(OR(INDEX($V$2:$V$1001,MATCH(ROWS($U$2:U776),$U$2:$U$1001,0),1)&gt;=100000,INDEX($AB$1005:$AQ$1005,1,MATCH(COLUMNS($AB$1006:AP1006),$AB$1006:$AQ$1006,0))&gt;=100000), " ",IF(INDEX($AB$2:$AQ$1001,MATCH(ROWS($U$2:U776),$U$2:$U$1001,0),MATCH(COLUMNS($AB$1006:AP1006),$AB$1006:$AQ$1006,0)), HYPERLINK("#",""), HYPERLINK(CONCATENATE("#Metadata!", ADDRESS(INDEX($W$2:$W$1001,MATCH(ROWS($U$2:U776),$U$2:$U$1001,0),0), INDEX($AB$1004:$AQ$1004,1,MATCH(COLUMNS($AB$1006:AP1006),$AB$1006:$AQ$1006,0)))),"Fix")))</f>
        <v>0</v>
      </c>
      <c r="Q776" s="5">
        <f>IF(OR(INDEX($V$2:$V$1001,MATCH(ROWS($U$2:U776),$U$2:$U$1001,0),1)&gt;=100000,INDEX($AB$1005:$AQ$1005,1,MATCH(COLUMNS($AB$1006:AQ1006),$AB$1006:$AQ$1006,0))&gt;=100000), " ",IF(INDEX($AB$2:$AQ$1001,MATCH(ROWS($U$2:U776),$U$2:$U$1001,0),MATCH(COLUMNS($AB$1006:AQ1006),$AB$1006:$AQ$1006,0)), HYPERLINK("#",""), HYPERLINK(CONCATENATE("#Metadata!", ADDRESS(INDEX($W$2:$W$1001,MATCH(ROWS($U$2:U776),$U$2:$U$1001,0),0), INDEX($AB$1004:$AQ$1004,1,MATCH(COLUMNS($AB$1006:AQ1006),$AB$1006:$AQ$1006,0)))),"Fix")))</f>
        <v>0</v>
      </c>
      <c r="U776">
        <v>0</v>
      </c>
      <c r="V776">
        <v>0</v>
      </c>
      <c r="W776">
        <v>0</v>
      </c>
      <c r="X776">
        <f>IF(Y776,TRUE,AND(AB776:AQ776))</f>
        <v>0</v>
      </c>
      <c r="Y776">
        <f>COUNTBLANK(Metadata!B776:Q776)=COLUMNS(Metadata!B776:Q776)</f>
        <v>0</v>
      </c>
      <c r="Z776">
        <v>0</v>
      </c>
      <c r="AB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AC776">
        <f>AND(IF(Metadata!C776="",FALSE,TRUE),exact(Metadata!C776,"urban biome"))</f>
        <v>0</v>
      </c>
      <c r="AD776">
        <f>AND(IF(Metadata!D776="",FALSE,TRUE),exact(Metadata!D776,"human-associated habitat"))</f>
        <v>0</v>
      </c>
      <c r="AE776">
        <f>AND(IF(Metadata!E776="",FALSE,TRUE),OR(exact(Metadata!E776,"human-associated"),exact(Metadata!E776,"human-skin"),exact(Metadata!E776,"human-oral"),exact(Metadata!E776,"human-gut"),exact(Metadata!E776,"human-vaginal")))</f>
        <v>0</v>
      </c>
      <c r="AF776">
        <f>AND(IF(Metadata!F776="",FALSE,ISNUMBER(VALUE(Metadata!F776))),Metadata!F776&gt;0)</f>
        <v>0</v>
      </c>
      <c r="AG776">
        <f>AND(IF(Metadata!G776="",FALSE,TRUE),exact(Metadata!G776,"years"))</f>
        <v>0</v>
      </c>
      <c r="AH776">
        <f>OR(AND(IF(Metadata!H776="",FALSE,TRUE),OR(exact(Metadata!H776,"not applicable"),exact(Metadata!H776,"not collected"),exact(Metadata!H776,"not provided"),exact(Metadata!H776,"restricted access"))),AND(IF(Metadata!H776="",FALSE,ISNUMBER(VALUE(Metadata!H776))),Metadata!H776&gt;0))</f>
        <v>0</v>
      </c>
      <c r="AI776">
        <f>AND(IF(Metadata!I776="",FALSE,TRUE),exact(Metadata!I776,"human"))</f>
        <v>0</v>
      </c>
      <c r="AJ776">
        <f>AND(IF(Metadata!J776="",FALSE,ISNUMBER(VALUE(Metadata!J776))),Metadata!J776&gt;0)</f>
        <v>0</v>
      </c>
      <c r="AK776">
        <f>AND(IF(Metadata!K776="",FALSE,TRUE),exact(Metadata!K776,"cm"))</f>
        <v>0</v>
      </c>
      <c r="AL776">
        <f>AND(IF(Metadata!L776="",FALSE,TRUE),exact(Metadata!L776,"Homo sapiens"))</f>
        <v>0</v>
      </c>
      <c r="AM776">
        <f>AND(IF(Metadata!M776="",FALSE,TRUE),exact(Metadata!M776,"9606"))</f>
        <v>0</v>
      </c>
      <c r="AN776">
        <f>AND(IF(Metadata!N776="",FALSE,ISNUMBER(VALUE(Metadata!N776))),Metadata!N776&gt;0)</f>
        <v>0</v>
      </c>
      <c r="AO776">
        <f>AND(IF(Metadata!O776="",FALSE,TRUE),exact(Metadata!O776,"kg"))</f>
        <v>0</v>
      </c>
      <c r="AP776">
        <f>OR(AND(IF(Metadata!P776="",FALSE,TRUE),exact(Metadata!P776,"not provided")),IF(Metadata!P776="",FALSE,TRUE))</f>
        <v>0</v>
      </c>
      <c r="AQ776">
        <f>OR(AND(IF(Metadata!Q776="",FALSE,TRUE),exact(Metadata!Q776,"not provided")),IF(Metadata!Q776="",FALSE,TRUE))</f>
        <v>0</v>
      </c>
    </row>
    <row r="777" spans="1:43">
      <c r="A777" s="4">
        <f>IF(B777=" "," ",HYPERLINK(CONCATENATE("#metadata!",ADDRESS(INDEX($W$2:$W$1001,MATCH(ROWS($U$2:U777),$U$2:$U$1001,0),0),2)),INDEX($Z$2:$Z$1001,MATCH(ROWS($U$2:U777),$U$2:$U$1001,0),0)))</f>
        <v>0</v>
      </c>
      <c r="B777" s="5">
        <f>IF(OR(INDEX($V$2:$V$1001,MATCH(ROWS($U$2:U777),$U$2:$U$1001,0),1)&gt;=100000,INDEX($AB$1005:$AQ$1005,1,MATCH(COLUMNS($AB$1006:AB1006),$AB$1006:$AQ$1006,0))&gt;=100000), " ",IF(INDEX($AB$2:$AQ$1001,MATCH(ROWS($U$2:U777),$U$2:$U$1001,0),MATCH(COLUMNS($AB$1006:AB1006),$AB$1006:$AQ$1006,0)), HYPERLINK("#",""), HYPERLINK(CONCATENATE("#Metadata!", ADDRESS(INDEX($W$2:$W$1001,MATCH(ROWS($U$2:U777),$U$2:$U$1001,0),0), INDEX($AB$1004:$AQ$1004,1,MATCH(COLUMNS($AB$1006:AB1006),$AB$1006:$AQ$1006,0)))),"Fix")))</f>
        <v>0</v>
      </c>
      <c r="C777" s="5">
        <f>IF(OR(INDEX($V$2:$V$1001,MATCH(ROWS($U$2:U777),$U$2:$U$1001,0),1)&gt;=100000,INDEX($AB$1005:$AQ$1005,1,MATCH(COLUMNS($AB$1006:AC1006),$AB$1006:$AQ$1006,0))&gt;=100000), " ",IF(INDEX($AB$2:$AQ$1001,MATCH(ROWS($U$2:U777),$U$2:$U$1001,0),MATCH(COLUMNS($AB$1006:AC1006),$AB$1006:$AQ$1006,0)), HYPERLINK("#",""), HYPERLINK(CONCATENATE("#Metadata!", ADDRESS(INDEX($W$2:$W$1001,MATCH(ROWS($U$2:U777),$U$2:$U$1001,0),0), INDEX($AB$1004:$AQ$1004,1,MATCH(COLUMNS($AB$1006:AC1006),$AB$1006:$AQ$1006,0)))),"Fix")))</f>
        <v>0</v>
      </c>
      <c r="D777" s="5">
        <f>IF(OR(INDEX($V$2:$V$1001,MATCH(ROWS($U$2:U777),$U$2:$U$1001,0),1)&gt;=100000,INDEX($AB$1005:$AQ$1005,1,MATCH(COLUMNS($AB$1006:AD1006),$AB$1006:$AQ$1006,0))&gt;=100000), " ",IF(INDEX($AB$2:$AQ$1001,MATCH(ROWS($U$2:U777),$U$2:$U$1001,0),MATCH(COLUMNS($AB$1006:AD1006),$AB$1006:$AQ$1006,0)), HYPERLINK("#",""), HYPERLINK(CONCATENATE("#Metadata!", ADDRESS(INDEX($W$2:$W$1001,MATCH(ROWS($U$2:U777),$U$2:$U$1001,0),0), INDEX($AB$1004:$AQ$1004,1,MATCH(COLUMNS($AB$1006:AD1006),$AB$1006:$AQ$1006,0)))),"Fix")))</f>
        <v>0</v>
      </c>
      <c r="E777" s="5">
        <f>IF(OR(INDEX($V$2:$V$1001,MATCH(ROWS($U$2:U777),$U$2:$U$1001,0),1)&gt;=100000,INDEX($AB$1005:$AQ$1005,1,MATCH(COLUMNS($AB$1006:AE1006),$AB$1006:$AQ$1006,0))&gt;=100000), " ",IF(INDEX($AB$2:$AQ$1001,MATCH(ROWS($U$2:U777),$U$2:$U$1001,0),MATCH(COLUMNS($AB$1006:AE1006),$AB$1006:$AQ$1006,0)), HYPERLINK("#",""), HYPERLINK(CONCATENATE("#Metadata!", ADDRESS(INDEX($W$2:$W$1001,MATCH(ROWS($U$2:U777),$U$2:$U$1001,0),0), INDEX($AB$1004:$AQ$1004,1,MATCH(COLUMNS($AB$1006:AE1006),$AB$1006:$AQ$1006,0)))),"Fix")))</f>
        <v>0</v>
      </c>
      <c r="F777" s="5">
        <f>IF(OR(INDEX($V$2:$V$1001,MATCH(ROWS($U$2:U777),$U$2:$U$1001,0),1)&gt;=100000,INDEX($AB$1005:$AQ$1005,1,MATCH(COLUMNS($AB$1006:AF1006),$AB$1006:$AQ$1006,0))&gt;=100000), " ",IF(INDEX($AB$2:$AQ$1001,MATCH(ROWS($U$2:U777),$U$2:$U$1001,0),MATCH(COLUMNS($AB$1006:AF1006),$AB$1006:$AQ$1006,0)), HYPERLINK("#",""), HYPERLINK(CONCATENATE("#Metadata!", ADDRESS(INDEX($W$2:$W$1001,MATCH(ROWS($U$2:U777),$U$2:$U$1001,0),0), INDEX($AB$1004:$AQ$1004,1,MATCH(COLUMNS($AB$1006:AF1006),$AB$1006:$AQ$1006,0)))),"Fix")))</f>
        <v>0</v>
      </c>
      <c r="G777" s="5">
        <f>IF(OR(INDEX($V$2:$V$1001,MATCH(ROWS($U$2:U777),$U$2:$U$1001,0),1)&gt;=100000,INDEX($AB$1005:$AQ$1005,1,MATCH(COLUMNS($AB$1006:AG1006),$AB$1006:$AQ$1006,0))&gt;=100000), " ",IF(INDEX($AB$2:$AQ$1001,MATCH(ROWS($U$2:U777),$U$2:$U$1001,0),MATCH(COLUMNS($AB$1006:AG1006),$AB$1006:$AQ$1006,0)), HYPERLINK("#",""), HYPERLINK(CONCATENATE("#Metadata!", ADDRESS(INDEX($W$2:$W$1001,MATCH(ROWS($U$2:U777),$U$2:$U$1001,0),0), INDEX($AB$1004:$AQ$1004,1,MATCH(COLUMNS($AB$1006:AG1006),$AB$1006:$AQ$1006,0)))),"Fix")))</f>
        <v>0</v>
      </c>
      <c r="H777" s="5">
        <f>IF(OR(INDEX($V$2:$V$1001,MATCH(ROWS($U$2:U777),$U$2:$U$1001,0),1)&gt;=100000,INDEX($AB$1005:$AQ$1005,1,MATCH(COLUMNS($AB$1006:AH1006),$AB$1006:$AQ$1006,0))&gt;=100000), " ",IF(INDEX($AB$2:$AQ$1001,MATCH(ROWS($U$2:U777),$U$2:$U$1001,0),MATCH(COLUMNS($AB$1006:AH1006),$AB$1006:$AQ$1006,0)), HYPERLINK("#",""), HYPERLINK(CONCATENATE("#Metadata!", ADDRESS(INDEX($W$2:$W$1001,MATCH(ROWS($U$2:U777),$U$2:$U$1001,0),0), INDEX($AB$1004:$AQ$1004,1,MATCH(COLUMNS($AB$1006:AH1006),$AB$1006:$AQ$1006,0)))),"Fix")))</f>
        <v>0</v>
      </c>
      <c r="I777" s="5">
        <f>IF(OR(INDEX($V$2:$V$1001,MATCH(ROWS($U$2:U777),$U$2:$U$1001,0),1)&gt;=100000,INDEX($AB$1005:$AQ$1005,1,MATCH(COLUMNS($AB$1006:AI1006),$AB$1006:$AQ$1006,0))&gt;=100000), " ",IF(INDEX($AB$2:$AQ$1001,MATCH(ROWS($U$2:U777),$U$2:$U$1001,0),MATCH(COLUMNS($AB$1006:AI1006),$AB$1006:$AQ$1006,0)), HYPERLINK("#",""), HYPERLINK(CONCATENATE("#Metadata!", ADDRESS(INDEX($W$2:$W$1001,MATCH(ROWS($U$2:U777),$U$2:$U$1001,0),0), INDEX($AB$1004:$AQ$1004,1,MATCH(COLUMNS($AB$1006:AI1006),$AB$1006:$AQ$1006,0)))),"Fix")))</f>
        <v>0</v>
      </c>
      <c r="J777" s="5">
        <f>IF(OR(INDEX($V$2:$V$1001,MATCH(ROWS($U$2:U777),$U$2:$U$1001,0),1)&gt;=100000,INDEX($AB$1005:$AQ$1005,1,MATCH(COLUMNS($AB$1006:AJ1006),$AB$1006:$AQ$1006,0))&gt;=100000), " ",IF(INDEX($AB$2:$AQ$1001,MATCH(ROWS($U$2:U777),$U$2:$U$1001,0),MATCH(COLUMNS($AB$1006:AJ1006),$AB$1006:$AQ$1006,0)), HYPERLINK("#",""), HYPERLINK(CONCATENATE("#Metadata!", ADDRESS(INDEX($W$2:$W$1001,MATCH(ROWS($U$2:U777),$U$2:$U$1001,0),0), INDEX($AB$1004:$AQ$1004,1,MATCH(COLUMNS($AB$1006:AJ1006),$AB$1006:$AQ$1006,0)))),"Fix")))</f>
        <v>0</v>
      </c>
      <c r="K777" s="5">
        <f>IF(OR(INDEX($V$2:$V$1001,MATCH(ROWS($U$2:U777),$U$2:$U$1001,0),1)&gt;=100000,INDEX($AB$1005:$AQ$1005,1,MATCH(COLUMNS($AB$1006:AK1006),$AB$1006:$AQ$1006,0))&gt;=100000), " ",IF(INDEX($AB$2:$AQ$1001,MATCH(ROWS($U$2:U777),$U$2:$U$1001,0),MATCH(COLUMNS($AB$1006:AK1006),$AB$1006:$AQ$1006,0)), HYPERLINK("#",""), HYPERLINK(CONCATENATE("#Metadata!", ADDRESS(INDEX($W$2:$W$1001,MATCH(ROWS($U$2:U777),$U$2:$U$1001,0),0), INDEX($AB$1004:$AQ$1004,1,MATCH(COLUMNS($AB$1006:AK1006),$AB$1006:$AQ$1006,0)))),"Fix")))</f>
        <v>0</v>
      </c>
      <c r="L777" s="5">
        <f>IF(OR(INDEX($V$2:$V$1001,MATCH(ROWS($U$2:U777),$U$2:$U$1001,0),1)&gt;=100000,INDEX($AB$1005:$AQ$1005,1,MATCH(COLUMNS($AB$1006:AL1006),$AB$1006:$AQ$1006,0))&gt;=100000), " ",IF(INDEX($AB$2:$AQ$1001,MATCH(ROWS($U$2:U777),$U$2:$U$1001,0),MATCH(COLUMNS($AB$1006:AL1006),$AB$1006:$AQ$1006,0)), HYPERLINK("#",""), HYPERLINK(CONCATENATE("#Metadata!", ADDRESS(INDEX($W$2:$W$1001,MATCH(ROWS($U$2:U777),$U$2:$U$1001,0),0), INDEX($AB$1004:$AQ$1004,1,MATCH(COLUMNS($AB$1006:AL1006),$AB$1006:$AQ$1006,0)))),"Fix")))</f>
        <v>0</v>
      </c>
      <c r="M777" s="5">
        <f>IF(OR(INDEX($V$2:$V$1001,MATCH(ROWS($U$2:U777),$U$2:$U$1001,0),1)&gt;=100000,INDEX($AB$1005:$AQ$1005,1,MATCH(COLUMNS($AB$1006:AM1006),$AB$1006:$AQ$1006,0))&gt;=100000), " ",IF(INDEX($AB$2:$AQ$1001,MATCH(ROWS($U$2:U777),$U$2:$U$1001,0),MATCH(COLUMNS($AB$1006:AM1006),$AB$1006:$AQ$1006,0)), HYPERLINK("#",""), HYPERLINK(CONCATENATE("#Metadata!", ADDRESS(INDEX($W$2:$W$1001,MATCH(ROWS($U$2:U777),$U$2:$U$1001,0),0), INDEX($AB$1004:$AQ$1004,1,MATCH(COLUMNS($AB$1006:AM1006),$AB$1006:$AQ$1006,0)))),"Fix")))</f>
        <v>0</v>
      </c>
      <c r="N777" s="5">
        <f>IF(OR(INDEX($V$2:$V$1001,MATCH(ROWS($U$2:U777),$U$2:$U$1001,0),1)&gt;=100000,INDEX($AB$1005:$AQ$1005,1,MATCH(COLUMNS($AB$1006:AN1006),$AB$1006:$AQ$1006,0))&gt;=100000), " ",IF(INDEX($AB$2:$AQ$1001,MATCH(ROWS($U$2:U777),$U$2:$U$1001,0),MATCH(COLUMNS($AB$1006:AN1006),$AB$1006:$AQ$1006,0)), HYPERLINK("#",""), HYPERLINK(CONCATENATE("#Metadata!", ADDRESS(INDEX($W$2:$W$1001,MATCH(ROWS($U$2:U777),$U$2:$U$1001,0),0), INDEX($AB$1004:$AQ$1004,1,MATCH(COLUMNS($AB$1006:AN1006),$AB$1006:$AQ$1006,0)))),"Fix")))</f>
        <v>0</v>
      </c>
      <c r="O777" s="5">
        <f>IF(OR(INDEX($V$2:$V$1001,MATCH(ROWS($U$2:U777),$U$2:$U$1001,0),1)&gt;=100000,INDEX($AB$1005:$AQ$1005,1,MATCH(COLUMNS($AB$1006:AO1006),$AB$1006:$AQ$1006,0))&gt;=100000), " ",IF(INDEX($AB$2:$AQ$1001,MATCH(ROWS($U$2:U777),$U$2:$U$1001,0),MATCH(COLUMNS($AB$1006:AO1006),$AB$1006:$AQ$1006,0)), HYPERLINK("#",""), HYPERLINK(CONCATENATE("#Metadata!", ADDRESS(INDEX($W$2:$W$1001,MATCH(ROWS($U$2:U777),$U$2:$U$1001,0),0), INDEX($AB$1004:$AQ$1004,1,MATCH(COLUMNS($AB$1006:AO1006),$AB$1006:$AQ$1006,0)))),"Fix")))</f>
        <v>0</v>
      </c>
      <c r="P777" s="5">
        <f>IF(OR(INDEX($V$2:$V$1001,MATCH(ROWS($U$2:U777),$U$2:$U$1001,0),1)&gt;=100000,INDEX($AB$1005:$AQ$1005,1,MATCH(COLUMNS($AB$1006:AP1006),$AB$1006:$AQ$1006,0))&gt;=100000), " ",IF(INDEX($AB$2:$AQ$1001,MATCH(ROWS($U$2:U777),$U$2:$U$1001,0),MATCH(COLUMNS($AB$1006:AP1006),$AB$1006:$AQ$1006,0)), HYPERLINK("#",""), HYPERLINK(CONCATENATE("#Metadata!", ADDRESS(INDEX($W$2:$W$1001,MATCH(ROWS($U$2:U777),$U$2:$U$1001,0),0), INDEX($AB$1004:$AQ$1004,1,MATCH(COLUMNS($AB$1006:AP1006),$AB$1006:$AQ$1006,0)))),"Fix")))</f>
        <v>0</v>
      </c>
      <c r="Q777" s="5">
        <f>IF(OR(INDEX($V$2:$V$1001,MATCH(ROWS($U$2:U777),$U$2:$U$1001,0),1)&gt;=100000,INDEX($AB$1005:$AQ$1005,1,MATCH(COLUMNS($AB$1006:AQ1006),$AB$1006:$AQ$1006,0))&gt;=100000), " ",IF(INDEX($AB$2:$AQ$1001,MATCH(ROWS($U$2:U777),$U$2:$U$1001,0),MATCH(COLUMNS($AB$1006:AQ1006),$AB$1006:$AQ$1006,0)), HYPERLINK("#",""), HYPERLINK(CONCATENATE("#Metadata!", ADDRESS(INDEX($W$2:$W$1001,MATCH(ROWS($U$2:U777),$U$2:$U$1001,0),0), INDEX($AB$1004:$AQ$1004,1,MATCH(COLUMNS($AB$1006:AQ1006),$AB$1006:$AQ$1006,0)))),"Fix")))</f>
        <v>0</v>
      </c>
      <c r="U777">
        <v>0</v>
      </c>
      <c r="V777">
        <v>0</v>
      </c>
      <c r="W777">
        <v>0</v>
      </c>
      <c r="X777">
        <f>IF(Y777,TRUE,AND(AB777:AQ777))</f>
        <v>0</v>
      </c>
      <c r="Y777">
        <f>COUNTBLANK(Metadata!B777:Q777)=COLUMNS(Metadata!B777:Q777)</f>
        <v>0</v>
      </c>
      <c r="Z777">
        <v>0</v>
      </c>
      <c r="AB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AC777">
        <f>AND(IF(Metadata!C777="",FALSE,TRUE),exact(Metadata!C777,"urban biome"))</f>
        <v>0</v>
      </c>
      <c r="AD777">
        <f>AND(IF(Metadata!D777="",FALSE,TRUE),exact(Metadata!D777,"human-associated habitat"))</f>
        <v>0</v>
      </c>
      <c r="AE777">
        <f>AND(IF(Metadata!E777="",FALSE,TRUE),OR(exact(Metadata!E777,"human-associated"),exact(Metadata!E777,"human-skin"),exact(Metadata!E777,"human-oral"),exact(Metadata!E777,"human-gut"),exact(Metadata!E777,"human-vaginal")))</f>
        <v>0</v>
      </c>
      <c r="AF777">
        <f>AND(IF(Metadata!F777="",FALSE,ISNUMBER(VALUE(Metadata!F777))),Metadata!F777&gt;0)</f>
        <v>0</v>
      </c>
      <c r="AG777">
        <f>AND(IF(Metadata!G777="",FALSE,TRUE),exact(Metadata!G777,"years"))</f>
        <v>0</v>
      </c>
      <c r="AH777">
        <f>OR(AND(IF(Metadata!H777="",FALSE,TRUE),OR(exact(Metadata!H777,"not applicable"),exact(Metadata!H777,"not collected"),exact(Metadata!H777,"not provided"),exact(Metadata!H777,"restricted access"))),AND(IF(Metadata!H777="",FALSE,ISNUMBER(VALUE(Metadata!H777))),Metadata!H777&gt;0))</f>
        <v>0</v>
      </c>
      <c r="AI777">
        <f>AND(IF(Metadata!I777="",FALSE,TRUE),exact(Metadata!I777,"human"))</f>
        <v>0</v>
      </c>
      <c r="AJ777">
        <f>AND(IF(Metadata!J777="",FALSE,ISNUMBER(VALUE(Metadata!J777))),Metadata!J777&gt;0)</f>
        <v>0</v>
      </c>
      <c r="AK777">
        <f>AND(IF(Metadata!K777="",FALSE,TRUE),exact(Metadata!K777,"cm"))</f>
        <v>0</v>
      </c>
      <c r="AL777">
        <f>AND(IF(Metadata!L777="",FALSE,TRUE),exact(Metadata!L777,"Homo sapiens"))</f>
        <v>0</v>
      </c>
      <c r="AM777">
        <f>AND(IF(Metadata!M777="",FALSE,TRUE),exact(Metadata!M777,"9606"))</f>
        <v>0</v>
      </c>
      <c r="AN777">
        <f>AND(IF(Metadata!N777="",FALSE,ISNUMBER(VALUE(Metadata!N777))),Metadata!N777&gt;0)</f>
        <v>0</v>
      </c>
      <c r="AO777">
        <f>AND(IF(Metadata!O777="",FALSE,TRUE),exact(Metadata!O777,"kg"))</f>
        <v>0</v>
      </c>
      <c r="AP777">
        <f>OR(AND(IF(Metadata!P777="",FALSE,TRUE),exact(Metadata!P777,"not provided")),IF(Metadata!P777="",FALSE,TRUE))</f>
        <v>0</v>
      </c>
      <c r="AQ777">
        <f>OR(AND(IF(Metadata!Q777="",FALSE,TRUE),exact(Metadata!Q777,"not provided")),IF(Metadata!Q777="",FALSE,TRUE))</f>
        <v>0</v>
      </c>
    </row>
    <row r="778" spans="1:43">
      <c r="A778" s="4">
        <f>IF(B778=" "," ",HYPERLINK(CONCATENATE("#metadata!",ADDRESS(INDEX($W$2:$W$1001,MATCH(ROWS($U$2:U778),$U$2:$U$1001,0),0),2)),INDEX($Z$2:$Z$1001,MATCH(ROWS($U$2:U778),$U$2:$U$1001,0),0)))</f>
        <v>0</v>
      </c>
      <c r="B778" s="5">
        <f>IF(OR(INDEX($V$2:$V$1001,MATCH(ROWS($U$2:U778),$U$2:$U$1001,0),1)&gt;=100000,INDEX($AB$1005:$AQ$1005,1,MATCH(COLUMNS($AB$1006:AB1006),$AB$1006:$AQ$1006,0))&gt;=100000), " ",IF(INDEX($AB$2:$AQ$1001,MATCH(ROWS($U$2:U778),$U$2:$U$1001,0),MATCH(COLUMNS($AB$1006:AB1006),$AB$1006:$AQ$1006,0)), HYPERLINK("#",""), HYPERLINK(CONCATENATE("#Metadata!", ADDRESS(INDEX($W$2:$W$1001,MATCH(ROWS($U$2:U778),$U$2:$U$1001,0),0), INDEX($AB$1004:$AQ$1004,1,MATCH(COLUMNS($AB$1006:AB1006),$AB$1006:$AQ$1006,0)))),"Fix")))</f>
        <v>0</v>
      </c>
      <c r="C778" s="5">
        <f>IF(OR(INDEX($V$2:$V$1001,MATCH(ROWS($U$2:U778),$U$2:$U$1001,0),1)&gt;=100000,INDEX($AB$1005:$AQ$1005,1,MATCH(COLUMNS($AB$1006:AC1006),$AB$1006:$AQ$1006,0))&gt;=100000), " ",IF(INDEX($AB$2:$AQ$1001,MATCH(ROWS($U$2:U778),$U$2:$U$1001,0),MATCH(COLUMNS($AB$1006:AC1006),$AB$1006:$AQ$1006,0)), HYPERLINK("#",""), HYPERLINK(CONCATENATE("#Metadata!", ADDRESS(INDEX($W$2:$W$1001,MATCH(ROWS($U$2:U778),$U$2:$U$1001,0),0), INDEX($AB$1004:$AQ$1004,1,MATCH(COLUMNS($AB$1006:AC1006),$AB$1006:$AQ$1006,0)))),"Fix")))</f>
        <v>0</v>
      </c>
      <c r="D778" s="5">
        <f>IF(OR(INDEX($V$2:$V$1001,MATCH(ROWS($U$2:U778),$U$2:$U$1001,0),1)&gt;=100000,INDEX($AB$1005:$AQ$1005,1,MATCH(COLUMNS($AB$1006:AD1006),$AB$1006:$AQ$1006,0))&gt;=100000), " ",IF(INDEX($AB$2:$AQ$1001,MATCH(ROWS($U$2:U778),$U$2:$U$1001,0),MATCH(COLUMNS($AB$1006:AD1006),$AB$1006:$AQ$1006,0)), HYPERLINK("#",""), HYPERLINK(CONCATENATE("#Metadata!", ADDRESS(INDEX($W$2:$W$1001,MATCH(ROWS($U$2:U778),$U$2:$U$1001,0),0), INDEX($AB$1004:$AQ$1004,1,MATCH(COLUMNS($AB$1006:AD1006),$AB$1006:$AQ$1006,0)))),"Fix")))</f>
        <v>0</v>
      </c>
      <c r="E778" s="5">
        <f>IF(OR(INDEX($V$2:$V$1001,MATCH(ROWS($U$2:U778),$U$2:$U$1001,0),1)&gt;=100000,INDEX($AB$1005:$AQ$1005,1,MATCH(COLUMNS($AB$1006:AE1006),$AB$1006:$AQ$1006,0))&gt;=100000), " ",IF(INDEX($AB$2:$AQ$1001,MATCH(ROWS($U$2:U778),$U$2:$U$1001,0),MATCH(COLUMNS($AB$1006:AE1006),$AB$1006:$AQ$1006,0)), HYPERLINK("#",""), HYPERLINK(CONCATENATE("#Metadata!", ADDRESS(INDEX($W$2:$W$1001,MATCH(ROWS($U$2:U778),$U$2:$U$1001,0),0), INDEX($AB$1004:$AQ$1004,1,MATCH(COLUMNS($AB$1006:AE1006),$AB$1006:$AQ$1006,0)))),"Fix")))</f>
        <v>0</v>
      </c>
      <c r="F778" s="5">
        <f>IF(OR(INDEX($V$2:$V$1001,MATCH(ROWS($U$2:U778),$U$2:$U$1001,0),1)&gt;=100000,INDEX($AB$1005:$AQ$1005,1,MATCH(COLUMNS($AB$1006:AF1006),$AB$1006:$AQ$1006,0))&gt;=100000), " ",IF(INDEX($AB$2:$AQ$1001,MATCH(ROWS($U$2:U778),$U$2:$U$1001,0),MATCH(COLUMNS($AB$1006:AF1006),$AB$1006:$AQ$1006,0)), HYPERLINK("#",""), HYPERLINK(CONCATENATE("#Metadata!", ADDRESS(INDEX($W$2:$W$1001,MATCH(ROWS($U$2:U778),$U$2:$U$1001,0),0), INDEX($AB$1004:$AQ$1004,1,MATCH(COLUMNS($AB$1006:AF1006),$AB$1006:$AQ$1006,0)))),"Fix")))</f>
        <v>0</v>
      </c>
      <c r="G778" s="5">
        <f>IF(OR(INDEX($V$2:$V$1001,MATCH(ROWS($U$2:U778),$U$2:$U$1001,0),1)&gt;=100000,INDEX($AB$1005:$AQ$1005,1,MATCH(COLUMNS($AB$1006:AG1006),$AB$1006:$AQ$1006,0))&gt;=100000), " ",IF(INDEX($AB$2:$AQ$1001,MATCH(ROWS($U$2:U778),$U$2:$U$1001,0),MATCH(COLUMNS($AB$1006:AG1006),$AB$1006:$AQ$1006,0)), HYPERLINK("#",""), HYPERLINK(CONCATENATE("#Metadata!", ADDRESS(INDEX($W$2:$W$1001,MATCH(ROWS($U$2:U778),$U$2:$U$1001,0),0), INDEX($AB$1004:$AQ$1004,1,MATCH(COLUMNS($AB$1006:AG1006),$AB$1006:$AQ$1006,0)))),"Fix")))</f>
        <v>0</v>
      </c>
      <c r="H778" s="5">
        <f>IF(OR(INDEX($V$2:$V$1001,MATCH(ROWS($U$2:U778),$U$2:$U$1001,0),1)&gt;=100000,INDEX($AB$1005:$AQ$1005,1,MATCH(COLUMNS($AB$1006:AH1006),$AB$1006:$AQ$1006,0))&gt;=100000), " ",IF(INDEX($AB$2:$AQ$1001,MATCH(ROWS($U$2:U778),$U$2:$U$1001,0),MATCH(COLUMNS($AB$1006:AH1006),$AB$1006:$AQ$1006,0)), HYPERLINK("#",""), HYPERLINK(CONCATENATE("#Metadata!", ADDRESS(INDEX($W$2:$W$1001,MATCH(ROWS($U$2:U778),$U$2:$U$1001,0),0), INDEX($AB$1004:$AQ$1004,1,MATCH(COLUMNS($AB$1006:AH1006),$AB$1006:$AQ$1006,0)))),"Fix")))</f>
        <v>0</v>
      </c>
      <c r="I778" s="5">
        <f>IF(OR(INDEX($V$2:$V$1001,MATCH(ROWS($U$2:U778),$U$2:$U$1001,0),1)&gt;=100000,INDEX($AB$1005:$AQ$1005,1,MATCH(COLUMNS($AB$1006:AI1006),$AB$1006:$AQ$1006,0))&gt;=100000), " ",IF(INDEX($AB$2:$AQ$1001,MATCH(ROWS($U$2:U778),$U$2:$U$1001,0),MATCH(COLUMNS($AB$1006:AI1006),$AB$1006:$AQ$1006,0)), HYPERLINK("#",""), HYPERLINK(CONCATENATE("#Metadata!", ADDRESS(INDEX($W$2:$W$1001,MATCH(ROWS($U$2:U778),$U$2:$U$1001,0),0), INDEX($AB$1004:$AQ$1004,1,MATCH(COLUMNS($AB$1006:AI1006),$AB$1006:$AQ$1006,0)))),"Fix")))</f>
        <v>0</v>
      </c>
      <c r="J778" s="5">
        <f>IF(OR(INDEX($V$2:$V$1001,MATCH(ROWS($U$2:U778),$U$2:$U$1001,0),1)&gt;=100000,INDEX($AB$1005:$AQ$1005,1,MATCH(COLUMNS($AB$1006:AJ1006),$AB$1006:$AQ$1006,0))&gt;=100000), " ",IF(INDEX($AB$2:$AQ$1001,MATCH(ROWS($U$2:U778),$U$2:$U$1001,0),MATCH(COLUMNS($AB$1006:AJ1006),$AB$1006:$AQ$1006,0)), HYPERLINK("#",""), HYPERLINK(CONCATENATE("#Metadata!", ADDRESS(INDEX($W$2:$W$1001,MATCH(ROWS($U$2:U778),$U$2:$U$1001,0),0), INDEX($AB$1004:$AQ$1004,1,MATCH(COLUMNS($AB$1006:AJ1006),$AB$1006:$AQ$1006,0)))),"Fix")))</f>
        <v>0</v>
      </c>
      <c r="K778" s="5">
        <f>IF(OR(INDEX($V$2:$V$1001,MATCH(ROWS($U$2:U778),$U$2:$U$1001,0),1)&gt;=100000,INDEX($AB$1005:$AQ$1005,1,MATCH(COLUMNS($AB$1006:AK1006),$AB$1006:$AQ$1006,0))&gt;=100000), " ",IF(INDEX($AB$2:$AQ$1001,MATCH(ROWS($U$2:U778),$U$2:$U$1001,0),MATCH(COLUMNS($AB$1006:AK1006),$AB$1006:$AQ$1006,0)), HYPERLINK("#",""), HYPERLINK(CONCATENATE("#Metadata!", ADDRESS(INDEX($W$2:$W$1001,MATCH(ROWS($U$2:U778),$U$2:$U$1001,0),0), INDEX($AB$1004:$AQ$1004,1,MATCH(COLUMNS($AB$1006:AK1006),$AB$1006:$AQ$1006,0)))),"Fix")))</f>
        <v>0</v>
      </c>
      <c r="L778" s="5">
        <f>IF(OR(INDEX($V$2:$V$1001,MATCH(ROWS($U$2:U778),$U$2:$U$1001,0),1)&gt;=100000,INDEX($AB$1005:$AQ$1005,1,MATCH(COLUMNS($AB$1006:AL1006),$AB$1006:$AQ$1006,0))&gt;=100000), " ",IF(INDEX($AB$2:$AQ$1001,MATCH(ROWS($U$2:U778),$U$2:$U$1001,0),MATCH(COLUMNS($AB$1006:AL1006),$AB$1006:$AQ$1006,0)), HYPERLINK("#",""), HYPERLINK(CONCATENATE("#Metadata!", ADDRESS(INDEX($W$2:$W$1001,MATCH(ROWS($U$2:U778),$U$2:$U$1001,0),0), INDEX($AB$1004:$AQ$1004,1,MATCH(COLUMNS($AB$1006:AL1006),$AB$1006:$AQ$1006,0)))),"Fix")))</f>
        <v>0</v>
      </c>
      <c r="M778" s="5">
        <f>IF(OR(INDEX($V$2:$V$1001,MATCH(ROWS($U$2:U778),$U$2:$U$1001,0),1)&gt;=100000,INDEX($AB$1005:$AQ$1005,1,MATCH(COLUMNS($AB$1006:AM1006),$AB$1006:$AQ$1006,0))&gt;=100000), " ",IF(INDEX($AB$2:$AQ$1001,MATCH(ROWS($U$2:U778),$U$2:$U$1001,0),MATCH(COLUMNS($AB$1006:AM1006),$AB$1006:$AQ$1006,0)), HYPERLINK("#",""), HYPERLINK(CONCATENATE("#Metadata!", ADDRESS(INDEX($W$2:$W$1001,MATCH(ROWS($U$2:U778),$U$2:$U$1001,0),0), INDEX($AB$1004:$AQ$1004,1,MATCH(COLUMNS($AB$1006:AM1006),$AB$1006:$AQ$1006,0)))),"Fix")))</f>
        <v>0</v>
      </c>
      <c r="N778" s="5">
        <f>IF(OR(INDEX($V$2:$V$1001,MATCH(ROWS($U$2:U778),$U$2:$U$1001,0),1)&gt;=100000,INDEX($AB$1005:$AQ$1005,1,MATCH(COLUMNS($AB$1006:AN1006),$AB$1006:$AQ$1006,0))&gt;=100000), " ",IF(INDEX($AB$2:$AQ$1001,MATCH(ROWS($U$2:U778),$U$2:$U$1001,0),MATCH(COLUMNS($AB$1006:AN1006),$AB$1006:$AQ$1006,0)), HYPERLINK("#",""), HYPERLINK(CONCATENATE("#Metadata!", ADDRESS(INDEX($W$2:$W$1001,MATCH(ROWS($U$2:U778),$U$2:$U$1001,0),0), INDEX($AB$1004:$AQ$1004,1,MATCH(COLUMNS($AB$1006:AN1006),$AB$1006:$AQ$1006,0)))),"Fix")))</f>
        <v>0</v>
      </c>
      <c r="O778" s="5">
        <f>IF(OR(INDEX($V$2:$V$1001,MATCH(ROWS($U$2:U778),$U$2:$U$1001,0),1)&gt;=100000,INDEX($AB$1005:$AQ$1005,1,MATCH(COLUMNS($AB$1006:AO1006),$AB$1006:$AQ$1006,0))&gt;=100000), " ",IF(INDEX($AB$2:$AQ$1001,MATCH(ROWS($U$2:U778),$U$2:$U$1001,0),MATCH(COLUMNS($AB$1006:AO1006),$AB$1006:$AQ$1006,0)), HYPERLINK("#",""), HYPERLINK(CONCATENATE("#Metadata!", ADDRESS(INDEX($W$2:$W$1001,MATCH(ROWS($U$2:U778),$U$2:$U$1001,0),0), INDEX($AB$1004:$AQ$1004,1,MATCH(COLUMNS($AB$1006:AO1006),$AB$1006:$AQ$1006,0)))),"Fix")))</f>
        <v>0</v>
      </c>
      <c r="P778" s="5">
        <f>IF(OR(INDEX($V$2:$V$1001,MATCH(ROWS($U$2:U778),$U$2:$U$1001,0),1)&gt;=100000,INDEX($AB$1005:$AQ$1005,1,MATCH(COLUMNS($AB$1006:AP1006),$AB$1006:$AQ$1006,0))&gt;=100000), " ",IF(INDEX($AB$2:$AQ$1001,MATCH(ROWS($U$2:U778),$U$2:$U$1001,0),MATCH(COLUMNS($AB$1006:AP1006),$AB$1006:$AQ$1006,0)), HYPERLINK("#",""), HYPERLINK(CONCATENATE("#Metadata!", ADDRESS(INDEX($W$2:$W$1001,MATCH(ROWS($U$2:U778),$U$2:$U$1001,0),0), INDEX($AB$1004:$AQ$1004,1,MATCH(COLUMNS($AB$1006:AP1006),$AB$1006:$AQ$1006,0)))),"Fix")))</f>
        <v>0</v>
      </c>
      <c r="Q778" s="5">
        <f>IF(OR(INDEX($V$2:$V$1001,MATCH(ROWS($U$2:U778),$U$2:$U$1001,0),1)&gt;=100000,INDEX($AB$1005:$AQ$1005,1,MATCH(COLUMNS($AB$1006:AQ1006),$AB$1006:$AQ$1006,0))&gt;=100000), " ",IF(INDEX($AB$2:$AQ$1001,MATCH(ROWS($U$2:U778),$U$2:$U$1001,0),MATCH(COLUMNS($AB$1006:AQ1006),$AB$1006:$AQ$1006,0)), HYPERLINK("#",""), HYPERLINK(CONCATENATE("#Metadata!", ADDRESS(INDEX($W$2:$W$1001,MATCH(ROWS($U$2:U778),$U$2:$U$1001,0),0), INDEX($AB$1004:$AQ$1004,1,MATCH(COLUMNS($AB$1006:AQ1006),$AB$1006:$AQ$1006,0)))),"Fix")))</f>
        <v>0</v>
      </c>
      <c r="U778">
        <v>0</v>
      </c>
      <c r="V778">
        <v>0</v>
      </c>
      <c r="W778">
        <v>0</v>
      </c>
      <c r="X778">
        <f>IF(Y778,TRUE,AND(AB778:AQ778))</f>
        <v>0</v>
      </c>
      <c r="Y778">
        <f>COUNTBLANK(Metadata!B778:Q778)=COLUMNS(Metadata!B778:Q778)</f>
        <v>0</v>
      </c>
      <c r="Z778">
        <v>0</v>
      </c>
      <c r="AB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AC778">
        <f>AND(IF(Metadata!C778="",FALSE,TRUE),exact(Metadata!C778,"urban biome"))</f>
        <v>0</v>
      </c>
      <c r="AD778">
        <f>AND(IF(Metadata!D778="",FALSE,TRUE),exact(Metadata!D778,"human-associated habitat"))</f>
        <v>0</v>
      </c>
      <c r="AE778">
        <f>AND(IF(Metadata!E778="",FALSE,TRUE),OR(exact(Metadata!E778,"human-associated"),exact(Metadata!E778,"human-skin"),exact(Metadata!E778,"human-oral"),exact(Metadata!E778,"human-gut"),exact(Metadata!E778,"human-vaginal")))</f>
        <v>0</v>
      </c>
      <c r="AF778">
        <f>AND(IF(Metadata!F778="",FALSE,ISNUMBER(VALUE(Metadata!F778))),Metadata!F778&gt;0)</f>
        <v>0</v>
      </c>
      <c r="AG778">
        <f>AND(IF(Metadata!G778="",FALSE,TRUE),exact(Metadata!G778,"years"))</f>
        <v>0</v>
      </c>
      <c r="AH778">
        <f>OR(AND(IF(Metadata!H778="",FALSE,TRUE),OR(exact(Metadata!H778,"not applicable"),exact(Metadata!H778,"not collected"),exact(Metadata!H778,"not provided"),exact(Metadata!H778,"restricted access"))),AND(IF(Metadata!H778="",FALSE,ISNUMBER(VALUE(Metadata!H778))),Metadata!H778&gt;0))</f>
        <v>0</v>
      </c>
      <c r="AI778">
        <f>AND(IF(Metadata!I778="",FALSE,TRUE),exact(Metadata!I778,"human"))</f>
        <v>0</v>
      </c>
      <c r="AJ778">
        <f>AND(IF(Metadata!J778="",FALSE,ISNUMBER(VALUE(Metadata!J778))),Metadata!J778&gt;0)</f>
        <v>0</v>
      </c>
      <c r="AK778">
        <f>AND(IF(Metadata!K778="",FALSE,TRUE),exact(Metadata!K778,"cm"))</f>
        <v>0</v>
      </c>
      <c r="AL778">
        <f>AND(IF(Metadata!L778="",FALSE,TRUE),exact(Metadata!L778,"Homo sapiens"))</f>
        <v>0</v>
      </c>
      <c r="AM778">
        <f>AND(IF(Metadata!M778="",FALSE,TRUE),exact(Metadata!M778,"9606"))</f>
        <v>0</v>
      </c>
      <c r="AN778">
        <f>AND(IF(Metadata!N778="",FALSE,ISNUMBER(VALUE(Metadata!N778))),Metadata!N778&gt;0)</f>
        <v>0</v>
      </c>
      <c r="AO778">
        <f>AND(IF(Metadata!O778="",FALSE,TRUE),exact(Metadata!O778,"kg"))</f>
        <v>0</v>
      </c>
      <c r="AP778">
        <f>OR(AND(IF(Metadata!P778="",FALSE,TRUE),exact(Metadata!P778,"not provided")),IF(Metadata!P778="",FALSE,TRUE))</f>
        <v>0</v>
      </c>
      <c r="AQ778">
        <f>OR(AND(IF(Metadata!Q778="",FALSE,TRUE),exact(Metadata!Q778,"not provided")),IF(Metadata!Q778="",FALSE,TRUE))</f>
        <v>0</v>
      </c>
    </row>
    <row r="779" spans="1:43">
      <c r="A779" s="4">
        <f>IF(B779=" "," ",HYPERLINK(CONCATENATE("#metadata!",ADDRESS(INDEX($W$2:$W$1001,MATCH(ROWS($U$2:U779),$U$2:$U$1001,0),0),2)),INDEX($Z$2:$Z$1001,MATCH(ROWS($U$2:U779),$U$2:$U$1001,0),0)))</f>
        <v>0</v>
      </c>
      <c r="B779" s="5">
        <f>IF(OR(INDEX($V$2:$V$1001,MATCH(ROWS($U$2:U779),$U$2:$U$1001,0),1)&gt;=100000,INDEX($AB$1005:$AQ$1005,1,MATCH(COLUMNS($AB$1006:AB1006),$AB$1006:$AQ$1006,0))&gt;=100000), " ",IF(INDEX($AB$2:$AQ$1001,MATCH(ROWS($U$2:U779),$U$2:$U$1001,0),MATCH(COLUMNS($AB$1006:AB1006),$AB$1006:$AQ$1006,0)), HYPERLINK("#",""), HYPERLINK(CONCATENATE("#Metadata!", ADDRESS(INDEX($W$2:$W$1001,MATCH(ROWS($U$2:U779),$U$2:$U$1001,0),0), INDEX($AB$1004:$AQ$1004,1,MATCH(COLUMNS($AB$1006:AB1006),$AB$1006:$AQ$1006,0)))),"Fix")))</f>
        <v>0</v>
      </c>
      <c r="C779" s="5">
        <f>IF(OR(INDEX($V$2:$V$1001,MATCH(ROWS($U$2:U779),$U$2:$U$1001,0),1)&gt;=100000,INDEX($AB$1005:$AQ$1005,1,MATCH(COLUMNS($AB$1006:AC1006),$AB$1006:$AQ$1006,0))&gt;=100000), " ",IF(INDEX($AB$2:$AQ$1001,MATCH(ROWS($U$2:U779),$U$2:$U$1001,0),MATCH(COLUMNS($AB$1006:AC1006),$AB$1006:$AQ$1006,0)), HYPERLINK("#",""), HYPERLINK(CONCATENATE("#Metadata!", ADDRESS(INDEX($W$2:$W$1001,MATCH(ROWS($U$2:U779),$U$2:$U$1001,0),0), INDEX($AB$1004:$AQ$1004,1,MATCH(COLUMNS($AB$1006:AC1006),$AB$1006:$AQ$1006,0)))),"Fix")))</f>
        <v>0</v>
      </c>
      <c r="D779" s="5">
        <f>IF(OR(INDEX($V$2:$V$1001,MATCH(ROWS($U$2:U779),$U$2:$U$1001,0),1)&gt;=100000,INDEX($AB$1005:$AQ$1005,1,MATCH(COLUMNS($AB$1006:AD1006),$AB$1006:$AQ$1006,0))&gt;=100000), " ",IF(INDEX($AB$2:$AQ$1001,MATCH(ROWS($U$2:U779),$U$2:$U$1001,0),MATCH(COLUMNS($AB$1006:AD1006),$AB$1006:$AQ$1006,0)), HYPERLINK("#",""), HYPERLINK(CONCATENATE("#Metadata!", ADDRESS(INDEX($W$2:$W$1001,MATCH(ROWS($U$2:U779),$U$2:$U$1001,0),0), INDEX($AB$1004:$AQ$1004,1,MATCH(COLUMNS($AB$1006:AD1006),$AB$1006:$AQ$1006,0)))),"Fix")))</f>
        <v>0</v>
      </c>
      <c r="E779" s="5">
        <f>IF(OR(INDEX($V$2:$V$1001,MATCH(ROWS($U$2:U779),$U$2:$U$1001,0),1)&gt;=100000,INDEX($AB$1005:$AQ$1005,1,MATCH(COLUMNS($AB$1006:AE1006),$AB$1006:$AQ$1006,0))&gt;=100000), " ",IF(INDEX($AB$2:$AQ$1001,MATCH(ROWS($U$2:U779),$U$2:$U$1001,0),MATCH(COLUMNS($AB$1006:AE1006),$AB$1006:$AQ$1006,0)), HYPERLINK("#",""), HYPERLINK(CONCATENATE("#Metadata!", ADDRESS(INDEX($W$2:$W$1001,MATCH(ROWS($U$2:U779),$U$2:$U$1001,0),0), INDEX($AB$1004:$AQ$1004,1,MATCH(COLUMNS($AB$1006:AE1006),$AB$1006:$AQ$1006,0)))),"Fix")))</f>
        <v>0</v>
      </c>
      <c r="F779" s="5">
        <f>IF(OR(INDEX($V$2:$V$1001,MATCH(ROWS($U$2:U779),$U$2:$U$1001,0),1)&gt;=100000,INDEX($AB$1005:$AQ$1005,1,MATCH(COLUMNS($AB$1006:AF1006),$AB$1006:$AQ$1006,0))&gt;=100000), " ",IF(INDEX($AB$2:$AQ$1001,MATCH(ROWS($U$2:U779),$U$2:$U$1001,0),MATCH(COLUMNS($AB$1006:AF1006),$AB$1006:$AQ$1006,0)), HYPERLINK("#",""), HYPERLINK(CONCATENATE("#Metadata!", ADDRESS(INDEX($W$2:$W$1001,MATCH(ROWS($U$2:U779),$U$2:$U$1001,0),0), INDEX($AB$1004:$AQ$1004,1,MATCH(COLUMNS($AB$1006:AF1006),$AB$1006:$AQ$1006,0)))),"Fix")))</f>
        <v>0</v>
      </c>
      <c r="G779" s="5">
        <f>IF(OR(INDEX($V$2:$V$1001,MATCH(ROWS($U$2:U779),$U$2:$U$1001,0),1)&gt;=100000,INDEX($AB$1005:$AQ$1005,1,MATCH(COLUMNS($AB$1006:AG1006),$AB$1006:$AQ$1006,0))&gt;=100000), " ",IF(INDEX($AB$2:$AQ$1001,MATCH(ROWS($U$2:U779),$U$2:$U$1001,0),MATCH(COLUMNS($AB$1006:AG1006),$AB$1006:$AQ$1006,0)), HYPERLINK("#",""), HYPERLINK(CONCATENATE("#Metadata!", ADDRESS(INDEX($W$2:$W$1001,MATCH(ROWS($U$2:U779),$U$2:$U$1001,0),0), INDEX($AB$1004:$AQ$1004,1,MATCH(COLUMNS($AB$1006:AG1006),$AB$1006:$AQ$1006,0)))),"Fix")))</f>
        <v>0</v>
      </c>
      <c r="H779" s="5">
        <f>IF(OR(INDEX($V$2:$V$1001,MATCH(ROWS($U$2:U779),$U$2:$U$1001,0),1)&gt;=100000,INDEX($AB$1005:$AQ$1005,1,MATCH(COLUMNS($AB$1006:AH1006),$AB$1006:$AQ$1006,0))&gt;=100000), " ",IF(INDEX($AB$2:$AQ$1001,MATCH(ROWS($U$2:U779),$U$2:$U$1001,0),MATCH(COLUMNS($AB$1006:AH1006),$AB$1006:$AQ$1006,0)), HYPERLINK("#",""), HYPERLINK(CONCATENATE("#Metadata!", ADDRESS(INDEX($W$2:$W$1001,MATCH(ROWS($U$2:U779),$U$2:$U$1001,0),0), INDEX($AB$1004:$AQ$1004,1,MATCH(COLUMNS($AB$1006:AH1006),$AB$1006:$AQ$1006,0)))),"Fix")))</f>
        <v>0</v>
      </c>
      <c r="I779" s="5">
        <f>IF(OR(INDEX($V$2:$V$1001,MATCH(ROWS($U$2:U779),$U$2:$U$1001,0),1)&gt;=100000,INDEX($AB$1005:$AQ$1005,1,MATCH(COLUMNS($AB$1006:AI1006),$AB$1006:$AQ$1006,0))&gt;=100000), " ",IF(INDEX($AB$2:$AQ$1001,MATCH(ROWS($U$2:U779),$U$2:$U$1001,0),MATCH(COLUMNS($AB$1006:AI1006),$AB$1006:$AQ$1006,0)), HYPERLINK("#",""), HYPERLINK(CONCATENATE("#Metadata!", ADDRESS(INDEX($W$2:$W$1001,MATCH(ROWS($U$2:U779),$U$2:$U$1001,0),0), INDEX($AB$1004:$AQ$1004,1,MATCH(COLUMNS($AB$1006:AI1006),$AB$1006:$AQ$1006,0)))),"Fix")))</f>
        <v>0</v>
      </c>
      <c r="J779" s="5">
        <f>IF(OR(INDEX($V$2:$V$1001,MATCH(ROWS($U$2:U779),$U$2:$U$1001,0),1)&gt;=100000,INDEX($AB$1005:$AQ$1005,1,MATCH(COLUMNS($AB$1006:AJ1006),$AB$1006:$AQ$1006,0))&gt;=100000), " ",IF(INDEX($AB$2:$AQ$1001,MATCH(ROWS($U$2:U779),$U$2:$U$1001,0),MATCH(COLUMNS($AB$1006:AJ1006),$AB$1006:$AQ$1006,0)), HYPERLINK("#",""), HYPERLINK(CONCATENATE("#Metadata!", ADDRESS(INDEX($W$2:$W$1001,MATCH(ROWS($U$2:U779),$U$2:$U$1001,0),0), INDEX($AB$1004:$AQ$1004,1,MATCH(COLUMNS($AB$1006:AJ1006),$AB$1006:$AQ$1006,0)))),"Fix")))</f>
        <v>0</v>
      </c>
      <c r="K779" s="5">
        <f>IF(OR(INDEX($V$2:$V$1001,MATCH(ROWS($U$2:U779),$U$2:$U$1001,0),1)&gt;=100000,INDEX($AB$1005:$AQ$1005,1,MATCH(COLUMNS($AB$1006:AK1006),$AB$1006:$AQ$1006,0))&gt;=100000), " ",IF(INDEX($AB$2:$AQ$1001,MATCH(ROWS($U$2:U779),$U$2:$U$1001,0),MATCH(COLUMNS($AB$1006:AK1006),$AB$1006:$AQ$1006,0)), HYPERLINK("#",""), HYPERLINK(CONCATENATE("#Metadata!", ADDRESS(INDEX($W$2:$W$1001,MATCH(ROWS($U$2:U779),$U$2:$U$1001,0),0), INDEX($AB$1004:$AQ$1004,1,MATCH(COLUMNS($AB$1006:AK1006),$AB$1006:$AQ$1006,0)))),"Fix")))</f>
        <v>0</v>
      </c>
      <c r="L779" s="5">
        <f>IF(OR(INDEX($V$2:$V$1001,MATCH(ROWS($U$2:U779),$U$2:$U$1001,0),1)&gt;=100000,INDEX($AB$1005:$AQ$1005,1,MATCH(COLUMNS($AB$1006:AL1006),$AB$1006:$AQ$1006,0))&gt;=100000), " ",IF(INDEX($AB$2:$AQ$1001,MATCH(ROWS($U$2:U779),$U$2:$U$1001,0),MATCH(COLUMNS($AB$1006:AL1006),$AB$1006:$AQ$1006,0)), HYPERLINK("#",""), HYPERLINK(CONCATENATE("#Metadata!", ADDRESS(INDEX($W$2:$W$1001,MATCH(ROWS($U$2:U779),$U$2:$U$1001,0),0), INDEX($AB$1004:$AQ$1004,1,MATCH(COLUMNS($AB$1006:AL1006),$AB$1006:$AQ$1006,0)))),"Fix")))</f>
        <v>0</v>
      </c>
      <c r="M779" s="5">
        <f>IF(OR(INDEX($V$2:$V$1001,MATCH(ROWS($U$2:U779),$U$2:$U$1001,0),1)&gt;=100000,INDEX($AB$1005:$AQ$1005,1,MATCH(COLUMNS($AB$1006:AM1006),$AB$1006:$AQ$1006,0))&gt;=100000), " ",IF(INDEX($AB$2:$AQ$1001,MATCH(ROWS($U$2:U779),$U$2:$U$1001,0),MATCH(COLUMNS($AB$1006:AM1006),$AB$1006:$AQ$1006,0)), HYPERLINK("#",""), HYPERLINK(CONCATENATE("#Metadata!", ADDRESS(INDEX($W$2:$W$1001,MATCH(ROWS($U$2:U779),$U$2:$U$1001,0),0), INDEX($AB$1004:$AQ$1004,1,MATCH(COLUMNS($AB$1006:AM1006),$AB$1006:$AQ$1006,0)))),"Fix")))</f>
        <v>0</v>
      </c>
      <c r="N779" s="5">
        <f>IF(OR(INDEX($V$2:$V$1001,MATCH(ROWS($U$2:U779),$U$2:$U$1001,0),1)&gt;=100000,INDEX($AB$1005:$AQ$1005,1,MATCH(COLUMNS($AB$1006:AN1006),$AB$1006:$AQ$1006,0))&gt;=100000), " ",IF(INDEX($AB$2:$AQ$1001,MATCH(ROWS($U$2:U779),$U$2:$U$1001,0),MATCH(COLUMNS($AB$1006:AN1006),$AB$1006:$AQ$1006,0)), HYPERLINK("#",""), HYPERLINK(CONCATENATE("#Metadata!", ADDRESS(INDEX($W$2:$W$1001,MATCH(ROWS($U$2:U779),$U$2:$U$1001,0),0), INDEX($AB$1004:$AQ$1004,1,MATCH(COLUMNS($AB$1006:AN1006),$AB$1006:$AQ$1006,0)))),"Fix")))</f>
        <v>0</v>
      </c>
      <c r="O779" s="5">
        <f>IF(OR(INDEX($V$2:$V$1001,MATCH(ROWS($U$2:U779),$U$2:$U$1001,0),1)&gt;=100000,INDEX($AB$1005:$AQ$1005,1,MATCH(COLUMNS($AB$1006:AO1006),$AB$1006:$AQ$1006,0))&gt;=100000), " ",IF(INDEX($AB$2:$AQ$1001,MATCH(ROWS($U$2:U779),$U$2:$U$1001,0),MATCH(COLUMNS($AB$1006:AO1006),$AB$1006:$AQ$1006,0)), HYPERLINK("#",""), HYPERLINK(CONCATENATE("#Metadata!", ADDRESS(INDEX($W$2:$W$1001,MATCH(ROWS($U$2:U779),$U$2:$U$1001,0),0), INDEX($AB$1004:$AQ$1004,1,MATCH(COLUMNS($AB$1006:AO1006),$AB$1006:$AQ$1006,0)))),"Fix")))</f>
        <v>0</v>
      </c>
      <c r="P779" s="5">
        <f>IF(OR(INDEX($V$2:$V$1001,MATCH(ROWS($U$2:U779),$U$2:$U$1001,0),1)&gt;=100000,INDEX($AB$1005:$AQ$1005,1,MATCH(COLUMNS($AB$1006:AP1006),$AB$1006:$AQ$1006,0))&gt;=100000), " ",IF(INDEX($AB$2:$AQ$1001,MATCH(ROWS($U$2:U779),$U$2:$U$1001,0),MATCH(COLUMNS($AB$1006:AP1006),$AB$1006:$AQ$1006,0)), HYPERLINK("#",""), HYPERLINK(CONCATENATE("#Metadata!", ADDRESS(INDEX($W$2:$W$1001,MATCH(ROWS($U$2:U779),$U$2:$U$1001,0),0), INDEX($AB$1004:$AQ$1004,1,MATCH(COLUMNS($AB$1006:AP1006),$AB$1006:$AQ$1006,0)))),"Fix")))</f>
        <v>0</v>
      </c>
      <c r="Q779" s="5">
        <f>IF(OR(INDEX($V$2:$V$1001,MATCH(ROWS($U$2:U779),$U$2:$U$1001,0),1)&gt;=100000,INDEX($AB$1005:$AQ$1005,1,MATCH(COLUMNS($AB$1006:AQ1006),$AB$1006:$AQ$1006,0))&gt;=100000), " ",IF(INDEX($AB$2:$AQ$1001,MATCH(ROWS($U$2:U779),$U$2:$U$1001,0),MATCH(COLUMNS($AB$1006:AQ1006),$AB$1006:$AQ$1006,0)), HYPERLINK("#",""), HYPERLINK(CONCATENATE("#Metadata!", ADDRESS(INDEX($W$2:$W$1001,MATCH(ROWS($U$2:U779),$U$2:$U$1001,0),0), INDEX($AB$1004:$AQ$1004,1,MATCH(COLUMNS($AB$1006:AQ1006),$AB$1006:$AQ$1006,0)))),"Fix")))</f>
        <v>0</v>
      </c>
      <c r="U779">
        <v>0</v>
      </c>
      <c r="V779">
        <v>0</v>
      </c>
      <c r="W779">
        <v>0</v>
      </c>
      <c r="X779">
        <f>IF(Y779,TRUE,AND(AB779:AQ779))</f>
        <v>0</v>
      </c>
      <c r="Y779">
        <f>COUNTBLANK(Metadata!B779:Q779)=COLUMNS(Metadata!B779:Q779)</f>
        <v>0</v>
      </c>
      <c r="Z779">
        <v>0</v>
      </c>
      <c r="AB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AC779">
        <f>AND(IF(Metadata!C779="",FALSE,TRUE),exact(Metadata!C779,"urban biome"))</f>
        <v>0</v>
      </c>
      <c r="AD779">
        <f>AND(IF(Metadata!D779="",FALSE,TRUE),exact(Metadata!D779,"human-associated habitat"))</f>
        <v>0</v>
      </c>
      <c r="AE779">
        <f>AND(IF(Metadata!E779="",FALSE,TRUE),OR(exact(Metadata!E779,"human-associated"),exact(Metadata!E779,"human-skin"),exact(Metadata!E779,"human-oral"),exact(Metadata!E779,"human-gut"),exact(Metadata!E779,"human-vaginal")))</f>
        <v>0</v>
      </c>
      <c r="AF779">
        <f>AND(IF(Metadata!F779="",FALSE,ISNUMBER(VALUE(Metadata!F779))),Metadata!F779&gt;0)</f>
        <v>0</v>
      </c>
      <c r="AG779">
        <f>AND(IF(Metadata!G779="",FALSE,TRUE),exact(Metadata!G779,"years"))</f>
        <v>0</v>
      </c>
      <c r="AH779">
        <f>OR(AND(IF(Metadata!H779="",FALSE,TRUE),OR(exact(Metadata!H779,"not applicable"),exact(Metadata!H779,"not collected"),exact(Metadata!H779,"not provided"),exact(Metadata!H779,"restricted access"))),AND(IF(Metadata!H779="",FALSE,ISNUMBER(VALUE(Metadata!H779))),Metadata!H779&gt;0))</f>
        <v>0</v>
      </c>
      <c r="AI779">
        <f>AND(IF(Metadata!I779="",FALSE,TRUE),exact(Metadata!I779,"human"))</f>
        <v>0</v>
      </c>
      <c r="AJ779">
        <f>AND(IF(Metadata!J779="",FALSE,ISNUMBER(VALUE(Metadata!J779))),Metadata!J779&gt;0)</f>
        <v>0</v>
      </c>
      <c r="AK779">
        <f>AND(IF(Metadata!K779="",FALSE,TRUE),exact(Metadata!K779,"cm"))</f>
        <v>0</v>
      </c>
      <c r="AL779">
        <f>AND(IF(Metadata!L779="",FALSE,TRUE),exact(Metadata!L779,"Homo sapiens"))</f>
        <v>0</v>
      </c>
      <c r="AM779">
        <f>AND(IF(Metadata!M779="",FALSE,TRUE),exact(Metadata!M779,"9606"))</f>
        <v>0</v>
      </c>
      <c r="AN779">
        <f>AND(IF(Metadata!N779="",FALSE,ISNUMBER(VALUE(Metadata!N779))),Metadata!N779&gt;0)</f>
        <v>0</v>
      </c>
      <c r="AO779">
        <f>AND(IF(Metadata!O779="",FALSE,TRUE),exact(Metadata!O779,"kg"))</f>
        <v>0</v>
      </c>
      <c r="AP779">
        <f>OR(AND(IF(Metadata!P779="",FALSE,TRUE),exact(Metadata!P779,"not provided")),IF(Metadata!P779="",FALSE,TRUE))</f>
        <v>0</v>
      </c>
      <c r="AQ779">
        <f>OR(AND(IF(Metadata!Q779="",FALSE,TRUE),exact(Metadata!Q779,"not provided")),IF(Metadata!Q779="",FALSE,TRUE))</f>
        <v>0</v>
      </c>
    </row>
    <row r="780" spans="1:43">
      <c r="A780" s="4">
        <f>IF(B780=" "," ",HYPERLINK(CONCATENATE("#metadata!",ADDRESS(INDEX($W$2:$W$1001,MATCH(ROWS($U$2:U780),$U$2:$U$1001,0),0),2)),INDEX($Z$2:$Z$1001,MATCH(ROWS($U$2:U780),$U$2:$U$1001,0),0)))</f>
        <v>0</v>
      </c>
      <c r="B780" s="5">
        <f>IF(OR(INDEX($V$2:$V$1001,MATCH(ROWS($U$2:U780),$U$2:$U$1001,0),1)&gt;=100000,INDEX($AB$1005:$AQ$1005,1,MATCH(COLUMNS($AB$1006:AB1006),$AB$1006:$AQ$1006,0))&gt;=100000), " ",IF(INDEX($AB$2:$AQ$1001,MATCH(ROWS($U$2:U780),$U$2:$U$1001,0),MATCH(COLUMNS($AB$1006:AB1006),$AB$1006:$AQ$1006,0)), HYPERLINK("#",""), HYPERLINK(CONCATENATE("#Metadata!", ADDRESS(INDEX($W$2:$W$1001,MATCH(ROWS($U$2:U780),$U$2:$U$1001,0),0), INDEX($AB$1004:$AQ$1004,1,MATCH(COLUMNS($AB$1006:AB1006),$AB$1006:$AQ$1006,0)))),"Fix")))</f>
        <v>0</v>
      </c>
      <c r="C780" s="5">
        <f>IF(OR(INDEX($V$2:$V$1001,MATCH(ROWS($U$2:U780),$U$2:$U$1001,0),1)&gt;=100000,INDEX($AB$1005:$AQ$1005,1,MATCH(COLUMNS($AB$1006:AC1006),$AB$1006:$AQ$1006,0))&gt;=100000), " ",IF(INDEX($AB$2:$AQ$1001,MATCH(ROWS($U$2:U780),$U$2:$U$1001,0),MATCH(COLUMNS($AB$1006:AC1006),$AB$1006:$AQ$1006,0)), HYPERLINK("#",""), HYPERLINK(CONCATENATE("#Metadata!", ADDRESS(INDEX($W$2:$W$1001,MATCH(ROWS($U$2:U780),$U$2:$U$1001,0),0), INDEX($AB$1004:$AQ$1004,1,MATCH(COLUMNS($AB$1006:AC1006),$AB$1006:$AQ$1006,0)))),"Fix")))</f>
        <v>0</v>
      </c>
      <c r="D780" s="5">
        <f>IF(OR(INDEX($V$2:$V$1001,MATCH(ROWS($U$2:U780),$U$2:$U$1001,0),1)&gt;=100000,INDEX($AB$1005:$AQ$1005,1,MATCH(COLUMNS($AB$1006:AD1006),$AB$1006:$AQ$1006,0))&gt;=100000), " ",IF(INDEX($AB$2:$AQ$1001,MATCH(ROWS($U$2:U780),$U$2:$U$1001,0),MATCH(COLUMNS($AB$1006:AD1006),$AB$1006:$AQ$1006,0)), HYPERLINK("#",""), HYPERLINK(CONCATENATE("#Metadata!", ADDRESS(INDEX($W$2:$W$1001,MATCH(ROWS($U$2:U780),$U$2:$U$1001,0),0), INDEX($AB$1004:$AQ$1004,1,MATCH(COLUMNS($AB$1006:AD1006),$AB$1006:$AQ$1006,0)))),"Fix")))</f>
        <v>0</v>
      </c>
      <c r="E780" s="5">
        <f>IF(OR(INDEX($V$2:$V$1001,MATCH(ROWS($U$2:U780),$U$2:$U$1001,0),1)&gt;=100000,INDEX($AB$1005:$AQ$1005,1,MATCH(COLUMNS($AB$1006:AE1006),$AB$1006:$AQ$1006,0))&gt;=100000), " ",IF(INDEX($AB$2:$AQ$1001,MATCH(ROWS($U$2:U780),$U$2:$U$1001,0),MATCH(COLUMNS($AB$1006:AE1006),$AB$1006:$AQ$1006,0)), HYPERLINK("#",""), HYPERLINK(CONCATENATE("#Metadata!", ADDRESS(INDEX($W$2:$W$1001,MATCH(ROWS($U$2:U780),$U$2:$U$1001,0),0), INDEX($AB$1004:$AQ$1004,1,MATCH(COLUMNS($AB$1006:AE1006),$AB$1006:$AQ$1006,0)))),"Fix")))</f>
        <v>0</v>
      </c>
      <c r="F780" s="5">
        <f>IF(OR(INDEX($V$2:$V$1001,MATCH(ROWS($U$2:U780),$U$2:$U$1001,0),1)&gt;=100000,INDEX($AB$1005:$AQ$1005,1,MATCH(COLUMNS($AB$1006:AF1006),$AB$1006:$AQ$1006,0))&gt;=100000), " ",IF(INDEX($AB$2:$AQ$1001,MATCH(ROWS($U$2:U780),$U$2:$U$1001,0),MATCH(COLUMNS($AB$1006:AF1006),$AB$1006:$AQ$1006,0)), HYPERLINK("#",""), HYPERLINK(CONCATENATE("#Metadata!", ADDRESS(INDEX($W$2:$W$1001,MATCH(ROWS($U$2:U780),$U$2:$U$1001,0),0), INDEX($AB$1004:$AQ$1004,1,MATCH(COLUMNS($AB$1006:AF1006),$AB$1006:$AQ$1006,0)))),"Fix")))</f>
        <v>0</v>
      </c>
      <c r="G780" s="5">
        <f>IF(OR(INDEX($V$2:$V$1001,MATCH(ROWS($U$2:U780),$U$2:$U$1001,0),1)&gt;=100000,INDEX($AB$1005:$AQ$1005,1,MATCH(COLUMNS($AB$1006:AG1006),$AB$1006:$AQ$1006,0))&gt;=100000), " ",IF(INDEX($AB$2:$AQ$1001,MATCH(ROWS($U$2:U780),$U$2:$U$1001,0),MATCH(COLUMNS($AB$1006:AG1006),$AB$1006:$AQ$1006,0)), HYPERLINK("#",""), HYPERLINK(CONCATENATE("#Metadata!", ADDRESS(INDEX($W$2:$W$1001,MATCH(ROWS($U$2:U780),$U$2:$U$1001,0),0), INDEX($AB$1004:$AQ$1004,1,MATCH(COLUMNS($AB$1006:AG1006),$AB$1006:$AQ$1006,0)))),"Fix")))</f>
        <v>0</v>
      </c>
      <c r="H780" s="5">
        <f>IF(OR(INDEX($V$2:$V$1001,MATCH(ROWS($U$2:U780),$U$2:$U$1001,0),1)&gt;=100000,INDEX($AB$1005:$AQ$1005,1,MATCH(COLUMNS($AB$1006:AH1006),$AB$1006:$AQ$1006,0))&gt;=100000), " ",IF(INDEX($AB$2:$AQ$1001,MATCH(ROWS($U$2:U780),$U$2:$U$1001,0),MATCH(COLUMNS($AB$1006:AH1006),$AB$1006:$AQ$1006,0)), HYPERLINK("#",""), HYPERLINK(CONCATENATE("#Metadata!", ADDRESS(INDEX($W$2:$W$1001,MATCH(ROWS($U$2:U780),$U$2:$U$1001,0),0), INDEX($AB$1004:$AQ$1004,1,MATCH(COLUMNS($AB$1006:AH1006),$AB$1006:$AQ$1006,0)))),"Fix")))</f>
        <v>0</v>
      </c>
      <c r="I780" s="5">
        <f>IF(OR(INDEX($V$2:$V$1001,MATCH(ROWS($U$2:U780),$U$2:$U$1001,0),1)&gt;=100000,INDEX($AB$1005:$AQ$1005,1,MATCH(COLUMNS($AB$1006:AI1006),$AB$1006:$AQ$1006,0))&gt;=100000), " ",IF(INDEX($AB$2:$AQ$1001,MATCH(ROWS($U$2:U780),$U$2:$U$1001,0),MATCH(COLUMNS($AB$1006:AI1006),$AB$1006:$AQ$1006,0)), HYPERLINK("#",""), HYPERLINK(CONCATENATE("#Metadata!", ADDRESS(INDEX($W$2:$W$1001,MATCH(ROWS($U$2:U780),$U$2:$U$1001,0),0), INDEX($AB$1004:$AQ$1004,1,MATCH(COLUMNS($AB$1006:AI1006),$AB$1006:$AQ$1006,0)))),"Fix")))</f>
        <v>0</v>
      </c>
      <c r="J780" s="5">
        <f>IF(OR(INDEX($V$2:$V$1001,MATCH(ROWS($U$2:U780),$U$2:$U$1001,0),1)&gt;=100000,INDEX($AB$1005:$AQ$1005,1,MATCH(COLUMNS($AB$1006:AJ1006),$AB$1006:$AQ$1006,0))&gt;=100000), " ",IF(INDEX($AB$2:$AQ$1001,MATCH(ROWS($U$2:U780),$U$2:$U$1001,0),MATCH(COLUMNS($AB$1006:AJ1006),$AB$1006:$AQ$1006,0)), HYPERLINK("#",""), HYPERLINK(CONCATENATE("#Metadata!", ADDRESS(INDEX($W$2:$W$1001,MATCH(ROWS($U$2:U780),$U$2:$U$1001,0),0), INDEX($AB$1004:$AQ$1004,1,MATCH(COLUMNS($AB$1006:AJ1006),$AB$1006:$AQ$1006,0)))),"Fix")))</f>
        <v>0</v>
      </c>
      <c r="K780" s="5">
        <f>IF(OR(INDEX($V$2:$V$1001,MATCH(ROWS($U$2:U780),$U$2:$U$1001,0),1)&gt;=100000,INDEX($AB$1005:$AQ$1005,1,MATCH(COLUMNS($AB$1006:AK1006),$AB$1006:$AQ$1006,0))&gt;=100000), " ",IF(INDEX($AB$2:$AQ$1001,MATCH(ROWS($U$2:U780),$U$2:$U$1001,0),MATCH(COLUMNS($AB$1006:AK1006),$AB$1006:$AQ$1006,0)), HYPERLINK("#",""), HYPERLINK(CONCATENATE("#Metadata!", ADDRESS(INDEX($W$2:$W$1001,MATCH(ROWS($U$2:U780),$U$2:$U$1001,0),0), INDEX($AB$1004:$AQ$1004,1,MATCH(COLUMNS($AB$1006:AK1006),$AB$1006:$AQ$1006,0)))),"Fix")))</f>
        <v>0</v>
      </c>
      <c r="L780" s="5">
        <f>IF(OR(INDEX($V$2:$V$1001,MATCH(ROWS($U$2:U780),$U$2:$U$1001,0),1)&gt;=100000,INDEX($AB$1005:$AQ$1005,1,MATCH(COLUMNS($AB$1006:AL1006),$AB$1006:$AQ$1006,0))&gt;=100000), " ",IF(INDEX($AB$2:$AQ$1001,MATCH(ROWS($U$2:U780),$U$2:$U$1001,0),MATCH(COLUMNS($AB$1006:AL1006),$AB$1006:$AQ$1006,0)), HYPERLINK("#",""), HYPERLINK(CONCATENATE("#Metadata!", ADDRESS(INDEX($W$2:$W$1001,MATCH(ROWS($U$2:U780),$U$2:$U$1001,0),0), INDEX($AB$1004:$AQ$1004,1,MATCH(COLUMNS($AB$1006:AL1006),$AB$1006:$AQ$1006,0)))),"Fix")))</f>
        <v>0</v>
      </c>
      <c r="M780" s="5">
        <f>IF(OR(INDEX($V$2:$V$1001,MATCH(ROWS($U$2:U780),$U$2:$U$1001,0),1)&gt;=100000,INDEX($AB$1005:$AQ$1005,1,MATCH(COLUMNS($AB$1006:AM1006),$AB$1006:$AQ$1006,0))&gt;=100000), " ",IF(INDEX($AB$2:$AQ$1001,MATCH(ROWS($U$2:U780),$U$2:$U$1001,0),MATCH(COLUMNS($AB$1006:AM1006),$AB$1006:$AQ$1006,0)), HYPERLINK("#",""), HYPERLINK(CONCATENATE("#Metadata!", ADDRESS(INDEX($W$2:$W$1001,MATCH(ROWS($U$2:U780),$U$2:$U$1001,0),0), INDEX($AB$1004:$AQ$1004,1,MATCH(COLUMNS($AB$1006:AM1006),$AB$1006:$AQ$1006,0)))),"Fix")))</f>
        <v>0</v>
      </c>
      <c r="N780" s="5">
        <f>IF(OR(INDEX($V$2:$V$1001,MATCH(ROWS($U$2:U780),$U$2:$U$1001,0),1)&gt;=100000,INDEX($AB$1005:$AQ$1005,1,MATCH(COLUMNS($AB$1006:AN1006),$AB$1006:$AQ$1006,0))&gt;=100000), " ",IF(INDEX($AB$2:$AQ$1001,MATCH(ROWS($U$2:U780),$U$2:$U$1001,0),MATCH(COLUMNS($AB$1006:AN1006),$AB$1006:$AQ$1006,0)), HYPERLINK("#",""), HYPERLINK(CONCATENATE("#Metadata!", ADDRESS(INDEX($W$2:$W$1001,MATCH(ROWS($U$2:U780),$U$2:$U$1001,0),0), INDEX($AB$1004:$AQ$1004,1,MATCH(COLUMNS($AB$1006:AN1006),$AB$1006:$AQ$1006,0)))),"Fix")))</f>
        <v>0</v>
      </c>
      <c r="O780" s="5">
        <f>IF(OR(INDEX($V$2:$V$1001,MATCH(ROWS($U$2:U780),$U$2:$U$1001,0),1)&gt;=100000,INDEX($AB$1005:$AQ$1005,1,MATCH(COLUMNS($AB$1006:AO1006),$AB$1006:$AQ$1006,0))&gt;=100000), " ",IF(INDEX($AB$2:$AQ$1001,MATCH(ROWS($U$2:U780),$U$2:$U$1001,0),MATCH(COLUMNS($AB$1006:AO1006),$AB$1006:$AQ$1006,0)), HYPERLINK("#",""), HYPERLINK(CONCATENATE("#Metadata!", ADDRESS(INDEX($W$2:$W$1001,MATCH(ROWS($U$2:U780),$U$2:$U$1001,0),0), INDEX($AB$1004:$AQ$1004,1,MATCH(COLUMNS($AB$1006:AO1006),$AB$1006:$AQ$1006,0)))),"Fix")))</f>
        <v>0</v>
      </c>
      <c r="P780" s="5">
        <f>IF(OR(INDEX($V$2:$V$1001,MATCH(ROWS($U$2:U780),$U$2:$U$1001,0),1)&gt;=100000,INDEX($AB$1005:$AQ$1005,1,MATCH(COLUMNS($AB$1006:AP1006),$AB$1006:$AQ$1006,0))&gt;=100000), " ",IF(INDEX($AB$2:$AQ$1001,MATCH(ROWS($U$2:U780),$U$2:$U$1001,0),MATCH(COLUMNS($AB$1006:AP1006),$AB$1006:$AQ$1006,0)), HYPERLINK("#",""), HYPERLINK(CONCATENATE("#Metadata!", ADDRESS(INDEX($W$2:$W$1001,MATCH(ROWS($U$2:U780),$U$2:$U$1001,0),0), INDEX($AB$1004:$AQ$1004,1,MATCH(COLUMNS($AB$1006:AP1006),$AB$1006:$AQ$1006,0)))),"Fix")))</f>
        <v>0</v>
      </c>
      <c r="Q780" s="5">
        <f>IF(OR(INDEX($V$2:$V$1001,MATCH(ROWS($U$2:U780),$U$2:$U$1001,0),1)&gt;=100000,INDEX($AB$1005:$AQ$1005,1,MATCH(COLUMNS($AB$1006:AQ1006),$AB$1006:$AQ$1006,0))&gt;=100000), " ",IF(INDEX($AB$2:$AQ$1001,MATCH(ROWS($U$2:U780),$U$2:$U$1001,0),MATCH(COLUMNS($AB$1006:AQ1006),$AB$1006:$AQ$1006,0)), HYPERLINK("#",""), HYPERLINK(CONCATENATE("#Metadata!", ADDRESS(INDEX($W$2:$W$1001,MATCH(ROWS($U$2:U780),$U$2:$U$1001,0),0), INDEX($AB$1004:$AQ$1004,1,MATCH(COLUMNS($AB$1006:AQ1006),$AB$1006:$AQ$1006,0)))),"Fix")))</f>
        <v>0</v>
      </c>
      <c r="U780">
        <v>0</v>
      </c>
      <c r="V780">
        <v>0</v>
      </c>
      <c r="W780">
        <v>0</v>
      </c>
      <c r="X780">
        <f>IF(Y780,TRUE,AND(AB780:AQ780))</f>
        <v>0</v>
      </c>
      <c r="Y780">
        <f>COUNTBLANK(Metadata!B780:Q780)=COLUMNS(Metadata!B780:Q780)</f>
        <v>0</v>
      </c>
      <c r="Z780">
        <v>0</v>
      </c>
      <c r="AB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AC780">
        <f>AND(IF(Metadata!C780="",FALSE,TRUE),exact(Metadata!C780,"urban biome"))</f>
        <v>0</v>
      </c>
      <c r="AD780">
        <f>AND(IF(Metadata!D780="",FALSE,TRUE),exact(Metadata!D780,"human-associated habitat"))</f>
        <v>0</v>
      </c>
      <c r="AE780">
        <f>AND(IF(Metadata!E780="",FALSE,TRUE),OR(exact(Metadata!E780,"human-associated"),exact(Metadata!E780,"human-skin"),exact(Metadata!E780,"human-oral"),exact(Metadata!E780,"human-gut"),exact(Metadata!E780,"human-vaginal")))</f>
        <v>0</v>
      </c>
      <c r="AF780">
        <f>AND(IF(Metadata!F780="",FALSE,ISNUMBER(VALUE(Metadata!F780))),Metadata!F780&gt;0)</f>
        <v>0</v>
      </c>
      <c r="AG780">
        <f>AND(IF(Metadata!G780="",FALSE,TRUE),exact(Metadata!G780,"years"))</f>
        <v>0</v>
      </c>
      <c r="AH780">
        <f>OR(AND(IF(Metadata!H780="",FALSE,TRUE),OR(exact(Metadata!H780,"not applicable"),exact(Metadata!H780,"not collected"),exact(Metadata!H780,"not provided"),exact(Metadata!H780,"restricted access"))),AND(IF(Metadata!H780="",FALSE,ISNUMBER(VALUE(Metadata!H780))),Metadata!H780&gt;0))</f>
        <v>0</v>
      </c>
      <c r="AI780">
        <f>AND(IF(Metadata!I780="",FALSE,TRUE),exact(Metadata!I780,"human"))</f>
        <v>0</v>
      </c>
      <c r="AJ780">
        <f>AND(IF(Metadata!J780="",FALSE,ISNUMBER(VALUE(Metadata!J780))),Metadata!J780&gt;0)</f>
        <v>0</v>
      </c>
      <c r="AK780">
        <f>AND(IF(Metadata!K780="",FALSE,TRUE),exact(Metadata!K780,"cm"))</f>
        <v>0</v>
      </c>
      <c r="AL780">
        <f>AND(IF(Metadata!L780="",FALSE,TRUE),exact(Metadata!L780,"Homo sapiens"))</f>
        <v>0</v>
      </c>
      <c r="AM780">
        <f>AND(IF(Metadata!M780="",FALSE,TRUE),exact(Metadata!M780,"9606"))</f>
        <v>0</v>
      </c>
      <c r="AN780">
        <f>AND(IF(Metadata!N780="",FALSE,ISNUMBER(VALUE(Metadata!N780))),Metadata!N780&gt;0)</f>
        <v>0</v>
      </c>
      <c r="AO780">
        <f>AND(IF(Metadata!O780="",FALSE,TRUE),exact(Metadata!O780,"kg"))</f>
        <v>0</v>
      </c>
      <c r="AP780">
        <f>OR(AND(IF(Metadata!P780="",FALSE,TRUE),exact(Metadata!P780,"not provided")),IF(Metadata!P780="",FALSE,TRUE))</f>
        <v>0</v>
      </c>
      <c r="AQ780">
        <f>OR(AND(IF(Metadata!Q780="",FALSE,TRUE),exact(Metadata!Q780,"not provided")),IF(Metadata!Q780="",FALSE,TRUE))</f>
        <v>0</v>
      </c>
    </row>
    <row r="781" spans="1:43">
      <c r="A781" s="4">
        <f>IF(B781=" "," ",HYPERLINK(CONCATENATE("#metadata!",ADDRESS(INDEX($W$2:$W$1001,MATCH(ROWS($U$2:U781),$U$2:$U$1001,0),0),2)),INDEX($Z$2:$Z$1001,MATCH(ROWS($U$2:U781),$U$2:$U$1001,0),0)))</f>
        <v>0</v>
      </c>
      <c r="B781" s="5">
        <f>IF(OR(INDEX($V$2:$V$1001,MATCH(ROWS($U$2:U781),$U$2:$U$1001,0),1)&gt;=100000,INDEX($AB$1005:$AQ$1005,1,MATCH(COLUMNS($AB$1006:AB1006),$AB$1006:$AQ$1006,0))&gt;=100000), " ",IF(INDEX($AB$2:$AQ$1001,MATCH(ROWS($U$2:U781),$U$2:$U$1001,0),MATCH(COLUMNS($AB$1006:AB1006),$AB$1006:$AQ$1006,0)), HYPERLINK("#",""), HYPERLINK(CONCATENATE("#Metadata!", ADDRESS(INDEX($W$2:$W$1001,MATCH(ROWS($U$2:U781),$U$2:$U$1001,0),0), INDEX($AB$1004:$AQ$1004,1,MATCH(COLUMNS($AB$1006:AB1006),$AB$1006:$AQ$1006,0)))),"Fix")))</f>
        <v>0</v>
      </c>
      <c r="C781" s="5">
        <f>IF(OR(INDEX($V$2:$V$1001,MATCH(ROWS($U$2:U781),$U$2:$U$1001,0),1)&gt;=100000,INDEX($AB$1005:$AQ$1005,1,MATCH(COLUMNS($AB$1006:AC1006),$AB$1006:$AQ$1006,0))&gt;=100000), " ",IF(INDEX($AB$2:$AQ$1001,MATCH(ROWS($U$2:U781),$U$2:$U$1001,0),MATCH(COLUMNS($AB$1006:AC1006),$AB$1006:$AQ$1006,0)), HYPERLINK("#",""), HYPERLINK(CONCATENATE("#Metadata!", ADDRESS(INDEX($W$2:$W$1001,MATCH(ROWS($U$2:U781),$U$2:$U$1001,0),0), INDEX($AB$1004:$AQ$1004,1,MATCH(COLUMNS($AB$1006:AC1006),$AB$1006:$AQ$1006,0)))),"Fix")))</f>
        <v>0</v>
      </c>
      <c r="D781" s="5">
        <f>IF(OR(INDEX($V$2:$V$1001,MATCH(ROWS($U$2:U781),$U$2:$U$1001,0),1)&gt;=100000,INDEX($AB$1005:$AQ$1005,1,MATCH(COLUMNS($AB$1006:AD1006),$AB$1006:$AQ$1006,0))&gt;=100000), " ",IF(INDEX($AB$2:$AQ$1001,MATCH(ROWS($U$2:U781),$U$2:$U$1001,0),MATCH(COLUMNS($AB$1006:AD1006),$AB$1006:$AQ$1006,0)), HYPERLINK("#",""), HYPERLINK(CONCATENATE("#Metadata!", ADDRESS(INDEX($W$2:$W$1001,MATCH(ROWS($U$2:U781),$U$2:$U$1001,0),0), INDEX($AB$1004:$AQ$1004,1,MATCH(COLUMNS($AB$1006:AD1006),$AB$1006:$AQ$1006,0)))),"Fix")))</f>
        <v>0</v>
      </c>
      <c r="E781" s="5">
        <f>IF(OR(INDEX($V$2:$V$1001,MATCH(ROWS($U$2:U781),$U$2:$U$1001,0),1)&gt;=100000,INDEX($AB$1005:$AQ$1005,1,MATCH(COLUMNS($AB$1006:AE1006),$AB$1006:$AQ$1006,0))&gt;=100000), " ",IF(INDEX($AB$2:$AQ$1001,MATCH(ROWS($U$2:U781),$U$2:$U$1001,0),MATCH(COLUMNS($AB$1006:AE1006),$AB$1006:$AQ$1006,0)), HYPERLINK("#",""), HYPERLINK(CONCATENATE("#Metadata!", ADDRESS(INDEX($W$2:$W$1001,MATCH(ROWS($U$2:U781),$U$2:$U$1001,0),0), INDEX($AB$1004:$AQ$1004,1,MATCH(COLUMNS($AB$1006:AE1006),$AB$1006:$AQ$1006,0)))),"Fix")))</f>
        <v>0</v>
      </c>
      <c r="F781" s="5">
        <f>IF(OR(INDEX($V$2:$V$1001,MATCH(ROWS($U$2:U781),$U$2:$U$1001,0),1)&gt;=100000,INDEX($AB$1005:$AQ$1005,1,MATCH(COLUMNS($AB$1006:AF1006),$AB$1006:$AQ$1006,0))&gt;=100000), " ",IF(INDEX($AB$2:$AQ$1001,MATCH(ROWS($U$2:U781),$U$2:$U$1001,0),MATCH(COLUMNS($AB$1006:AF1006),$AB$1006:$AQ$1006,0)), HYPERLINK("#",""), HYPERLINK(CONCATENATE("#Metadata!", ADDRESS(INDEX($W$2:$W$1001,MATCH(ROWS($U$2:U781),$U$2:$U$1001,0),0), INDEX($AB$1004:$AQ$1004,1,MATCH(COLUMNS($AB$1006:AF1006),$AB$1006:$AQ$1006,0)))),"Fix")))</f>
        <v>0</v>
      </c>
      <c r="G781" s="5">
        <f>IF(OR(INDEX($V$2:$V$1001,MATCH(ROWS($U$2:U781),$U$2:$U$1001,0),1)&gt;=100000,INDEX($AB$1005:$AQ$1005,1,MATCH(COLUMNS($AB$1006:AG1006),$AB$1006:$AQ$1006,0))&gt;=100000), " ",IF(INDEX($AB$2:$AQ$1001,MATCH(ROWS($U$2:U781),$U$2:$U$1001,0),MATCH(COLUMNS($AB$1006:AG1006),$AB$1006:$AQ$1006,0)), HYPERLINK("#",""), HYPERLINK(CONCATENATE("#Metadata!", ADDRESS(INDEX($W$2:$W$1001,MATCH(ROWS($U$2:U781),$U$2:$U$1001,0),0), INDEX($AB$1004:$AQ$1004,1,MATCH(COLUMNS($AB$1006:AG1006),$AB$1006:$AQ$1006,0)))),"Fix")))</f>
        <v>0</v>
      </c>
      <c r="H781" s="5">
        <f>IF(OR(INDEX($V$2:$V$1001,MATCH(ROWS($U$2:U781),$U$2:$U$1001,0),1)&gt;=100000,INDEX($AB$1005:$AQ$1005,1,MATCH(COLUMNS($AB$1006:AH1006),$AB$1006:$AQ$1006,0))&gt;=100000), " ",IF(INDEX($AB$2:$AQ$1001,MATCH(ROWS($U$2:U781),$U$2:$U$1001,0),MATCH(COLUMNS($AB$1006:AH1006),$AB$1006:$AQ$1006,0)), HYPERLINK("#",""), HYPERLINK(CONCATENATE("#Metadata!", ADDRESS(INDEX($W$2:$W$1001,MATCH(ROWS($U$2:U781),$U$2:$U$1001,0),0), INDEX($AB$1004:$AQ$1004,1,MATCH(COLUMNS($AB$1006:AH1006),$AB$1006:$AQ$1006,0)))),"Fix")))</f>
        <v>0</v>
      </c>
      <c r="I781" s="5">
        <f>IF(OR(INDEX($V$2:$V$1001,MATCH(ROWS($U$2:U781),$U$2:$U$1001,0),1)&gt;=100000,INDEX($AB$1005:$AQ$1005,1,MATCH(COLUMNS($AB$1006:AI1006),$AB$1006:$AQ$1006,0))&gt;=100000), " ",IF(INDEX($AB$2:$AQ$1001,MATCH(ROWS($U$2:U781),$U$2:$U$1001,0),MATCH(COLUMNS($AB$1006:AI1006),$AB$1006:$AQ$1006,0)), HYPERLINK("#",""), HYPERLINK(CONCATENATE("#Metadata!", ADDRESS(INDEX($W$2:$W$1001,MATCH(ROWS($U$2:U781),$U$2:$U$1001,0),0), INDEX($AB$1004:$AQ$1004,1,MATCH(COLUMNS($AB$1006:AI1006),$AB$1006:$AQ$1006,0)))),"Fix")))</f>
        <v>0</v>
      </c>
      <c r="J781" s="5">
        <f>IF(OR(INDEX($V$2:$V$1001,MATCH(ROWS($U$2:U781),$U$2:$U$1001,0),1)&gt;=100000,INDEX($AB$1005:$AQ$1005,1,MATCH(COLUMNS($AB$1006:AJ1006),$AB$1006:$AQ$1006,0))&gt;=100000), " ",IF(INDEX($AB$2:$AQ$1001,MATCH(ROWS($U$2:U781),$U$2:$U$1001,0),MATCH(COLUMNS($AB$1006:AJ1006),$AB$1006:$AQ$1006,0)), HYPERLINK("#",""), HYPERLINK(CONCATENATE("#Metadata!", ADDRESS(INDEX($W$2:$W$1001,MATCH(ROWS($U$2:U781),$U$2:$U$1001,0),0), INDEX($AB$1004:$AQ$1004,1,MATCH(COLUMNS($AB$1006:AJ1006),$AB$1006:$AQ$1006,0)))),"Fix")))</f>
        <v>0</v>
      </c>
      <c r="K781" s="5">
        <f>IF(OR(INDEX($V$2:$V$1001,MATCH(ROWS($U$2:U781),$U$2:$U$1001,0),1)&gt;=100000,INDEX($AB$1005:$AQ$1005,1,MATCH(COLUMNS($AB$1006:AK1006),$AB$1006:$AQ$1006,0))&gt;=100000), " ",IF(INDEX($AB$2:$AQ$1001,MATCH(ROWS($U$2:U781),$U$2:$U$1001,0),MATCH(COLUMNS($AB$1006:AK1006),$AB$1006:$AQ$1006,0)), HYPERLINK("#",""), HYPERLINK(CONCATENATE("#Metadata!", ADDRESS(INDEX($W$2:$W$1001,MATCH(ROWS($U$2:U781),$U$2:$U$1001,0),0), INDEX($AB$1004:$AQ$1004,1,MATCH(COLUMNS($AB$1006:AK1006),$AB$1006:$AQ$1006,0)))),"Fix")))</f>
        <v>0</v>
      </c>
      <c r="L781" s="5">
        <f>IF(OR(INDEX($V$2:$V$1001,MATCH(ROWS($U$2:U781),$U$2:$U$1001,0),1)&gt;=100000,INDEX($AB$1005:$AQ$1005,1,MATCH(COLUMNS($AB$1006:AL1006),$AB$1006:$AQ$1006,0))&gt;=100000), " ",IF(INDEX($AB$2:$AQ$1001,MATCH(ROWS($U$2:U781),$U$2:$U$1001,0),MATCH(COLUMNS($AB$1006:AL1006),$AB$1006:$AQ$1006,0)), HYPERLINK("#",""), HYPERLINK(CONCATENATE("#Metadata!", ADDRESS(INDEX($W$2:$W$1001,MATCH(ROWS($U$2:U781),$U$2:$U$1001,0),0), INDEX($AB$1004:$AQ$1004,1,MATCH(COLUMNS($AB$1006:AL1006),$AB$1006:$AQ$1006,0)))),"Fix")))</f>
        <v>0</v>
      </c>
      <c r="M781" s="5">
        <f>IF(OR(INDEX($V$2:$V$1001,MATCH(ROWS($U$2:U781),$U$2:$U$1001,0),1)&gt;=100000,INDEX($AB$1005:$AQ$1005,1,MATCH(COLUMNS($AB$1006:AM1006),$AB$1006:$AQ$1006,0))&gt;=100000), " ",IF(INDEX($AB$2:$AQ$1001,MATCH(ROWS($U$2:U781),$U$2:$U$1001,0),MATCH(COLUMNS($AB$1006:AM1006),$AB$1006:$AQ$1006,0)), HYPERLINK("#",""), HYPERLINK(CONCATENATE("#Metadata!", ADDRESS(INDEX($W$2:$W$1001,MATCH(ROWS($U$2:U781),$U$2:$U$1001,0),0), INDEX($AB$1004:$AQ$1004,1,MATCH(COLUMNS($AB$1006:AM1006),$AB$1006:$AQ$1006,0)))),"Fix")))</f>
        <v>0</v>
      </c>
      <c r="N781" s="5">
        <f>IF(OR(INDEX($V$2:$V$1001,MATCH(ROWS($U$2:U781),$U$2:$U$1001,0),1)&gt;=100000,INDEX($AB$1005:$AQ$1005,1,MATCH(COLUMNS($AB$1006:AN1006),$AB$1006:$AQ$1006,0))&gt;=100000), " ",IF(INDEX($AB$2:$AQ$1001,MATCH(ROWS($U$2:U781),$U$2:$U$1001,0),MATCH(COLUMNS($AB$1006:AN1006),$AB$1006:$AQ$1006,0)), HYPERLINK("#",""), HYPERLINK(CONCATENATE("#Metadata!", ADDRESS(INDEX($W$2:$W$1001,MATCH(ROWS($U$2:U781),$U$2:$U$1001,0),0), INDEX($AB$1004:$AQ$1004,1,MATCH(COLUMNS($AB$1006:AN1006),$AB$1006:$AQ$1006,0)))),"Fix")))</f>
        <v>0</v>
      </c>
      <c r="O781" s="5">
        <f>IF(OR(INDEX($V$2:$V$1001,MATCH(ROWS($U$2:U781),$U$2:$U$1001,0),1)&gt;=100000,INDEX($AB$1005:$AQ$1005,1,MATCH(COLUMNS($AB$1006:AO1006),$AB$1006:$AQ$1006,0))&gt;=100000), " ",IF(INDEX($AB$2:$AQ$1001,MATCH(ROWS($U$2:U781),$U$2:$U$1001,0),MATCH(COLUMNS($AB$1006:AO1006),$AB$1006:$AQ$1006,0)), HYPERLINK("#",""), HYPERLINK(CONCATENATE("#Metadata!", ADDRESS(INDEX($W$2:$W$1001,MATCH(ROWS($U$2:U781),$U$2:$U$1001,0),0), INDEX($AB$1004:$AQ$1004,1,MATCH(COLUMNS($AB$1006:AO1006),$AB$1006:$AQ$1006,0)))),"Fix")))</f>
        <v>0</v>
      </c>
      <c r="P781" s="5">
        <f>IF(OR(INDEX($V$2:$V$1001,MATCH(ROWS($U$2:U781),$U$2:$U$1001,0),1)&gt;=100000,INDEX($AB$1005:$AQ$1005,1,MATCH(COLUMNS($AB$1006:AP1006),$AB$1006:$AQ$1006,0))&gt;=100000), " ",IF(INDEX($AB$2:$AQ$1001,MATCH(ROWS($U$2:U781),$U$2:$U$1001,0),MATCH(COLUMNS($AB$1006:AP1006),$AB$1006:$AQ$1006,0)), HYPERLINK("#",""), HYPERLINK(CONCATENATE("#Metadata!", ADDRESS(INDEX($W$2:$W$1001,MATCH(ROWS($U$2:U781),$U$2:$U$1001,0),0), INDEX($AB$1004:$AQ$1004,1,MATCH(COLUMNS($AB$1006:AP1006),$AB$1006:$AQ$1006,0)))),"Fix")))</f>
        <v>0</v>
      </c>
      <c r="Q781" s="5">
        <f>IF(OR(INDEX($V$2:$V$1001,MATCH(ROWS($U$2:U781),$U$2:$U$1001,0),1)&gt;=100000,INDEX($AB$1005:$AQ$1005,1,MATCH(COLUMNS($AB$1006:AQ1006),$AB$1006:$AQ$1006,0))&gt;=100000), " ",IF(INDEX($AB$2:$AQ$1001,MATCH(ROWS($U$2:U781),$U$2:$U$1001,0),MATCH(COLUMNS($AB$1006:AQ1006),$AB$1006:$AQ$1006,0)), HYPERLINK("#",""), HYPERLINK(CONCATENATE("#Metadata!", ADDRESS(INDEX($W$2:$W$1001,MATCH(ROWS($U$2:U781),$U$2:$U$1001,0),0), INDEX($AB$1004:$AQ$1004,1,MATCH(COLUMNS($AB$1006:AQ1006),$AB$1006:$AQ$1006,0)))),"Fix")))</f>
        <v>0</v>
      </c>
      <c r="U781">
        <v>0</v>
      </c>
      <c r="V781">
        <v>0</v>
      </c>
      <c r="W781">
        <v>0</v>
      </c>
      <c r="X781">
        <f>IF(Y781,TRUE,AND(AB781:AQ781))</f>
        <v>0</v>
      </c>
      <c r="Y781">
        <f>COUNTBLANK(Metadata!B781:Q781)=COLUMNS(Metadata!B781:Q781)</f>
        <v>0</v>
      </c>
      <c r="Z781">
        <v>0</v>
      </c>
      <c r="AB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AC781">
        <f>AND(IF(Metadata!C781="",FALSE,TRUE),exact(Metadata!C781,"urban biome"))</f>
        <v>0</v>
      </c>
      <c r="AD781">
        <f>AND(IF(Metadata!D781="",FALSE,TRUE),exact(Metadata!D781,"human-associated habitat"))</f>
        <v>0</v>
      </c>
      <c r="AE781">
        <f>AND(IF(Metadata!E781="",FALSE,TRUE),OR(exact(Metadata!E781,"human-associated"),exact(Metadata!E781,"human-skin"),exact(Metadata!E781,"human-oral"),exact(Metadata!E781,"human-gut"),exact(Metadata!E781,"human-vaginal")))</f>
        <v>0</v>
      </c>
      <c r="AF781">
        <f>AND(IF(Metadata!F781="",FALSE,ISNUMBER(VALUE(Metadata!F781))),Metadata!F781&gt;0)</f>
        <v>0</v>
      </c>
      <c r="AG781">
        <f>AND(IF(Metadata!G781="",FALSE,TRUE),exact(Metadata!G781,"years"))</f>
        <v>0</v>
      </c>
      <c r="AH781">
        <f>OR(AND(IF(Metadata!H781="",FALSE,TRUE),OR(exact(Metadata!H781,"not applicable"),exact(Metadata!H781,"not collected"),exact(Metadata!H781,"not provided"),exact(Metadata!H781,"restricted access"))),AND(IF(Metadata!H781="",FALSE,ISNUMBER(VALUE(Metadata!H781))),Metadata!H781&gt;0))</f>
        <v>0</v>
      </c>
      <c r="AI781">
        <f>AND(IF(Metadata!I781="",FALSE,TRUE),exact(Metadata!I781,"human"))</f>
        <v>0</v>
      </c>
      <c r="AJ781">
        <f>AND(IF(Metadata!J781="",FALSE,ISNUMBER(VALUE(Metadata!J781))),Metadata!J781&gt;0)</f>
        <v>0</v>
      </c>
      <c r="AK781">
        <f>AND(IF(Metadata!K781="",FALSE,TRUE),exact(Metadata!K781,"cm"))</f>
        <v>0</v>
      </c>
      <c r="AL781">
        <f>AND(IF(Metadata!L781="",FALSE,TRUE),exact(Metadata!L781,"Homo sapiens"))</f>
        <v>0</v>
      </c>
      <c r="AM781">
        <f>AND(IF(Metadata!M781="",FALSE,TRUE),exact(Metadata!M781,"9606"))</f>
        <v>0</v>
      </c>
      <c r="AN781">
        <f>AND(IF(Metadata!N781="",FALSE,ISNUMBER(VALUE(Metadata!N781))),Metadata!N781&gt;0)</f>
        <v>0</v>
      </c>
      <c r="AO781">
        <f>AND(IF(Metadata!O781="",FALSE,TRUE),exact(Metadata!O781,"kg"))</f>
        <v>0</v>
      </c>
      <c r="AP781">
        <f>OR(AND(IF(Metadata!P781="",FALSE,TRUE),exact(Metadata!P781,"not provided")),IF(Metadata!P781="",FALSE,TRUE))</f>
        <v>0</v>
      </c>
      <c r="AQ781">
        <f>OR(AND(IF(Metadata!Q781="",FALSE,TRUE),exact(Metadata!Q781,"not provided")),IF(Metadata!Q781="",FALSE,TRUE))</f>
        <v>0</v>
      </c>
    </row>
    <row r="782" spans="1:43">
      <c r="A782" s="4">
        <f>IF(B782=" "," ",HYPERLINK(CONCATENATE("#metadata!",ADDRESS(INDEX($W$2:$W$1001,MATCH(ROWS($U$2:U782),$U$2:$U$1001,0),0),2)),INDEX($Z$2:$Z$1001,MATCH(ROWS($U$2:U782),$U$2:$U$1001,0),0)))</f>
        <v>0</v>
      </c>
      <c r="B782" s="5">
        <f>IF(OR(INDEX($V$2:$V$1001,MATCH(ROWS($U$2:U782),$U$2:$U$1001,0),1)&gt;=100000,INDEX($AB$1005:$AQ$1005,1,MATCH(COLUMNS($AB$1006:AB1006),$AB$1006:$AQ$1006,0))&gt;=100000), " ",IF(INDEX($AB$2:$AQ$1001,MATCH(ROWS($U$2:U782),$U$2:$U$1001,0),MATCH(COLUMNS($AB$1006:AB1006),$AB$1006:$AQ$1006,0)), HYPERLINK("#",""), HYPERLINK(CONCATENATE("#Metadata!", ADDRESS(INDEX($W$2:$W$1001,MATCH(ROWS($U$2:U782),$U$2:$U$1001,0),0), INDEX($AB$1004:$AQ$1004,1,MATCH(COLUMNS($AB$1006:AB1006),$AB$1006:$AQ$1006,0)))),"Fix")))</f>
        <v>0</v>
      </c>
      <c r="C782" s="5">
        <f>IF(OR(INDEX($V$2:$V$1001,MATCH(ROWS($U$2:U782),$U$2:$U$1001,0),1)&gt;=100000,INDEX($AB$1005:$AQ$1005,1,MATCH(COLUMNS($AB$1006:AC1006),$AB$1006:$AQ$1006,0))&gt;=100000), " ",IF(INDEX($AB$2:$AQ$1001,MATCH(ROWS($U$2:U782),$U$2:$U$1001,0),MATCH(COLUMNS($AB$1006:AC1006),$AB$1006:$AQ$1006,0)), HYPERLINK("#",""), HYPERLINK(CONCATENATE("#Metadata!", ADDRESS(INDEX($W$2:$W$1001,MATCH(ROWS($U$2:U782),$U$2:$U$1001,0),0), INDEX($AB$1004:$AQ$1004,1,MATCH(COLUMNS($AB$1006:AC1006),$AB$1006:$AQ$1006,0)))),"Fix")))</f>
        <v>0</v>
      </c>
      <c r="D782" s="5">
        <f>IF(OR(INDEX($V$2:$V$1001,MATCH(ROWS($U$2:U782),$U$2:$U$1001,0),1)&gt;=100000,INDEX($AB$1005:$AQ$1005,1,MATCH(COLUMNS($AB$1006:AD1006),$AB$1006:$AQ$1006,0))&gt;=100000), " ",IF(INDEX($AB$2:$AQ$1001,MATCH(ROWS($U$2:U782),$U$2:$U$1001,0),MATCH(COLUMNS($AB$1006:AD1006),$AB$1006:$AQ$1006,0)), HYPERLINK("#",""), HYPERLINK(CONCATENATE("#Metadata!", ADDRESS(INDEX($W$2:$W$1001,MATCH(ROWS($U$2:U782),$U$2:$U$1001,0),0), INDEX($AB$1004:$AQ$1004,1,MATCH(COLUMNS($AB$1006:AD1006),$AB$1006:$AQ$1006,0)))),"Fix")))</f>
        <v>0</v>
      </c>
      <c r="E782" s="5">
        <f>IF(OR(INDEX($V$2:$V$1001,MATCH(ROWS($U$2:U782),$U$2:$U$1001,0),1)&gt;=100000,INDEX($AB$1005:$AQ$1005,1,MATCH(COLUMNS($AB$1006:AE1006),$AB$1006:$AQ$1006,0))&gt;=100000), " ",IF(INDEX($AB$2:$AQ$1001,MATCH(ROWS($U$2:U782),$U$2:$U$1001,0),MATCH(COLUMNS($AB$1006:AE1006),$AB$1006:$AQ$1006,0)), HYPERLINK("#",""), HYPERLINK(CONCATENATE("#Metadata!", ADDRESS(INDEX($W$2:$W$1001,MATCH(ROWS($U$2:U782),$U$2:$U$1001,0),0), INDEX($AB$1004:$AQ$1004,1,MATCH(COLUMNS($AB$1006:AE1006),$AB$1006:$AQ$1006,0)))),"Fix")))</f>
        <v>0</v>
      </c>
      <c r="F782" s="5">
        <f>IF(OR(INDEX($V$2:$V$1001,MATCH(ROWS($U$2:U782),$U$2:$U$1001,0),1)&gt;=100000,INDEX($AB$1005:$AQ$1005,1,MATCH(COLUMNS($AB$1006:AF1006),$AB$1006:$AQ$1006,0))&gt;=100000), " ",IF(INDEX($AB$2:$AQ$1001,MATCH(ROWS($U$2:U782),$U$2:$U$1001,0),MATCH(COLUMNS($AB$1006:AF1006),$AB$1006:$AQ$1006,0)), HYPERLINK("#",""), HYPERLINK(CONCATENATE("#Metadata!", ADDRESS(INDEX($W$2:$W$1001,MATCH(ROWS($U$2:U782),$U$2:$U$1001,0),0), INDEX($AB$1004:$AQ$1004,1,MATCH(COLUMNS($AB$1006:AF1006),$AB$1006:$AQ$1006,0)))),"Fix")))</f>
        <v>0</v>
      </c>
      <c r="G782" s="5">
        <f>IF(OR(INDEX($V$2:$V$1001,MATCH(ROWS($U$2:U782),$U$2:$U$1001,0),1)&gt;=100000,INDEX($AB$1005:$AQ$1005,1,MATCH(COLUMNS($AB$1006:AG1006),$AB$1006:$AQ$1006,0))&gt;=100000), " ",IF(INDEX($AB$2:$AQ$1001,MATCH(ROWS($U$2:U782),$U$2:$U$1001,0),MATCH(COLUMNS($AB$1006:AG1006),$AB$1006:$AQ$1006,0)), HYPERLINK("#",""), HYPERLINK(CONCATENATE("#Metadata!", ADDRESS(INDEX($W$2:$W$1001,MATCH(ROWS($U$2:U782),$U$2:$U$1001,0),0), INDEX($AB$1004:$AQ$1004,1,MATCH(COLUMNS($AB$1006:AG1006),$AB$1006:$AQ$1006,0)))),"Fix")))</f>
        <v>0</v>
      </c>
      <c r="H782" s="5">
        <f>IF(OR(INDEX($V$2:$V$1001,MATCH(ROWS($U$2:U782),$U$2:$U$1001,0),1)&gt;=100000,INDEX($AB$1005:$AQ$1005,1,MATCH(COLUMNS($AB$1006:AH1006),$AB$1006:$AQ$1006,0))&gt;=100000), " ",IF(INDEX($AB$2:$AQ$1001,MATCH(ROWS($U$2:U782),$U$2:$U$1001,0),MATCH(COLUMNS($AB$1006:AH1006),$AB$1006:$AQ$1006,0)), HYPERLINK("#",""), HYPERLINK(CONCATENATE("#Metadata!", ADDRESS(INDEX($W$2:$W$1001,MATCH(ROWS($U$2:U782),$U$2:$U$1001,0),0), INDEX($AB$1004:$AQ$1004,1,MATCH(COLUMNS($AB$1006:AH1006),$AB$1006:$AQ$1006,0)))),"Fix")))</f>
        <v>0</v>
      </c>
      <c r="I782" s="5">
        <f>IF(OR(INDEX($V$2:$V$1001,MATCH(ROWS($U$2:U782),$U$2:$U$1001,0),1)&gt;=100000,INDEX($AB$1005:$AQ$1005,1,MATCH(COLUMNS($AB$1006:AI1006),$AB$1006:$AQ$1006,0))&gt;=100000), " ",IF(INDEX($AB$2:$AQ$1001,MATCH(ROWS($U$2:U782),$U$2:$U$1001,0),MATCH(COLUMNS($AB$1006:AI1006),$AB$1006:$AQ$1006,0)), HYPERLINK("#",""), HYPERLINK(CONCATENATE("#Metadata!", ADDRESS(INDEX($W$2:$W$1001,MATCH(ROWS($U$2:U782),$U$2:$U$1001,0),0), INDEX($AB$1004:$AQ$1004,1,MATCH(COLUMNS($AB$1006:AI1006),$AB$1006:$AQ$1006,0)))),"Fix")))</f>
        <v>0</v>
      </c>
      <c r="J782" s="5">
        <f>IF(OR(INDEX($V$2:$V$1001,MATCH(ROWS($U$2:U782),$U$2:$U$1001,0),1)&gt;=100000,INDEX($AB$1005:$AQ$1005,1,MATCH(COLUMNS($AB$1006:AJ1006),$AB$1006:$AQ$1006,0))&gt;=100000), " ",IF(INDEX($AB$2:$AQ$1001,MATCH(ROWS($U$2:U782),$U$2:$U$1001,0),MATCH(COLUMNS($AB$1006:AJ1006),$AB$1006:$AQ$1006,0)), HYPERLINK("#",""), HYPERLINK(CONCATENATE("#Metadata!", ADDRESS(INDEX($W$2:$W$1001,MATCH(ROWS($U$2:U782),$U$2:$U$1001,0),0), INDEX($AB$1004:$AQ$1004,1,MATCH(COLUMNS($AB$1006:AJ1006),$AB$1006:$AQ$1006,0)))),"Fix")))</f>
        <v>0</v>
      </c>
      <c r="K782" s="5">
        <f>IF(OR(INDEX($V$2:$V$1001,MATCH(ROWS($U$2:U782),$U$2:$U$1001,0),1)&gt;=100000,INDEX($AB$1005:$AQ$1005,1,MATCH(COLUMNS($AB$1006:AK1006),$AB$1006:$AQ$1006,0))&gt;=100000), " ",IF(INDEX($AB$2:$AQ$1001,MATCH(ROWS($U$2:U782),$U$2:$U$1001,0),MATCH(COLUMNS($AB$1006:AK1006),$AB$1006:$AQ$1006,0)), HYPERLINK("#",""), HYPERLINK(CONCATENATE("#Metadata!", ADDRESS(INDEX($W$2:$W$1001,MATCH(ROWS($U$2:U782),$U$2:$U$1001,0),0), INDEX($AB$1004:$AQ$1004,1,MATCH(COLUMNS($AB$1006:AK1006),$AB$1006:$AQ$1006,0)))),"Fix")))</f>
        <v>0</v>
      </c>
      <c r="L782" s="5">
        <f>IF(OR(INDEX($V$2:$V$1001,MATCH(ROWS($U$2:U782),$U$2:$U$1001,0),1)&gt;=100000,INDEX($AB$1005:$AQ$1005,1,MATCH(COLUMNS($AB$1006:AL1006),$AB$1006:$AQ$1006,0))&gt;=100000), " ",IF(INDEX($AB$2:$AQ$1001,MATCH(ROWS($U$2:U782),$U$2:$U$1001,0),MATCH(COLUMNS($AB$1006:AL1006),$AB$1006:$AQ$1006,0)), HYPERLINK("#",""), HYPERLINK(CONCATENATE("#Metadata!", ADDRESS(INDEX($W$2:$W$1001,MATCH(ROWS($U$2:U782),$U$2:$U$1001,0),0), INDEX($AB$1004:$AQ$1004,1,MATCH(COLUMNS($AB$1006:AL1006),$AB$1006:$AQ$1006,0)))),"Fix")))</f>
        <v>0</v>
      </c>
      <c r="M782" s="5">
        <f>IF(OR(INDEX($V$2:$V$1001,MATCH(ROWS($U$2:U782),$U$2:$U$1001,0),1)&gt;=100000,INDEX($AB$1005:$AQ$1005,1,MATCH(COLUMNS($AB$1006:AM1006),$AB$1006:$AQ$1006,0))&gt;=100000), " ",IF(INDEX($AB$2:$AQ$1001,MATCH(ROWS($U$2:U782),$U$2:$U$1001,0),MATCH(COLUMNS($AB$1006:AM1006),$AB$1006:$AQ$1006,0)), HYPERLINK("#",""), HYPERLINK(CONCATENATE("#Metadata!", ADDRESS(INDEX($W$2:$W$1001,MATCH(ROWS($U$2:U782),$U$2:$U$1001,0),0), INDEX($AB$1004:$AQ$1004,1,MATCH(COLUMNS($AB$1006:AM1006),$AB$1006:$AQ$1006,0)))),"Fix")))</f>
        <v>0</v>
      </c>
      <c r="N782" s="5">
        <f>IF(OR(INDEX($V$2:$V$1001,MATCH(ROWS($U$2:U782),$U$2:$U$1001,0),1)&gt;=100000,INDEX($AB$1005:$AQ$1005,1,MATCH(COLUMNS($AB$1006:AN1006),$AB$1006:$AQ$1006,0))&gt;=100000), " ",IF(INDEX($AB$2:$AQ$1001,MATCH(ROWS($U$2:U782),$U$2:$U$1001,0),MATCH(COLUMNS($AB$1006:AN1006),$AB$1006:$AQ$1006,0)), HYPERLINK("#",""), HYPERLINK(CONCATENATE("#Metadata!", ADDRESS(INDEX($W$2:$W$1001,MATCH(ROWS($U$2:U782),$U$2:$U$1001,0),0), INDEX($AB$1004:$AQ$1004,1,MATCH(COLUMNS($AB$1006:AN1006),$AB$1006:$AQ$1006,0)))),"Fix")))</f>
        <v>0</v>
      </c>
      <c r="O782" s="5">
        <f>IF(OR(INDEX($V$2:$V$1001,MATCH(ROWS($U$2:U782),$U$2:$U$1001,0),1)&gt;=100000,INDEX($AB$1005:$AQ$1005,1,MATCH(COLUMNS($AB$1006:AO1006),$AB$1006:$AQ$1006,0))&gt;=100000), " ",IF(INDEX($AB$2:$AQ$1001,MATCH(ROWS($U$2:U782),$U$2:$U$1001,0),MATCH(COLUMNS($AB$1006:AO1006),$AB$1006:$AQ$1006,0)), HYPERLINK("#",""), HYPERLINK(CONCATENATE("#Metadata!", ADDRESS(INDEX($W$2:$W$1001,MATCH(ROWS($U$2:U782),$U$2:$U$1001,0),0), INDEX($AB$1004:$AQ$1004,1,MATCH(COLUMNS($AB$1006:AO1006),$AB$1006:$AQ$1006,0)))),"Fix")))</f>
        <v>0</v>
      </c>
      <c r="P782" s="5">
        <f>IF(OR(INDEX($V$2:$V$1001,MATCH(ROWS($U$2:U782),$U$2:$U$1001,0),1)&gt;=100000,INDEX($AB$1005:$AQ$1005,1,MATCH(COLUMNS($AB$1006:AP1006),$AB$1006:$AQ$1006,0))&gt;=100000), " ",IF(INDEX($AB$2:$AQ$1001,MATCH(ROWS($U$2:U782),$U$2:$U$1001,0),MATCH(COLUMNS($AB$1006:AP1006),$AB$1006:$AQ$1006,0)), HYPERLINK("#",""), HYPERLINK(CONCATENATE("#Metadata!", ADDRESS(INDEX($W$2:$W$1001,MATCH(ROWS($U$2:U782),$U$2:$U$1001,0),0), INDEX($AB$1004:$AQ$1004,1,MATCH(COLUMNS($AB$1006:AP1006),$AB$1006:$AQ$1006,0)))),"Fix")))</f>
        <v>0</v>
      </c>
      <c r="Q782" s="5">
        <f>IF(OR(INDEX($V$2:$V$1001,MATCH(ROWS($U$2:U782),$U$2:$U$1001,0),1)&gt;=100000,INDEX($AB$1005:$AQ$1005,1,MATCH(COLUMNS($AB$1006:AQ1006),$AB$1006:$AQ$1006,0))&gt;=100000), " ",IF(INDEX($AB$2:$AQ$1001,MATCH(ROWS($U$2:U782),$U$2:$U$1001,0),MATCH(COLUMNS($AB$1006:AQ1006),$AB$1006:$AQ$1006,0)), HYPERLINK("#",""), HYPERLINK(CONCATENATE("#Metadata!", ADDRESS(INDEX($W$2:$W$1001,MATCH(ROWS($U$2:U782),$U$2:$U$1001,0),0), INDEX($AB$1004:$AQ$1004,1,MATCH(COLUMNS($AB$1006:AQ1006),$AB$1006:$AQ$1006,0)))),"Fix")))</f>
        <v>0</v>
      </c>
      <c r="U782">
        <v>0</v>
      </c>
      <c r="V782">
        <v>0</v>
      </c>
      <c r="W782">
        <v>0</v>
      </c>
      <c r="X782">
        <f>IF(Y782,TRUE,AND(AB782:AQ782))</f>
        <v>0</v>
      </c>
      <c r="Y782">
        <f>COUNTBLANK(Metadata!B782:Q782)=COLUMNS(Metadata!B782:Q782)</f>
        <v>0</v>
      </c>
      <c r="Z782">
        <v>0</v>
      </c>
      <c r="AB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AC782">
        <f>AND(IF(Metadata!C782="",FALSE,TRUE),exact(Metadata!C782,"urban biome"))</f>
        <v>0</v>
      </c>
      <c r="AD782">
        <f>AND(IF(Metadata!D782="",FALSE,TRUE),exact(Metadata!D782,"human-associated habitat"))</f>
        <v>0</v>
      </c>
      <c r="AE782">
        <f>AND(IF(Metadata!E782="",FALSE,TRUE),OR(exact(Metadata!E782,"human-associated"),exact(Metadata!E782,"human-skin"),exact(Metadata!E782,"human-oral"),exact(Metadata!E782,"human-gut"),exact(Metadata!E782,"human-vaginal")))</f>
        <v>0</v>
      </c>
      <c r="AF782">
        <f>AND(IF(Metadata!F782="",FALSE,ISNUMBER(VALUE(Metadata!F782))),Metadata!F782&gt;0)</f>
        <v>0</v>
      </c>
      <c r="AG782">
        <f>AND(IF(Metadata!G782="",FALSE,TRUE),exact(Metadata!G782,"years"))</f>
        <v>0</v>
      </c>
      <c r="AH782">
        <f>OR(AND(IF(Metadata!H782="",FALSE,TRUE),OR(exact(Metadata!H782,"not applicable"),exact(Metadata!H782,"not collected"),exact(Metadata!H782,"not provided"),exact(Metadata!H782,"restricted access"))),AND(IF(Metadata!H782="",FALSE,ISNUMBER(VALUE(Metadata!H782))),Metadata!H782&gt;0))</f>
        <v>0</v>
      </c>
      <c r="AI782">
        <f>AND(IF(Metadata!I782="",FALSE,TRUE),exact(Metadata!I782,"human"))</f>
        <v>0</v>
      </c>
      <c r="AJ782">
        <f>AND(IF(Metadata!J782="",FALSE,ISNUMBER(VALUE(Metadata!J782))),Metadata!J782&gt;0)</f>
        <v>0</v>
      </c>
      <c r="AK782">
        <f>AND(IF(Metadata!K782="",FALSE,TRUE),exact(Metadata!K782,"cm"))</f>
        <v>0</v>
      </c>
      <c r="AL782">
        <f>AND(IF(Metadata!L782="",FALSE,TRUE),exact(Metadata!L782,"Homo sapiens"))</f>
        <v>0</v>
      </c>
      <c r="AM782">
        <f>AND(IF(Metadata!M782="",FALSE,TRUE),exact(Metadata!M782,"9606"))</f>
        <v>0</v>
      </c>
      <c r="AN782">
        <f>AND(IF(Metadata!N782="",FALSE,ISNUMBER(VALUE(Metadata!N782))),Metadata!N782&gt;0)</f>
        <v>0</v>
      </c>
      <c r="AO782">
        <f>AND(IF(Metadata!O782="",FALSE,TRUE),exact(Metadata!O782,"kg"))</f>
        <v>0</v>
      </c>
      <c r="AP782">
        <f>OR(AND(IF(Metadata!P782="",FALSE,TRUE),exact(Metadata!P782,"not provided")),IF(Metadata!P782="",FALSE,TRUE))</f>
        <v>0</v>
      </c>
      <c r="AQ782">
        <f>OR(AND(IF(Metadata!Q782="",FALSE,TRUE),exact(Metadata!Q782,"not provided")),IF(Metadata!Q782="",FALSE,TRUE))</f>
        <v>0</v>
      </c>
    </row>
    <row r="783" spans="1:43">
      <c r="A783" s="4">
        <f>IF(B783=" "," ",HYPERLINK(CONCATENATE("#metadata!",ADDRESS(INDEX($W$2:$W$1001,MATCH(ROWS($U$2:U783),$U$2:$U$1001,0),0),2)),INDEX($Z$2:$Z$1001,MATCH(ROWS($U$2:U783),$U$2:$U$1001,0),0)))</f>
        <v>0</v>
      </c>
      <c r="B783" s="5">
        <f>IF(OR(INDEX($V$2:$V$1001,MATCH(ROWS($U$2:U783),$U$2:$U$1001,0),1)&gt;=100000,INDEX($AB$1005:$AQ$1005,1,MATCH(COLUMNS($AB$1006:AB1006),$AB$1006:$AQ$1006,0))&gt;=100000), " ",IF(INDEX($AB$2:$AQ$1001,MATCH(ROWS($U$2:U783),$U$2:$U$1001,0),MATCH(COLUMNS($AB$1006:AB1006),$AB$1006:$AQ$1006,0)), HYPERLINK("#",""), HYPERLINK(CONCATENATE("#Metadata!", ADDRESS(INDEX($W$2:$W$1001,MATCH(ROWS($U$2:U783),$U$2:$U$1001,0),0), INDEX($AB$1004:$AQ$1004,1,MATCH(COLUMNS($AB$1006:AB1006),$AB$1006:$AQ$1006,0)))),"Fix")))</f>
        <v>0</v>
      </c>
      <c r="C783" s="5">
        <f>IF(OR(INDEX($V$2:$V$1001,MATCH(ROWS($U$2:U783),$U$2:$U$1001,0),1)&gt;=100000,INDEX($AB$1005:$AQ$1005,1,MATCH(COLUMNS($AB$1006:AC1006),$AB$1006:$AQ$1006,0))&gt;=100000), " ",IF(INDEX($AB$2:$AQ$1001,MATCH(ROWS($U$2:U783),$U$2:$U$1001,0),MATCH(COLUMNS($AB$1006:AC1006),$AB$1006:$AQ$1006,0)), HYPERLINK("#",""), HYPERLINK(CONCATENATE("#Metadata!", ADDRESS(INDEX($W$2:$W$1001,MATCH(ROWS($U$2:U783),$U$2:$U$1001,0),0), INDEX($AB$1004:$AQ$1004,1,MATCH(COLUMNS($AB$1006:AC1006),$AB$1006:$AQ$1006,0)))),"Fix")))</f>
        <v>0</v>
      </c>
      <c r="D783" s="5">
        <f>IF(OR(INDEX($V$2:$V$1001,MATCH(ROWS($U$2:U783),$U$2:$U$1001,0),1)&gt;=100000,INDEX($AB$1005:$AQ$1005,1,MATCH(COLUMNS($AB$1006:AD1006),$AB$1006:$AQ$1006,0))&gt;=100000), " ",IF(INDEX($AB$2:$AQ$1001,MATCH(ROWS($U$2:U783),$U$2:$U$1001,0),MATCH(COLUMNS($AB$1006:AD1006),$AB$1006:$AQ$1006,0)), HYPERLINK("#",""), HYPERLINK(CONCATENATE("#Metadata!", ADDRESS(INDEX($W$2:$W$1001,MATCH(ROWS($U$2:U783),$U$2:$U$1001,0),0), INDEX($AB$1004:$AQ$1004,1,MATCH(COLUMNS($AB$1006:AD1006),$AB$1006:$AQ$1006,0)))),"Fix")))</f>
        <v>0</v>
      </c>
      <c r="E783" s="5">
        <f>IF(OR(INDEX($V$2:$V$1001,MATCH(ROWS($U$2:U783),$U$2:$U$1001,0),1)&gt;=100000,INDEX($AB$1005:$AQ$1005,1,MATCH(COLUMNS($AB$1006:AE1006),$AB$1006:$AQ$1006,0))&gt;=100000), " ",IF(INDEX($AB$2:$AQ$1001,MATCH(ROWS($U$2:U783),$U$2:$U$1001,0),MATCH(COLUMNS($AB$1006:AE1006),$AB$1006:$AQ$1006,0)), HYPERLINK("#",""), HYPERLINK(CONCATENATE("#Metadata!", ADDRESS(INDEX($W$2:$W$1001,MATCH(ROWS($U$2:U783),$U$2:$U$1001,0),0), INDEX($AB$1004:$AQ$1004,1,MATCH(COLUMNS($AB$1006:AE1006),$AB$1006:$AQ$1006,0)))),"Fix")))</f>
        <v>0</v>
      </c>
      <c r="F783" s="5">
        <f>IF(OR(INDEX($V$2:$V$1001,MATCH(ROWS($U$2:U783),$U$2:$U$1001,0),1)&gt;=100000,INDEX($AB$1005:$AQ$1005,1,MATCH(COLUMNS($AB$1006:AF1006),$AB$1006:$AQ$1006,0))&gt;=100000), " ",IF(INDEX($AB$2:$AQ$1001,MATCH(ROWS($U$2:U783),$U$2:$U$1001,0),MATCH(COLUMNS($AB$1006:AF1006),$AB$1006:$AQ$1006,0)), HYPERLINK("#",""), HYPERLINK(CONCATENATE("#Metadata!", ADDRESS(INDEX($W$2:$W$1001,MATCH(ROWS($U$2:U783),$U$2:$U$1001,0),0), INDEX($AB$1004:$AQ$1004,1,MATCH(COLUMNS($AB$1006:AF1006),$AB$1006:$AQ$1006,0)))),"Fix")))</f>
        <v>0</v>
      </c>
      <c r="G783" s="5">
        <f>IF(OR(INDEX($V$2:$V$1001,MATCH(ROWS($U$2:U783),$U$2:$U$1001,0),1)&gt;=100000,INDEX($AB$1005:$AQ$1005,1,MATCH(COLUMNS($AB$1006:AG1006),$AB$1006:$AQ$1006,0))&gt;=100000), " ",IF(INDEX($AB$2:$AQ$1001,MATCH(ROWS($U$2:U783),$U$2:$U$1001,0),MATCH(COLUMNS($AB$1006:AG1006),$AB$1006:$AQ$1006,0)), HYPERLINK("#",""), HYPERLINK(CONCATENATE("#Metadata!", ADDRESS(INDEX($W$2:$W$1001,MATCH(ROWS($U$2:U783),$U$2:$U$1001,0),0), INDEX($AB$1004:$AQ$1004,1,MATCH(COLUMNS($AB$1006:AG1006),$AB$1006:$AQ$1006,0)))),"Fix")))</f>
        <v>0</v>
      </c>
      <c r="H783" s="5">
        <f>IF(OR(INDEX($V$2:$V$1001,MATCH(ROWS($U$2:U783),$U$2:$U$1001,0),1)&gt;=100000,INDEX($AB$1005:$AQ$1005,1,MATCH(COLUMNS($AB$1006:AH1006),$AB$1006:$AQ$1006,0))&gt;=100000), " ",IF(INDEX($AB$2:$AQ$1001,MATCH(ROWS($U$2:U783),$U$2:$U$1001,0),MATCH(COLUMNS($AB$1006:AH1006),$AB$1006:$AQ$1006,0)), HYPERLINK("#",""), HYPERLINK(CONCATENATE("#Metadata!", ADDRESS(INDEX($W$2:$W$1001,MATCH(ROWS($U$2:U783),$U$2:$U$1001,0),0), INDEX($AB$1004:$AQ$1004,1,MATCH(COLUMNS($AB$1006:AH1006),$AB$1006:$AQ$1006,0)))),"Fix")))</f>
        <v>0</v>
      </c>
      <c r="I783" s="5">
        <f>IF(OR(INDEX($V$2:$V$1001,MATCH(ROWS($U$2:U783),$U$2:$U$1001,0),1)&gt;=100000,INDEX($AB$1005:$AQ$1005,1,MATCH(COLUMNS($AB$1006:AI1006),$AB$1006:$AQ$1006,0))&gt;=100000), " ",IF(INDEX($AB$2:$AQ$1001,MATCH(ROWS($U$2:U783),$U$2:$U$1001,0),MATCH(COLUMNS($AB$1006:AI1006),$AB$1006:$AQ$1006,0)), HYPERLINK("#",""), HYPERLINK(CONCATENATE("#Metadata!", ADDRESS(INDEX($W$2:$W$1001,MATCH(ROWS($U$2:U783),$U$2:$U$1001,0),0), INDEX($AB$1004:$AQ$1004,1,MATCH(COLUMNS($AB$1006:AI1006),$AB$1006:$AQ$1006,0)))),"Fix")))</f>
        <v>0</v>
      </c>
      <c r="J783" s="5">
        <f>IF(OR(INDEX($V$2:$V$1001,MATCH(ROWS($U$2:U783),$U$2:$U$1001,0),1)&gt;=100000,INDEX($AB$1005:$AQ$1005,1,MATCH(COLUMNS($AB$1006:AJ1006),$AB$1006:$AQ$1006,0))&gt;=100000), " ",IF(INDEX($AB$2:$AQ$1001,MATCH(ROWS($U$2:U783),$U$2:$U$1001,0),MATCH(COLUMNS($AB$1006:AJ1006),$AB$1006:$AQ$1006,0)), HYPERLINK("#",""), HYPERLINK(CONCATENATE("#Metadata!", ADDRESS(INDEX($W$2:$W$1001,MATCH(ROWS($U$2:U783),$U$2:$U$1001,0),0), INDEX($AB$1004:$AQ$1004,1,MATCH(COLUMNS($AB$1006:AJ1006),$AB$1006:$AQ$1006,0)))),"Fix")))</f>
        <v>0</v>
      </c>
      <c r="K783" s="5">
        <f>IF(OR(INDEX($V$2:$V$1001,MATCH(ROWS($U$2:U783),$U$2:$U$1001,0),1)&gt;=100000,INDEX($AB$1005:$AQ$1005,1,MATCH(COLUMNS($AB$1006:AK1006),$AB$1006:$AQ$1006,0))&gt;=100000), " ",IF(INDEX($AB$2:$AQ$1001,MATCH(ROWS($U$2:U783),$U$2:$U$1001,0),MATCH(COLUMNS($AB$1006:AK1006),$AB$1006:$AQ$1006,0)), HYPERLINK("#",""), HYPERLINK(CONCATENATE("#Metadata!", ADDRESS(INDEX($W$2:$W$1001,MATCH(ROWS($U$2:U783),$U$2:$U$1001,0),0), INDEX($AB$1004:$AQ$1004,1,MATCH(COLUMNS($AB$1006:AK1006),$AB$1006:$AQ$1006,0)))),"Fix")))</f>
        <v>0</v>
      </c>
      <c r="L783" s="5">
        <f>IF(OR(INDEX($V$2:$V$1001,MATCH(ROWS($U$2:U783),$U$2:$U$1001,0),1)&gt;=100000,INDEX($AB$1005:$AQ$1005,1,MATCH(COLUMNS($AB$1006:AL1006),$AB$1006:$AQ$1006,0))&gt;=100000), " ",IF(INDEX($AB$2:$AQ$1001,MATCH(ROWS($U$2:U783),$U$2:$U$1001,0),MATCH(COLUMNS($AB$1006:AL1006),$AB$1006:$AQ$1006,0)), HYPERLINK("#",""), HYPERLINK(CONCATENATE("#Metadata!", ADDRESS(INDEX($W$2:$W$1001,MATCH(ROWS($U$2:U783),$U$2:$U$1001,0),0), INDEX($AB$1004:$AQ$1004,1,MATCH(COLUMNS($AB$1006:AL1006),$AB$1006:$AQ$1006,0)))),"Fix")))</f>
        <v>0</v>
      </c>
      <c r="M783" s="5">
        <f>IF(OR(INDEX($V$2:$V$1001,MATCH(ROWS($U$2:U783),$U$2:$U$1001,0),1)&gt;=100000,INDEX($AB$1005:$AQ$1005,1,MATCH(COLUMNS($AB$1006:AM1006),$AB$1006:$AQ$1006,0))&gt;=100000), " ",IF(INDEX($AB$2:$AQ$1001,MATCH(ROWS($U$2:U783),$U$2:$U$1001,0),MATCH(COLUMNS($AB$1006:AM1006),$AB$1006:$AQ$1006,0)), HYPERLINK("#",""), HYPERLINK(CONCATENATE("#Metadata!", ADDRESS(INDEX($W$2:$W$1001,MATCH(ROWS($U$2:U783),$U$2:$U$1001,0),0), INDEX($AB$1004:$AQ$1004,1,MATCH(COLUMNS($AB$1006:AM1006),$AB$1006:$AQ$1006,0)))),"Fix")))</f>
        <v>0</v>
      </c>
      <c r="N783" s="5">
        <f>IF(OR(INDEX($V$2:$V$1001,MATCH(ROWS($U$2:U783),$U$2:$U$1001,0),1)&gt;=100000,INDEX($AB$1005:$AQ$1005,1,MATCH(COLUMNS($AB$1006:AN1006),$AB$1006:$AQ$1006,0))&gt;=100000), " ",IF(INDEX($AB$2:$AQ$1001,MATCH(ROWS($U$2:U783),$U$2:$U$1001,0),MATCH(COLUMNS($AB$1006:AN1006),$AB$1006:$AQ$1006,0)), HYPERLINK("#",""), HYPERLINK(CONCATENATE("#Metadata!", ADDRESS(INDEX($W$2:$W$1001,MATCH(ROWS($U$2:U783),$U$2:$U$1001,0),0), INDEX($AB$1004:$AQ$1004,1,MATCH(COLUMNS($AB$1006:AN1006),$AB$1006:$AQ$1006,0)))),"Fix")))</f>
        <v>0</v>
      </c>
      <c r="O783" s="5">
        <f>IF(OR(INDEX($V$2:$V$1001,MATCH(ROWS($U$2:U783),$U$2:$U$1001,0),1)&gt;=100000,INDEX($AB$1005:$AQ$1005,1,MATCH(COLUMNS($AB$1006:AO1006),$AB$1006:$AQ$1006,0))&gt;=100000), " ",IF(INDEX($AB$2:$AQ$1001,MATCH(ROWS($U$2:U783),$U$2:$U$1001,0),MATCH(COLUMNS($AB$1006:AO1006),$AB$1006:$AQ$1006,0)), HYPERLINK("#",""), HYPERLINK(CONCATENATE("#Metadata!", ADDRESS(INDEX($W$2:$W$1001,MATCH(ROWS($U$2:U783),$U$2:$U$1001,0),0), INDEX($AB$1004:$AQ$1004,1,MATCH(COLUMNS($AB$1006:AO1006),$AB$1006:$AQ$1006,0)))),"Fix")))</f>
        <v>0</v>
      </c>
      <c r="P783" s="5">
        <f>IF(OR(INDEX($V$2:$V$1001,MATCH(ROWS($U$2:U783),$U$2:$U$1001,0),1)&gt;=100000,INDEX($AB$1005:$AQ$1005,1,MATCH(COLUMNS($AB$1006:AP1006),$AB$1006:$AQ$1006,0))&gt;=100000), " ",IF(INDEX($AB$2:$AQ$1001,MATCH(ROWS($U$2:U783),$U$2:$U$1001,0),MATCH(COLUMNS($AB$1006:AP1006),$AB$1006:$AQ$1006,0)), HYPERLINK("#",""), HYPERLINK(CONCATENATE("#Metadata!", ADDRESS(INDEX($W$2:$W$1001,MATCH(ROWS($U$2:U783),$U$2:$U$1001,0),0), INDEX($AB$1004:$AQ$1004,1,MATCH(COLUMNS($AB$1006:AP1006),$AB$1006:$AQ$1006,0)))),"Fix")))</f>
        <v>0</v>
      </c>
      <c r="Q783" s="5">
        <f>IF(OR(INDEX($V$2:$V$1001,MATCH(ROWS($U$2:U783),$U$2:$U$1001,0),1)&gt;=100000,INDEX($AB$1005:$AQ$1005,1,MATCH(COLUMNS($AB$1006:AQ1006),$AB$1006:$AQ$1006,0))&gt;=100000), " ",IF(INDEX($AB$2:$AQ$1001,MATCH(ROWS($U$2:U783),$U$2:$U$1001,0),MATCH(COLUMNS($AB$1006:AQ1006),$AB$1006:$AQ$1006,0)), HYPERLINK("#",""), HYPERLINK(CONCATENATE("#Metadata!", ADDRESS(INDEX($W$2:$W$1001,MATCH(ROWS($U$2:U783),$U$2:$U$1001,0),0), INDEX($AB$1004:$AQ$1004,1,MATCH(COLUMNS($AB$1006:AQ1006),$AB$1006:$AQ$1006,0)))),"Fix")))</f>
        <v>0</v>
      </c>
      <c r="U783">
        <v>0</v>
      </c>
      <c r="V783">
        <v>0</v>
      </c>
      <c r="W783">
        <v>0</v>
      </c>
      <c r="X783">
        <f>IF(Y783,TRUE,AND(AB783:AQ783))</f>
        <v>0</v>
      </c>
      <c r="Y783">
        <f>COUNTBLANK(Metadata!B783:Q783)=COLUMNS(Metadata!B783:Q783)</f>
        <v>0</v>
      </c>
      <c r="Z783">
        <v>0</v>
      </c>
      <c r="AB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AC783">
        <f>AND(IF(Metadata!C783="",FALSE,TRUE),exact(Metadata!C783,"urban biome"))</f>
        <v>0</v>
      </c>
      <c r="AD783">
        <f>AND(IF(Metadata!D783="",FALSE,TRUE),exact(Metadata!D783,"human-associated habitat"))</f>
        <v>0</v>
      </c>
      <c r="AE783">
        <f>AND(IF(Metadata!E783="",FALSE,TRUE),OR(exact(Metadata!E783,"human-associated"),exact(Metadata!E783,"human-skin"),exact(Metadata!E783,"human-oral"),exact(Metadata!E783,"human-gut"),exact(Metadata!E783,"human-vaginal")))</f>
        <v>0</v>
      </c>
      <c r="AF783">
        <f>AND(IF(Metadata!F783="",FALSE,ISNUMBER(VALUE(Metadata!F783))),Metadata!F783&gt;0)</f>
        <v>0</v>
      </c>
      <c r="AG783">
        <f>AND(IF(Metadata!G783="",FALSE,TRUE),exact(Metadata!G783,"years"))</f>
        <v>0</v>
      </c>
      <c r="AH783">
        <f>OR(AND(IF(Metadata!H783="",FALSE,TRUE),OR(exact(Metadata!H783,"not applicable"),exact(Metadata!H783,"not collected"),exact(Metadata!H783,"not provided"),exact(Metadata!H783,"restricted access"))),AND(IF(Metadata!H783="",FALSE,ISNUMBER(VALUE(Metadata!H783))),Metadata!H783&gt;0))</f>
        <v>0</v>
      </c>
      <c r="AI783">
        <f>AND(IF(Metadata!I783="",FALSE,TRUE),exact(Metadata!I783,"human"))</f>
        <v>0</v>
      </c>
      <c r="AJ783">
        <f>AND(IF(Metadata!J783="",FALSE,ISNUMBER(VALUE(Metadata!J783))),Metadata!J783&gt;0)</f>
        <v>0</v>
      </c>
      <c r="AK783">
        <f>AND(IF(Metadata!K783="",FALSE,TRUE),exact(Metadata!K783,"cm"))</f>
        <v>0</v>
      </c>
      <c r="AL783">
        <f>AND(IF(Metadata!L783="",FALSE,TRUE),exact(Metadata!L783,"Homo sapiens"))</f>
        <v>0</v>
      </c>
      <c r="AM783">
        <f>AND(IF(Metadata!M783="",FALSE,TRUE),exact(Metadata!M783,"9606"))</f>
        <v>0</v>
      </c>
      <c r="AN783">
        <f>AND(IF(Metadata!N783="",FALSE,ISNUMBER(VALUE(Metadata!N783))),Metadata!N783&gt;0)</f>
        <v>0</v>
      </c>
      <c r="AO783">
        <f>AND(IF(Metadata!O783="",FALSE,TRUE),exact(Metadata!O783,"kg"))</f>
        <v>0</v>
      </c>
      <c r="AP783">
        <f>OR(AND(IF(Metadata!P783="",FALSE,TRUE),exact(Metadata!P783,"not provided")),IF(Metadata!P783="",FALSE,TRUE))</f>
        <v>0</v>
      </c>
      <c r="AQ783">
        <f>OR(AND(IF(Metadata!Q783="",FALSE,TRUE),exact(Metadata!Q783,"not provided")),IF(Metadata!Q783="",FALSE,TRUE))</f>
        <v>0</v>
      </c>
    </row>
    <row r="784" spans="1:43">
      <c r="A784" s="4">
        <f>IF(B784=" "," ",HYPERLINK(CONCATENATE("#metadata!",ADDRESS(INDEX($W$2:$W$1001,MATCH(ROWS($U$2:U784),$U$2:$U$1001,0),0),2)),INDEX($Z$2:$Z$1001,MATCH(ROWS($U$2:U784),$U$2:$U$1001,0),0)))</f>
        <v>0</v>
      </c>
      <c r="B784" s="5">
        <f>IF(OR(INDEX($V$2:$V$1001,MATCH(ROWS($U$2:U784),$U$2:$U$1001,0),1)&gt;=100000,INDEX($AB$1005:$AQ$1005,1,MATCH(COLUMNS($AB$1006:AB1006),$AB$1006:$AQ$1006,0))&gt;=100000), " ",IF(INDEX($AB$2:$AQ$1001,MATCH(ROWS($U$2:U784),$U$2:$U$1001,0),MATCH(COLUMNS($AB$1006:AB1006),$AB$1006:$AQ$1006,0)), HYPERLINK("#",""), HYPERLINK(CONCATENATE("#Metadata!", ADDRESS(INDEX($W$2:$W$1001,MATCH(ROWS($U$2:U784),$U$2:$U$1001,0),0), INDEX($AB$1004:$AQ$1004,1,MATCH(COLUMNS($AB$1006:AB1006),$AB$1006:$AQ$1006,0)))),"Fix")))</f>
        <v>0</v>
      </c>
      <c r="C784" s="5">
        <f>IF(OR(INDEX($V$2:$V$1001,MATCH(ROWS($U$2:U784),$U$2:$U$1001,0),1)&gt;=100000,INDEX($AB$1005:$AQ$1005,1,MATCH(COLUMNS($AB$1006:AC1006),$AB$1006:$AQ$1006,0))&gt;=100000), " ",IF(INDEX($AB$2:$AQ$1001,MATCH(ROWS($U$2:U784),$U$2:$U$1001,0),MATCH(COLUMNS($AB$1006:AC1006),$AB$1006:$AQ$1006,0)), HYPERLINK("#",""), HYPERLINK(CONCATENATE("#Metadata!", ADDRESS(INDEX($W$2:$W$1001,MATCH(ROWS($U$2:U784),$U$2:$U$1001,0),0), INDEX($AB$1004:$AQ$1004,1,MATCH(COLUMNS($AB$1006:AC1006),$AB$1006:$AQ$1006,0)))),"Fix")))</f>
        <v>0</v>
      </c>
      <c r="D784" s="5">
        <f>IF(OR(INDEX($V$2:$V$1001,MATCH(ROWS($U$2:U784),$U$2:$U$1001,0),1)&gt;=100000,INDEX($AB$1005:$AQ$1005,1,MATCH(COLUMNS($AB$1006:AD1006),$AB$1006:$AQ$1006,0))&gt;=100000), " ",IF(INDEX($AB$2:$AQ$1001,MATCH(ROWS($U$2:U784),$U$2:$U$1001,0),MATCH(COLUMNS($AB$1006:AD1006),$AB$1006:$AQ$1006,0)), HYPERLINK("#",""), HYPERLINK(CONCATENATE("#Metadata!", ADDRESS(INDEX($W$2:$W$1001,MATCH(ROWS($U$2:U784),$U$2:$U$1001,0),0), INDEX($AB$1004:$AQ$1004,1,MATCH(COLUMNS($AB$1006:AD1006),$AB$1006:$AQ$1006,0)))),"Fix")))</f>
        <v>0</v>
      </c>
      <c r="E784" s="5">
        <f>IF(OR(INDEX($V$2:$V$1001,MATCH(ROWS($U$2:U784),$U$2:$U$1001,0),1)&gt;=100000,INDEX($AB$1005:$AQ$1005,1,MATCH(COLUMNS($AB$1006:AE1006),$AB$1006:$AQ$1006,0))&gt;=100000), " ",IF(INDEX($AB$2:$AQ$1001,MATCH(ROWS($U$2:U784),$U$2:$U$1001,0),MATCH(COLUMNS($AB$1006:AE1006),$AB$1006:$AQ$1006,0)), HYPERLINK("#",""), HYPERLINK(CONCATENATE("#Metadata!", ADDRESS(INDEX($W$2:$W$1001,MATCH(ROWS($U$2:U784),$U$2:$U$1001,0),0), INDEX($AB$1004:$AQ$1004,1,MATCH(COLUMNS($AB$1006:AE1006),$AB$1006:$AQ$1006,0)))),"Fix")))</f>
        <v>0</v>
      </c>
      <c r="F784" s="5">
        <f>IF(OR(INDEX($V$2:$V$1001,MATCH(ROWS($U$2:U784),$U$2:$U$1001,0),1)&gt;=100000,INDEX($AB$1005:$AQ$1005,1,MATCH(COLUMNS($AB$1006:AF1006),$AB$1006:$AQ$1006,0))&gt;=100000), " ",IF(INDEX($AB$2:$AQ$1001,MATCH(ROWS($U$2:U784),$U$2:$U$1001,0),MATCH(COLUMNS($AB$1006:AF1006),$AB$1006:$AQ$1006,0)), HYPERLINK("#",""), HYPERLINK(CONCATENATE("#Metadata!", ADDRESS(INDEX($W$2:$W$1001,MATCH(ROWS($U$2:U784),$U$2:$U$1001,0),0), INDEX($AB$1004:$AQ$1004,1,MATCH(COLUMNS($AB$1006:AF1006),$AB$1006:$AQ$1006,0)))),"Fix")))</f>
        <v>0</v>
      </c>
      <c r="G784" s="5">
        <f>IF(OR(INDEX($V$2:$V$1001,MATCH(ROWS($U$2:U784),$U$2:$U$1001,0),1)&gt;=100000,INDEX($AB$1005:$AQ$1005,1,MATCH(COLUMNS($AB$1006:AG1006),$AB$1006:$AQ$1006,0))&gt;=100000), " ",IF(INDEX($AB$2:$AQ$1001,MATCH(ROWS($U$2:U784),$U$2:$U$1001,0),MATCH(COLUMNS($AB$1006:AG1006),$AB$1006:$AQ$1006,0)), HYPERLINK("#",""), HYPERLINK(CONCATENATE("#Metadata!", ADDRESS(INDEX($W$2:$W$1001,MATCH(ROWS($U$2:U784),$U$2:$U$1001,0),0), INDEX($AB$1004:$AQ$1004,1,MATCH(COLUMNS($AB$1006:AG1006),$AB$1006:$AQ$1006,0)))),"Fix")))</f>
        <v>0</v>
      </c>
      <c r="H784" s="5">
        <f>IF(OR(INDEX($V$2:$V$1001,MATCH(ROWS($U$2:U784),$U$2:$U$1001,0),1)&gt;=100000,INDEX($AB$1005:$AQ$1005,1,MATCH(COLUMNS($AB$1006:AH1006),$AB$1006:$AQ$1006,0))&gt;=100000), " ",IF(INDEX($AB$2:$AQ$1001,MATCH(ROWS($U$2:U784),$U$2:$U$1001,0),MATCH(COLUMNS($AB$1006:AH1006),$AB$1006:$AQ$1006,0)), HYPERLINK("#",""), HYPERLINK(CONCATENATE("#Metadata!", ADDRESS(INDEX($W$2:$W$1001,MATCH(ROWS($U$2:U784),$U$2:$U$1001,0),0), INDEX($AB$1004:$AQ$1004,1,MATCH(COLUMNS($AB$1006:AH1006),$AB$1006:$AQ$1006,0)))),"Fix")))</f>
        <v>0</v>
      </c>
      <c r="I784" s="5">
        <f>IF(OR(INDEX($V$2:$V$1001,MATCH(ROWS($U$2:U784),$U$2:$U$1001,0),1)&gt;=100000,INDEX($AB$1005:$AQ$1005,1,MATCH(COLUMNS($AB$1006:AI1006),$AB$1006:$AQ$1006,0))&gt;=100000), " ",IF(INDEX($AB$2:$AQ$1001,MATCH(ROWS($U$2:U784),$U$2:$U$1001,0),MATCH(COLUMNS($AB$1006:AI1006),$AB$1006:$AQ$1006,0)), HYPERLINK("#",""), HYPERLINK(CONCATENATE("#Metadata!", ADDRESS(INDEX($W$2:$W$1001,MATCH(ROWS($U$2:U784),$U$2:$U$1001,0),0), INDEX($AB$1004:$AQ$1004,1,MATCH(COLUMNS($AB$1006:AI1006),$AB$1006:$AQ$1006,0)))),"Fix")))</f>
        <v>0</v>
      </c>
      <c r="J784" s="5">
        <f>IF(OR(INDEX($V$2:$V$1001,MATCH(ROWS($U$2:U784),$U$2:$U$1001,0),1)&gt;=100000,INDEX($AB$1005:$AQ$1005,1,MATCH(COLUMNS($AB$1006:AJ1006),$AB$1006:$AQ$1006,0))&gt;=100000), " ",IF(INDEX($AB$2:$AQ$1001,MATCH(ROWS($U$2:U784),$U$2:$U$1001,0),MATCH(COLUMNS($AB$1006:AJ1006),$AB$1006:$AQ$1006,0)), HYPERLINK("#",""), HYPERLINK(CONCATENATE("#Metadata!", ADDRESS(INDEX($W$2:$W$1001,MATCH(ROWS($U$2:U784),$U$2:$U$1001,0),0), INDEX($AB$1004:$AQ$1004,1,MATCH(COLUMNS($AB$1006:AJ1006),$AB$1006:$AQ$1006,0)))),"Fix")))</f>
        <v>0</v>
      </c>
      <c r="K784" s="5">
        <f>IF(OR(INDEX($V$2:$V$1001,MATCH(ROWS($U$2:U784),$U$2:$U$1001,0),1)&gt;=100000,INDEX($AB$1005:$AQ$1005,1,MATCH(COLUMNS($AB$1006:AK1006),$AB$1006:$AQ$1006,0))&gt;=100000), " ",IF(INDEX($AB$2:$AQ$1001,MATCH(ROWS($U$2:U784),$U$2:$U$1001,0),MATCH(COLUMNS($AB$1006:AK1006),$AB$1006:$AQ$1006,0)), HYPERLINK("#",""), HYPERLINK(CONCATENATE("#Metadata!", ADDRESS(INDEX($W$2:$W$1001,MATCH(ROWS($U$2:U784),$U$2:$U$1001,0),0), INDEX($AB$1004:$AQ$1004,1,MATCH(COLUMNS($AB$1006:AK1006),$AB$1006:$AQ$1006,0)))),"Fix")))</f>
        <v>0</v>
      </c>
      <c r="L784" s="5">
        <f>IF(OR(INDEX($V$2:$V$1001,MATCH(ROWS($U$2:U784),$U$2:$U$1001,0),1)&gt;=100000,INDEX($AB$1005:$AQ$1005,1,MATCH(COLUMNS($AB$1006:AL1006),$AB$1006:$AQ$1006,0))&gt;=100000), " ",IF(INDEX($AB$2:$AQ$1001,MATCH(ROWS($U$2:U784),$U$2:$U$1001,0),MATCH(COLUMNS($AB$1006:AL1006),$AB$1006:$AQ$1006,0)), HYPERLINK("#",""), HYPERLINK(CONCATENATE("#Metadata!", ADDRESS(INDEX($W$2:$W$1001,MATCH(ROWS($U$2:U784),$U$2:$U$1001,0),0), INDEX($AB$1004:$AQ$1004,1,MATCH(COLUMNS($AB$1006:AL1006),$AB$1006:$AQ$1006,0)))),"Fix")))</f>
        <v>0</v>
      </c>
      <c r="M784" s="5">
        <f>IF(OR(INDEX($V$2:$V$1001,MATCH(ROWS($U$2:U784),$U$2:$U$1001,0),1)&gt;=100000,INDEX($AB$1005:$AQ$1005,1,MATCH(COLUMNS($AB$1006:AM1006),$AB$1006:$AQ$1006,0))&gt;=100000), " ",IF(INDEX($AB$2:$AQ$1001,MATCH(ROWS($U$2:U784),$U$2:$U$1001,0),MATCH(COLUMNS($AB$1006:AM1006),$AB$1006:$AQ$1006,0)), HYPERLINK("#",""), HYPERLINK(CONCATENATE("#Metadata!", ADDRESS(INDEX($W$2:$W$1001,MATCH(ROWS($U$2:U784),$U$2:$U$1001,0),0), INDEX($AB$1004:$AQ$1004,1,MATCH(COLUMNS($AB$1006:AM1006),$AB$1006:$AQ$1006,0)))),"Fix")))</f>
        <v>0</v>
      </c>
      <c r="N784" s="5">
        <f>IF(OR(INDEX($V$2:$V$1001,MATCH(ROWS($U$2:U784),$U$2:$U$1001,0),1)&gt;=100000,INDEX($AB$1005:$AQ$1005,1,MATCH(COLUMNS($AB$1006:AN1006),$AB$1006:$AQ$1006,0))&gt;=100000), " ",IF(INDEX($AB$2:$AQ$1001,MATCH(ROWS($U$2:U784),$U$2:$U$1001,0),MATCH(COLUMNS($AB$1006:AN1006),$AB$1006:$AQ$1006,0)), HYPERLINK("#",""), HYPERLINK(CONCATENATE("#Metadata!", ADDRESS(INDEX($W$2:$W$1001,MATCH(ROWS($U$2:U784),$U$2:$U$1001,0),0), INDEX($AB$1004:$AQ$1004,1,MATCH(COLUMNS($AB$1006:AN1006),$AB$1006:$AQ$1006,0)))),"Fix")))</f>
        <v>0</v>
      </c>
      <c r="O784" s="5">
        <f>IF(OR(INDEX($V$2:$V$1001,MATCH(ROWS($U$2:U784),$U$2:$U$1001,0),1)&gt;=100000,INDEX($AB$1005:$AQ$1005,1,MATCH(COLUMNS($AB$1006:AO1006),$AB$1006:$AQ$1006,0))&gt;=100000), " ",IF(INDEX($AB$2:$AQ$1001,MATCH(ROWS($U$2:U784),$U$2:$U$1001,0),MATCH(COLUMNS($AB$1006:AO1006),$AB$1006:$AQ$1006,0)), HYPERLINK("#",""), HYPERLINK(CONCATENATE("#Metadata!", ADDRESS(INDEX($W$2:$W$1001,MATCH(ROWS($U$2:U784),$U$2:$U$1001,0),0), INDEX($AB$1004:$AQ$1004,1,MATCH(COLUMNS($AB$1006:AO1006),$AB$1006:$AQ$1006,0)))),"Fix")))</f>
        <v>0</v>
      </c>
      <c r="P784" s="5">
        <f>IF(OR(INDEX($V$2:$V$1001,MATCH(ROWS($U$2:U784),$U$2:$U$1001,0),1)&gt;=100000,INDEX($AB$1005:$AQ$1005,1,MATCH(COLUMNS($AB$1006:AP1006),$AB$1006:$AQ$1006,0))&gt;=100000), " ",IF(INDEX($AB$2:$AQ$1001,MATCH(ROWS($U$2:U784),$U$2:$U$1001,0),MATCH(COLUMNS($AB$1006:AP1006),$AB$1006:$AQ$1006,0)), HYPERLINK("#",""), HYPERLINK(CONCATENATE("#Metadata!", ADDRESS(INDEX($W$2:$W$1001,MATCH(ROWS($U$2:U784),$U$2:$U$1001,0),0), INDEX($AB$1004:$AQ$1004,1,MATCH(COLUMNS($AB$1006:AP1006),$AB$1006:$AQ$1006,0)))),"Fix")))</f>
        <v>0</v>
      </c>
      <c r="Q784" s="5">
        <f>IF(OR(INDEX($V$2:$V$1001,MATCH(ROWS($U$2:U784),$U$2:$U$1001,0),1)&gt;=100000,INDEX($AB$1005:$AQ$1005,1,MATCH(COLUMNS($AB$1006:AQ1006),$AB$1006:$AQ$1006,0))&gt;=100000), " ",IF(INDEX($AB$2:$AQ$1001,MATCH(ROWS($U$2:U784),$U$2:$U$1001,0),MATCH(COLUMNS($AB$1006:AQ1006),$AB$1006:$AQ$1006,0)), HYPERLINK("#",""), HYPERLINK(CONCATENATE("#Metadata!", ADDRESS(INDEX($W$2:$W$1001,MATCH(ROWS($U$2:U784),$U$2:$U$1001,0),0), INDEX($AB$1004:$AQ$1004,1,MATCH(COLUMNS($AB$1006:AQ1006),$AB$1006:$AQ$1006,0)))),"Fix")))</f>
        <v>0</v>
      </c>
      <c r="U784">
        <v>0</v>
      </c>
      <c r="V784">
        <v>0</v>
      </c>
      <c r="W784">
        <v>0</v>
      </c>
      <c r="X784">
        <f>IF(Y784,TRUE,AND(AB784:AQ784))</f>
        <v>0</v>
      </c>
      <c r="Y784">
        <f>COUNTBLANK(Metadata!B784:Q784)=COLUMNS(Metadata!B784:Q784)</f>
        <v>0</v>
      </c>
      <c r="Z784">
        <v>0</v>
      </c>
      <c r="AB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AC784">
        <f>AND(IF(Metadata!C784="",FALSE,TRUE),exact(Metadata!C784,"urban biome"))</f>
        <v>0</v>
      </c>
      <c r="AD784">
        <f>AND(IF(Metadata!D784="",FALSE,TRUE),exact(Metadata!D784,"human-associated habitat"))</f>
        <v>0</v>
      </c>
      <c r="AE784">
        <f>AND(IF(Metadata!E784="",FALSE,TRUE),OR(exact(Metadata!E784,"human-associated"),exact(Metadata!E784,"human-skin"),exact(Metadata!E784,"human-oral"),exact(Metadata!E784,"human-gut"),exact(Metadata!E784,"human-vaginal")))</f>
        <v>0</v>
      </c>
      <c r="AF784">
        <f>AND(IF(Metadata!F784="",FALSE,ISNUMBER(VALUE(Metadata!F784))),Metadata!F784&gt;0)</f>
        <v>0</v>
      </c>
      <c r="AG784">
        <f>AND(IF(Metadata!G784="",FALSE,TRUE),exact(Metadata!G784,"years"))</f>
        <v>0</v>
      </c>
      <c r="AH784">
        <f>OR(AND(IF(Metadata!H784="",FALSE,TRUE),OR(exact(Metadata!H784,"not applicable"),exact(Metadata!H784,"not collected"),exact(Metadata!H784,"not provided"),exact(Metadata!H784,"restricted access"))),AND(IF(Metadata!H784="",FALSE,ISNUMBER(VALUE(Metadata!H784))),Metadata!H784&gt;0))</f>
        <v>0</v>
      </c>
      <c r="AI784">
        <f>AND(IF(Metadata!I784="",FALSE,TRUE),exact(Metadata!I784,"human"))</f>
        <v>0</v>
      </c>
      <c r="AJ784">
        <f>AND(IF(Metadata!J784="",FALSE,ISNUMBER(VALUE(Metadata!J784))),Metadata!J784&gt;0)</f>
        <v>0</v>
      </c>
      <c r="AK784">
        <f>AND(IF(Metadata!K784="",FALSE,TRUE),exact(Metadata!K784,"cm"))</f>
        <v>0</v>
      </c>
      <c r="AL784">
        <f>AND(IF(Metadata!L784="",FALSE,TRUE),exact(Metadata!L784,"Homo sapiens"))</f>
        <v>0</v>
      </c>
      <c r="AM784">
        <f>AND(IF(Metadata!M784="",FALSE,TRUE),exact(Metadata!M784,"9606"))</f>
        <v>0</v>
      </c>
      <c r="AN784">
        <f>AND(IF(Metadata!N784="",FALSE,ISNUMBER(VALUE(Metadata!N784))),Metadata!N784&gt;0)</f>
        <v>0</v>
      </c>
      <c r="AO784">
        <f>AND(IF(Metadata!O784="",FALSE,TRUE),exact(Metadata!O784,"kg"))</f>
        <v>0</v>
      </c>
      <c r="AP784">
        <f>OR(AND(IF(Metadata!P784="",FALSE,TRUE),exact(Metadata!P784,"not provided")),IF(Metadata!P784="",FALSE,TRUE))</f>
        <v>0</v>
      </c>
      <c r="AQ784">
        <f>OR(AND(IF(Metadata!Q784="",FALSE,TRUE),exact(Metadata!Q784,"not provided")),IF(Metadata!Q784="",FALSE,TRUE))</f>
        <v>0</v>
      </c>
    </row>
    <row r="785" spans="1:43">
      <c r="A785" s="4">
        <f>IF(B785=" "," ",HYPERLINK(CONCATENATE("#metadata!",ADDRESS(INDEX($W$2:$W$1001,MATCH(ROWS($U$2:U785),$U$2:$U$1001,0),0),2)),INDEX($Z$2:$Z$1001,MATCH(ROWS($U$2:U785),$U$2:$U$1001,0),0)))</f>
        <v>0</v>
      </c>
      <c r="B785" s="5">
        <f>IF(OR(INDEX($V$2:$V$1001,MATCH(ROWS($U$2:U785),$U$2:$U$1001,0),1)&gt;=100000,INDEX($AB$1005:$AQ$1005,1,MATCH(COLUMNS($AB$1006:AB1006),$AB$1006:$AQ$1006,0))&gt;=100000), " ",IF(INDEX($AB$2:$AQ$1001,MATCH(ROWS($U$2:U785),$U$2:$U$1001,0),MATCH(COLUMNS($AB$1006:AB1006),$AB$1006:$AQ$1006,0)), HYPERLINK("#",""), HYPERLINK(CONCATENATE("#Metadata!", ADDRESS(INDEX($W$2:$W$1001,MATCH(ROWS($U$2:U785),$U$2:$U$1001,0),0), INDEX($AB$1004:$AQ$1004,1,MATCH(COLUMNS($AB$1006:AB1006),$AB$1006:$AQ$1006,0)))),"Fix")))</f>
        <v>0</v>
      </c>
      <c r="C785" s="5">
        <f>IF(OR(INDEX($V$2:$V$1001,MATCH(ROWS($U$2:U785),$U$2:$U$1001,0),1)&gt;=100000,INDEX($AB$1005:$AQ$1005,1,MATCH(COLUMNS($AB$1006:AC1006),$AB$1006:$AQ$1006,0))&gt;=100000), " ",IF(INDEX($AB$2:$AQ$1001,MATCH(ROWS($U$2:U785),$U$2:$U$1001,0),MATCH(COLUMNS($AB$1006:AC1006),$AB$1006:$AQ$1006,0)), HYPERLINK("#",""), HYPERLINK(CONCATENATE("#Metadata!", ADDRESS(INDEX($W$2:$W$1001,MATCH(ROWS($U$2:U785),$U$2:$U$1001,0),0), INDEX($AB$1004:$AQ$1004,1,MATCH(COLUMNS($AB$1006:AC1006),$AB$1006:$AQ$1006,0)))),"Fix")))</f>
        <v>0</v>
      </c>
      <c r="D785" s="5">
        <f>IF(OR(INDEX($V$2:$V$1001,MATCH(ROWS($U$2:U785),$U$2:$U$1001,0),1)&gt;=100000,INDEX($AB$1005:$AQ$1005,1,MATCH(COLUMNS($AB$1006:AD1006),$AB$1006:$AQ$1006,0))&gt;=100000), " ",IF(INDEX($AB$2:$AQ$1001,MATCH(ROWS($U$2:U785),$U$2:$U$1001,0),MATCH(COLUMNS($AB$1006:AD1006),$AB$1006:$AQ$1006,0)), HYPERLINK("#",""), HYPERLINK(CONCATENATE("#Metadata!", ADDRESS(INDEX($W$2:$W$1001,MATCH(ROWS($U$2:U785),$U$2:$U$1001,0),0), INDEX($AB$1004:$AQ$1004,1,MATCH(COLUMNS($AB$1006:AD1006),$AB$1006:$AQ$1006,0)))),"Fix")))</f>
        <v>0</v>
      </c>
      <c r="E785" s="5">
        <f>IF(OR(INDEX($V$2:$V$1001,MATCH(ROWS($U$2:U785),$U$2:$U$1001,0),1)&gt;=100000,INDEX($AB$1005:$AQ$1005,1,MATCH(COLUMNS($AB$1006:AE1006),$AB$1006:$AQ$1006,0))&gt;=100000), " ",IF(INDEX($AB$2:$AQ$1001,MATCH(ROWS($U$2:U785),$U$2:$U$1001,0),MATCH(COLUMNS($AB$1006:AE1006),$AB$1006:$AQ$1006,0)), HYPERLINK("#",""), HYPERLINK(CONCATENATE("#Metadata!", ADDRESS(INDEX($W$2:$W$1001,MATCH(ROWS($U$2:U785),$U$2:$U$1001,0),0), INDEX($AB$1004:$AQ$1004,1,MATCH(COLUMNS($AB$1006:AE1006),$AB$1006:$AQ$1006,0)))),"Fix")))</f>
        <v>0</v>
      </c>
      <c r="F785" s="5">
        <f>IF(OR(INDEX($V$2:$V$1001,MATCH(ROWS($U$2:U785),$U$2:$U$1001,0),1)&gt;=100000,INDEX($AB$1005:$AQ$1005,1,MATCH(COLUMNS($AB$1006:AF1006),$AB$1006:$AQ$1006,0))&gt;=100000), " ",IF(INDEX($AB$2:$AQ$1001,MATCH(ROWS($U$2:U785),$U$2:$U$1001,0),MATCH(COLUMNS($AB$1006:AF1006),$AB$1006:$AQ$1006,0)), HYPERLINK("#",""), HYPERLINK(CONCATENATE("#Metadata!", ADDRESS(INDEX($W$2:$W$1001,MATCH(ROWS($U$2:U785),$U$2:$U$1001,0),0), INDEX($AB$1004:$AQ$1004,1,MATCH(COLUMNS($AB$1006:AF1006),$AB$1006:$AQ$1006,0)))),"Fix")))</f>
        <v>0</v>
      </c>
      <c r="G785" s="5">
        <f>IF(OR(INDEX($V$2:$V$1001,MATCH(ROWS($U$2:U785),$U$2:$U$1001,0),1)&gt;=100000,INDEX($AB$1005:$AQ$1005,1,MATCH(COLUMNS($AB$1006:AG1006),$AB$1006:$AQ$1006,0))&gt;=100000), " ",IF(INDEX($AB$2:$AQ$1001,MATCH(ROWS($U$2:U785),$U$2:$U$1001,0),MATCH(COLUMNS($AB$1006:AG1006),$AB$1006:$AQ$1006,0)), HYPERLINK("#",""), HYPERLINK(CONCATENATE("#Metadata!", ADDRESS(INDEX($W$2:$W$1001,MATCH(ROWS($U$2:U785),$U$2:$U$1001,0),0), INDEX($AB$1004:$AQ$1004,1,MATCH(COLUMNS($AB$1006:AG1006),$AB$1006:$AQ$1006,0)))),"Fix")))</f>
        <v>0</v>
      </c>
      <c r="H785" s="5">
        <f>IF(OR(INDEX($V$2:$V$1001,MATCH(ROWS($U$2:U785),$U$2:$U$1001,0),1)&gt;=100000,INDEX($AB$1005:$AQ$1005,1,MATCH(COLUMNS($AB$1006:AH1006),$AB$1006:$AQ$1006,0))&gt;=100000), " ",IF(INDEX($AB$2:$AQ$1001,MATCH(ROWS($U$2:U785),$U$2:$U$1001,0),MATCH(COLUMNS($AB$1006:AH1006),$AB$1006:$AQ$1006,0)), HYPERLINK("#",""), HYPERLINK(CONCATENATE("#Metadata!", ADDRESS(INDEX($W$2:$W$1001,MATCH(ROWS($U$2:U785),$U$2:$U$1001,0),0), INDEX($AB$1004:$AQ$1004,1,MATCH(COLUMNS($AB$1006:AH1006),$AB$1006:$AQ$1006,0)))),"Fix")))</f>
        <v>0</v>
      </c>
      <c r="I785" s="5">
        <f>IF(OR(INDEX($V$2:$V$1001,MATCH(ROWS($U$2:U785),$U$2:$U$1001,0),1)&gt;=100000,INDEX($AB$1005:$AQ$1005,1,MATCH(COLUMNS($AB$1006:AI1006),$AB$1006:$AQ$1006,0))&gt;=100000), " ",IF(INDEX($AB$2:$AQ$1001,MATCH(ROWS($U$2:U785),$U$2:$U$1001,0),MATCH(COLUMNS($AB$1006:AI1006),$AB$1006:$AQ$1006,0)), HYPERLINK("#",""), HYPERLINK(CONCATENATE("#Metadata!", ADDRESS(INDEX($W$2:$W$1001,MATCH(ROWS($U$2:U785),$U$2:$U$1001,0),0), INDEX($AB$1004:$AQ$1004,1,MATCH(COLUMNS($AB$1006:AI1006),$AB$1006:$AQ$1006,0)))),"Fix")))</f>
        <v>0</v>
      </c>
      <c r="J785" s="5">
        <f>IF(OR(INDEX($V$2:$V$1001,MATCH(ROWS($U$2:U785),$U$2:$U$1001,0),1)&gt;=100000,INDEX($AB$1005:$AQ$1005,1,MATCH(COLUMNS($AB$1006:AJ1006),$AB$1006:$AQ$1006,0))&gt;=100000), " ",IF(INDEX($AB$2:$AQ$1001,MATCH(ROWS($U$2:U785),$U$2:$U$1001,0),MATCH(COLUMNS($AB$1006:AJ1006),$AB$1006:$AQ$1006,0)), HYPERLINK("#",""), HYPERLINK(CONCATENATE("#Metadata!", ADDRESS(INDEX($W$2:$W$1001,MATCH(ROWS($U$2:U785),$U$2:$U$1001,0),0), INDEX($AB$1004:$AQ$1004,1,MATCH(COLUMNS($AB$1006:AJ1006),$AB$1006:$AQ$1006,0)))),"Fix")))</f>
        <v>0</v>
      </c>
      <c r="K785" s="5">
        <f>IF(OR(INDEX($V$2:$V$1001,MATCH(ROWS($U$2:U785),$U$2:$U$1001,0),1)&gt;=100000,INDEX($AB$1005:$AQ$1005,1,MATCH(COLUMNS($AB$1006:AK1006),$AB$1006:$AQ$1006,0))&gt;=100000), " ",IF(INDEX($AB$2:$AQ$1001,MATCH(ROWS($U$2:U785),$U$2:$U$1001,0),MATCH(COLUMNS($AB$1006:AK1006),$AB$1006:$AQ$1006,0)), HYPERLINK("#",""), HYPERLINK(CONCATENATE("#Metadata!", ADDRESS(INDEX($W$2:$W$1001,MATCH(ROWS($U$2:U785),$U$2:$U$1001,0),0), INDEX($AB$1004:$AQ$1004,1,MATCH(COLUMNS($AB$1006:AK1006),$AB$1006:$AQ$1006,0)))),"Fix")))</f>
        <v>0</v>
      </c>
      <c r="L785" s="5">
        <f>IF(OR(INDEX($V$2:$V$1001,MATCH(ROWS($U$2:U785),$U$2:$U$1001,0),1)&gt;=100000,INDEX($AB$1005:$AQ$1005,1,MATCH(COLUMNS($AB$1006:AL1006),$AB$1006:$AQ$1006,0))&gt;=100000), " ",IF(INDEX($AB$2:$AQ$1001,MATCH(ROWS($U$2:U785),$U$2:$U$1001,0),MATCH(COLUMNS($AB$1006:AL1006),$AB$1006:$AQ$1006,0)), HYPERLINK("#",""), HYPERLINK(CONCATENATE("#Metadata!", ADDRESS(INDEX($W$2:$W$1001,MATCH(ROWS($U$2:U785),$U$2:$U$1001,0),0), INDEX($AB$1004:$AQ$1004,1,MATCH(COLUMNS($AB$1006:AL1006),$AB$1006:$AQ$1006,0)))),"Fix")))</f>
        <v>0</v>
      </c>
      <c r="M785" s="5">
        <f>IF(OR(INDEX($V$2:$V$1001,MATCH(ROWS($U$2:U785),$U$2:$U$1001,0),1)&gt;=100000,INDEX($AB$1005:$AQ$1005,1,MATCH(COLUMNS($AB$1006:AM1006),$AB$1006:$AQ$1006,0))&gt;=100000), " ",IF(INDEX($AB$2:$AQ$1001,MATCH(ROWS($U$2:U785),$U$2:$U$1001,0),MATCH(COLUMNS($AB$1006:AM1006),$AB$1006:$AQ$1006,0)), HYPERLINK("#",""), HYPERLINK(CONCATENATE("#Metadata!", ADDRESS(INDEX($W$2:$W$1001,MATCH(ROWS($U$2:U785),$U$2:$U$1001,0),0), INDEX($AB$1004:$AQ$1004,1,MATCH(COLUMNS($AB$1006:AM1006),$AB$1006:$AQ$1006,0)))),"Fix")))</f>
        <v>0</v>
      </c>
      <c r="N785" s="5">
        <f>IF(OR(INDEX($V$2:$V$1001,MATCH(ROWS($U$2:U785),$U$2:$U$1001,0),1)&gt;=100000,INDEX($AB$1005:$AQ$1005,1,MATCH(COLUMNS($AB$1006:AN1006),$AB$1006:$AQ$1006,0))&gt;=100000), " ",IF(INDEX($AB$2:$AQ$1001,MATCH(ROWS($U$2:U785),$U$2:$U$1001,0),MATCH(COLUMNS($AB$1006:AN1006),$AB$1006:$AQ$1006,0)), HYPERLINK("#",""), HYPERLINK(CONCATENATE("#Metadata!", ADDRESS(INDEX($W$2:$W$1001,MATCH(ROWS($U$2:U785),$U$2:$U$1001,0),0), INDEX($AB$1004:$AQ$1004,1,MATCH(COLUMNS($AB$1006:AN1006),$AB$1006:$AQ$1006,0)))),"Fix")))</f>
        <v>0</v>
      </c>
      <c r="O785" s="5">
        <f>IF(OR(INDEX($V$2:$V$1001,MATCH(ROWS($U$2:U785),$U$2:$U$1001,0),1)&gt;=100000,INDEX($AB$1005:$AQ$1005,1,MATCH(COLUMNS($AB$1006:AO1006),$AB$1006:$AQ$1006,0))&gt;=100000), " ",IF(INDEX($AB$2:$AQ$1001,MATCH(ROWS($U$2:U785),$U$2:$U$1001,0),MATCH(COLUMNS($AB$1006:AO1006),$AB$1006:$AQ$1006,0)), HYPERLINK("#",""), HYPERLINK(CONCATENATE("#Metadata!", ADDRESS(INDEX($W$2:$W$1001,MATCH(ROWS($U$2:U785),$U$2:$U$1001,0),0), INDEX($AB$1004:$AQ$1004,1,MATCH(COLUMNS($AB$1006:AO1006),$AB$1006:$AQ$1006,0)))),"Fix")))</f>
        <v>0</v>
      </c>
      <c r="P785" s="5">
        <f>IF(OR(INDEX($V$2:$V$1001,MATCH(ROWS($U$2:U785),$U$2:$U$1001,0),1)&gt;=100000,INDEX($AB$1005:$AQ$1005,1,MATCH(COLUMNS($AB$1006:AP1006),$AB$1006:$AQ$1006,0))&gt;=100000), " ",IF(INDEX($AB$2:$AQ$1001,MATCH(ROWS($U$2:U785),$U$2:$U$1001,0),MATCH(COLUMNS($AB$1006:AP1006),$AB$1006:$AQ$1006,0)), HYPERLINK("#",""), HYPERLINK(CONCATENATE("#Metadata!", ADDRESS(INDEX($W$2:$W$1001,MATCH(ROWS($U$2:U785),$U$2:$U$1001,0),0), INDEX($AB$1004:$AQ$1004,1,MATCH(COLUMNS($AB$1006:AP1006),$AB$1006:$AQ$1006,0)))),"Fix")))</f>
        <v>0</v>
      </c>
      <c r="Q785" s="5">
        <f>IF(OR(INDEX($V$2:$V$1001,MATCH(ROWS($U$2:U785),$U$2:$U$1001,0),1)&gt;=100000,INDEX($AB$1005:$AQ$1005,1,MATCH(COLUMNS($AB$1006:AQ1006),$AB$1006:$AQ$1006,0))&gt;=100000), " ",IF(INDEX($AB$2:$AQ$1001,MATCH(ROWS($U$2:U785),$U$2:$U$1001,0),MATCH(COLUMNS($AB$1006:AQ1006),$AB$1006:$AQ$1006,0)), HYPERLINK("#",""), HYPERLINK(CONCATENATE("#Metadata!", ADDRESS(INDEX($W$2:$W$1001,MATCH(ROWS($U$2:U785),$U$2:$U$1001,0),0), INDEX($AB$1004:$AQ$1004,1,MATCH(COLUMNS($AB$1006:AQ1006),$AB$1006:$AQ$1006,0)))),"Fix")))</f>
        <v>0</v>
      </c>
      <c r="U785">
        <v>0</v>
      </c>
      <c r="V785">
        <v>0</v>
      </c>
      <c r="W785">
        <v>0</v>
      </c>
      <c r="X785">
        <f>IF(Y785,TRUE,AND(AB785:AQ785))</f>
        <v>0</v>
      </c>
      <c r="Y785">
        <f>COUNTBLANK(Metadata!B785:Q785)=COLUMNS(Metadata!B785:Q785)</f>
        <v>0</v>
      </c>
      <c r="Z785">
        <v>0</v>
      </c>
      <c r="AB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AC785">
        <f>AND(IF(Metadata!C785="",FALSE,TRUE),exact(Metadata!C785,"urban biome"))</f>
        <v>0</v>
      </c>
      <c r="AD785">
        <f>AND(IF(Metadata!D785="",FALSE,TRUE),exact(Metadata!D785,"human-associated habitat"))</f>
        <v>0</v>
      </c>
      <c r="AE785">
        <f>AND(IF(Metadata!E785="",FALSE,TRUE),OR(exact(Metadata!E785,"human-associated"),exact(Metadata!E785,"human-skin"),exact(Metadata!E785,"human-oral"),exact(Metadata!E785,"human-gut"),exact(Metadata!E785,"human-vaginal")))</f>
        <v>0</v>
      </c>
      <c r="AF785">
        <f>AND(IF(Metadata!F785="",FALSE,ISNUMBER(VALUE(Metadata!F785))),Metadata!F785&gt;0)</f>
        <v>0</v>
      </c>
      <c r="AG785">
        <f>AND(IF(Metadata!G785="",FALSE,TRUE),exact(Metadata!G785,"years"))</f>
        <v>0</v>
      </c>
      <c r="AH785">
        <f>OR(AND(IF(Metadata!H785="",FALSE,TRUE),OR(exact(Metadata!H785,"not applicable"),exact(Metadata!H785,"not collected"),exact(Metadata!H785,"not provided"),exact(Metadata!H785,"restricted access"))),AND(IF(Metadata!H785="",FALSE,ISNUMBER(VALUE(Metadata!H785))),Metadata!H785&gt;0))</f>
        <v>0</v>
      </c>
      <c r="AI785">
        <f>AND(IF(Metadata!I785="",FALSE,TRUE),exact(Metadata!I785,"human"))</f>
        <v>0</v>
      </c>
      <c r="AJ785">
        <f>AND(IF(Metadata!J785="",FALSE,ISNUMBER(VALUE(Metadata!J785))),Metadata!J785&gt;0)</f>
        <v>0</v>
      </c>
      <c r="AK785">
        <f>AND(IF(Metadata!K785="",FALSE,TRUE),exact(Metadata!K785,"cm"))</f>
        <v>0</v>
      </c>
      <c r="AL785">
        <f>AND(IF(Metadata!L785="",FALSE,TRUE),exact(Metadata!L785,"Homo sapiens"))</f>
        <v>0</v>
      </c>
      <c r="AM785">
        <f>AND(IF(Metadata!M785="",FALSE,TRUE),exact(Metadata!M785,"9606"))</f>
        <v>0</v>
      </c>
      <c r="AN785">
        <f>AND(IF(Metadata!N785="",FALSE,ISNUMBER(VALUE(Metadata!N785))),Metadata!N785&gt;0)</f>
        <v>0</v>
      </c>
      <c r="AO785">
        <f>AND(IF(Metadata!O785="",FALSE,TRUE),exact(Metadata!O785,"kg"))</f>
        <v>0</v>
      </c>
      <c r="AP785">
        <f>OR(AND(IF(Metadata!P785="",FALSE,TRUE),exact(Metadata!P785,"not provided")),IF(Metadata!P785="",FALSE,TRUE))</f>
        <v>0</v>
      </c>
      <c r="AQ785">
        <f>OR(AND(IF(Metadata!Q785="",FALSE,TRUE),exact(Metadata!Q785,"not provided")),IF(Metadata!Q785="",FALSE,TRUE))</f>
        <v>0</v>
      </c>
    </row>
    <row r="786" spans="1:43">
      <c r="A786" s="4">
        <f>IF(B786=" "," ",HYPERLINK(CONCATENATE("#metadata!",ADDRESS(INDEX($W$2:$W$1001,MATCH(ROWS($U$2:U786),$U$2:$U$1001,0),0),2)),INDEX($Z$2:$Z$1001,MATCH(ROWS($U$2:U786),$U$2:$U$1001,0),0)))</f>
        <v>0</v>
      </c>
      <c r="B786" s="5">
        <f>IF(OR(INDEX($V$2:$V$1001,MATCH(ROWS($U$2:U786),$U$2:$U$1001,0),1)&gt;=100000,INDEX($AB$1005:$AQ$1005,1,MATCH(COLUMNS($AB$1006:AB1006),$AB$1006:$AQ$1006,0))&gt;=100000), " ",IF(INDEX($AB$2:$AQ$1001,MATCH(ROWS($U$2:U786),$U$2:$U$1001,0),MATCH(COLUMNS($AB$1006:AB1006),$AB$1006:$AQ$1006,0)), HYPERLINK("#",""), HYPERLINK(CONCATENATE("#Metadata!", ADDRESS(INDEX($W$2:$W$1001,MATCH(ROWS($U$2:U786),$U$2:$U$1001,0),0), INDEX($AB$1004:$AQ$1004,1,MATCH(COLUMNS($AB$1006:AB1006),$AB$1006:$AQ$1006,0)))),"Fix")))</f>
        <v>0</v>
      </c>
      <c r="C786" s="5">
        <f>IF(OR(INDEX($V$2:$V$1001,MATCH(ROWS($U$2:U786),$U$2:$U$1001,0),1)&gt;=100000,INDEX($AB$1005:$AQ$1005,1,MATCH(COLUMNS($AB$1006:AC1006),$AB$1006:$AQ$1006,0))&gt;=100000), " ",IF(INDEX($AB$2:$AQ$1001,MATCH(ROWS($U$2:U786),$U$2:$U$1001,0),MATCH(COLUMNS($AB$1006:AC1006),$AB$1006:$AQ$1006,0)), HYPERLINK("#",""), HYPERLINK(CONCATENATE("#Metadata!", ADDRESS(INDEX($W$2:$W$1001,MATCH(ROWS($U$2:U786),$U$2:$U$1001,0),0), INDEX($AB$1004:$AQ$1004,1,MATCH(COLUMNS($AB$1006:AC1006),$AB$1006:$AQ$1006,0)))),"Fix")))</f>
        <v>0</v>
      </c>
      <c r="D786" s="5">
        <f>IF(OR(INDEX($V$2:$V$1001,MATCH(ROWS($U$2:U786),$U$2:$U$1001,0),1)&gt;=100000,INDEX($AB$1005:$AQ$1005,1,MATCH(COLUMNS($AB$1006:AD1006),$AB$1006:$AQ$1006,0))&gt;=100000), " ",IF(INDEX($AB$2:$AQ$1001,MATCH(ROWS($U$2:U786),$U$2:$U$1001,0),MATCH(COLUMNS($AB$1006:AD1006),$AB$1006:$AQ$1006,0)), HYPERLINK("#",""), HYPERLINK(CONCATENATE("#Metadata!", ADDRESS(INDEX($W$2:$W$1001,MATCH(ROWS($U$2:U786),$U$2:$U$1001,0),0), INDEX($AB$1004:$AQ$1004,1,MATCH(COLUMNS($AB$1006:AD1006),$AB$1006:$AQ$1006,0)))),"Fix")))</f>
        <v>0</v>
      </c>
      <c r="E786" s="5">
        <f>IF(OR(INDEX($V$2:$V$1001,MATCH(ROWS($U$2:U786),$U$2:$U$1001,0),1)&gt;=100000,INDEX($AB$1005:$AQ$1005,1,MATCH(COLUMNS($AB$1006:AE1006),$AB$1006:$AQ$1006,0))&gt;=100000), " ",IF(INDEX($AB$2:$AQ$1001,MATCH(ROWS($U$2:U786),$U$2:$U$1001,0),MATCH(COLUMNS($AB$1006:AE1006),$AB$1006:$AQ$1006,0)), HYPERLINK("#",""), HYPERLINK(CONCATENATE("#Metadata!", ADDRESS(INDEX($W$2:$W$1001,MATCH(ROWS($U$2:U786),$U$2:$U$1001,0),0), INDEX($AB$1004:$AQ$1004,1,MATCH(COLUMNS($AB$1006:AE1006),$AB$1006:$AQ$1006,0)))),"Fix")))</f>
        <v>0</v>
      </c>
      <c r="F786" s="5">
        <f>IF(OR(INDEX($V$2:$V$1001,MATCH(ROWS($U$2:U786),$U$2:$U$1001,0),1)&gt;=100000,INDEX($AB$1005:$AQ$1005,1,MATCH(COLUMNS($AB$1006:AF1006),$AB$1006:$AQ$1006,0))&gt;=100000), " ",IF(INDEX($AB$2:$AQ$1001,MATCH(ROWS($U$2:U786),$U$2:$U$1001,0),MATCH(COLUMNS($AB$1006:AF1006),$AB$1006:$AQ$1006,0)), HYPERLINK("#",""), HYPERLINK(CONCATENATE("#Metadata!", ADDRESS(INDEX($W$2:$W$1001,MATCH(ROWS($U$2:U786),$U$2:$U$1001,0),0), INDEX($AB$1004:$AQ$1004,1,MATCH(COLUMNS($AB$1006:AF1006),$AB$1006:$AQ$1006,0)))),"Fix")))</f>
        <v>0</v>
      </c>
      <c r="G786" s="5">
        <f>IF(OR(INDEX($V$2:$V$1001,MATCH(ROWS($U$2:U786),$U$2:$U$1001,0),1)&gt;=100000,INDEX($AB$1005:$AQ$1005,1,MATCH(COLUMNS($AB$1006:AG1006),$AB$1006:$AQ$1006,0))&gt;=100000), " ",IF(INDEX($AB$2:$AQ$1001,MATCH(ROWS($U$2:U786),$U$2:$U$1001,0),MATCH(COLUMNS($AB$1006:AG1006),$AB$1006:$AQ$1006,0)), HYPERLINK("#",""), HYPERLINK(CONCATENATE("#Metadata!", ADDRESS(INDEX($W$2:$W$1001,MATCH(ROWS($U$2:U786),$U$2:$U$1001,0),0), INDEX($AB$1004:$AQ$1004,1,MATCH(COLUMNS($AB$1006:AG1006),$AB$1006:$AQ$1006,0)))),"Fix")))</f>
        <v>0</v>
      </c>
      <c r="H786" s="5">
        <f>IF(OR(INDEX($V$2:$V$1001,MATCH(ROWS($U$2:U786),$U$2:$U$1001,0),1)&gt;=100000,INDEX($AB$1005:$AQ$1005,1,MATCH(COLUMNS($AB$1006:AH1006),$AB$1006:$AQ$1006,0))&gt;=100000), " ",IF(INDEX($AB$2:$AQ$1001,MATCH(ROWS($U$2:U786),$U$2:$U$1001,0),MATCH(COLUMNS($AB$1006:AH1006),$AB$1006:$AQ$1006,0)), HYPERLINK("#",""), HYPERLINK(CONCATENATE("#Metadata!", ADDRESS(INDEX($W$2:$W$1001,MATCH(ROWS($U$2:U786),$U$2:$U$1001,0),0), INDEX($AB$1004:$AQ$1004,1,MATCH(COLUMNS($AB$1006:AH1006),$AB$1006:$AQ$1006,0)))),"Fix")))</f>
        <v>0</v>
      </c>
      <c r="I786" s="5">
        <f>IF(OR(INDEX($V$2:$V$1001,MATCH(ROWS($U$2:U786),$U$2:$U$1001,0),1)&gt;=100000,INDEX($AB$1005:$AQ$1005,1,MATCH(COLUMNS($AB$1006:AI1006),$AB$1006:$AQ$1006,0))&gt;=100000), " ",IF(INDEX($AB$2:$AQ$1001,MATCH(ROWS($U$2:U786),$U$2:$U$1001,0),MATCH(COLUMNS($AB$1006:AI1006),$AB$1006:$AQ$1006,0)), HYPERLINK("#",""), HYPERLINK(CONCATENATE("#Metadata!", ADDRESS(INDEX($W$2:$W$1001,MATCH(ROWS($U$2:U786),$U$2:$U$1001,0),0), INDEX($AB$1004:$AQ$1004,1,MATCH(COLUMNS($AB$1006:AI1006),$AB$1006:$AQ$1006,0)))),"Fix")))</f>
        <v>0</v>
      </c>
      <c r="J786" s="5">
        <f>IF(OR(INDEX($V$2:$V$1001,MATCH(ROWS($U$2:U786),$U$2:$U$1001,0),1)&gt;=100000,INDEX($AB$1005:$AQ$1005,1,MATCH(COLUMNS($AB$1006:AJ1006),$AB$1006:$AQ$1006,0))&gt;=100000), " ",IF(INDEX($AB$2:$AQ$1001,MATCH(ROWS($U$2:U786),$U$2:$U$1001,0),MATCH(COLUMNS($AB$1006:AJ1006),$AB$1006:$AQ$1006,0)), HYPERLINK("#",""), HYPERLINK(CONCATENATE("#Metadata!", ADDRESS(INDEX($W$2:$W$1001,MATCH(ROWS($U$2:U786),$U$2:$U$1001,0),0), INDEX($AB$1004:$AQ$1004,1,MATCH(COLUMNS($AB$1006:AJ1006),$AB$1006:$AQ$1006,0)))),"Fix")))</f>
        <v>0</v>
      </c>
      <c r="K786" s="5">
        <f>IF(OR(INDEX($V$2:$V$1001,MATCH(ROWS($U$2:U786),$U$2:$U$1001,0),1)&gt;=100000,INDEX($AB$1005:$AQ$1005,1,MATCH(COLUMNS($AB$1006:AK1006),$AB$1006:$AQ$1006,0))&gt;=100000), " ",IF(INDEX($AB$2:$AQ$1001,MATCH(ROWS($U$2:U786),$U$2:$U$1001,0),MATCH(COLUMNS($AB$1006:AK1006),$AB$1006:$AQ$1006,0)), HYPERLINK("#",""), HYPERLINK(CONCATENATE("#Metadata!", ADDRESS(INDEX($W$2:$W$1001,MATCH(ROWS($U$2:U786),$U$2:$U$1001,0),0), INDEX($AB$1004:$AQ$1004,1,MATCH(COLUMNS($AB$1006:AK1006),$AB$1006:$AQ$1006,0)))),"Fix")))</f>
        <v>0</v>
      </c>
      <c r="L786" s="5">
        <f>IF(OR(INDEX($V$2:$V$1001,MATCH(ROWS($U$2:U786),$U$2:$U$1001,0),1)&gt;=100000,INDEX($AB$1005:$AQ$1005,1,MATCH(COLUMNS($AB$1006:AL1006),$AB$1006:$AQ$1006,0))&gt;=100000), " ",IF(INDEX($AB$2:$AQ$1001,MATCH(ROWS($U$2:U786),$U$2:$U$1001,0),MATCH(COLUMNS($AB$1006:AL1006),$AB$1006:$AQ$1006,0)), HYPERLINK("#",""), HYPERLINK(CONCATENATE("#Metadata!", ADDRESS(INDEX($W$2:$W$1001,MATCH(ROWS($U$2:U786),$U$2:$U$1001,0),0), INDEX($AB$1004:$AQ$1004,1,MATCH(COLUMNS($AB$1006:AL1006),$AB$1006:$AQ$1006,0)))),"Fix")))</f>
        <v>0</v>
      </c>
      <c r="M786" s="5">
        <f>IF(OR(INDEX($V$2:$V$1001,MATCH(ROWS($U$2:U786),$U$2:$U$1001,0),1)&gt;=100000,INDEX($AB$1005:$AQ$1005,1,MATCH(COLUMNS($AB$1006:AM1006),$AB$1006:$AQ$1006,0))&gt;=100000), " ",IF(INDEX($AB$2:$AQ$1001,MATCH(ROWS($U$2:U786),$U$2:$U$1001,0),MATCH(COLUMNS($AB$1006:AM1006),$AB$1006:$AQ$1006,0)), HYPERLINK("#",""), HYPERLINK(CONCATENATE("#Metadata!", ADDRESS(INDEX($W$2:$W$1001,MATCH(ROWS($U$2:U786),$U$2:$U$1001,0),0), INDEX($AB$1004:$AQ$1004,1,MATCH(COLUMNS($AB$1006:AM1006),$AB$1006:$AQ$1006,0)))),"Fix")))</f>
        <v>0</v>
      </c>
      <c r="N786" s="5">
        <f>IF(OR(INDEX($V$2:$V$1001,MATCH(ROWS($U$2:U786),$U$2:$U$1001,0),1)&gt;=100000,INDEX($AB$1005:$AQ$1005,1,MATCH(COLUMNS($AB$1006:AN1006),$AB$1006:$AQ$1006,0))&gt;=100000), " ",IF(INDEX($AB$2:$AQ$1001,MATCH(ROWS($U$2:U786),$U$2:$U$1001,0),MATCH(COLUMNS($AB$1006:AN1006),$AB$1006:$AQ$1006,0)), HYPERLINK("#",""), HYPERLINK(CONCATENATE("#Metadata!", ADDRESS(INDEX($W$2:$W$1001,MATCH(ROWS($U$2:U786),$U$2:$U$1001,0),0), INDEX($AB$1004:$AQ$1004,1,MATCH(COLUMNS($AB$1006:AN1006),$AB$1006:$AQ$1006,0)))),"Fix")))</f>
        <v>0</v>
      </c>
      <c r="O786" s="5">
        <f>IF(OR(INDEX($V$2:$V$1001,MATCH(ROWS($U$2:U786),$U$2:$U$1001,0),1)&gt;=100000,INDEX($AB$1005:$AQ$1005,1,MATCH(COLUMNS($AB$1006:AO1006),$AB$1006:$AQ$1006,0))&gt;=100000), " ",IF(INDEX($AB$2:$AQ$1001,MATCH(ROWS($U$2:U786),$U$2:$U$1001,0),MATCH(COLUMNS($AB$1006:AO1006),$AB$1006:$AQ$1006,0)), HYPERLINK("#",""), HYPERLINK(CONCATENATE("#Metadata!", ADDRESS(INDEX($W$2:$W$1001,MATCH(ROWS($U$2:U786),$U$2:$U$1001,0),0), INDEX($AB$1004:$AQ$1004,1,MATCH(COLUMNS($AB$1006:AO1006),$AB$1006:$AQ$1006,0)))),"Fix")))</f>
        <v>0</v>
      </c>
      <c r="P786" s="5">
        <f>IF(OR(INDEX($V$2:$V$1001,MATCH(ROWS($U$2:U786),$U$2:$U$1001,0),1)&gt;=100000,INDEX($AB$1005:$AQ$1005,1,MATCH(COLUMNS($AB$1006:AP1006),$AB$1006:$AQ$1006,0))&gt;=100000), " ",IF(INDEX($AB$2:$AQ$1001,MATCH(ROWS($U$2:U786),$U$2:$U$1001,0),MATCH(COLUMNS($AB$1006:AP1006),$AB$1006:$AQ$1006,0)), HYPERLINK("#",""), HYPERLINK(CONCATENATE("#Metadata!", ADDRESS(INDEX($W$2:$W$1001,MATCH(ROWS($U$2:U786),$U$2:$U$1001,0),0), INDEX($AB$1004:$AQ$1004,1,MATCH(COLUMNS($AB$1006:AP1006),$AB$1006:$AQ$1006,0)))),"Fix")))</f>
        <v>0</v>
      </c>
      <c r="Q786" s="5">
        <f>IF(OR(INDEX($V$2:$V$1001,MATCH(ROWS($U$2:U786),$U$2:$U$1001,0),1)&gt;=100000,INDEX($AB$1005:$AQ$1005,1,MATCH(COLUMNS($AB$1006:AQ1006),$AB$1006:$AQ$1006,0))&gt;=100000), " ",IF(INDEX($AB$2:$AQ$1001,MATCH(ROWS($U$2:U786),$U$2:$U$1001,0),MATCH(COLUMNS($AB$1006:AQ1006),$AB$1006:$AQ$1006,0)), HYPERLINK("#",""), HYPERLINK(CONCATENATE("#Metadata!", ADDRESS(INDEX($W$2:$W$1001,MATCH(ROWS($U$2:U786),$U$2:$U$1001,0),0), INDEX($AB$1004:$AQ$1004,1,MATCH(COLUMNS($AB$1006:AQ1006),$AB$1006:$AQ$1006,0)))),"Fix")))</f>
        <v>0</v>
      </c>
      <c r="U786">
        <v>0</v>
      </c>
      <c r="V786">
        <v>0</v>
      </c>
      <c r="W786">
        <v>0</v>
      </c>
      <c r="X786">
        <f>IF(Y786,TRUE,AND(AB786:AQ786))</f>
        <v>0</v>
      </c>
      <c r="Y786">
        <f>COUNTBLANK(Metadata!B786:Q786)=COLUMNS(Metadata!B786:Q786)</f>
        <v>0</v>
      </c>
      <c r="Z786">
        <v>0</v>
      </c>
      <c r="AB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AC786">
        <f>AND(IF(Metadata!C786="",FALSE,TRUE),exact(Metadata!C786,"urban biome"))</f>
        <v>0</v>
      </c>
      <c r="AD786">
        <f>AND(IF(Metadata!D786="",FALSE,TRUE),exact(Metadata!D786,"human-associated habitat"))</f>
        <v>0</v>
      </c>
      <c r="AE786">
        <f>AND(IF(Metadata!E786="",FALSE,TRUE),OR(exact(Metadata!E786,"human-associated"),exact(Metadata!E786,"human-skin"),exact(Metadata!E786,"human-oral"),exact(Metadata!E786,"human-gut"),exact(Metadata!E786,"human-vaginal")))</f>
        <v>0</v>
      </c>
      <c r="AF786">
        <f>AND(IF(Metadata!F786="",FALSE,ISNUMBER(VALUE(Metadata!F786))),Metadata!F786&gt;0)</f>
        <v>0</v>
      </c>
      <c r="AG786">
        <f>AND(IF(Metadata!G786="",FALSE,TRUE),exact(Metadata!G786,"years"))</f>
        <v>0</v>
      </c>
      <c r="AH786">
        <f>OR(AND(IF(Metadata!H786="",FALSE,TRUE),OR(exact(Metadata!H786,"not applicable"),exact(Metadata!H786,"not collected"),exact(Metadata!H786,"not provided"),exact(Metadata!H786,"restricted access"))),AND(IF(Metadata!H786="",FALSE,ISNUMBER(VALUE(Metadata!H786))),Metadata!H786&gt;0))</f>
        <v>0</v>
      </c>
      <c r="AI786">
        <f>AND(IF(Metadata!I786="",FALSE,TRUE),exact(Metadata!I786,"human"))</f>
        <v>0</v>
      </c>
      <c r="AJ786">
        <f>AND(IF(Metadata!J786="",FALSE,ISNUMBER(VALUE(Metadata!J786))),Metadata!J786&gt;0)</f>
        <v>0</v>
      </c>
      <c r="AK786">
        <f>AND(IF(Metadata!K786="",FALSE,TRUE),exact(Metadata!K786,"cm"))</f>
        <v>0</v>
      </c>
      <c r="AL786">
        <f>AND(IF(Metadata!L786="",FALSE,TRUE),exact(Metadata!L786,"Homo sapiens"))</f>
        <v>0</v>
      </c>
      <c r="AM786">
        <f>AND(IF(Metadata!M786="",FALSE,TRUE),exact(Metadata!M786,"9606"))</f>
        <v>0</v>
      </c>
      <c r="AN786">
        <f>AND(IF(Metadata!N786="",FALSE,ISNUMBER(VALUE(Metadata!N786))),Metadata!N786&gt;0)</f>
        <v>0</v>
      </c>
      <c r="AO786">
        <f>AND(IF(Metadata!O786="",FALSE,TRUE),exact(Metadata!O786,"kg"))</f>
        <v>0</v>
      </c>
      <c r="AP786">
        <f>OR(AND(IF(Metadata!P786="",FALSE,TRUE),exact(Metadata!P786,"not provided")),IF(Metadata!P786="",FALSE,TRUE))</f>
        <v>0</v>
      </c>
      <c r="AQ786">
        <f>OR(AND(IF(Metadata!Q786="",FALSE,TRUE),exact(Metadata!Q786,"not provided")),IF(Metadata!Q786="",FALSE,TRUE))</f>
        <v>0</v>
      </c>
    </row>
    <row r="787" spans="1:43">
      <c r="A787" s="4">
        <f>IF(B787=" "," ",HYPERLINK(CONCATENATE("#metadata!",ADDRESS(INDEX($W$2:$W$1001,MATCH(ROWS($U$2:U787),$U$2:$U$1001,0),0),2)),INDEX($Z$2:$Z$1001,MATCH(ROWS($U$2:U787),$U$2:$U$1001,0),0)))</f>
        <v>0</v>
      </c>
      <c r="B787" s="5">
        <f>IF(OR(INDEX($V$2:$V$1001,MATCH(ROWS($U$2:U787),$U$2:$U$1001,0),1)&gt;=100000,INDEX($AB$1005:$AQ$1005,1,MATCH(COLUMNS($AB$1006:AB1006),$AB$1006:$AQ$1006,0))&gt;=100000), " ",IF(INDEX($AB$2:$AQ$1001,MATCH(ROWS($U$2:U787),$U$2:$U$1001,0),MATCH(COLUMNS($AB$1006:AB1006),$AB$1006:$AQ$1006,0)), HYPERLINK("#",""), HYPERLINK(CONCATENATE("#Metadata!", ADDRESS(INDEX($W$2:$W$1001,MATCH(ROWS($U$2:U787),$U$2:$U$1001,0),0), INDEX($AB$1004:$AQ$1004,1,MATCH(COLUMNS($AB$1006:AB1006),$AB$1006:$AQ$1006,0)))),"Fix")))</f>
        <v>0</v>
      </c>
      <c r="C787" s="5">
        <f>IF(OR(INDEX($V$2:$V$1001,MATCH(ROWS($U$2:U787),$U$2:$U$1001,0),1)&gt;=100000,INDEX($AB$1005:$AQ$1005,1,MATCH(COLUMNS($AB$1006:AC1006),$AB$1006:$AQ$1006,0))&gt;=100000), " ",IF(INDEX($AB$2:$AQ$1001,MATCH(ROWS($U$2:U787),$U$2:$U$1001,0),MATCH(COLUMNS($AB$1006:AC1006),$AB$1006:$AQ$1006,0)), HYPERLINK("#",""), HYPERLINK(CONCATENATE("#Metadata!", ADDRESS(INDEX($W$2:$W$1001,MATCH(ROWS($U$2:U787),$U$2:$U$1001,0),0), INDEX($AB$1004:$AQ$1004,1,MATCH(COLUMNS($AB$1006:AC1006),$AB$1006:$AQ$1006,0)))),"Fix")))</f>
        <v>0</v>
      </c>
      <c r="D787" s="5">
        <f>IF(OR(INDEX($V$2:$V$1001,MATCH(ROWS($U$2:U787),$U$2:$U$1001,0),1)&gt;=100000,INDEX($AB$1005:$AQ$1005,1,MATCH(COLUMNS($AB$1006:AD1006),$AB$1006:$AQ$1006,0))&gt;=100000), " ",IF(INDEX($AB$2:$AQ$1001,MATCH(ROWS($U$2:U787),$U$2:$U$1001,0),MATCH(COLUMNS($AB$1006:AD1006),$AB$1006:$AQ$1006,0)), HYPERLINK("#",""), HYPERLINK(CONCATENATE("#Metadata!", ADDRESS(INDEX($W$2:$W$1001,MATCH(ROWS($U$2:U787),$U$2:$U$1001,0),0), INDEX($AB$1004:$AQ$1004,1,MATCH(COLUMNS($AB$1006:AD1006),$AB$1006:$AQ$1006,0)))),"Fix")))</f>
        <v>0</v>
      </c>
      <c r="E787" s="5">
        <f>IF(OR(INDEX($V$2:$V$1001,MATCH(ROWS($U$2:U787),$U$2:$U$1001,0),1)&gt;=100000,INDEX($AB$1005:$AQ$1005,1,MATCH(COLUMNS($AB$1006:AE1006),$AB$1006:$AQ$1006,0))&gt;=100000), " ",IF(INDEX($AB$2:$AQ$1001,MATCH(ROWS($U$2:U787),$U$2:$U$1001,0),MATCH(COLUMNS($AB$1006:AE1006),$AB$1006:$AQ$1006,0)), HYPERLINK("#",""), HYPERLINK(CONCATENATE("#Metadata!", ADDRESS(INDEX($W$2:$W$1001,MATCH(ROWS($U$2:U787),$U$2:$U$1001,0),0), INDEX($AB$1004:$AQ$1004,1,MATCH(COLUMNS($AB$1006:AE1006),$AB$1006:$AQ$1006,0)))),"Fix")))</f>
        <v>0</v>
      </c>
      <c r="F787" s="5">
        <f>IF(OR(INDEX($V$2:$V$1001,MATCH(ROWS($U$2:U787),$U$2:$U$1001,0),1)&gt;=100000,INDEX($AB$1005:$AQ$1005,1,MATCH(COLUMNS($AB$1006:AF1006),$AB$1006:$AQ$1006,0))&gt;=100000), " ",IF(INDEX($AB$2:$AQ$1001,MATCH(ROWS($U$2:U787),$U$2:$U$1001,0),MATCH(COLUMNS($AB$1006:AF1006),$AB$1006:$AQ$1006,0)), HYPERLINK("#",""), HYPERLINK(CONCATENATE("#Metadata!", ADDRESS(INDEX($W$2:$W$1001,MATCH(ROWS($U$2:U787),$U$2:$U$1001,0),0), INDEX($AB$1004:$AQ$1004,1,MATCH(COLUMNS($AB$1006:AF1006),$AB$1006:$AQ$1006,0)))),"Fix")))</f>
        <v>0</v>
      </c>
      <c r="G787" s="5">
        <f>IF(OR(INDEX($V$2:$V$1001,MATCH(ROWS($U$2:U787),$U$2:$U$1001,0),1)&gt;=100000,INDEX($AB$1005:$AQ$1005,1,MATCH(COLUMNS($AB$1006:AG1006),$AB$1006:$AQ$1006,0))&gt;=100000), " ",IF(INDEX($AB$2:$AQ$1001,MATCH(ROWS($U$2:U787),$U$2:$U$1001,0),MATCH(COLUMNS($AB$1006:AG1006),$AB$1006:$AQ$1006,0)), HYPERLINK("#",""), HYPERLINK(CONCATENATE("#Metadata!", ADDRESS(INDEX($W$2:$W$1001,MATCH(ROWS($U$2:U787),$U$2:$U$1001,0),0), INDEX($AB$1004:$AQ$1004,1,MATCH(COLUMNS($AB$1006:AG1006),$AB$1006:$AQ$1006,0)))),"Fix")))</f>
        <v>0</v>
      </c>
      <c r="H787" s="5">
        <f>IF(OR(INDEX($V$2:$V$1001,MATCH(ROWS($U$2:U787),$U$2:$U$1001,0),1)&gt;=100000,INDEX($AB$1005:$AQ$1005,1,MATCH(COLUMNS($AB$1006:AH1006),$AB$1006:$AQ$1006,0))&gt;=100000), " ",IF(INDEX($AB$2:$AQ$1001,MATCH(ROWS($U$2:U787),$U$2:$U$1001,0),MATCH(COLUMNS($AB$1006:AH1006),$AB$1006:$AQ$1006,0)), HYPERLINK("#",""), HYPERLINK(CONCATENATE("#Metadata!", ADDRESS(INDEX($W$2:$W$1001,MATCH(ROWS($U$2:U787),$U$2:$U$1001,0),0), INDEX($AB$1004:$AQ$1004,1,MATCH(COLUMNS($AB$1006:AH1006),$AB$1006:$AQ$1006,0)))),"Fix")))</f>
        <v>0</v>
      </c>
      <c r="I787" s="5">
        <f>IF(OR(INDEX($V$2:$V$1001,MATCH(ROWS($U$2:U787),$U$2:$U$1001,0),1)&gt;=100000,INDEX($AB$1005:$AQ$1005,1,MATCH(COLUMNS($AB$1006:AI1006),$AB$1006:$AQ$1006,0))&gt;=100000), " ",IF(INDEX($AB$2:$AQ$1001,MATCH(ROWS($U$2:U787),$U$2:$U$1001,0),MATCH(COLUMNS($AB$1006:AI1006),$AB$1006:$AQ$1006,0)), HYPERLINK("#",""), HYPERLINK(CONCATENATE("#Metadata!", ADDRESS(INDEX($W$2:$W$1001,MATCH(ROWS($U$2:U787),$U$2:$U$1001,0),0), INDEX($AB$1004:$AQ$1004,1,MATCH(COLUMNS($AB$1006:AI1006),$AB$1006:$AQ$1006,0)))),"Fix")))</f>
        <v>0</v>
      </c>
      <c r="J787" s="5">
        <f>IF(OR(INDEX($V$2:$V$1001,MATCH(ROWS($U$2:U787),$U$2:$U$1001,0),1)&gt;=100000,INDEX($AB$1005:$AQ$1005,1,MATCH(COLUMNS($AB$1006:AJ1006),$AB$1006:$AQ$1006,0))&gt;=100000), " ",IF(INDEX($AB$2:$AQ$1001,MATCH(ROWS($U$2:U787),$U$2:$U$1001,0),MATCH(COLUMNS($AB$1006:AJ1006),$AB$1006:$AQ$1006,0)), HYPERLINK("#",""), HYPERLINK(CONCATENATE("#Metadata!", ADDRESS(INDEX($W$2:$W$1001,MATCH(ROWS($U$2:U787),$U$2:$U$1001,0),0), INDEX($AB$1004:$AQ$1004,1,MATCH(COLUMNS($AB$1006:AJ1006),$AB$1006:$AQ$1006,0)))),"Fix")))</f>
        <v>0</v>
      </c>
      <c r="K787" s="5">
        <f>IF(OR(INDEX($V$2:$V$1001,MATCH(ROWS($U$2:U787),$U$2:$U$1001,0),1)&gt;=100000,INDEX($AB$1005:$AQ$1005,1,MATCH(COLUMNS($AB$1006:AK1006),$AB$1006:$AQ$1006,0))&gt;=100000), " ",IF(INDEX($AB$2:$AQ$1001,MATCH(ROWS($U$2:U787),$U$2:$U$1001,0),MATCH(COLUMNS($AB$1006:AK1006),$AB$1006:$AQ$1006,0)), HYPERLINK("#",""), HYPERLINK(CONCATENATE("#Metadata!", ADDRESS(INDEX($W$2:$W$1001,MATCH(ROWS($U$2:U787),$U$2:$U$1001,0),0), INDEX($AB$1004:$AQ$1004,1,MATCH(COLUMNS($AB$1006:AK1006),$AB$1006:$AQ$1006,0)))),"Fix")))</f>
        <v>0</v>
      </c>
      <c r="L787" s="5">
        <f>IF(OR(INDEX($V$2:$V$1001,MATCH(ROWS($U$2:U787),$U$2:$U$1001,0),1)&gt;=100000,INDEX($AB$1005:$AQ$1005,1,MATCH(COLUMNS($AB$1006:AL1006),$AB$1006:$AQ$1006,0))&gt;=100000), " ",IF(INDEX($AB$2:$AQ$1001,MATCH(ROWS($U$2:U787),$U$2:$U$1001,0),MATCH(COLUMNS($AB$1006:AL1006),$AB$1006:$AQ$1006,0)), HYPERLINK("#",""), HYPERLINK(CONCATENATE("#Metadata!", ADDRESS(INDEX($W$2:$W$1001,MATCH(ROWS($U$2:U787),$U$2:$U$1001,0),0), INDEX($AB$1004:$AQ$1004,1,MATCH(COLUMNS($AB$1006:AL1006),$AB$1006:$AQ$1006,0)))),"Fix")))</f>
        <v>0</v>
      </c>
      <c r="M787" s="5">
        <f>IF(OR(INDEX($V$2:$V$1001,MATCH(ROWS($U$2:U787),$U$2:$U$1001,0),1)&gt;=100000,INDEX($AB$1005:$AQ$1005,1,MATCH(COLUMNS($AB$1006:AM1006),$AB$1006:$AQ$1006,0))&gt;=100000), " ",IF(INDEX($AB$2:$AQ$1001,MATCH(ROWS($U$2:U787),$U$2:$U$1001,0),MATCH(COLUMNS($AB$1006:AM1006),$AB$1006:$AQ$1006,0)), HYPERLINK("#",""), HYPERLINK(CONCATENATE("#Metadata!", ADDRESS(INDEX($W$2:$W$1001,MATCH(ROWS($U$2:U787),$U$2:$U$1001,0),0), INDEX($AB$1004:$AQ$1004,1,MATCH(COLUMNS($AB$1006:AM1006),$AB$1006:$AQ$1006,0)))),"Fix")))</f>
        <v>0</v>
      </c>
      <c r="N787" s="5">
        <f>IF(OR(INDEX($V$2:$V$1001,MATCH(ROWS($U$2:U787),$U$2:$U$1001,0),1)&gt;=100000,INDEX($AB$1005:$AQ$1005,1,MATCH(COLUMNS($AB$1006:AN1006),$AB$1006:$AQ$1006,0))&gt;=100000), " ",IF(INDEX($AB$2:$AQ$1001,MATCH(ROWS($U$2:U787),$U$2:$U$1001,0),MATCH(COLUMNS($AB$1006:AN1006),$AB$1006:$AQ$1006,0)), HYPERLINK("#",""), HYPERLINK(CONCATENATE("#Metadata!", ADDRESS(INDEX($W$2:$W$1001,MATCH(ROWS($U$2:U787),$U$2:$U$1001,0),0), INDEX($AB$1004:$AQ$1004,1,MATCH(COLUMNS($AB$1006:AN1006),$AB$1006:$AQ$1006,0)))),"Fix")))</f>
        <v>0</v>
      </c>
      <c r="O787" s="5">
        <f>IF(OR(INDEX($V$2:$V$1001,MATCH(ROWS($U$2:U787),$U$2:$U$1001,0),1)&gt;=100000,INDEX($AB$1005:$AQ$1005,1,MATCH(COLUMNS($AB$1006:AO1006),$AB$1006:$AQ$1006,0))&gt;=100000), " ",IF(INDEX($AB$2:$AQ$1001,MATCH(ROWS($U$2:U787),$U$2:$U$1001,0),MATCH(COLUMNS($AB$1006:AO1006),$AB$1006:$AQ$1006,0)), HYPERLINK("#",""), HYPERLINK(CONCATENATE("#Metadata!", ADDRESS(INDEX($W$2:$W$1001,MATCH(ROWS($U$2:U787),$U$2:$U$1001,0),0), INDEX($AB$1004:$AQ$1004,1,MATCH(COLUMNS($AB$1006:AO1006),$AB$1006:$AQ$1006,0)))),"Fix")))</f>
        <v>0</v>
      </c>
      <c r="P787" s="5">
        <f>IF(OR(INDEX($V$2:$V$1001,MATCH(ROWS($U$2:U787),$U$2:$U$1001,0),1)&gt;=100000,INDEX($AB$1005:$AQ$1005,1,MATCH(COLUMNS($AB$1006:AP1006),$AB$1006:$AQ$1006,0))&gt;=100000), " ",IF(INDEX($AB$2:$AQ$1001,MATCH(ROWS($U$2:U787),$U$2:$U$1001,0),MATCH(COLUMNS($AB$1006:AP1006),$AB$1006:$AQ$1006,0)), HYPERLINK("#",""), HYPERLINK(CONCATENATE("#Metadata!", ADDRESS(INDEX($W$2:$W$1001,MATCH(ROWS($U$2:U787),$U$2:$U$1001,0),0), INDEX($AB$1004:$AQ$1004,1,MATCH(COLUMNS($AB$1006:AP1006),$AB$1006:$AQ$1006,0)))),"Fix")))</f>
        <v>0</v>
      </c>
      <c r="Q787" s="5">
        <f>IF(OR(INDEX($V$2:$V$1001,MATCH(ROWS($U$2:U787),$U$2:$U$1001,0),1)&gt;=100000,INDEX($AB$1005:$AQ$1005,1,MATCH(COLUMNS($AB$1006:AQ1006),$AB$1006:$AQ$1006,0))&gt;=100000), " ",IF(INDEX($AB$2:$AQ$1001,MATCH(ROWS($U$2:U787),$U$2:$U$1001,0),MATCH(COLUMNS($AB$1006:AQ1006),$AB$1006:$AQ$1006,0)), HYPERLINK("#",""), HYPERLINK(CONCATENATE("#Metadata!", ADDRESS(INDEX($W$2:$W$1001,MATCH(ROWS($U$2:U787),$U$2:$U$1001,0),0), INDEX($AB$1004:$AQ$1004,1,MATCH(COLUMNS($AB$1006:AQ1006),$AB$1006:$AQ$1006,0)))),"Fix")))</f>
        <v>0</v>
      </c>
      <c r="U787">
        <v>0</v>
      </c>
      <c r="V787">
        <v>0</v>
      </c>
      <c r="W787">
        <v>0</v>
      </c>
      <c r="X787">
        <f>IF(Y787,TRUE,AND(AB787:AQ787))</f>
        <v>0</v>
      </c>
      <c r="Y787">
        <f>COUNTBLANK(Metadata!B787:Q787)=COLUMNS(Metadata!B787:Q787)</f>
        <v>0</v>
      </c>
      <c r="Z787">
        <v>0</v>
      </c>
      <c r="AB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AC787">
        <f>AND(IF(Metadata!C787="",FALSE,TRUE),exact(Metadata!C787,"urban biome"))</f>
        <v>0</v>
      </c>
      <c r="AD787">
        <f>AND(IF(Metadata!D787="",FALSE,TRUE),exact(Metadata!D787,"human-associated habitat"))</f>
        <v>0</v>
      </c>
      <c r="AE787">
        <f>AND(IF(Metadata!E787="",FALSE,TRUE),OR(exact(Metadata!E787,"human-associated"),exact(Metadata!E787,"human-skin"),exact(Metadata!E787,"human-oral"),exact(Metadata!E787,"human-gut"),exact(Metadata!E787,"human-vaginal")))</f>
        <v>0</v>
      </c>
      <c r="AF787">
        <f>AND(IF(Metadata!F787="",FALSE,ISNUMBER(VALUE(Metadata!F787))),Metadata!F787&gt;0)</f>
        <v>0</v>
      </c>
      <c r="AG787">
        <f>AND(IF(Metadata!G787="",FALSE,TRUE),exact(Metadata!G787,"years"))</f>
        <v>0</v>
      </c>
      <c r="AH787">
        <f>OR(AND(IF(Metadata!H787="",FALSE,TRUE),OR(exact(Metadata!H787,"not applicable"),exact(Metadata!H787,"not collected"),exact(Metadata!H787,"not provided"),exact(Metadata!H787,"restricted access"))),AND(IF(Metadata!H787="",FALSE,ISNUMBER(VALUE(Metadata!H787))),Metadata!H787&gt;0))</f>
        <v>0</v>
      </c>
      <c r="AI787">
        <f>AND(IF(Metadata!I787="",FALSE,TRUE),exact(Metadata!I787,"human"))</f>
        <v>0</v>
      </c>
      <c r="AJ787">
        <f>AND(IF(Metadata!J787="",FALSE,ISNUMBER(VALUE(Metadata!J787))),Metadata!J787&gt;0)</f>
        <v>0</v>
      </c>
      <c r="AK787">
        <f>AND(IF(Metadata!K787="",FALSE,TRUE),exact(Metadata!K787,"cm"))</f>
        <v>0</v>
      </c>
      <c r="AL787">
        <f>AND(IF(Metadata!L787="",FALSE,TRUE),exact(Metadata!L787,"Homo sapiens"))</f>
        <v>0</v>
      </c>
      <c r="AM787">
        <f>AND(IF(Metadata!M787="",FALSE,TRUE),exact(Metadata!M787,"9606"))</f>
        <v>0</v>
      </c>
      <c r="AN787">
        <f>AND(IF(Metadata!N787="",FALSE,ISNUMBER(VALUE(Metadata!N787))),Metadata!N787&gt;0)</f>
        <v>0</v>
      </c>
      <c r="AO787">
        <f>AND(IF(Metadata!O787="",FALSE,TRUE),exact(Metadata!O787,"kg"))</f>
        <v>0</v>
      </c>
      <c r="AP787">
        <f>OR(AND(IF(Metadata!P787="",FALSE,TRUE),exact(Metadata!P787,"not provided")),IF(Metadata!P787="",FALSE,TRUE))</f>
        <v>0</v>
      </c>
      <c r="AQ787">
        <f>OR(AND(IF(Metadata!Q787="",FALSE,TRUE),exact(Metadata!Q787,"not provided")),IF(Metadata!Q787="",FALSE,TRUE))</f>
        <v>0</v>
      </c>
    </row>
    <row r="788" spans="1:43">
      <c r="A788" s="4">
        <f>IF(B788=" "," ",HYPERLINK(CONCATENATE("#metadata!",ADDRESS(INDEX($W$2:$W$1001,MATCH(ROWS($U$2:U788),$U$2:$U$1001,0),0),2)),INDEX($Z$2:$Z$1001,MATCH(ROWS($U$2:U788),$U$2:$U$1001,0),0)))</f>
        <v>0</v>
      </c>
      <c r="B788" s="5">
        <f>IF(OR(INDEX($V$2:$V$1001,MATCH(ROWS($U$2:U788),$U$2:$U$1001,0),1)&gt;=100000,INDEX($AB$1005:$AQ$1005,1,MATCH(COLUMNS($AB$1006:AB1006),$AB$1006:$AQ$1006,0))&gt;=100000), " ",IF(INDEX($AB$2:$AQ$1001,MATCH(ROWS($U$2:U788),$U$2:$U$1001,0),MATCH(COLUMNS($AB$1006:AB1006),$AB$1006:$AQ$1006,0)), HYPERLINK("#",""), HYPERLINK(CONCATENATE("#Metadata!", ADDRESS(INDEX($W$2:$W$1001,MATCH(ROWS($U$2:U788),$U$2:$U$1001,0),0), INDEX($AB$1004:$AQ$1004,1,MATCH(COLUMNS($AB$1006:AB1006),$AB$1006:$AQ$1006,0)))),"Fix")))</f>
        <v>0</v>
      </c>
      <c r="C788" s="5">
        <f>IF(OR(INDEX($V$2:$V$1001,MATCH(ROWS($U$2:U788),$U$2:$U$1001,0),1)&gt;=100000,INDEX($AB$1005:$AQ$1005,1,MATCH(COLUMNS($AB$1006:AC1006),$AB$1006:$AQ$1006,0))&gt;=100000), " ",IF(INDEX($AB$2:$AQ$1001,MATCH(ROWS($U$2:U788),$U$2:$U$1001,0),MATCH(COLUMNS($AB$1006:AC1006),$AB$1006:$AQ$1006,0)), HYPERLINK("#",""), HYPERLINK(CONCATENATE("#Metadata!", ADDRESS(INDEX($W$2:$W$1001,MATCH(ROWS($U$2:U788),$U$2:$U$1001,0),0), INDEX($AB$1004:$AQ$1004,1,MATCH(COLUMNS($AB$1006:AC1006),$AB$1006:$AQ$1006,0)))),"Fix")))</f>
        <v>0</v>
      </c>
      <c r="D788" s="5">
        <f>IF(OR(INDEX($V$2:$V$1001,MATCH(ROWS($U$2:U788),$U$2:$U$1001,0),1)&gt;=100000,INDEX($AB$1005:$AQ$1005,1,MATCH(COLUMNS($AB$1006:AD1006),$AB$1006:$AQ$1006,0))&gt;=100000), " ",IF(INDEX($AB$2:$AQ$1001,MATCH(ROWS($U$2:U788),$U$2:$U$1001,0),MATCH(COLUMNS($AB$1006:AD1006),$AB$1006:$AQ$1006,0)), HYPERLINK("#",""), HYPERLINK(CONCATENATE("#Metadata!", ADDRESS(INDEX($W$2:$W$1001,MATCH(ROWS($U$2:U788),$U$2:$U$1001,0),0), INDEX($AB$1004:$AQ$1004,1,MATCH(COLUMNS($AB$1006:AD1006),$AB$1006:$AQ$1006,0)))),"Fix")))</f>
        <v>0</v>
      </c>
      <c r="E788" s="5">
        <f>IF(OR(INDEX($V$2:$V$1001,MATCH(ROWS($U$2:U788),$U$2:$U$1001,0),1)&gt;=100000,INDEX($AB$1005:$AQ$1005,1,MATCH(COLUMNS($AB$1006:AE1006),$AB$1006:$AQ$1006,0))&gt;=100000), " ",IF(INDEX($AB$2:$AQ$1001,MATCH(ROWS($U$2:U788),$U$2:$U$1001,0),MATCH(COLUMNS($AB$1006:AE1006),$AB$1006:$AQ$1006,0)), HYPERLINK("#",""), HYPERLINK(CONCATENATE("#Metadata!", ADDRESS(INDEX($W$2:$W$1001,MATCH(ROWS($U$2:U788),$U$2:$U$1001,0),0), INDEX($AB$1004:$AQ$1004,1,MATCH(COLUMNS($AB$1006:AE1006),$AB$1006:$AQ$1006,0)))),"Fix")))</f>
        <v>0</v>
      </c>
      <c r="F788" s="5">
        <f>IF(OR(INDEX($V$2:$V$1001,MATCH(ROWS($U$2:U788),$U$2:$U$1001,0),1)&gt;=100000,INDEX($AB$1005:$AQ$1005,1,MATCH(COLUMNS($AB$1006:AF1006),$AB$1006:$AQ$1006,0))&gt;=100000), " ",IF(INDEX($AB$2:$AQ$1001,MATCH(ROWS($U$2:U788),$U$2:$U$1001,0),MATCH(COLUMNS($AB$1006:AF1006),$AB$1006:$AQ$1006,0)), HYPERLINK("#",""), HYPERLINK(CONCATENATE("#Metadata!", ADDRESS(INDEX($W$2:$W$1001,MATCH(ROWS($U$2:U788),$U$2:$U$1001,0),0), INDEX($AB$1004:$AQ$1004,1,MATCH(COLUMNS($AB$1006:AF1006),$AB$1006:$AQ$1006,0)))),"Fix")))</f>
        <v>0</v>
      </c>
      <c r="G788" s="5">
        <f>IF(OR(INDEX($V$2:$V$1001,MATCH(ROWS($U$2:U788),$U$2:$U$1001,0),1)&gt;=100000,INDEX($AB$1005:$AQ$1005,1,MATCH(COLUMNS($AB$1006:AG1006),$AB$1006:$AQ$1006,0))&gt;=100000), " ",IF(INDEX($AB$2:$AQ$1001,MATCH(ROWS($U$2:U788),$U$2:$U$1001,0),MATCH(COLUMNS($AB$1006:AG1006),$AB$1006:$AQ$1006,0)), HYPERLINK("#",""), HYPERLINK(CONCATENATE("#Metadata!", ADDRESS(INDEX($W$2:$W$1001,MATCH(ROWS($U$2:U788),$U$2:$U$1001,0),0), INDEX($AB$1004:$AQ$1004,1,MATCH(COLUMNS($AB$1006:AG1006),$AB$1006:$AQ$1006,0)))),"Fix")))</f>
        <v>0</v>
      </c>
      <c r="H788" s="5">
        <f>IF(OR(INDEX($V$2:$V$1001,MATCH(ROWS($U$2:U788),$U$2:$U$1001,0),1)&gt;=100000,INDEX($AB$1005:$AQ$1005,1,MATCH(COLUMNS($AB$1006:AH1006),$AB$1006:$AQ$1006,0))&gt;=100000), " ",IF(INDEX($AB$2:$AQ$1001,MATCH(ROWS($U$2:U788),$U$2:$U$1001,0),MATCH(COLUMNS($AB$1006:AH1006),$AB$1006:$AQ$1006,0)), HYPERLINK("#",""), HYPERLINK(CONCATENATE("#Metadata!", ADDRESS(INDEX($W$2:$W$1001,MATCH(ROWS($U$2:U788),$U$2:$U$1001,0),0), INDEX($AB$1004:$AQ$1004,1,MATCH(COLUMNS($AB$1006:AH1006),$AB$1006:$AQ$1006,0)))),"Fix")))</f>
        <v>0</v>
      </c>
      <c r="I788" s="5">
        <f>IF(OR(INDEX($V$2:$V$1001,MATCH(ROWS($U$2:U788),$U$2:$U$1001,0),1)&gt;=100000,INDEX($AB$1005:$AQ$1005,1,MATCH(COLUMNS($AB$1006:AI1006),$AB$1006:$AQ$1006,0))&gt;=100000), " ",IF(INDEX($AB$2:$AQ$1001,MATCH(ROWS($U$2:U788),$U$2:$U$1001,0),MATCH(COLUMNS($AB$1006:AI1006),$AB$1006:$AQ$1006,0)), HYPERLINK("#",""), HYPERLINK(CONCATENATE("#Metadata!", ADDRESS(INDEX($W$2:$W$1001,MATCH(ROWS($U$2:U788),$U$2:$U$1001,0),0), INDEX($AB$1004:$AQ$1004,1,MATCH(COLUMNS($AB$1006:AI1006),$AB$1006:$AQ$1006,0)))),"Fix")))</f>
        <v>0</v>
      </c>
      <c r="J788" s="5">
        <f>IF(OR(INDEX($V$2:$V$1001,MATCH(ROWS($U$2:U788),$U$2:$U$1001,0),1)&gt;=100000,INDEX($AB$1005:$AQ$1005,1,MATCH(COLUMNS($AB$1006:AJ1006),$AB$1006:$AQ$1006,0))&gt;=100000), " ",IF(INDEX($AB$2:$AQ$1001,MATCH(ROWS($U$2:U788),$U$2:$U$1001,0),MATCH(COLUMNS($AB$1006:AJ1006),$AB$1006:$AQ$1006,0)), HYPERLINK("#",""), HYPERLINK(CONCATENATE("#Metadata!", ADDRESS(INDEX($W$2:$W$1001,MATCH(ROWS($U$2:U788),$U$2:$U$1001,0),0), INDEX($AB$1004:$AQ$1004,1,MATCH(COLUMNS($AB$1006:AJ1006),$AB$1006:$AQ$1006,0)))),"Fix")))</f>
        <v>0</v>
      </c>
      <c r="K788" s="5">
        <f>IF(OR(INDEX($V$2:$V$1001,MATCH(ROWS($U$2:U788),$U$2:$U$1001,0),1)&gt;=100000,INDEX($AB$1005:$AQ$1005,1,MATCH(COLUMNS($AB$1006:AK1006),$AB$1006:$AQ$1006,0))&gt;=100000), " ",IF(INDEX($AB$2:$AQ$1001,MATCH(ROWS($U$2:U788),$U$2:$U$1001,0),MATCH(COLUMNS($AB$1006:AK1006),$AB$1006:$AQ$1006,0)), HYPERLINK("#",""), HYPERLINK(CONCATENATE("#Metadata!", ADDRESS(INDEX($W$2:$W$1001,MATCH(ROWS($U$2:U788),$U$2:$U$1001,0),0), INDEX($AB$1004:$AQ$1004,1,MATCH(COLUMNS($AB$1006:AK1006),$AB$1006:$AQ$1006,0)))),"Fix")))</f>
        <v>0</v>
      </c>
      <c r="L788" s="5">
        <f>IF(OR(INDEX($V$2:$V$1001,MATCH(ROWS($U$2:U788),$U$2:$U$1001,0),1)&gt;=100000,INDEX($AB$1005:$AQ$1005,1,MATCH(COLUMNS($AB$1006:AL1006),$AB$1006:$AQ$1006,0))&gt;=100000), " ",IF(INDEX($AB$2:$AQ$1001,MATCH(ROWS($U$2:U788),$U$2:$U$1001,0),MATCH(COLUMNS($AB$1006:AL1006),$AB$1006:$AQ$1006,0)), HYPERLINK("#",""), HYPERLINK(CONCATENATE("#Metadata!", ADDRESS(INDEX($W$2:$W$1001,MATCH(ROWS($U$2:U788),$U$2:$U$1001,0),0), INDEX($AB$1004:$AQ$1004,1,MATCH(COLUMNS($AB$1006:AL1006),$AB$1006:$AQ$1006,0)))),"Fix")))</f>
        <v>0</v>
      </c>
      <c r="M788" s="5">
        <f>IF(OR(INDEX($V$2:$V$1001,MATCH(ROWS($U$2:U788),$U$2:$U$1001,0),1)&gt;=100000,INDEX($AB$1005:$AQ$1005,1,MATCH(COLUMNS($AB$1006:AM1006),$AB$1006:$AQ$1006,0))&gt;=100000), " ",IF(INDEX($AB$2:$AQ$1001,MATCH(ROWS($U$2:U788),$U$2:$U$1001,0),MATCH(COLUMNS($AB$1006:AM1006),$AB$1006:$AQ$1006,0)), HYPERLINK("#",""), HYPERLINK(CONCATENATE("#Metadata!", ADDRESS(INDEX($W$2:$W$1001,MATCH(ROWS($U$2:U788),$U$2:$U$1001,0),0), INDEX($AB$1004:$AQ$1004,1,MATCH(COLUMNS($AB$1006:AM1006),$AB$1006:$AQ$1006,0)))),"Fix")))</f>
        <v>0</v>
      </c>
      <c r="N788" s="5">
        <f>IF(OR(INDEX($V$2:$V$1001,MATCH(ROWS($U$2:U788),$U$2:$U$1001,0),1)&gt;=100000,INDEX($AB$1005:$AQ$1005,1,MATCH(COLUMNS($AB$1006:AN1006),$AB$1006:$AQ$1006,0))&gt;=100000), " ",IF(INDEX($AB$2:$AQ$1001,MATCH(ROWS($U$2:U788),$U$2:$U$1001,0),MATCH(COLUMNS($AB$1006:AN1006),$AB$1006:$AQ$1006,0)), HYPERLINK("#",""), HYPERLINK(CONCATENATE("#Metadata!", ADDRESS(INDEX($W$2:$W$1001,MATCH(ROWS($U$2:U788),$U$2:$U$1001,0),0), INDEX($AB$1004:$AQ$1004,1,MATCH(COLUMNS($AB$1006:AN1006),$AB$1006:$AQ$1006,0)))),"Fix")))</f>
        <v>0</v>
      </c>
      <c r="O788" s="5">
        <f>IF(OR(INDEX($V$2:$V$1001,MATCH(ROWS($U$2:U788),$U$2:$U$1001,0),1)&gt;=100000,INDEX($AB$1005:$AQ$1005,1,MATCH(COLUMNS($AB$1006:AO1006),$AB$1006:$AQ$1006,0))&gt;=100000), " ",IF(INDEX($AB$2:$AQ$1001,MATCH(ROWS($U$2:U788),$U$2:$U$1001,0),MATCH(COLUMNS($AB$1006:AO1006),$AB$1006:$AQ$1006,0)), HYPERLINK("#",""), HYPERLINK(CONCATENATE("#Metadata!", ADDRESS(INDEX($W$2:$W$1001,MATCH(ROWS($U$2:U788),$U$2:$U$1001,0),0), INDEX($AB$1004:$AQ$1004,1,MATCH(COLUMNS($AB$1006:AO1006),$AB$1006:$AQ$1006,0)))),"Fix")))</f>
        <v>0</v>
      </c>
      <c r="P788" s="5">
        <f>IF(OR(INDEX($V$2:$V$1001,MATCH(ROWS($U$2:U788),$U$2:$U$1001,0),1)&gt;=100000,INDEX($AB$1005:$AQ$1005,1,MATCH(COLUMNS($AB$1006:AP1006),$AB$1006:$AQ$1006,0))&gt;=100000), " ",IF(INDEX($AB$2:$AQ$1001,MATCH(ROWS($U$2:U788),$U$2:$U$1001,0),MATCH(COLUMNS($AB$1006:AP1006),$AB$1006:$AQ$1006,0)), HYPERLINK("#",""), HYPERLINK(CONCATENATE("#Metadata!", ADDRESS(INDEX($W$2:$W$1001,MATCH(ROWS($U$2:U788),$U$2:$U$1001,0),0), INDEX($AB$1004:$AQ$1004,1,MATCH(COLUMNS($AB$1006:AP1006),$AB$1006:$AQ$1006,0)))),"Fix")))</f>
        <v>0</v>
      </c>
      <c r="Q788" s="5">
        <f>IF(OR(INDEX($V$2:$V$1001,MATCH(ROWS($U$2:U788),$U$2:$U$1001,0),1)&gt;=100000,INDEX($AB$1005:$AQ$1005,1,MATCH(COLUMNS($AB$1006:AQ1006),$AB$1006:$AQ$1006,0))&gt;=100000), " ",IF(INDEX($AB$2:$AQ$1001,MATCH(ROWS($U$2:U788),$U$2:$U$1001,0),MATCH(COLUMNS($AB$1006:AQ1006),$AB$1006:$AQ$1006,0)), HYPERLINK("#",""), HYPERLINK(CONCATENATE("#Metadata!", ADDRESS(INDEX($W$2:$W$1001,MATCH(ROWS($U$2:U788),$U$2:$U$1001,0),0), INDEX($AB$1004:$AQ$1004,1,MATCH(COLUMNS($AB$1006:AQ1006),$AB$1006:$AQ$1006,0)))),"Fix")))</f>
        <v>0</v>
      </c>
      <c r="U788">
        <v>0</v>
      </c>
      <c r="V788">
        <v>0</v>
      </c>
      <c r="W788">
        <v>0</v>
      </c>
      <c r="X788">
        <f>IF(Y788,TRUE,AND(AB788:AQ788))</f>
        <v>0</v>
      </c>
      <c r="Y788">
        <f>COUNTBLANK(Metadata!B788:Q788)=COLUMNS(Metadata!B788:Q788)</f>
        <v>0</v>
      </c>
      <c r="Z788">
        <v>0</v>
      </c>
      <c r="AB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AC788">
        <f>AND(IF(Metadata!C788="",FALSE,TRUE),exact(Metadata!C788,"urban biome"))</f>
        <v>0</v>
      </c>
      <c r="AD788">
        <f>AND(IF(Metadata!D788="",FALSE,TRUE),exact(Metadata!D788,"human-associated habitat"))</f>
        <v>0</v>
      </c>
      <c r="AE788">
        <f>AND(IF(Metadata!E788="",FALSE,TRUE),OR(exact(Metadata!E788,"human-associated"),exact(Metadata!E788,"human-skin"),exact(Metadata!E788,"human-oral"),exact(Metadata!E788,"human-gut"),exact(Metadata!E788,"human-vaginal")))</f>
        <v>0</v>
      </c>
      <c r="AF788">
        <f>AND(IF(Metadata!F788="",FALSE,ISNUMBER(VALUE(Metadata!F788))),Metadata!F788&gt;0)</f>
        <v>0</v>
      </c>
      <c r="AG788">
        <f>AND(IF(Metadata!G788="",FALSE,TRUE),exact(Metadata!G788,"years"))</f>
        <v>0</v>
      </c>
      <c r="AH788">
        <f>OR(AND(IF(Metadata!H788="",FALSE,TRUE),OR(exact(Metadata!H788,"not applicable"),exact(Metadata!H788,"not collected"),exact(Metadata!H788,"not provided"),exact(Metadata!H788,"restricted access"))),AND(IF(Metadata!H788="",FALSE,ISNUMBER(VALUE(Metadata!H788))),Metadata!H788&gt;0))</f>
        <v>0</v>
      </c>
      <c r="AI788">
        <f>AND(IF(Metadata!I788="",FALSE,TRUE),exact(Metadata!I788,"human"))</f>
        <v>0</v>
      </c>
      <c r="AJ788">
        <f>AND(IF(Metadata!J788="",FALSE,ISNUMBER(VALUE(Metadata!J788))),Metadata!J788&gt;0)</f>
        <v>0</v>
      </c>
      <c r="AK788">
        <f>AND(IF(Metadata!K788="",FALSE,TRUE),exact(Metadata!K788,"cm"))</f>
        <v>0</v>
      </c>
      <c r="AL788">
        <f>AND(IF(Metadata!L788="",FALSE,TRUE),exact(Metadata!L788,"Homo sapiens"))</f>
        <v>0</v>
      </c>
      <c r="AM788">
        <f>AND(IF(Metadata!M788="",FALSE,TRUE),exact(Metadata!M788,"9606"))</f>
        <v>0</v>
      </c>
      <c r="AN788">
        <f>AND(IF(Metadata!N788="",FALSE,ISNUMBER(VALUE(Metadata!N788))),Metadata!N788&gt;0)</f>
        <v>0</v>
      </c>
      <c r="AO788">
        <f>AND(IF(Metadata!O788="",FALSE,TRUE),exact(Metadata!O788,"kg"))</f>
        <v>0</v>
      </c>
      <c r="AP788">
        <f>OR(AND(IF(Metadata!P788="",FALSE,TRUE),exact(Metadata!P788,"not provided")),IF(Metadata!P788="",FALSE,TRUE))</f>
        <v>0</v>
      </c>
      <c r="AQ788">
        <f>OR(AND(IF(Metadata!Q788="",FALSE,TRUE),exact(Metadata!Q788,"not provided")),IF(Metadata!Q788="",FALSE,TRUE))</f>
        <v>0</v>
      </c>
    </row>
    <row r="789" spans="1:43">
      <c r="A789" s="4">
        <f>IF(B789=" "," ",HYPERLINK(CONCATENATE("#metadata!",ADDRESS(INDEX($W$2:$W$1001,MATCH(ROWS($U$2:U789),$U$2:$U$1001,0),0),2)),INDEX($Z$2:$Z$1001,MATCH(ROWS($U$2:U789),$U$2:$U$1001,0),0)))</f>
        <v>0</v>
      </c>
      <c r="B789" s="5">
        <f>IF(OR(INDEX($V$2:$V$1001,MATCH(ROWS($U$2:U789),$U$2:$U$1001,0),1)&gt;=100000,INDEX($AB$1005:$AQ$1005,1,MATCH(COLUMNS($AB$1006:AB1006),$AB$1006:$AQ$1006,0))&gt;=100000), " ",IF(INDEX($AB$2:$AQ$1001,MATCH(ROWS($U$2:U789),$U$2:$U$1001,0),MATCH(COLUMNS($AB$1006:AB1006),$AB$1006:$AQ$1006,0)), HYPERLINK("#",""), HYPERLINK(CONCATENATE("#Metadata!", ADDRESS(INDEX($W$2:$W$1001,MATCH(ROWS($U$2:U789),$U$2:$U$1001,0),0), INDEX($AB$1004:$AQ$1004,1,MATCH(COLUMNS($AB$1006:AB1006),$AB$1006:$AQ$1006,0)))),"Fix")))</f>
        <v>0</v>
      </c>
      <c r="C789" s="5">
        <f>IF(OR(INDEX($V$2:$V$1001,MATCH(ROWS($U$2:U789),$U$2:$U$1001,0),1)&gt;=100000,INDEX($AB$1005:$AQ$1005,1,MATCH(COLUMNS($AB$1006:AC1006),$AB$1006:$AQ$1006,0))&gt;=100000), " ",IF(INDEX($AB$2:$AQ$1001,MATCH(ROWS($U$2:U789),$U$2:$U$1001,0),MATCH(COLUMNS($AB$1006:AC1006),$AB$1006:$AQ$1006,0)), HYPERLINK("#",""), HYPERLINK(CONCATENATE("#Metadata!", ADDRESS(INDEX($W$2:$W$1001,MATCH(ROWS($U$2:U789),$U$2:$U$1001,0),0), INDEX($AB$1004:$AQ$1004,1,MATCH(COLUMNS($AB$1006:AC1006),$AB$1006:$AQ$1006,0)))),"Fix")))</f>
        <v>0</v>
      </c>
      <c r="D789" s="5">
        <f>IF(OR(INDEX($V$2:$V$1001,MATCH(ROWS($U$2:U789),$U$2:$U$1001,0),1)&gt;=100000,INDEX($AB$1005:$AQ$1005,1,MATCH(COLUMNS($AB$1006:AD1006),$AB$1006:$AQ$1006,0))&gt;=100000), " ",IF(INDEX($AB$2:$AQ$1001,MATCH(ROWS($U$2:U789),$U$2:$U$1001,0),MATCH(COLUMNS($AB$1006:AD1006),$AB$1006:$AQ$1006,0)), HYPERLINK("#",""), HYPERLINK(CONCATENATE("#Metadata!", ADDRESS(INDEX($W$2:$W$1001,MATCH(ROWS($U$2:U789),$U$2:$U$1001,0),0), INDEX($AB$1004:$AQ$1004,1,MATCH(COLUMNS($AB$1006:AD1006),$AB$1006:$AQ$1006,0)))),"Fix")))</f>
        <v>0</v>
      </c>
      <c r="E789" s="5">
        <f>IF(OR(INDEX($V$2:$V$1001,MATCH(ROWS($U$2:U789),$U$2:$U$1001,0),1)&gt;=100000,INDEX($AB$1005:$AQ$1005,1,MATCH(COLUMNS($AB$1006:AE1006),$AB$1006:$AQ$1006,0))&gt;=100000), " ",IF(INDEX($AB$2:$AQ$1001,MATCH(ROWS($U$2:U789),$U$2:$U$1001,0),MATCH(COLUMNS($AB$1006:AE1006),$AB$1006:$AQ$1006,0)), HYPERLINK("#",""), HYPERLINK(CONCATENATE("#Metadata!", ADDRESS(INDEX($W$2:$W$1001,MATCH(ROWS($U$2:U789),$U$2:$U$1001,0),0), INDEX($AB$1004:$AQ$1004,1,MATCH(COLUMNS($AB$1006:AE1006),$AB$1006:$AQ$1006,0)))),"Fix")))</f>
        <v>0</v>
      </c>
      <c r="F789" s="5">
        <f>IF(OR(INDEX($V$2:$V$1001,MATCH(ROWS($U$2:U789),$U$2:$U$1001,0),1)&gt;=100000,INDEX($AB$1005:$AQ$1005,1,MATCH(COLUMNS($AB$1006:AF1006),$AB$1006:$AQ$1006,0))&gt;=100000), " ",IF(INDEX($AB$2:$AQ$1001,MATCH(ROWS($U$2:U789),$U$2:$U$1001,0),MATCH(COLUMNS($AB$1006:AF1006),$AB$1006:$AQ$1006,0)), HYPERLINK("#",""), HYPERLINK(CONCATENATE("#Metadata!", ADDRESS(INDEX($W$2:$W$1001,MATCH(ROWS($U$2:U789),$U$2:$U$1001,0),0), INDEX($AB$1004:$AQ$1004,1,MATCH(COLUMNS($AB$1006:AF1006),$AB$1006:$AQ$1006,0)))),"Fix")))</f>
        <v>0</v>
      </c>
      <c r="G789" s="5">
        <f>IF(OR(INDEX($V$2:$V$1001,MATCH(ROWS($U$2:U789),$U$2:$U$1001,0),1)&gt;=100000,INDEX($AB$1005:$AQ$1005,1,MATCH(COLUMNS($AB$1006:AG1006),$AB$1006:$AQ$1006,0))&gt;=100000), " ",IF(INDEX($AB$2:$AQ$1001,MATCH(ROWS($U$2:U789),$U$2:$U$1001,0),MATCH(COLUMNS($AB$1006:AG1006),$AB$1006:$AQ$1006,0)), HYPERLINK("#",""), HYPERLINK(CONCATENATE("#Metadata!", ADDRESS(INDEX($W$2:$W$1001,MATCH(ROWS($U$2:U789),$U$2:$U$1001,0),0), INDEX($AB$1004:$AQ$1004,1,MATCH(COLUMNS($AB$1006:AG1006),$AB$1006:$AQ$1006,0)))),"Fix")))</f>
        <v>0</v>
      </c>
      <c r="H789" s="5">
        <f>IF(OR(INDEX($V$2:$V$1001,MATCH(ROWS($U$2:U789),$U$2:$U$1001,0),1)&gt;=100000,INDEX($AB$1005:$AQ$1005,1,MATCH(COLUMNS($AB$1006:AH1006),$AB$1006:$AQ$1006,0))&gt;=100000), " ",IF(INDEX($AB$2:$AQ$1001,MATCH(ROWS($U$2:U789),$U$2:$U$1001,0),MATCH(COLUMNS($AB$1006:AH1006),$AB$1006:$AQ$1006,0)), HYPERLINK("#",""), HYPERLINK(CONCATENATE("#Metadata!", ADDRESS(INDEX($W$2:$W$1001,MATCH(ROWS($U$2:U789),$U$2:$U$1001,0),0), INDEX($AB$1004:$AQ$1004,1,MATCH(COLUMNS($AB$1006:AH1006),$AB$1006:$AQ$1006,0)))),"Fix")))</f>
        <v>0</v>
      </c>
      <c r="I789" s="5">
        <f>IF(OR(INDEX($V$2:$V$1001,MATCH(ROWS($U$2:U789),$U$2:$U$1001,0),1)&gt;=100000,INDEX($AB$1005:$AQ$1005,1,MATCH(COLUMNS($AB$1006:AI1006),$AB$1006:$AQ$1006,0))&gt;=100000), " ",IF(INDEX($AB$2:$AQ$1001,MATCH(ROWS($U$2:U789),$U$2:$U$1001,0),MATCH(COLUMNS($AB$1006:AI1006),$AB$1006:$AQ$1006,0)), HYPERLINK("#",""), HYPERLINK(CONCATENATE("#Metadata!", ADDRESS(INDEX($W$2:$W$1001,MATCH(ROWS($U$2:U789),$U$2:$U$1001,0),0), INDEX($AB$1004:$AQ$1004,1,MATCH(COLUMNS($AB$1006:AI1006),$AB$1006:$AQ$1006,0)))),"Fix")))</f>
        <v>0</v>
      </c>
      <c r="J789" s="5">
        <f>IF(OR(INDEX($V$2:$V$1001,MATCH(ROWS($U$2:U789),$U$2:$U$1001,0),1)&gt;=100000,INDEX($AB$1005:$AQ$1005,1,MATCH(COLUMNS($AB$1006:AJ1006),$AB$1006:$AQ$1006,0))&gt;=100000), " ",IF(INDEX($AB$2:$AQ$1001,MATCH(ROWS($U$2:U789),$U$2:$U$1001,0),MATCH(COLUMNS($AB$1006:AJ1006),$AB$1006:$AQ$1006,0)), HYPERLINK("#",""), HYPERLINK(CONCATENATE("#Metadata!", ADDRESS(INDEX($W$2:$W$1001,MATCH(ROWS($U$2:U789),$U$2:$U$1001,0),0), INDEX($AB$1004:$AQ$1004,1,MATCH(COLUMNS($AB$1006:AJ1006),$AB$1006:$AQ$1006,0)))),"Fix")))</f>
        <v>0</v>
      </c>
      <c r="K789" s="5">
        <f>IF(OR(INDEX($V$2:$V$1001,MATCH(ROWS($U$2:U789),$U$2:$U$1001,0),1)&gt;=100000,INDEX($AB$1005:$AQ$1005,1,MATCH(COLUMNS($AB$1006:AK1006),$AB$1006:$AQ$1006,0))&gt;=100000), " ",IF(INDEX($AB$2:$AQ$1001,MATCH(ROWS($U$2:U789),$U$2:$U$1001,0),MATCH(COLUMNS($AB$1006:AK1006),$AB$1006:$AQ$1006,0)), HYPERLINK("#",""), HYPERLINK(CONCATENATE("#Metadata!", ADDRESS(INDEX($W$2:$W$1001,MATCH(ROWS($U$2:U789),$U$2:$U$1001,0),0), INDEX($AB$1004:$AQ$1004,1,MATCH(COLUMNS($AB$1006:AK1006),$AB$1006:$AQ$1006,0)))),"Fix")))</f>
        <v>0</v>
      </c>
      <c r="L789" s="5">
        <f>IF(OR(INDEX($V$2:$V$1001,MATCH(ROWS($U$2:U789),$U$2:$U$1001,0),1)&gt;=100000,INDEX($AB$1005:$AQ$1005,1,MATCH(COLUMNS($AB$1006:AL1006),$AB$1006:$AQ$1006,0))&gt;=100000), " ",IF(INDEX($AB$2:$AQ$1001,MATCH(ROWS($U$2:U789),$U$2:$U$1001,0),MATCH(COLUMNS($AB$1006:AL1006),$AB$1006:$AQ$1006,0)), HYPERLINK("#",""), HYPERLINK(CONCATENATE("#Metadata!", ADDRESS(INDEX($W$2:$W$1001,MATCH(ROWS($U$2:U789),$U$2:$U$1001,0),0), INDEX($AB$1004:$AQ$1004,1,MATCH(COLUMNS($AB$1006:AL1006),$AB$1006:$AQ$1006,0)))),"Fix")))</f>
        <v>0</v>
      </c>
      <c r="M789" s="5">
        <f>IF(OR(INDEX($V$2:$V$1001,MATCH(ROWS($U$2:U789),$U$2:$U$1001,0),1)&gt;=100000,INDEX($AB$1005:$AQ$1005,1,MATCH(COLUMNS($AB$1006:AM1006),$AB$1006:$AQ$1006,0))&gt;=100000), " ",IF(INDEX($AB$2:$AQ$1001,MATCH(ROWS($U$2:U789),$U$2:$U$1001,0),MATCH(COLUMNS($AB$1006:AM1006),$AB$1006:$AQ$1006,0)), HYPERLINK("#",""), HYPERLINK(CONCATENATE("#Metadata!", ADDRESS(INDEX($W$2:$W$1001,MATCH(ROWS($U$2:U789),$U$2:$U$1001,0),0), INDEX($AB$1004:$AQ$1004,1,MATCH(COLUMNS($AB$1006:AM1006),$AB$1006:$AQ$1006,0)))),"Fix")))</f>
        <v>0</v>
      </c>
      <c r="N789" s="5">
        <f>IF(OR(INDEX($V$2:$V$1001,MATCH(ROWS($U$2:U789),$U$2:$U$1001,0),1)&gt;=100000,INDEX($AB$1005:$AQ$1005,1,MATCH(COLUMNS($AB$1006:AN1006),$AB$1006:$AQ$1006,0))&gt;=100000), " ",IF(INDEX($AB$2:$AQ$1001,MATCH(ROWS($U$2:U789),$U$2:$U$1001,0),MATCH(COLUMNS($AB$1006:AN1006),$AB$1006:$AQ$1006,0)), HYPERLINK("#",""), HYPERLINK(CONCATENATE("#Metadata!", ADDRESS(INDEX($W$2:$W$1001,MATCH(ROWS($U$2:U789),$U$2:$U$1001,0),0), INDEX($AB$1004:$AQ$1004,1,MATCH(COLUMNS($AB$1006:AN1006),$AB$1006:$AQ$1006,0)))),"Fix")))</f>
        <v>0</v>
      </c>
      <c r="O789" s="5">
        <f>IF(OR(INDEX($V$2:$V$1001,MATCH(ROWS($U$2:U789),$U$2:$U$1001,0),1)&gt;=100000,INDEX($AB$1005:$AQ$1005,1,MATCH(COLUMNS($AB$1006:AO1006),$AB$1006:$AQ$1006,0))&gt;=100000), " ",IF(INDEX($AB$2:$AQ$1001,MATCH(ROWS($U$2:U789),$U$2:$U$1001,0),MATCH(COLUMNS($AB$1006:AO1006),$AB$1006:$AQ$1006,0)), HYPERLINK("#",""), HYPERLINK(CONCATENATE("#Metadata!", ADDRESS(INDEX($W$2:$W$1001,MATCH(ROWS($U$2:U789),$U$2:$U$1001,0),0), INDEX($AB$1004:$AQ$1004,1,MATCH(COLUMNS($AB$1006:AO1006),$AB$1006:$AQ$1006,0)))),"Fix")))</f>
        <v>0</v>
      </c>
      <c r="P789" s="5">
        <f>IF(OR(INDEX($V$2:$V$1001,MATCH(ROWS($U$2:U789),$U$2:$U$1001,0),1)&gt;=100000,INDEX($AB$1005:$AQ$1005,1,MATCH(COLUMNS($AB$1006:AP1006),$AB$1006:$AQ$1006,0))&gt;=100000), " ",IF(INDEX($AB$2:$AQ$1001,MATCH(ROWS($U$2:U789),$U$2:$U$1001,0),MATCH(COLUMNS($AB$1006:AP1006),$AB$1006:$AQ$1006,0)), HYPERLINK("#",""), HYPERLINK(CONCATENATE("#Metadata!", ADDRESS(INDEX($W$2:$W$1001,MATCH(ROWS($U$2:U789),$U$2:$U$1001,0),0), INDEX($AB$1004:$AQ$1004,1,MATCH(COLUMNS($AB$1006:AP1006),$AB$1006:$AQ$1006,0)))),"Fix")))</f>
        <v>0</v>
      </c>
      <c r="Q789" s="5">
        <f>IF(OR(INDEX($V$2:$V$1001,MATCH(ROWS($U$2:U789),$U$2:$U$1001,0),1)&gt;=100000,INDEX($AB$1005:$AQ$1005,1,MATCH(COLUMNS($AB$1006:AQ1006),$AB$1006:$AQ$1006,0))&gt;=100000), " ",IF(INDEX($AB$2:$AQ$1001,MATCH(ROWS($U$2:U789),$U$2:$U$1001,0),MATCH(COLUMNS($AB$1006:AQ1006),$AB$1006:$AQ$1006,0)), HYPERLINK("#",""), HYPERLINK(CONCATENATE("#Metadata!", ADDRESS(INDEX($W$2:$W$1001,MATCH(ROWS($U$2:U789),$U$2:$U$1001,0),0), INDEX($AB$1004:$AQ$1004,1,MATCH(COLUMNS($AB$1006:AQ1006),$AB$1006:$AQ$1006,0)))),"Fix")))</f>
        <v>0</v>
      </c>
      <c r="U789">
        <v>0</v>
      </c>
      <c r="V789">
        <v>0</v>
      </c>
      <c r="W789">
        <v>0</v>
      </c>
      <c r="X789">
        <f>IF(Y789,TRUE,AND(AB789:AQ789))</f>
        <v>0</v>
      </c>
      <c r="Y789">
        <f>COUNTBLANK(Metadata!B789:Q789)=COLUMNS(Metadata!B789:Q789)</f>
        <v>0</v>
      </c>
      <c r="Z789">
        <v>0</v>
      </c>
      <c r="AB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AC789">
        <f>AND(IF(Metadata!C789="",FALSE,TRUE),exact(Metadata!C789,"urban biome"))</f>
        <v>0</v>
      </c>
      <c r="AD789">
        <f>AND(IF(Metadata!D789="",FALSE,TRUE),exact(Metadata!D789,"human-associated habitat"))</f>
        <v>0</v>
      </c>
      <c r="AE789">
        <f>AND(IF(Metadata!E789="",FALSE,TRUE),OR(exact(Metadata!E789,"human-associated"),exact(Metadata!E789,"human-skin"),exact(Metadata!E789,"human-oral"),exact(Metadata!E789,"human-gut"),exact(Metadata!E789,"human-vaginal")))</f>
        <v>0</v>
      </c>
      <c r="AF789">
        <f>AND(IF(Metadata!F789="",FALSE,ISNUMBER(VALUE(Metadata!F789))),Metadata!F789&gt;0)</f>
        <v>0</v>
      </c>
      <c r="AG789">
        <f>AND(IF(Metadata!G789="",FALSE,TRUE),exact(Metadata!G789,"years"))</f>
        <v>0</v>
      </c>
      <c r="AH789">
        <f>OR(AND(IF(Metadata!H789="",FALSE,TRUE),OR(exact(Metadata!H789,"not applicable"),exact(Metadata!H789,"not collected"),exact(Metadata!H789,"not provided"),exact(Metadata!H789,"restricted access"))),AND(IF(Metadata!H789="",FALSE,ISNUMBER(VALUE(Metadata!H789))),Metadata!H789&gt;0))</f>
        <v>0</v>
      </c>
      <c r="AI789">
        <f>AND(IF(Metadata!I789="",FALSE,TRUE),exact(Metadata!I789,"human"))</f>
        <v>0</v>
      </c>
      <c r="AJ789">
        <f>AND(IF(Metadata!J789="",FALSE,ISNUMBER(VALUE(Metadata!J789))),Metadata!J789&gt;0)</f>
        <v>0</v>
      </c>
      <c r="AK789">
        <f>AND(IF(Metadata!K789="",FALSE,TRUE),exact(Metadata!K789,"cm"))</f>
        <v>0</v>
      </c>
      <c r="AL789">
        <f>AND(IF(Metadata!L789="",FALSE,TRUE),exact(Metadata!L789,"Homo sapiens"))</f>
        <v>0</v>
      </c>
      <c r="AM789">
        <f>AND(IF(Metadata!M789="",FALSE,TRUE),exact(Metadata!M789,"9606"))</f>
        <v>0</v>
      </c>
      <c r="AN789">
        <f>AND(IF(Metadata!N789="",FALSE,ISNUMBER(VALUE(Metadata!N789))),Metadata!N789&gt;0)</f>
        <v>0</v>
      </c>
      <c r="AO789">
        <f>AND(IF(Metadata!O789="",FALSE,TRUE),exact(Metadata!O789,"kg"))</f>
        <v>0</v>
      </c>
      <c r="AP789">
        <f>OR(AND(IF(Metadata!P789="",FALSE,TRUE),exact(Metadata!P789,"not provided")),IF(Metadata!P789="",FALSE,TRUE))</f>
        <v>0</v>
      </c>
      <c r="AQ789">
        <f>OR(AND(IF(Metadata!Q789="",FALSE,TRUE),exact(Metadata!Q789,"not provided")),IF(Metadata!Q789="",FALSE,TRUE))</f>
        <v>0</v>
      </c>
    </row>
    <row r="790" spans="1:43">
      <c r="A790" s="4">
        <f>IF(B790=" "," ",HYPERLINK(CONCATENATE("#metadata!",ADDRESS(INDEX($W$2:$W$1001,MATCH(ROWS($U$2:U790),$U$2:$U$1001,0),0),2)),INDEX($Z$2:$Z$1001,MATCH(ROWS($U$2:U790),$U$2:$U$1001,0),0)))</f>
        <v>0</v>
      </c>
      <c r="B790" s="5">
        <f>IF(OR(INDEX($V$2:$V$1001,MATCH(ROWS($U$2:U790),$U$2:$U$1001,0),1)&gt;=100000,INDEX($AB$1005:$AQ$1005,1,MATCH(COLUMNS($AB$1006:AB1006),$AB$1006:$AQ$1006,0))&gt;=100000), " ",IF(INDEX($AB$2:$AQ$1001,MATCH(ROWS($U$2:U790),$U$2:$U$1001,0),MATCH(COLUMNS($AB$1006:AB1006),$AB$1006:$AQ$1006,0)), HYPERLINK("#",""), HYPERLINK(CONCATENATE("#Metadata!", ADDRESS(INDEX($W$2:$W$1001,MATCH(ROWS($U$2:U790),$U$2:$U$1001,0),0), INDEX($AB$1004:$AQ$1004,1,MATCH(COLUMNS($AB$1006:AB1006),$AB$1006:$AQ$1006,0)))),"Fix")))</f>
        <v>0</v>
      </c>
      <c r="C790" s="5">
        <f>IF(OR(INDEX($V$2:$V$1001,MATCH(ROWS($U$2:U790),$U$2:$U$1001,0),1)&gt;=100000,INDEX($AB$1005:$AQ$1005,1,MATCH(COLUMNS($AB$1006:AC1006),$AB$1006:$AQ$1006,0))&gt;=100000), " ",IF(INDEX($AB$2:$AQ$1001,MATCH(ROWS($U$2:U790),$U$2:$U$1001,0),MATCH(COLUMNS($AB$1006:AC1006),$AB$1006:$AQ$1006,0)), HYPERLINK("#",""), HYPERLINK(CONCATENATE("#Metadata!", ADDRESS(INDEX($W$2:$W$1001,MATCH(ROWS($U$2:U790),$U$2:$U$1001,0),0), INDEX($AB$1004:$AQ$1004,1,MATCH(COLUMNS($AB$1006:AC1006),$AB$1006:$AQ$1006,0)))),"Fix")))</f>
        <v>0</v>
      </c>
      <c r="D790" s="5">
        <f>IF(OR(INDEX($V$2:$V$1001,MATCH(ROWS($U$2:U790),$U$2:$U$1001,0),1)&gt;=100000,INDEX($AB$1005:$AQ$1005,1,MATCH(COLUMNS($AB$1006:AD1006),$AB$1006:$AQ$1006,0))&gt;=100000), " ",IF(INDEX($AB$2:$AQ$1001,MATCH(ROWS($U$2:U790),$U$2:$U$1001,0),MATCH(COLUMNS($AB$1006:AD1006),$AB$1006:$AQ$1006,0)), HYPERLINK("#",""), HYPERLINK(CONCATENATE("#Metadata!", ADDRESS(INDEX($W$2:$W$1001,MATCH(ROWS($U$2:U790),$U$2:$U$1001,0),0), INDEX($AB$1004:$AQ$1004,1,MATCH(COLUMNS($AB$1006:AD1006),$AB$1006:$AQ$1006,0)))),"Fix")))</f>
        <v>0</v>
      </c>
      <c r="E790" s="5">
        <f>IF(OR(INDEX($V$2:$V$1001,MATCH(ROWS($U$2:U790),$U$2:$U$1001,0),1)&gt;=100000,INDEX($AB$1005:$AQ$1005,1,MATCH(COLUMNS($AB$1006:AE1006),$AB$1006:$AQ$1006,0))&gt;=100000), " ",IF(INDEX($AB$2:$AQ$1001,MATCH(ROWS($U$2:U790),$U$2:$U$1001,0),MATCH(COLUMNS($AB$1006:AE1006),$AB$1006:$AQ$1006,0)), HYPERLINK("#",""), HYPERLINK(CONCATENATE("#Metadata!", ADDRESS(INDEX($W$2:$W$1001,MATCH(ROWS($U$2:U790),$U$2:$U$1001,0),0), INDEX($AB$1004:$AQ$1004,1,MATCH(COLUMNS($AB$1006:AE1006),$AB$1006:$AQ$1006,0)))),"Fix")))</f>
        <v>0</v>
      </c>
      <c r="F790" s="5">
        <f>IF(OR(INDEX($V$2:$V$1001,MATCH(ROWS($U$2:U790),$U$2:$U$1001,0),1)&gt;=100000,INDEX($AB$1005:$AQ$1005,1,MATCH(COLUMNS($AB$1006:AF1006),$AB$1006:$AQ$1006,0))&gt;=100000), " ",IF(INDEX($AB$2:$AQ$1001,MATCH(ROWS($U$2:U790),$U$2:$U$1001,0),MATCH(COLUMNS($AB$1006:AF1006),$AB$1006:$AQ$1006,0)), HYPERLINK("#",""), HYPERLINK(CONCATENATE("#Metadata!", ADDRESS(INDEX($W$2:$W$1001,MATCH(ROWS($U$2:U790),$U$2:$U$1001,0),0), INDEX($AB$1004:$AQ$1004,1,MATCH(COLUMNS($AB$1006:AF1006),$AB$1006:$AQ$1006,0)))),"Fix")))</f>
        <v>0</v>
      </c>
      <c r="G790" s="5">
        <f>IF(OR(INDEX($V$2:$V$1001,MATCH(ROWS($U$2:U790),$U$2:$U$1001,0),1)&gt;=100000,INDEX($AB$1005:$AQ$1005,1,MATCH(COLUMNS($AB$1006:AG1006),$AB$1006:$AQ$1006,0))&gt;=100000), " ",IF(INDEX($AB$2:$AQ$1001,MATCH(ROWS($U$2:U790),$U$2:$U$1001,0),MATCH(COLUMNS($AB$1006:AG1006),$AB$1006:$AQ$1006,0)), HYPERLINK("#",""), HYPERLINK(CONCATENATE("#Metadata!", ADDRESS(INDEX($W$2:$W$1001,MATCH(ROWS($U$2:U790),$U$2:$U$1001,0),0), INDEX($AB$1004:$AQ$1004,1,MATCH(COLUMNS($AB$1006:AG1006),$AB$1006:$AQ$1006,0)))),"Fix")))</f>
        <v>0</v>
      </c>
      <c r="H790" s="5">
        <f>IF(OR(INDEX($V$2:$V$1001,MATCH(ROWS($U$2:U790),$U$2:$U$1001,0),1)&gt;=100000,INDEX($AB$1005:$AQ$1005,1,MATCH(COLUMNS($AB$1006:AH1006),$AB$1006:$AQ$1006,0))&gt;=100000), " ",IF(INDEX($AB$2:$AQ$1001,MATCH(ROWS($U$2:U790),$U$2:$U$1001,0),MATCH(COLUMNS($AB$1006:AH1006),$AB$1006:$AQ$1006,0)), HYPERLINK("#",""), HYPERLINK(CONCATENATE("#Metadata!", ADDRESS(INDEX($W$2:$W$1001,MATCH(ROWS($U$2:U790),$U$2:$U$1001,0),0), INDEX($AB$1004:$AQ$1004,1,MATCH(COLUMNS($AB$1006:AH1006),$AB$1006:$AQ$1006,0)))),"Fix")))</f>
        <v>0</v>
      </c>
      <c r="I790" s="5">
        <f>IF(OR(INDEX($V$2:$V$1001,MATCH(ROWS($U$2:U790),$U$2:$U$1001,0),1)&gt;=100000,INDEX($AB$1005:$AQ$1005,1,MATCH(COLUMNS($AB$1006:AI1006),$AB$1006:$AQ$1006,0))&gt;=100000), " ",IF(INDEX($AB$2:$AQ$1001,MATCH(ROWS($U$2:U790),$U$2:$U$1001,0),MATCH(COLUMNS($AB$1006:AI1006),$AB$1006:$AQ$1006,0)), HYPERLINK("#",""), HYPERLINK(CONCATENATE("#Metadata!", ADDRESS(INDEX($W$2:$W$1001,MATCH(ROWS($U$2:U790),$U$2:$U$1001,0),0), INDEX($AB$1004:$AQ$1004,1,MATCH(COLUMNS($AB$1006:AI1006),$AB$1006:$AQ$1006,0)))),"Fix")))</f>
        <v>0</v>
      </c>
      <c r="J790" s="5">
        <f>IF(OR(INDEX($V$2:$V$1001,MATCH(ROWS($U$2:U790),$U$2:$U$1001,0),1)&gt;=100000,INDEX($AB$1005:$AQ$1005,1,MATCH(COLUMNS($AB$1006:AJ1006),$AB$1006:$AQ$1006,0))&gt;=100000), " ",IF(INDEX($AB$2:$AQ$1001,MATCH(ROWS($U$2:U790),$U$2:$U$1001,0),MATCH(COLUMNS($AB$1006:AJ1006),$AB$1006:$AQ$1006,0)), HYPERLINK("#",""), HYPERLINK(CONCATENATE("#Metadata!", ADDRESS(INDEX($W$2:$W$1001,MATCH(ROWS($U$2:U790),$U$2:$U$1001,0),0), INDEX($AB$1004:$AQ$1004,1,MATCH(COLUMNS($AB$1006:AJ1006),$AB$1006:$AQ$1006,0)))),"Fix")))</f>
        <v>0</v>
      </c>
      <c r="K790" s="5">
        <f>IF(OR(INDEX($V$2:$V$1001,MATCH(ROWS($U$2:U790),$U$2:$U$1001,0),1)&gt;=100000,INDEX($AB$1005:$AQ$1005,1,MATCH(COLUMNS($AB$1006:AK1006),$AB$1006:$AQ$1006,0))&gt;=100000), " ",IF(INDEX($AB$2:$AQ$1001,MATCH(ROWS($U$2:U790),$U$2:$U$1001,0),MATCH(COLUMNS($AB$1006:AK1006),$AB$1006:$AQ$1006,0)), HYPERLINK("#",""), HYPERLINK(CONCATENATE("#Metadata!", ADDRESS(INDEX($W$2:$W$1001,MATCH(ROWS($U$2:U790),$U$2:$U$1001,0),0), INDEX($AB$1004:$AQ$1004,1,MATCH(COLUMNS($AB$1006:AK1006),$AB$1006:$AQ$1006,0)))),"Fix")))</f>
        <v>0</v>
      </c>
      <c r="L790" s="5">
        <f>IF(OR(INDEX($V$2:$V$1001,MATCH(ROWS($U$2:U790),$U$2:$U$1001,0),1)&gt;=100000,INDEX($AB$1005:$AQ$1005,1,MATCH(COLUMNS($AB$1006:AL1006),$AB$1006:$AQ$1006,0))&gt;=100000), " ",IF(INDEX($AB$2:$AQ$1001,MATCH(ROWS($U$2:U790),$U$2:$U$1001,0),MATCH(COLUMNS($AB$1006:AL1006),$AB$1006:$AQ$1006,0)), HYPERLINK("#",""), HYPERLINK(CONCATENATE("#Metadata!", ADDRESS(INDEX($W$2:$W$1001,MATCH(ROWS($U$2:U790),$U$2:$U$1001,0),0), INDEX($AB$1004:$AQ$1004,1,MATCH(COLUMNS($AB$1006:AL1006),$AB$1006:$AQ$1006,0)))),"Fix")))</f>
        <v>0</v>
      </c>
      <c r="M790" s="5">
        <f>IF(OR(INDEX($V$2:$V$1001,MATCH(ROWS($U$2:U790),$U$2:$U$1001,0),1)&gt;=100000,INDEX($AB$1005:$AQ$1005,1,MATCH(COLUMNS($AB$1006:AM1006),$AB$1006:$AQ$1006,0))&gt;=100000), " ",IF(INDEX($AB$2:$AQ$1001,MATCH(ROWS($U$2:U790),$U$2:$U$1001,0),MATCH(COLUMNS($AB$1006:AM1006),$AB$1006:$AQ$1006,0)), HYPERLINK("#",""), HYPERLINK(CONCATENATE("#Metadata!", ADDRESS(INDEX($W$2:$W$1001,MATCH(ROWS($U$2:U790),$U$2:$U$1001,0),0), INDEX($AB$1004:$AQ$1004,1,MATCH(COLUMNS($AB$1006:AM1006),$AB$1006:$AQ$1006,0)))),"Fix")))</f>
        <v>0</v>
      </c>
      <c r="N790" s="5">
        <f>IF(OR(INDEX($V$2:$V$1001,MATCH(ROWS($U$2:U790),$U$2:$U$1001,0),1)&gt;=100000,INDEX($AB$1005:$AQ$1005,1,MATCH(COLUMNS($AB$1006:AN1006),$AB$1006:$AQ$1006,0))&gt;=100000), " ",IF(INDEX($AB$2:$AQ$1001,MATCH(ROWS($U$2:U790),$U$2:$U$1001,0),MATCH(COLUMNS($AB$1006:AN1006),$AB$1006:$AQ$1006,0)), HYPERLINK("#",""), HYPERLINK(CONCATENATE("#Metadata!", ADDRESS(INDEX($W$2:$W$1001,MATCH(ROWS($U$2:U790),$U$2:$U$1001,0),0), INDEX($AB$1004:$AQ$1004,1,MATCH(COLUMNS($AB$1006:AN1006),$AB$1006:$AQ$1006,0)))),"Fix")))</f>
        <v>0</v>
      </c>
      <c r="O790" s="5">
        <f>IF(OR(INDEX($V$2:$V$1001,MATCH(ROWS($U$2:U790),$U$2:$U$1001,0),1)&gt;=100000,INDEX($AB$1005:$AQ$1005,1,MATCH(COLUMNS($AB$1006:AO1006),$AB$1006:$AQ$1006,0))&gt;=100000), " ",IF(INDEX($AB$2:$AQ$1001,MATCH(ROWS($U$2:U790),$U$2:$U$1001,0),MATCH(COLUMNS($AB$1006:AO1006),$AB$1006:$AQ$1006,0)), HYPERLINK("#",""), HYPERLINK(CONCATENATE("#Metadata!", ADDRESS(INDEX($W$2:$W$1001,MATCH(ROWS($U$2:U790),$U$2:$U$1001,0),0), INDEX($AB$1004:$AQ$1004,1,MATCH(COLUMNS($AB$1006:AO1006),$AB$1006:$AQ$1006,0)))),"Fix")))</f>
        <v>0</v>
      </c>
      <c r="P790" s="5">
        <f>IF(OR(INDEX($V$2:$V$1001,MATCH(ROWS($U$2:U790),$U$2:$U$1001,0),1)&gt;=100000,INDEX($AB$1005:$AQ$1005,1,MATCH(COLUMNS($AB$1006:AP1006),$AB$1006:$AQ$1006,0))&gt;=100000), " ",IF(INDEX($AB$2:$AQ$1001,MATCH(ROWS($U$2:U790),$U$2:$U$1001,0),MATCH(COLUMNS($AB$1006:AP1006),$AB$1006:$AQ$1006,0)), HYPERLINK("#",""), HYPERLINK(CONCATENATE("#Metadata!", ADDRESS(INDEX($W$2:$W$1001,MATCH(ROWS($U$2:U790),$U$2:$U$1001,0),0), INDEX($AB$1004:$AQ$1004,1,MATCH(COLUMNS($AB$1006:AP1006),$AB$1006:$AQ$1006,0)))),"Fix")))</f>
        <v>0</v>
      </c>
      <c r="Q790" s="5">
        <f>IF(OR(INDEX($V$2:$V$1001,MATCH(ROWS($U$2:U790),$U$2:$U$1001,0),1)&gt;=100000,INDEX($AB$1005:$AQ$1005,1,MATCH(COLUMNS($AB$1006:AQ1006),$AB$1006:$AQ$1006,0))&gt;=100000), " ",IF(INDEX($AB$2:$AQ$1001,MATCH(ROWS($U$2:U790),$U$2:$U$1001,0),MATCH(COLUMNS($AB$1006:AQ1006),$AB$1006:$AQ$1006,0)), HYPERLINK("#",""), HYPERLINK(CONCATENATE("#Metadata!", ADDRESS(INDEX($W$2:$W$1001,MATCH(ROWS($U$2:U790),$U$2:$U$1001,0),0), INDEX($AB$1004:$AQ$1004,1,MATCH(COLUMNS($AB$1006:AQ1006),$AB$1006:$AQ$1006,0)))),"Fix")))</f>
        <v>0</v>
      </c>
      <c r="U790">
        <v>0</v>
      </c>
      <c r="V790">
        <v>0</v>
      </c>
      <c r="W790">
        <v>0</v>
      </c>
      <c r="X790">
        <f>IF(Y790,TRUE,AND(AB790:AQ790))</f>
        <v>0</v>
      </c>
      <c r="Y790">
        <f>COUNTBLANK(Metadata!B790:Q790)=COLUMNS(Metadata!B790:Q790)</f>
        <v>0</v>
      </c>
      <c r="Z790">
        <v>0</v>
      </c>
      <c r="AB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AC790">
        <f>AND(IF(Metadata!C790="",FALSE,TRUE),exact(Metadata!C790,"urban biome"))</f>
        <v>0</v>
      </c>
      <c r="AD790">
        <f>AND(IF(Metadata!D790="",FALSE,TRUE),exact(Metadata!D790,"human-associated habitat"))</f>
        <v>0</v>
      </c>
      <c r="AE790">
        <f>AND(IF(Metadata!E790="",FALSE,TRUE),OR(exact(Metadata!E790,"human-associated"),exact(Metadata!E790,"human-skin"),exact(Metadata!E790,"human-oral"),exact(Metadata!E790,"human-gut"),exact(Metadata!E790,"human-vaginal")))</f>
        <v>0</v>
      </c>
      <c r="AF790">
        <f>AND(IF(Metadata!F790="",FALSE,ISNUMBER(VALUE(Metadata!F790))),Metadata!F790&gt;0)</f>
        <v>0</v>
      </c>
      <c r="AG790">
        <f>AND(IF(Metadata!G790="",FALSE,TRUE),exact(Metadata!G790,"years"))</f>
        <v>0</v>
      </c>
      <c r="AH790">
        <f>OR(AND(IF(Metadata!H790="",FALSE,TRUE),OR(exact(Metadata!H790,"not applicable"),exact(Metadata!H790,"not collected"),exact(Metadata!H790,"not provided"),exact(Metadata!H790,"restricted access"))),AND(IF(Metadata!H790="",FALSE,ISNUMBER(VALUE(Metadata!H790))),Metadata!H790&gt;0))</f>
        <v>0</v>
      </c>
      <c r="AI790">
        <f>AND(IF(Metadata!I790="",FALSE,TRUE),exact(Metadata!I790,"human"))</f>
        <v>0</v>
      </c>
      <c r="AJ790">
        <f>AND(IF(Metadata!J790="",FALSE,ISNUMBER(VALUE(Metadata!J790))),Metadata!J790&gt;0)</f>
        <v>0</v>
      </c>
      <c r="AK790">
        <f>AND(IF(Metadata!K790="",FALSE,TRUE),exact(Metadata!K790,"cm"))</f>
        <v>0</v>
      </c>
      <c r="AL790">
        <f>AND(IF(Metadata!L790="",FALSE,TRUE),exact(Metadata!L790,"Homo sapiens"))</f>
        <v>0</v>
      </c>
      <c r="AM790">
        <f>AND(IF(Metadata!M790="",FALSE,TRUE),exact(Metadata!M790,"9606"))</f>
        <v>0</v>
      </c>
      <c r="AN790">
        <f>AND(IF(Metadata!N790="",FALSE,ISNUMBER(VALUE(Metadata!N790))),Metadata!N790&gt;0)</f>
        <v>0</v>
      </c>
      <c r="AO790">
        <f>AND(IF(Metadata!O790="",FALSE,TRUE),exact(Metadata!O790,"kg"))</f>
        <v>0</v>
      </c>
      <c r="AP790">
        <f>OR(AND(IF(Metadata!P790="",FALSE,TRUE),exact(Metadata!P790,"not provided")),IF(Metadata!P790="",FALSE,TRUE))</f>
        <v>0</v>
      </c>
      <c r="AQ790">
        <f>OR(AND(IF(Metadata!Q790="",FALSE,TRUE),exact(Metadata!Q790,"not provided")),IF(Metadata!Q790="",FALSE,TRUE))</f>
        <v>0</v>
      </c>
    </row>
    <row r="791" spans="1:43">
      <c r="A791" s="4">
        <f>IF(B791=" "," ",HYPERLINK(CONCATENATE("#metadata!",ADDRESS(INDEX($W$2:$W$1001,MATCH(ROWS($U$2:U791),$U$2:$U$1001,0),0),2)),INDEX($Z$2:$Z$1001,MATCH(ROWS($U$2:U791),$U$2:$U$1001,0),0)))</f>
        <v>0</v>
      </c>
      <c r="B791" s="5">
        <f>IF(OR(INDEX($V$2:$V$1001,MATCH(ROWS($U$2:U791),$U$2:$U$1001,0),1)&gt;=100000,INDEX($AB$1005:$AQ$1005,1,MATCH(COLUMNS($AB$1006:AB1006),$AB$1006:$AQ$1006,0))&gt;=100000), " ",IF(INDEX($AB$2:$AQ$1001,MATCH(ROWS($U$2:U791),$U$2:$U$1001,0),MATCH(COLUMNS($AB$1006:AB1006),$AB$1006:$AQ$1006,0)), HYPERLINK("#",""), HYPERLINK(CONCATENATE("#Metadata!", ADDRESS(INDEX($W$2:$W$1001,MATCH(ROWS($U$2:U791),$U$2:$U$1001,0),0), INDEX($AB$1004:$AQ$1004,1,MATCH(COLUMNS($AB$1006:AB1006),$AB$1006:$AQ$1006,0)))),"Fix")))</f>
        <v>0</v>
      </c>
      <c r="C791" s="5">
        <f>IF(OR(INDEX($V$2:$V$1001,MATCH(ROWS($U$2:U791),$U$2:$U$1001,0),1)&gt;=100000,INDEX($AB$1005:$AQ$1005,1,MATCH(COLUMNS($AB$1006:AC1006),$AB$1006:$AQ$1006,0))&gt;=100000), " ",IF(INDEX($AB$2:$AQ$1001,MATCH(ROWS($U$2:U791),$U$2:$U$1001,0),MATCH(COLUMNS($AB$1006:AC1006),$AB$1006:$AQ$1006,0)), HYPERLINK("#",""), HYPERLINK(CONCATENATE("#Metadata!", ADDRESS(INDEX($W$2:$W$1001,MATCH(ROWS($U$2:U791),$U$2:$U$1001,0),0), INDEX($AB$1004:$AQ$1004,1,MATCH(COLUMNS($AB$1006:AC1006),$AB$1006:$AQ$1006,0)))),"Fix")))</f>
        <v>0</v>
      </c>
      <c r="D791" s="5">
        <f>IF(OR(INDEX($V$2:$V$1001,MATCH(ROWS($U$2:U791),$U$2:$U$1001,0),1)&gt;=100000,INDEX($AB$1005:$AQ$1005,1,MATCH(COLUMNS($AB$1006:AD1006),$AB$1006:$AQ$1006,0))&gt;=100000), " ",IF(INDEX($AB$2:$AQ$1001,MATCH(ROWS($U$2:U791),$U$2:$U$1001,0),MATCH(COLUMNS($AB$1006:AD1006),$AB$1006:$AQ$1006,0)), HYPERLINK("#",""), HYPERLINK(CONCATENATE("#Metadata!", ADDRESS(INDEX($W$2:$W$1001,MATCH(ROWS($U$2:U791),$U$2:$U$1001,0),0), INDEX($AB$1004:$AQ$1004,1,MATCH(COLUMNS($AB$1006:AD1006),$AB$1006:$AQ$1006,0)))),"Fix")))</f>
        <v>0</v>
      </c>
      <c r="E791" s="5">
        <f>IF(OR(INDEX($V$2:$V$1001,MATCH(ROWS($U$2:U791),$U$2:$U$1001,0),1)&gt;=100000,INDEX($AB$1005:$AQ$1005,1,MATCH(COLUMNS($AB$1006:AE1006),$AB$1006:$AQ$1006,0))&gt;=100000), " ",IF(INDEX($AB$2:$AQ$1001,MATCH(ROWS($U$2:U791),$U$2:$U$1001,0),MATCH(COLUMNS($AB$1006:AE1006),$AB$1006:$AQ$1006,0)), HYPERLINK("#",""), HYPERLINK(CONCATENATE("#Metadata!", ADDRESS(INDEX($W$2:$W$1001,MATCH(ROWS($U$2:U791),$U$2:$U$1001,0),0), INDEX($AB$1004:$AQ$1004,1,MATCH(COLUMNS($AB$1006:AE1006),$AB$1006:$AQ$1006,0)))),"Fix")))</f>
        <v>0</v>
      </c>
      <c r="F791" s="5">
        <f>IF(OR(INDEX($V$2:$V$1001,MATCH(ROWS($U$2:U791),$U$2:$U$1001,0),1)&gt;=100000,INDEX($AB$1005:$AQ$1005,1,MATCH(COLUMNS($AB$1006:AF1006),$AB$1006:$AQ$1006,0))&gt;=100000), " ",IF(INDEX($AB$2:$AQ$1001,MATCH(ROWS($U$2:U791),$U$2:$U$1001,0),MATCH(COLUMNS($AB$1006:AF1006),$AB$1006:$AQ$1006,0)), HYPERLINK("#",""), HYPERLINK(CONCATENATE("#Metadata!", ADDRESS(INDEX($W$2:$W$1001,MATCH(ROWS($U$2:U791),$U$2:$U$1001,0),0), INDEX($AB$1004:$AQ$1004,1,MATCH(COLUMNS($AB$1006:AF1006),$AB$1006:$AQ$1006,0)))),"Fix")))</f>
        <v>0</v>
      </c>
      <c r="G791" s="5">
        <f>IF(OR(INDEX($V$2:$V$1001,MATCH(ROWS($U$2:U791),$U$2:$U$1001,0),1)&gt;=100000,INDEX($AB$1005:$AQ$1005,1,MATCH(COLUMNS($AB$1006:AG1006),$AB$1006:$AQ$1006,0))&gt;=100000), " ",IF(INDEX($AB$2:$AQ$1001,MATCH(ROWS($U$2:U791),$U$2:$U$1001,0),MATCH(COLUMNS($AB$1006:AG1006),$AB$1006:$AQ$1006,0)), HYPERLINK("#",""), HYPERLINK(CONCATENATE("#Metadata!", ADDRESS(INDEX($W$2:$W$1001,MATCH(ROWS($U$2:U791),$U$2:$U$1001,0),0), INDEX($AB$1004:$AQ$1004,1,MATCH(COLUMNS($AB$1006:AG1006),$AB$1006:$AQ$1006,0)))),"Fix")))</f>
        <v>0</v>
      </c>
      <c r="H791" s="5">
        <f>IF(OR(INDEX($V$2:$V$1001,MATCH(ROWS($U$2:U791),$U$2:$U$1001,0),1)&gt;=100000,INDEX($AB$1005:$AQ$1005,1,MATCH(COLUMNS($AB$1006:AH1006),$AB$1006:$AQ$1006,0))&gt;=100000), " ",IF(INDEX($AB$2:$AQ$1001,MATCH(ROWS($U$2:U791),$U$2:$U$1001,0),MATCH(COLUMNS($AB$1006:AH1006),$AB$1006:$AQ$1006,0)), HYPERLINK("#",""), HYPERLINK(CONCATENATE("#Metadata!", ADDRESS(INDEX($W$2:$W$1001,MATCH(ROWS($U$2:U791),$U$2:$U$1001,0),0), INDEX($AB$1004:$AQ$1004,1,MATCH(COLUMNS($AB$1006:AH1006),$AB$1006:$AQ$1006,0)))),"Fix")))</f>
        <v>0</v>
      </c>
      <c r="I791" s="5">
        <f>IF(OR(INDEX($V$2:$V$1001,MATCH(ROWS($U$2:U791),$U$2:$U$1001,0),1)&gt;=100000,INDEX($AB$1005:$AQ$1005,1,MATCH(COLUMNS($AB$1006:AI1006),$AB$1006:$AQ$1006,0))&gt;=100000), " ",IF(INDEX($AB$2:$AQ$1001,MATCH(ROWS($U$2:U791),$U$2:$U$1001,0),MATCH(COLUMNS($AB$1006:AI1006),$AB$1006:$AQ$1006,0)), HYPERLINK("#",""), HYPERLINK(CONCATENATE("#Metadata!", ADDRESS(INDEX($W$2:$W$1001,MATCH(ROWS($U$2:U791),$U$2:$U$1001,0),0), INDEX($AB$1004:$AQ$1004,1,MATCH(COLUMNS($AB$1006:AI1006),$AB$1006:$AQ$1006,0)))),"Fix")))</f>
        <v>0</v>
      </c>
      <c r="J791" s="5">
        <f>IF(OR(INDEX($V$2:$V$1001,MATCH(ROWS($U$2:U791),$U$2:$U$1001,0),1)&gt;=100000,INDEX($AB$1005:$AQ$1005,1,MATCH(COLUMNS($AB$1006:AJ1006),$AB$1006:$AQ$1006,0))&gt;=100000), " ",IF(INDEX($AB$2:$AQ$1001,MATCH(ROWS($U$2:U791),$U$2:$U$1001,0),MATCH(COLUMNS($AB$1006:AJ1006),$AB$1006:$AQ$1006,0)), HYPERLINK("#",""), HYPERLINK(CONCATENATE("#Metadata!", ADDRESS(INDEX($W$2:$W$1001,MATCH(ROWS($U$2:U791),$U$2:$U$1001,0),0), INDEX($AB$1004:$AQ$1004,1,MATCH(COLUMNS($AB$1006:AJ1006),$AB$1006:$AQ$1006,0)))),"Fix")))</f>
        <v>0</v>
      </c>
      <c r="K791" s="5">
        <f>IF(OR(INDEX($V$2:$V$1001,MATCH(ROWS($U$2:U791),$U$2:$U$1001,0),1)&gt;=100000,INDEX($AB$1005:$AQ$1005,1,MATCH(COLUMNS($AB$1006:AK1006),$AB$1006:$AQ$1006,0))&gt;=100000), " ",IF(INDEX($AB$2:$AQ$1001,MATCH(ROWS($U$2:U791),$U$2:$U$1001,0),MATCH(COLUMNS($AB$1006:AK1006),$AB$1006:$AQ$1006,0)), HYPERLINK("#",""), HYPERLINK(CONCATENATE("#Metadata!", ADDRESS(INDEX($W$2:$W$1001,MATCH(ROWS($U$2:U791),$U$2:$U$1001,0),0), INDEX($AB$1004:$AQ$1004,1,MATCH(COLUMNS($AB$1006:AK1006),$AB$1006:$AQ$1006,0)))),"Fix")))</f>
        <v>0</v>
      </c>
      <c r="L791" s="5">
        <f>IF(OR(INDEX($V$2:$V$1001,MATCH(ROWS($U$2:U791),$U$2:$U$1001,0),1)&gt;=100000,INDEX($AB$1005:$AQ$1005,1,MATCH(COLUMNS($AB$1006:AL1006),$AB$1006:$AQ$1006,0))&gt;=100000), " ",IF(INDEX($AB$2:$AQ$1001,MATCH(ROWS($U$2:U791),$U$2:$U$1001,0),MATCH(COLUMNS($AB$1006:AL1006),$AB$1006:$AQ$1006,0)), HYPERLINK("#",""), HYPERLINK(CONCATENATE("#Metadata!", ADDRESS(INDEX($W$2:$W$1001,MATCH(ROWS($U$2:U791),$U$2:$U$1001,0),0), INDEX($AB$1004:$AQ$1004,1,MATCH(COLUMNS($AB$1006:AL1006),$AB$1006:$AQ$1006,0)))),"Fix")))</f>
        <v>0</v>
      </c>
      <c r="M791" s="5">
        <f>IF(OR(INDEX($V$2:$V$1001,MATCH(ROWS($U$2:U791),$U$2:$U$1001,0),1)&gt;=100000,INDEX($AB$1005:$AQ$1005,1,MATCH(COLUMNS($AB$1006:AM1006),$AB$1006:$AQ$1006,0))&gt;=100000), " ",IF(INDEX($AB$2:$AQ$1001,MATCH(ROWS($U$2:U791),$U$2:$U$1001,0),MATCH(COLUMNS($AB$1006:AM1006),$AB$1006:$AQ$1006,0)), HYPERLINK("#",""), HYPERLINK(CONCATENATE("#Metadata!", ADDRESS(INDEX($W$2:$W$1001,MATCH(ROWS($U$2:U791),$U$2:$U$1001,0),0), INDEX($AB$1004:$AQ$1004,1,MATCH(COLUMNS($AB$1006:AM1006),$AB$1006:$AQ$1006,0)))),"Fix")))</f>
        <v>0</v>
      </c>
      <c r="N791" s="5">
        <f>IF(OR(INDEX($V$2:$V$1001,MATCH(ROWS($U$2:U791),$U$2:$U$1001,0),1)&gt;=100000,INDEX($AB$1005:$AQ$1005,1,MATCH(COLUMNS($AB$1006:AN1006),$AB$1006:$AQ$1006,0))&gt;=100000), " ",IF(INDEX($AB$2:$AQ$1001,MATCH(ROWS($U$2:U791),$U$2:$U$1001,0),MATCH(COLUMNS($AB$1006:AN1006),$AB$1006:$AQ$1006,0)), HYPERLINK("#",""), HYPERLINK(CONCATENATE("#Metadata!", ADDRESS(INDEX($W$2:$W$1001,MATCH(ROWS($U$2:U791),$U$2:$U$1001,0),0), INDEX($AB$1004:$AQ$1004,1,MATCH(COLUMNS($AB$1006:AN1006),$AB$1006:$AQ$1006,0)))),"Fix")))</f>
        <v>0</v>
      </c>
      <c r="O791" s="5">
        <f>IF(OR(INDEX($V$2:$V$1001,MATCH(ROWS($U$2:U791),$U$2:$U$1001,0),1)&gt;=100000,INDEX($AB$1005:$AQ$1005,1,MATCH(COLUMNS($AB$1006:AO1006),$AB$1006:$AQ$1006,0))&gt;=100000), " ",IF(INDEX($AB$2:$AQ$1001,MATCH(ROWS($U$2:U791),$U$2:$U$1001,0),MATCH(COLUMNS($AB$1006:AO1006),$AB$1006:$AQ$1006,0)), HYPERLINK("#",""), HYPERLINK(CONCATENATE("#Metadata!", ADDRESS(INDEX($W$2:$W$1001,MATCH(ROWS($U$2:U791),$U$2:$U$1001,0),0), INDEX($AB$1004:$AQ$1004,1,MATCH(COLUMNS($AB$1006:AO1006),$AB$1006:$AQ$1006,0)))),"Fix")))</f>
        <v>0</v>
      </c>
      <c r="P791" s="5">
        <f>IF(OR(INDEX($V$2:$V$1001,MATCH(ROWS($U$2:U791),$U$2:$U$1001,0),1)&gt;=100000,INDEX($AB$1005:$AQ$1005,1,MATCH(COLUMNS($AB$1006:AP1006),$AB$1006:$AQ$1006,0))&gt;=100000), " ",IF(INDEX($AB$2:$AQ$1001,MATCH(ROWS($U$2:U791),$U$2:$U$1001,0),MATCH(COLUMNS($AB$1006:AP1006),$AB$1006:$AQ$1006,0)), HYPERLINK("#",""), HYPERLINK(CONCATENATE("#Metadata!", ADDRESS(INDEX($W$2:$W$1001,MATCH(ROWS($U$2:U791),$U$2:$U$1001,0),0), INDEX($AB$1004:$AQ$1004,1,MATCH(COLUMNS($AB$1006:AP1006),$AB$1006:$AQ$1006,0)))),"Fix")))</f>
        <v>0</v>
      </c>
      <c r="Q791" s="5">
        <f>IF(OR(INDEX($V$2:$V$1001,MATCH(ROWS($U$2:U791),$U$2:$U$1001,0),1)&gt;=100000,INDEX($AB$1005:$AQ$1005,1,MATCH(COLUMNS($AB$1006:AQ1006),$AB$1006:$AQ$1006,0))&gt;=100000), " ",IF(INDEX($AB$2:$AQ$1001,MATCH(ROWS($U$2:U791),$U$2:$U$1001,0),MATCH(COLUMNS($AB$1006:AQ1006),$AB$1006:$AQ$1006,0)), HYPERLINK("#",""), HYPERLINK(CONCATENATE("#Metadata!", ADDRESS(INDEX($W$2:$W$1001,MATCH(ROWS($U$2:U791),$U$2:$U$1001,0),0), INDEX($AB$1004:$AQ$1004,1,MATCH(COLUMNS($AB$1006:AQ1006),$AB$1006:$AQ$1006,0)))),"Fix")))</f>
        <v>0</v>
      </c>
      <c r="U791">
        <v>0</v>
      </c>
      <c r="V791">
        <v>0</v>
      </c>
      <c r="W791">
        <v>0</v>
      </c>
      <c r="X791">
        <f>IF(Y791,TRUE,AND(AB791:AQ791))</f>
        <v>0</v>
      </c>
      <c r="Y791">
        <f>COUNTBLANK(Metadata!B791:Q791)=COLUMNS(Metadata!B791:Q791)</f>
        <v>0</v>
      </c>
      <c r="Z791">
        <v>0</v>
      </c>
      <c r="AB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AC791">
        <f>AND(IF(Metadata!C791="",FALSE,TRUE),exact(Metadata!C791,"urban biome"))</f>
        <v>0</v>
      </c>
      <c r="AD791">
        <f>AND(IF(Metadata!D791="",FALSE,TRUE),exact(Metadata!D791,"human-associated habitat"))</f>
        <v>0</v>
      </c>
      <c r="AE791">
        <f>AND(IF(Metadata!E791="",FALSE,TRUE),OR(exact(Metadata!E791,"human-associated"),exact(Metadata!E791,"human-skin"),exact(Metadata!E791,"human-oral"),exact(Metadata!E791,"human-gut"),exact(Metadata!E791,"human-vaginal")))</f>
        <v>0</v>
      </c>
      <c r="AF791">
        <f>AND(IF(Metadata!F791="",FALSE,ISNUMBER(VALUE(Metadata!F791))),Metadata!F791&gt;0)</f>
        <v>0</v>
      </c>
      <c r="AG791">
        <f>AND(IF(Metadata!G791="",FALSE,TRUE),exact(Metadata!G791,"years"))</f>
        <v>0</v>
      </c>
      <c r="AH791">
        <f>OR(AND(IF(Metadata!H791="",FALSE,TRUE),OR(exact(Metadata!H791,"not applicable"),exact(Metadata!H791,"not collected"),exact(Metadata!H791,"not provided"),exact(Metadata!H791,"restricted access"))),AND(IF(Metadata!H791="",FALSE,ISNUMBER(VALUE(Metadata!H791))),Metadata!H791&gt;0))</f>
        <v>0</v>
      </c>
      <c r="AI791">
        <f>AND(IF(Metadata!I791="",FALSE,TRUE),exact(Metadata!I791,"human"))</f>
        <v>0</v>
      </c>
      <c r="AJ791">
        <f>AND(IF(Metadata!J791="",FALSE,ISNUMBER(VALUE(Metadata!J791))),Metadata!J791&gt;0)</f>
        <v>0</v>
      </c>
      <c r="AK791">
        <f>AND(IF(Metadata!K791="",FALSE,TRUE),exact(Metadata!K791,"cm"))</f>
        <v>0</v>
      </c>
      <c r="AL791">
        <f>AND(IF(Metadata!L791="",FALSE,TRUE),exact(Metadata!L791,"Homo sapiens"))</f>
        <v>0</v>
      </c>
      <c r="AM791">
        <f>AND(IF(Metadata!M791="",FALSE,TRUE),exact(Metadata!M791,"9606"))</f>
        <v>0</v>
      </c>
      <c r="AN791">
        <f>AND(IF(Metadata!N791="",FALSE,ISNUMBER(VALUE(Metadata!N791))),Metadata!N791&gt;0)</f>
        <v>0</v>
      </c>
      <c r="AO791">
        <f>AND(IF(Metadata!O791="",FALSE,TRUE),exact(Metadata!O791,"kg"))</f>
        <v>0</v>
      </c>
      <c r="AP791">
        <f>OR(AND(IF(Metadata!P791="",FALSE,TRUE),exact(Metadata!P791,"not provided")),IF(Metadata!P791="",FALSE,TRUE))</f>
        <v>0</v>
      </c>
      <c r="AQ791">
        <f>OR(AND(IF(Metadata!Q791="",FALSE,TRUE),exact(Metadata!Q791,"not provided")),IF(Metadata!Q791="",FALSE,TRUE))</f>
        <v>0</v>
      </c>
    </row>
    <row r="792" spans="1:43">
      <c r="A792" s="4">
        <f>IF(B792=" "," ",HYPERLINK(CONCATENATE("#metadata!",ADDRESS(INDEX($W$2:$W$1001,MATCH(ROWS($U$2:U792),$U$2:$U$1001,0),0),2)),INDEX($Z$2:$Z$1001,MATCH(ROWS($U$2:U792),$U$2:$U$1001,0),0)))</f>
        <v>0</v>
      </c>
      <c r="B792" s="5">
        <f>IF(OR(INDEX($V$2:$V$1001,MATCH(ROWS($U$2:U792),$U$2:$U$1001,0),1)&gt;=100000,INDEX($AB$1005:$AQ$1005,1,MATCH(COLUMNS($AB$1006:AB1006),$AB$1006:$AQ$1006,0))&gt;=100000), " ",IF(INDEX($AB$2:$AQ$1001,MATCH(ROWS($U$2:U792),$U$2:$U$1001,0),MATCH(COLUMNS($AB$1006:AB1006),$AB$1006:$AQ$1006,0)), HYPERLINK("#",""), HYPERLINK(CONCATENATE("#Metadata!", ADDRESS(INDEX($W$2:$W$1001,MATCH(ROWS($U$2:U792),$U$2:$U$1001,0),0), INDEX($AB$1004:$AQ$1004,1,MATCH(COLUMNS($AB$1006:AB1006),$AB$1006:$AQ$1006,0)))),"Fix")))</f>
        <v>0</v>
      </c>
      <c r="C792" s="5">
        <f>IF(OR(INDEX($V$2:$V$1001,MATCH(ROWS($U$2:U792),$U$2:$U$1001,0),1)&gt;=100000,INDEX($AB$1005:$AQ$1005,1,MATCH(COLUMNS($AB$1006:AC1006),$AB$1006:$AQ$1006,0))&gt;=100000), " ",IF(INDEX($AB$2:$AQ$1001,MATCH(ROWS($U$2:U792),$U$2:$U$1001,0),MATCH(COLUMNS($AB$1006:AC1006),$AB$1006:$AQ$1006,0)), HYPERLINK("#",""), HYPERLINK(CONCATENATE("#Metadata!", ADDRESS(INDEX($W$2:$W$1001,MATCH(ROWS($U$2:U792),$U$2:$U$1001,0),0), INDEX($AB$1004:$AQ$1004,1,MATCH(COLUMNS($AB$1006:AC1006),$AB$1006:$AQ$1006,0)))),"Fix")))</f>
        <v>0</v>
      </c>
      <c r="D792" s="5">
        <f>IF(OR(INDEX($V$2:$V$1001,MATCH(ROWS($U$2:U792),$U$2:$U$1001,0),1)&gt;=100000,INDEX($AB$1005:$AQ$1005,1,MATCH(COLUMNS($AB$1006:AD1006),$AB$1006:$AQ$1006,0))&gt;=100000), " ",IF(INDEX($AB$2:$AQ$1001,MATCH(ROWS($U$2:U792),$U$2:$U$1001,0),MATCH(COLUMNS($AB$1006:AD1006),$AB$1006:$AQ$1006,0)), HYPERLINK("#",""), HYPERLINK(CONCATENATE("#Metadata!", ADDRESS(INDEX($W$2:$W$1001,MATCH(ROWS($U$2:U792),$U$2:$U$1001,0),0), INDEX($AB$1004:$AQ$1004,1,MATCH(COLUMNS($AB$1006:AD1006),$AB$1006:$AQ$1006,0)))),"Fix")))</f>
        <v>0</v>
      </c>
      <c r="E792" s="5">
        <f>IF(OR(INDEX($V$2:$V$1001,MATCH(ROWS($U$2:U792),$U$2:$U$1001,0),1)&gt;=100000,INDEX($AB$1005:$AQ$1005,1,MATCH(COLUMNS($AB$1006:AE1006),$AB$1006:$AQ$1006,0))&gt;=100000), " ",IF(INDEX($AB$2:$AQ$1001,MATCH(ROWS($U$2:U792),$U$2:$U$1001,0),MATCH(COLUMNS($AB$1006:AE1006),$AB$1006:$AQ$1006,0)), HYPERLINK("#",""), HYPERLINK(CONCATENATE("#Metadata!", ADDRESS(INDEX($W$2:$W$1001,MATCH(ROWS($U$2:U792),$U$2:$U$1001,0),0), INDEX($AB$1004:$AQ$1004,1,MATCH(COLUMNS($AB$1006:AE1006),$AB$1006:$AQ$1006,0)))),"Fix")))</f>
        <v>0</v>
      </c>
      <c r="F792" s="5">
        <f>IF(OR(INDEX($V$2:$V$1001,MATCH(ROWS($U$2:U792),$U$2:$U$1001,0),1)&gt;=100000,INDEX($AB$1005:$AQ$1005,1,MATCH(COLUMNS($AB$1006:AF1006),$AB$1006:$AQ$1006,0))&gt;=100000), " ",IF(INDEX($AB$2:$AQ$1001,MATCH(ROWS($U$2:U792),$U$2:$U$1001,0),MATCH(COLUMNS($AB$1006:AF1006),$AB$1006:$AQ$1006,0)), HYPERLINK("#",""), HYPERLINK(CONCATENATE("#Metadata!", ADDRESS(INDEX($W$2:$W$1001,MATCH(ROWS($U$2:U792),$U$2:$U$1001,0),0), INDEX($AB$1004:$AQ$1004,1,MATCH(COLUMNS($AB$1006:AF1006),$AB$1006:$AQ$1006,0)))),"Fix")))</f>
        <v>0</v>
      </c>
      <c r="G792" s="5">
        <f>IF(OR(INDEX($V$2:$V$1001,MATCH(ROWS($U$2:U792),$U$2:$U$1001,0),1)&gt;=100000,INDEX($AB$1005:$AQ$1005,1,MATCH(COLUMNS($AB$1006:AG1006),$AB$1006:$AQ$1006,0))&gt;=100000), " ",IF(INDEX($AB$2:$AQ$1001,MATCH(ROWS($U$2:U792),$U$2:$U$1001,0),MATCH(COLUMNS($AB$1006:AG1006),$AB$1006:$AQ$1006,0)), HYPERLINK("#",""), HYPERLINK(CONCATENATE("#Metadata!", ADDRESS(INDEX($W$2:$W$1001,MATCH(ROWS($U$2:U792),$U$2:$U$1001,0),0), INDEX($AB$1004:$AQ$1004,1,MATCH(COLUMNS($AB$1006:AG1006),$AB$1006:$AQ$1006,0)))),"Fix")))</f>
        <v>0</v>
      </c>
      <c r="H792" s="5">
        <f>IF(OR(INDEX($V$2:$V$1001,MATCH(ROWS($U$2:U792),$U$2:$U$1001,0),1)&gt;=100000,INDEX($AB$1005:$AQ$1005,1,MATCH(COLUMNS($AB$1006:AH1006),$AB$1006:$AQ$1006,0))&gt;=100000), " ",IF(INDEX($AB$2:$AQ$1001,MATCH(ROWS($U$2:U792),$U$2:$U$1001,0),MATCH(COLUMNS($AB$1006:AH1006),$AB$1006:$AQ$1006,0)), HYPERLINK("#",""), HYPERLINK(CONCATENATE("#Metadata!", ADDRESS(INDEX($W$2:$W$1001,MATCH(ROWS($U$2:U792),$U$2:$U$1001,0),0), INDEX($AB$1004:$AQ$1004,1,MATCH(COLUMNS($AB$1006:AH1006),$AB$1006:$AQ$1006,0)))),"Fix")))</f>
        <v>0</v>
      </c>
      <c r="I792" s="5">
        <f>IF(OR(INDEX($V$2:$V$1001,MATCH(ROWS($U$2:U792),$U$2:$U$1001,0),1)&gt;=100000,INDEX($AB$1005:$AQ$1005,1,MATCH(COLUMNS($AB$1006:AI1006),$AB$1006:$AQ$1006,0))&gt;=100000), " ",IF(INDEX($AB$2:$AQ$1001,MATCH(ROWS($U$2:U792),$U$2:$U$1001,0),MATCH(COLUMNS($AB$1006:AI1006),$AB$1006:$AQ$1006,0)), HYPERLINK("#",""), HYPERLINK(CONCATENATE("#Metadata!", ADDRESS(INDEX($W$2:$W$1001,MATCH(ROWS($U$2:U792),$U$2:$U$1001,0),0), INDEX($AB$1004:$AQ$1004,1,MATCH(COLUMNS($AB$1006:AI1006),$AB$1006:$AQ$1006,0)))),"Fix")))</f>
        <v>0</v>
      </c>
      <c r="J792" s="5">
        <f>IF(OR(INDEX($V$2:$V$1001,MATCH(ROWS($U$2:U792),$U$2:$U$1001,0),1)&gt;=100000,INDEX($AB$1005:$AQ$1005,1,MATCH(COLUMNS($AB$1006:AJ1006),$AB$1006:$AQ$1006,0))&gt;=100000), " ",IF(INDEX($AB$2:$AQ$1001,MATCH(ROWS($U$2:U792),$U$2:$U$1001,0),MATCH(COLUMNS($AB$1006:AJ1006),$AB$1006:$AQ$1006,0)), HYPERLINK("#",""), HYPERLINK(CONCATENATE("#Metadata!", ADDRESS(INDEX($W$2:$W$1001,MATCH(ROWS($U$2:U792),$U$2:$U$1001,0),0), INDEX($AB$1004:$AQ$1004,1,MATCH(COLUMNS($AB$1006:AJ1006),$AB$1006:$AQ$1006,0)))),"Fix")))</f>
        <v>0</v>
      </c>
      <c r="K792" s="5">
        <f>IF(OR(INDEX($V$2:$V$1001,MATCH(ROWS($U$2:U792),$U$2:$U$1001,0),1)&gt;=100000,INDEX($AB$1005:$AQ$1005,1,MATCH(COLUMNS($AB$1006:AK1006),$AB$1006:$AQ$1006,0))&gt;=100000), " ",IF(INDEX($AB$2:$AQ$1001,MATCH(ROWS($U$2:U792),$U$2:$U$1001,0),MATCH(COLUMNS($AB$1006:AK1006),$AB$1006:$AQ$1006,0)), HYPERLINK("#",""), HYPERLINK(CONCATENATE("#Metadata!", ADDRESS(INDEX($W$2:$W$1001,MATCH(ROWS($U$2:U792),$U$2:$U$1001,0),0), INDEX($AB$1004:$AQ$1004,1,MATCH(COLUMNS($AB$1006:AK1006),$AB$1006:$AQ$1006,0)))),"Fix")))</f>
        <v>0</v>
      </c>
      <c r="L792" s="5">
        <f>IF(OR(INDEX($V$2:$V$1001,MATCH(ROWS($U$2:U792),$U$2:$U$1001,0),1)&gt;=100000,INDEX($AB$1005:$AQ$1005,1,MATCH(COLUMNS($AB$1006:AL1006),$AB$1006:$AQ$1006,0))&gt;=100000), " ",IF(INDEX($AB$2:$AQ$1001,MATCH(ROWS($U$2:U792),$U$2:$U$1001,0),MATCH(COLUMNS($AB$1006:AL1006),$AB$1006:$AQ$1006,0)), HYPERLINK("#",""), HYPERLINK(CONCATENATE("#Metadata!", ADDRESS(INDEX($W$2:$W$1001,MATCH(ROWS($U$2:U792),$U$2:$U$1001,0),0), INDEX($AB$1004:$AQ$1004,1,MATCH(COLUMNS($AB$1006:AL1006),$AB$1006:$AQ$1006,0)))),"Fix")))</f>
        <v>0</v>
      </c>
      <c r="M792" s="5">
        <f>IF(OR(INDEX($V$2:$V$1001,MATCH(ROWS($U$2:U792),$U$2:$U$1001,0),1)&gt;=100000,INDEX($AB$1005:$AQ$1005,1,MATCH(COLUMNS($AB$1006:AM1006),$AB$1006:$AQ$1006,0))&gt;=100000), " ",IF(INDEX($AB$2:$AQ$1001,MATCH(ROWS($U$2:U792),$U$2:$U$1001,0),MATCH(COLUMNS($AB$1006:AM1006),$AB$1006:$AQ$1006,0)), HYPERLINK("#",""), HYPERLINK(CONCATENATE("#Metadata!", ADDRESS(INDEX($W$2:$W$1001,MATCH(ROWS($U$2:U792),$U$2:$U$1001,0),0), INDEX($AB$1004:$AQ$1004,1,MATCH(COLUMNS($AB$1006:AM1006),$AB$1006:$AQ$1006,0)))),"Fix")))</f>
        <v>0</v>
      </c>
      <c r="N792" s="5">
        <f>IF(OR(INDEX($V$2:$V$1001,MATCH(ROWS($U$2:U792),$U$2:$U$1001,0),1)&gt;=100000,INDEX($AB$1005:$AQ$1005,1,MATCH(COLUMNS($AB$1006:AN1006),$AB$1006:$AQ$1006,0))&gt;=100000), " ",IF(INDEX($AB$2:$AQ$1001,MATCH(ROWS($U$2:U792),$U$2:$U$1001,0),MATCH(COLUMNS($AB$1006:AN1006),$AB$1006:$AQ$1006,0)), HYPERLINK("#",""), HYPERLINK(CONCATENATE("#Metadata!", ADDRESS(INDEX($W$2:$W$1001,MATCH(ROWS($U$2:U792),$U$2:$U$1001,0),0), INDEX($AB$1004:$AQ$1004,1,MATCH(COLUMNS($AB$1006:AN1006),$AB$1006:$AQ$1006,0)))),"Fix")))</f>
        <v>0</v>
      </c>
      <c r="O792" s="5">
        <f>IF(OR(INDEX($V$2:$V$1001,MATCH(ROWS($U$2:U792),$U$2:$U$1001,0),1)&gt;=100000,INDEX($AB$1005:$AQ$1005,1,MATCH(COLUMNS($AB$1006:AO1006),$AB$1006:$AQ$1006,0))&gt;=100000), " ",IF(INDEX($AB$2:$AQ$1001,MATCH(ROWS($U$2:U792),$U$2:$U$1001,0),MATCH(COLUMNS($AB$1006:AO1006),$AB$1006:$AQ$1006,0)), HYPERLINK("#",""), HYPERLINK(CONCATENATE("#Metadata!", ADDRESS(INDEX($W$2:$W$1001,MATCH(ROWS($U$2:U792),$U$2:$U$1001,0),0), INDEX($AB$1004:$AQ$1004,1,MATCH(COLUMNS($AB$1006:AO1006),$AB$1006:$AQ$1006,0)))),"Fix")))</f>
        <v>0</v>
      </c>
      <c r="P792" s="5">
        <f>IF(OR(INDEX($V$2:$V$1001,MATCH(ROWS($U$2:U792),$U$2:$U$1001,0),1)&gt;=100000,INDEX($AB$1005:$AQ$1005,1,MATCH(COLUMNS($AB$1006:AP1006),$AB$1006:$AQ$1006,0))&gt;=100000), " ",IF(INDEX($AB$2:$AQ$1001,MATCH(ROWS($U$2:U792),$U$2:$U$1001,0),MATCH(COLUMNS($AB$1006:AP1006),$AB$1006:$AQ$1006,0)), HYPERLINK("#",""), HYPERLINK(CONCATENATE("#Metadata!", ADDRESS(INDEX($W$2:$W$1001,MATCH(ROWS($U$2:U792),$U$2:$U$1001,0),0), INDEX($AB$1004:$AQ$1004,1,MATCH(COLUMNS($AB$1006:AP1006),$AB$1006:$AQ$1006,0)))),"Fix")))</f>
        <v>0</v>
      </c>
      <c r="Q792" s="5">
        <f>IF(OR(INDEX($V$2:$V$1001,MATCH(ROWS($U$2:U792),$U$2:$U$1001,0),1)&gt;=100000,INDEX($AB$1005:$AQ$1005,1,MATCH(COLUMNS($AB$1006:AQ1006),$AB$1006:$AQ$1006,0))&gt;=100000), " ",IF(INDEX($AB$2:$AQ$1001,MATCH(ROWS($U$2:U792),$U$2:$U$1001,0),MATCH(COLUMNS($AB$1006:AQ1006),$AB$1006:$AQ$1006,0)), HYPERLINK("#",""), HYPERLINK(CONCATENATE("#Metadata!", ADDRESS(INDEX($W$2:$W$1001,MATCH(ROWS($U$2:U792),$U$2:$U$1001,0),0), INDEX($AB$1004:$AQ$1004,1,MATCH(COLUMNS($AB$1006:AQ1006),$AB$1006:$AQ$1006,0)))),"Fix")))</f>
        <v>0</v>
      </c>
      <c r="U792">
        <v>0</v>
      </c>
      <c r="V792">
        <v>0</v>
      </c>
      <c r="W792">
        <v>0</v>
      </c>
      <c r="X792">
        <f>IF(Y792,TRUE,AND(AB792:AQ792))</f>
        <v>0</v>
      </c>
      <c r="Y792">
        <f>COUNTBLANK(Metadata!B792:Q792)=COLUMNS(Metadata!B792:Q792)</f>
        <v>0</v>
      </c>
      <c r="Z792">
        <v>0</v>
      </c>
      <c r="AB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AC792">
        <f>AND(IF(Metadata!C792="",FALSE,TRUE),exact(Metadata!C792,"urban biome"))</f>
        <v>0</v>
      </c>
      <c r="AD792">
        <f>AND(IF(Metadata!D792="",FALSE,TRUE),exact(Metadata!D792,"human-associated habitat"))</f>
        <v>0</v>
      </c>
      <c r="AE792">
        <f>AND(IF(Metadata!E792="",FALSE,TRUE),OR(exact(Metadata!E792,"human-associated"),exact(Metadata!E792,"human-skin"),exact(Metadata!E792,"human-oral"),exact(Metadata!E792,"human-gut"),exact(Metadata!E792,"human-vaginal")))</f>
        <v>0</v>
      </c>
      <c r="AF792">
        <f>AND(IF(Metadata!F792="",FALSE,ISNUMBER(VALUE(Metadata!F792))),Metadata!F792&gt;0)</f>
        <v>0</v>
      </c>
      <c r="AG792">
        <f>AND(IF(Metadata!G792="",FALSE,TRUE),exact(Metadata!G792,"years"))</f>
        <v>0</v>
      </c>
      <c r="AH792">
        <f>OR(AND(IF(Metadata!H792="",FALSE,TRUE),OR(exact(Metadata!H792,"not applicable"),exact(Metadata!H792,"not collected"),exact(Metadata!H792,"not provided"),exact(Metadata!H792,"restricted access"))),AND(IF(Metadata!H792="",FALSE,ISNUMBER(VALUE(Metadata!H792))),Metadata!H792&gt;0))</f>
        <v>0</v>
      </c>
      <c r="AI792">
        <f>AND(IF(Metadata!I792="",FALSE,TRUE),exact(Metadata!I792,"human"))</f>
        <v>0</v>
      </c>
      <c r="AJ792">
        <f>AND(IF(Metadata!J792="",FALSE,ISNUMBER(VALUE(Metadata!J792))),Metadata!J792&gt;0)</f>
        <v>0</v>
      </c>
      <c r="AK792">
        <f>AND(IF(Metadata!K792="",FALSE,TRUE),exact(Metadata!K792,"cm"))</f>
        <v>0</v>
      </c>
      <c r="AL792">
        <f>AND(IF(Metadata!L792="",FALSE,TRUE),exact(Metadata!L792,"Homo sapiens"))</f>
        <v>0</v>
      </c>
      <c r="AM792">
        <f>AND(IF(Metadata!M792="",FALSE,TRUE),exact(Metadata!M792,"9606"))</f>
        <v>0</v>
      </c>
      <c r="AN792">
        <f>AND(IF(Metadata!N792="",FALSE,ISNUMBER(VALUE(Metadata!N792))),Metadata!N792&gt;0)</f>
        <v>0</v>
      </c>
      <c r="AO792">
        <f>AND(IF(Metadata!O792="",FALSE,TRUE),exact(Metadata!O792,"kg"))</f>
        <v>0</v>
      </c>
      <c r="AP792">
        <f>OR(AND(IF(Metadata!P792="",FALSE,TRUE),exact(Metadata!P792,"not provided")),IF(Metadata!P792="",FALSE,TRUE))</f>
        <v>0</v>
      </c>
      <c r="AQ792">
        <f>OR(AND(IF(Metadata!Q792="",FALSE,TRUE),exact(Metadata!Q792,"not provided")),IF(Metadata!Q792="",FALSE,TRUE))</f>
        <v>0</v>
      </c>
    </row>
    <row r="793" spans="1:43">
      <c r="A793" s="4">
        <f>IF(B793=" "," ",HYPERLINK(CONCATENATE("#metadata!",ADDRESS(INDEX($W$2:$W$1001,MATCH(ROWS($U$2:U793),$U$2:$U$1001,0),0),2)),INDEX($Z$2:$Z$1001,MATCH(ROWS($U$2:U793),$U$2:$U$1001,0),0)))</f>
        <v>0</v>
      </c>
      <c r="B793" s="5">
        <f>IF(OR(INDEX($V$2:$V$1001,MATCH(ROWS($U$2:U793),$U$2:$U$1001,0),1)&gt;=100000,INDEX($AB$1005:$AQ$1005,1,MATCH(COLUMNS($AB$1006:AB1006),$AB$1006:$AQ$1006,0))&gt;=100000), " ",IF(INDEX($AB$2:$AQ$1001,MATCH(ROWS($U$2:U793),$U$2:$U$1001,0),MATCH(COLUMNS($AB$1006:AB1006),$AB$1006:$AQ$1006,0)), HYPERLINK("#",""), HYPERLINK(CONCATENATE("#Metadata!", ADDRESS(INDEX($W$2:$W$1001,MATCH(ROWS($U$2:U793),$U$2:$U$1001,0),0), INDEX($AB$1004:$AQ$1004,1,MATCH(COLUMNS($AB$1006:AB1006),$AB$1006:$AQ$1006,0)))),"Fix")))</f>
        <v>0</v>
      </c>
      <c r="C793" s="5">
        <f>IF(OR(INDEX($V$2:$V$1001,MATCH(ROWS($U$2:U793),$U$2:$U$1001,0),1)&gt;=100000,INDEX($AB$1005:$AQ$1005,1,MATCH(COLUMNS($AB$1006:AC1006),$AB$1006:$AQ$1006,0))&gt;=100000), " ",IF(INDEX($AB$2:$AQ$1001,MATCH(ROWS($U$2:U793),$U$2:$U$1001,0),MATCH(COLUMNS($AB$1006:AC1006),$AB$1006:$AQ$1006,0)), HYPERLINK("#",""), HYPERLINK(CONCATENATE("#Metadata!", ADDRESS(INDEX($W$2:$W$1001,MATCH(ROWS($U$2:U793),$U$2:$U$1001,0),0), INDEX($AB$1004:$AQ$1004,1,MATCH(COLUMNS($AB$1006:AC1006),$AB$1006:$AQ$1006,0)))),"Fix")))</f>
        <v>0</v>
      </c>
      <c r="D793" s="5">
        <f>IF(OR(INDEX($V$2:$V$1001,MATCH(ROWS($U$2:U793),$U$2:$U$1001,0),1)&gt;=100000,INDEX($AB$1005:$AQ$1005,1,MATCH(COLUMNS($AB$1006:AD1006),$AB$1006:$AQ$1006,0))&gt;=100000), " ",IF(INDEX($AB$2:$AQ$1001,MATCH(ROWS($U$2:U793),$U$2:$U$1001,0),MATCH(COLUMNS($AB$1006:AD1006),$AB$1006:$AQ$1006,0)), HYPERLINK("#",""), HYPERLINK(CONCATENATE("#Metadata!", ADDRESS(INDEX($W$2:$W$1001,MATCH(ROWS($U$2:U793),$U$2:$U$1001,0),0), INDEX($AB$1004:$AQ$1004,1,MATCH(COLUMNS($AB$1006:AD1006),$AB$1006:$AQ$1006,0)))),"Fix")))</f>
        <v>0</v>
      </c>
      <c r="E793" s="5">
        <f>IF(OR(INDEX($V$2:$V$1001,MATCH(ROWS($U$2:U793),$U$2:$U$1001,0),1)&gt;=100000,INDEX($AB$1005:$AQ$1005,1,MATCH(COLUMNS($AB$1006:AE1006),$AB$1006:$AQ$1006,0))&gt;=100000), " ",IF(INDEX($AB$2:$AQ$1001,MATCH(ROWS($U$2:U793),$U$2:$U$1001,0),MATCH(COLUMNS($AB$1006:AE1006),$AB$1006:$AQ$1006,0)), HYPERLINK("#",""), HYPERLINK(CONCATENATE("#Metadata!", ADDRESS(INDEX($W$2:$W$1001,MATCH(ROWS($U$2:U793),$U$2:$U$1001,0),0), INDEX($AB$1004:$AQ$1004,1,MATCH(COLUMNS($AB$1006:AE1006),$AB$1006:$AQ$1006,0)))),"Fix")))</f>
        <v>0</v>
      </c>
      <c r="F793" s="5">
        <f>IF(OR(INDEX($V$2:$V$1001,MATCH(ROWS($U$2:U793),$U$2:$U$1001,0),1)&gt;=100000,INDEX($AB$1005:$AQ$1005,1,MATCH(COLUMNS($AB$1006:AF1006),$AB$1006:$AQ$1006,0))&gt;=100000), " ",IF(INDEX($AB$2:$AQ$1001,MATCH(ROWS($U$2:U793),$U$2:$U$1001,0),MATCH(COLUMNS($AB$1006:AF1006),$AB$1006:$AQ$1006,0)), HYPERLINK("#",""), HYPERLINK(CONCATENATE("#Metadata!", ADDRESS(INDEX($W$2:$W$1001,MATCH(ROWS($U$2:U793),$U$2:$U$1001,0),0), INDEX($AB$1004:$AQ$1004,1,MATCH(COLUMNS($AB$1006:AF1006),$AB$1006:$AQ$1006,0)))),"Fix")))</f>
        <v>0</v>
      </c>
      <c r="G793" s="5">
        <f>IF(OR(INDEX($V$2:$V$1001,MATCH(ROWS($U$2:U793),$U$2:$U$1001,0),1)&gt;=100000,INDEX($AB$1005:$AQ$1005,1,MATCH(COLUMNS($AB$1006:AG1006),$AB$1006:$AQ$1006,0))&gt;=100000), " ",IF(INDEX($AB$2:$AQ$1001,MATCH(ROWS($U$2:U793),$U$2:$U$1001,0),MATCH(COLUMNS($AB$1006:AG1006),$AB$1006:$AQ$1006,0)), HYPERLINK("#",""), HYPERLINK(CONCATENATE("#Metadata!", ADDRESS(INDEX($W$2:$W$1001,MATCH(ROWS($U$2:U793),$U$2:$U$1001,0),0), INDEX($AB$1004:$AQ$1004,1,MATCH(COLUMNS($AB$1006:AG1006),$AB$1006:$AQ$1006,0)))),"Fix")))</f>
        <v>0</v>
      </c>
      <c r="H793" s="5">
        <f>IF(OR(INDEX($V$2:$V$1001,MATCH(ROWS($U$2:U793),$U$2:$U$1001,0),1)&gt;=100000,INDEX($AB$1005:$AQ$1005,1,MATCH(COLUMNS($AB$1006:AH1006),$AB$1006:$AQ$1006,0))&gt;=100000), " ",IF(INDEX($AB$2:$AQ$1001,MATCH(ROWS($U$2:U793),$U$2:$U$1001,0),MATCH(COLUMNS($AB$1006:AH1006),$AB$1006:$AQ$1006,0)), HYPERLINK("#",""), HYPERLINK(CONCATENATE("#Metadata!", ADDRESS(INDEX($W$2:$W$1001,MATCH(ROWS($U$2:U793),$U$2:$U$1001,0),0), INDEX($AB$1004:$AQ$1004,1,MATCH(COLUMNS($AB$1006:AH1006),$AB$1006:$AQ$1006,0)))),"Fix")))</f>
        <v>0</v>
      </c>
      <c r="I793" s="5">
        <f>IF(OR(INDEX($V$2:$V$1001,MATCH(ROWS($U$2:U793),$U$2:$U$1001,0),1)&gt;=100000,INDEX($AB$1005:$AQ$1005,1,MATCH(COLUMNS($AB$1006:AI1006),$AB$1006:$AQ$1006,0))&gt;=100000), " ",IF(INDEX($AB$2:$AQ$1001,MATCH(ROWS($U$2:U793),$U$2:$U$1001,0),MATCH(COLUMNS($AB$1006:AI1006),$AB$1006:$AQ$1006,0)), HYPERLINK("#",""), HYPERLINK(CONCATENATE("#Metadata!", ADDRESS(INDEX($W$2:$W$1001,MATCH(ROWS($U$2:U793),$U$2:$U$1001,0),0), INDEX($AB$1004:$AQ$1004,1,MATCH(COLUMNS($AB$1006:AI1006),$AB$1006:$AQ$1006,0)))),"Fix")))</f>
        <v>0</v>
      </c>
      <c r="J793" s="5">
        <f>IF(OR(INDEX($V$2:$V$1001,MATCH(ROWS($U$2:U793),$U$2:$U$1001,0),1)&gt;=100000,INDEX($AB$1005:$AQ$1005,1,MATCH(COLUMNS($AB$1006:AJ1006),$AB$1006:$AQ$1006,0))&gt;=100000), " ",IF(INDEX($AB$2:$AQ$1001,MATCH(ROWS($U$2:U793),$U$2:$U$1001,0),MATCH(COLUMNS($AB$1006:AJ1006),$AB$1006:$AQ$1006,0)), HYPERLINK("#",""), HYPERLINK(CONCATENATE("#Metadata!", ADDRESS(INDEX($W$2:$W$1001,MATCH(ROWS($U$2:U793),$U$2:$U$1001,0),0), INDEX($AB$1004:$AQ$1004,1,MATCH(COLUMNS($AB$1006:AJ1006),$AB$1006:$AQ$1006,0)))),"Fix")))</f>
        <v>0</v>
      </c>
      <c r="K793" s="5">
        <f>IF(OR(INDEX($V$2:$V$1001,MATCH(ROWS($U$2:U793),$U$2:$U$1001,0),1)&gt;=100000,INDEX($AB$1005:$AQ$1005,1,MATCH(COLUMNS($AB$1006:AK1006),$AB$1006:$AQ$1006,0))&gt;=100000), " ",IF(INDEX($AB$2:$AQ$1001,MATCH(ROWS($U$2:U793),$U$2:$U$1001,0),MATCH(COLUMNS($AB$1006:AK1006),$AB$1006:$AQ$1006,0)), HYPERLINK("#",""), HYPERLINK(CONCATENATE("#Metadata!", ADDRESS(INDEX($W$2:$W$1001,MATCH(ROWS($U$2:U793),$U$2:$U$1001,0),0), INDEX($AB$1004:$AQ$1004,1,MATCH(COLUMNS($AB$1006:AK1006),$AB$1006:$AQ$1006,0)))),"Fix")))</f>
        <v>0</v>
      </c>
      <c r="L793" s="5">
        <f>IF(OR(INDEX($V$2:$V$1001,MATCH(ROWS($U$2:U793),$U$2:$U$1001,0),1)&gt;=100000,INDEX($AB$1005:$AQ$1005,1,MATCH(COLUMNS($AB$1006:AL1006),$AB$1006:$AQ$1006,0))&gt;=100000), " ",IF(INDEX($AB$2:$AQ$1001,MATCH(ROWS($U$2:U793),$U$2:$U$1001,0),MATCH(COLUMNS($AB$1006:AL1006),$AB$1006:$AQ$1006,0)), HYPERLINK("#",""), HYPERLINK(CONCATENATE("#Metadata!", ADDRESS(INDEX($W$2:$W$1001,MATCH(ROWS($U$2:U793),$U$2:$U$1001,0),0), INDEX($AB$1004:$AQ$1004,1,MATCH(COLUMNS($AB$1006:AL1006),$AB$1006:$AQ$1006,0)))),"Fix")))</f>
        <v>0</v>
      </c>
      <c r="M793" s="5">
        <f>IF(OR(INDEX($V$2:$V$1001,MATCH(ROWS($U$2:U793),$U$2:$U$1001,0),1)&gt;=100000,INDEX($AB$1005:$AQ$1005,1,MATCH(COLUMNS($AB$1006:AM1006),$AB$1006:$AQ$1006,0))&gt;=100000), " ",IF(INDEX($AB$2:$AQ$1001,MATCH(ROWS($U$2:U793),$U$2:$U$1001,0),MATCH(COLUMNS($AB$1006:AM1006),$AB$1006:$AQ$1006,0)), HYPERLINK("#",""), HYPERLINK(CONCATENATE("#Metadata!", ADDRESS(INDEX($W$2:$W$1001,MATCH(ROWS($U$2:U793),$U$2:$U$1001,0),0), INDEX($AB$1004:$AQ$1004,1,MATCH(COLUMNS($AB$1006:AM1006),$AB$1006:$AQ$1006,0)))),"Fix")))</f>
        <v>0</v>
      </c>
      <c r="N793" s="5">
        <f>IF(OR(INDEX($V$2:$V$1001,MATCH(ROWS($U$2:U793),$U$2:$U$1001,0),1)&gt;=100000,INDEX($AB$1005:$AQ$1005,1,MATCH(COLUMNS($AB$1006:AN1006),$AB$1006:$AQ$1006,0))&gt;=100000), " ",IF(INDEX($AB$2:$AQ$1001,MATCH(ROWS($U$2:U793),$U$2:$U$1001,0),MATCH(COLUMNS($AB$1006:AN1006),$AB$1006:$AQ$1006,0)), HYPERLINK("#",""), HYPERLINK(CONCATENATE("#Metadata!", ADDRESS(INDEX($W$2:$W$1001,MATCH(ROWS($U$2:U793),$U$2:$U$1001,0),0), INDEX($AB$1004:$AQ$1004,1,MATCH(COLUMNS($AB$1006:AN1006),$AB$1006:$AQ$1006,0)))),"Fix")))</f>
        <v>0</v>
      </c>
      <c r="O793" s="5">
        <f>IF(OR(INDEX($V$2:$V$1001,MATCH(ROWS($U$2:U793),$U$2:$U$1001,0),1)&gt;=100000,INDEX($AB$1005:$AQ$1005,1,MATCH(COLUMNS($AB$1006:AO1006),$AB$1006:$AQ$1006,0))&gt;=100000), " ",IF(INDEX($AB$2:$AQ$1001,MATCH(ROWS($U$2:U793),$U$2:$U$1001,0),MATCH(COLUMNS($AB$1006:AO1006),$AB$1006:$AQ$1006,0)), HYPERLINK("#",""), HYPERLINK(CONCATENATE("#Metadata!", ADDRESS(INDEX($W$2:$W$1001,MATCH(ROWS($U$2:U793),$U$2:$U$1001,0),0), INDEX($AB$1004:$AQ$1004,1,MATCH(COLUMNS($AB$1006:AO1006),$AB$1006:$AQ$1006,0)))),"Fix")))</f>
        <v>0</v>
      </c>
      <c r="P793" s="5">
        <f>IF(OR(INDEX($V$2:$V$1001,MATCH(ROWS($U$2:U793),$U$2:$U$1001,0),1)&gt;=100000,INDEX($AB$1005:$AQ$1005,1,MATCH(COLUMNS($AB$1006:AP1006),$AB$1006:$AQ$1006,0))&gt;=100000), " ",IF(INDEX($AB$2:$AQ$1001,MATCH(ROWS($U$2:U793),$U$2:$U$1001,0),MATCH(COLUMNS($AB$1006:AP1006),$AB$1006:$AQ$1006,0)), HYPERLINK("#",""), HYPERLINK(CONCATENATE("#Metadata!", ADDRESS(INDEX($W$2:$W$1001,MATCH(ROWS($U$2:U793),$U$2:$U$1001,0),0), INDEX($AB$1004:$AQ$1004,1,MATCH(COLUMNS($AB$1006:AP1006),$AB$1006:$AQ$1006,0)))),"Fix")))</f>
        <v>0</v>
      </c>
      <c r="Q793" s="5">
        <f>IF(OR(INDEX($V$2:$V$1001,MATCH(ROWS($U$2:U793),$U$2:$U$1001,0),1)&gt;=100000,INDEX($AB$1005:$AQ$1005,1,MATCH(COLUMNS($AB$1006:AQ1006),$AB$1006:$AQ$1006,0))&gt;=100000), " ",IF(INDEX($AB$2:$AQ$1001,MATCH(ROWS($U$2:U793),$U$2:$U$1001,0),MATCH(COLUMNS($AB$1006:AQ1006),$AB$1006:$AQ$1006,0)), HYPERLINK("#",""), HYPERLINK(CONCATENATE("#Metadata!", ADDRESS(INDEX($W$2:$W$1001,MATCH(ROWS($U$2:U793),$U$2:$U$1001,0),0), INDEX($AB$1004:$AQ$1004,1,MATCH(COLUMNS($AB$1006:AQ1006),$AB$1006:$AQ$1006,0)))),"Fix")))</f>
        <v>0</v>
      </c>
      <c r="U793">
        <v>0</v>
      </c>
      <c r="V793">
        <v>0</v>
      </c>
      <c r="W793">
        <v>0</v>
      </c>
      <c r="X793">
        <f>IF(Y793,TRUE,AND(AB793:AQ793))</f>
        <v>0</v>
      </c>
      <c r="Y793">
        <f>COUNTBLANK(Metadata!B793:Q793)=COLUMNS(Metadata!B793:Q793)</f>
        <v>0</v>
      </c>
      <c r="Z793">
        <v>0</v>
      </c>
      <c r="AB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AC793">
        <f>AND(IF(Metadata!C793="",FALSE,TRUE),exact(Metadata!C793,"urban biome"))</f>
        <v>0</v>
      </c>
      <c r="AD793">
        <f>AND(IF(Metadata!D793="",FALSE,TRUE),exact(Metadata!D793,"human-associated habitat"))</f>
        <v>0</v>
      </c>
      <c r="AE793">
        <f>AND(IF(Metadata!E793="",FALSE,TRUE),OR(exact(Metadata!E793,"human-associated"),exact(Metadata!E793,"human-skin"),exact(Metadata!E793,"human-oral"),exact(Metadata!E793,"human-gut"),exact(Metadata!E793,"human-vaginal")))</f>
        <v>0</v>
      </c>
      <c r="AF793">
        <f>AND(IF(Metadata!F793="",FALSE,ISNUMBER(VALUE(Metadata!F793))),Metadata!F793&gt;0)</f>
        <v>0</v>
      </c>
      <c r="AG793">
        <f>AND(IF(Metadata!G793="",FALSE,TRUE),exact(Metadata!G793,"years"))</f>
        <v>0</v>
      </c>
      <c r="AH793">
        <f>OR(AND(IF(Metadata!H793="",FALSE,TRUE),OR(exact(Metadata!H793,"not applicable"),exact(Metadata!H793,"not collected"),exact(Metadata!H793,"not provided"),exact(Metadata!H793,"restricted access"))),AND(IF(Metadata!H793="",FALSE,ISNUMBER(VALUE(Metadata!H793))),Metadata!H793&gt;0))</f>
        <v>0</v>
      </c>
      <c r="AI793">
        <f>AND(IF(Metadata!I793="",FALSE,TRUE),exact(Metadata!I793,"human"))</f>
        <v>0</v>
      </c>
      <c r="AJ793">
        <f>AND(IF(Metadata!J793="",FALSE,ISNUMBER(VALUE(Metadata!J793))),Metadata!J793&gt;0)</f>
        <v>0</v>
      </c>
      <c r="AK793">
        <f>AND(IF(Metadata!K793="",FALSE,TRUE),exact(Metadata!K793,"cm"))</f>
        <v>0</v>
      </c>
      <c r="AL793">
        <f>AND(IF(Metadata!L793="",FALSE,TRUE),exact(Metadata!L793,"Homo sapiens"))</f>
        <v>0</v>
      </c>
      <c r="AM793">
        <f>AND(IF(Metadata!M793="",FALSE,TRUE),exact(Metadata!M793,"9606"))</f>
        <v>0</v>
      </c>
      <c r="AN793">
        <f>AND(IF(Metadata!N793="",FALSE,ISNUMBER(VALUE(Metadata!N793))),Metadata!N793&gt;0)</f>
        <v>0</v>
      </c>
      <c r="AO793">
        <f>AND(IF(Metadata!O793="",FALSE,TRUE),exact(Metadata!O793,"kg"))</f>
        <v>0</v>
      </c>
      <c r="AP793">
        <f>OR(AND(IF(Metadata!P793="",FALSE,TRUE),exact(Metadata!P793,"not provided")),IF(Metadata!P793="",FALSE,TRUE))</f>
        <v>0</v>
      </c>
      <c r="AQ793">
        <f>OR(AND(IF(Metadata!Q793="",FALSE,TRUE),exact(Metadata!Q793,"not provided")),IF(Metadata!Q793="",FALSE,TRUE))</f>
        <v>0</v>
      </c>
    </row>
    <row r="794" spans="1:43">
      <c r="A794" s="4">
        <f>IF(B794=" "," ",HYPERLINK(CONCATENATE("#metadata!",ADDRESS(INDEX($W$2:$W$1001,MATCH(ROWS($U$2:U794),$U$2:$U$1001,0),0),2)),INDEX($Z$2:$Z$1001,MATCH(ROWS($U$2:U794),$U$2:$U$1001,0),0)))</f>
        <v>0</v>
      </c>
      <c r="B794" s="5">
        <f>IF(OR(INDEX($V$2:$V$1001,MATCH(ROWS($U$2:U794),$U$2:$U$1001,0),1)&gt;=100000,INDEX($AB$1005:$AQ$1005,1,MATCH(COLUMNS($AB$1006:AB1006),$AB$1006:$AQ$1006,0))&gt;=100000), " ",IF(INDEX($AB$2:$AQ$1001,MATCH(ROWS($U$2:U794),$U$2:$U$1001,0),MATCH(COLUMNS($AB$1006:AB1006),$AB$1006:$AQ$1006,0)), HYPERLINK("#",""), HYPERLINK(CONCATENATE("#Metadata!", ADDRESS(INDEX($W$2:$W$1001,MATCH(ROWS($U$2:U794),$U$2:$U$1001,0),0), INDEX($AB$1004:$AQ$1004,1,MATCH(COLUMNS($AB$1006:AB1006),$AB$1006:$AQ$1006,0)))),"Fix")))</f>
        <v>0</v>
      </c>
      <c r="C794" s="5">
        <f>IF(OR(INDEX($V$2:$V$1001,MATCH(ROWS($U$2:U794),$U$2:$U$1001,0),1)&gt;=100000,INDEX($AB$1005:$AQ$1005,1,MATCH(COLUMNS($AB$1006:AC1006),$AB$1006:$AQ$1006,0))&gt;=100000), " ",IF(INDEX($AB$2:$AQ$1001,MATCH(ROWS($U$2:U794),$U$2:$U$1001,0),MATCH(COLUMNS($AB$1006:AC1006),$AB$1006:$AQ$1006,0)), HYPERLINK("#",""), HYPERLINK(CONCATENATE("#Metadata!", ADDRESS(INDEX($W$2:$W$1001,MATCH(ROWS($U$2:U794),$U$2:$U$1001,0),0), INDEX($AB$1004:$AQ$1004,1,MATCH(COLUMNS($AB$1006:AC1006),$AB$1006:$AQ$1006,0)))),"Fix")))</f>
        <v>0</v>
      </c>
      <c r="D794" s="5">
        <f>IF(OR(INDEX($V$2:$V$1001,MATCH(ROWS($U$2:U794),$U$2:$U$1001,0),1)&gt;=100000,INDEX($AB$1005:$AQ$1005,1,MATCH(COLUMNS($AB$1006:AD1006),$AB$1006:$AQ$1006,0))&gt;=100000), " ",IF(INDEX($AB$2:$AQ$1001,MATCH(ROWS($U$2:U794),$U$2:$U$1001,0),MATCH(COLUMNS($AB$1006:AD1006),$AB$1006:$AQ$1006,0)), HYPERLINK("#",""), HYPERLINK(CONCATENATE("#Metadata!", ADDRESS(INDEX($W$2:$W$1001,MATCH(ROWS($U$2:U794),$U$2:$U$1001,0),0), INDEX($AB$1004:$AQ$1004,1,MATCH(COLUMNS($AB$1006:AD1006),$AB$1006:$AQ$1006,0)))),"Fix")))</f>
        <v>0</v>
      </c>
      <c r="E794" s="5">
        <f>IF(OR(INDEX($V$2:$V$1001,MATCH(ROWS($U$2:U794),$U$2:$U$1001,0),1)&gt;=100000,INDEX($AB$1005:$AQ$1005,1,MATCH(COLUMNS($AB$1006:AE1006),$AB$1006:$AQ$1006,0))&gt;=100000), " ",IF(INDEX($AB$2:$AQ$1001,MATCH(ROWS($U$2:U794),$U$2:$U$1001,0),MATCH(COLUMNS($AB$1006:AE1006),$AB$1006:$AQ$1006,0)), HYPERLINK("#",""), HYPERLINK(CONCATENATE("#Metadata!", ADDRESS(INDEX($W$2:$W$1001,MATCH(ROWS($U$2:U794),$U$2:$U$1001,0),0), INDEX($AB$1004:$AQ$1004,1,MATCH(COLUMNS($AB$1006:AE1006),$AB$1006:$AQ$1006,0)))),"Fix")))</f>
        <v>0</v>
      </c>
      <c r="F794" s="5">
        <f>IF(OR(INDEX($V$2:$V$1001,MATCH(ROWS($U$2:U794),$U$2:$U$1001,0),1)&gt;=100000,INDEX($AB$1005:$AQ$1005,1,MATCH(COLUMNS($AB$1006:AF1006),$AB$1006:$AQ$1006,0))&gt;=100000), " ",IF(INDEX($AB$2:$AQ$1001,MATCH(ROWS($U$2:U794),$U$2:$U$1001,0),MATCH(COLUMNS($AB$1006:AF1006),$AB$1006:$AQ$1006,0)), HYPERLINK("#",""), HYPERLINK(CONCATENATE("#Metadata!", ADDRESS(INDEX($W$2:$W$1001,MATCH(ROWS($U$2:U794),$U$2:$U$1001,0),0), INDEX($AB$1004:$AQ$1004,1,MATCH(COLUMNS($AB$1006:AF1006),$AB$1006:$AQ$1006,0)))),"Fix")))</f>
        <v>0</v>
      </c>
      <c r="G794" s="5">
        <f>IF(OR(INDEX($V$2:$V$1001,MATCH(ROWS($U$2:U794),$U$2:$U$1001,0),1)&gt;=100000,INDEX($AB$1005:$AQ$1005,1,MATCH(COLUMNS($AB$1006:AG1006),$AB$1006:$AQ$1006,0))&gt;=100000), " ",IF(INDEX($AB$2:$AQ$1001,MATCH(ROWS($U$2:U794),$U$2:$U$1001,0),MATCH(COLUMNS($AB$1006:AG1006),$AB$1006:$AQ$1006,0)), HYPERLINK("#",""), HYPERLINK(CONCATENATE("#Metadata!", ADDRESS(INDEX($W$2:$W$1001,MATCH(ROWS($U$2:U794),$U$2:$U$1001,0),0), INDEX($AB$1004:$AQ$1004,1,MATCH(COLUMNS($AB$1006:AG1006),$AB$1006:$AQ$1006,0)))),"Fix")))</f>
        <v>0</v>
      </c>
      <c r="H794" s="5">
        <f>IF(OR(INDEX($V$2:$V$1001,MATCH(ROWS($U$2:U794),$U$2:$U$1001,0),1)&gt;=100000,INDEX($AB$1005:$AQ$1005,1,MATCH(COLUMNS($AB$1006:AH1006),$AB$1006:$AQ$1006,0))&gt;=100000), " ",IF(INDEX($AB$2:$AQ$1001,MATCH(ROWS($U$2:U794),$U$2:$U$1001,0),MATCH(COLUMNS($AB$1006:AH1006),$AB$1006:$AQ$1006,0)), HYPERLINK("#",""), HYPERLINK(CONCATENATE("#Metadata!", ADDRESS(INDEX($W$2:$W$1001,MATCH(ROWS($U$2:U794),$U$2:$U$1001,0),0), INDEX($AB$1004:$AQ$1004,1,MATCH(COLUMNS($AB$1006:AH1006),$AB$1006:$AQ$1006,0)))),"Fix")))</f>
        <v>0</v>
      </c>
      <c r="I794" s="5">
        <f>IF(OR(INDEX($V$2:$V$1001,MATCH(ROWS($U$2:U794),$U$2:$U$1001,0),1)&gt;=100000,INDEX($AB$1005:$AQ$1005,1,MATCH(COLUMNS($AB$1006:AI1006),$AB$1006:$AQ$1006,0))&gt;=100000), " ",IF(INDEX($AB$2:$AQ$1001,MATCH(ROWS($U$2:U794),$U$2:$U$1001,0),MATCH(COLUMNS($AB$1006:AI1006),$AB$1006:$AQ$1006,0)), HYPERLINK("#",""), HYPERLINK(CONCATENATE("#Metadata!", ADDRESS(INDEX($W$2:$W$1001,MATCH(ROWS($U$2:U794),$U$2:$U$1001,0),0), INDEX($AB$1004:$AQ$1004,1,MATCH(COLUMNS($AB$1006:AI1006),$AB$1006:$AQ$1006,0)))),"Fix")))</f>
        <v>0</v>
      </c>
      <c r="J794" s="5">
        <f>IF(OR(INDEX($V$2:$V$1001,MATCH(ROWS($U$2:U794),$U$2:$U$1001,0),1)&gt;=100000,INDEX($AB$1005:$AQ$1005,1,MATCH(COLUMNS($AB$1006:AJ1006),$AB$1006:$AQ$1006,0))&gt;=100000), " ",IF(INDEX($AB$2:$AQ$1001,MATCH(ROWS($U$2:U794),$U$2:$U$1001,0),MATCH(COLUMNS($AB$1006:AJ1006),$AB$1006:$AQ$1006,0)), HYPERLINK("#",""), HYPERLINK(CONCATENATE("#Metadata!", ADDRESS(INDEX($W$2:$W$1001,MATCH(ROWS($U$2:U794),$U$2:$U$1001,0),0), INDEX($AB$1004:$AQ$1004,1,MATCH(COLUMNS($AB$1006:AJ1006),$AB$1006:$AQ$1006,0)))),"Fix")))</f>
        <v>0</v>
      </c>
      <c r="K794" s="5">
        <f>IF(OR(INDEX($V$2:$V$1001,MATCH(ROWS($U$2:U794),$U$2:$U$1001,0),1)&gt;=100000,INDEX($AB$1005:$AQ$1005,1,MATCH(COLUMNS($AB$1006:AK1006),$AB$1006:$AQ$1006,0))&gt;=100000), " ",IF(INDEX($AB$2:$AQ$1001,MATCH(ROWS($U$2:U794),$U$2:$U$1001,0),MATCH(COLUMNS($AB$1006:AK1006),$AB$1006:$AQ$1006,0)), HYPERLINK("#",""), HYPERLINK(CONCATENATE("#Metadata!", ADDRESS(INDEX($W$2:$W$1001,MATCH(ROWS($U$2:U794),$U$2:$U$1001,0),0), INDEX($AB$1004:$AQ$1004,1,MATCH(COLUMNS($AB$1006:AK1006),$AB$1006:$AQ$1006,0)))),"Fix")))</f>
        <v>0</v>
      </c>
      <c r="L794" s="5">
        <f>IF(OR(INDEX($V$2:$V$1001,MATCH(ROWS($U$2:U794),$U$2:$U$1001,0),1)&gt;=100000,INDEX($AB$1005:$AQ$1005,1,MATCH(COLUMNS($AB$1006:AL1006),$AB$1006:$AQ$1006,0))&gt;=100000), " ",IF(INDEX($AB$2:$AQ$1001,MATCH(ROWS($U$2:U794),$U$2:$U$1001,0),MATCH(COLUMNS($AB$1006:AL1006),$AB$1006:$AQ$1006,0)), HYPERLINK("#",""), HYPERLINK(CONCATENATE("#Metadata!", ADDRESS(INDEX($W$2:$W$1001,MATCH(ROWS($U$2:U794),$U$2:$U$1001,0),0), INDEX($AB$1004:$AQ$1004,1,MATCH(COLUMNS($AB$1006:AL1006),$AB$1006:$AQ$1006,0)))),"Fix")))</f>
        <v>0</v>
      </c>
      <c r="M794" s="5">
        <f>IF(OR(INDEX($V$2:$V$1001,MATCH(ROWS($U$2:U794),$U$2:$U$1001,0),1)&gt;=100000,INDEX($AB$1005:$AQ$1005,1,MATCH(COLUMNS($AB$1006:AM1006),$AB$1006:$AQ$1006,0))&gt;=100000), " ",IF(INDEX($AB$2:$AQ$1001,MATCH(ROWS($U$2:U794),$U$2:$U$1001,0),MATCH(COLUMNS($AB$1006:AM1006),$AB$1006:$AQ$1006,0)), HYPERLINK("#",""), HYPERLINK(CONCATENATE("#Metadata!", ADDRESS(INDEX($W$2:$W$1001,MATCH(ROWS($U$2:U794),$U$2:$U$1001,0),0), INDEX($AB$1004:$AQ$1004,1,MATCH(COLUMNS($AB$1006:AM1006),$AB$1006:$AQ$1006,0)))),"Fix")))</f>
        <v>0</v>
      </c>
      <c r="N794" s="5">
        <f>IF(OR(INDEX($V$2:$V$1001,MATCH(ROWS($U$2:U794),$U$2:$U$1001,0),1)&gt;=100000,INDEX($AB$1005:$AQ$1005,1,MATCH(COLUMNS($AB$1006:AN1006),$AB$1006:$AQ$1006,0))&gt;=100000), " ",IF(INDEX($AB$2:$AQ$1001,MATCH(ROWS($U$2:U794),$U$2:$U$1001,0),MATCH(COLUMNS($AB$1006:AN1006),$AB$1006:$AQ$1006,0)), HYPERLINK("#",""), HYPERLINK(CONCATENATE("#Metadata!", ADDRESS(INDEX($W$2:$W$1001,MATCH(ROWS($U$2:U794),$U$2:$U$1001,0),0), INDEX($AB$1004:$AQ$1004,1,MATCH(COLUMNS($AB$1006:AN1006),$AB$1006:$AQ$1006,0)))),"Fix")))</f>
        <v>0</v>
      </c>
      <c r="O794" s="5">
        <f>IF(OR(INDEX($V$2:$V$1001,MATCH(ROWS($U$2:U794),$U$2:$U$1001,0),1)&gt;=100000,INDEX($AB$1005:$AQ$1005,1,MATCH(COLUMNS($AB$1006:AO1006),$AB$1006:$AQ$1006,0))&gt;=100000), " ",IF(INDEX($AB$2:$AQ$1001,MATCH(ROWS($U$2:U794),$U$2:$U$1001,0),MATCH(COLUMNS($AB$1006:AO1006),$AB$1006:$AQ$1006,0)), HYPERLINK("#",""), HYPERLINK(CONCATENATE("#Metadata!", ADDRESS(INDEX($W$2:$W$1001,MATCH(ROWS($U$2:U794),$U$2:$U$1001,0),0), INDEX($AB$1004:$AQ$1004,1,MATCH(COLUMNS($AB$1006:AO1006),$AB$1006:$AQ$1006,0)))),"Fix")))</f>
        <v>0</v>
      </c>
      <c r="P794" s="5">
        <f>IF(OR(INDEX($V$2:$V$1001,MATCH(ROWS($U$2:U794),$U$2:$U$1001,0),1)&gt;=100000,INDEX($AB$1005:$AQ$1005,1,MATCH(COLUMNS($AB$1006:AP1006),$AB$1006:$AQ$1006,0))&gt;=100000), " ",IF(INDEX($AB$2:$AQ$1001,MATCH(ROWS($U$2:U794),$U$2:$U$1001,0),MATCH(COLUMNS($AB$1006:AP1006),$AB$1006:$AQ$1006,0)), HYPERLINK("#",""), HYPERLINK(CONCATENATE("#Metadata!", ADDRESS(INDEX($W$2:$W$1001,MATCH(ROWS($U$2:U794),$U$2:$U$1001,0),0), INDEX($AB$1004:$AQ$1004,1,MATCH(COLUMNS($AB$1006:AP1006),$AB$1006:$AQ$1006,0)))),"Fix")))</f>
        <v>0</v>
      </c>
      <c r="Q794" s="5">
        <f>IF(OR(INDEX($V$2:$V$1001,MATCH(ROWS($U$2:U794),$U$2:$U$1001,0),1)&gt;=100000,INDEX($AB$1005:$AQ$1005,1,MATCH(COLUMNS($AB$1006:AQ1006),$AB$1006:$AQ$1006,0))&gt;=100000), " ",IF(INDEX($AB$2:$AQ$1001,MATCH(ROWS($U$2:U794),$U$2:$U$1001,0),MATCH(COLUMNS($AB$1006:AQ1006),$AB$1006:$AQ$1006,0)), HYPERLINK("#",""), HYPERLINK(CONCATENATE("#Metadata!", ADDRESS(INDEX($W$2:$W$1001,MATCH(ROWS($U$2:U794),$U$2:$U$1001,0),0), INDEX($AB$1004:$AQ$1004,1,MATCH(COLUMNS($AB$1006:AQ1006),$AB$1006:$AQ$1006,0)))),"Fix")))</f>
        <v>0</v>
      </c>
      <c r="U794">
        <v>0</v>
      </c>
      <c r="V794">
        <v>0</v>
      </c>
      <c r="W794">
        <v>0</v>
      </c>
      <c r="X794">
        <f>IF(Y794,TRUE,AND(AB794:AQ794))</f>
        <v>0</v>
      </c>
      <c r="Y794">
        <f>COUNTBLANK(Metadata!B794:Q794)=COLUMNS(Metadata!B794:Q794)</f>
        <v>0</v>
      </c>
      <c r="Z794">
        <v>0</v>
      </c>
      <c r="AB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AC794">
        <f>AND(IF(Metadata!C794="",FALSE,TRUE),exact(Metadata!C794,"urban biome"))</f>
        <v>0</v>
      </c>
      <c r="AD794">
        <f>AND(IF(Metadata!D794="",FALSE,TRUE),exact(Metadata!D794,"human-associated habitat"))</f>
        <v>0</v>
      </c>
      <c r="AE794">
        <f>AND(IF(Metadata!E794="",FALSE,TRUE),OR(exact(Metadata!E794,"human-associated"),exact(Metadata!E794,"human-skin"),exact(Metadata!E794,"human-oral"),exact(Metadata!E794,"human-gut"),exact(Metadata!E794,"human-vaginal")))</f>
        <v>0</v>
      </c>
      <c r="AF794">
        <f>AND(IF(Metadata!F794="",FALSE,ISNUMBER(VALUE(Metadata!F794))),Metadata!F794&gt;0)</f>
        <v>0</v>
      </c>
      <c r="AG794">
        <f>AND(IF(Metadata!G794="",FALSE,TRUE),exact(Metadata!G794,"years"))</f>
        <v>0</v>
      </c>
      <c r="AH794">
        <f>OR(AND(IF(Metadata!H794="",FALSE,TRUE),OR(exact(Metadata!H794,"not applicable"),exact(Metadata!H794,"not collected"),exact(Metadata!H794,"not provided"),exact(Metadata!H794,"restricted access"))),AND(IF(Metadata!H794="",FALSE,ISNUMBER(VALUE(Metadata!H794))),Metadata!H794&gt;0))</f>
        <v>0</v>
      </c>
      <c r="AI794">
        <f>AND(IF(Metadata!I794="",FALSE,TRUE),exact(Metadata!I794,"human"))</f>
        <v>0</v>
      </c>
      <c r="AJ794">
        <f>AND(IF(Metadata!J794="",FALSE,ISNUMBER(VALUE(Metadata!J794))),Metadata!J794&gt;0)</f>
        <v>0</v>
      </c>
      <c r="AK794">
        <f>AND(IF(Metadata!K794="",FALSE,TRUE),exact(Metadata!K794,"cm"))</f>
        <v>0</v>
      </c>
      <c r="AL794">
        <f>AND(IF(Metadata!L794="",FALSE,TRUE),exact(Metadata!L794,"Homo sapiens"))</f>
        <v>0</v>
      </c>
      <c r="AM794">
        <f>AND(IF(Metadata!M794="",FALSE,TRUE),exact(Metadata!M794,"9606"))</f>
        <v>0</v>
      </c>
      <c r="AN794">
        <f>AND(IF(Metadata!N794="",FALSE,ISNUMBER(VALUE(Metadata!N794))),Metadata!N794&gt;0)</f>
        <v>0</v>
      </c>
      <c r="AO794">
        <f>AND(IF(Metadata!O794="",FALSE,TRUE),exact(Metadata!O794,"kg"))</f>
        <v>0</v>
      </c>
      <c r="AP794">
        <f>OR(AND(IF(Metadata!P794="",FALSE,TRUE),exact(Metadata!P794,"not provided")),IF(Metadata!P794="",FALSE,TRUE))</f>
        <v>0</v>
      </c>
      <c r="AQ794">
        <f>OR(AND(IF(Metadata!Q794="",FALSE,TRUE),exact(Metadata!Q794,"not provided")),IF(Metadata!Q794="",FALSE,TRUE))</f>
        <v>0</v>
      </c>
    </row>
    <row r="795" spans="1:43">
      <c r="A795" s="4">
        <f>IF(B795=" "," ",HYPERLINK(CONCATENATE("#metadata!",ADDRESS(INDEX($W$2:$W$1001,MATCH(ROWS($U$2:U795),$U$2:$U$1001,0),0),2)),INDEX($Z$2:$Z$1001,MATCH(ROWS($U$2:U795),$U$2:$U$1001,0),0)))</f>
        <v>0</v>
      </c>
      <c r="B795" s="5">
        <f>IF(OR(INDEX($V$2:$V$1001,MATCH(ROWS($U$2:U795),$U$2:$U$1001,0),1)&gt;=100000,INDEX($AB$1005:$AQ$1005,1,MATCH(COLUMNS($AB$1006:AB1006),$AB$1006:$AQ$1006,0))&gt;=100000), " ",IF(INDEX($AB$2:$AQ$1001,MATCH(ROWS($U$2:U795),$U$2:$U$1001,0),MATCH(COLUMNS($AB$1006:AB1006),$AB$1006:$AQ$1006,0)), HYPERLINK("#",""), HYPERLINK(CONCATENATE("#Metadata!", ADDRESS(INDEX($W$2:$W$1001,MATCH(ROWS($U$2:U795),$U$2:$U$1001,0),0), INDEX($AB$1004:$AQ$1004,1,MATCH(COLUMNS($AB$1006:AB1006),$AB$1006:$AQ$1006,0)))),"Fix")))</f>
        <v>0</v>
      </c>
      <c r="C795" s="5">
        <f>IF(OR(INDEX($V$2:$V$1001,MATCH(ROWS($U$2:U795),$U$2:$U$1001,0),1)&gt;=100000,INDEX($AB$1005:$AQ$1005,1,MATCH(COLUMNS($AB$1006:AC1006),$AB$1006:$AQ$1006,0))&gt;=100000), " ",IF(INDEX($AB$2:$AQ$1001,MATCH(ROWS($U$2:U795),$U$2:$U$1001,0),MATCH(COLUMNS($AB$1006:AC1006),$AB$1006:$AQ$1006,0)), HYPERLINK("#",""), HYPERLINK(CONCATENATE("#Metadata!", ADDRESS(INDEX($W$2:$W$1001,MATCH(ROWS($U$2:U795),$U$2:$U$1001,0),0), INDEX($AB$1004:$AQ$1004,1,MATCH(COLUMNS($AB$1006:AC1006),$AB$1006:$AQ$1006,0)))),"Fix")))</f>
        <v>0</v>
      </c>
      <c r="D795" s="5">
        <f>IF(OR(INDEX($V$2:$V$1001,MATCH(ROWS($U$2:U795),$U$2:$U$1001,0),1)&gt;=100000,INDEX($AB$1005:$AQ$1005,1,MATCH(COLUMNS($AB$1006:AD1006),$AB$1006:$AQ$1006,0))&gt;=100000), " ",IF(INDEX($AB$2:$AQ$1001,MATCH(ROWS($U$2:U795),$U$2:$U$1001,0),MATCH(COLUMNS($AB$1006:AD1006),$AB$1006:$AQ$1006,0)), HYPERLINK("#",""), HYPERLINK(CONCATENATE("#Metadata!", ADDRESS(INDEX($W$2:$W$1001,MATCH(ROWS($U$2:U795),$U$2:$U$1001,0),0), INDEX($AB$1004:$AQ$1004,1,MATCH(COLUMNS($AB$1006:AD1006),$AB$1006:$AQ$1006,0)))),"Fix")))</f>
        <v>0</v>
      </c>
      <c r="E795" s="5">
        <f>IF(OR(INDEX($V$2:$V$1001,MATCH(ROWS($U$2:U795),$U$2:$U$1001,0),1)&gt;=100000,INDEX($AB$1005:$AQ$1005,1,MATCH(COLUMNS($AB$1006:AE1006),$AB$1006:$AQ$1006,0))&gt;=100000), " ",IF(INDEX($AB$2:$AQ$1001,MATCH(ROWS($U$2:U795),$U$2:$U$1001,0),MATCH(COLUMNS($AB$1006:AE1006),$AB$1006:$AQ$1006,0)), HYPERLINK("#",""), HYPERLINK(CONCATENATE("#Metadata!", ADDRESS(INDEX($W$2:$W$1001,MATCH(ROWS($U$2:U795),$U$2:$U$1001,0),0), INDEX($AB$1004:$AQ$1004,1,MATCH(COLUMNS($AB$1006:AE1006),$AB$1006:$AQ$1006,0)))),"Fix")))</f>
        <v>0</v>
      </c>
      <c r="F795" s="5">
        <f>IF(OR(INDEX($V$2:$V$1001,MATCH(ROWS($U$2:U795),$U$2:$U$1001,0),1)&gt;=100000,INDEX($AB$1005:$AQ$1005,1,MATCH(COLUMNS($AB$1006:AF1006),$AB$1006:$AQ$1006,0))&gt;=100000), " ",IF(INDEX($AB$2:$AQ$1001,MATCH(ROWS($U$2:U795),$U$2:$U$1001,0),MATCH(COLUMNS($AB$1006:AF1006),$AB$1006:$AQ$1006,0)), HYPERLINK("#",""), HYPERLINK(CONCATENATE("#Metadata!", ADDRESS(INDEX($W$2:$W$1001,MATCH(ROWS($U$2:U795),$U$2:$U$1001,0),0), INDEX($AB$1004:$AQ$1004,1,MATCH(COLUMNS($AB$1006:AF1006),$AB$1006:$AQ$1006,0)))),"Fix")))</f>
        <v>0</v>
      </c>
      <c r="G795" s="5">
        <f>IF(OR(INDEX($V$2:$V$1001,MATCH(ROWS($U$2:U795),$U$2:$U$1001,0),1)&gt;=100000,INDEX($AB$1005:$AQ$1005,1,MATCH(COLUMNS($AB$1006:AG1006),$AB$1006:$AQ$1006,0))&gt;=100000), " ",IF(INDEX($AB$2:$AQ$1001,MATCH(ROWS($U$2:U795),$U$2:$U$1001,0),MATCH(COLUMNS($AB$1006:AG1006),$AB$1006:$AQ$1006,0)), HYPERLINK("#",""), HYPERLINK(CONCATENATE("#Metadata!", ADDRESS(INDEX($W$2:$W$1001,MATCH(ROWS($U$2:U795),$U$2:$U$1001,0),0), INDEX($AB$1004:$AQ$1004,1,MATCH(COLUMNS($AB$1006:AG1006),$AB$1006:$AQ$1006,0)))),"Fix")))</f>
        <v>0</v>
      </c>
      <c r="H795" s="5">
        <f>IF(OR(INDEX($V$2:$V$1001,MATCH(ROWS($U$2:U795),$U$2:$U$1001,0),1)&gt;=100000,INDEX($AB$1005:$AQ$1005,1,MATCH(COLUMNS($AB$1006:AH1006),$AB$1006:$AQ$1006,0))&gt;=100000), " ",IF(INDEX($AB$2:$AQ$1001,MATCH(ROWS($U$2:U795),$U$2:$U$1001,0),MATCH(COLUMNS($AB$1006:AH1006),$AB$1006:$AQ$1006,0)), HYPERLINK("#",""), HYPERLINK(CONCATENATE("#Metadata!", ADDRESS(INDEX($W$2:$W$1001,MATCH(ROWS($U$2:U795),$U$2:$U$1001,0),0), INDEX($AB$1004:$AQ$1004,1,MATCH(COLUMNS($AB$1006:AH1006),$AB$1006:$AQ$1006,0)))),"Fix")))</f>
        <v>0</v>
      </c>
      <c r="I795" s="5">
        <f>IF(OR(INDEX($V$2:$V$1001,MATCH(ROWS($U$2:U795),$U$2:$U$1001,0),1)&gt;=100000,INDEX($AB$1005:$AQ$1005,1,MATCH(COLUMNS($AB$1006:AI1006),$AB$1006:$AQ$1006,0))&gt;=100000), " ",IF(INDEX($AB$2:$AQ$1001,MATCH(ROWS($U$2:U795),$U$2:$U$1001,0),MATCH(COLUMNS($AB$1006:AI1006),$AB$1006:$AQ$1006,0)), HYPERLINK("#",""), HYPERLINK(CONCATENATE("#Metadata!", ADDRESS(INDEX($W$2:$W$1001,MATCH(ROWS($U$2:U795),$U$2:$U$1001,0),0), INDEX($AB$1004:$AQ$1004,1,MATCH(COLUMNS($AB$1006:AI1006),$AB$1006:$AQ$1006,0)))),"Fix")))</f>
        <v>0</v>
      </c>
      <c r="J795" s="5">
        <f>IF(OR(INDEX($V$2:$V$1001,MATCH(ROWS($U$2:U795),$U$2:$U$1001,0),1)&gt;=100000,INDEX($AB$1005:$AQ$1005,1,MATCH(COLUMNS($AB$1006:AJ1006),$AB$1006:$AQ$1006,0))&gt;=100000), " ",IF(INDEX($AB$2:$AQ$1001,MATCH(ROWS($U$2:U795),$U$2:$U$1001,0),MATCH(COLUMNS($AB$1006:AJ1006),$AB$1006:$AQ$1006,0)), HYPERLINK("#",""), HYPERLINK(CONCATENATE("#Metadata!", ADDRESS(INDEX($W$2:$W$1001,MATCH(ROWS($U$2:U795),$U$2:$U$1001,0),0), INDEX($AB$1004:$AQ$1004,1,MATCH(COLUMNS($AB$1006:AJ1006),$AB$1006:$AQ$1006,0)))),"Fix")))</f>
        <v>0</v>
      </c>
      <c r="K795" s="5">
        <f>IF(OR(INDEX($V$2:$V$1001,MATCH(ROWS($U$2:U795),$U$2:$U$1001,0),1)&gt;=100000,INDEX($AB$1005:$AQ$1005,1,MATCH(COLUMNS($AB$1006:AK1006),$AB$1006:$AQ$1006,0))&gt;=100000), " ",IF(INDEX($AB$2:$AQ$1001,MATCH(ROWS($U$2:U795),$U$2:$U$1001,0),MATCH(COLUMNS($AB$1006:AK1006),$AB$1006:$AQ$1006,0)), HYPERLINK("#",""), HYPERLINK(CONCATENATE("#Metadata!", ADDRESS(INDEX($W$2:$W$1001,MATCH(ROWS($U$2:U795),$U$2:$U$1001,0),0), INDEX($AB$1004:$AQ$1004,1,MATCH(COLUMNS($AB$1006:AK1006),$AB$1006:$AQ$1006,0)))),"Fix")))</f>
        <v>0</v>
      </c>
      <c r="L795" s="5">
        <f>IF(OR(INDEX($V$2:$V$1001,MATCH(ROWS($U$2:U795),$U$2:$U$1001,0),1)&gt;=100000,INDEX($AB$1005:$AQ$1005,1,MATCH(COLUMNS($AB$1006:AL1006),$AB$1006:$AQ$1006,0))&gt;=100000), " ",IF(INDEX($AB$2:$AQ$1001,MATCH(ROWS($U$2:U795),$U$2:$U$1001,0),MATCH(COLUMNS($AB$1006:AL1006),$AB$1006:$AQ$1006,0)), HYPERLINK("#",""), HYPERLINK(CONCATENATE("#Metadata!", ADDRESS(INDEX($W$2:$W$1001,MATCH(ROWS($U$2:U795),$U$2:$U$1001,0),0), INDEX($AB$1004:$AQ$1004,1,MATCH(COLUMNS($AB$1006:AL1006),$AB$1006:$AQ$1006,0)))),"Fix")))</f>
        <v>0</v>
      </c>
      <c r="M795" s="5">
        <f>IF(OR(INDEX($V$2:$V$1001,MATCH(ROWS($U$2:U795),$U$2:$U$1001,0),1)&gt;=100000,INDEX($AB$1005:$AQ$1005,1,MATCH(COLUMNS($AB$1006:AM1006),$AB$1006:$AQ$1006,0))&gt;=100000), " ",IF(INDEX($AB$2:$AQ$1001,MATCH(ROWS($U$2:U795),$U$2:$U$1001,0),MATCH(COLUMNS($AB$1006:AM1006),$AB$1006:$AQ$1006,0)), HYPERLINK("#",""), HYPERLINK(CONCATENATE("#Metadata!", ADDRESS(INDEX($W$2:$W$1001,MATCH(ROWS($U$2:U795),$U$2:$U$1001,0),0), INDEX($AB$1004:$AQ$1004,1,MATCH(COLUMNS($AB$1006:AM1006),$AB$1006:$AQ$1006,0)))),"Fix")))</f>
        <v>0</v>
      </c>
      <c r="N795" s="5">
        <f>IF(OR(INDEX($V$2:$V$1001,MATCH(ROWS($U$2:U795),$U$2:$U$1001,0),1)&gt;=100000,INDEX($AB$1005:$AQ$1005,1,MATCH(COLUMNS($AB$1006:AN1006),$AB$1006:$AQ$1006,0))&gt;=100000), " ",IF(INDEX($AB$2:$AQ$1001,MATCH(ROWS($U$2:U795),$U$2:$U$1001,0),MATCH(COLUMNS($AB$1006:AN1006),$AB$1006:$AQ$1006,0)), HYPERLINK("#",""), HYPERLINK(CONCATENATE("#Metadata!", ADDRESS(INDEX($W$2:$W$1001,MATCH(ROWS($U$2:U795),$U$2:$U$1001,0),0), INDEX($AB$1004:$AQ$1004,1,MATCH(COLUMNS($AB$1006:AN1006),$AB$1006:$AQ$1006,0)))),"Fix")))</f>
        <v>0</v>
      </c>
      <c r="O795" s="5">
        <f>IF(OR(INDEX($V$2:$V$1001,MATCH(ROWS($U$2:U795),$U$2:$U$1001,0),1)&gt;=100000,INDEX($AB$1005:$AQ$1005,1,MATCH(COLUMNS($AB$1006:AO1006),$AB$1006:$AQ$1006,0))&gt;=100000), " ",IF(INDEX($AB$2:$AQ$1001,MATCH(ROWS($U$2:U795),$U$2:$U$1001,0),MATCH(COLUMNS($AB$1006:AO1006),$AB$1006:$AQ$1006,0)), HYPERLINK("#",""), HYPERLINK(CONCATENATE("#Metadata!", ADDRESS(INDEX($W$2:$W$1001,MATCH(ROWS($U$2:U795),$U$2:$U$1001,0),0), INDEX($AB$1004:$AQ$1004,1,MATCH(COLUMNS($AB$1006:AO1006),$AB$1006:$AQ$1006,0)))),"Fix")))</f>
        <v>0</v>
      </c>
      <c r="P795" s="5">
        <f>IF(OR(INDEX($V$2:$V$1001,MATCH(ROWS($U$2:U795),$U$2:$U$1001,0),1)&gt;=100000,INDEX($AB$1005:$AQ$1005,1,MATCH(COLUMNS($AB$1006:AP1006),$AB$1006:$AQ$1006,0))&gt;=100000), " ",IF(INDEX($AB$2:$AQ$1001,MATCH(ROWS($U$2:U795),$U$2:$U$1001,0),MATCH(COLUMNS($AB$1006:AP1006),$AB$1006:$AQ$1006,0)), HYPERLINK("#",""), HYPERLINK(CONCATENATE("#Metadata!", ADDRESS(INDEX($W$2:$W$1001,MATCH(ROWS($U$2:U795),$U$2:$U$1001,0),0), INDEX($AB$1004:$AQ$1004,1,MATCH(COLUMNS($AB$1006:AP1006),$AB$1006:$AQ$1006,0)))),"Fix")))</f>
        <v>0</v>
      </c>
      <c r="Q795" s="5">
        <f>IF(OR(INDEX($V$2:$V$1001,MATCH(ROWS($U$2:U795),$U$2:$U$1001,0),1)&gt;=100000,INDEX($AB$1005:$AQ$1005,1,MATCH(COLUMNS($AB$1006:AQ1006),$AB$1006:$AQ$1006,0))&gt;=100000), " ",IF(INDEX($AB$2:$AQ$1001,MATCH(ROWS($U$2:U795),$U$2:$U$1001,0),MATCH(COLUMNS($AB$1006:AQ1006),$AB$1006:$AQ$1006,0)), HYPERLINK("#",""), HYPERLINK(CONCATENATE("#Metadata!", ADDRESS(INDEX($W$2:$W$1001,MATCH(ROWS($U$2:U795),$U$2:$U$1001,0),0), INDEX($AB$1004:$AQ$1004,1,MATCH(COLUMNS($AB$1006:AQ1006),$AB$1006:$AQ$1006,0)))),"Fix")))</f>
        <v>0</v>
      </c>
      <c r="U795">
        <v>0</v>
      </c>
      <c r="V795">
        <v>0</v>
      </c>
      <c r="W795">
        <v>0</v>
      </c>
      <c r="X795">
        <f>IF(Y795,TRUE,AND(AB795:AQ795))</f>
        <v>0</v>
      </c>
      <c r="Y795">
        <f>COUNTBLANK(Metadata!B795:Q795)=COLUMNS(Metadata!B795:Q795)</f>
        <v>0</v>
      </c>
      <c r="Z795">
        <v>0</v>
      </c>
      <c r="AB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AC795">
        <f>AND(IF(Metadata!C795="",FALSE,TRUE),exact(Metadata!C795,"urban biome"))</f>
        <v>0</v>
      </c>
      <c r="AD795">
        <f>AND(IF(Metadata!D795="",FALSE,TRUE),exact(Metadata!D795,"human-associated habitat"))</f>
        <v>0</v>
      </c>
      <c r="AE795">
        <f>AND(IF(Metadata!E795="",FALSE,TRUE),OR(exact(Metadata!E795,"human-associated"),exact(Metadata!E795,"human-skin"),exact(Metadata!E795,"human-oral"),exact(Metadata!E795,"human-gut"),exact(Metadata!E795,"human-vaginal")))</f>
        <v>0</v>
      </c>
      <c r="AF795">
        <f>AND(IF(Metadata!F795="",FALSE,ISNUMBER(VALUE(Metadata!F795))),Metadata!F795&gt;0)</f>
        <v>0</v>
      </c>
      <c r="AG795">
        <f>AND(IF(Metadata!G795="",FALSE,TRUE),exact(Metadata!G795,"years"))</f>
        <v>0</v>
      </c>
      <c r="AH795">
        <f>OR(AND(IF(Metadata!H795="",FALSE,TRUE),OR(exact(Metadata!H795,"not applicable"),exact(Metadata!H795,"not collected"),exact(Metadata!H795,"not provided"),exact(Metadata!H795,"restricted access"))),AND(IF(Metadata!H795="",FALSE,ISNUMBER(VALUE(Metadata!H795))),Metadata!H795&gt;0))</f>
        <v>0</v>
      </c>
      <c r="AI795">
        <f>AND(IF(Metadata!I795="",FALSE,TRUE),exact(Metadata!I795,"human"))</f>
        <v>0</v>
      </c>
      <c r="AJ795">
        <f>AND(IF(Metadata!J795="",FALSE,ISNUMBER(VALUE(Metadata!J795))),Metadata!J795&gt;0)</f>
        <v>0</v>
      </c>
      <c r="AK795">
        <f>AND(IF(Metadata!K795="",FALSE,TRUE),exact(Metadata!K795,"cm"))</f>
        <v>0</v>
      </c>
      <c r="AL795">
        <f>AND(IF(Metadata!L795="",FALSE,TRUE),exact(Metadata!L795,"Homo sapiens"))</f>
        <v>0</v>
      </c>
      <c r="AM795">
        <f>AND(IF(Metadata!M795="",FALSE,TRUE),exact(Metadata!M795,"9606"))</f>
        <v>0</v>
      </c>
      <c r="AN795">
        <f>AND(IF(Metadata!N795="",FALSE,ISNUMBER(VALUE(Metadata!N795))),Metadata!N795&gt;0)</f>
        <v>0</v>
      </c>
      <c r="AO795">
        <f>AND(IF(Metadata!O795="",FALSE,TRUE),exact(Metadata!O795,"kg"))</f>
        <v>0</v>
      </c>
      <c r="AP795">
        <f>OR(AND(IF(Metadata!P795="",FALSE,TRUE),exact(Metadata!P795,"not provided")),IF(Metadata!P795="",FALSE,TRUE))</f>
        <v>0</v>
      </c>
      <c r="AQ795">
        <f>OR(AND(IF(Metadata!Q795="",FALSE,TRUE),exact(Metadata!Q795,"not provided")),IF(Metadata!Q795="",FALSE,TRUE))</f>
        <v>0</v>
      </c>
    </row>
    <row r="796" spans="1:43">
      <c r="A796" s="4">
        <f>IF(B796=" "," ",HYPERLINK(CONCATENATE("#metadata!",ADDRESS(INDEX($W$2:$W$1001,MATCH(ROWS($U$2:U796),$U$2:$U$1001,0),0),2)),INDEX($Z$2:$Z$1001,MATCH(ROWS($U$2:U796),$U$2:$U$1001,0),0)))</f>
        <v>0</v>
      </c>
      <c r="B796" s="5">
        <f>IF(OR(INDEX($V$2:$V$1001,MATCH(ROWS($U$2:U796),$U$2:$U$1001,0),1)&gt;=100000,INDEX($AB$1005:$AQ$1005,1,MATCH(COLUMNS($AB$1006:AB1006),$AB$1006:$AQ$1006,0))&gt;=100000), " ",IF(INDEX($AB$2:$AQ$1001,MATCH(ROWS($U$2:U796),$U$2:$U$1001,0),MATCH(COLUMNS($AB$1006:AB1006),$AB$1006:$AQ$1006,0)), HYPERLINK("#",""), HYPERLINK(CONCATENATE("#Metadata!", ADDRESS(INDEX($W$2:$W$1001,MATCH(ROWS($U$2:U796),$U$2:$U$1001,0),0), INDEX($AB$1004:$AQ$1004,1,MATCH(COLUMNS($AB$1006:AB1006),$AB$1006:$AQ$1006,0)))),"Fix")))</f>
        <v>0</v>
      </c>
      <c r="C796" s="5">
        <f>IF(OR(INDEX($V$2:$V$1001,MATCH(ROWS($U$2:U796),$U$2:$U$1001,0),1)&gt;=100000,INDEX($AB$1005:$AQ$1005,1,MATCH(COLUMNS($AB$1006:AC1006),$AB$1006:$AQ$1006,0))&gt;=100000), " ",IF(INDEX($AB$2:$AQ$1001,MATCH(ROWS($U$2:U796),$U$2:$U$1001,0),MATCH(COLUMNS($AB$1006:AC1006),$AB$1006:$AQ$1006,0)), HYPERLINK("#",""), HYPERLINK(CONCATENATE("#Metadata!", ADDRESS(INDEX($W$2:$W$1001,MATCH(ROWS($U$2:U796),$U$2:$U$1001,0),0), INDEX($AB$1004:$AQ$1004,1,MATCH(COLUMNS($AB$1006:AC1006),$AB$1006:$AQ$1006,0)))),"Fix")))</f>
        <v>0</v>
      </c>
      <c r="D796" s="5">
        <f>IF(OR(INDEX($V$2:$V$1001,MATCH(ROWS($U$2:U796),$U$2:$U$1001,0),1)&gt;=100000,INDEX($AB$1005:$AQ$1005,1,MATCH(COLUMNS($AB$1006:AD1006),$AB$1006:$AQ$1006,0))&gt;=100000), " ",IF(INDEX($AB$2:$AQ$1001,MATCH(ROWS($U$2:U796),$U$2:$U$1001,0),MATCH(COLUMNS($AB$1006:AD1006),$AB$1006:$AQ$1006,0)), HYPERLINK("#",""), HYPERLINK(CONCATENATE("#Metadata!", ADDRESS(INDEX($W$2:$W$1001,MATCH(ROWS($U$2:U796),$U$2:$U$1001,0),0), INDEX($AB$1004:$AQ$1004,1,MATCH(COLUMNS($AB$1006:AD1006),$AB$1006:$AQ$1006,0)))),"Fix")))</f>
        <v>0</v>
      </c>
      <c r="E796" s="5">
        <f>IF(OR(INDEX($V$2:$V$1001,MATCH(ROWS($U$2:U796),$U$2:$U$1001,0),1)&gt;=100000,INDEX($AB$1005:$AQ$1005,1,MATCH(COLUMNS($AB$1006:AE1006),$AB$1006:$AQ$1006,0))&gt;=100000), " ",IF(INDEX($AB$2:$AQ$1001,MATCH(ROWS($U$2:U796),$U$2:$U$1001,0),MATCH(COLUMNS($AB$1006:AE1006),$AB$1006:$AQ$1006,0)), HYPERLINK("#",""), HYPERLINK(CONCATENATE("#Metadata!", ADDRESS(INDEX($W$2:$W$1001,MATCH(ROWS($U$2:U796),$U$2:$U$1001,0),0), INDEX($AB$1004:$AQ$1004,1,MATCH(COLUMNS($AB$1006:AE1006),$AB$1006:$AQ$1006,0)))),"Fix")))</f>
        <v>0</v>
      </c>
      <c r="F796" s="5">
        <f>IF(OR(INDEX($V$2:$V$1001,MATCH(ROWS($U$2:U796),$U$2:$U$1001,0),1)&gt;=100000,INDEX($AB$1005:$AQ$1005,1,MATCH(COLUMNS($AB$1006:AF1006),$AB$1006:$AQ$1006,0))&gt;=100000), " ",IF(INDEX($AB$2:$AQ$1001,MATCH(ROWS($U$2:U796),$U$2:$U$1001,0),MATCH(COLUMNS($AB$1006:AF1006),$AB$1006:$AQ$1006,0)), HYPERLINK("#",""), HYPERLINK(CONCATENATE("#Metadata!", ADDRESS(INDEX($W$2:$W$1001,MATCH(ROWS($U$2:U796),$U$2:$U$1001,0),0), INDEX($AB$1004:$AQ$1004,1,MATCH(COLUMNS($AB$1006:AF1006),$AB$1006:$AQ$1006,0)))),"Fix")))</f>
        <v>0</v>
      </c>
      <c r="G796" s="5">
        <f>IF(OR(INDEX($V$2:$V$1001,MATCH(ROWS($U$2:U796),$U$2:$U$1001,0),1)&gt;=100000,INDEX($AB$1005:$AQ$1005,1,MATCH(COLUMNS($AB$1006:AG1006),$AB$1006:$AQ$1006,0))&gt;=100000), " ",IF(INDEX($AB$2:$AQ$1001,MATCH(ROWS($U$2:U796),$U$2:$U$1001,0),MATCH(COLUMNS($AB$1006:AG1006),$AB$1006:$AQ$1006,0)), HYPERLINK("#",""), HYPERLINK(CONCATENATE("#Metadata!", ADDRESS(INDEX($W$2:$W$1001,MATCH(ROWS($U$2:U796),$U$2:$U$1001,0),0), INDEX($AB$1004:$AQ$1004,1,MATCH(COLUMNS($AB$1006:AG1006),$AB$1006:$AQ$1006,0)))),"Fix")))</f>
        <v>0</v>
      </c>
      <c r="H796" s="5">
        <f>IF(OR(INDEX($V$2:$V$1001,MATCH(ROWS($U$2:U796),$U$2:$U$1001,0),1)&gt;=100000,INDEX($AB$1005:$AQ$1005,1,MATCH(COLUMNS($AB$1006:AH1006),$AB$1006:$AQ$1006,0))&gt;=100000), " ",IF(INDEX($AB$2:$AQ$1001,MATCH(ROWS($U$2:U796),$U$2:$U$1001,0),MATCH(COLUMNS($AB$1006:AH1006),$AB$1006:$AQ$1006,0)), HYPERLINK("#",""), HYPERLINK(CONCATENATE("#Metadata!", ADDRESS(INDEX($W$2:$W$1001,MATCH(ROWS($U$2:U796),$U$2:$U$1001,0),0), INDEX($AB$1004:$AQ$1004,1,MATCH(COLUMNS($AB$1006:AH1006),$AB$1006:$AQ$1006,0)))),"Fix")))</f>
        <v>0</v>
      </c>
      <c r="I796" s="5">
        <f>IF(OR(INDEX($V$2:$V$1001,MATCH(ROWS($U$2:U796),$U$2:$U$1001,0),1)&gt;=100000,INDEX($AB$1005:$AQ$1005,1,MATCH(COLUMNS($AB$1006:AI1006),$AB$1006:$AQ$1006,0))&gt;=100000), " ",IF(INDEX($AB$2:$AQ$1001,MATCH(ROWS($U$2:U796),$U$2:$U$1001,0),MATCH(COLUMNS($AB$1006:AI1006),$AB$1006:$AQ$1006,0)), HYPERLINK("#",""), HYPERLINK(CONCATENATE("#Metadata!", ADDRESS(INDEX($W$2:$W$1001,MATCH(ROWS($U$2:U796),$U$2:$U$1001,0),0), INDEX($AB$1004:$AQ$1004,1,MATCH(COLUMNS($AB$1006:AI1006),$AB$1006:$AQ$1006,0)))),"Fix")))</f>
        <v>0</v>
      </c>
      <c r="J796" s="5">
        <f>IF(OR(INDEX($V$2:$V$1001,MATCH(ROWS($U$2:U796),$U$2:$U$1001,0),1)&gt;=100000,INDEX($AB$1005:$AQ$1005,1,MATCH(COLUMNS($AB$1006:AJ1006),$AB$1006:$AQ$1006,0))&gt;=100000), " ",IF(INDEX($AB$2:$AQ$1001,MATCH(ROWS($U$2:U796),$U$2:$U$1001,0),MATCH(COLUMNS($AB$1006:AJ1006),$AB$1006:$AQ$1006,0)), HYPERLINK("#",""), HYPERLINK(CONCATENATE("#Metadata!", ADDRESS(INDEX($W$2:$W$1001,MATCH(ROWS($U$2:U796),$U$2:$U$1001,0),0), INDEX($AB$1004:$AQ$1004,1,MATCH(COLUMNS($AB$1006:AJ1006),$AB$1006:$AQ$1006,0)))),"Fix")))</f>
        <v>0</v>
      </c>
      <c r="K796" s="5">
        <f>IF(OR(INDEX($V$2:$V$1001,MATCH(ROWS($U$2:U796),$U$2:$U$1001,0),1)&gt;=100000,INDEX($AB$1005:$AQ$1005,1,MATCH(COLUMNS($AB$1006:AK1006),$AB$1006:$AQ$1006,0))&gt;=100000), " ",IF(INDEX($AB$2:$AQ$1001,MATCH(ROWS($U$2:U796),$U$2:$U$1001,0),MATCH(COLUMNS($AB$1006:AK1006),$AB$1006:$AQ$1006,0)), HYPERLINK("#",""), HYPERLINK(CONCATENATE("#Metadata!", ADDRESS(INDEX($W$2:$W$1001,MATCH(ROWS($U$2:U796),$U$2:$U$1001,0),0), INDEX($AB$1004:$AQ$1004,1,MATCH(COLUMNS($AB$1006:AK1006),$AB$1006:$AQ$1006,0)))),"Fix")))</f>
        <v>0</v>
      </c>
      <c r="L796" s="5">
        <f>IF(OR(INDEX($V$2:$V$1001,MATCH(ROWS($U$2:U796),$U$2:$U$1001,0),1)&gt;=100000,INDEX($AB$1005:$AQ$1005,1,MATCH(COLUMNS($AB$1006:AL1006),$AB$1006:$AQ$1006,0))&gt;=100000), " ",IF(INDEX($AB$2:$AQ$1001,MATCH(ROWS($U$2:U796),$U$2:$U$1001,0),MATCH(COLUMNS($AB$1006:AL1006),$AB$1006:$AQ$1006,0)), HYPERLINK("#",""), HYPERLINK(CONCATENATE("#Metadata!", ADDRESS(INDEX($W$2:$W$1001,MATCH(ROWS($U$2:U796),$U$2:$U$1001,0),0), INDEX($AB$1004:$AQ$1004,1,MATCH(COLUMNS($AB$1006:AL1006),$AB$1006:$AQ$1006,0)))),"Fix")))</f>
        <v>0</v>
      </c>
      <c r="M796" s="5">
        <f>IF(OR(INDEX($V$2:$V$1001,MATCH(ROWS($U$2:U796),$U$2:$U$1001,0),1)&gt;=100000,INDEX($AB$1005:$AQ$1005,1,MATCH(COLUMNS($AB$1006:AM1006),$AB$1006:$AQ$1006,0))&gt;=100000), " ",IF(INDEX($AB$2:$AQ$1001,MATCH(ROWS($U$2:U796),$U$2:$U$1001,0),MATCH(COLUMNS($AB$1006:AM1006),$AB$1006:$AQ$1006,0)), HYPERLINK("#",""), HYPERLINK(CONCATENATE("#Metadata!", ADDRESS(INDEX($W$2:$W$1001,MATCH(ROWS($U$2:U796),$U$2:$U$1001,0),0), INDEX($AB$1004:$AQ$1004,1,MATCH(COLUMNS($AB$1006:AM1006),$AB$1006:$AQ$1006,0)))),"Fix")))</f>
        <v>0</v>
      </c>
      <c r="N796" s="5">
        <f>IF(OR(INDEX($V$2:$V$1001,MATCH(ROWS($U$2:U796),$U$2:$U$1001,0),1)&gt;=100000,INDEX($AB$1005:$AQ$1005,1,MATCH(COLUMNS($AB$1006:AN1006),$AB$1006:$AQ$1006,0))&gt;=100000), " ",IF(INDEX($AB$2:$AQ$1001,MATCH(ROWS($U$2:U796),$U$2:$U$1001,0),MATCH(COLUMNS($AB$1006:AN1006),$AB$1006:$AQ$1006,0)), HYPERLINK("#",""), HYPERLINK(CONCATENATE("#Metadata!", ADDRESS(INDEX($W$2:$W$1001,MATCH(ROWS($U$2:U796),$U$2:$U$1001,0),0), INDEX($AB$1004:$AQ$1004,1,MATCH(COLUMNS($AB$1006:AN1006),$AB$1006:$AQ$1006,0)))),"Fix")))</f>
        <v>0</v>
      </c>
      <c r="O796" s="5">
        <f>IF(OR(INDEX($V$2:$V$1001,MATCH(ROWS($U$2:U796),$U$2:$U$1001,0),1)&gt;=100000,INDEX($AB$1005:$AQ$1005,1,MATCH(COLUMNS($AB$1006:AO1006),$AB$1006:$AQ$1006,0))&gt;=100000), " ",IF(INDEX($AB$2:$AQ$1001,MATCH(ROWS($U$2:U796),$U$2:$U$1001,0),MATCH(COLUMNS($AB$1006:AO1006),$AB$1006:$AQ$1006,0)), HYPERLINK("#",""), HYPERLINK(CONCATENATE("#Metadata!", ADDRESS(INDEX($W$2:$W$1001,MATCH(ROWS($U$2:U796),$U$2:$U$1001,0),0), INDEX($AB$1004:$AQ$1004,1,MATCH(COLUMNS($AB$1006:AO1006),$AB$1006:$AQ$1006,0)))),"Fix")))</f>
        <v>0</v>
      </c>
      <c r="P796" s="5">
        <f>IF(OR(INDEX($V$2:$V$1001,MATCH(ROWS($U$2:U796),$U$2:$U$1001,0),1)&gt;=100000,INDEX($AB$1005:$AQ$1005,1,MATCH(COLUMNS($AB$1006:AP1006),$AB$1006:$AQ$1006,0))&gt;=100000), " ",IF(INDEX($AB$2:$AQ$1001,MATCH(ROWS($U$2:U796),$U$2:$U$1001,0),MATCH(COLUMNS($AB$1006:AP1006),$AB$1006:$AQ$1006,0)), HYPERLINK("#",""), HYPERLINK(CONCATENATE("#Metadata!", ADDRESS(INDEX($W$2:$W$1001,MATCH(ROWS($U$2:U796),$U$2:$U$1001,0),0), INDEX($AB$1004:$AQ$1004,1,MATCH(COLUMNS($AB$1006:AP1006),$AB$1006:$AQ$1006,0)))),"Fix")))</f>
        <v>0</v>
      </c>
      <c r="Q796" s="5">
        <f>IF(OR(INDEX($V$2:$V$1001,MATCH(ROWS($U$2:U796),$U$2:$U$1001,0),1)&gt;=100000,INDEX($AB$1005:$AQ$1005,1,MATCH(COLUMNS($AB$1006:AQ1006),$AB$1006:$AQ$1006,0))&gt;=100000), " ",IF(INDEX($AB$2:$AQ$1001,MATCH(ROWS($U$2:U796),$U$2:$U$1001,0),MATCH(COLUMNS($AB$1006:AQ1006),$AB$1006:$AQ$1006,0)), HYPERLINK("#",""), HYPERLINK(CONCATENATE("#Metadata!", ADDRESS(INDEX($W$2:$W$1001,MATCH(ROWS($U$2:U796),$U$2:$U$1001,0),0), INDEX($AB$1004:$AQ$1004,1,MATCH(COLUMNS($AB$1006:AQ1006),$AB$1006:$AQ$1006,0)))),"Fix")))</f>
        <v>0</v>
      </c>
      <c r="U796">
        <v>0</v>
      </c>
      <c r="V796">
        <v>0</v>
      </c>
      <c r="W796">
        <v>0</v>
      </c>
      <c r="X796">
        <f>IF(Y796,TRUE,AND(AB796:AQ796))</f>
        <v>0</v>
      </c>
      <c r="Y796">
        <f>COUNTBLANK(Metadata!B796:Q796)=COLUMNS(Metadata!B796:Q796)</f>
        <v>0</v>
      </c>
      <c r="Z796">
        <v>0</v>
      </c>
      <c r="AB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AC796">
        <f>AND(IF(Metadata!C796="",FALSE,TRUE),exact(Metadata!C796,"urban biome"))</f>
        <v>0</v>
      </c>
      <c r="AD796">
        <f>AND(IF(Metadata!D796="",FALSE,TRUE),exact(Metadata!D796,"human-associated habitat"))</f>
        <v>0</v>
      </c>
      <c r="AE796">
        <f>AND(IF(Metadata!E796="",FALSE,TRUE),OR(exact(Metadata!E796,"human-associated"),exact(Metadata!E796,"human-skin"),exact(Metadata!E796,"human-oral"),exact(Metadata!E796,"human-gut"),exact(Metadata!E796,"human-vaginal")))</f>
        <v>0</v>
      </c>
      <c r="AF796">
        <f>AND(IF(Metadata!F796="",FALSE,ISNUMBER(VALUE(Metadata!F796))),Metadata!F796&gt;0)</f>
        <v>0</v>
      </c>
      <c r="AG796">
        <f>AND(IF(Metadata!G796="",FALSE,TRUE),exact(Metadata!G796,"years"))</f>
        <v>0</v>
      </c>
      <c r="AH796">
        <f>OR(AND(IF(Metadata!H796="",FALSE,TRUE),OR(exact(Metadata!H796,"not applicable"),exact(Metadata!H796,"not collected"),exact(Metadata!H796,"not provided"),exact(Metadata!H796,"restricted access"))),AND(IF(Metadata!H796="",FALSE,ISNUMBER(VALUE(Metadata!H796))),Metadata!H796&gt;0))</f>
        <v>0</v>
      </c>
      <c r="AI796">
        <f>AND(IF(Metadata!I796="",FALSE,TRUE),exact(Metadata!I796,"human"))</f>
        <v>0</v>
      </c>
      <c r="AJ796">
        <f>AND(IF(Metadata!J796="",FALSE,ISNUMBER(VALUE(Metadata!J796))),Metadata!J796&gt;0)</f>
        <v>0</v>
      </c>
      <c r="AK796">
        <f>AND(IF(Metadata!K796="",FALSE,TRUE),exact(Metadata!K796,"cm"))</f>
        <v>0</v>
      </c>
      <c r="AL796">
        <f>AND(IF(Metadata!L796="",FALSE,TRUE),exact(Metadata!L796,"Homo sapiens"))</f>
        <v>0</v>
      </c>
      <c r="AM796">
        <f>AND(IF(Metadata!M796="",FALSE,TRUE),exact(Metadata!M796,"9606"))</f>
        <v>0</v>
      </c>
      <c r="AN796">
        <f>AND(IF(Metadata!N796="",FALSE,ISNUMBER(VALUE(Metadata!N796))),Metadata!N796&gt;0)</f>
        <v>0</v>
      </c>
      <c r="AO796">
        <f>AND(IF(Metadata!O796="",FALSE,TRUE),exact(Metadata!O796,"kg"))</f>
        <v>0</v>
      </c>
      <c r="AP796">
        <f>OR(AND(IF(Metadata!P796="",FALSE,TRUE),exact(Metadata!P796,"not provided")),IF(Metadata!P796="",FALSE,TRUE))</f>
        <v>0</v>
      </c>
      <c r="AQ796">
        <f>OR(AND(IF(Metadata!Q796="",FALSE,TRUE),exact(Metadata!Q796,"not provided")),IF(Metadata!Q796="",FALSE,TRUE))</f>
        <v>0</v>
      </c>
    </row>
    <row r="797" spans="1:43">
      <c r="A797" s="4">
        <f>IF(B797=" "," ",HYPERLINK(CONCATENATE("#metadata!",ADDRESS(INDEX($W$2:$W$1001,MATCH(ROWS($U$2:U797),$U$2:$U$1001,0),0),2)),INDEX($Z$2:$Z$1001,MATCH(ROWS($U$2:U797),$U$2:$U$1001,0),0)))</f>
        <v>0</v>
      </c>
      <c r="B797" s="5">
        <f>IF(OR(INDEX($V$2:$V$1001,MATCH(ROWS($U$2:U797),$U$2:$U$1001,0),1)&gt;=100000,INDEX($AB$1005:$AQ$1005,1,MATCH(COLUMNS($AB$1006:AB1006),$AB$1006:$AQ$1006,0))&gt;=100000), " ",IF(INDEX($AB$2:$AQ$1001,MATCH(ROWS($U$2:U797),$U$2:$U$1001,0),MATCH(COLUMNS($AB$1006:AB1006),$AB$1006:$AQ$1006,0)), HYPERLINK("#",""), HYPERLINK(CONCATENATE("#Metadata!", ADDRESS(INDEX($W$2:$W$1001,MATCH(ROWS($U$2:U797),$U$2:$U$1001,0),0), INDEX($AB$1004:$AQ$1004,1,MATCH(COLUMNS($AB$1006:AB1006),$AB$1006:$AQ$1006,0)))),"Fix")))</f>
        <v>0</v>
      </c>
      <c r="C797" s="5">
        <f>IF(OR(INDEX($V$2:$V$1001,MATCH(ROWS($U$2:U797),$U$2:$U$1001,0),1)&gt;=100000,INDEX($AB$1005:$AQ$1005,1,MATCH(COLUMNS($AB$1006:AC1006),$AB$1006:$AQ$1006,0))&gt;=100000), " ",IF(INDEX($AB$2:$AQ$1001,MATCH(ROWS($U$2:U797),$U$2:$U$1001,0),MATCH(COLUMNS($AB$1006:AC1006),$AB$1006:$AQ$1006,0)), HYPERLINK("#",""), HYPERLINK(CONCATENATE("#Metadata!", ADDRESS(INDEX($W$2:$W$1001,MATCH(ROWS($U$2:U797),$U$2:$U$1001,0),0), INDEX($AB$1004:$AQ$1004,1,MATCH(COLUMNS($AB$1006:AC1006),$AB$1006:$AQ$1006,0)))),"Fix")))</f>
        <v>0</v>
      </c>
      <c r="D797" s="5">
        <f>IF(OR(INDEX($V$2:$V$1001,MATCH(ROWS($U$2:U797),$U$2:$U$1001,0),1)&gt;=100000,INDEX($AB$1005:$AQ$1005,1,MATCH(COLUMNS($AB$1006:AD1006),$AB$1006:$AQ$1006,0))&gt;=100000), " ",IF(INDEX($AB$2:$AQ$1001,MATCH(ROWS($U$2:U797),$U$2:$U$1001,0),MATCH(COLUMNS($AB$1006:AD1006),$AB$1006:$AQ$1006,0)), HYPERLINK("#",""), HYPERLINK(CONCATENATE("#Metadata!", ADDRESS(INDEX($W$2:$W$1001,MATCH(ROWS($U$2:U797),$U$2:$U$1001,0),0), INDEX($AB$1004:$AQ$1004,1,MATCH(COLUMNS($AB$1006:AD1006),$AB$1006:$AQ$1006,0)))),"Fix")))</f>
        <v>0</v>
      </c>
      <c r="E797" s="5">
        <f>IF(OR(INDEX($V$2:$V$1001,MATCH(ROWS($U$2:U797),$U$2:$U$1001,0),1)&gt;=100000,INDEX($AB$1005:$AQ$1005,1,MATCH(COLUMNS($AB$1006:AE1006),$AB$1006:$AQ$1006,0))&gt;=100000), " ",IF(INDEX($AB$2:$AQ$1001,MATCH(ROWS($U$2:U797),$U$2:$U$1001,0),MATCH(COLUMNS($AB$1006:AE1006),$AB$1006:$AQ$1006,0)), HYPERLINK("#",""), HYPERLINK(CONCATENATE("#Metadata!", ADDRESS(INDEX($W$2:$W$1001,MATCH(ROWS($U$2:U797),$U$2:$U$1001,0),0), INDEX($AB$1004:$AQ$1004,1,MATCH(COLUMNS($AB$1006:AE1006),$AB$1006:$AQ$1006,0)))),"Fix")))</f>
        <v>0</v>
      </c>
      <c r="F797" s="5">
        <f>IF(OR(INDEX($V$2:$V$1001,MATCH(ROWS($U$2:U797),$U$2:$U$1001,0),1)&gt;=100000,INDEX($AB$1005:$AQ$1005,1,MATCH(COLUMNS($AB$1006:AF1006),$AB$1006:$AQ$1006,0))&gt;=100000), " ",IF(INDEX($AB$2:$AQ$1001,MATCH(ROWS($U$2:U797),$U$2:$U$1001,0),MATCH(COLUMNS($AB$1006:AF1006),$AB$1006:$AQ$1006,0)), HYPERLINK("#",""), HYPERLINK(CONCATENATE("#Metadata!", ADDRESS(INDEX($W$2:$W$1001,MATCH(ROWS($U$2:U797),$U$2:$U$1001,0),0), INDEX($AB$1004:$AQ$1004,1,MATCH(COLUMNS($AB$1006:AF1006),$AB$1006:$AQ$1006,0)))),"Fix")))</f>
        <v>0</v>
      </c>
      <c r="G797" s="5">
        <f>IF(OR(INDEX($V$2:$V$1001,MATCH(ROWS($U$2:U797),$U$2:$U$1001,0),1)&gt;=100000,INDEX($AB$1005:$AQ$1005,1,MATCH(COLUMNS($AB$1006:AG1006),$AB$1006:$AQ$1006,0))&gt;=100000), " ",IF(INDEX($AB$2:$AQ$1001,MATCH(ROWS($U$2:U797),$U$2:$U$1001,0),MATCH(COLUMNS($AB$1006:AG1006),$AB$1006:$AQ$1006,0)), HYPERLINK("#",""), HYPERLINK(CONCATENATE("#Metadata!", ADDRESS(INDEX($W$2:$W$1001,MATCH(ROWS($U$2:U797),$U$2:$U$1001,0),0), INDEX($AB$1004:$AQ$1004,1,MATCH(COLUMNS($AB$1006:AG1006),$AB$1006:$AQ$1006,0)))),"Fix")))</f>
        <v>0</v>
      </c>
      <c r="H797" s="5">
        <f>IF(OR(INDEX($V$2:$V$1001,MATCH(ROWS($U$2:U797),$U$2:$U$1001,0),1)&gt;=100000,INDEX($AB$1005:$AQ$1005,1,MATCH(COLUMNS($AB$1006:AH1006),$AB$1006:$AQ$1006,0))&gt;=100000), " ",IF(INDEX($AB$2:$AQ$1001,MATCH(ROWS($U$2:U797),$U$2:$U$1001,0),MATCH(COLUMNS($AB$1006:AH1006),$AB$1006:$AQ$1006,0)), HYPERLINK("#",""), HYPERLINK(CONCATENATE("#Metadata!", ADDRESS(INDEX($W$2:$W$1001,MATCH(ROWS($U$2:U797),$U$2:$U$1001,0),0), INDEX($AB$1004:$AQ$1004,1,MATCH(COLUMNS($AB$1006:AH1006),$AB$1006:$AQ$1006,0)))),"Fix")))</f>
        <v>0</v>
      </c>
      <c r="I797" s="5">
        <f>IF(OR(INDEX($V$2:$V$1001,MATCH(ROWS($U$2:U797),$U$2:$U$1001,0),1)&gt;=100000,INDEX($AB$1005:$AQ$1005,1,MATCH(COLUMNS($AB$1006:AI1006),$AB$1006:$AQ$1006,0))&gt;=100000), " ",IF(INDEX($AB$2:$AQ$1001,MATCH(ROWS($U$2:U797),$U$2:$U$1001,0),MATCH(COLUMNS($AB$1006:AI1006),$AB$1006:$AQ$1006,0)), HYPERLINK("#",""), HYPERLINK(CONCATENATE("#Metadata!", ADDRESS(INDEX($W$2:$W$1001,MATCH(ROWS($U$2:U797),$U$2:$U$1001,0),0), INDEX($AB$1004:$AQ$1004,1,MATCH(COLUMNS($AB$1006:AI1006),$AB$1006:$AQ$1006,0)))),"Fix")))</f>
        <v>0</v>
      </c>
      <c r="J797" s="5">
        <f>IF(OR(INDEX($V$2:$V$1001,MATCH(ROWS($U$2:U797),$U$2:$U$1001,0),1)&gt;=100000,INDEX($AB$1005:$AQ$1005,1,MATCH(COLUMNS($AB$1006:AJ1006),$AB$1006:$AQ$1006,0))&gt;=100000), " ",IF(INDEX($AB$2:$AQ$1001,MATCH(ROWS($U$2:U797),$U$2:$U$1001,0),MATCH(COLUMNS($AB$1006:AJ1006),$AB$1006:$AQ$1006,0)), HYPERLINK("#",""), HYPERLINK(CONCATENATE("#Metadata!", ADDRESS(INDEX($W$2:$W$1001,MATCH(ROWS($U$2:U797),$U$2:$U$1001,0),0), INDEX($AB$1004:$AQ$1004,1,MATCH(COLUMNS($AB$1006:AJ1006),$AB$1006:$AQ$1006,0)))),"Fix")))</f>
        <v>0</v>
      </c>
      <c r="K797" s="5">
        <f>IF(OR(INDEX($V$2:$V$1001,MATCH(ROWS($U$2:U797),$U$2:$U$1001,0),1)&gt;=100000,INDEX($AB$1005:$AQ$1005,1,MATCH(COLUMNS($AB$1006:AK1006),$AB$1006:$AQ$1006,0))&gt;=100000), " ",IF(INDEX($AB$2:$AQ$1001,MATCH(ROWS($U$2:U797),$U$2:$U$1001,0),MATCH(COLUMNS($AB$1006:AK1006),$AB$1006:$AQ$1006,0)), HYPERLINK("#",""), HYPERLINK(CONCATENATE("#Metadata!", ADDRESS(INDEX($W$2:$W$1001,MATCH(ROWS($U$2:U797),$U$2:$U$1001,0),0), INDEX($AB$1004:$AQ$1004,1,MATCH(COLUMNS($AB$1006:AK1006),$AB$1006:$AQ$1006,0)))),"Fix")))</f>
        <v>0</v>
      </c>
      <c r="L797" s="5">
        <f>IF(OR(INDEX($V$2:$V$1001,MATCH(ROWS($U$2:U797),$U$2:$U$1001,0),1)&gt;=100000,INDEX($AB$1005:$AQ$1005,1,MATCH(COLUMNS($AB$1006:AL1006),$AB$1006:$AQ$1006,0))&gt;=100000), " ",IF(INDEX($AB$2:$AQ$1001,MATCH(ROWS($U$2:U797),$U$2:$U$1001,0),MATCH(COLUMNS($AB$1006:AL1006),$AB$1006:$AQ$1006,0)), HYPERLINK("#",""), HYPERLINK(CONCATENATE("#Metadata!", ADDRESS(INDEX($W$2:$W$1001,MATCH(ROWS($U$2:U797),$U$2:$U$1001,0),0), INDEX($AB$1004:$AQ$1004,1,MATCH(COLUMNS($AB$1006:AL1006),$AB$1006:$AQ$1006,0)))),"Fix")))</f>
        <v>0</v>
      </c>
      <c r="M797" s="5">
        <f>IF(OR(INDEX($V$2:$V$1001,MATCH(ROWS($U$2:U797),$U$2:$U$1001,0),1)&gt;=100000,INDEX($AB$1005:$AQ$1005,1,MATCH(COLUMNS($AB$1006:AM1006),$AB$1006:$AQ$1006,0))&gt;=100000), " ",IF(INDEX($AB$2:$AQ$1001,MATCH(ROWS($U$2:U797),$U$2:$U$1001,0),MATCH(COLUMNS($AB$1006:AM1006),$AB$1006:$AQ$1006,0)), HYPERLINK("#",""), HYPERLINK(CONCATENATE("#Metadata!", ADDRESS(INDEX($W$2:$W$1001,MATCH(ROWS($U$2:U797),$U$2:$U$1001,0),0), INDEX($AB$1004:$AQ$1004,1,MATCH(COLUMNS($AB$1006:AM1006),$AB$1006:$AQ$1006,0)))),"Fix")))</f>
        <v>0</v>
      </c>
      <c r="N797" s="5">
        <f>IF(OR(INDEX($V$2:$V$1001,MATCH(ROWS($U$2:U797),$U$2:$U$1001,0),1)&gt;=100000,INDEX($AB$1005:$AQ$1005,1,MATCH(COLUMNS($AB$1006:AN1006),$AB$1006:$AQ$1006,0))&gt;=100000), " ",IF(INDEX($AB$2:$AQ$1001,MATCH(ROWS($U$2:U797),$U$2:$U$1001,0),MATCH(COLUMNS($AB$1006:AN1006),$AB$1006:$AQ$1006,0)), HYPERLINK("#",""), HYPERLINK(CONCATENATE("#Metadata!", ADDRESS(INDEX($W$2:$W$1001,MATCH(ROWS($U$2:U797),$U$2:$U$1001,0),0), INDEX($AB$1004:$AQ$1004,1,MATCH(COLUMNS($AB$1006:AN1006),$AB$1006:$AQ$1006,0)))),"Fix")))</f>
        <v>0</v>
      </c>
      <c r="O797" s="5">
        <f>IF(OR(INDEX($V$2:$V$1001,MATCH(ROWS($U$2:U797),$U$2:$U$1001,0),1)&gt;=100000,INDEX($AB$1005:$AQ$1005,1,MATCH(COLUMNS($AB$1006:AO1006),$AB$1006:$AQ$1006,0))&gt;=100000), " ",IF(INDEX($AB$2:$AQ$1001,MATCH(ROWS($U$2:U797),$U$2:$U$1001,0),MATCH(COLUMNS($AB$1006:AO1006),$AB$1006:$AQ$1006,0)), HYPERLINK("#",""), HYPERLINK(CONCATENATE("#Metadata!", ADDRESS(INDEX($W$2:$W$1001,MATCH(ROWS($U$2:U797),$U$2:$U$1001,0),0), INDEX($AB$1004:$AQ$1004,1,MATCH(COLUMNS($AB$1006:AO1006),$AB$1006:$AQ$1006,0)))),"Fix")))</f>
        <v>0</v>
      </c>
      <c r="P797" s="5">
        <f>IF(OR(INDEX($V$2:$V$1001,MATCH(ROWS($U$2:U797),$U$2:$U$1001,0),1)&gt;=100000,INDEX($AB$1005:$AQ$1005,1,MATCH(COLUMNS($AB$1006:AP1006),$AB$1006:$AQ$1006,0))&gt;=100000), " ",IF(INDEX($AB$2:$AQ$1001,MATCH(ROWS($U$2:U797),$U$2:$U$1001,0),MATCH(COLUMNS($AB$1006:AP1006),$AB$1006:$AQ$1006,0)), HYPERLINK("#",""), HYPERLINK(CONCATENATE("#Metadata!", ADDRESS(INDEX($W$2:$W$1001,MATCH(ROWS($U$2:U797),$U$2:$U$1001,0),0), INDEX($AB$1004:$AQ$1004,1,MATCH(COLUMNS($AB$1006:AP1006),$AB$1006:$AQ$1006,0)))),"Fix")))</f>
        <v>0</v>
      </c>
      <c r="Q797" s="5">
        <f>IF(OR(INDEX($V$2:$V$1001,MATCH(ROWS($U$2:U797),$U$2:$U$1001,0),1)&gt;=100000,INDEX($AB$1005:$AQ$1005,1,MATCH(COLUMNS($AB$1006:AQ1006),$AB$1006:$AQ$1006,0))&gt;=100000), " ",IF(INDEX($AB$2:$AQ$1001,MATCH(ROWS($U$2:U797),$U$2:$U$1001,0),MATCH(COLUMNS($AB$1006:AQ1006),$AB$1006:$AQ$1006,0)), HYPERLINK("#",""), HYPERLINK(CONCATENATE("#Metadata!", ADDRESS(INDEX($W$2:$W$1001,MATCH(ROWS($U$2:U797),$U$2:$U$1001,0),0), INDEX($AB$1004:$AQ$1004,1,MATCH(COLUMNS($AB$1006:AQ1006),$AB$1006:$AQ$1006,0)))),"Fix")))</f>
        <v>0</v>
      </c>
      <c r="U797">
        <v>0</v>
      </c>
      <c r="V797">
        <v>0</v>
      </c>
      <c r="W797">
        <v>0</v>
      </c>
      <c r="X797">
        <f>IF(Y797,TRUE,AND(AB797:AQ797))</f>
        <v>0</v>
      </c>
      <c r="Y797">
        <f>COUNTBLANK(Metadata!B797:Q797)=COLUMNS(Metadata!B797:Q797)</f>
        <v>0</v>
      </c>
      <c r="Z797">
        <v>0</v>
      </c>
      <c r="AB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AC797">
        <f>AND(IF(Metadata!C797="",FALSE,TRUE),exact(Metadata!C797,"urban biome"))</f>
        <v>0</v>
      </c>
      <c r="AD797">
        <f>AND(IF(Metadata!D797="",FALSE,TRUE),exact(Metadata!D797,"human-associated habitat"))</f>
        <v>0</v>
      </c>
      <c r="AE797">
        <f>AND(IF(Metadata!E797="",FALSE,TRUE),OR(exact(Metadata!E797,"human-associated"),exact(Metadata!E797,"human-skin"),exact(Metadata!E797,"human-oral"),exact(Metadata!E797,"human-gut"),exact(Metadata!E797,"human-vaginal")))</f>
        <v>0</v>
      </c>
      <c r="AF797">
        <f>AND(IF(Metadata!F797="",FALSE,ISNUMBER(VALUE(Metadata!F797))),Metadata!F797&gt;0)</f>
        <v>0</v>
      </c>
      <c r="AG797">
        <f>AND(IF(Metadata!G797="",FALSE,TRUE),exact(Metadata!G797,"years"))</f>
        <v>0</v>
      </c>
      <c r="AH797">
        <f>OR(AND(IF(Metadata!H797="",FALSE,TRUE),OR(exact(Metadata!H797,"not applicable"),exact(Metadata!H797,"not collected"),exact(Metadata!H797,"not provided"),exact(Metadata!H797,"restricted access"))),AND(IF(Metadata!H797="",FALSE,ISNUMBER(VALUE(Metadata!H797))),Metadata!H797&gt;0))</f>
        <v>0</v>
      </c>
      <c r="AI797">
        <f>AND(IF(Metadata!I797="",FALSE,TRUE),exact(Metadata!I797,"human"))</f>
        <v>0</v>
      </c>
      <c r="AJ797">
        <f>AND(IF(Metadata!J797="",FALSE,ISNUMBER(VALUE(Metadata!J797))),Metadata!J797&gt;0)</f>
        <v>0</v>
      </c>
      <c r="AK797">
        <f>AND(IF(Metadata!K797="",FALSE,TRUE),exact(Metadata!K797,"cm"))</f>
        <v>0</v>
      </c>
      <c r="AL797">
        <f>AND(IF(Metadata!L797="",FALSE,TRUE),exact(Metadata!L797,"Homo sapiens"))</f>
        <v>0</v>
      </c>
      <c r="AM797">
        <f>AND(IF(Metadata!M797="",FALSE,TRUE),exact(Metadata!M797,"9606"))</f>
        <v>0</v>
      </c>
      <c r="AN797">
        <f>AND(IF(Metadata!N797="",FALSE,ISNUMBER(VALUE(Metadata!N797))),Metadata!N797&gt;0)</f>
        <v>0</v>
      </c>
      <c r="AO797">
        <f>AND(IF(Metadata!O797="",FALSE,TRUE),exact(Metadata!O797,"kg"))</f>
        <v>0</v>
      </c>
      <c r="AP797">
        <f>OR(AND(IF(Metadata!P797="",FALSE,TRUE),exact(Metadata!P797,"not provided")),IF(Metadata!P797="",FALSE,TRUE))</f>
        <v>0</v>
      </c>
      <c r="AQ797">
        <f>OR(AND(IF(Metadata!Q797="",FALSE,TRUE),exact(Metadata!Q797,"not provided")),IF(Metadata!Q797="",FALSE,TRUE))</f>
        <v>0</v>
      </c>
    </row>
    <row r="798" spans="1:43">
      <c r="A798" s="4">
        <f>IF(B798=" "," ",HYPERLINK(CONCATENATE("#metadata!",ADDRESS(INDEX($W$2:$W$1001,MATCH(ROWS($U$2:U798),$U$2:$U$1001,0),0),2)),INDEX($Z$2:$Z$1001,MATCH(ROWS($U$2:U798),$U$2:$U$1001,0),0)))</f>
        <v>0</v>
      </c>
      <c r="B798" s="5">
        <f>IF(OR(INDEX($V$2:$V$1001,MATCH(ROWS($U$2:U798),$U$2:$U$1001,0),1)&gt;=100000,INDEX($AB$1005:$AQ$1005,1,MATCH(COLUMNS($AB$1006:AB1006),$AB$1006:$AQ$1006,0))&gt;=100000), " ",IF(INDEX($AB$2:$AQ$1001,MATCH(ROWS($U$2:U798),$U$2:$U$1001,0),MATCH(COLUMNS($AB$1006:AB1006),$AB$1006:$AQ$1006,0)), HYPERLINK("#",""), HYPERLINK(CONCATENATE("#Metadata!", ADDRESS(INDEX($W$2:$W$1001,MATCH(ROWS($U$2:U798),$U$2:$U$1001,0),0), INDEX($AB$1004:$AQ$1004,1,MATCH(COLUMNS($AB$1006:AB1006),$AB$1006:$AQ$1006,0)))),"Fix")))</f>
        <v>0</v>
      </c>
      <c r="C798" s="5">
        <f>IF(OR(INDEX($V$2:$V$1001,MATCH(ROWS($U$2:U798),$U$2:$U$1001,0),1)&gt;=100000,INDEX($AB$1005:$AQ$1005,1,MATCH(COLUMNS($AB$1006:AC1006),$AB$1006:$AQ$1006,0))&gt;=100000), " ",IF(INDEX($AB$2:$AQ$1001,MATCH(ROWS($U$2:U798),$U$2:$U$1001,0),MATCH(COLUMNS($AB$1006:AC1006),$AB$1006:$AQ$1006,0)), HYPERLINK("#",""), HYPERLINK(CONCATENATE("#Metadata!", ADDRESS(INDEX($W$2:$W$1001,MATCH(ROWS($U$2:U798),$U$2:$U$1001,0),0), INDEX($AB$1004:$AQ$1004,1,MATCH(COLUMNS($AB$1006:AC1006),$AB$1006:$AQ$1006,0)))),"Fix")))</f>
        <v>0</v>
      </c>
      <c r="D798" s="5">
        <f>IF(OR(INDEX($V$2:$V$1001,MATCH(ROWS($U$2:U798),$U$2:$U$1001,0),1)&gt;=100000,INDEX($AB$1005:$AQ$1005,1,MATCH(COLUMNS($AB$1006:AD1006),$AB$1006:$AQ$1006,0))&gt;=100000), " ",IF(INDEX($AB$2:$AQ$1001,MATCH(ROWS($U$2:U798),$U$2:$U$1001,0),MATCH(COLUMNS($AB$1006:AD1006),$AB$1006:$AQ$1006,0)), HYPERLINK("#",""), HYPERLINK(CONCATENATE("#Metadata!", ADDRESS(INDEX($W$2:$W$1001,MATCH(ROWS($U$2:U798),$U$2:$U$1001,0),0), INDEX($AB$1004:$AQ$1004,1,MATCH(COLUMNS($AB$1006:AD1006),$AB$1006:$AQ$1006,0)))),"Fix")))</f>
        <v>0</v>
      </c>
      <c r="E798" s="5">
        <f>IF(OR(INDEX($V$2:$V$1001,MATCH(ROWS($U$2:U798),$U$2:$U$1001,0),1)&gt;=100000,INDEX($AB$1005:$AQ$1005,1,MATCH(COLUMNS($AB$1006:AE1006),$AB$1006:$AQ$1006,0))&gt;=100000), " ",IF(INDEX($AB$2:$AQ$1001,MATCH(ROWS($U$2:U798),$U$2:$U$1001,0),MATCH(COLUMNS($AB$1006:AE1006),$AB$1006:$AQ$1006,0)), HYPERLINK("#",""), HYPERLINK(CONCATENATE("#Metadata!", ADDRESS(INDEX($W$2:$W$1001,MATCH(ROWS($U$2:U798),$U$2:$U$1001,0),0), INDEX($AB$1004:$AQ$1004,1,MATCH(COLUMNS($AB$1006:AE1006),$AB$1006:$AQ$1006,0)))),"Fix")))</f>
        <v>0</v>
      </c>
      <c r="F798" s="5">
        <f>IF(OR(INDEX($V$2:$V$1001,MATCH(ROWS($U$2:U798),$U$2:$U$1001,0),1)&gt;=100000,INDEX($AB$1005:$AQ$1005,1,MATCH(COLUMNS($AB$1006:AF1006),$AB$1006:$AQ$1006,0))&gt;=100000), " ",IF(INDEX($AB$2:$AQ$1001,MATCH(ROWS($U$2:U798),$U$2:$U$1001,0),MATCH(COLUMNS($AB$1006:AF1006),$AB$1006:$AQ$1006,0)), HYPERLINK("#",""), HYPERLINK(CONCATENATE("#Metadata!", ADDRESS(INDEX($W$2:$W$1001,MATCH(ROWS($U$2:U798),$U$2:$U$1001,0),0), INDEX($AB$1004:$AQ$1004,1,MATCH(COLUMNS($AB$1006:AF1006),$AB$1006:$AQ$1006,0)))),"Fix")))</f>
        <v>0</v>
      </c>
      <c r="G798" s="5">
        <f>IF(OR(INDEX($V$2:$V$1001,MATCH(ROWS($U$2:U798),$U$2:$U$1001,0),1)&gt;=100000,INDEX($AB$1005:$AQ$1005,1,MATCH(COLUMNS($AB$1006:AG1006),$AB$1006:$AQ$1006,0))&gt;=100000), " ",IF(INDEX($AB$2:$AQ$1001,MATCH(ROWS($U$2:U798),$U$2:$U$1001,0),MATCH(COLUMNS($AB$1006:AG1006),$AB$1006:$AQ$1006,0)), HYPERLINK("#",""), HYPERLINK(CONCATENATE("#Metadata!", ADDRESS(INDEX($W$2:$W$1001,MATCH(ROWS($U$2:U798),$U$2:$U$1001,0),0), INDEX($AB$1004:$AQ$1004,1,MATCH(COLUMNS($AB$1006:AG1006),$AB$1006:$AQ$1006,0)))),"Fix")))</f>
        <v>0</v>
      </c>
      <c r="H798" s="5">
        <f>IF(OR(INDEX($V$2:$V$1001,MATCH(ROWS($U$2:U798),$U$2:$U$1001,0),1)&gt;=100000,INDEX($AB$1005:$AQ$1005,1,MATCH(COLUMNS($AB$1006:AH1006),$AB$1006:$AQ$1006,0))&gt;=100000), " ",IF(INDEX($AB$2:$AQ$1001,MATCH(ROWS($U$2:U798),$U$2:$U$1001,0),MATCH(COLUMNS($AB$1006:AH1006),$AB$1006:$AQ$1006,0)), HYPERLINK("#",""), HYPERLINK(CONCATENATE("#Metadata!", ADDRESS(INDEX($W$2:$W$1001,MATCH(ROWS($U$2:U798),$U$2:$U$1001,0),0), INDEX($AB$1004:$AQ$1004,1,MATCH(COLUMNS($AB$1006:AH1006),$AB$1006:$AQ$1006,0)))),"Fix")))</f>
        <v>0</v>
      </c>
      <c r="I798" s="5">
        <f>IF(OR(INDEX($V$2:$V$1001,MATCH(ROWS($U$2:U798),$U$2:$U$1001,0),1)&gt;=100000,INDEX($AB$1005:$AQ$1005,1,MATCH(COLUMNS($AB$1006:AI1006),$AB$1006:$AQ$1006,0))&gt;=100000), " ",IF(INDEX($AB$2:$AQ$1001,MATCH(ROWS($U$2:U798),$U$2:$U$1001,0),MATCH(COLUMNS($AB$1006:AI1006),$AB$1006:$AQ$1006,0)), HYPERLINK("#",""), HYPERLINK(CONCATENATE("#Metadata!", ADDRESS(INDEX($W$2:$W$1001,MATCH(ROWS($U$2:U798),$U$2:$U$1001,0),0), INDEX($AB$1004:$AQ$1004,1,MATCH(COLUMNS($AB$1006:AI1006),$AB$1006:$AQ$1006,0)))),"Fix")))</f>
        <v>0</v>
      </c>
      <c r="J798" s="5">
        <f>IF(OR(INDEX($V$2:$V$1001,MATCH(ROWS($U$2:U798),$U$2:$U$1001,0),1)&gt;=100000,INDEX($AB$1005:$AQ$1005,1,MATCH(COLUMNS($AB$1006:AJ1006),$AB$1006:$AQ$1006,0))&gt;=100000), " ",IF(INDEX($AB$2:$AQ$1001,MATCH(ROWS($U$2:U798),$U$2:$U$1001,0),MATCH(COLUMNS($AB$1006:AJ1006),$AB$1006:$AQ$1006,0)), HYPERLINK("#",""), HYPERLINK(CONCATENATE("#Metadata!", ADDRESS(INDEX($W$2:$W$1001,MATCH(ROWS($U$2:U798),$U$2:$U$1001,0),0), INDEX($AB$1004:$AQ$1004,1,MATCH(COLUMNS($AB$1006:AJ1006),$AB$1006:$AQ$1006,0)))),"Fix")))</f>
        <v>0</v>
      </c>
      <c r="K798" s="5">
        <f>IF(OR(INDEX($V$2:$V$1001,MATCH(ROWS($U$2:U798),$U$2:$U$1001,0),1)&gt;=100000,INDEX($AB$1005:$AQ$1005,1,MATCH(COLUMNS($AB$1006:AK1006),$AB$1006:$AQ$1006,0))&gt;=100000), " ",IF(INDEX($AB$2:$AQ$1001,MATCH(ROWS($U$2:U798),$U$2:$U$1001,0),MATCH(COLUMNS($AB$1006:AK1006),$AB$1006:$AQ$1006,0)), HYPERLINK("#",""), HYPERLINK(CONCATENATE("#Metadata!", ADDRESS(INDEX($W$2:$W$1001,MATCH(ROWS($U$2:U798),$U$2:$U$1001,0),0), INDEX($AB$1004:$AQ$1004,1,MATCH(COLUMNS($AB$1006:AK1006),$AB$1006:$AQ$1006,0)))),"Fix")))</f>
        <v>0</v>
      </c>
      <c r="L798" s="5">
        <f>IF(OR(INDEX($V$2:$V$1001,MATCH(ROWS($U$2:U798),$U$2:$U$1001,0),1)&gt;=100000,INDEX($AB$1005:$AQ$1005,1,MATCH(COLUMNS($AB$1006:AL1006),$AB$1006:$AQ$1006,0))&gt;=100000), " ",IF(INDEX($AB$2:$AQ$1001,MATCH(ROWS($U$2:U798),$U$2:$U$1001,0),MATCH(COLUMNS($AB$1006:AL1006),$AB$1006:$AQ$1006,0)), HYPERLINK("#",""), HYPERLINK(CONCATENATE("#Metadata!", ADDRESS(INDEX($W$2:$W$1001,MATCH(ROWS($U$2:U798),$U$2:$U$1001,0),0), INDEX($AB$1004:$AQ$1004,1,MATCH(COLUMNS($AB$1006:AL1006),$AB$1006:$AQ$1006,0)))),"Fix")))</f>
        <v>0</v>
      </c>
      <c r="M798" s="5">
        <f>IF(OR(INDEX($V$2:$V$1001,MATCH(ROWS($U$2:U798),$U$2:$U$1001,0),1)&gt;=100000,INDEX($AB$1005:$AQ$1005,1,MATCH(COLUMNS($AB$1006:AM1006),$AB$1006:$AQ$1006,0))&gt;=100000), " ",IF(INDEX($AB$2:$AQ$1001,MATCH(ROWS($U$2:U798),$U$2:$U$1001,0),MATCH(COLUMNS($AB$1006:AM1006),$AB$1006:$AQ$1006,0)), HYPERLINK("#",""), HYPERLINK(CONCATENATE("#Metadata!", ADDRESS(INDEX($W$2:$W$1001,MATCH(ROWS($U$2:U798),$U$2:$U$1001,0),0), INDEX($AB$1004:$AQ$1004,1,MATCH(COLUMNS($AB$1006:AM1006),$AB$1006:$AQ$1006,0)))),"Fix")))</f>
        <v>0</v>
      </c>
      <c r="N798" s="5">
        <f>IF(OR(INDEX($V$2:$V$1001,MATCH(ROWS($U$2:U798),$U$2:$U$1001,0),1)&gt;=100000,INDEX($AB$1005:$AQ$1005,1,MATCH(COLUMNS($AB$1006:AN1006),$AB$1006:$AQ$1006,0))&gt;=100000), " ",IF(INDEX($AB$2:$AQ$1001,MATCH(ROWS($U$2:U798),$U$2:$U$1001,0),MATCH(COLUMNS($AB$1006:AN1006),$AB$1006:$AQ$1006,0)), HYPERLINK("#",""), HYPERLINK(CONCATENATE("#Metadata!", ADDRESS(INDEX($W$2:$W$1001,MATCH(ROWS($U$2:U798),$U$2:$U$1001,0),0), INDEX($AB$1004:$AQ$1004,1,MATCH(COLUMNS($AB$1006:AN1006),$AB$1006:$AQ$1006,0)))),"Fix")))</f>
        <v>0</v>
      </c>
      <c r="O798" s="5">
        <f>IF(OR(INDEX($V$2:$V$1001,MATCH(ROWS($U$2:U798),$U$2:$U$1001,0),1)&gt;=100000,INDEX($AB$1005:$AQ$1005,1,MATCH(COLUMNS($AB$1006:AO1006),$AB$1006:$AQ$1006,0))&gt;=100000), " ",IF(INDEX($AB$2:$AQ$1001,MATCH(ROWS($U$2:U798),$U$2:$U$1001,0),MATCH(COLUMNS($AB$1006:AO1006),$AB$1006:$AQ$1006,0)), HYPERLINK("#",""), HYPERLINK(CONCATENATE("#Metadata!", ADDRESS(INDEX($W$2:$W$1001,MATCH(ROWS($U$2:U798),$U$2:$U$1001,0),0), INDEX($AB$1004:$AQ$1004,1,MATCH(COLUMNS($AB$1006:AO1006),$AB$1006:$AQ$1006,0)))),"Fix")))</f>
        <v>0</v>
      </c>
      <c r="P798" s="5">
        <f>IF(OR(INDEX($V$2:$V$1001,MATCH(ROWS($U$2:U798),$U$2:$U$1001,0),1)&gt;=100000,INDEX($AB$1005:$AQ$1005,1,MATCH(COLUMNS($AB$1006:AP1006),$AB$1006:$AQ$1006,0))&gt;=100000), " ",IF(INDEX($AB$2:$AQ$1001,MATCH(ROWS($U$2:U798),$U$2:$U$1001,0),MATCH(COLUMNS($AB$1006:AP1006),$AB$1006:$AQ$1006,0)), HYPERLINK("#",""), HYPERLINK(CONCATENATE("#Metadata!", ADDRESS(INDEX($W$2:$W$1001,MATCH(ROWS($U$2:U798),$U$2:$U$1001,0),0), INDEX($AB$1004:$AQ$1004,1,MATCH(COLUMNS($AB$1006:AP1006),$AB$1006:$AQ$1006,0)))),"Fix")))</f>
        <v>0</v>
      </c>
      <c r="Q798" s="5">
        <f>IF(OR(INDEX($V$2:$V$1001,MATCH(ROWS($U$2:U798),$U$2:$U$1001,0),1)&gt;=100000,INDEX($AB$1005:$AQ$1005,1,MATCH(COLUMNS($AB$1006:AQ1006),$AB$1006:$AQ$1006,0))&gt;=100000), " ",IF(INDEX($AB$2:$AQ$1001,MATCH(ROWS($U$2:U798),$U$2:$U$1001,0),MATCH(COLUMNS($AB$1006:AQ1006),$AB$1006:$AQ$1006,0)), HYPERLINK("#",""), HYPERLINK(CONCATENATE("#Metadata!", ADDRESS(INDEX($W$2:$W$1001,MATCH(ROWS($U$2:U798),$U$2:$U$1001,0),0), INDEX($AB$1004:$AQ$1004,1,MATCH(COLUMNS($AB$1006:AQ1006),$AB$1006:$AQ$1006,0)))),"Fix")))</f>
        <v>0</v>
      </c>
      <c r="U798">
        <v>0</v>
      </c>
      <c r="V798">
        <v>0</v>
      </c>
      <c r="W798">
        <v>0</v>
      </c>
      <c r="X798">
        <f>IF(Y798,TRUE,AND(AB798:AQ798))</f>
        <v>0</v>
      </c>
      <c r="Y798">
        <f>COUNTBLANK(Metadata!B798:Q798)=COLUMNS(Metadata!B798:Q798)</f>
        <v>0</v>
      </c>
      <c r="Z798">
        <v>0</v>
      </c>
      <c r="AB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AC798">
        <f>AND(IF(Metadata!C798="",FALSE,TRUE),exact(Metadata!C798,"urban biome"))</f>
        <v>0</v>
      </c>
      <c r="AD798">
        <f>AND(IF(Metadata!D798="",FALSE,TRUE),exact(Metadata!D798,"human-associated habitat"))</f>
        <v>0</v>
      </c>
      <c r="AE798">
        <f>AND(IF(Metadata!E798="",FALSE,TRUE),OR(exact(Metadata!E798,"human-associated"),exact(Metadata!E798,"human-skin"),exact(Metadata!E798,"human-oral"),exact(Metadata!E798,"human-gut"),exact(Metadata!E798,"human-vaginal")))</f>
        <v>0</v>
      </c>
      <c r="AF798">
        <f>AND(IF(Metadata!F798="",FALSE,ISNUMBER(VALUE(Metadata!F798))),Metadata!F798&gt;0)</f>
        <v>0</v>
      </c>
      <c r="AG798">
        <f>AND(IF(Metadata!G798="",FALSE,TRUE),exact(Metadata!G798,"years"))</f>
        <v>0</v>
      </c>
      <c r="AH798">
        <f>OR(AND(IF(Metadata!H798="",FALSE,TRUE),OR(exact(Metadata!H798,"not applicable"),exact(Metadata!H798,"not collected"),exact(Metadata!H798,"not provided"),exact(Metadata!H798,"restricted access"))),AND(IF(Metadata!H798="",FALSE,ISNUMBER(VALUE(Metadata!H798))),Metadata!H798&gt;0))</f>
        <v>0</v>
      </c>
      <c r="AI798">
        <f>AND(IF(Metadata!I798="",FALSE,TRUE),exact(Metadata!I798,"human"))</f>
        <v>0</v>
      </c>
      <c r="AJ798">
        <f>AND(IF(Metadata!J798="",FALSE,ISNUMBER(VALUE(Metadata!J798))),Metadata!J798&gt;0)</f>
        <v>0</v>
      </c>
      <c r="AK798">
        <f>AND(IF(Metadata!K798="",FALSE,TRUE),exact(Metadata!K798,"cm"))</f>
        <v>0</v>
      </c>
      <c r="AL798">
        <f>AND(IF(Metadata!L798="",FALSE,TRUE),exact(Metadata!L798,"Homo sapiens"))</f>
        <v>0</v>
      </c>
      <c r="AM798">
        <f>AND(IF(Metadata!M798="",FALSE,TRUE),exact(Metadata!M798,"9606"))</f>
        <v>0</v>
      </c>
      <c r="AN798">
        <f>AND(IF(Metadata!N798="",FALSE,ISNUMBER(VALUE(Metadata!N798))),Metadata!N798&gt;0)</f>
        <v>0</v>
      </c>
      <c r="AO798">
        <f>AND(IF(Metadata!O798="",FALSE,TRUE),exact(Metadata!O798,"kg"))</f>
        <v>0</v>
      </c>
      <c r="AP798">
        <f>OR(AND(IF(Metadata!P798="",FALSE,TRUE),exact(Metadata!P798,"not provided")),IF(Metadata!P798="",FALSE,TRUE))</f>
        <v>0</v>
      </c>
      <c r="AQ798">
        <f>OR(AND(IF(Metadata!Q798="",FALSE,TRUE),exact(Metadata!Q798,"not provided")),IF(Metadata!Q798="",FALSE,TRUE))</f>
        <v>0</v>
      </c>
    </row>
    <row r="799" spans="1:43">
      <c r="A799" s="4">
        <f>IF(B799=" "," ",HYPERLINK(CONCATENATE("#metadata!",ADDRESS(INDEX($W$2:$W$1001,MATCH(ROWS($U$2:U799),$U$2:$U$1001,0),0),2)),INDEX($Z$2:$Z$1001,MATCH(ROWS($U$2:U799),$U$2:$U$1001,0),0)))</f>
        <v>0</v>
      </c>
      <c r="B799" s="5">
        <f>IF(OR(INDEX($V$2:$V$1001,MATCH(ROWS($U$2:U799),$U$2:$U$1001,0),1)&gt;=100000,INDEX($AB$1005:$AQ$1005,1,MATCH(COLUMNS($AB$1006:AB1006),$AB$1006:$AQ$1006,0))&gt;=100000), " ",IF(INDEX($AB$2:$AQ$1001,MATCH(ROWS($U$2:U799),$U$2:$U$1001,0),MATCH(COLUMNS($AB$1006:AB1006),$AB$1006:$AQ$1006,0)), HYPERLINK("#",""), HYPERLINK(CONCATENATE("#Metadata!", ADDRESS(INDEX($W$2:$W$1001,MATCH(ROWS($U$2:U799),$U$2:$U$1001,0),0), INDEX($AB$1004:$AQ$1004,1,MATCH(COLUMNS($AB$1006:AB1006),$AB$1006:$AQ$1006,0)))),"Fix")))</f>
        <v>0</v>
      </c>
      <c r="C799" s="5">
        <f>IF(OR(INDEX($V$2:$V$1001,MATCH(ROWS($U$2:U799),$U$2:$U$1001,0),1)&gt;=100000,INDEX($AB$1005:$AQ$1005,1,MATCH(COLUMNS($AB$1006:AC1006),$AB$1006:$AQ$1006,0))&gt;=100000), " ",IF(INDEX($AB$2:$AQ$1001,MATCH(ROWS($U$2:U799),$U$2:$U$1001,0),MATCH(COLUMNS($AB$1006:AC1006),$AB$1006:$AQ$1006,0)), HYPERLINK("#",""), HYPERLINK(CONCATENATE("#Metadata!", ADDRESS(INDEX($W$2:$W$1001,MATCH(ROWS($U$2:U799),$U$2:$U$1001,0),0), INDEX($AB$1004:$AQ$1004,1,MATCH(COLUMNS($AB$1006:AC1006),$AB$1006:$AQ$1006,0)))),"Fix")))</f>
        <v>0</v>
      </c>
      <c r="D799" s="5">
        <f>IF(OR(INDEX($V$2:$V$1001,MATCH(ROWS($U$2:U799),$U$2:$U$1001,0),1)&gt;=100000,INDEX($AB$1005:$AQ$1005,1,MATCH(COLUMNS($AB$1006:AD1006),$AB$1006:$AQ$1006,0))&gt;=100000), " ",IF(INDEX($AB$2:$AQ$1001,MATCH(ROWS($U$2:U799),$U$2:$U$1001,0),MATCH(COLUMNS($AB$1006:AD1006),$AB$1006:$AQ$1006,0)), HYPERLINK("#",""), HYPERLINK(CONCATENATE("#Metadata!", ADDRESS(INDEX($W$2:$W$1001,MATCH(ROWS($U$2:U799),$U$2:$U$1001,0),0), INDEX($AB$1004:$AQ$1004,1,MATCH(COLUMNS($AB$1006:AD1006),$AB$1006:$AQ$1006,0)))),"Fix")))</f>
        <v>0</v>
      </c>
      <c r="E799" s="5">
        <f>IF(OR(INDEX($V$2:$V$1001,MATCH(ROWS($U$2:U799),$U$2:$U$1001,0),1)&gt;=100000,INDEX($AB$1005:$AQ$1005,1,MATCH(COLUMNS($AB$1006:AE1006),$AB$1006:$AQ$1006,0))&gt;=100000), " ",IF(INDEX($AB$2:$AQ$1001,MATCH(ROWS($U$2:U799),$U$2:$U$1001,0),MATCH(COLUMNS($AB$1006:AE1006),$AB$1006:$AQ$1006,0)), HYPERLINK("#",""), HYPERLINK(CONCATENATE("#Metadata!", ADDRESS(INDEX($W$2:$W$1001,MATCH(ROWS($U$2:U799),$U$2:$U$1001,0),0), INDEX($AB$1004:$AQ$1004,1,MATCH(COLUMNS($AB$1006:AE1006),$AB$1006:$AQ$1006,0)))),"Fix")))</f>
        <v>0</v>
      </c>
      <c r="F799" s="5">
        <f>IF(OR(INDEX($V$2:$V$1001,MATCH(ROWS($U$2:U799),$U$2:$U$1001,0),1)&gt;=100000,INDEX($AB$1005:$AQ$1005,1,MATCH(COLUMNS($AB$1006:AF1006),$AB$1006:$AQ$1006,0))&gt;=100000), " ",IF(INDEX($AB$2:$AQ$1001,MATCH(ROWS($U$2:U799),$U$2:$U$1001,0),MATCH(COLUMNS($AB$1006:AF1006),$AB$1006:$AQ$1006,0)), HYPERLINK("#",""), HYPERLINK(CONCATENATE("#Metadata!", ADDRESS(INDEX($W$2:$W$1001,MATCH(ROWS($U$2:U799),$U$2:$U$1001,0),0), INDEX($AB$1004:$AQ$1004,1,MATCH(COLUMNS($AB$1006:AF1006),$AB$1006:$AQ$1006,0)))),"Fix")))</f>
        <v>0</v>
      </c>
      <c r="G799" s="5">
        <f>IF(OR(INDEX($V$2:$V$1001,MATCH(ROWS($U$2:U799),$U$2:$U$1001,0),1)&gt;=100000,INDEX($AB$1005:$AQ$1005,1,MATCH(COLUMNS($AB$1006:AG1006),$AB$1006:$AQ$1006,0))&gt;=100000), " ",IF(INDEX($AB$2:$AQ$1001,MATCH(ROWS($U$2:U799),$U$2:$U$1001,0),MATCH(COLUMNS($AB$1006:AG1006),$AB$1006:$AQ$1006,0)), HYPERLINK("#",""), HYPERLINK(CONCATENATE("#Metadata!", ADDRESS(INDEX($W$2:$W$1001,MATCH(ROWS($U$2:U799),$U$2:$U$1001,0),0), INDEX($AB$1004:$AQ$1004,1,MATCH(COLUMNS($AB$1006:AG1006),$AB$1006:$AQ$1006,0)))),"Fix")))</f>
        <v>0</v>
      </c>
      <c r="H799" s="5">
        <f>IF(OR(INDEX($V$2:$V$1001,MATCH(ROWS($U$2:U799),$U$2:$U$1001,0),1)&gt;=100000,INDEX($AB$1005:$AQ$1005,1,MATCH(COLUMNS($AB$1006:AH1006),$AB$1006:$AQ$1006,0))&gt;=100000), " ",IF(INDEX($AB$2:$AQ$1001,MATCH(ROWS($U$2:U799),$U$2:$U$1001,0),MATCH(COLUMNS($AB$1006:AH1006),$AB$1006:$AQ$1006,0)), HYPERLINK("#",""), HYPERLINK(CONCATENATE("#Metadata!", ADDRESS(INDEX($W$2:$W$1001,MATCH(ROWS($U$2:U799),$U$2:$U$1001,0),0), INDEX($AB$1004:$AQ$1004,1,MATCH(COLUMNS($AB$1006:AH1006),$AB$1006:$AQ$1006,0)))),"Fix")))</f>
        <v>0</v>
      </c>
      <c r="I799" s="5">
        <f>IF(OR(INDEX($V$2:$V$1001,MATCH(ROWS($U$2:U799),$U$2:$U$1001,0),1)&gt;=100000,INDEX($AB$1005:$AQ$1005,1,MATCH(COLUMNS($AB$1006:AI1006),$AB$1006:$AQ$1006,0))&gt;=100000), " ",IF(INDEX($AB$2:$AQ$1001,MATCH(ROWS($U$2:U799),$U$2:$U$1001,0),MATCH(COLUMNS($AB$1006:AI1006),$AB$1006:$AQ$1006,0)), HYPERLINK("#",""), HYPERLINK(CONCATENATE("#Metadata!", ADDRESS(INDEX($W$2:$W$1001,MATCH(ROWS($U$2:U799),$U$2:$U$1001,0),0), INDEX($AB$1004:$AQ$1004,1,MATCH(COLUMNS($AB$1006:AI1006),$AB$1006:$AQ$1006,0)))),"Fix")))</f>
        <v>0</v>
      </c>
      <c r="J799" s="5">
        <f>IF(OR(INDEX($V$2:$V$1001,MATCH(ROWS($U$2:U799),$U$2:$U$1001,0),1)&gt;=100000,INDEX($AB$1005:$AQ$1005,1,MATCH(COLUMNS($AB$1006:AJ1006),$AB$1006:$AQ$1006,0))&gt;=100000), " ",IF(INDEX($AB$2:$AQ$1001,MATCH(ROWS($U$2:U799),$U$2:$U$1001,0),MATCH(COLUMNS($AB$1006:AJ1006),$AB$1006:$AQ$1006,0)), HYPERLINK("#",""), HYPERLINK(CONCATENATE("#Metadata!", ADDRESS(INDEX($W$2:$W$1001,MATCH(ROWS($U$2:U799),$U$2:$U$1001,0),0), INDEX($AB$1004:$AQ$1004,1,MATCH(COLUMNS($AB$1006:AJ1006),$AB$1006:$AQ$1006,0)))),"Fix")))</f>
        <v>0</v>
      </c>
      <c r="K799" s="5">
        <f>IF(OR(INDEX($V$2:$V$1001,MATCH(ROWS($U$2:U799),$U$2:$U$1001,0),1)&gt;=100000,INDEX($AB$1005:$AQ$1005,1,MATCH(COLUMNS($AB$1006:AK1006),$AB$1006:$AQ$1006,0))&gt;=100000), " ",IF(INDEX($AB$2:$AQ$1001,MATCH(ROWS($U$2:U799),$U$2:$U$1001,0),MATCH(COLUMNS($AB$1006:AK1006),$AB$1006:$AQ$1006,0)), HYPERLINK("#",""), HYPERLINK(CONCATENATE("#Metadata!", ADDRESS(INDEX($W$2:$W$1001,MATCH(ROWS($U$2:U799),$U$2:$U$1001,0),0), INDEX($AB$1004:$AQ$1004,1,MATCH(COLUMNS($AB$1006:AK1006),$AB$1006:$AQ$1006,0)))),"Fix")))</f>
        <v>0</v>
      </c>
      <c r="L799" s="5">
        <f>IF(OR(INDEX($V$2:$V$1001,MATCH(ROWS($U$2:U799),$U$2:$U$1001,0),1)&gt;=100000,INDEX($AB$1005:$AQ$1005,1,MATCH(COLUMNS($AB$1006:AL1006),$AB$1006:$AQ$1006,0))&gt;=100000), " ",IF(INDEX($AB$2:$AQ$1001,MATCH(ROWS($U$2:U799),$U$2:$U$1001,0),MATCH(COLUMNS($AB$1006:AL1006),$AB$1006:$AQ$1006,0)), HYPERLINK("#",""), HYPERLINK(CONCATENATE("#Metadata!", ADDRESS(INDEX($W$2:$W$1001,MATCH(ROWS($U$2:U799),$U$2:$U$1001,0),0), INDEX($AB$1004:$AQ$1004,1,MATCH(COLUMNS($AB$1006:AL1006),$AB$1006:$AQ$1006,0)))),"Fix")))</f>
        <v>0</v>
      </c>
      <c r="M799" s="5">
        <f>IF(OR(INDEX($V$2:$V$1001,MATCH(ROWS($U$2:U799),$U$2:$U$1001,0),1)&gt;=100000,INDEX($AB$1005:$AQ$1005,1,MATCH(COLUMNS($AB$1006:AM1006),$AB$1006:$AQ$1006,0))&gt;=100000), " ",IF(INDEX($AB$2:$AQ$1001,MATCH(ROWS($U$2:U799),$U$2:$U$1001,0),MATCH(COLUMNS($AB$1006:AM1006),$AB$1006:$AQ$1006,0)), HYPERLINK("#",""), HYPERLINK(CONCATENATE("#Metadata!", ADDRESS(INDEX($W$2:$W$1001,MATCH(ROWS($U$2:U799),$U$2:$U$1001,0),0), INDEX($AB$1004:$AQ$1004,1,MATCH(COLUMNS($AB$1006:AM1006),$AB$1006:$AQ$1006,0)))),"Fix")))</f>
        <v>0</v>
      </c>
      <c r="N799" s="5">
        <f>IF(OR(INDEX($V$2:$V$1001,MATCH(ROWS($U$2:U799),$U$2:$U$1001,0),1)&gt;=100000,INDEX($AB$1005:$AQ$1005,1,MATCH(COLUMNS($AB$1006:AN1006),$AB$1006:$AQ$1006,0))&gt;=100000), " ",IF(INDEX($AB$2:$AQ$1001,MATCH(ROWS($U$2:U799),$U$2:$U$1001,0),MATCH(COLUMNS($AB$1006:AN1006),$AB$1006:$AQ$1006,0)), HYPERLINK("#",""), HYPERLINK(CONCATENATE("#Metadata!", ADDRESS(INDEX($W$2:$W$1001,MATCH(ROWS($U$2:U799),$U$2:$U$1001,0),0), INDEX($AB$1004:$AQ$1004,1,MATCH(COLUMNS($AB$1006:AN1006),$AB$1006:$AQ$1006,0)))),"Fix")))</f>
        <v>0</v>
      </c>
      <c r="O799" s="5">
        <f>IF(OR(INDEX($V$2:$V$1001,MATCH(ROWS($U$2:U799),$U$2:$U$1001,0),1)&gt;=100000,INDEX($AB$1005:$AQ$1005,1,MATCH(COLUMNS($AB$1006:AO1006),$AB$1006:$AQ$1006,0))&gt;=100000), " ",IF(INDEX($AB$2:$AQ$1001,MATCH(ROWS($U$2:U799),$U$2:$U$1001,0),MATCH(COLUMNS($AB$1006:AO1006),$AB$1006:$AQ$1006,0)), HYPERLINK("#",""), HYPERLINK(CONCATENATE("#Metadata!", ADDRESS(INDEX($W$2:$W$1001,MATCH(ROWS($U$2:U799),$U$2:$U$1001,0),0), INDEX($AB$1004:$AQ$1004,1,MATCH(COLUMNS($AB$1006:AO1006),$AB$1006:$AQ$1006,0)))),"Fix")))</f>
        <v>0</v>
      </c>
      <c r="P799" s="5">
        <f>IF(OR(INDEX($V$2:$V$1001,MATCH(ROWS($U$2:U799),$U$2:$U$1001,0),1)&gt;=100000,INDEX($AB$1005:$AQ$1005,1,MATCH(COLUMNS($AB$1006:AP1006),$AB$1006:$AQ$1006,0))&gt;=100000), " ",IF(INDEX($AB$2:$AQ$1001,MATCH(ROWS($U$2:U799),$U$2:$U$1001,0),MATCH(COLUMNS($AB$1006:AP1006),$AB$1006:$AQ$1006,0)), HYPERLINK("#",""), HYPERLINK(CONCATENATE("#Metadata!", ADDRESS(INDEX($W$2:$W$1001,MATCH(ROWS($U$2:U799),$U$2:$U$1001,0),0), INDEX($AB$1004:$AQ$1004,1,MATCH(COLUMNS($AB$1006:AP1006),$AB$1006:$AQ$1006,0)))),"Fix")))</f>
        <v>0</v>
      </c>
      <c r="Q799" s="5">
        <f>IF(OR(INDEX($V$2:$V$1001,MATCH(ROWS($U$2:U799),$U$2:$U$1001,0),1)&gt;=100000,INDEX($AB$1005:$AQ$1005,1,MATCH(COLUMNS($AB$1006:AQ1006),$AB$1006:$AQ$1006,0))&gt;=100000), " ",IF(INDEX($AB$2:$AQ$1001,MATCH(ROWS($U$2:U799),$U$2:$U$1001,0),MATCH(COLUMNS($AB$1006:AQ1006),$AB$1006:$AQ$1006,0)), HYPERLINK("#",""), HYPERLINK(CONCATENATE("#Metadata!", ADDRESS(INDEX($W$2:$W$1001,MATCH(ROWS($U$2:U799),$U$2:$U$1001,0),0), INDEX($AB$1004:$AQ$1004,1,MATCH(COLUMNS($AB$1006:AQ1006),$AB$1006:$AQ$1006,0)))),"Fix")))</f>
        <v>0</v>
      </c>
      <c r="U799">
        <v>0</v>
      </c>
      <c r="V799">
        <v>0</v>
      </c>
      <c r="W799">
        <v>0</v>
      </c>
      <c r="X799">
        <f>IF(Y799,TRUE,AND(AB799:AQ799))</f>
        <v>0</v>
      </c>
      <c r="Y799">
        <f>COUNTBLANK(Metadata!B799:Q799)=COLUMNS(Metadata!B799:Q799)</f>
        <v>0</v>
      </c>
      <c r="Z799">
        <v>0</v>
      </c>
      <c r="AB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AC799">
        <f>AND(IF(Metadata!C799="",FALSE,TRUE),exact(Metadata!C799,"urban biome"))</f>
        <v>0</v>
      </c>
      <c r="AD799">
        <f>AND(IF(Metadata!D799="",FALSE,TRUE),exact(Metadata!D799,"human-associated habitat"))</f>
        <v>0</v>
      </c>
      <c r="AE799">
        <f>AND(IF(Metadata!E799="",FALSE,TRUE),OR(exact(Metadata!E799,"human-associated"),exact(Metadata!E799,"human-skin"),exact(Metadata!E799,"human-oral"),exact(Metadata!E799,"human-gut"),exact(Metadata!E799,"human-vaginal")))</f>
        <v>0</v>
      </c>
      <c r="AF799">
        <f>AND(IF(Metadata!F799="",FALSE,ISNUMBER(VALUE(Metadata!F799))),Metadata!F799&gt;0)</f>
        <v>0</v>
      </c>
      <c r="AG799">
        <f>AND(IF(Metadata!G799="",FALSE,TRUE),exact(Metadata!G799,"years"))</f>
        <v>0</v>
      </c>
      <c r="AH799">
        <f>OR(AND(IF(Metadata!H799="",FALSE,TRUE),OR(exact(Metadata!H799,"not applicable"),exact(Metadata!H799,"not collected"),exact(Metadata!H799,"not provided"),exact(Metadata!H799,"restricted access"))),AND(IF(Metadata!H799="",FALSE,ISNUMBER(VALUE(Metadata!H799))),Metadata!H799&gt;0))</f>
        <v>0</v>
      </c>
      <c r="AI799">
        <f>AND(IF(Metadata!I799="",FALSE,TRUE),exact(Metadata!I799,"human"))</f>
        <v>0</v>
      </c>
      <c r="AJ799">
        <f>AND(IF(Metadata!J799="",FALSE,ISNUMBER(VALUE(Metadata!J799))),Metadata!J799&gt;0)</f>
        <v>0</v>
      </c>
      <c r="AK799">
        <f>AND(IF(Metadata!K799="",FALSE,TRUE),exact(Metadata!K799,"cm"))</f>
        <v>0</v>
      </c>
      <c r="AL799">
        <f>AND(IF(Metadata!L799="",FALSE,TRUE),exact(Metadata!L799,"Homo sapiens"))</f>
        <v>0</v>
      </c>
      <c r="AM799">
        <f>AND(IF(Metadata!M799="",FALSE,TRUE),exact(Metadata!M799,"9606"))</f>
        <v>0</v>
      </c>
      <c r="AN799">
        <f>AND(IF(Metadata!N799="",FALSE,ISNUMBER(VALUE(Metadata!N799))),Metadata!N799&gt;0)</f>
        <v>0</v>
      </c>
      <c r="AO799">
        <f>AND(IF(Metadata!O799="",FALSE,TRUE),exact(Metadata!O799,"kg"))</f>
        <v>0</v>
      </c>
      <c r="AP799">
        <f>OR(AND(IF(Metadata!P799="",FALSE,TRUE),exact(Metadata!P799,"not provided")),IF(Metadata!P799="",FALSE,TRUE))</f>
        <v>0</v>
      </c>
      <c r="AQ799">
        <f>OR(AND(IF(Metadata!Q799="",FALSE,TRUE),exact(Metadata!Q799,"not provided")),IF(Metadata!Q799="",FALSE,TRUE))</f>
        <v>0</v>
      </c>
    </row>
    <row r="800" spans="1:43">
      <c r="A800" s="4">
        <f>IF(B800=" "," ",HYPERLINK(CONCATENATE("#metadata!",ADDRESS(INDEX($W$2:$W$1001,MATCH(ROWS($U$2:U800),$U$2:$U$1001,0),0),2)),INDEX($Z$2:$Z$1001,MATCH(ROWS($U$2:U800),$U$2:$U$1001,0),0)))</f>
        <v>0</v>
      </c>
      <c r="B800" s="5">
        <f>IF(OR(INDEX($V$2:$V$1001,MATCH(ROWS($U$2:U800),$U$2:$U$1001,0),1)&gt;=100000,INDEX($AB$1005:$AQ$1005,1,MATCH(COLUMNS($AB$1006:AB1006),$AB$1006:$AQ$1006,0))&gt;=100000), " ",IF(INDEX($AB$2:$AQ$1001,MATCH(ROWS($U$2:U800),$U$2:$U$1001,0),MATCH(COLUMNS($AB$1006:AB1006),$AB$1006:$AQ$1006,0)), HYPERLINK("#",""), HYPERLINK(CONCATENATE("#Metadata!", ADDRESS(INDEX($W$2:$W$1001,MATCH(ROWS($U$2:U800),$U$2:$U$1001,0),0), INDEX($AB$1004:$AQ$1004,1,MATCH(COLUMNS($AB$1006:AB1006),$AB$1006:$AQ$1006,0)))),"Fix")))</f>
        <v>0</v>
      </c>
      <c r="C800" s="5">
        <f>IF(OR(INDEX($V$2:$V$1001,MATCH(ROWS($U$2:U800),$U$2:$U$1001,0),1)&gt;=100000,INDEX($AB$1005:$AQ$1005,1,MATCH(COLUMNS($AB$1006:AC1006),$AB$1006:$AQ$1006,0))&gt;=100000), " ",IF(INDEX($AB$2:$AQ$1001,MATCH(ROWS($U$2:U800),$U$2:$U$1001,0),MATCH(COLUMNS($AB$1006:AC1006),$AB$1006:$AQ$1006,0)), HYPERLINK("#",""), HYPERLINK(CONCATENATE("#Metadata!", ADDRESS(INDEX($W$2:$W$1001,MATCH(ROWS($U$2:U800),$U$2:$U$1001,0),0), INDEX($AB$1004:$AQ$1004,1,MATCH(COLUMNS($AB$1006:AC1006),$AB$1006:$AQ$1006,0)))),"Fix")))</f>
        <v>0</v>
      </c>
      <c r="D800" s="5">
        <f>IF(OR(INDEX($V$2:$V$1001,MATCH(ROWS($U$2:U800),$U$2:$U$1001,0),1)&gt;=100000,INDEX($AB$1005:$AQ$1005,1,MATCH(COLUMNS($AB$1006:AD1006),$AB$1006:$AQ$1006,0))&gt;=100000), " ",IF(INDEX($AB$2:$AQ$1001,MATCH(ROWS($U$2:U800),$U$2:$U$1001,0),MATCH(COLUMNS($AB$1006:AD1006),$AB$1006:$AQ$1006,0)), HYPERLINK("#",""), HYPERLINK(CONCATENATE("#Metadata!", ADDRESS(INDEX($W$2:$W$1001,MATCH(ROWS($U$2:U800),$U$2:$U$1001,0),0), INDEX($AB$1004:$AQ$1004,1,MATCH(COLUMNS($AB$1006:AD1006),$AB$1006:$AQ$1006,0)))),"Fix")))</f>
        <v>0</v>
      </c>
      <c r="E800" s="5">
        <f>IF(OR(INDEX($V$2:$V$1001,MATCH(ROWS($U$2:U800),$U$2:$U$1001,0),1)&gt;=100000,INDEX($AB$1005:$AQ$1005,1,MATCH(COLUMNS($AB$1006:AE1006),$AB$1006:$AQ$1006,0))&gt;=100000), " ",IF(INDEX($AB$2:$AQ$1001,MATCH(ROWS($U$2:U800),$U$2:$U$1001,0),MATCH(COLUMNS($AB$1006:AE1006),$AB$1006:$AQ$1006,0)), HYPERLINK("#",""), HYPERLINK(CONCATENATE("#Metadata!", ADDRESS(INDEX($W$2:$W$1001,MATCH(ROWS($U$2:U800),$U$2:$U$1001,0),0), INDEX($AB$1004:$AQ$1004,1,MATCH(COLUMNS($AB$1006:AE1006),$AB$1006:$AQ$1006,0)))),"Fix")))</f>
        <v>0</v>
      </c>
      <c r="F800" s="5">
        <f>IF(OR(INDEX($V$2:$V$1001,MATCH(ROWS($U$2:U800),$U$2:$U$1001,0),1)&gt;=100000,INDEX($AB$1005:$AQ$1005,1,MATCH(COLUMNS($AB$1006:AF1006),$AB$1006:$AQ$1006,0))&gt;=100000), " ",IF(INDEX($AB$2:$AQ$1001,MATCH(ROWS($U$2:U800),$U$2:$U$1001,0),MATCH(COLUMNS($AB$1006:AF1006),$AB$1006:$AQ$1006,0)), HYPERLINK("#",""), HYPERLINK(CONCATENATE("#Metadata!", ADDRESS(INDEX($W$2:$W$1001,MATCH(ROWS($U$2:U800),$U$2:$U$1001,0),0), INDEX($AB$1004:$AQ$1004,1,MATCH(COLUMNS($AB$1006:AF1006),$AB$1006:$AQ$1006,0)))),"Fix")))</f>
        <v>0</v>
      </c>
      <c r="G800" s="5">
        <f>IF(OR(INDEX($V$2:$V$1001,MATCH(ROWS($U$2:U800),$U$2:$U$1001,0),1)&gt;=100000,INDEX($AB$1005:$AQ$1005,1,MATCH(COLUMNS($AB$1006:AG1006),$AB$1006:$AQ$1006,0))&gt;=100000), " ",IF(INDEX($AB$2:$AQ$1001,MATCH(ROWS($U$2:U800),$U$2:$U$1001,0),MATCH(COLUMNS($AB$1006:AG1006),$AB$1006:$AQ$1006,0)), HYPERLINK("#",""), HYPERLINK(CONCATENATE("#Metadata!", ADDRESS(INDEX($W$2:$W$1001,MATCH(ROWS($U$2:U800),$U$2:$U$1001,0),0), INDEX($AB$1004:$AQ$1004,1,MATCH(COLUMNS($AB$1006:AG1006),$AB$1006:$AQ$1006,0)))),"Fix")))</f>
        <v>0</v>
      </c>
      <c r="H800" s="5">
        <f>IF(OR(INDEX($V$2:$V$1001,MATCH(ROWS($U$2:U800),$U$2:$U$1001,0),1)&gt;=100000,INDEX($AB$1005:$AQ$1005,1,MATCH(COLUMNS($AB$1006:AH1006),$AB$1006:$AQ$1006,0))&gt;=100000), " ",IF(INDEX($AB$2:$AQ$1001,MATCH(ROWS($U$2:U800),$U$2:$U$1001,0),MATCH(COLUMNS($AB$1006:AH1006),$AB$1006:$AQ$1006,0)), HYPERLINK("#",""), HYPERLINK(CONCATENATE("#Metadata!", ADDRESS(INDEX($W$2:$W$1001,MATCH(ROWS($U$2:U800),$U$2:$U$1001,0),0), INDEX($AB$1004:$AQ$1004,1,MATCH(COLUMNS($AB$1006:AH1006),$AB$1006:$AQ$1006,0)))),"Fix")))</f>
        <v>0</v>
      </c>
      <c r="I800" s="5">
        <f>IF(OR(INDEX($V$2:$V$1001,MATCH(ROWS($U$2:U800),$U$2:$U$1001,0),1)&gt;=100000,INDEX($AB$1005:$AQ$1005,1,MATCH(COLUMNS($AB$1006:AI1006),$AB$1006:$AQ$1006,0))&gt;=100000), " ",IF(INDEX($AB$2:$AQ$1001,MATCH(ROWS($U$2:U800),$U$2:$U$1001,0),MATCH(COLUMNS($AB$1006:AI1006),$AB$1006:$AQ$1006,0)), HYPERLINK("#",""), HYPERLINK(CONCATENATE("#Metadata!", ADDRESS(INDEX($W$2:$W$1001,MATCH(ROWS($U$2:U800),$U$2:$U$1001,0),0), INDEX($AB$1004:$AQ$1004,1,MATCH(COLUMNS($AB$1006:AI1006),$AB$1006:$AQ$1006,0)))),"Fix")))</f>
        <v>0</v>
      </c>
      <c r="J800" s="5">
        <f>IF(OR(INDEX($V$2:$V$1001,MATCH(ROWS($U$2:U800),$U$2:$U$1001,0),1)&gt;=100000,INDEX($AB$1005:$AQ$1005,1,MATCH(COLUMNS($AB$1006:AJ1006),$AB$1006:$AQ$1006,0))&gt;=100000), " ",IF(INDEX($AB$2:$AQ$1001,MATCH(ROWS($U$2:U800),$U$2:$U$1001,0),MATCH(COLUMNS($AB$1006:AJ1006),$AB$1006:$AQ$1006,0)), HYPERLINK("#",""), HYPERLINK(CONCATENATE("#Metadata!", ADDRESS(INDEX($W$2:$W$1001,MATCH(ROWS($U$2:U800),$U$2:$U$1001,0),0), INDEX($AB$1004:$AQ$1004,1,MATCH(COLUMNS($AB$1006:AJ1006),$AB$1006:$AQ$1006,0)))),"Fix")))</f>
        <v>0</v>
      </c>
      <c r="K800" s="5">
        <f>IF(OR(INDEX($V$2:$V$1001,MATCH(ROWS($U$2:U800),$U$2:$U$1001,0),1)&gt;=100000,INDEX($AB$1005:$AQ$1005,1,MATCH(COLUMNS($AB$1006:AK1006),$AB$1006:$AQ$1006,0))&gt;=100000), " ",IF(INDEX($AB$2:$AQ$1001,MATCH(ROWS($U$2:U800),$U$2:$U$1001,0),MATCH(COLUMNS($AB$1006:AK1006),$AB$1006:$AQ$1006,0)), HYPERLINK("#",""), HYPERLINK(CONCATENATE("#Metadata!", ADDRESS(INDEX($W$2:$W$1001,MATCH(ROWS($U$2:U800),$U$2:$U$1001,0),0), INDEX($AB$1004:$AQ$1004,1,MATCH(COLUMNS($AB$1006:AK1006),$AB$1006:$AQ$1006,0)))),"Fix")))</f>
        <v>0</v>
      </c>
      <c r="L800" s="5">
        <f>IF(OR(INDEX($V$2:$V$1001,MATCH(ROWS($U$2:U800),$U$2:$U$1001,0),1)&gt;=100000,INDEX($AB$1005:$AQ$1005,1,MATCH(COLUMNS($AB$1006:AL1006),$AB$1006:$AQ$1006,0))&gt;=100000), " ",IF(INDEX($AB$2:$AQ$1001,MATCH(ROWS($U$2:U800),$U$2:$U$1001,0),MATCH(COLUMNS($AB$1006:AL1006),$AB$1006:$AQ$1006,0)), HYPERLINK("#",""), HYPERLINK(CONCATENATE("#Metadata!", ADDRESS(INDEX($W$2:$W$1001,MATCH(ROWS($U$2:U800),$U$2:$U$1001,0),0), INDEX($AB$1004:$AQ$1004,1,MATCH(COLUMNS($AB$1006:AL1006),$AB$1006:$AQ$1006,0)))),"Fix")))</f>
        <v>0</v>
      </c>
      <c r="M800" s="5">
        <f>IF(OR(INDEX($V$2:$V$1001,MATCH(ROWS($U$2:U800),$U$2:$U$1001,0),1)&gt;=100000,INDEX($AB$1005:$AQ$1005,1,MATCH(COLUMNS($AB$1006:AM1006),$AB$1006:$AQ$1006,0))&gt;=100000), " ",IF(INDEX($AB$2:$AQ$1001,MATCH(ROWS($U$2:U800),$U$2:$U$1001,0),MATCH(COLUMNS($AB$1006:AM1006),$AB$1006:$AQ$1006,0)), HYPERLINK("#",""), HYPERLINK(CONCATENATE("#Metadata!", ADDRESS(INDEX($W$2:$W$1001,MATCH(ROWS($U$2:U800),$U$2:$U$1001,0),0), INDEX($AB$1004:$AQ$1004,1,MATCH(COLUMNS($AB$1006:AM1006),$AB$1006:$AQ$1006,0)))),"Fix")))</f>
        <v>0</v>
      </c>
      <c r="N800" s="5">
        <f>IF(OR(INDEX($V$2:$V$1001,MATCH(ROWS($U$2:U800),$U$2:$U$1001,0),1)&gt;=100000,INDEX($AB$1005:$AQ$1005,1,MATCH(COLUMNS($AB$1006:AN1006),$AB$1006:$AQ$1006,0))&gt;=100000), " ",IF(INDEX($AB$2:$AQ$1001,MATCH(ROWS($U$2:U800),$U$2:$U$1001,0),MATCH(COLUMNS($AB$1006:AN1006),$AB$1006:$AQ$1006,0)), HYPERLINK("#",""), HYPERLINK(CONCATENATE("#Metadata!", ADDRESS(INDEX($W$2:$W$1001,MATCH(ROWS($U$2:U800),$U$2:$U$1001,0),0), INDEX($AB$1004:$AQ$1004,1,MATCH(COLUMNS($AB$1006:AN1006),$AB$1006:$AQ$1006,0)))),"Fix")))</f>
        <v>0</v>
      </c>
      <c r="O800" s="5">
        <f>IF(OR(INDEX($V$2:$V$1001,MATCH(ROWS($U$2:U800),$U$2:$U$1001,0),1)&gt;=100000,INDEX($AB$1005:$AQ$1005,1,MATCH(COLUMNS($AB$1006:AO1006),$AB$1006:$AQ$1006,0))&gt;=100000), " ",IF(INDEX($AB$2:$AQ$1001,MATCH(ROWS($U$2:U800),$U$2:$U$1001,0),MATCH(COLUMNS($AB$1006:AO1006),$AB$1006:$AQ$1006,0)), HYPERLINK("#",""), HYPERLINK(CONCATENATE("#Metadata!", ADDRESS(INDEX($W$2:$W$1001,MATCH(ROWS($U$2:U800),$U$2:$U$1001,0),0), INDEX($AB$1004:$AQ$1004,1,MATCH(COLUMNS($AB$1006:AO1006),$AB$1006:$AQ$1006,0)))),"Fix")))</f>
        <v>0</v>
      </c>
      <c r="P800" s="5">
        <f>IF(OR(INDEX($V$2:$V$1001,MATCH(ROWS($U$2:U800),$U$2:$U$1001,0),1)&gt;=100000,INDEX($AB$1005:$AQ$1005,1,MATCH(COLUMNS($AB$1006:AP1006),$AB$1006:$AQ$1006,0))&gt;=100000), " ",IF(INDEX($AB$2:$AQ$1001,MATCH(ROWS($U$2:U800),$U$2:$U$1001,0),MATCH(COLUMNS($AB$1006:AP1006),$AB$1006:$AQ$1006,0)), HYPERLINK("#",""), HYPERLINK(CONCATENATE("#Metadata!", ADDRESS(INDEX($W$2:$W$1001,MATCH(ROWS($U$2:U800),$U$2:$U$1001,0),0), INDEX($AB$1004:$AQ$1004,1,MATCH(COLUMNS($AB$1006:AP1006),$AB$1006:$AQ$1006,0)))),"Fix")))</f>
        <v>0</v>
      </c>
      <c r="Q800" s="5">
        <f>IF(OR(INDEX($V$2:$V$1001,MATCH(ROWS($U$2:U800),$U$2:$U$1001,0),1)&gt;=100000,INDEX($AB$1005:$AQ$1005,1,MATCH(COLUMNS($AB$1006:AQ1006),$AB$1006:$AQ$1006,0))&gt;=100000), " ",IF(INDEX($AB$2:$AQ$1001,MATCH(ROWS($U$2:U800),$U$2:$U$1001,0),MATCH(COLUMNS($AB$1006:AQ1006),$AB$1006:$AQ$1006,0)), HYPERLINK("#",""), HYPERLINK(CONCATENATE("#Metadata!", ADDRESS(INDEX($W$2:$W$1001,MATCH(ROWS($U$2:U800),$U$2:$U$1001,0),0), INDEX($AB$1004:$AQ$1004,1,MATCH(COLUMNS($AB$1006:AQ1006),$AB$1006:$AQ$1006,0)))),"Fix")))</f>
        <v>0</v>
      </c>
      <c r="U800">
        <v>0</v>
      </c>
      <c r="V800">
        <v>0</v>
      </c>
      <c r="W800">
        <v>0</v>
      </c>
      <c r="X800">
        <f>IF(Y800,TRUE,AND(AB800:AQ800))</f>
        <v>0</v>
      </c>
      <c r="Y800">
        <f>COUNTBLANK(Metadata!B800:Q800)=COLUMNS(Metadata!B800:Q800)</f>
        <v>0</v>
      </c>
      <c r="Z800">
        <v>0</v>
      </c>
      <c r="AB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AC800">
        <f>AND(IF(Metadata!C800="",FALSE,TRUE),exact(Metadata!C800,"urban biome"))</f>
        <v>0</v>
      </c>
      <c r="AD800">
        <f>AND(IF(Metadata!D800="",FALSE,TRUE),exact(Metadata!D800,"human-associated habitat"))</f>
        <v>0</v>
      </c>
      <c r="AE800">
        <f>AND(IF(Metadata!E800="",FALSE,TRUE),OR(exact(Metadata!E800,"human-associated"),exact(Metadata!E800,"human-skin"),exact(Metadata!E800,"human-oral"),exact(Metadata!E800,"human-gut"),exact(Metadata!E800,"human-vaginal")))</f>
        <v>0</v>
      </c>
      <c r="AF800">
        <f>AND(IF(Metadata!F800="",FALSE,ISNUMBER(VALUE(Metadata!F800))),Metadata!F800&gt;0)</f>
        <v>0</v>
      </c>
      <c r="AG800">
        <f>AND(IF(Metadata!G800="",FALSE,TRUE),exact(Metadata!G800,"years"))</f>
        <v>0</v>
      </c>
      <c r="AH800">
        <f>OR(AND(IF(Metadata!H800="",FALSE,TRUE),OR(exact(Metadata!H800,"not applicable"),exact(Metadata!H800,"not collected"),exact(Metadata!H800,"not provided"),exact(Metadata!H800,"restricted access"))),AND(IF(Metadata!H800="",FALSE,ISNUMBER(VALUE(Metadata!H800))),Metadata!H800&gt;0))</f>
        <v>0</v>
      </c>
      <c r="AI800">
        <f>AND(IF(Metadata!I800="",FALSE,TRUE),exact(Metadata!I800,"human"))</f>
        <v>0</v>
      </c>
      <c r="AJ800">
        <f>AND(IF(Metadata!J800="",FALSE,ISNUMBER(VALUE(Metadata!J800))),Metadata!J800&gt;0)</f>
        <v>0</v>
      </c>
      <c r="AK800">
        <f>AND(IF(Metadata!K800="",FALSE,TRUE),exact(Metadata!K800,"cm"))</f>
        <v>0</v>
      </c>
      <c r="AL800">
        <f>AND(IF(Metadata!L800="",FALSE,TRUE),exact(Metadata!L800,"Homo sapiens"))</f>
        <v>0</v>
      </c>
      <c r="AM800">
        <f>AND(IF(Metadata!M800="",FALSE,TRUE),exact(Metadata!M800,"9606"))</f>
        <v>0</v>
      </c>
      <c r="AN800">
        <f>AND(IF(Metadata!N800="",FALSE,ISNUMBER(VALUE(Metadata!N800))),Metadata!N800&gt;0)</f>
        <v>0</v>
      </c>
      <c r="AO800">
        <f>AND(IF(Metadata!O800="",FALSE,TRUE),exact(Metadata!O800,"kg"))</f>
        <v>0</v>
      </c>
      <c r="AP800">
        <f>OR(AND(IF(Metadata!P800="",FALSE,TRUE),exact(Metadata!P800,"not provided")),IF(Metadata!P800="",FALSE,TRUE))</f>
        <v>0</v>
      </c>
      <c r="AQ800">
        <f>OR(AND(IF(Metadata!Q800="",FALSE,TRUE),exact(Metadata!Q800,"not provided")),IF(Metadata!Q800="",FALSE,TRUE))</f>
        <v>0</v>
      </c>
    </row>
    <row r="801" spans="1:43">
      <c r="A801" s="4">
        <f>IF(B801=" "," ",HYPERLINK(CONCATENATE("#metadata!",ADDRESS(INDEX($W$2:$W$1001,MATCH(ROWS($U$2:U801),$U$2:$U$1001,0),0),2)),INDEX($Z$2:$Z$1001,MATCH(ROWS($U$2:U801),$U$2:$U$1001,0),0)))</f>
        <v>0</v>
      </c>
      <c r="B801" s="5">
        <f>IF(OR(INDEX($V$2:$V$1001,MATCH(ROWS($U$2:U801),$U$2:$U$1001,0),1)&gt;=100000,INDEX($AB$1005:$AQ$1005,1,MATCH(COLUMNS($AB$1006:AB1006),$AB$1006:$AQ$1006,0))&gt;=100000), " ",IF(INDEX($AB$2:$AQ$1001,MATCH(ROWS($U$2:U801),$U$2:$U$1001,0),MATCH(COLUMNS($AB$1006:AB1006),$AB$1006:$AQ$1006,0)), HYPERLINK("#",""), HYPERLINK(CONCATENATE("#Metadata!", ADDRESS(INDEX($W$2:$W$1001,MATCH(ROWS($U$2:U801),$U$2:$U$1001,0),0), INDEX($AB$1004:$AQ$1004,1,MATCH(COLUMNS($AB$1006:AB1006),$AB$1006:$AQ$1006,0)))),"Fix")))</f>
        <v>0</v>
      </c>
      <c r="C801" s="5">
        <f>IF(OR(INDEX($V$2:$V$1001,MATCH(ROWS($U$2:U801),$U$2:$U$1001,0),1)&gt;=100000,INDEX($AB$1005:$AQ$1005,1,MATCH(COLUMNS($AB$1006:AC1006),$AB$1006:$AQ$1006,0))&gt;=100000), " ",IF(INDEX($AB$2:$AQ$1001,MATCH(ROWS($U$2:U801),$U$2:$U$1001,0),MATCH(COLUMNS($AB$1006:AC1006),$AB$1006:$AQ$1006,0)), HYPERLINK("#",""), HYPERLINK(CONCATENATE("#Metadata!", ADDRESS(INDEX($W$2:$W$1001,MATCH(ROWS($U$2:U801),$U$2:$U$1001,0),0), INDEX($AB$1004:$AQ$1004,1,MATCH(COLUMNS($AB$1006:AC1006),$AB$1006:$AQ$1006,0)))),"Fix")))</f>
        <v>0</v>
      </c>
      <c r="D801" s="5">
        <f>IF(OR(INDEX($V$2:$V$1001,MATCH(ROWS($U$2:U801),$U$2:$U$1001,0),1)&gt;=100000,INDEX($AB$1005:$AQ$1005,1,MATCH(COLUMNS($AB$1006:AD1006),$AB$1006:$AQ$1006,0))&gt;=100000), " ",IF(INDEX($AB$2:$AQ$1001,MATCH(ROWS($U$2:U801),$U$2:$U$1001,0),MATCH(COLUMNS($AB$1006:AD1006),$AB$1006:$AQ$1006,0)), HYPERLINK("#",""), HYPERLINK(CONCATENATE("#Metadata!", ADDRESS(INDEX($W$2:$W$1001,MATCH(ROWS($U$2:U801),$U$2:$U$1001,0),0), INDEX($AB$1004:$AQ$1004,1,MATCH(COLUMNS($AB$1006:AD1006),$AB$1006:$AQ$1006,0)))),"Fix")))</f>
        <v>0</v>
      </c>
      <c r="E801" s="5">
        <f>IF(OR(INDEX($V$2:$V$1001,MATCH(ROWS($U$2:U801),$U$2:$U$1001,0),1)&gt;=100000,INDEX($AB$1005:$AQ$1005,1,MATCH(COLUMNS($AB$1006:AE1006),$AB$1006:$AQ$1006,0))&gt;=100000), " ",IF(INDEX($AB$2:$AQ$1001,MATCH(ROWS($U$2:U801),$U$2:$U$1001,0),MATCH(COLUMNS($AB$1006:AE1006),$AB$1006:$AQ$1006,0)), HYPERLINK("#",""), HYPERLINK(CONCATENATE("#Metadata!", ADDRESS(INDEX($W$2:$W$1001,MATCH(ROWS($U$2:U801),$U$2:$U$1001,0),0), INDEX($AB$1004:$AQ$1004,1,MATCH(COLUMNS($AB$1006:AE1006),$AB$1006:$AQ$1006,0)))),"Fix")))</f>
        <v>0</v>
      </c>
      <c r="F801" s="5">
        <f>IF(OR(INDEX($V$2:$V$1001,MATCH(ROWS($U$2:U801),$U$2:$U$1001,0),1)&gt;=100000,INDEX($AB$1005:$AQ$1005,1,MATCH(COLUMNS($AB$1006:AF1006),$AB$1006:$AQ$1006,0))&gt;=100000), " ",IF(INDEX($AB$2:$AQ$1001,MATCH(ROWS($U$2:U801),$U$2:$U$1001,0),MATCH(COLUMNS($AB$1006:AF1006),$AB$1006:$AQ$1006,0)), HYPERLINK("#",""), HYPERLINK(CONCATENATE("#Metadata!", ADDRESS(INDEX($W$2:$W$1001,MATCH(ROWS($U$2:U801),$U$2:$U$1001,0),0), INDEX($AB$1004:$AQ$1004,1,MATCH(COLUMNS($AB$1006:AF1006),$AB$1006:$AQ$1006,0)))),"Fix")))</f>
        <v>0</v>
      </c>
      <c r="G801" s="5">
        <f>IF(OR(INDEX($V$2:$V$1001,MATCH(ROWS($U$2:U801),$U$2:$U$1001,0),1)&gt;=100000,INDEX($AB$1005:$AQ$1005,1,MATCH(COLUMNS($AB$1006:AG1006),$AB$1006:$AQ$1006,0))&gt;=100000), " ",IF(INDEX($AB$2:$AQ$1001,MATCH(ROWS($U$2:U801),$U$2:$U$1001,0),MATCH(COLUMNS($AB$1006:AG1006),$AB$1006:$AQ$1006,0)), HYPERLINK("#",""), HYPERLINK(CONCATENATE("#Metadata!", ADDRESS(INDEX($W$2:$W$1001,MATCH(ROWS($U$2:U801),$U$2:$U$1001,0),0), INDEX($AB$1004:$AQ$1004,1,MATCH(COLUMNS($AB$1006:AG1006),$AB$1006:$AQ$1006,0)))),"Fix")))</f>
        <v>0</v>
      </c>
      <c r="H801" s="5">
        <f>IF(OR(INDEX($V$2:$V$1001,MATCH(ROWS($U$2:U801),$U$2:$U$1001,0),1)&gt;=100000,INDEX($AB$1005:$AQ$1005,1,MATCH(COLUMNS($AB$1006:AH1006),$AB$1006:$AQ$1006,0))&gt;=100000), " ",IF(INDEX($AB$2:$AQ$1001,MATCH(ROWS($U$2:U801),$U$2:$U$1001,0),MATCH(COLUMNS($AB$1006:AH1006),$AB$1006:$AQ$1006,0)), HYPERLINK("#",""), HYPERLINK(CONCATENATE("#Metadata!", ADDRESS(INDEX($W$2:$W$1001,MATCH(ROWS($U$2:U801),$U$2:$U$1001,0),0), INDEX($AB$1004:$AQ$1004,1,MATCH(COLUMNS($AB$1006:AH1006),$AB$1006:$AQ$1006,0)))),"Fix")))</f>
        <v>0</v>
      </c>
      <c r="I801" s="5">
        <f>IF(OR(INDEX($V$2:$V$1001,MATCH(ROWS($U$2:U801),$U$2:$U$1001,0),1)&gt;=100000,INDEX($AB$1005:$AQ$1005,1,MATCH(COLUMNS($AB$1006:AI1006),$AB$1006:$AQ$1006,0))&gt;=100000), " ",IF(INDEX($AB$2:$AQ$1001,MATCH(ROWS($U$2:U801),$U$2:$U$1001,0),MATCH(COLUMNS($AB$1006:AI1006),$AB$1006:$AQ$1006,0)), HYPERLINK("#",""), HYPERLINK(CONCATENATE("#Metadata!", ADDRESS(INDEX($W$2:$W$1001,MATCH(ROWS($U$2:U801),$U$2:$U$1001,0),0), INDEX($AB$1004:$AQ$1004,1,MATCH(COLUMNS($AB$1006:AI1006),$AB$1006:$AQ$1006,0)))),"Fix")))</f>
        <v>0</v>
      </c>
      <c r="J801" s="5">
        <f>IF(OR(INDEX($V$2:$V$1001,MATCH(ROWS($U$2:U801),$U$2:$U$1001,0),1)&gt;=100000,INDEX($AB$1005:$AQ$1005,1,MATCH(COLUMNS($AB$1006:AJ1006),$AB$1006:$AQ$1006,0))&gt;=100000), " ",IF(INDEX($AB$2:$AQ$1001,MATCH(ROWS($U$2:U801),$U$2:$U$1001,0),MATCH(COLUMNS($AB$1006:AJ1006),$AB$1006:$AQ$1006,0)), HYPERLINK("#",""), HYPERLINK(CONCATENATE("#Metadata!", ADDRESS(INDEX($W$2:$W$1001,MATCH(ROWS($U$2:U801),$U$2:$U$1001,0),0), INDEX($AB$1004:$AQ$1004,1,MATCH(COLUMNS($AB$1006:AJ1006),$AB$1006:$AQ$1006,0)))),"Fix")))</f>
        <v>0</v>
      </c>
      <c r="K801" s="5">
        <f>IF(OR(INDEX($V$2:$V$1001,MATCH(ROWS($U$2:U801),$U$2:$U$1001,0),1)&gt;=100000,INDEX($AB$1005:$AQ$1005,1,MATCH(COLUMNS($AB$1006:AK1006),$AB$1006:$AQ$1006,0))&gt;=100000), " ",IF(INDEX($AB$2:$AQ$1001,MATCH(ROWS($U$2:U801),$U$2:$U$1001,0),MATCH(COLUMNS($AB$1006:AK1006),$AB$1006:$AQ$1006,0)), HYPERLINK("#",""), HYPERLINK(CONCATENATE("#Metadata!", ADDRESS(INDEX($W$2:$W$1001,MATCH(ROWS($U$2:U801),$U$2:$U$1001,0),0), INDEX($AB$1004:$AQ$1004,1,MATCH(COLUMNS($AB$1006:AK1006),$AB$1006:$AQ$1006,0)))),"Fix")))</f>
        <v>0</v>
      </c>
      <c r="L801" s="5">
        <f>IF(OR(INDEX($V$2:$V$1001,MATCH(ROWS($U$2:U801),$U$2:$U$1001,0),1)&gt;=100000,INDEX($AB$1005:$AQ$1005,1,MATCH(COLUMNS($AB$1006:AL1006),$AB$1006:$AQ$1006,0))&gt;=100000), " ",IF(INDEX($AB$2:$AQ$1001,MATCH(ROWS($U$2:U801),$U$2:$U$1001,0),MATCH(COLUMNS($AB$1006:AL1006),$AB$1006:$AQ$1006,0)), HYPERLINK("#",""), HYPERLINK(CONCATENATE("#Metadata!", ADDRESS(INDEX($W$2:$W$1001,MATCH(ROWS($U$2:U801),$U$2:$U$1001,0),0), INDEX($AB$1004:$AQ$1004,1,MATCH(COLUMNS($AB$1006:AL1006),$AB$1006:$AQ$1006,0)))),"Fix")))</f>
        <v>0</v>
      </c>
      <c r="M801" s="5">
        <f>IF(OR(INDEX($V$2:$V$1001,MATCH(ROWS($U$2:U801),$U$2:$U$1001,0),1)&gt;=100000,INDEX($AB$1005:$AQ$1005,1,MATCH(COLUMNS($AB$1006:AM1006),$AB$1006:$AQ$1006,0))&gt;=100000), " ",IF(INDEX($AB$2:$AQ$1001,MATCH(ROWS($U$2:U801),$U$2:$U$1001,0),MATCH(COLUMNS($AB$1006:AM1006),$AB$1006:$AQ$1006,0)), HYPERLINK("#",""), HYPERLINK(CONCATENATE("#Metadata!", ADDRESS(INDEX($W$2:$W$1001,MATCH(ROWS($U$2:U801),$U$2:$U$1001,0),0), INDEX($AB$1004:$AQ$1004,1,MATCH(COLUMNS($AB$1006:AM1006),$AB$1006:$AQ$1006,0)))),"Fix")))</f>
        <v>0</v>
      </c>
      <c r="N801" s="5">
        <f>IF(OR(INDEX($V$2:$V$1001,MATCH(ROWS($U$2:U801),$U$2:$U$1001,0),1)&gt;=100000,INDEX($AB$1005:$AQ$1005,1,MATCH(COLUMNS($AB$1006:AN1006),$AB$1006:$AQ$1006,0))&gt;=100000), " ",IF(INDEX($AB$2:$AQ$1001,MATCH(ROWS($U$2:U801),$U$2:$U$1001,0),MATCH(COLUMNS($AB$1006:AN1006),$AB$1006:$AQ$1006,0)), HYPERLINK("#",""), HYPERLINK(CONCATENATE("#Metadata!", ADDRESS(INDEX($W$2:$W$1001,MATCH(ROWS($U$2:U801),$U$2:$U$1001,0),0), INDEX($AB$1004:$AQ$1004,1,MATCH(COLUMNS($AB$1006:AN1006),$AB$1006:$AQ$1006,0)))),"Fix")))</f>
        <v>0</v>
      </c>
      <c r="O801" s="5">
        <f>IF(OR(INDEX($V$2:$V$1001,MATCH(ROWS($U$2:U801),$U$2:$U$1001,0),1)&gt;=100000,INDEX($AB$1005:$AQ$1005,1,MATCH(COLUMNS($AB$1006:AO1006),$AB$1006:$AQ$1006,0))&gt;=100000), " ",IF(INDEX($AB$2:$AQ$1001,MATCH(ROWS($U$2:U801),$U$2:$U$1001,0),MATCH(COLUMNS($AB$1006:AO1006),$AB$1006:$AQ$1006,0)), HYPERLINK("#",""), HYPERLINK(CONCATENATE("#Metadata!", ADDRESS(INDEX($W$2:$W$1001,MATCH(ROWS($U$2:U801),$U$2:$U$1001,0),0), INDEX($AB$1004:$AQ$1004,1,MATCH(COLUMNS($AB$1006:AO1006),$AB$1006:$AQ$1006,0)))),"Fix")))</f>
        <v>0</v>
      </c>
      <c r="P801" s="5">
        <f>IF(OR(INDEX($V$2:$V$1001,MATCH(ROWS($U$2:U801),$U$2:$U$1001,0),1)&gt;=100000,INDEX($AB$1005:$AQ$1005,1,MATCH(COLUMNS($AB$1006:AP1006),$AB$1006:$AQ$1006,0))&gt;=100000), " ",IF(INDEX($AB$2:$AQ$1001,MATCH(ROWS($U$2:U801),$U$2:$U$1001,0),MATCH(COLUMNS($AB$1006:AP1006),$AB$1006:$AQ$1006,0)), HYPERLINK("#",""), HYPERLINK(CONCATENATE("#Metadata!", ADDRESS(INDEX($W$2:$W$1001,MATCH(ROWS($U$2:U801),$U$2:$U$1001,0),0), INDEX($AB$1004:$AQ$1004,1,MATCH(COLUMNS($AB$1006:AP1006),$AB$1006:$AQ$1006,0)))),"Fix")))</f>
        <v>0</v>
      </c>
      <c r="Q801" s="5">
        <f>IF(OR(INDEX($V$2:$V$1001,MATCH(ROWS($U$2:U801),$U$2:$U$1001,0),1)&gt;=100000,INDEX($AB$1005:$AQ$1005,1,MATCH(COLUMNS($AB$1006:AQ1006),$AB$1006:$AQ$1006,0))&gt;=100000), " ",IF(INDEX($AB$2:$AQ$1001,MATCH(ROWS($U$2:U801),$U$2:$U$1001,0),MATCH(COLUMNS($AB$1006:AQ1006),$AB$1006:$AQ$1006,0)), HYPERLINK("#",""), HYPERLINK(CONCATENATE("#Metadata!", ADDRESS(INDEX($W$2:$W$1001,MATCH(ROWS($U$2:U801),$U$2:$U$1001,0),0), INDEX($AB$1004:$AQ$1004,1,MATCH(COLUMNS($AB$1006:AQ1006),$AB$1006:$AQ$1006,0)))),"Fix")))</f>
        <v>0</v>
      </c>
      <c r="U801">
        <v>0</v>
      </c>
      <c r="V801">
        <v>0</v>
      </c>
      <c r="W801">
        <v>0</v>
      </c>
      <c r="X801">
        <f>IF(Y801,TRUE,AND(AB801:AQ801))</f>
        <v>0</v>
      </c>
      <c r="Y801">
        <f>COUNTBLANK(Metadata!B801:Q801)=COLUMNS(Metadata!B801:Q801)</f>
        <v>0</v>
      </c>
      <c r="Z801">
        <v>0</v>
      </c>
      <c r="AB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AC801">
        <f>AND(IF(Metadata!C801="",FALSE,TRUE),exact(Metadata!C801,"urban biome"))</f>
        <v>0</v>
      </c>
      <c r="AD801">
        <f>AND(IF(Metadata!D801="",FALSE,TRUE),exact(Metadata!D801,"human-associated habitat"))</f>
        <v>0</v>
      </c>
      <c r="AE801">
        <f>AND(IF(Metadata!E801="",FALSE,TRUE),OR(exact(Metadata!E801,"human-associated"),exact(Metadata!E801,"human-skin"),exact(Metadata!E801,"human-oral"),exact(Metadata!E801,"human-gut"),exact(Metadata!E801,"human-vaginal")))</f>
        <v>0</v>
      </c>
      <c r="AF801">
        <f>AND(IF(Metadata!F801="",FALSE,ISNUMBER(VALUE(Metadata!F801))),Metadata!F801&gt;0)</f>
        <v>0</v>
      </c>
      <c r="AG801">
        <f>AND(IF(Metadata!G801="",FALSE,TRUE),exact(Metadata!G801,"years"))</f>
        <v>0</v>
      </c>
      <c r="AH801">
        <f>OR(AND(IF(Metadata!H801="",FALSE,TRUE),OR(exact(Metadata!H801,"not applicable"),exact(Metadata!H801,"not collected"),exact(Metadata!H801,"not provided"),exact(Metadata!H801,"restricted access"))),AND(IF(Metadata!H801="",FALSE,ISNUMBER(VALUE(Metadata!H801))),Metadata!H801&gt;0))</f>
        <v>0</v>
      </c>
      <c r="AI801">
        <f>AND(IF(Metadata!I801="",FALSE,TRUE),exact(Metadata!I801,"human"))</f>
        <v>0</v>
      </c>
      <c r="AJ801">
        <f>AND(IF(Metadata!J801="",FALSE,ISNUMBER(VALUE(Metadata!J801))),Metadata!J801&gt;0)</f>
        <v>0</v>
      </c>
      <c r="AK801">
        <f>AND(IF(Metadata!K801="",FALSE,TRUE),exact(Metadata!K801,"cm"))</f>
        <v>0</v>
      </c>
      <c r="AL801">
        <f>AND(IF(Metadata!L801="",FALSE,TRUE),exact(Metadata!L801,"Homo sapiens"))</f>
        <v>0</v>
      </c>
      <c r="AM801">
        <f>AND(IF(Metadata!M801="",FALSE,TRUE),exact(Metadata!M801,"9606"))</f>
        <v>0</v>
      </c>
      <c r="AN801">
        <f>AND(IF(Metadata!N801="",FALSE,ISNUMBER(VALUE(Metadata!N801))),Metadata!N801&gt;0)</f>
        <v>0</v>
      </c>
      <c r="AO801">
        <f>AND(IF(Metadata!O801="",FALSE,TRUE),exact(Metadata!O801,"kg"))</f>
        <v>0</v>
      </c>
      <c r="AP801">
        <f>OR(AND(IF(Metadata!P801="",FALSE,TRUE),exact(Metadata!P801,"not provided")),IF(Metadata!P801="",FALSE,TRUE))</f>
        <v>0</v>
      </c>
      <c r="AQ801">
        <f>OR(AND(IF(Metadata!Q801="",FALSE,TRUE),exact(Metadata!Q801,"not provided")),IF(Metadata!Q801="",FALSE,TRUE))</f>
        <v>0</v>
      </c>
    </row>
    <row r="802" spans="1:43">
      <c r="A802" s="4">
        <f>IF(B802=" "," ",HYPERLINK(CONCATENATE("#metadata!",ADDRESS(INDEX($W$2:$W$1001,MATCH(ROWS($U$2:U802),$U$2:$U$1001,0),0),2)),INDEX($Z$2:$Z$1001,MATCH(ROWS($U$2:U802),$U$2:$U$1001,0),0)))</f>
        <v>0</v>
      </c>
      <c r="B802" s="5">
        <f>IF(OR(INDEX($V$2:$V$1001,MATCH(ROWS($U$2:U802),$U$2:$U$1001,0),1)&gt;=100000,INDEX($AB$1005:$AQ$1005,1,MATCH(COLUMNS($AB$1006:AB1006),$AB$1006:$AQ$1006,0))&gt;=100000), " ",IF(INDEX($AB$2:$AQ$1001,MATCH(ROWS($U$2:U802),$U$2:$U$1001,0),MATCH(COLUMNS($AB$1006:AB1006),$AB$1006:$AQ$1006,0)), HYPERLINK("#",""), HYPERLINK(CONCATENATE("#Metadata!", ADDRESS(INDEX($W$2:$W$1001,MATCH(ROWS($U$2:U802),$U$2:$U$1001,0),0), INDEX($AB$1004:$AQ$1004,1,MATCH(COLUMNS($AB$1006:AB1006),$AB$1006:$AQ$1006,0)))),"Fix")))</f>
        <v>0</v>
      </c>
      <c r="C802" s="5">
        <f>IF(OR(INDEX($V$2:$V$1001,MATCH(ROWS($U$2:U802),$U$2:$U$1001,0),1)&gt;=100000,INDEX($AB$1005:$AQ$1005,1,MATCH(COLUMNS($AB$1006:AC1006),$AB$1006:$AQ$1006,0))&gt;=100000), " ",IF(INDEX($AB$2:$AQ$1001,MATCH(ROWS($U$2:U802),$U$2:$U$1001,0),MATCH(COLUMNS($AB$1006:AC1006),$AB$1006:$AQ$1006,0)), HYPERLINK("#",""), HYPERLINK(CONCATENATE("#Metadata!", ADDRESS(INDEX($W$2:$W$1001,MATCH(ROWS($U$2:U802),$U$2:$U$1001,0),0), INDEX($AB$1004:$AQ$1004,1,MATCH(COLUMNS($AB$1006:AC1006),$AB$1006:$AQ$1006,0)))),"Fix")))</f>
        <v>0</v>
      </c>
      <c r="D802" s="5">
        <f>IF(OR(INDEX($V$2:$V$1001,MATCH(ROWS($U$2:U802),$U$2:$U$1001,0),1)&gt;=100000,INDEX($AB$1005:$AQ$1005,1,MATCH(COLUMNS($AB$1006:AD1006),$AB$1006:$AQ$1006,0))&gt;=100000), " ",IF(INDEX($AB$2:$AQ$1001,MATCH(ROWS($U$2:U802),$U$2:$U$1001,0),MATCH(COLUMNS($AB$1006:AD1006),$AB$1006:$AQ$1006,0)), HYPERLINK("#",""), HYPERLINK(CONCATENATE("#Metadata!", ADDRESS(INDEX($W$2:$W$1001,MATCH(ROWS($U$2:U802),$U$2:$U$1001,0),0), INDEX($AB$1004:$AQ$1004,1,MATCH(COLUMNS($AB$1006:AD1006),$AB$1006:$AQ$1006,0)))),"Fix")))</f>
        <v>0</v>
      </c>
      <c r="E802" s="5">
        <f>IF(OR(INDEX($V$2:$V$1001,MATCH(ROWS($U$2:U802),$U$2:$U$1001,0),1)&gt;=100000,INDEX($AB$1005:$AQ$1005,1,MATCH(COLUMNS($AB$1006:AE1006),$AB$1006:$AQ$1006,0))&gt;=100000), " ",IF(INDEX($AB$2:$AQ$1001,MATCH(ROWS($U$2:U802),$U$2:$U$1001,0),MATCH(COLUMNS($AB$1006:AE1006),$AB$1006:$AQ$1006,0)), HYPERLINK("#",""), HYPERLINK(CONCATENATE("#Metadata!", ADDRESS(INDEX($W$2:$W$1001,MATCH(ROWS($U$2:U802),$U$2:$U$1001,0),0), INDEX($AB$1004:$AQ$1004,1,MATCH(COLUMNS($AB$1006:AE1006),$AB$1006:$AQ$1006,0)))),"Fix")))</f>
        <v>0</v>
      </c>
      <c r="F802" s="5">
        <f>IF(OR(INDEX($V$2:$V$1001,MATCH(ROWS($U$2:U802),$U$2:$U$1001,0),1)&gt;=100000,INDEX($AB$1005:$AQ$1005,1,MATCH(COLUMNS($AB$1006:AF1006),$AB$1006:$AQ$1006,0))&gt;=100000), " ",IF(INDEX($AB$2:$AQ$1001,MATCH(ROWS($U$2:U802),$U$2:$U$1001,0),MATCH(COLUMNS($AB$1006:AF1006),$AB$1006:$AQ$1006,0)), HYPERLINK("#",""), HYPERLINK(CONCATENATE("#Metadata!", ADDRESS(INDEX($W$2:$W$1001,MATCH(ROWS($U$2:U802),$U$2:$U$1001,0),0), INDEX($AB$1004:$AQ$1004,1,MATCH(COLUMNS($AB$1006:AF1006),$AB$1006:$AQ$1006,0)))),"Fix")))</f>
        <v>0</v>
      </c>
      <c r="G802" s="5">
        <f>IF(OR(INDEX($V$2:$V$1001,MATCH(ROWS($U$2:U802),$U$2:$U$1001,0),1)&gt;=100000,INDEX($AB$1005:$AQ$1005,1,MATCH(COLUMNS($AB$1006:AG1006),$AB$1006:$AQ$1006,0))&gt;=100000), " ",IF(INDEX($AB$2:$AQ$1001,MATCH(ROWS($U$2:U802),$U$2:$U$1001,0),MATCH(COLUMNS($AB$1006:AG1006),$AB$1006:$AQ$1006,0)), HYPERLINK("#",""), HYPERLINK(CONCATENATE("#Metadata!", ADDRESS(INDEX($W$2:$W$1001,MATCH(ROWS($U$2:U802),$U$2:$U$1001,0),0), INDEX($AB$1004:$AQ$1004,1,MATCH(COLUMNS($AB$1006:AG1006),$AB$1006:$AQ$1006,0)))),"Fix")))</f>
        <v>0</v>
      </c>
      <c r="H802" s="5">
        <f>IF(OR(INDEX($V$2:$V$1001,MATCH(ROWS($U$2:U802),$U$2:$U$1001,0),1)&gt;=100000,INDEX($AB$1005:$AQ$1005,1,MATCH(COLUMNS($AB$1006:AH1006),$AB$1006:$AQ$1006,0))&gt;=100000), " ",IF(INDEX($AB$2:$AQ$1001,MATCH(ROWS($U$2:U802),$U$2:$U$1001,0),MATCH(COLUMNS($AB$1006:AH1006),$AB$1006:$AQ$1006,0)), HYPERLINK("#",""), HYPERLINK(CONCATENATE("#Metadata!", ADDRESS(INDEX($W$2:$W$1001,MATCH(ROWS($U$2:U802),$U$2:$U$1001,0),0), INDEX($AB$1004:$AQ$1004,1,MATCH(COLUMNS($AB$1006:AH1006),$AB$1006:$AQ$1006,0)))),"Fix")))</f>
        <v>0</v>
      </c>
      <c r="I802" s="5">
        <f>IF(OR(INDEX($V$2:$V$1001,MATCH(ROWS($U$2:U802),$U$2:$U$1001,0),1)&gt;=100000,INDEX($AB$1005:$AQ$1005,1,MATCH(COLUMNS($AB$1006:AI1006),$AB$1006:$AQ$1006,0))&gt;=100000), " ",IF(INDEX($AB$2:$AQ$1001,MATCH(ROWS($U$2:U802),$U$2:$U$1001,0),MATCH(COLUMNS($AB$1006:AI1006),$AB$1006:$AQ$1006,0)), HYPERLINK("#",""), HYPERLINK(CONCATENATE("#Metadata!", ADDRESS(INDEX($W$2:$W$1001,MATCH(ROWS($U$2:U802),$U$2:$U$1001,0),0), INDEX($AB$1004:$AQ$1004,1,MATCH(COLUMNS($AB$1006:AI1006),$AB$1006:$AQ$1006,0)))),"Fix")))</f>
        <v>0</v>
      </c>
      <c r="J802" s="5">
        <f>IF(OR(INDEX($V$2:$V$1001,MATCH(ROWS($U$2:U802),$U$2:$U$1001,0),1)&gt;=100000,INDEX($AB$1005:$AQ$1005,1,MATCH(COLUMNS($AB$1006:AJ1006),$AB$1006:$AQ$1006,0))&gt;=100000), " ",IF(INDEX($AB$2:$AQ$1001,MATCH(ROWS($U$2:U802),$U$2:$U$1001,0),MATCH(COLUMNS($AB$1006:AJ1006),$AB$1006:$AQ$1006,0)), HYPERLINK("#",""), HYPERLINK(CONCATENATE("#Metadata!", ADDRESS(INDEX($W$2:$W$1001,MATCH(ROWS($U$2:U802),$U$2:$U$1001,0),0), INDEX($AB$1004:$AQ$1004,1,MATCH(COLUMNS($AB$1006:AJ1006),$AB$1006:$AQ$1006,0)))),"Fix")))</f>
        <v>0</v>
      </c>
      <c r="K802" s="5">
        <f>IF(OR(INDEX($V$2:$V$1001,MATCH(ROWS($U$2:U802),$U$2:$U$1001,0),1)&gt;=100000,INDEX($AB$1005:$AQ$1005,1,MATCH(COLUMNS($AB$1006:AK1006),$AB$1006:$AQ$1006,0))&gt;=100000), " ",IF(INDEX($AB$2:$AQ$1001,MATCH(ROWS($U$2:U802),$U$2:$U$1001,0),MATCH(COLUMNS($AB$1006:AK1006),$AB$1006:$AQ$1006,0)), HYPERLINK("#",""), HYPERLINK(CONCATENATE("#Metadata!", ADDRESS(INDEX($W$2:$W$1001,MATCH(ROWS($U$2:U802),$U$2:$U$1001,0),0), INDEX($AB$1004:$AQ$1004,1,MATCH(COLUMNS($AB$1006:AK1006),$AB$1006:$AQ$1006,0)))),"Fix")))</f>
        <v>0</v>
      </c>
      <c r="L802" s="5">
        <f>IF(OR(INDEX($V$2:$V$1001,MATCH(ROWS($U$2:U802),$U$2:$U$1001,0),1)&gt;=100000,INDEX($AB$1005:$AQ$1005,1,MATCH(COLUMNS($AB$1006:AL1006),$AB$1006:$AQ$1006,0))&gt;=100000), " ",IF(INDEX($AB$2:$AQ$1001,MATCH(ROWS($U$2:U802),$U$2:$U$1001,0),MATCH(COLUMNS($AB$1006:AL1006),$AB$1006:$AQ$1006,0)), HYPERLINK("#",""), HYPERLINK(CONCATENATE("#Metadata!", ADDRESS(INDEX($W$2:$W$1001,MATCH(ROWS($U$2:U802),$U$2:$U$1001,0),0), INDEX($AB$1004:$AQ$1004,1,MATCH(COLUMNS($AB$1006:AL1006),$AB$1006:$AQ$1006,0)))),"Fix")))</f>
        <v>0</v>
      </c>
      <c r="M802" s="5">
        <f>IF(OR(INDEX($V$2:$V$1001,MATCH(ROWS($U$2:U802),$U$2:$U$1001,0),1)&gt;=100000,INDEX($AB$1005:$AQ$1005,1,MATCH(COLUMNS($AB$1006:AM1006),$AB$1006:$AQ$1006,0))&gt;=100000), " ",IF(INDEX($AB$2:$AQ$1001,MATCH(ROWS($U$2:U802),$U$2:$U$1001,0),MATCH(COLUMNS($AB$1006:AM1006),$AB$1006:$AQ$1006,0)), HYPERLINK("#",""), HYPERLINK(CONCATENATE("#Metadata!", ADDRESS(INDEX($W$2:$W$1001,MATCH(ROWS($U$2:U802),$U$2:$U$1001,0),0), INDEX($AB$1004:$AQ$1004,1,MATCH(COLUMNS($AB$1006:AM1006),$AB$1006:$AQ$1006,0)))),"Fix")))</f>
        <v>0</v>
      </c>
      <c r="N802" s="5">
        <f>IF(OR(INDEX($V$2:$V$1001,MATCH(ROWS($U$2:U802),$U$2:$U$1001,0),1)&gt;=100000,INDEX($AB$1005:$AQ$1005,1,MATCH(COLUMNS($AB$1006:AN1006),$AB$1006:$AQ$1006,0))&gt;=100000), " ",IF(INDEX($AB$2:$AQ$1001,MATCH(ROWS($U$2:U802),$U$2:$U$1001,0),MATCH(COLUMNS($AB$1006:AN1006),$AB$1006:$AQ$1006,0)), HYPERLINK("#",""), HYPERLINK(CONCATENATE("#Metadata!", ADDRESS(INDEX($W$2:$W$1001,MATCH(ROWS($U$2:U802),$U$2:$U$1001,0),0), INDEX($AB$1004:$AQ$1004,1,MATCH(COLUMNS($AB$1006:AN1006),$AB$1006:$AQ$1006,0)))),"Fix")))</f>
        <v>0</v>
      </c>
      <c r="O802" s="5">
        <f>IF(OR(INDEX($V$2:$V$1001,MATCH(ROWS($U$2:U802),$U$2:$U$1001,0),1)&gt;=100000,INDEX($AB$1005:$AQ$1005,1,MATCH(COLUMNS($AB$1006:AO1006),$AB$1006:$AQ$1006,0))&gt;=100000), " ",IF(INDEX($AB$2:$AQ$1001,MATCH(ROWS($U$2:U802),$U$2:$U$1001,0),MATCH(COLUMNS($AB$1006:AO1006),$AB$1006:$AQ$1006,0)), HYPERLINK("#",""), HYPERLINK(CONCATENATE("#Metadata!", ADDRESS(INDEX($W$2:$W$1001,MATCH(ROWS($U$2:U802),$U$2:$U$1001,0),0), INDEX($AB$1004:$AQ$1004,1,MATCH(COLUMNS($AB$1006:AO1006),$AB$1006:$AQ$1006,0)))),"Fix")))</f>
        <v>0</v>
      </c>
      <c r="P802" s="5">
        <f>IF(OR(INDEX($V$2:$V$1001,MATCH(ROWS($U$2:U802),$U$2:$U$1001,0),1)&gt;=100000,INDEX($AB$1005:$AQ$1005,1,MATCH(COLUMNS($AB$1006:AP1006),$AB$1006:$AQ$1006,0))&gt;=100000), " ",IF(INDEX($AB$2:$AQ$1001,MATCH(ROWS($U$2:U802),$U$2:$U$1001,0),MATCH(COLUMNS($AB$1006:AP1006),$AB$1006:$AQ$1006,0)), HYPERLINK("#",""), HYPERLINK(CONCATENATE("#Metadata!", ADDRESS(INDEX($W$2:$W$1001,MATCH(ROWS($U$2:U802),$U$2:$U$1001,0),0), INDEX($AB$1004:$AQ$1004,1,MATCH(COLUMNS($AB$1006:AP1006),$AB$1006:$AQ$1006,0)))),"Fix")))</f>
        <v>0</v>
      </c>
      <c r="Q802" s="5">
        <f>IF(OR(INDEX($V$2:$V$1001,MATCH(ROWS($U$2:U802),$U$2:$U$1001,0),1)&gt;=100000,INDEX($AB$1005:$AQ$1005,1,MATCH(COLUMNS($AB$1006:AQ1006),$AB$1006:$AQ$1006,0))&gt;=100000), " ",IF(INDEX($AB$2:$AQ$1001,MATCH(ROWS($U$2:U802),$U$2:$U$1001,0),MATCH(COLUMNS($AB$1006:AQ1006),$AB$1006:$AQ$1006,0)), HYPERLINK("#",""), HYPERLINK(CONCATENATE("#Metadata!", ADDRESS(INDEX($W$2:$W$1001,MATCH(ROWS($U$2:U802),$U$2:$U$1001,0),0), INDEX($AB$1004:$AQ$1004,1,MATCH(COLUMNS($AB$1006:AQ1006),$AB$1006:$AQ$1006,0)))),"Fix")))</f>
        <v>0</v>
      </c>
      <c r="U802">
        <v>0</v>
      </c>
      <c r="V802">
        <v>0</v>
      </c>
      <c r="W802">
        <v>0</v>
      </c>
      <c r="X802">
        <f>IF(Y802,TRUE,AND(AB802:AQ802))</f>
        <v>0</v>
      </c>
      <c r="Y802">
        <f>COUNTBLANK(Metadata!B802:Q802)=COLUMNS(Metadata!B802:Q802)</f>
        <v>0</v>
      </c>
      <c r="Z802">
        <v>0</v>
      </c>
      <c r="AB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AC802">
        <f>AND(IF(Metadata!C802="",FALSE,TRUE),exact(Metadata!C802,"urban biome"))</f>
        <v>0</v>
      </c>
      <c r="AD802">
        <f>AND(IF(Metadata!D802="",FALSE,TRUE),exact(Metadata!D802,"human-associated habitat"))</f>
        <v>0</v>
      </c>
      <c r="AE802">
        <f>AND(IF(Metadata!E802="",FALSE,TRUE),OR(exact(Metadata!E802,"human-associated"),exact(Metadata!E802,"human-skin"),exact(Metadata!E802,"human-oral"),exact(Metadata!E802,"human-gut"),exact(Metadata!E802,"human-vaginal")))</f>
        <v>0</v>
      </c>
      <c r="AF802">
        <f>AND(IF(Metadata!F802="",FALSE,ISNUMBER(VALUE(Metadata!F802))),Metadata!F802&gt;0)</f>
        <v>0</v>
      </c>
      <c r="AG802">
        <f>AND(IF(Metadata!G802="",FALSE,TRUE),exact(Metadata!G802,"years"))</f>
        <v>0</v>
      </c>
      <c r="AH802">
        <f>OR(AND(IF(Metadata!H802="",FALSE,TRUE),OR(exact(Metadata!H802,"not applicable"),exact(Metadata!H802,"not collected"),exact(Metadata!H802,"not provided"),exact(Metadata!H802,"restricted access"))),AND(IF(Metadata!H802="",FALSE,ISNUMBER(VALUE(Metadata!H802))),Metadata!H802&gt;0))</f>
        <v>0</v>
      </c>
      <c r="AI802">
        <f>AND(IF(Metadata!I802="",FALSE,TRUE),exact(Metadata!I802,"human"))</f>
        <v>0</v>
      </c>
      <c r="AJ802">
        <f>AND(IF(Metadata!J802="",FALSE,ISNUMBER(VALUE(Metadata!J802))),Metadata!J802&gt;0)</f>
        <v>0</v>
      </c>
      <c r="AK802">
        <f>AND(IF(Metadata!K802="",FALSE,TRUE),exact(Metadata!K802,"cm"))</f>
        <v>0</v>
      </c>
      <c r="AL802">
        <f>AND(IF(Metadata!L802="",FALSE,TRUE),exact(Metadata!L802,"Homo sapiens"))</f>
        <v>0</v>
      </c>
      <c r="AM802">
        <f>AND(IF(Metadata!M802="",FALSE,TRUE),exact(Metadata!M802,"9606"))</f>
        <v>0</v>
      </c>
      <c r="AN802">
        <f>AND(IF(Metadata!N802="",FALSE,ISNUMBER(VALUE(Metadata!N802))),Metadata!N802&gt;0)</f>
        <v>0</v>
      </c>
      <c r="AO802">
        <f>AND(IF(Metadata!O802="",FALSE,TRUE),exact(Metadata!O802,"kg"))</f>
        <v>0</v>
      </c>
      <c r="AP802">
        <f>OR(AND(IF(Metadata!P802="",FALSE,TRUE),exact(Metadata!P802,"not provided")),IF(Metadata!P802="",FALSE,TRUE))</f>
        <v>0</v>
      </c>
      <c r="AQ802">
        <f>OR(AND(IF(Metadata!Q802="",FALSE,TRUE),exact(Metadata!Q802,"not provided")),IF(Metadata!Q802="",FALSE,TRUE))</f>
        <v>0</v>
      </c>
    </row>
    <row r="803" spans="1:43">
      <c r="A803" s="4">
        <f>IF(B803=" "," ",HYPERLINK(CONCATENATE("#metadata!",ADDRESS(INDEX($W$2:$W$1001,MATCH(ROWS($U$2:U803),$U$2:$U$1001,0),0),2)),INDEX($Z$2:$Z$1001,MATCH(ROWS($U$2:U803),$U$2:$U$1001,0),0)))</f>
        <v>0</v>
      </c>
      <c r="B803" s="5">
        <f>IF(OR(INDEX($V$2:$V$1001,MATCH(ROWS($U$2:U803),$U$2:$U$1001,0),1)&gt;=100000,INDEX($AB$1005:$AQ$1005,1,MATCH(COLUMNS($AB$1006:AB1006),$AB$1006:$AQ$1006,0))&gt;=100000), " ",IF(INDEX($AB$2:$AQ$1001,MATCH(ROWS($U$2:U803),$U$2:$U$1001,0),MATCH(COLUMNS($AB$1006:AB1006),$AB$1006:$AQ$1006,0)), HYPERLINK("#",""), HYPERLINK(CONCATENATE("#Metadata!", ADDRESS(INDEX($W$2:$W$1001,MATCH(ROWS($U$2:U803),$U$2:$U$1001,0),0), INDEX($AB$1004:$AQ$1004,1,MATCH(COLUMNS($AB$1006:AB1006),$AB$1006:$AQ$1006,0)))),"Fix")))</f>
        <v>0</v>
      </c>
      <c r="C803" s="5">
        <f>IF(OR(INDEX($V$2:$V$1001,MATCH(ROWS($U$2:U803),$U$2:$U$1001,0),1)&gt;=100000,INDEX($AB$1005:$AQ$1005,1,MATCH(COLUMNS($AB$1006:AC1006),$AB$1006:$AQ$1006,0))&gt;=100000), " ",IF(INDEX($AB$2:$AQ$1001,MATCH(ROWS($U$2:U803),$U$2:$U$1001,0),MATCH(COLUMNS($AB$1006:AC1006),$AB$1006:$AQ$1006,0)), HYPERLINK("#",""), HYPERLINK(CONCATENATE("#Metadata!", ADDRESS(INDEX($W$2:$W$1001,MATCH(ROWS($U$2:U803),$U$2:$U$1001,0),0), INDEX($AB$1004:$AQ$1004,1,MATCH(COLUMNS($AB$1006:AC1006),$AB$1006:$AQ$1006,0)))),"Fix")))</f>
        <v>0</v>
      </c>
      <c r="D803" s="5">
        <f>IF(OR(INDEX($V$2:$V$1001,MATCH(ROWS($U$2:U803),$U$2:$U$1001,0),1)&gt;=100000,INDEX($AB$1005:$AQ$1005,1,MATCH(COLUMNS($AB$1006:AD1006),$AB$1006:$AQ$1006,0))&gt;=100000), " ",IF(INDEX($AB$2:$AQ$1001,MATCH(ROWS($U$2:U803),$U$2:$U$1001,0),MATCH(COLUMNS($AB$1006:AD1006),$AB$1006:$AQ$1006,0)), HYPERLINK("#",""), HYPERLINK(CONCATENATE("#Metadata!", ADDRESS(INDEX($W$2:$W$1001,MATCH(ROWS($U$2:U803),$U$2:$U$1001,0),0), INDEX($AB$1004:$AQ$1004,1,MATCH(COLUMNS($AB$1006:AD1006),$AB$1006:$AQ$1006,0)))),"Fix")))</f>
        <v>0</v>
      </c>
      <c r="E803" s="5">
        <f>IF(OR(INDEX($V$2:$V$1001,MATCH(ROWS($U$2:U803),$U$2:$U$1001,0),1)&gt;=100000,INDEX($AB$1005:$AQ$1005,1,MATCH(COLUMNS($AB$1006:AE1006),$AB$1006:$AQ$1006,0))&gt;=100000), " ",IF(INDEX($AB$2:$AQ$1001,MATCH(ROWS($U$2:U803),$U$2:$U$1001,0),MATCH(COLUMNS($AB$1006:AE1006),$AB$1006:$AQ$1006,0)), HYPERLINK("#",""), HYPERLINK(CONCATENATE("#Metadata!", ADDRESS(INDEX($W$2:$W$1001,MATCH(ROWS($U$2:U803),$U$2:$U$1001,0),0), INDEX($AB$1004:$AQ$1004,1,MATCH(COLUMNS($AB$1006:AE1006),$AB$1006:$AQ$1006,0)))),"Fix")))</f>
        <v>0</v>
      </c>
      <c r="F803" s="5">
        <f>IF(OR(INDEX($V$2:$V$1001,MATCH(ROWS($U$2:U803),$U$2:$U$1001,0),1)&gt;=100000,INDEX($AB$1005:$AQ$1005,1,MATCH(COLUMNS($AB$1006:AF1006),$AB$1006:$AQ$1006,0))&gt;=100000), " ",IF(INDEX($AB$2:$AQ$1001,MATCH(ROWS($U$2:U803),$U$2:$U$1001,0),MATCH(COLUMNS($AB$1006:AF1006),$AB$1006:$AQ$1006,0)), HYPERLINK("#",""), HYPERLINK(CONCATENATE("#Metadata!", ADDRESS(INDEX($W$2:$W$1001,MATCH(ROWS($U$2:U803),$U$2:$U$1001,0),0), INDEX($AB$1004:$AQ$1004,1,MATCH(COLUMNS($AB$1006:AF1006),$AB$1006:$AQ$1006,0)))),"Fix")))</f>
        <v>0</v>
      </c>
      <c r="G803" s="5">
        <f>IF(OR(INDEX($V$2:$V$1001,MATCH(ROWS($U$2:U803),$U$2:$U$1001,0),1)&gt;=100000,INDEX($AB$1005:$AQ$1005,1,MATCH(COLUMNS($AB$1006:AG1006),$AB$1006:$AQ$1006,0))&gt;=100000), " ",IF(INDEX($AB$2:$AQ$1001,MATCH(ROWS($U$2:U803),$U$2:$U$1001,0),MATCH(COLUMNS($AB$1006:AG1006),$AB$1006:$AQ$1006,0)), HYPERLINK("#",""), HYPERLINK(CONCATENATE("#Metadata!", ADDRESS(INDEX($W$2:$W$1001,MATCH(ROWS($U$2:U803),$U$2:$U$1001,0),0), INDEX($AB$1004:$AQ$1004,1,MATCH(COLUMNS($AB$1006:AG1006),$AB$1006:$AQ$1006,0)))),"Fix")))</f>
        <v>0</v>
      </c>
      <c r="H803" s="5">
        <f>IF(OR(INDEX($V$2:$V$1001,MATCH(ROWS($U$2:U803),$U$2:$U$1001,0),1)&gt;=100000,INDEX($AB$1005:$AQ$1005,1,MATCH(COLUMNS($AB$1006:AH1006),$AB$1006:$AQ$1006,0))&gt;=100000), " ",IF(INDEX($AB$2:$AQ$1001,MATCH(ROWS($U$2:U803),$U$2:$U$1001,0),MATCH(COLUMNS($AB$1006:AH1006),$AB$1006:$AQ$1006,0)), HYPERLINK("#",""), HYPERLINK(CONCATENATE("#Metadata!", ADDRESS(INDEX($W$2:$W$1001,MATCH(ROWS($U$2:U803),$U$2:$U$1001,0),0), INDEX($AB$1004:$AQ$1004,1,MATCH(COLUMNS($AB$1006:AH1006),$AB$1006:$AQ$1006,0)))),"Fix")))</f>
        <v>0</v>
      </c>
      <c r="I803" s="5">
        <f>IF(OR(INDEX($V$2:$V$1001,MATCH(ROWS($U$2:U803),$U$2:$U$1001,0),1)&gt;=100000,INDEX($AB$1005:$AQ$1005,1,MATCH(COLUMNS($AB$1006:AI1006),$AB$1006:$AQ$1006,0))&gt;=100000), " ",IF(INDEX($AB$2:$AQ$1001,MATCH(ROWS($U$2:U803),$U$2:$U$1001,0),MATCH(COLUMNS($AB$1006:AI1006),$AB$1006:$AQ$1006,0)), HYPERLINK("#",""), HYPERLINK(CONCATENATE("#Metadata!", ADDRESS(INDEX($W$2:$W$1001,MATCH(ROWS($U$2:U803),$U$2:$U$1001,0),0), INDEX($AB$1004:$AQ$1004,1,MATCH(COLUMNS($AB$1006:AI1006),$AB$1006:$AQ$1006,0)))),"Fix")))</f>
        <v>0</v>
      </c>
      <c r="J803" s="5">
        <f>IF(OR(INDEX($V$2:$V$1001,MATCH(ROWS($U$2:U803),$U$2:$U$1001,0),1)&gt;=100000,INDEX($AB$1005:$AQ$1005,1,MATCH(COLUMNS($AB$1006:AJ1006),$AB$1006:$AQ$1006,0))&gt;=100000), " ",IF(INDEX($AB$2:$AQ$1001,MATCH(ROWS($U$2:U803),$U$2:$U$1001,0),MATCH(COLUMNS($AB$1006:AJ1006),$AB$1006:$AQ$1006,0)), HYPERLINK("#",""), HYPERLINK(CONCATENATE("#Metadata!", ADDRESS(INDEX($W$2:$W$1001,MATCH(ROWS($U$2:U803),$U$2:$U$1001,0),0), INDEX($AB$1004:$AQ$1004,1,MATCH(COLUMNS($AB$1006:AJ1006),$AB$1006:$AQ$1006,0)))),"Fix")))</f>
        <v>0</v>
      </c>
      <c r="K803" s="5">
        <f>IF(OR(INDEX($V$2:$V$1001,MATCH(ROWS($U$2:U803),$U$2:$U$1001,0),1)&gt;=100000,INDEX($AB$1005:$AQ$1005,1,MATCH(COLUMNS($AB$1006:AK1006),$AB$1006:$AQ$1006,0))&gt;=100000), " ",IF(INDEX($AB$2:$AQ$1001,MATCH(ROWS($U$2:U803),$U$2:$U$1001,0),MATCH(COLUMNS($AB$1006:AK1006),$AB$1006:$AQ$1006,0)), HYPERLINK("#",""), HYPERLINK(CONCATENATE("#Metadata!", ADDRESS(INDEX($W$2:$W$1001,MATCH(ROWS($U$2:U803),$U$2:$U$1001,0),0), INDEX($AB$1004:$AQ$1004,1,MATCH(COLUMNS($AB$1006:AK1006),$AB$1006:$AQ$1006,0)))),"Fix")))</f>
        <v>0</v>
      </c>
      <c r="L803" s="5">
        <f>IF(OR(INDEX($V$2:$V$1001,MATCH(ROWS($U$2:U803),$U$2:$U$1001,0),1)&gt;=100000,INDEX($AB$1005:$AQ$1005,1,MATCH(COLUMNS($AB$1006:AL1006),$AB$1006:$AQ$1006,0))&gt;=100000), " ",IF(INDEX($AB$2:$AQ$1001,MATCH(ROWS($U$2:U803),$U$2:$U$1001,0),MATCH(COLUMNS($AB$1006:AL1006),$AB$1006:$AQ$1006,0)), HYPERLINK("#",""), HYPERLINK(CONCATENATE("#Metadata!", ADDRESS(INDEX($W$2:$W$1001,MATCH(ROWS($U$2:U803),$U$2:$U$1001,0),0), INDEX($AB$1004:$AQ$1004,1,MATCH(COLUMNS($AB$1006:AL1006),$AB$1006:$AQ$1006,0)))),"Fix")))</f>
        <v>0</v>
      </c>
      <c r="M803" s="5">
        <f>IF(OR(INDEX($V$2:$V$1001,MATCH(ROWS($U$2:U803),$U$2:$U$1001,0),1)&gt;=100000,INDEX($AB$1005:$AQ$1005,1,MATCH(COLUMNS($AB$1006:AM1006),$AB$1006:$AQ$1006,0))&gt;=100000), " ",IF(INDEX($AB$2:$AQ$1001,MATCH(ROWS($U$2:U803),$U$2:$U$1001,0),MATCH(COLUMNS($AB$1006:AM1006),$AB$1006:$AQ$1006,0)), HYPERLINK("#",""), HYPERLINK(CONCATENATE("#Metadata!", ADDRESS(INDEX($W$2:$W$1001,MATCH(ROWS($U$2:U803),$U$2:$U$1001,0),0), INDEX($AB$1004:$AQ$1004,1,MATCH(COLUMNS($AB$1006:AM1006),$AB$1006:$AQ$1006,0)))),"Fix")))</f>
        <v>0</v>
      </c>
      <c r="N803" s="5">
        <f>IF(OR(INDEX($V$2:$V$1001,MATCH(ROWS($U$2:U803),$U$2:$U$1001,0),1)&gt;=100000,INDEX($AB$1005:$AQ$1005,1,MATCH(COLUMNS($AB$1006:AN1006),$AB$1006:$AQ$1006,0))&gt;=100000), " ",IF(INDEX($AB$2:$AQ$1001,MATCH(ROWS($U$2:U803),$U$2:$U$1001,0),MATCH(COLUMNS($AB$1006:AN1006),$AB$1006:$AQ$1006,0)), HYPERLINK("#",""), HYPERLINK(CONCATENATE("#Metadata!", ADDRESS(INDEX($W$2:$W$1001,MATCH(ROWS($U$2:U803),$U$2:$U$1001,0),0), INDEX($AB$1004:$AQ$1004,1,MATCH(COLUMNS($AB$1006:AN1006),$AB$1006:$AQ$1006,0)))),"Fix")))</f>
        <v>0</v>
      </c>
      <c r="O803" s="5">
        <f>IF(OR(INDEX($V$2:$V$1001,MATCH(ROWS($U$2:U803),$U$2:$U$1001,0),1)&gt;=100000,INDEX($AB$1005:$AQ$1005,1,MATCH(COLUMNS($AB$1006:AO1006),$AB$1006:$AQ$1006,0))&gt;=100000), " ",IF(INDEX($AB$2:$AQ$1001,MATCH(ROWS($U$2:U803),$U$2:$U$1001,0),MATCH(COLUMNS($AB$1006:AO1006),$AB$1006:$AQ$1006,0)), HYPERLINK("#",""), HYPERLINK(CONCATENATE("#Metadata!", ADDRESS(INDEX($W$2:$W$1001,MATCH(ROWS($U$2:U803),$U$2:$U$1001,0),0), INDEX($AB$1004:$AQ$1004,1,MATCH(COLUMNS($AB$1006:AO1006),$AB$1006:$AQ$1006,0)))),"Fix")))</f>
        <v>0</v>
      </c>
      <c r="P803" s="5">
        <f>IF(OR(INDEX($V$2:$V$1001,MATCH(ROWS($U$2:U803),$U$2:$U$1001,0),1)&gt;=100000,INDEX($AB$1005:$AQ$1005,1,MATCH(COLUMNS($AB$1006:AP1006),$AB$1006:$AQ$1006,0))&gt;=100000), " ",IF(INDEX($AB$2:$AQ$1001,MATCH(ROWS($U$2:U803),$U$2:$U$1001,0),MATCH(COLUMNS($AB$1006:AP1006),$AB$1006:$AQ$1006,0)), HYPERLINK("#",""), HYPERLINK(CONCATENATE("#Metadata!", ADDRESS(INDEX($W$2:$W$1001,MATCH(ROWS($U$2:U803),$U$2:$U$1001,0),0), INDEX($AB$1004:$AQ$1004,1,MATCH(COLUMNS($AB$1006:AP1006),$AB$1006:$AQ$1006,0)))),"Fix")))</f>
        <v>0</v>
      </c>
      <c r="Q803" s="5">
        <f>IF(OR(INDEX($V$2:$V$1001,MATCH(ROWS($U$2:U803),$U$2:$U$1001,0),1)&gt;=100000,INDEX($AB$1005:$AQ$1005,1,MATCH(COLUMNS($AB$1006:AQ1006),$AB$1006:$AQ$1006,0))&gt;=100000), " ",IF(INDEX($AB$2:$AQ$1001,MATCH(ROWS($U$2:U803),$U$2:$U$1001,0),MATCH(COLUMNS($AB$1006:AQ1006),$AB$1006:$AQ$1006,0)), HYPERLINK("#",""), HYPERLINK(CONCATENATE("#Metadata!", ADDRESS(INDEX($W$2:$W$1001,MATCH(ROWS($U$2:U803),$U$2:$U$1001,0),0), INDEX($AB$1004:$AQ$1004,1,MATCH(COLUMNS($AB$1006:AQ1006),$AB$1006:$AQ$1006,0)))),"Fix")))</f>
        <v>0</v>
      </c>
      <c r="U803">
        <v>0</v>
      </c>
      <c r="V803">
        <v>0</v>
      </c>
      <c r="W803">
        <v>0</v>
      </c>
      <c r="X803">
        <f>IF(Y803,TRUE,AND(AB803:AQ803))</f>
        <v>0</v>
      </c>
      <c r="Y803">
        <f>COUNTBLANK(Metadata!B803:Q803)=COLUMNS(Metadata!B803:Q803)</f>
        <v>0</v>
      </c>
      <c r="Z803">
        <v>0</v>
      </c>
      <c r="AB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AC803">
        <f>AND(IF(Metadata!C803="",FALSE,TRUE),exact(Metadata!C803,"urban biome"))</f>
        <v>0</v>
      </c>
      <c r="AD803">
        <f>AND(IF(Metadata!D803="",FALSE,TRUE),exact(Metadata!D803,"human-associated habitat"))</f>
        <v>0</v>
      </c>
      <c r="AE803">
        <f>AND(IF(Metadata!E803="",FALSE,TRUE),OR(exact(Metadata!E803,"human-associated"),exact(Metadata!E803,"human-skin"),exact(Metadata!E803,"human-oral"),exact(Metadata!E803,"human-gut"),exact(Metadata!E803,"human-vaginal")))</f>
        <v>0</v>
      </c>
      <c r="AF803">
        <f>AND(IF(Metadata!F803="",FALSE,ISNUMBER(VALUE(Metadata!F803))),Metadata!F803&gt;0)</f>
        <v>0</v>
      </c>
      <c r="AG803">
        <f>AND(IF(Metadata!G803="",FALSE,TRUE),exact(Metadata!G803,"years"))</f>
        <v>0</v>
      </c>
      <c r="AH803">
        <f>OR(AND(IF(Metadata!H803="",FALSE,TRUE),OR(exact(Metadata!H803,"not applicable"),exact(Metadata!H803,"not collected"),exact(Metadata!H803,"not provided"),exact(Metadata!H803,"restricted access"))),AND(IF(Metadata!H803="",FALSE,ISNUMBER(VALUE(Metadata!H803))),Metadata!H803&gt;0))</f>
        <v>0</v>
      </c>
      <c r="AI803">
        <f>AND(IF(Metadata!I803="",FALSE,TRUE),exact(Metadata!I803,"human"))</f>
        <v>0</v>
      </c>
      <c r="AJ803">
        <f>AND(IF(Metadata!J803="",FALSE,ISNUMBER(VALUE(Metadata!J803))),Metadata!J803&gt;0)</f>
        <v>0</v>
      </c>
      <c r="AK803">
        <f>AND(IF(Metadata!K803="",FALSE,TRUE),exact(Metadata!K803,"cm"))</f>
        <v>0</v>
      </c>
      <c r="AL803">
        <f>AND(IF(Metadata!L803="",FALSE,TRUE),exact(Metadata!L803,"Homo sapiens"))</f>
        <v>0</v>
      </c>
      <c r="AM803">
        <f>AND(IF(Metadata!M803="",FALSE,TRUE),exact(Metadata!M803,"9606"))</f>
        <v>0</v>
      </c>
      <c r="AN803">
        <f>AND(IF(Metadata!N803="",FALSE,ISNUMBER(VALUE(Metadata!N803))),Metadata!N803&gt;0)</f>
        <v>0</v>
      </c>
      <c r="AO803">
        <f>AND(IF(Metadata!O803="",FALSE,TRUE),exact(Metadata!O803,"kg"))</f>
        <v>0</v>
      </c>
      <c r="AP803">
        <f>OR(AND(IF(Metadata!P803="",FALSE,TRUE),exact(Metadata!P803,"not provided")),IF(Metadata!P803="",FALSE,TRUE))</f>
        <v>0</v>
      </c>
      <c r="AQ803">
        <f>OR(AND(IF(Metadata!Q803="",FALSE,TRUE),exact(Metadata!Q803,"not provided")),IF(Metadata!Q803="",FALSE,TRUE))</f>
        <v>0</v>
      </c>
    </row>
    <row r="804" spans="1:43">
      <c r="A804" s="4">
        <f>IF(B804=" "," ",HYPERLINK(CONCATENATE("#metadata!",ADDRESS(INDEX($W$2:$W$1001,MATCH(ROWS($U$2:U804),$U$2:$U$1001,0),0),2)),INDEX($Z$2:$Z$1001,MATCH(ROWS($U$2:U804),$U$2:$U$1001,0),0)))</f>
        <v>0</v>
      </c>
      <c r="B804" s="5">
        <f>IF(OR(INDEX($V$2:$V$1001,MATCH(ROWS($U$2:U804),$U$2:$U$1001,0),1)&gt;=100000,INDEX($AB$1005:$AQ$1005,1,MATCH(COLUMNS($AB$1006:AB1006),$AB$1006:$AQ$1006,0))&gt;=100000), " ",IF(INDEX($AB$2:$AQ$1001,MATCH(ROWS($U$2:U804),$U$2:$U$1001,0),MATCH(COLUMNS($AB$1006:AB1006),$AB$1006:$AQ$1006,0)), HYPERLINK("#",""), HYPERLINK(CONCATENATE("#Metadata!", ADDRESS(INDEX($W$2:$W$1001,MATCH(ROWS($U$2:U804),$U$2:$U$1001,0),0), INDEX($AB$1004:$AQ$1004,1,MATCH(COLUMNS($AB$1006:AB1006),$AB$1006:$AQ$1006,0)))),"Fix")))</f>
        <v>0</v>
      </c>
      <c r="C804" s="5">
        <f>IF(OR(INDEX($V$2:$V$1001,MATCH(ROWS($U$2:U804),$U$2:$U$1001,0),1)&gt;=100000,INDEX($AB$1005:$AQ$1005,1,MATCH(COLUMNS($AB$1006:AC1006),$AB$1006:$AQ$1006,0))&gt;=100000), " ",IF(INDEX($AB$2:$AQ$1001,MATCH(ROWS($U$2:U804),$U$2:$U$1001,0),MATCH(COLUMNS($AB$1006:AC1006),$AB$1006:$AQ$1006,0)), HYPERLINK("#",""), HYPERLINK(CONCATENATE("#Metadata!", ADDRESS(INDEX($W$2:$W$1001,MATCH(ROWS($U$2:U804),$U$2:$U$1001,0),0), INDEX($AB$1004:$AQ$1004,1,MATCH(COLUMNS($AB$1006:AC1006),$AB$1006:$AQ$1006,0)))),"Fix")))</f>
        <v>0</v>
      </c>
      <c r="D804" s="5">
        <f>IF(OR(INDEX($V$2:$V$1001,MATCH(ROWS($U$2:U804),$U$2:$U$1001,0),1)&gt;=100000,INDEX($AB$1005:$AQ$1005,1,MATCH(COLUMNS($AB$1006:AD1006),$AB$1006:$AQ$1006,0))&gt;=100000), " ",IF(INDEX($AB$2:$AQ$1001,MATCH(ROWS($U$2:U804),$U$2:$U$1001,0),MATCH(COLUMNS($AB$1006:AD1006),$AB$1006:$AQ$1006,0)), HYPERLINK("#",""), HYPERLINK(CONCATENATE("#Metadata!", ADDRESS(INDEX($W$2:$W$1001,MATCH(ROWS($U$2:U804),$U$2:$U$1001,0),0), INDEX($AB$1004:$AQ$1004,1,MATCH(COLUMNS($AB$1006:AD1006),$AB$1006:$AQ$1006,0)))),"Fix")))</f>
        <v>0</v>
      </c>
      <c r="E804" s="5">
        <f>IF(OR(INDEX($V$2:$V$1001,MATCH(ROWS($U$2:U804),$U$2:$U$1001,0),1)&gt;=100000,INDEX($AB$1005:$AQ$1005,1,MATCH(COLUMNS($AB$1006:AE1006),$AB$1006:$AQ$1006,0))&gt;=100000), " ",IF(INDEX($AB$2:$AQ$1001,MATCH(ROWS($U$2:U804),$U$2:$U$1001,0),MATCH(COLUMNS($AB$1006:AE1006),$AB$1006:$AQ$1006,0)), HYPERLINK("#",""), HYPERLINK(CONCATENATE("#Metadata!", ADDRESS(INDEX($W$2:$W$1001,MATCH(ROWS($U$2:U804),$U$2:$U$1001,0),0), INDEX($AB$1004:$AQ$1004,1,MATCH(COLUMNS($AB$1006:AE1006),$AB$1006:$AQ$1006,0)))),"Fix")))</f>
        <v>0</v>
      </c>
      <c r="F804" s="5">
        <f>IF(OR(INDEX($V$2:$V$1001,MATCH(ROWS($U$2:U804),$U$2:$U$1001,0),1)&gt;=100000,INDEX($AB$1005:$AQ$1005,1,MATCH(COLUMNS($AB$1006:AF1006),$AB$1006:$AQ$1006,0))&gt;=100000), " ",IF(INDEX($AB$2:$AQ$1001,MATCH(ROWS($U$2:U804),$U$2:$U$1001,0),MATCH(COLUMNS($AB$1006:AF1006),$AB$1006:$AQ$1006,0)), HYPERLINK("#",""), HYPERLINK(CONCATENATE("#Metadata!", ADDRESS(INDEX($W$2:$W$1001,MATCH(ROWS($U$2:U804),$U$2:$U$1001,0),0), INDEX($AB$1004:$AQ$1004,1,MATCH(COLUMNS($AB$1006:AF1006),$AB$1006:$AQ$1006,0)))),"Fix")))</f>
        <v>0</v>
      </c>
      <c r="G804" s="5">
        <f>IF(OR(INDEX($V$2:$V$1001,MATCH(ROWS($U$2:U804),$U$2:$U$1001,0),1)&gt;=100000,INDEX($AB$1005:$AQ$1005,1,MATCH(COLUMNS($AB$1006:AG1006),$AB$1006:$AQ$1006,0))&gt;=100000), " ",IF(INDEX($AB$2:$AQ$1001,MATCH(ROWS($U$2:U804),$U$2:$U$1001,0),MATCH(COLUMNS($AB$1006:AG1006),$AB$1006:$AQ$1006,0)), HYPERLINK("#",""), HYPERLINK(CONCATENATE("#Metadata!", ADDRESS(INDEX($W$2:$W$1001,MATCH(ROWS($U$2:U804),$U$2:$U$1001,0),0), INDEX($AB$1004:$AQ$1004,1,MATCH(COLUMNS($AB$1006:AG1006),$AB$1006:$AQ$1006,0)))),"Fix")))</f>
        <v>0</v>
      </c>
      <c r="H804" s="5">
        <f>IF(OR(INDEX($V$2:$V$1001,MATCH(ROWS($U$2:U804),$U$2:$U$1001,0),1)&gt;=100000,INDEX($AB$1005:$AQ$1005,1,MATCH(COLUMNS($AB$1006:AH1006),$AB$1006:$AQ$1006,0))&gt;=100000), " ",IF(INDEX($AB$2:$AQ$1001,MATCH(ROWS($U$2:U804),$U$2:$U$1001,0),MATCH(COLUMNS($AB$1006:AH1006),$AB$1006:$AQ$1006,0)), HYPERLINK("#",""), HYPERLINK(CONCATENATE("#Metadata!", ADDRESS(INDEX($W$2:$W$1001,MATCH(ROWS($U$2:U804),$U$2:$U$1001,0),0), INDEX($AB$1004:$AQ$1004,1,MATCH(COLUMNS($AB$1006:AH1006),$AB$1006:$AQ$1006,0)))),"Fix")))</f>
        <v>0</v>
      </c>
      <c r="I804" s="5">
        <f>IF(OR(INDEX($V$2:$V$1001,MATCH(ROWS($U$2:U804),$U$2:$U$1001,0),1)&gt;=100000,INDEX($AB$1005:$AQ$1005,1,MATCH(COLUMNS($AB$1006:AI1006),$AB$1006:$AQ$1006,0))&gt;=100000), " ",IF(INDEX($AB$2:$AQ$1001,MATCH(ROWS($U$2:U804),$U$2:$U$1001,0),MATCH(COLUMNS($AB$1006:AI1006),$AB$1006:$AQ$1006,0)), HYPERLINK("#",""), HYPERLINK(CONCATENATE("#Metadata!", ADDRESS(INDEX($W$2:$W$1001,MATCH(ROWS($U$2:U804),$U$2:$U$1001,0),0), INDEX($AB$1004:$AQ$1004,1,MATCH(COLUMNS($AB$1006:AI1006),$AB$1006:$AQ$1006,0)))),"Fix")))</f>
        <v>0</v>
      </c>
      <c r="J804" s="5">
        <f>IF(OR(INDEX($V$2:$V$1001,MATCH(ROWS($U$2:U804),$U$2:$U$1001,0),1)&gt;=100000,INDEX($AB$1005:$AQ$1005,1,MATCH(COLUMNS($AB$1006:AJ1006),$AB$1006:$AQ$1006,0))&gt;=100000), " ",IF(INDEX($AB$2:$AQ$1001,MATCH(ROWS($U$2:U804),$U$2:$U$1001,0),MATCH(COLUMNS($AB$1006:AJ1006),$AB$1006:$AQ$1006,0)), HYPERLINK("#",""), HYPERLINK(CONCATENATE("#Metadata!", ADDRESS(INDEX($W$2:$W$1001,MATCH(ROWS($U$2:U804),$U$2:$U$1001,0),0), INDEX($AB$1004:$AQ$1004,1,MATCH(COLUMNS($AB$1006:AJ1006),$AB$1006:$AQ$1006,0)))),"Fix")))</f>
        <v>0</v>
      </c>
      <c r="K804" s="5">
        <f>IF(OR(INDEX($V$2:$V$1001,MATCH(ROWS($U$2:U804),$U$2:$U$1001,0),1)&gt;=100000,INDEX($AB$1005:$AQ$1005,1,MATCH(COLUMNS($AB$1006:AK1006),$AB$1006:$AQ$1006,0))&gt;=100000), " ",IF(INDEX($AB$2:$AQ$1001,MATCH(ROWS($U$2:U804),$U$2:$U$1001,0),MATCH(COLUMNS($AB$1006:AK1006),$AB$1006:$AQ$1006,0)), HYPERLINK("#",""), HYPERLINK(CONCATENATE("#Metadata!", ADDRESS(INDEX($W$2:$W$1001,MATCH(ROWS($U$2:U804),$U$2:$U$1001,0),0), INDEX($AB$1004:$AQ$1004,1,MATCH(COLUMNS($AB$1006:AK1006),$AB$1006:$AQ$1006,0)))),"Fix")))</f>
        <v>0</v>
      </c>
      <c r="L804" s="5">
        <f>IF(OR(INDEX($V$2:$V$1001,MATCH(ROWS($U$2:U804),$U$2:$U$1001,0),1)&gt;=100000,INDEX($AB$1005:$AQ$1005,1,MATCH(COLUMNS($AB$1006:AL1006),$AB$1006:$AQ$1006,0))&gt;=100000), " ",IF(INDEX($AB$2:$AQ$1001,MATCH(ROWS($U$2:U804),$U$2:$U$1001,0),MATCH(COLUMNS($AB$1006:AL1006),$AB$1006:$AQ$1006,0)), HYPERLINK("#",""), HYPERLINK(CONCATENATE("#Metadata!", ADDRESS(INDEX($W$2:$W$1001,MATCH(ROWS($U$2:U804),$U$2:$U$1001,0),0), INDEX($AB$1004:$AQ$1004,1,MATCH(COLUMNS($AB$1006:AL1006),$AB$1006:$AQ$1006,0)))),"Fix")))</f>
        <v>0</v>
      </c>
      <c r="M804" s="5">
        <f>IF(OR(INDEX($V$2:$V$1001,MATCH(ROWS($U$2:U804),$U$2:$U$1001,0),1)&gt;=100000,INDEX($AB$1005:$AQ$1005,1,MATCH(COLUMNS($AB$1006:AM1006),$AB$1006:$AQ$1006,0))&gt;=100000), " ",IF(INDEX($AB$2:$AQ$1001,MATCH(ROWS($U$2:U804),$U$2:$U$1001,0),MATCH(COLUMNS($AB$1006:AM1006),$AB$1006:$AQ$1006,0)), HYPERLINK("#",""), HYPERLINK(CONCATENATE("#Metadata!", ADDRESS(INDEX($W$2:$W$1001,MATCH(ROWS($U$2:U804),$U$2:$U$1001,0),0), INDEX($AB$1004:$AQ$1004,1,MATCH(COLUMNS($AB$1006:AM1006),$AB$1006:$AQ$1006,0)))),"Fix")))</f>
        <v>0</v>
      </c>
      <c r="N804" s="5">
        <f>IF(OR(INDEX($V$2:$V$1001,MATCH(ROWS($U$2:U804),$U$2:$U$1001,0),1)&gt;=100000,INDEX($AB$1005:$AQ$1005,1,MATCH(COLUMNS($AB$1006:AN1006),$AB$1006:$AQ$1006,0))&gt;=100000), " ",IF(INDEX($AB$2:$AQ$1001,MATCH(ROWS($U$2:U804),$U$2:$U$1001,0),MATCH(COLUMNS($AB$1006:AN1006),$AB$1006:$AQ$1006,0)), HYPERLINK("#",""), HYPERLINK(CONCATENATE("#Metadata!", ADDRESS(INDEX($W$2:$W$1001,MATCH(ROWS($U$2:U804),$U$2:$U$1001,0),0), INDEX($AB$1004:$AQ$1004,1,MATCH(COLUMNS($AB$1006:AN1006),$AB$1006:$AQ$1006,0)))),"Fix")))</f>
        <v>0</v>
      </c>
      <c r="O804" s="5">
        <f>IF(OR(INDEX($V$2:$V$1001,MATCH(ROWS($U$2:U804),$U$2:$U$1001,0),1)&gt;=100000,INDEX($AB$1005:$AQ$1005,1,MATCH(COLUMNS($AB$1006:AO1006),$AB$1006:$AQ$1006,0))&gt;=100000), " ",IF(INDEX($AB$2:$AQ$1001,MATCH(ROWS($U$2:U804),$U$2:$U$1001,0),MATCH(COLUMNS($AB$1006:AO1006),$AB$1006:$AQ$1006,0)), HYPERLINK("#",""), HYPERLINK(CONCATENATE("#Metadata!", ADDRESS(INDEX($W$2:$W$1001,MATCH(ROWS($U$2:U804),$U$2:$U$1001,0),0), INDEX($AB$1004:$AQ$1004,1,MATCH(COLUMNS($AB$1006:AO1006),$AB$1006:$AQ$1006,0)))),"Fix")))</f>
        <v>0</v>
      </c>
      <c r="P804" s="5">
        <f>IF(OR(INDEX($V$2:$V$1001,MATCH(ROWS($U$2:U804),$U$2:$U$1001,0),1)&gt;=100000,INDEX($AB$1005:$AQ$1005,1,MATCH(COLUMNS($AB$1006:AP1006),$AB$1006:$AQ$1006,0))&gt;=100000), " ",IF(INDEX($AB$2:$AQ$1001,MATCH(ROWS($U$2:U804),$U$2:$U$1001,0),MATCH(COLUMNS($AB$1006:AP1006),$AB$1006:$AQ$1006,0)), HYPERLINK("#",""), HYPERLINK(CONCATENATE("#Metadata!", ADDRESS(INDEX($W$2:$W$1001,MATCH(ROWS($U$2:U804),$U$2:$U$1001,0),0), INDEX($AB$1004:$AQ$1004,1,MATCH(COLUMNS($AB$1006:AP1006),$AB$1006:$AQ$1006,0)))),"Fix")))</f>
        <v>0</v>
      </c>
      <c r="Q804" s="5">
        <f>IF(OR(INDEX($V$2:$V$1001,MATCH(ROWS($U$2:U804),$U$2:$U$1001,0),1)&gt;=100000,INDEX($AB$1005:$AQ$1005,1,MATCH(COLUMNS($AB$1006:AQ1006),$AB$1006:$AQ$1006,0))&gt;=100000), " ",IF(INDEX($AB$2:$AQ$1001,MATCH(ROWS($U$2:U804),$U$2:$U$1001,0),MATCH(COLUMNS($AB$1006:AQ1006),$AB$1006:$AQ$1006,0)), HYPERLINK("#",""), HYPERLINK(CONCATENATE("#Metadata!", ADDRESS(INDEX($W$2:$W$1001,MATCH(ROWS($U$2:U804),$U$2:$U$1001,0),0), INDEX($AB$1004:$AQ$1004,1,MATCH(COLUMNS($AB$1006:AQ1006),$AB$1006:$AQ$1006,0)))),"Fix")))</f>
        <v>0</v>
      </c>
      <c r="U804">
        <v>0</v>
      </c>
      <c r="V804">
        <v>0</v>
      </c>
      <c r="W804">
        <v>0</v>
      </c>
      <c r="X804">
        <f>IF(Y804,TRUE,AND(AB804:AQ804))</f>
        <v>0</v>
      </c>
      <c r="Y804">
        <f>COUNTBLANK(Metadata!B804:Q804)=COLUMNS(Metadata!B804:Q804)</f>
        <v>0</v>
      </c>
      <c r="Z804">
        <v>0</v>
      </c>
      <c r="AB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AC804">
        <f>AND(IF(Metadata!C804="",FALSE,TRUE),exact(Metadata!C804,"urban biome"))</f>
        <v>0</v>
      </c>
      <c r="AD804">
        <f>AND(IF(Metadata!D804="",FALSE,TRUE),exact(Metadata!D804,"human-associated habitat"))</f>
        <v>0</v>
      </c>
      <c r="AE804">
        <f>AND(IF(Metadata!E804="",FALSE,TRUE),OR(exact(Metadata!E804,"human-associated"),exact(Metadata!E804,"human-skin"),exact(Metadata!E804,"human-oral"),exact(Metadata!E804,"human-gut"),exact(Metadata!E804,"human-vaginal")))</f>
        <v>0</v>
      </c>
      <c r="AF804">
        <f>AND(IF(Metadata!F804="",FALSE,ISNUMBER(VALUE(Metadata!F804))),Metadata!F804&gt;0)</f>
        <v>0</v>
      </c>
      <c r="AG804">
        <f>AND(IF(Metadata!G804="",FALSE,TRUE),exact(Metadata!G804,"years"))</f>
        <v>0</v>
      </c>
      <c r="AH804">
        <f>OR(AND(IF(Metadata!H804="",FALSE,TRUE),OR(exact(Metadata!H804,"not applicable"),exact(Metadata!H804,"not collected"),exact(Metadata!H804,"not provided"),exact(Metadata!H804,"restricted access"))),AND(IF(Metadata!H804="",FALSE,ISNUMBER(VALUE(Metadata!H804))),Metadata!H804&gt;0))</f>
        <v>0</v>
      </c>
      <c r="AI804">
        <f>AND(IF(Metadata!I804="",FALSE,TRUE),exact(Metadata!I804,"human"))</f>
        <v>0</v>
      </c>
      <c r="AJ804">
        <f>AND(IF(Metadata!J804="",FALSE,ISNUMBER(VALUE(Metadata!J804))),Metadata!J804&gt;0)</f>
        <v>0</v>
      </c>
      <c r="AK804">
        <f>AND(IF(Metadata!K804="",FALSE,TRUE),exact(Metadata!K804,"cm"))</f>
        <v>0</v>
      </c>
      <c r="AL804">
        <f>AND(IF(Metadata!L804="",FALSE,TRUE),exact(Metadata!L804,"Homo sapiens"))</f>
        <v>0</v>
      </c>
      <c r="AM804">
        <f>AND(IF(Metadata!M804="",FALSE,TRUE),exact(Metadata!M804,"9606"))</f>
        <v>0</v>
      </c>
      <c r="AN804">
        <f>AND(IF(Metadata!N804="",FALSE,ISNUMBER(VALUE(Metadata!N804))),Metadata!N804&gt;0)</f>
        <v>0</v>
      </c>
      <c r="AO804">
        <f>AND(IF(Metadata!O804="",FALSE,TRUE),exact(Metadata!O804,"kg"))</f>
        <v>0</v>
      </c>
      <c r="AP804">
        <f>OR(AND(IF(Metadata!P804="",FALSE,TRUE),exact(Metadata!P804,"not provided")),IF(Metadata!P804="",FALSE,TRUE))</f>
        <v>0</v>
      </c>
      <c r="AQ804">
        <f>OR(AND(IF(Metadata!Q804="",FALSE,TRUE),exact(Metadata!Q804,"not provided")),IF(Metadata!Q804="",FALSE,TRUE))</f>
        <v>0</v>
      </c>
    </row>
    <row r="805" spans="1:43">
      <c r="A805" s="4">
        <f>IF(B805=" "," ",HYPERLINK(CONCATENATE("#metadata!",ADDRESS(INDEX($W$2:$W$1001,MATCH(ROWS($U$2:U805),$U$2:$U$1001,0),0),2)),INDEX($Z$2:$Z$1001,MATCH(ROWS($U$2:U805),$U$2:$U$1001,0),0)))</f>
        <v>0</v>
      </c>
      <c r="B805" s="5">
        <f>IF(OR(INDEX($V$2:$V$1001,MATCH(ROWS($U$2:U805),$U$2:$U$1001,0),1)&gt;=100000,INDEX($AB$1005:$AQ$1005,1,MATCH(COLUMNS($AB$1006:AB1006),$AB$1006:$AQ$1006,0))&gt;=100000), " ",IF(INDEX($AB$2:$AQ$1001,MATCH(ROWS($U$2:U805),$U$2:$U$1001,0),MATCH(COLUMNS($AB$1006:AB1006),$AB$1006:$AQ$1006,0)), HYPERLINK("#",""), HYPERLINK(CONCATENATE("#Metadata!", ADDRESS(INDEX($W$2:$W$1001,MATCH(ROWS($U$2:U805),$U$2:$U$1001,0),0), INDEX($AB$1004:$AQ$1004,1,MATCH(COLUMNS($AB$1006:AB1006),$AB$1006:$AQ$1006,0)))),"Fix")))</f>
        <v>0</v>
      </c>
      <c r="C805" s="5">
        <f>IF(OR(INDEX($V$2:$V$1001,MATCH(ROWS($U$2:U805),$U$2:$U$1001,0),1)&gt;=100000,INDEX($AB$1005:$AQ$1005,1,MATCH(COLUMNS($AB$1006:AC1006),$AB$1006:$AQ$1006,0))&gt;=100000), " ",IF(INDEX($AB$2:$AQ$1001,MATCH(ROWS($U$2:U805),$U$2:$U$1001,0),MATCH(COLUMNS($AB$1006:AC1006),$AB$1006:$AQ$1006,0)), HYPERLINK("#",""), HYPERLINK(CONCATENATE("#Metadata!", ADDRESS(INDEX($W$2:$W$1001,MATCH(ROWS($U$2:U805),$U$2:$U$1001,0),0), INDEX($AB$1004:$AQ$1004,1,MATCH(COLUMNS($AB$1006:AC1006),$AB$1006:$AQ$1006,0)))),"Fix")))</f>
        <v>0</v>
      </c>
      <c r="D805" s="5">
        <f>IF(OR(INDEX($V$2:$V$1001,MATCH(ROWS($U$2:U805),$U$2:$U$1001,0),1)&gt;=100000,INDEX($AB$1005:$AQ$1005,1,MATCH(COLUMNS($AB$1006:AD1006),$AB$1006:$AQ$1006,0))&gt;=100000), " ",IF(INDEX($AB$2:$AQ$1001,MATCH(ROWS($U$2:U805),$U$2:$U$1001,0),MATCH(COLUMNS($AB$1006:AD1006),$AB$1006:$AQ$1006,0)), HYPERLINK("#",""), HYPERLINK(CONCATENATE("#Metadata!", ADDRESS(INDEX($W$2:$W$1001,MATCH(ROWS($U$2:U805),$U$2:$U$1001,0),0), INDEX($AB$1004:$AQ$1004,1,MATCH(COLUMNS($AB$1006:AD1006),$AB$1006:$AQ$1006,0)))),"Fix")))</f>
        <v>0</v>
      </c>
      <c r="E805" s="5">
        <f>IF(OR(INDEX($V$2:$V$1001,MATCH(ROWS($U$2:U805),$U$2:$U$1001,0),1)&gt;=100000,INDEX($AB$1005:$AQ$1005,1,MATCH(COLUMNS($AB$1006:AE1006),$AB$1006:$AQ$1006,0))&gt;=100000), " ",IF(INDEX($AB$2:$AQ$1001,MATCH(ROWS($U$2:U805),$U$2:$U$1001,0),MATCH(COLUMNS($AB$1006:AE1006),$AB$1006:$AQ$1006,0)), HYPERLINK("#",""), HYPERLINK(CONCATENATE("#Metadata!", ADDRESS(INDEX($W$2:$W$1001,MATCH(ROWS($U$2:U805),$U$2:$U$1001,0),0), INDEX($AB$1004:$AQ$1004,1,MATCH(COLUMNS($AB$1006:AE1006),$AB$1006:$AQ$1006,0)))),"Fix")))</f>
        <v>0</v>
      </c>
      <c r="F805" s="5">
        <f>IF(OR(INDEX($V$2:$V$1001,MATCH(ROWS($U$2:U805),$U$2:$U$1001,0),1)&gt;=100000,INDEX($AB$1005:$AQ$1005,1,MATCH(COLUMNS($AB$1006:AF1006),$AB$1006:$AQ$1006,0))&gt;=100000), " ",IF(INDEX($AB$2:$AQ$1001,MATCH(ROWS($U$2:U805),$U$2:$U$1001,0),MATCH(COLUMNS($AB$1006:AF1006),$AB$1006:$AQ$1006,0)), HYPERLINK("#",""), HYPERLINK(CONCATENATE("#Metadata!", ADDRESS(INDEX($W$2:$W$1001,MATCH(ROWS($U$2:U805),$U$2:$U$1001,0),0), INDEX($AB$1004:$AQ$1004,1,MATCH(COLUMNS($AB$1006:AF1006),$AB$1006:$AQ$1006,0)))),"Fix")))</f>
        <v>0</v>
      </c>
      <c r="G805" s="5">
        <f>IF(OR(INDEX($V$2:$V$1001,MATCH(ROWS($U$2:U805),$U$2:$U$1001,0),1)&gt;=100000,INDEX($AB$1005:$AQ$1005,1,MATCH(COLUMNS($AB$1006:AG1006),$AB$1006:$AQ$1006,0))&gt;=100000), " ",IF(INDEX($AB$2:$AQ$1001,MATCH(ROWS($U$2:U805),$U$2:$U$1001,0),MATCH(COLUMNS($AB$1006:AG1006),$AB$1006:$AQ$1006,0)), HYPERLINK("#",""), HYPERLINK(CONCATENATE("#Metadata!", ADDRESS(INDEX($W$2:$W$1001,MATCH(ROWS($U$2:U805),$U$2:$U$1001,0),0), INDEX($AB$1004:$AQ$1004,1,MATCH(COLUMNS($AB$1006:AG1006),$AB$1006:$AQ$1006,0)))),"Fix")))</f>
        <v>0</v>
      </c>
      <c r="H805" s="5">
        <f>IF(OR(INDEX($V$2:$V$1001,MATCH(ROWS($U$2:U805),$U$2:$U$1001,0),1)&gt;=100000,INDEX($AB$1005:$AQ$1005,1,MATCH(COLUMNS($AB$1006:AH1006),$AB$1006:$AQ$1006,0))&gt;=100000), " ",IF(INDEX($AB$2:$AQ$1001,MATCH(ROWS($U$2:U805),$U$2:$U$1001,0),MATCH(COLUMNS($AB$1006:AH1006),$AB$1006:$AQ$1006,0)), HYPERLINK("#",""), HYPERLINK(CONCATENATE("#Metadata!", ADDRESS(INDEX($W$2:$W$1001,MATCH(ROWS($U$2:U805),$U$2:$U$1001,0),0), INDEX($AB$1004:$AQ$1004,1,MATCH(COLUMNS($AB$1006:AH1006),$AB$1006:$AQ$1006,0)))),"Fix")))</f>
        <v>0</v>
      </c>
      <c r="I805" s="5">
        <f>IF(OR(INDEX($V$2:$V$1001,MATCH(ROWS($U$2:U805),$U$2:$U$1001,0),1)&gt;=100000,INDEX($AB$1005:$AQ$1005,1,MATCH(COLUMNS($AB$1006:AI1006),$AB$1006:$AQ$1006,0))&gt;=100000), " ",IF(INDEX($AB$2:$AQ$1001,MATCH(ROWS($U$2:U805),$U$2:$U$1001,0),MATCH(COLUMNS($AB$1006:AI1006),$AB$1006:$AQ$1006,0)), HYPERLINK("#",""), HYPERLINK(CONCATENATE("#Metadata!", ADDRESS(INDEX($W$2:$W$1001,MATCH(ROWS($U$2:U805),$U$2:$U$1001,0),0), INDEX($AB$1004:$AQ$1004,1,MATCH(COLUMNS($AB$1006:AI1006),$AB$1006:$AQ$1006,0)))),"Fix")))</f>
        <v>0</v>
      </c>
      <c r="J805" s="5">
        <f>IF(OR(INDEX($V$2:$V$1001,MATCH(ROWS($U$2:U805),$U$2:$U$1001,0),1)&gt;=100000,INDEX($AB$1005:$AQ$1005,1,MATCH(COLUMNS($AB$1006:AJ1006),$AB$1006:$AQ$1006,0))&gt;=100000), " ",IF(INDEX($AB$2:$AQ$1001,MATCH(ROWS($U$2:U805),$U$2:$U$1001,0),MATCH(COLUMNS($AB$1006:AJ1006),$AB$1006:$AQ$1006,0)), HYPERLINK("#",""), HYPERLINK(CONCATENATE("#Metadata!", ADDRESS(INDEX($W$2:$W$1001,MATCH(ROWS($U$2:U805),$U$2:$U$1001,0),0), INDEX($AB$1004:$AQ$1004,1,MATCH(COLUMNS($AB$1006:AJ1006),$AB$1006:$AQ$1006,0)))),"Fix")))</f>
        <v>0</v>
      </c>
      <c r="K805" s="5">
        <f>IF(OR(INDEX($V$2:$V$1001,MATCH(ROWS($U$2:U805),$U$2:$U$1001,0),1)&gt;=100000,INDEX($AB$1005:$AQ$1005,1,MATCH(COLUMNS($AB$1006:AK1006),$AB$1006:$AQ$1006,0))&gt;=100000), " ",IF(INDEX($AB$2:$AQ$1001,MATCH(ROWS($U$2:U805),$U$2:$U$1001,0),MATCH(COLUMNS($AB$1006:AK1006),$AB$1006:$AQ$1006,0)), HYPERLINK("#",""), HYPERLINK(CONCATENATE("#Metadata!", ADDRESS(INDEX($W$2:$W$1001,MATCH(ROWS($U$2:U805),$U$2:$U$1001,0),0), INDEX($AB$1004:$AQ$1004,1,MATCH(COLUMNS($AB$1006:AK1006),$AB$1006:$AQ$1006,0)))),"Fix")))</f>
        <v>0</v>
      </c>
      <c r="L805" s="5">
        <f>IF(OR(INDEX($V$2:$V$1001,MATCH(ROWS($U$2:U805),$U$2:$U$1001,0),1)&gt;=100000,INDEX($AB$1005:$AQ$1005,1,MATCH(COLUMNS($AB$1006:AL1006),$AB$1006:$AQ$1006,0))&gt;=100000), " ",IF(INDEX($AB$2:$AQ$1001,MATCH(ROWS($U$2:U805),$U$2:$U$1001,0),MATCH(COLUMNS($AB$1006:AL1006),$AB$1006:$AQ$1006,0)), HYPERLINK("#",""), HYPERLINK(CONCATENATE("#Metadata!", ADDRESS(INDEX($W$2:$W$1001,MATCH(ROWS($U$2:U805),$U$2:$U$1001,0),0), INDEX($AB$1004:$AQ$1004,1,MATCH(COLUMNS($AB$1006:AL1006),$AB$1006:$AQ$1006,0)))),"Fix")))</f>
        <v>0</v>
      </c>
      <c r="M805" s="5">
        <f>IF(OR(INDEX($V$2:$V$1001,MATCH(ROWS($U$2:U805),$U$2:$U$1001,0),1)&gt;=100000,INDEX($AB$1005:$AQ$1005,1,MATCH(COLUMNS($AB$1006:AM1006),$AB$1006:$AQ$1006,0))&gt;=100000), " ",IF(INDEX($AB$2:$AQ$1001,MATCH(ROWS($U$2:U805),$U$2:$U$1001,0),MATCH(COLUMNS($AB$1006:AM1006),$AB$1006:$AQ$1006,0)), HYPERLINK("#",""), HYPERLINK(CONCATENATE("#Metadata!", ADDRESS(INDEX($W$2:$W$1001,MATCH(ROWS($U$2:U805),$U$2:$U$1001,0),0), INDEX($AB$1004:$AQ$1004,1,MATCH(COLUMNS($AB$1006:AM1006),$AB$1006:$AQ$1006,0)))),"Fix")))</f>
        <v>0</v>
      </c>
      <c r="N805" s="5">
        <f>IF(OR(INDEX($V$2:$V$1001,MATCH(ROWS($U$2:U805),$U$2:$U$1001,0),1)&gt;=100000,INDEX($AB$1005:$AQ$1005,1,MATCH(COLUMNS($AB$1006:AN1006),$AB$1006:$AQ$1006,0))&gt;=100000), " ",IF(INDEX($AB$2:$AQ$1001,MATCH(ROWS($U$2:U805),$U$2:$U$1001,0),MATCH(COLUMNS($AB$1006:AN1006),$AB$1006:$AQ$1006,0)), HYPERLINK("#",""), HYPERLINK(CONCATENATE("#Metadata!", ADDRESS(INDEX($W$2:$W$1001,MATCH(ROWS($U$2:U805),$U$2:$U$1001,0),0), INDEX($AB$1004:$AQ$1004,1,MATCH(COLUMNS($AB$1006:AN1006),$AB$1006:$AQ$1006,0)))),"Fix")))</f>
        <v>0</v>
      </c>
      <c r="O805" s="5">
        <f>IF(OR(INDEX($V$2:$V$1001,MATCH(ROWS($U$2:U805),$U$2:$U$1001,0),1)&gt;=100000,INDEX($AB$1005:$AQ$1005,1,MATCH(COLUMNS($AB$1006:AO1006),$AB$1006:$AQ$1006,0))&gt;=100000), " ",IF(INDEX($AB$2:$AQ$1001,MATCH(ROWS($U$2:U805),$U$2:$U$1001,0),MATCH(COLUMNS($AB$1006:AO1006),$AB$1006:$AQ$1006,0)), HYPERLINK("#",""), HYPERLINK(CONCATENATE("#Metadata!", ADDRESS(INDEX($W$2:$W$1001,MATCH(ROWS($U$2:U805),$U$2:$U$1001,0),0), INDEX($AB$1004:$AQ$1004,1,MATCH(COLUMNS($AB$1006:AO1006),$AB$1006:$AQ$1006,0)))),"Fix")))</f>
        <v>0</v>
      </c>
      <c r="P805" s="5">
        <f>IF(OR(INDEX($V$2:$V$1001,MATCH(ROWS($U$2:U805),$U$2:$U$1001,0),1)&gt;=100000,INDEX($AB$1005:$AQ$1005,1,MATCH(COLUMNS($AB$1006:AP1006),$AB$1006:$AQ$1006,0))&gt;=100000), " ",IF(INDEX($AB$2:$AQ$1001,MATCH(ROWS($U$2:U805),$U$2:$U$1001,0),MATCH(COLUMNS($AB$1006:AP1006),$AB$1006:$AQ$1006,0)), HYPERLINK("#",""), HYPERLINK(CONCATENATE("#Metadata!", ADDRESS(INDEX($W$2:$W$1001,MATCH(ROWS($U$2:U805),$U$2:$U$1001,0),0), INDEX($AB$1004:$AQ$1004,1,MATCH(COLUMNS($AB$1006:AP1006),$AB$1006:$AQ$1006,0)))),"Fix")))</f>
        <v>0</v>
      </c>
      <c r="Q805" s="5">
        <f>IF(OR(INDEX($V$2:$V$1001,MATCH(ROWS($U$2:U805),$U$2:$U$1001,0),1)&gt;=100000,INDEX($AB$1005:$AQ$1005,1,MATCH(COLUMNS($AB$1006:AQ1006),$AB$1006:$AQ$1006,0))&gt;=100000), " ",IF(INDEX($AB$2:$AQ$1001,MATCH(ROWS($U$2:U805),$U$2:$U$1001,0),MATCH(COLUMNS($AB$1006:AQ1006),$AB$1006:$AQ$1006,0)), HYPERLINK("#",""), HYPERLINK(CONCATENATE("#Metadata!", ADDRESS(INDEX($W$2:$W$1001,MATCH(ROWS($U$2:U805),$U$2:$U$1001,0),0), INDEX($AB$1004:$AQ$1004,1,MATCH(COLUMNS($AB$1006:AQ1006),$AB$1006:$AQ$1006,0)))),"Fix")))</f>
        <v>0</v>
      </c>
      <c r="U805">
        <v>0</v>
      </c>
      <c r="V805">
        <v>0</v>
      </c>
      <c r="W805">
        <v>0</v>
      </c>
      <c r="X805">
        <f>IF(Y805,TRUE,AND(AB805:AQ805))</f>
        <v>0</v>
      </c>
      <c r="Y805">
        <f>COUNTBLANK(Metadata!B805:Q805)=COLUMNS(Metadata!B805:Q805)</f>
        <v>0</v>
      </c>
      <c r="Z805">
        <v>0</v>
      </c>
      <c r="AB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AC805">
        <f>AND(IF(Metadata!C805="",FALSE,TRUE),exact(Metadata!C805,"urban biome"))</f>
        <v>0</v>
      </c>
      <c r="AD805">
        <f>AND(IF(Metadata!D805="",FALSE,TRUE),exact(Metadata!D805,"human-associated habitat"))</f>
        <v>0</v>
      </c>
      <c r="AE805">
        <f>AND(IF(Metadata!E805="",FALSE,TRUE),OR(exact(Metadata!E805,"human-associated"),exact(Metadata!E805,"human-skin"),exact(Metadata!E805,"human-oral"),exact(Metadata!E805,"human-gut"),exact(Metadata!E805,"human-vaginal")))</f>
        <v>0</v>
      </c>
      <c r="AF805">
        <f>AND(IF(Metadata!F805="",FALSE,ISNUMBER(VALUE(Metadata!F805))),Metadata!F805&gt;0)</f>
        <v>0</v>
      </c>
      <c r="AG805">
        <f>AND(IF(Metadata!G805="",FALSE,TRUE),exact(Metadata!G805,"years"))</f>
        <v>0</v>
      </c>
      <c r="AH805">
        <f>OR(AND(IF(Metadata!H805="",FALSE,TRUE),OR(exact(Metadata!H805,"not applicable"),exact(Metadata!H805,"not collected"),exact(Metadata!H805,"not provided"),exact(Metadata!H805,"restricted access"))),AND(IF(Metadata!H805="",FALSE,ISNUMBER(VALUE(Metadata!H805))),Metadata!H805&gt;0))</f>
        <v>0</v>
      </c>
      <c r="AI805">
        <f>AND(IF(Metadata!I805="",FALSE,TRUE),exact(Metadata!I805,"human"))</f>
        <v>0</v>
      </c>
      <c r="AJ805">
        <f>AND(IF(Metadata!J805="",FALSE,ISNUMBER(VALUE(Metadata!J805))),Metadata!J805&gt;0)</f>
        <v>0</v>
      </c>
      <c r="AK805">
        <f>AND(IF(Metadata!K805="",FALSE,TRUE),exact(Metadata!K805,"cm"))</f>
        <v>0</v>
      </c>
      <c r="AL805">
        <f>AND(IF(Metadata!L805="",FALSE,TRUE),exact(Metadata!L805,"Homo sapiens"))</f>
        <v>0</v>
      </c>
      <c r="AM805">
        <f>AND(IF(Metadata!M805="",FALSE,TRUE),exact(Metadata!M805,"9606"))</f>
        <v>0</v>
      </c>
      <c r="AN805">
        <f>AND(IF(Metadata!N805="",FALSE,ISNUMBER(VALUE(Metadata!N805))),Metadata!N805&gt;0)</f>
        <v>0</v>
      </c>
      <c r="AO805">
        <f>AND(IF(Metadata!O805="",FALSE,TRUE),exact(Metadata!O805,"kg"))</f>
        <v>0</v>
      </c>
      <c r="AP805">
        <f>OR(AND(IF(Metadata!P805="",FALSE,TRUE),exact(Metadata!P805,"not provided")),IF(Metadata!P805="",FALSE,TRUE))</f>
        <v>0</v>
      </c>
      <c r="AQ805">
        <f>OR(AND(IF(Metadata!Q805="",FALSE,TRUE),exact(Metadata!Q805,"not provided")),IF(Metadata!Q805="",FALSE,TRUE))</f>
        <v>0</v>
      </c>
    </row>
    <row r="806" spans="1:43">
      <c r="A806" s="4">
        <f>IF(B806=" "," ",HYPERLINK(CONCATENATE("#metadata!",ADDRESS(INDEX($W$2:$W$1001,MATCH(ROWS($U$2:U806),$U$2:$U$1001,0),0),2)),INDEX($Z$2:$Z$1001,MATCH(ROWS($U$2:U806),$U$2:$U$1001,0),0)))</f>
        <v>0</v>
      </c>
      <c r="B806" s="5">
        <f>IF(OR(INDEX($V$2:$V$1001,MATCH(ROWS($U$2:U806),$U$2:$U$1001,0),1)&gt;=100000,INDEX($AB$1005:$AQ$1005,1,MATCH(COLUMNS($AB$1006:AB1006),$AB$1006:$AQ$1006,0))&gt;=100000), " ",IF(INDEX($AB$2:$AQ$1001,MATCH(ROWS($U$2:U806),$U$2:$U$1001,0),MATCH(COLUMNS($AB$1006:AB1006),$AB$1006:$AQ$1006,0)), HYPERLINK("#",""), HYPERLINK(CONCATENATE("#Metadata!", ADDRESS(INDEX($W$2:$W$1001,MATCH(ROWS($U$2:U806),$U$2:$U$1001,0),0), INDEX($AB$1004:$AQ$1004,1,MATCH(COLUMNS($AB$1006:AB1006),$AB$1006:$AQ$1006,0)))),"Fix")))</f>
        <v>0</v>
      </c>
      <c r="C806" s="5">
        <f>IF(OR(INDEX($V$2:$V$1001,MATCH(ROWS($U$2:U806),$U$2:$U$1001,0),1)&gt;=100000,INDEX($AB$1005:$AQ$1005,1,MATCH(COLUMNS($AB$1006:AC1006),$AB$1006:$AQ$1006,0))&gt;=100000), " ",IF(INDEX($AB$2:$AQ$1001,MATCH(ROWS($U$2:U806),$U$2:$U$1001,0),MATCH(COLUMNS($AB$1006:AC1006),$AB$1006:$AQ$1006,0)), HYPERLINK("#",""), HYPERLINK(CONCATENATE("#Metadata!", ADDRESS(INDEX($W$2:$W$1001,MATCH(ROWS($U$2:U806),$U$2:$U$1001,0),0), INDEX($AB$1004:$AQ$1004,1,MATCH(COLUMNS($AB$1006:AC1006),$AB$1006:$AQ$1006,0)))),"Fix")))</f>
        <v>0</v>
      </c>
      <c r="D806" s="5">
        <f>IF(OR(INDEX($V$2:$V$1001,MATCH(ROWS($U$2:U806),$U$2:$U$1001,0),1)&gt;=100000,INDEX($AB$1005:$AQ$1005,1,MATCH(COLUMNS($AB$1006:AD1006),$AB$1006:$AQ$1006,0))&gt;=100000), " ",IF(INDEX($AB$2:$AQ$1001,MATCH(ROWS($U$2:U806),$U$2:$U$1001,0),MATCH(COLUMNS($AB$1006:AD1006),$AB$1006:$AQ$1006,0)), HYPERLINK("#",""), HYPERLINK(CONCATENATE("#Metadata!", ADDRESS(INDEX($W$2:$W$1001,MATCH(ROWS($U$2:U806),$U$2:$U$1001,0),0), INDEX($AB$1004:$AQ$1004,1,MATCH(COLUMNS($AB$1006:AD1006),$AB$1006:$AQ$1006,0)))),"Fix")))</f>
        <v>0</v>
      </c>
      <c r="E806" s="5">
        <f>IF(OR(INDEX($V$2:$V$1001,MATCH(ROWS($U$2:U806),$U$2:$U$1001,0),1)&gt;=100000,INDEX($AB$1005:$AQ$1005,1,MATCH(COLUMNS($AB$1006:AE1006),$AB$1006:$AQ$1006,0))&gt;=100000), " ",IF(INDEX($AB$2:$AQ$1001,MATCH(ROWS($U$2:U806),$U$2:$U$1001,0),MATCH(COLUMNS($AB$1006:AE1006),$AB$1006:$AQ$1006,0)), HYPERLINK("#",""), HYPERLINK(CONCATENATE("#Metadata!", ADDRESS(INDEX($W$2:$W$1001,MATCH(ROWS($U$2:U806),$U$2:$U$1001,0),0), INDEX($AB$1004:$AQ$1004,1,MATCH(COLUMNS($AB$1006:AE1006),$AB$1006:$AQ$1006,0)))),"Fix")))</f>
        <v>0</v>
      </c>
      <c r="F806" s="5">
        <f>IF(OR(INDEX($V$2:$V$1001,MATCH(ROWS($U$2:U806),$U$2:$U$1001,0),1)&gt;=100000,INDEX($AB$1005:$AQ$1005,1,MATCH(COLUMNS($AB$1006:AF1006),$AB$1006:$AQ$1006,0))&gt;=100000), " ",IF(INDEX($AB$2:$AQ$1001,MATCH(ROWS($U$2:U806),$U$2:$U$1001,0),MATCH(COLUMNS($AB$1006:AF1006),$AB$1006:$AQ$1006,0)), HYPERLINK("#",""), HYPERLINK(CONCATENATE("#Metadata!", ADDRESS(INDEX($W$2:$W$1001,MATCH(ROWS($U$2:U806),$U$2:$U$1001,0),0), INDEX($AB$1004:$AQ$1004,1,MATCH(COLUMNS($AB$1006:AF1006),$AB$1006:$AQ$1006,0)))),"Fix")))</f>
        <v>0</v>
      </c>
      <c r="G806" s="5">
        <f>IF(OR(INDEX($V$2:$V$1001,MATCH(ROWS($U$2:U806),$U$2:$U$1001,0),1)&gt;=100000,INDEX($AB$1005:$AQ$1005,1,MATCH(COLUMNS($AB$1006:AG1006),$AB$1006:$AQ$1006,0))&gt;=100000), " ",IF(INDEX($AB$2:$AQ$1001,MATCH(ROWS($U$2:U806),$U$2:$U$1001,0),MATCH(COLUMNS($AB$1006:AG1006),$AB$1006:$AQ$1006,0)), HYPERLINK("#",""), HYPERLINK(CONCATENATE("#Metadata!", ADDRESS(INDEX($W$2:$W$1001,MATCH(ROWS($U$2:U806),$U$2:$U$1001,0),0), INDEX($AB$1004:$AQ$1004,1,MATCH(COLUMNS($AB$1006:AG1006),$AB$1006:$AQ$1006,0)))),"Fix")))</f>
        <v>0</v>
      </c>
      <c r="H806" s="5">
        <f>IF(OR(INDEX($V$2:$V$1001,MATCH(ROWS($U$2:U806),$U$2:$U$1001,0),1)&gt;=100000,INDEX($AB$1005:$AQ$1005,1,MATCH(COLUMNS($AB$1006:AH1006),$AB$1006:$AQ$1006,0))&gt;=100000), " ",IF(INDEX($AB$2:$AQ$1001,MATCH(ROWS($U$2:U806),$U$2:$U$1001,0),MATCH(COLUMNS($AB$1006:AH1006),$AB$1006:$AQ$1006,0)), HYPERLINK("#",""), HYPERLINK(CONCATENATE("#Metadata!", ADDRESS(INDEX($W$2:$W$1001,MATCH(ROWS($U$2:U806),$U$2:$U$1001,0),0), INDEX($AB$1004:$AQ$1004,1,MATCH(COLUMNS($AB$1006:AH1006),$AB$1006:$AQ$1006,0)))),"Fix")))</f>
        <v>0</v>
      </c>
      <c r="I806" s="5">
        <f>IF(OR(INDEX($V$2:$V$1001,MATCH(ROWS($U$2:U806),$U$2:$U$1001,0),1)&gt;=100000,INDEX($AB$1005:$AQ$1005,1,MATCH(COLUMNS($AB$1006:AI1006),$AB$1006:$AQ$1006,0))&gt;=100000), " ",IF(INDEX($AB$2:$AQ$1001,MATCH(ROWS($U$2:U806),$U$2:$U$1001,0),MATCH(COLUMNS($AB$1006:AI1006),$AB$1006:$AQ$1006,0)), HYPERLINK("#",""), HYPERLINK(CONCATENATE("#Metadata!", ADDRESS(INDEX($W$2:$W$1001,MATCH(ROWS($U$2:U806),$U$2:$U$1001,0),0), INDEX($AB$1004:$AQ$1004,1,MATCH(COLUMNS($AB$1006:AI1006),$AB$1006:$AQ$1006,0)))),"Fix")))</f>
        <v>0</v>
      </c>
      <c r="J806" s="5">
        <f>IF(OR(INDEX($V$2:$V$1001,MATCH(ROWS($U$2:U806),$U$2:$U$1001,0),1)&gt;=100000,INDEX($AB$1005:$AQ$1005,1,MATCH(COLUMNS($AB$1006:AJ1006),$AB$1006:$AQ$1006,0))&gt;=100000), " ",IF(INDEX($AB$2:$AQ$1001,MATCH(ROWS($U$2:U806),$U$2:$U$1001,0),MATCH(COLUMNS($AB$1006:AJ1006),$AB$1006:$AQ$1006,0)), HYPERLINK("#",""), HYPERLINK(CONCATENATE("#Metadata!", ADDRESS(INDEX($W$2:$W$1001,MATCH(ROWS($U$2:U806),$U$2:$U$1001,0),0), INDEX($AB$1004:$AQ$1004,1,MATCH(COLUMNS($AB$1006:AJ1006),$AB$1006:$AQ$1006,0)))),"Fix")))</f>
        <v>0</v>
      </c>
      <c r="K806" s="5">
        <f>IF(OR(INDEX($V$2:$V$1001,MATCH(ROWS($U$2:U806),$U$2:$U$1001,0),1)&gt;=100000,INDEX($AB$1005:$AQ$1005,1,MATCH(COLUMNS($AB$1006:AK1006),$AB$1006:$AQ$1006,0))&gt;=100000), " ",IF(INDEX($AB$2:$AQ$1001,MATCH(ROWS($U$2:U806),$U$2:$U$1001,0),MATCH(COLUMNS($AB$1006:AK1006),$AB$1006:$AQ$1006,0)), HYPERLINK("#",""), HYPERLINK(CONCATENATE("#Metadata!", ADDRESS(INDEX($W$2:$W$1001,MATCH(ROWS($U$2:U806),$U$2:$U$1001,0),0), INDEX($AB$1004:$AQ$1004,1,MATCH(COLUMNS($AB$1006:AK1006),$AB$1006:$AQ$1006,0)))),"Fix")))</f>
        <v>0</v>
      </c>
      <c r="L806" s="5">
        <f>IF(OR(INDEX($V$2:$V$1001,MATCH(ROWS($U$2:U806),$U$2:$U$1001,0),1)&gt;=100000,INDEX($AB$1005:$AQ$1005,1,MATCH(COLUMNS($AB$1006:AL1006),$AB$1006:$AQ$1006,0))&gt;=100000), " ",IF(INDEX($AB$2:$AQ$1001,MATCH(ROWS($U$2:U806),$U$2:$U$1001,0),MATCH(COLUMNS($AB$1006:AL1006),$AB$1006:$AQ$1006,0)), HYPERLINK("#",""), HYPERLINK(CONCATENATE("#Metadata!", ADDRESS(INDEX($W$2:$W$1001,MATCH(ROWS($U$2:U806),$U$2:$U$1001,0),0), INDEX($AB$1004:$AQ$1004,1,MATCH(COLUMNS($AB$1006:AL1006),$AB$1006:$AQ$1006,0)))),"Fix")))</f>
        <v>0</v>
      </c>
      <c r="M806" s="5">
        <f>IF(OR(INDEX($V$2:$V$1001,MATCH(ROWS($U$2:U806),$U$2:$U$1001,0),1)&gt;=100000,INDEX($AB$1005:$AQ$1005,1,MATCH(COLUMNS($AB$1006:AM1006),$AB$1006:$AQ$1006,0))&gt;=100000), " ",IF(INDEX($AB$2:$AQ$1001,MATCH(ROWS($U$2:U806),$U$2:$U$1001,0),MATCH(COLUMNS($AB$1006:AM1006),$AB$1006:$AQ$1006,0)), HYPERLINK("#",""), HYPERLINK(CONCATENATE("#Metadata!", ADDRESS(INDEX($W$2:$W$1001,MATCH(ROWS($U$2:U806),$U$2:$U$1001,0),0), INDEX($AB$1004:$AQ$1004,1,MATCH(COLUMNS($AB$1006:AM1006),$AB$1006:$AQ$1006,0)))),"Fix")))</f>
        <v>0</v>
      </c>
      <c r="N806" s="5">
        <f>IF(OR(INDEX($V$2:$V$1001,MATCH(ROWS($U$2:U806),$U$2:$U$1001,0),1)&gt;=100000,INDEX($AB$1005:$AQ$1005,1,MATCH(COLUMNS($AB$1006:AN1006),$AB$1006:$AQ$1006,0))&gt;=100000), " ",IF(INDEX($AB$2:$AQ$1001,MATCH(ROWS($U$2:U806),$U$2:$U$1001,0),MATCH(COLUMNS($AB$1006:AN1006),$AB$1006:$AQ$1006,0)), HYPERLINK("#",""), HYPERLINK(CONCATENATE("#Metadata!", ADDRESS(INDEX($W$2:$W$1001,MATCH(ROWS($U$2:U806),$U$2:$U$1001,0),0), INDEX($AB$1004:$AQ$1004,1,MATCH(COLUMNS($AB$1006:AN1006),$AB$1006:$AQ$1006,0)))),"Fix")))</f>
        <v>0</v>
      </c>
      <c r="O806" s="5">
        <f>IF(OR(INDEX($V$2:$V$1001,MATCH(ROWS($U$2:U806),$U$2:$U$1001,0),1)&gt;=100000,INDEX($AB$1005:$AQ$1005,1,MATCH(COLUMNS($AB$1006:AO1006),$AB$1006:$AQ$1006,0))&gt;=100000), " ",IF(INDEX($AB$2:$AQ$1001,MATCH(ROWS($U$2:U806),$U$2:$U$1001,0),MATCH(COLUMNS($AB$1006:AO1006),$AB$1006:$AQ$1006,0)), HYPERLINK("#",""), HYPERLINK(CONCATENATE("#Metadata!", ADDRESS(INDEX($W$2:$W$1001,MATCH(ROWS($U$2:U806),$U$2:$U$1001,0),0), INDEX($AB$1004:$AQ$1004,1,MATCH(COLUMNS($AB$1006:AO1006),$AB$1006:$AQ$1006,0)))),"Fix")))</f>
        <v>0</v>
      </c>
      <c r="P806" s="5">
        <f>IF(OR(INDEX($V$2:$V$1001,MATCH(ROWS($U$2:U806),$U$2:$U$1001,0),1)&gt;=100000,INDEX($AB$1005:$AQ$1005,1,MATCH(COLUMNS($AB$1006:AP1006),$AB$1006:$AQ$1006,0))&gt;=100000), " ",IF(INDEX($AB$2:$AQ$1001,MATCH(ROWS($U$2:U806),$U$2:$U$1001,0),MATCH(COLUMNS($AB$1006:AP1006),$AB$1006:$AQ$1006,0)), HYPERLINK("#",""), HYPERLINK(CONCATENATE("#Metadata!", ADDRESS(INDEX($W$2:$W$1001,MATCH(ROWS($U$2:U806),$U$2:$U$1001,0),0), INDEX($AB$1004:$AQ$1004,1,MATCH(COLUMNS($AB$1006:AP1006),$AB$1006:$AQ$1006,0)))),"Fix")))</f>
        <v>0</v>
      </c>
      <c r="Q806" s="5">
        <f>IF(OR(INDEX($V$2:$V$1001,MATCH(ROWS($U$2:U806),$U$2:$U$1001,0),1)&gt;=100000,INDEX($AB$1005:$AQ$1005,1,MATCH(COLUMNS($AB$1006:AQ1006),$AB$1006:$AQ$1006,0))&gt;=100000), " ",IF(INDEX($AB$2:$AQ$1001,MATCH(ROWS($U$2:U806),$U$2:$U$1001,0),MATCH(COLUMNS($AB$1006:AQ1006),$AB$1006:$AQ$1006,0)), HYPERLINK("#",""), HYPERLINK(CONCATENATE("#Metadata!", ADDRESS(INDEX($W$2:$W$1001,MATCH(ROWS($U$2:U806),$U$2:$U$1001,0),0), INDEX($AB$1004:$AQ$1004,1,MATCH(COLUMNS($AB$1006:AQ1006),$AB$1006:$AQ$1006,0)))),"Fix")))</f>
        <v>0</v>
      </c>
      <c r="U806">
        <v>0</v>
      </c>
      <c r="V806">
        <v>0</v>
      </c>
      <c r="W806">
        <v>0</v>
      </c>
      <c r="X806">
        <f>IF(Y806,TRUE,AND(AB806:AQ806))</f>
        <v>0</v>
      </c>
      <c r="Y806">
        <f>COUNTBLANK(Metadata!B806:Q806)=COLUMNS(Metadata!B806:Q806)</f>
        <v>0</v>
      </c>
      <c r="Z806">
        <v>0</v>
      </c>
      <c r="AB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AC806">
        <f>AND(IF(Metadata!C806="",FALSE,TRUE),exact(Metadata!C806,"urban biome"))</f>
        <v>0</v>
      </c>
      <c r="AD806">
        <f>AND(IF(Metadata!D806="",FALSE,TRUE),exact(Metadata!D806,"human-associated habitat"))</f>
        <v>0</v>
      </c>
      <c r="AE806">
        <f>AND(IF(Metadata!E806="",FALSE,TRUE),OR(exact(Metadata!E806,"human-associated"),exact(Metadata!E806,"human-skin"),exact(Metadata!E806,"human-oral"),exact(Metadata!E806,"human-gut"),exact(Metadata!E806,"human-vaginal")))</f>
        <v>0</v>
      </c>
      <c r="AF806">
        <f>AND(IF(Metadata!F806="",FALSE,ISNUMBER(VALUE(Metadata!F806))),Metadata!F806&gt;0)</f>
        <v>0</v>
      </c>
      <c r="AG806">
        <f>AND(IF(Metadata!G806="",FALSE,TRUE),exact(Metadata!G806,"years"))</f>
        <v>0</v>
      </c>
      <c r="AH806">
        <f>OR(AND(IF(Metadata!H806="",FALSE,TRUE),OR(exact(Metadata!H806,"not applicable"),exact(Metadata!H806,"not collected"),exact(Metadata!H806,"not provided"),exact(Metadata!H806,"restricted access"))),AND(IF(Metadata!H806="",FALSE,ISNUMBER(VALUE(Metadata!H806))),Metadata!H806&gt;0))</f>
        <v>0</v>
      </c>
      <c r="AI806">
        <f>AND(IF(Metadata!I806="",FALSE,TRUE),exact(Metadata!I806,"human"))</f>
        <v>0</v>
      </c>
      <c r="AJ806">
        <f>AND(IF(Metadata!J806="",FALSE,ISNUMBER(VALUE(Metadata!J806))),Metadata!J806&gt;0)</f>
        <v>0</v>
      </c>
      <c r="AK806">
        <f>AND(IF(Metadata!K806="",FALSE,TRUE),exact(Metadata!K806,"cm"))</f>
        <v>0</v>
      </c>
      <c r="AL806">
        <f>AND(IF(Metadata!L806="",FALSE,TRUE),exact(Metadata!L806,"Homo sapiens"))</f>
        <v>0</v>
      </c>
      <c r="AM806">
        <f>AND(IF(Metadata!M806="",FALSE,TRUE),exact(Metadata!M806,"9606"))</f>
        <v>0</v>
      </c>
      <c r="AN806">
        <f>AND(IF(Metadata!N806="",FALSE,ISNUMBER(VALUE(Metadata!N806))),Metadata!N806&gt;0)</f>
        <v>0</v>
      </c>
      <c r="AO806">
        <f>AND(IF(Metadata!O806="",FALSE,TRUE),exact(Metadata!O806,"kg"))</f>
        <v>0</v>
      </c>
      <c r="AP806">
        <f>OR(AND(IF(Metadata!P806="",FALSE,TRUE),exact(Metadata!P806,"not provided")),IF(Metadata!P806="",FALSE,TRUE))</f>
        <v>0</v>
      </c>
      <c r="AQ806">
        <f>OR(AND(IF(Metadata!Q806="",FALSE,TRUE),exact(Metadata!Q806,"not provided")),IF(Metadata!Q806="",FALSE,TRUE))</f>
        <v>0</v>
      </c>
    </row>
    <row r="807" spans="1:43">
      <c r="A807" s="4">
        <f>IF(B807=" "," ",HYPERLINK(CONCATENATE("#metadata!",ADDRESS(INDEX($W$2:$W$1001,MATCH(ROWS($U$2:U807),$U$2:$U$1001,0),0),2)),INDEX($Z$2:$Z$1001,MATCH(ROWS($U$2:U807),$U$2:$U$1001,0),0)))</f>
        <v>0</v>
      </c>
      <c r="B807" s="5">
        <f>IF(OR(INDEX($V$2:$V$1001,MATCH(ROWS($U$2:U807),$U$2:$U$1001,0),1)&gt;=100000,INDEX($AB$1005:$AQ$1005,1,MATCH(COLUMNS($AB$1006:AB1006),$AB$1006:$AQ$1006,0))&gt;=100000), " ",IF(INDEX($AB$2:$AQ$1001,MATCH(ROWS($U$2:U807),$U$2:$U$1001,0),MATCH(COLUMNS($AB$1006:AB1006),$AB$1006:$AQ$1006,0)), HYPERLINK("#",""), HYPERLINK(CONCATENATE("#Metadata!", ADDRESS(INDEX($W$2:$W$1001,MATCH(ROWS($U$2:U807),$U$2:$U$1001,0),0), INDEX($AB$1004:$AQ$1004,1,MATCH(COLUMNS($AB$1006:AB1006),$AB$1006:$AQ$1006,0)))),"Fix")))</f>
        <v>0</v>
      </c>
      <c r="C807" s="5">
        <f>IF(OR(INDEX($V$2:$V$1001,MATCH(ROWS($U$2:U807),$U$2:$U$1001,0),1)&gt;=100000,INDEX($AB$1005:$AQ$1005,1,MATCH(COLUMNS($AB$1006:AC1006),$AB$1006:$AQ$1006,0))&gt;=100000), " ",IF(INDEX($AB$2:$AQ$1001,MATCH(ROWS($U$2:U807),$U$2:$U$1001,0),MATCH(COLUMNS($AB$1006:AC1006),$AB$1006:$AQ$1006,0)), HYPERLINK("#",""), HYPERLINK(CONCATENATE("#Metadata!", ADDRESS(INDEX($W$2:$W$1001,MATCH(ROWS($U$2:U807),$U$2:$U$1001,0),0), INDEX($AB$1004:$AQ$1004,1,MATCH(COLUMNS($AB$1006:AC1006),$AB$1006:$AQ$1006,0)))),"Fix")))</f>
        <v>0</v>
      </c>
      <c r="D807" s="5">
        <f>IF(OR(INDEX($V$2:$V$1001,MATCH(ROWS($U$2:U807),$U$2:$U$1001,0),1)&gt;=100000,INDEX($AB$1005:$AQ$1005,1,MATCH(COLUMNS($AB$1006:AD1006),$AB$1006:$AQ$1006,0))&gt;=100000), " ",IF(INDEX($AB$2:$AQ$1001,MATCH(ROWS($U$2:U807),$U$2:$U$1001,0),MATCH(COLUMNS($AB$1006:AD1006),$AB$1006:$AQ$1006,0)), HYPERLINK("#",""), HYPERLINK(CONCATENATE("#Metadata!", ADDRESS(INDEX($W$2:$W$1001,MATCH(ROWS($U$2:U807),$U$2:$U$1001,0),0), INDEX($AB$1004:$AQ$1004,1,MATCH(COLUMNS($AB$1006:AD1006),$AB$1006:$AQ$1006,0)))),"Fix")))</f>
        <v>0</v>
      </c>
      <c r="E807" s="5">
        <f>IF(OR(INDEX($V$2:$V$1001,MATCH(ROWS($U$2:U807),$U$2:$U$1001,0),1)&gt;=100000,INDEX($AB$1005:$AQ$1005,1,MATCH(COLUMNS($AB$1006:AE1006),$AB$1006:$AQ$1006,0))&gt;=100000), " ",IF(INDEX($AB$2:$AQ$1001,MATCH(ROWS($U$2:U807),$U$2:$U$1001,0),MATCH(COLUMNS($AB$1006:AE1006),$AB$1006:$AQ$1006,0)), HYPERLINK("#",""), HYPERLINK(CONCATENATE("#Metadata!", ADDRESS(INDEX($W$2:$W$1001,MATCH(ROWS($U$2:U807),$U$2:$U$1001,0),0), INDEX($AB$1004:$AQ$1004,1,MATCH(COLUMNS($AB$1006:AE1006),$AB$1006:$AQ$1006,0)))),"Fix")))</f>
        <v>0</v>
      </c>
      <c r="F807" s="5">
        <f>IF(OR(INDEX($V$2:$V$1001,MATCH(ROWS($U$2:U807),$U$2:$U$1001,0),1)&gt;=100000,INDEX($AB$1005:$AQ$1005,1,MATCH(COLUMNS($AB$1006:AF1006),$AB$1006:$AQ$1006,0))&gt;=100000), " ",IF(INDEX($AB$2:$AQ$1001,MATCH(ROWS($U$2:U807),$U$2:$U$1001,0),MATCH(COLUMNS($AB$1006:AF1006),$AB$1006:$AQ$1006,0)), HYPERLINK("#",""), HYPERLINK(CONCATENATE("#Metadata!", ADDRESS(INDEX($W$2:$W$1001,MATCH(ROWS($U$2:U807),$U$2:$U$1001,0),0), INDEX($AB$1004:$AQ$1004,1,MATCH(COLUMNS($AB$1006:AF1006),$AB$1006:$AQ$1006,0)))),"Fix")))</f>
        <v>0</v>
      </c>
      <c r="G807" s="5">
        <f>IF(OR(INDEX($V$2:$V$1001,MATCH(ROWS($U$2:U807),$U$2:$U$1001,0),1)&gt;=100000,INDEX($AB$1005:$AQ$1005,1,MATCH(COLUMNS($AB$1006:AG1006),$AB$1006:$AQ$1006,0))&gt;=100000), " ",IF(INDEX($AB$2:$AQ$1001,MATCH(ROWS($U$2:U807),$U$2:$U$1001,0),MATCH(COLUMNS($AB$1006:AG1006),$AB$1006:$AQ$1006,0)), HYPERLINK("#",""), HYPERLINK(CONCATENATE("#Metadata!", ADDRESS(INDEX($W$2:$W$1001,MATCH(ROWS($U$2:U807),$U$2:$U$1001,0),0), INDEX($AB$1004:$AQ$1004,1,MATCH(COLUMNS($AB$1006:AG1006),$AB$1006:$AQ$1006,0)))),"Fix")))</f>
        <v>0</v>
      </c>
      <c r="H807" s="5">
        <f>IF(OR(INDEX($V$2:$V$1001,MATCH(ROWS($U$2:U807),$U$2:$U$1001,0),1)&gt;=100000,INDEX($AB$1005:$AQ$1005,1,MATCH(COLUMNS($AB$1006:AH1006),$AB$1006:$AQ$1006,0))&gt;=100000), " ",IF(INDEX($AB$2:$AQ$1001,MATCH(ROWS($U$2:U807),$U$2:$U$1001,0),MATCH(COLUMNS($AB$1006:AH1006),$AB$1006:$AQ$1006,0)), HYPERLINK("#",""), HYPERLINK(CONCATENATE("#Metadata!", ADDRESS(INDEX($W$2:$W$1001,MATCH(ROWS($U$2:U807),$U$2:$U$1001,0),0), INDEX($AB$1004:$AQ$1004,1,MATCH(COLUMNS($AB$1006:AH1006),$AB$1006:$AQ$1006,0)))),"Fix")))</f>
        <v>0</v>
      </c>
      <c r="I807" s="5">
        <f>IF(OR(INDEX($V$2:$V$1001,MATCH(ROWS($U$2:U807),$U$2:$U$1001,0),1)&gt;=100000,INDEX($AB$1005:$AQ$1005,1,MATCH(COLUMNS($AB$1006:AI1006),$AB$1006:$AQ$1006,0))&gt;=100000), " ",IF(INDEX($AB$2:$AQ$1001,MATCH(ROWS($U$2:U807),$U$2:$U$1001,0),MATCH(COLUMNS($AB$1006:AI1006),$AB$1006:$AQ$1006,0)), HYPERLINK("#",""), HYPERLINK(CONCATENATE("#Metadata!", ADDRESS(INDEX($W$2:$W$1001,MATCH(ROWS($U$2:U807),$U$2:$U$1001,0),0), INDEX($AB$1004:$AQ$1004,1,MATCH(COLUMNS($AB$1006:AI1006),$AB$1006:$AQ$1006,0)))),"Fix")))</f>
        <v>0</v>
      </c>
      <c r="J807" s="5">
        <f>IF(OR(INDEX($V$2:$V$1001,MATCH(ROWS($U$2:U807),$U$2:$U$1001,0),1)&gt;=100000,INDEX($AB$1005:$AQ$1005,1,MATCH(COLUMNS($AB$1006:AJ1006),$AB$1006:$AQ$1006,0))&gt;=100000), " ",IF(INDEX($AB$2:$AQ$1001,MATCH(ROWS($U$2:U807),$U$2:$U$1001,0),MATCH(COLUMNS($AB$1006:AJ1006),$AB$1006:$AQ$1006,0)), HYPERLINK("#",""), HYPERLINK(CONCATENATE("#Metadata!", ADDRESS(INDEX($W$2:$W$1001,MATCH(ROWS($U$2:U807),$U$2:$U$1001,0),0), INDEX($AB$1004:$AQ$1004,1,MATCH(COLUMNS($AB$1006:AJ1006),$AB$1006:$AQ$1006,0)))),"Fix")))</f>
        <v>0</v>
      </c>
      <c r="K807" s="5">
        <f>IF(OR(INDEX($V$2:$V$1001,MATCH(ROWS($U$2:U807),$U$2:$U$1001,0),1)&gt;=100000,INDEX($AB$1005:$AQ$1005,1,MATCH(COLUMNS($AB$1006:AK1006),$AB$1006:$AQ$1006,0))&gt;=100000), " ",IF(INDEX($AB$2:$AQ$1001,MATCH(ROWS($U$2:U807),$U$2:$U$1001,0),MATCH(COLUMNS($AB$1006:AK1006),$AB$1006:$AQ$1006,0)), HYPERLINK("#",""), HYPERLINK(CONCATENATE("#Metadata!", ADDRESS(INDEX($W$2:$W$1001,MATCH(ROWS($U$2:U807),$U$2:$U$1001,0),0), INDEX($AB$1004:$AQ$1004,1,MATCH(COLUMNS($AB$1006:AK1006),$AB$1006:$AQ$1006,0)))),"Fix")))</f>
        <v>0</v>
      </c>
      <c r="L807" s="5">
        <f>IF(OR(INDEX($V$2:$V$1001,MATCH(ROWS($U$2:U807),$U$2:$U$1001,0),1)&gt;=100000,INDEX($AB$1005:$AQ$1005,1,MATCH(COLUMNS($AB$1006:AL1006),$AB$1006:$AQ$1006,0))&gt;=100000), " ",IF(INDEX($AB$2:$AQ$1001,MATCH(ROWS($U$2:U807),$U$2:$U$1001,0),MATCH(COLUMNS($AB$1006:AL1006),$AB$1006:$AQ$1006,0)), HYPERLINK("#",""), HYPERLINK(CONCATENATE("#Metadata!", ADDRESS(INDEX($W$2:$W$1001,MATCH(ROWS($U$2:U807),$U$2:$U$1001,0),0), INDEX($AB$1004:$AQ$1004,1,MATCH(COLUMNS($AB$1006:AL1006),$AB$1006:$AQ$1006,0)))),"Fix")))</f>
        <v>0</v>
      </c>
      <c r="M807" s="5">
        <f>IF(OR(INDEX($V$2:$V$1001,MATCH(ROWS($U$2:U807),$U$2:$U$1001,0),1)&gt;=100000,INDEX($AB$1005:$AQ$1005,1,MATCH(COLUMNS($AB$1006:AM1006),$AB$1006:$AQ$1006,0))&gt;=100000), " ",IF(INDEX($AB$2:$AQ$1001,MATCH(ROWS($U$2:U807),$U$2:$U$1001,0),MATCH(COLUMNS($AB$1006:AM1006),$AB$1006:$AQ$1006,0)), HYPERLINK("#",""), HYPERLINK(CONCATENATE("#Metadata!", ADDRESS(INDEX($W$2:$W$1001,MATCH(ROWS($U$2:U807),$U$2:$U$1001,0),0), INDEX($AB$1004:$AQ$1004,1,MATCH(COLUMNS($AB$1006:AM1006),$AB$1006:$AQ$1006,0)))),"Fix")))</f>
        <v>0</v>
      </c>
      <c r="N807" s="5">
        <f>IF(OR(INDEX($V$2:$V$1001,MATCH(ROWS($U$2:U807),$U$2:$U$1001,0),1)&gt;=100000,INDEX($AB$1005:$AQ$1005,1,MATCH(COLUMNS($AB$1006:AN1006),$AB$1006:$AQ$1006,0))&gt;=100000), " ",IF(INDEX($AB$2:$AQ$1001,MATCH(ROWS($U$2:U807),$U$2:$U$1001,0),MATCH(COLUMNS($AB$1006:AN1006),$AB$1006:$AQ$1006,0)), HYPERLINK("#",""), HYPERLINK(CONCATENATE("#Metadata!", ADDRESS(INDEX($W$2:$W$1001,MATCH(ROWS($U$2:U807),$U$2:$U$1001,0),0), INDEX($AB$1004:$AQ$1004,1,MATCH(COLUMNS($AB$1006:AN1006),$AB$1006:$AQ$1006,0)))),"Fix")))</f>
        <v>0</v>
      </c>
      <c r="O807" s="5">
        <f>IF(OR(INDEX($V$2:$V$1001,MATCH(ROWS($U$2:U807),$U$2:$U$1001,0),1)&gt;=100000,INDEX($AB$1005:$AQ$1005,1,MATCH(COLUMNS($AB$1006:AO1006),$AB$1006:$AQ$1006,0))&gt;=100000), " ",IF(INDEX($AB$2:$AQ$1001,MATCH(ROWS($U$2:U807),$U$2:$U$1001,0),MATCH(COLUMNS($AB$1006:AO1006),$AB$1006:$AQ$1006,0)), HYPERLINK("#",""), HYPERLINK(CONCATENATE("#Metadata!", ADDRESS(INDEX($W$2:$W$1001,MATCH(ROWS($U$2:U807),$U$2:$U$1001,0),0), INDEX($AB$1004:$AQ$1004,1,MATCH(COLUMNS($AB$1006:AO1006),$AB$1006:$AQ$1006,0)))),"Fix")))</f>
        <v>0</v>
      </c>
      <c r="P807" s="5">
        <f>IF(OR(INDEX($V$2:$V$1001,MATCH(ROWS($U$2:U807),$U$2:$U$1001,0),1)&gt;=100000,INDEX($AB$1005:$AQ$1005,1,MATCH(COLUMNS($AB$1006:AP1006),$AB$1006:$AQ$1006,0))&gt;=100000), " ",IF(INDEX($AB$2:$AQ$1001,MATCH(ROWS($U$2:U807),$U$2:$U$1001,0),MATCH(COLUMNS($AB$1006:AP1006),$AB$1006:$AQ$1006,0)), HYPERLINK("#",""), HYPERLINK(CONCATENATE("#Metadata!", ADDRESS(INDEX($W$2:$W$1001,MATCH(ROWS($U$2:U807),$U$2:$U$1001,0),0), INDEX($AB$1004:$AQ$1004,1,MATCH(COLUMNS($AB$1006:AP1006),$AB$1006:$AQ$1006,0)))),"Fix")))</f>
        <v>0</v>
      </c>
      <c r="Q807" s="5">
        <f>IF(OR(INDEX($V$2:$V$1001,MATCH(ROWS($U$2:U807),$U$2:$U$1001,0),1)&gt;=100000,INDEX($AB$1005:$AQ$1005,1,MATCH(COLUMNS($AB$1006:AQ1006),$AB$1006:$AQ$1006,0))&gt;=100000), " ",IF(INDEX($AB$2:$AQ$1001,MATCH(ROWS($U$2:U807),$U$2:$U$1001,0),MATCH(COLUMNS($AB$1006:AQ1006),$AB$1006:$AQ$1006,0)), HYPERLINK("#",""), HYPERLINK(CONCATENATE("#Metadata!", ADDRESS(INDEX($W$2:$W$1001,MATCH(ROWS($U$2:U807),$U$2:$U$1001,0),0), INDEX($AB$1004:$AQ$1004,1,MATCH(COLUMNS($AB$1006:AQ1006),$AB$1006:$AQ$1006,0)))),"Fix")))</f>
        <v>0</v>
      </c>
      <c r="U807">
        <v>0</v>
      </c>
      <c r="V807">
        <v>0</v>
      </c>
      <c r="W807">
        <v>0</v>
      </c>
      <c r="X807">
        <f>IF(Y807,TRUE,AND(AB807:AQ807))</f>
        <v>0</v>
      </c>
      <c r="Y807">
        <f>COUNTBLANK(Metadata!B807:Q807)=COLUMNS(Metadata!B807:Q807)</f>
        <v>0</v>
      </c>
      <c r="Z807">
        <v>0</v>
      </c>
      <c r="AB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AC807">
        <f>AND(IF(Metadata!C807="",FALSE,TRUE),exact(Metadata!C807,"urban biome"))</f>
        <v>0</v>
      </c>
      <c r="AD807">
        <f>AND(IF(Metadata!D807="",FALSE,TRUE),exact(Metadata!D807,"human-associated habitat"))</f>
        <v>0</v>
      </c>
      <c r="AE807">
        <f>AND(IF(Metadata!E807="",FALSE,TRUE),OR(exact(Metadata!E807,"human-associated"),exact(Metadata!E807,"human-skin"),exact(Metadata!E807,"human-oral"),exact(Metadata!E807,"human-gut"),exact(Metadata!E807,"human-vaginal")))</f>
        <v>0</v>
      </c>
      <c r="AF807">
        <f>AND(IF(Metadata!F807="",FALSE,ISNUMBER(VALUE(Metadata!F807))),Metadata!F807&gt;0)</f>
        <v>0</v>
      </c>
      <c r="AG807">
        <f>AND(IF(Metadata!G807="",FALSE,TRUE),exact(Metadata!G807,"years"))</f>
        <v>0</v>
      </c>
      <c r="AH807">
        <f>OR(AND(IF(Metadata!H807="",FALSE,TRUE),OR(exact(Metadata!H807,"not applicable"),exact(Metadata!H807,"not collected"),exact(Metadata!H807,"not provided"),exact(Metadata!H807,"restricted access"))),AND(IF(Metadata!H807="",FALSE,ISNUMBER(VALUE(Metadata!H807))),Metadata!H807&gt;0))</f>
        <v>0</v>
      </c>
      <c r="AI807">
        <f>AND(IF(Metadata!I807="",FALSE,TRUE),exact(Metadata!I807,"human"))</f>
        <v>0</v>
      </c>
      <c r="AJ807">
        <f>AND(IF(Metadata!J807="",FALSE,ISNUMBER(VALUE(Metadata!J807))),Metadata!J807&gt;0)</f>
        <v>0</v>
      </c>
      <c r="AK807">
        <f>AND(IF(Metadata!K807="",FALSE,TRUE),exact(Metadata!K807,"cm"))</f>
        <v>0</v>
      </c>
      <c r="AL807">
        <f>AND(IF(Metadata!L807="",FALSE,TRUE),exact(Metadata!L807,"Homo sapiens"))</f>
        <v>0</v>
      </c>
      <c r="AM807">
        <f>AND(IF(Metadata!M807="",FALSE,TRUE),exact(Metadata!M807,"9606"))</f>
        <v>0</v>
      </c>
      <c r="AN807">
        <f>AND(IF(Metadata!N807="",FALSE,ISNUMBER(VALUE(Metadata!N807))),Metadata!N807&gt;0)</f>
        <v>0</v>
      </c>
      <c r="AO807">
        <f>AND(IF(Metadata!O807="",FALSE,TRUE),exact(Metadata!O807,"kg"))</f>
        <v>0</v>
      </c>
      <c r="AP807">
        <f>OR(AND(IF(Metadata!P807="",FALSE,TRUE),exact(Metadata!P807,"not provided")),IF(Metadata!P807="",FALSE,TRUE))</f>
        <v>0</v>
      </c>
      <c r="AQ807">
        <f>OR(AND(IF(Metadata!Q807="",FALSE,TRUE),exact(Metadata!Q807,"not provided")),IF(Metadata!Q807="",FALSE,TRUE))</f>
        <v>0</v>
      </c>
    </row>
    <row r="808" spans="1:43">
      <c r="A808" s="4">
        <f>IF(B808=" "," ",HYPERLINK(CONCATENATE("#metadata!",ADDRESS(INDEX($W$2:$W$1001,MATCH(ROWS($U$2:U808),$U$2:$U$1001,0),0),2)),INDEX($Z$2:$Z$1001,MATCH(ROWS($U$2:U808),$U$2:$U$1001,0),0)))</f>
        <v>0</v>
      </c>
      <c r="B808" s="5">
        <f>IF(OR(INDEX($V$2:$V$1001,MATCH(ROWS($U$2:U808),$U$2:$U$1001,0),1)&gt;=100000,INDEX($AB$1005:$AQ$1005,1,MATCH(COLUMNS($AB$1006:AB1006),$AB$1006:$AQ$1006,0))&gt;=100000), " ",IF(INDEX($AB$2:$AQ$1001,MATCH(ROWS($U$2:U808),$U$2:$U$1001,0),MATCH(COLUMNS($AB$1006:AB1006),$AB$1006:$AQ$1006,0)), HYPERLINK("#",""), HYPERLINK(CONCATENATE("#Metadata!", ADDRESS(INDEX($W$2:$W$1001,MATCH(ROWS($U$2:U808),$U$2:$U$1001,0),0), INDEX($AB$1004:$AQ$1004,1,MATCH(COLUMNS($AB$1006:AB1006),$AB$1006:$AQ$1006,0)))),"Fix")))</f>
        <v>0</v>
      </c>
      <c r="C808" s="5">
        <f>IF(OR(INDEX($V$2:$V$1001,MATCH(ROWS($U$2:U808),$U$2:$U$1001,0),1)&gt;=100000,INDEX($AB$1005:$AQ$1005,1,MATCH(COLUMNS($AB$1006:AC1006),$AB$1006:$AQ$1006,0))&gt;=100000), " ",IF(INDEX($AB$2:$AQ$1001,MATCH(ROWS($U$2:U808),$U$2:$U$1001,0),MATCH(COLUMNS($AB$1006:AC1006),$AB$1006:$AQ$1006,0)), HYPERLINK("#",""), HYPERLINK(CONCATENATE("#Metadata!", ADDRESS(INDEX($W$2:$W$1001,MATCH(ROWS($U$2:U808),$U$2:$U$1001,0),0), INDEX($AB$1004:$AQ$1004,1,MATCH(COLUMNS($AB$1006:AC1006),$AB$1006:$AQ$1006,0)))),"Fix")))</f>
        <v>0</v>
      </c>
      <c r="D808" s="5">
        <f>IF(OR(INDEX($V$2:$V$1001,MATCH(ROWS($U$2:U808),$U$2:$U$1001,0),1)&gt;=100000,INDEX($AB$1005:$AQ$1005,1,MATCH(COLUMNS($AB$1006:AD1006),$AB$1006:$AQ$1006,0))&gt;=100000), " ",IF(INDEX($AB$2:$AQ$1001,MATCH(ROWS($U$2:U808),$U$2:$U$1001,0),MATCH(COLUMNS($AB$1006:AD1006),$AB$1006:$AQ$1006,0)), HYPERLINK("#",""), HYPERLINK(CONCATENATE("#Metadata!", ADDRESS(INDEX($W$2:$W$1001,MATCH(ROWS($U$2:U808),$U$2:$U$1001,0),0), INDEX($AB$1004:$AQ$1004,1,MATCH(COLUMNS($AB$1006:AD1006),$AB$1006:$AQ$1006,0)))),"Fix")))</f>
        <v>0</v>
      </c>
      <c r="E808" s="5">
        <f>IF(OR(INDEX($V$2:$V$1001,MATCH(ROWS($U$2:U808),$U$2:$U$1001,0),1)&gt;=100000,INDEX($AB$1005:$AQ$1005,1,MATCH(COLUMNS($AB$1006:AE1006),$AB$1006:$AQ$1006,0))&gt;=100000), " ",IF(INDEX($AB$2:$AQ$1001,MATCH(ROWS($U$2:U808),$U$2:$U$1001,0),MATCH(COLUMNS($AB$1006:AE1006),$AB$1006:$AQ$1006,0)), HYPERLINK("#",""), HYPERLINK(CONCATENATE("#Metadata!", ADDRESS(INDEX($W$2:$W$1001,MATCH(ROWS($U$2:U808),$U$2:$U$1001,0),0), INDEX($AB$1004:$AQ$1004,1,MATCH(COLUMNS($AB$1006:AE1006),$AB$1006:$AQ$1006,0)))),"Fix")))</f>
        <v>0</v>
      </c>
      <c r="F808" s="5">
        <f>IF(OR(INDEX($V$2:$V$1001,MATCH(ROWS($U$2:U808),$U$2:$U$1001,0),1)&gt;=100000,INDEX($AB$1005:$AQ$1005,1,MATCH(COLUMNS($AB$1006:AF1006),$AB$1006:$AQ$1006,0))&gt;=100000), " ",IF(INDEX($AB$2:$AQ$1001,MATCH(ROWS($U$2:U808),$U$2:$U$1001,0),MATCH(COLUMNS($AB$1006:AF1006),$AB$1006:$AQ$1006,0)), HYPERLINK("#",""), HYPERLINK(CONCATENATE("#Metadata!", ADDRESS(INDEX($W$2:$W$1001,MATCH(ROWS($U$2:U808),$U$2:$U$1001,0),0), INDEX($AB$1004:$AQ$1004,1,MATCH(COLUMNS($AB$1006:AF1006),$AB$1006:$AQ$1006,0)))),"Fix")))</f>
        <v>0</v>
      </c>
      <c r="G808" s="5">
        <f>IF(OR(INDEX($V$2:$V$1001,MATCH(ROWS($U$2:U808),$U$2:$U$1001,0),1)&gt;=100000,INDEX($AB$1005:$AQ$1005,1,MATCH(COLUMNS($AB$1006:AG1006),$AB$1006:$AQ$1006,0))&gt;=100000), " ",IF(INDEX($AB$2:$AQ$1001,MATCH(ROWS($U$2:U808),$U$2:$U$1001,0),MATCH(COLUMNS($AB$1006:AG1006),$AB$1006:$AQ$1006,0)), HYPERLINK("#",""), HYPERLINK(CONCATENATE("#Metadata!", ADDRESS(INDEX($W$2:$W$1001,MATCH(ROWS($U$2:U808),$U$2:$U$1001,0),0), INDEX($AB$1004:$AQ$1004,1,MATCH(COLUMNS($AB$1006:AG1006),$AB$1006:$AQ$1006,0)))),"Fix")))</f>
        <v>0</v>
      </c>
      <c r="H808" s="5">
        <f>IF(OR(INDEX($V$2:$V$1001,MATCH(ROWS($U$2:U808),$U$2:$U$1001,0),1)&gt;=100000,INDEX($AB$1005:$AQ$1005,1,MATCH(COLUMNS($AB$1006:AH1006),$AB$1006:$AQ$1006,0))&gt;=100000), " ",IF(INDEX($AB$2:$AQ$1001,MATCH(ROWS($U$2:U808),$U$2:$U$1001,0),MATCH(COLUMNS($AB$1006:AH1006),$AB$1006:$AQ$1006,0)), HYPERLINK("#",""), HYPERLINK(CONCATENATE("#Metadata!", ADDRESS(INDEX($W$2:$W$1001,MATCH(ROWS($U$2:U808),$U$2:$U$1001,0),0), INDEX($AB$1004:$AQ$1004,1,MATCH(COLUMNS($AB$1006:AH1006),$AB$1006:$AQ$1006,0)))),"Fix")))</f>
        <v>0</v>
      </c>
      <c r="I808" s="5">
        <f>IF(OR(INDEX($V$2:$V$1001,MATCH(ROWS($U$2:U808),$U$2:$U$1001,0),1)&gt;=100000,INDEX($AB$1005:$AQ$1005,1,MATCH(COLUMNS($AB$1006:AI1006),$AB$1006:$AQ$1006,0))&gt;=100000), " ",IF(INDEX($AB$2:$AQ$1001,MATCH(ROWS($U$2:U808),$U$2:$U$1001,0),MATCH(COLUMNS($AB$1006:AI1006),$AB$1006:$AQ$1006,0)), HYPERLINK("#",""), HYPERLINK(CONCATENATE("#Metadata!", ADDRESS(INDEX($W$2:$W$1001,MATCH(ROWS($U$2:U808),$U$2:$U$1001,0),0), INDEX($AB$1004:$AQ$1004,1,MATCH(COLUMNS($AB$1006:AI1006),$AB$1006:$AQ$1006,0)))),"Fix")))</f>
        <v>0</v>
      </c>
      <c r="J808" s="5">
        <f>IF(OR(INDEX($V$2:$V$1001,MATCH(ROWS($U$2:U808),$U$2:$U$1001,0),1)&gt;=100000,INDEX($AB$1005:$AQ$1005,1,MATCH(COLUMNS($AB$1006:AJ1006),$AB$1006:$AQ$1006,0))&gt;=100000), " ",IF(INDEX($AB$2:$AQ$1001,MATCH(ROWS($U$2:U808),$U$2:$U$1001,0),MATCH(COLUMNS($AB$1006:AJ1006),$AB$1006:$AQ$1006,0)), HYPERLINK("#",""), HYPERLINK(CONCATENATE("#Metadata!", ADDRESS(INDEX($W$2:$W$1001,MATCH(ROWS($U$2:U808),$U$2:$U$1001,0),0), INDEX($AB$1004:$AQ$1004,1,MATCH(COLUMNS($AB$1006:AJ1006),$AB$1006:$AQ$1006,0)))),"Fix")))</f>
        <v>0</v>
      </c>
      <c r="K808" s="5">
        <f>IF(OR(INDEX($V$2:$V$1001,MATCH(ROWS($U$2:U808),$U$2:$U$1001,0),1)&gt;=100000,INDEX($AB$1005:$AQ$1005,1,MATCH(COLUMNS($AB$1006:AK1006),$AB$1006:$AQ$1006,0))&gt;=100000), " ",IF(INDEX($AB$2:$AQ$1001,MATCH(ROWS($U$2:U808),$U$2:$U$1001,0),MATCH(COLUMNS($AB$1006:AK1006),$AB$1006:$AQ$1006,0)), HYPERLINK("#",""), HYPERLINK(CONCATENATE("#Metadata!", ADDRESS(INDEX($W$2:$W$1001,MATCH(ROWS($U$2:U808),$U$2:$U$1001,0),0), INDEX($AB$1004:$AQ$1004,1,MATCH(COLUMNS($AB$1006:AK1006),$AB$1006:$AQ$1006,0)))),"Fix")))</f>
        <v>0</v>
      </c>
      <c r="L808" s="5">
        <f>IF(OR(INDEX($V$2:$V$1001,MATCH(ROWS($U$2:U808),$U$2:$U$1001,0),1)&gt;=100000,INDEX($AB$1005:$AQ$1005,1,MATCH(COLUMNS($AB$1006:AL1006),$AB$1006:$AQ$1006,0))&gt;=100000), " ",IF(INDEX($AB$2:$AQ$1001,MATCH(ROWS($U$2:U808),$U$2:$U$1001,0),MATCH(COLUMNS($AB$1006:AL1006),$AB$1006:$AQ$1006,0)), HYPERLINK("#",""), HYPERLINK(CONCATENATE("#Metadata!", ADDRESS(INDEX($W$2:$W$1001,MATCH(ROWS($U$2:U808),$U$2:$U$1001,0),0), INDEX($AB$1004:$AQ$1004,1,MATCH(COLUMNS($AB$1006:AL1006),$AB$1006:$AQ$1006,0)))),"Fix")))</f>
        <v>0</v>
      </c>
      <c r="M808" s="5">
        <f>IF(OR(INDEX($V$2:$V$1001,MATCH(ROWS($U$2:U808),$U$2:$U$1001,0),1)&gt;=100000,INDEX($AB$1005:$AQ$1005,1,MATCH(COLUMNS($AB$1006:AM1006),$AB$1006:$AQ$1006,0))&gt;=100000), " ",IF(INDEX($AB$2:$AQ$1001,MATCH(ROWS($U$2:U808),$U$2:$U$1001,0),MATCH(COLUMNS($AB$1006:AM1006),$AB$1006:$AQ$1006,0)), HYPERLINK("#",""), HYPERLINK(CONCATENATE("#Metadata!", ADDRESS(INDEX($W$2:$W$1001,MATCH(ROWS($U$2:U808),$U$2:$U$1001,0),0), INDEX($AB$1004:$AQ$1004,1,MATCH(COLUMNS($AB$1006:AM1006),$AB$1006:$AQ$1006,0)))),"Fix")))</f>
        <v>0</v>
      </c>
      <c r="N808" s="5">
        <f>IF(OR(INDEX($V$2:$V$1001,MATCH(ROWS($U$2:U808),$U$2:$U$1001,0),1)&gt;=100000,INDEX($AB$1005:$AQ$1005,1,MATCH(COLUMNS($AB$1006:AN1006),$AB$1006:$AQ$1006,0))&gt;=100000), " ",IF(INDEX($AB$2:$AQ$1001,MATCH(ROWS($U$2:U808),$U$2:$U$1001,0),MATCH(COLUMNS($AB$1006:AN1006),$AB$1006:$AQ$1006,0)), HYPERLINK("#",""), HYPERLINK(CONCATENATE("#Metadata!", ADDRESS(INDEX($W$2:$W$1001,MATCH(ROWS($U$2:U808),$U$2:$U$1001,0),0), INDEX($AB$1004:$AQ$1004,1,MATCH(COLUMNS($AB$1006:AN1006),$AB$1006:$AQ$1006,0)))),"Fix")))</f>
        <v>0</v>
      </c>
      <c r="O808" s="5">
        <f>IF(OR(INDEX($V$2:$V$1001,MATCH(ROWS($U$2:U808),$U$2:$U$1001,0),1)&gt;=100000,INDEX($AB$1005:$AQ$1005,1,MATCH(COLUMNS($AB$1006:AO1006),$AB$1006:$AQ$1006,0))&gt;=100000), " ",IF(INDEX($AB$2:$AQ$1001,MATCH(ROWS($U$2:U808),$U$2:$U$1001,0),MATCH(COLUMNS($AB$1006:AO1006),$AB$1006:$AQ$1006,0)), HYPERLINK("#",""), HYPERLINK(CONCATENATE("#Metadata!", ADDRESS(INDEX($W$2:$W$1001,MATCH(ROWS($U$2:U808),$U$2:$U$1001,0),0), INDEX($AB$1004:$AQ$1004,1,MATCH(COLUMNS($AB$1006:AO1006),$AB$1006:$AQ$1006,0)))),"Fix")))</f>
        <v>0</v>
      </c>
      <c r="P808" s="5">
        <f>IF(OR(INDEX($V$2:$V$1001,MATCH(ROWS($U$2:U808),$U$2:$U$1001,0),1)&gt;=100000,INDEX($AB$1005:$AQ$1005,1,MATCH(COLUMNS($AB$1006:AP1006),$AB$1006:$AQ$1006,0))&gt;=100000), " ",IF(INDEX($AB$2:$AQ$1001,MATCH(ROWS($U$2:U808),$U$2:$U$1001,0),MATCH(COLUMNS($AB$1006:AP1006),$AB$1006:$AQ$1006,0)), HYPERLINK("#",""), HYPERLINK(CONCATENATE("#Metadata!", ADDRESS(INDEX($W$2:$W$1001,MATCH(ROWS($U$2:U808),$U$2:$U$1001,0),0), INDEX($AB$1004:$AQ$1004,1,MATCH(COLUMNS($AB$1006:AP1006),$AB$1006:$AQ$1006,0)))),"Fix")))</f>
        <v>0</v>
      </c>
      <c r="Q808" s="5">
        <f>IF(OR(INDEX($V$2:$V$1001,MATCH(ROWS($U$2:U808),$U$2:$U$1001,0),1)&gt;=100000,INDEX($AB$1005:$AQ$1005,1,MATCH(COLUMNS($AB$1006:AQ1006),$AB$1006:$AQ$1006,0))&gt;=100000), " ",IF(INDEX($AB$2:$AQ$1001,MATCH(ROWS($U$2:U808),$U$2:$U$1001,0),MATCH(COLUMNS($AB$1006:AQ1006),$AB$1006:$AQ$1006,0)), HYPERLINK("#",""), HYPERLINK(CONCATENATE("#Metadata!", ADDRESS(INDEX($W$2:$W$1001,MATCH(ROWS($U$2:U808),$U$2:$U$1001,0),0), INDEX($AB$1004:$AQ$1004,1,MATCH(COLUMNS($AB$1006:AQ1006),$AB$1006:$AQ$1006,0)))),"Fix")))</f>
        <v>0</v>
      </c>
      <c r="U808">
        <v>0</v>
      </c>
      <c r="V808">
        <v>0</v>
      </c>
      <c r="W808">
        <v>0</v>
      </c>
      <c r="X808">
        <f>IF(Y808,TRUE,AND(AB808:AQ808))</f>
        <v>0</v>
      </c>
      <c r="Y808">
        <f>COUNTBLANK(Metadata!B808:Q808)=COLUMNS(Metadata!B808:Q808)</f>
        <v>0</v>
      </c>
      <c r="Z808">
        <v>0</v>
      </c>
      <c r="AB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AC808">
        <f>AND(IF(Metadata!C808="",FALSE,TRUE),exact(Metadata!C808,"urban biome"))</f>
        <v>0</v>
      </c>
      <c r="AD808">
        <f>AND(IF(Metadata!D808="",FALSE,TRUE),exact(Metadata!D808,"human-associated habitat"))</f>
        <v>0</v>
      </c>
      <c r="AE808">
        <f>AND(IF(Metadata!E808="",FALSE,TRUE),OR(exact(Metadata!E808,"human-associated"),exact(Metadata!E808,"human-skin"),exact(Metadata!E808,"human-oral"),exact(Metadata!E808,"human-gut"),exact(Metadata!E808,"human-vaginal")))</f>
        <v>0</v>
      </c>
      <c r="AF808">
        <f>AND(IF(Metadata!F808="",FALSE,ISNUMBER(VALUE(Metadata!F808))),Metadata!F808&gt;0)</f>
        <v>0</v>
      </c>
      <c r="AG808">
        <f>AND(IF(Metadata!G808="",FALSE,TRUE),exact(Metadata!G808,"years"))</f>
        <v>0</v>
      </c>
      <c r="AH808">
        <f>OR(AND(IF(Metadata!H808="",FALSE,TRUE),OR(exact(Metadata!H808,"not applicable"),exact(Metadata!H808,"not collected"),exact(Metadata!H808,"not provided"),exact(Metadata!H808,"restricted access"))),AND(IF(Metadata!H808="",FALSE,ISNUMBER(VALUE(Metadata!H808))),Metadata!H808&gt;0))</f>
        <v>0</v>
      </c>
      <c r="AI808">
        <f>AND(IF(Metadata!I808="",FALSE,TRUE),exact(Metadata!I808,"human"))</f>
        <v>0</v>
      </c>
      <c r="AJ808">
        <f>AND(IF(Metadata!J808="",FALSE,ISNUMBER(VALUE(Metadata!J808))),Metadata!J808&gt;0)</f>
        <v>0</v>
      </c>
      <c r="AK808">
        <f>AND(IF(Metadata!K808="",FALSE,TRUE),exact(Metadata!K808,"cm"))</f>
        <v>0</v>
      </c>
      <c r="AL808">
        <f>AND(IF(Metadata!L808="",FALSE,TRUE),exact(Metadata!L808,"Homo sapiens"))</f>
        <v>0</v>
      </c>
      <c r="AM808">
        <f>AND(IF(Metadata!M808="",FALSE,TRUE),exact(Metadata!M808,"9606"))</f>
        <v>0</v>
      </c>
      <c r="AN808">
        <f>AND(IF(Metadata!N808="",FALSE,ISNUMBER(VALUE(Metadata!N808))),Metadata!N808&gt;0)</f>
        <v>0</v>
      </c>
      <c r="AO808">
        <f>AND(IF(Metadata!O808="",FALSE,TRUE),exact(Metadata!O808,"kg"))</f>
        <v>0</v>
      </c>
      <c r="AP808">
        <f>OR(AND(IF(Metadata!P808="",FALSE,TRUE),exact(Metadata!P808,"not provided")),IF(Metadata!P808="",FALSE,TRUE))</f>
        <v>0</v>
      </c>
      <c r="AQ808">
        <f>OR(AND(IF(Metadata!Q808="",FALSE,TRUE),exact(Metadata!Q808,"not provided")),IF(Metadata!Q808="",FALSE,TRUE))</f>
        <v>0</v>
      </c>
    </row>
    <row r="809" spans="1:43">
      <c r="A809" s="4">
        <f>IF(B809=" "," ",HYPERLINK(CONCATENATE("#metadata!",ADDRESS(INDEX($W$2:$W$1001,MATCH(ROWS($U$2:U809),$U$2:$U$1001,0),0),2)),INDEX($Z$2:$Z$1001,MATCH(ROWS($U$2:U809),$U$2:$U$1001,0),0)))</f>
        <v>0</v>
      </c>
      <c r="B809" s="5">
        <f>IF(OR(INDEX($V$2:$V$1001,MATCH(ROWS($U$2:U809),$U$2:$U$1001,0),1)&gt;=100000,INDEX($AB$1005:$AQ$1005,1,MATCH(COLUMNS($AB$1006:AB1006),$AB$1006:$AQ$1006,0))&gt;=100000), " ",IF(INDEX($AB$2:$AQ$1001,MATCH(ROWS($U$2:U809),$U$2:$U$1001,0),MATCH(COLUMNS($AB$1006:AB1006),$AB$1006:$AQ$1006,0)), HYPERLINK("#",""), HYPERLINK(CONCATENATE("#Metadata!", ADDRESS(INDEX($W$2:$W$1001,MATCH(ROWS($U$2:U809),$U$2:$U$1001,0),0), INDEX($AB$1004:$AQ$1004,1,MATCH(COLUMNS($AB$1006:AB1006),$AB$1006:$AQ$1006,0)))),"Fix")))</f>
        <v>0</v>
      </c>
      <c r="C809" s="5">
        <f>IF(OR(INDEX($V$2:$V$1001,MATCH(ROWS($U$2:U809),$U$2:$U$1001,0),1)&gt;=100000,INDEX($AB$1005:$AQ$1005,1,MATCH(COLUMNS($AB$1006:AC1006),$AB$1006:$AQ$1006,0))&gt;=100000), " ",IF(INDEX($AB$2:$AQ$1001,MATCH(ROWS($U$2:U809),$U$2:$U$1001,0),MATCH(COLUMNS($AB$1006:AC1006),$AB$1006:$AQ$1006,0)), HYPERLINK("#",""), HYPERLINK(CONCATENATE("#Metadata!", ADDRESS(INDEX($W$2:$W$1001,MATCH(ROWS($U$2:U809),$U$2:$U$1001,0),0), INDEX($AB$1004:$AQ$1004,1,MATCH(COLUMNS($AB$1006:AC1006),$AB$1006:$AQ$1006,0)))),"Fix")))</f>
        <v>0</v>
      </c>
      <c r="D809" s="5">
        <f>IF(OR(INDEX($V$2:$V$1001,MATCH(ROWS($U$2:U809),$U$2:$U$1001,0),1)&gt;=100000,INDEX($AB$1005:$AQ$1005,1,MATCH(COLUMNS($AB$1006:AD1006),$AB$1006:$AQ$1006,0))&gt;=100000), " ",IF(INDEX($AB$2:$AQ$1001,MATCH(ROWS($U$2:U809),$U$2:$U$1001,0),MATCH(COLUMNS($AB$1006:AD1006),$AB$1006:$AQ$1006,0)), HYPERLINK("#",""), HYPERLINK(CONCATENATE("#Metadata!", ADDRESS(INDEX($W$2:$W$1001,MATCH(ROWS($U$2:U809),$U$2:$U$1001,0),0), INDEX($AB$1004:$AQ$1004,1,MATCH(COLUMNS($AB$1006:AD1006),$AB$1006:$AQ$1006,0)))),"Fix")))</f>
        <v>0</v>
      </c>
      <c r="E809" s="5">
        <f>IF(OR(INDEX($V$2:$V$1001,MATCH(ROWS($U$2:U809),$U$2:$U$1001,0),1)&gt;=100000,INDEX($AB$1005:$AQ$1005,1,MATCH(COLUMNS($AB$1006:AE1006),$AB$1006:$AQ$1006,0))&gt;=100000), " ",IF(INDEX($AB$2:$AQ$1001,MATCH(ROWS($U$2:U809),$U$2:$U$1001,0),MATCH(COLUMNS($AB$1006:AE1006),$AB$1006:$AQ$1006,0)), HYPERLINK("#",""), HYPERLINK(CONCATENATE("#Metadata!", ADDRESS(INDEX($W$2:$W$1001,MATCH(ROWS($U$2:U809),$U$2:$U$1001,0),0), INDEX($AB$1004:$AQ$1004,1,MATCH(COLUMNS($AB$1006:AE1006),$AB$1006:$AQ$1006,0)))),"Fix")))</f>
        <v>0</v>
      </c>
      <c r="F809" s="5">
        <f>IF(OR(INDEX($V$2:$V$1001,MATCH(ROWS($U$2:U809),$U$2:$U$1001,0),1)&gt;=100000,INDEX($AB$1005:$AQ$1005,1,MATCH(COLUMNS($AB$1006:AF1006),$AB$1006:$AQ$1006,0))&gt;=100000), " ",IF(INDEX($AB$2:$AQ$1001,MATCH(ROWS($U$2:U809),$U$2:$U$1001,0),MATCH(COLUMNS($AB$1006:AF1006),$AB$1006:$AQ$1006,0)), HYPERLINK("#",""), HYPERLINK(CONCATENATE("#Metadata!", ADDRESS(INDEX($W$2:$W$1001,MATCH(ROWS($U$2:U809),$U$2:$U$1001,0),0), INDEX($AB$1004:$AQ$1004,1,MATCH(COLUMNS($AB$1006:AF1006),$AB$1006:$AQ$1006,0)))),"Fix")))</f>
        <v>0</v>
      </c>
      <c r="G809" s="5">
        <f>IF(OR(INDEX($V$2:$V$1001,MATCH(ROWS($U$2:U809),$U$2:$U$1001,0),1)&gt;=100000,INDEX($AB$1005:$AQ$1005,1,MATCH(COLUMNS($AB$1006:AG1006),$AB$1006:$AQ$1006,0))&gt;=100000), " ",IF(INDEX($AB$2:$AQ$1001,MATCH(ROWS($U$2:U809),$U$2:$U$1001,0),MATCH(COLUMNS($AB$1006:AG1006),$AB$1006:$AQ$1006,0)), HYPERLINK("#",""), HYPERLINK(CONCATENATE("#Metadata!", ADDRESS(INDEX($W$2:$W$1001,MATCH(ROWS($U$2:U809),$U$2:$U$1001,0),0), INDEX($AB$1004:$AQ$1004,1,MATCH(COLUMNS($AB$1006:AG1006),$AB$1006:$AQ$1006,0)))),"Fix")))</f>
        <v>0</v>
      </c>
      <c r="H809" s="5">
        <f>IF(OR(INDEX($V$2:$V$1001,MATCH(ROWS($U$2:U809),$U$2:$U$1001,0),1)&gt;=100000,INDEX($AB$1005:$AQ$1005,1,MATCH(COLUMNS($AB$1006:AH1006),$AB$1006:$AQ$1006,0))&gt;=100000), " ",IF(INDEX($AB$2:$AQ$1001,MATCH(ROWS($U$2:U809),$U$2:$U$1001,0),MATCH(COLUMNS($AB$1006:AH1006),$AB$1006:$AQ$1006,0)), HYPERLINK("#",""), HYPERLINK(CONCATENATE("#Metadata!", ADDRESS(INDEX($W$2:$W$1001,MATCH(ROWS($U$2:U809),$U$2:$U$1001,0),0), INDEX($AB$1004:$AQ$1004,1,MATCH(COLUMNS($AB$1006:AH1006),$AB$1006:$AQ$1006,0)))),"Fix")))</f>
        <v>0</v>
      </c>
      <c r="I809" s="5">
        <f>IF(OR(INDEX($V$2:$V$1001,MATCH(ROWS($U$2:U809),$U$2:$U$1001,0),1)&gt;=100000,INDEX($AB$1005:$AQ$1005,1,MATCH(COLUMNS($AB$1006:AI1006),$AB$1006:$AQ$1006,0))&gt;=100000), " ",IF(INDEX($AB$2:$AQ$1001,MATCH(ROWS($U$2:U809),$U$2:$U$1001,0),MATCH(COLUMNS($AB$1006:AI1006),$AB$1006:$AQ$1006,0)), HYPERLINK("#",""), HYPERLINK(CONCATENATE("#Metadata!", ADDRESS(INDEX($W$2:$W$1001,MATCH(ROWS($U$2:U809),$U$2:$U$1001,0),0), INDEX($AB$1004:$AQ$1004,1,MATCH(COLUMNS($AB$1006:AI1006),$AB$1006:$AQ$1006,0)))),"Fix")))</f>
        <v>0</v>
      </c>
      <c r="J809" s="5">
        <f>IF(OR(INDEX($V$2:$V$1001,MATCH(ROWS($U$2:U809),$U$2:$U$1001,0),1)&gt;=100000,INDEX($AB$1005:$AQ$1005,1,MATCH(COLUMNS($AB$1006:AJ1006),$AB$1006:$AQ$1006,0))&gt;=100000), " ",IF(INDEX($AB$2:$AQ$1001,MATCH(ROWS($U$2:U809),$U$2:$U$1001,0),MATCH(COLUMNS($AB$1006:AJ1006),$AB$1006:$AQ$1006,0)), HYPERLINK("#",""), HYPERLINK(CONCATENATE("#Metadata!", ADDRESS(INDEX($W$2:$W$1001,MATCH(ROWS($U$2:U809),$U$2:$U$1001,0),0), INDEX($AB$1004:$AQ$1004,1,MATCH(COLUMNS($AB$1006:AJ1006),$AB$1006:$AQ$1006,0)))),"Fix")))</f>
        <v>0</v>
      </c>
      <c r="K809" s="5">
        <f>IF(OR(INDEX($V$2:$V$1001,MATCH(ROWS($U$2:U809),$U$2:$U$1001,0),1)&gt;=100000,INDEX($AB$1005:$AQ$1005,1,MATCH(COLUMNS($AB$1006:AK1006),$AB$1006:$AQ$1006,0))&gt;=100000), " ",IF(INDEX($AB$2:$AQ$1001,MATCH(ROWS($U$2:U809),$U$2:$U$1001,0),MATCH(COLUMNS($AB$1006:AK1006),$AB$1006:$AQ$1006,0)), HYPERLINK("#",""), HYPERLINK(CONCATENATE("#Metadata!", ADDRESS(INDEX($W$2:$W$1001,MATCH(ROWS($U$2:U809),$U$2:$U$1001,0),0), INDEX($AB$1004:$AQ$1004,1,MATCH(COLUMNS($AB$1006:AK1006),$AB$1006:$AQ$1006,0)))),"Fix")))</f>
        <v>0</v>
      </c>
      <c r="L809" s="5">
        <f>IF(OR(INDEX($V$2:$V$1001,MATCH(ROWS($U$2:U809),$U$2:$U$1001,0),1)&gt;=100000,INDEX($AB$1005:$AQ$1005,1,MATCH(COLUMNS($AB$1006:AL1006),$AB$1006:$AQ$1006,0))&gt;=100000), " ",IF(INDEX($AB$2:$AQ$1001,MATCH(ROWS($U$2:U809),$U$2:$U$1001,0),MATCH(COLUMNS($AB$1006:AL1006),$AB$1006:$AQ$1006,0)), HYPERLINK("#",""), HYPERLINK(CONCATENATE("#Metadata!", ADDRESS(INDEX($W$2:$W$1001,MATCH(ROWS($U$2:U809),$U$2:$U$1001,0),0), INDEX($AB$1004:$AQ$1004,1,MATCH(COLUMNS($AB$1006:AL1006),$AB$1006:$AQ$1006,0)))),"Fix")))</f>
        <v>0</v>
      </c>
      <c r="M809" s="5">
        <f>IF(OR(INDEX($V$2:$V$1001,MATCH(ROWS($U$2:U809),$U$2:$U$1001,0),1)&gt;=100000,INDEX($AB$1005:$AQ$1005,1,MATCH(COLUMNS($AB$1006:AM1006),$AB$1006:$AQ$1006,0))&gt;=100000), " ",IF(INDEX($AB$2:$AQ$1001,MATCH(ROWS($U$2:U809),$U$2:$U$1001,0),MATCH(COLUMNS($AB$1006:AM1006),$AB$1006:$AQ$1006,0)), HYPERLINK("#",""), HYPERLINK(CONCATENATE("#Metadata!", ADDRESS(INDEX($W$2:$W$1001,MATCH(ROWS($U$2:U809),$U$2:$U$1001,0),0), INDEX($AB$1004:$AQ$1004,1,MATCH(COLUMNS($AB$1006:AM1006),$AB$1006:$AQ$1006,0)))),"Fix")))</f>
        <v>0</v>
      </c>
      <c r="N809" s="5">
        <f>IF(OR(INDEX($V$2:$V$1001,MATCH(ROWS($U$2:U809),$U$2:$U$1001,0),1)&gt;=100000,INDEX($AB$1005:$AQ$1005,1,MATCH(COLUMNS($AB$1006:AN1006),$AB$1006:$AQ$1006,0))&gt;=100000), " ",IF(INDEX($AB$2:$AQ$1001,MATCH(ROWS($U$2:U809),$U$2:$U$1001,0),MATCH(COLUMNS($AB$1006:AN1006),$AB$1006:$AQ$1006,0)), HYPERLINK("#",""), HYPERLINK(CONCATENATE("#Metadata!", ADDRESS(INDEX($W$2:$W$1001,MATCH(ROWS($U$2:U809),$U$2:$U$1001,0),0), INDEX($AB$1004:$AQ$1004,1,MATCH(COLUMNS($AB$1006:AN1006),$AB$1006:$AQ$1006,0)))),"Fix")))</f>
        <v>0</v>
      </c>
      <c r="O809" s="5">
        <f>IF(OR(INDEX($V$2:$V$1001,MATCH(ROWS($U$2:U809),$U$2:$U$1001,0),1)&gt;=100000,INDEX($AB$1005:$AQ$1005,1,MATCH(COLUMNS($AB$1006:AO1006),$AB$1006:$AQ$1006,0))&gt;=100000), " ",IF(INDEX($AB$2:$AQ$1001,MATCH(ROWS($U$2:U809),$U$2:$U$1001,0),MATCH(COLUMNS($AB$1006:AO1006),$AB$1006:$AQ$1006,0)), HYPERLINK("#",""), HYPERLINK(CONCATENATE("#Metadata!", ADDRESS(INDEX($W$2:$W$1001,MATCH(ROWS($U$2:U809),$U$2:$U$1001,0),0), INDEX($AB$1004:$AQ$1004,1,MATCH(COLUMNS($AB$1006:AO1006),$AB$1006:$AQ$1006,0)))),"Fix")))</f>
        <v>0</v>
      </c>
      <c r="P809" s="5">
        <f>IF(OR(INDEX($V$2:$V$1001,MATCH(ROWS($U$2:U809),$U$2:$U$1001,0),1)&gt;=100000,INDEX($AB$1005:$AQ$1005,1,MATCH(COLUMNS($AB$1006:AP1006),$AB$1006:$AQ$1006,0))&gt;=100000), " ",IF(INDEX($AB$2:$AQ$1001,MATCH(ROWS($U$2:U809),$U$2:$U$1001,0),MATCH(COLUMNS($AB$1006:AP1006),$AB$1006:$AQ$1006,0)), HYPERLINK("#",""), HYPERLINK(CONCATENATE("#Metadata!", ADDRESS(INDEX($W$2:$W$1001,MATCH(ROWS($U$2:U809),$U$2:$U$1001,0),0), INDEX($AB$1004:$AQ$1004,1,MATCH(COLUMNS($AB$1006:AP1006),$AB$1006:$AQ$1006,0)))),"Fix")))</f>
        <v>0</v>
      </c>
      <c r="Q809" s="5">
        <f>IF(OR(INDEX($V$2:$V$1001,MATCH(ROWS($U$2:U809),$U$2:$U$1001,0),1)&gt;=100000,INDEX($AB$1005:$AQ$1005,1,MATCH(COLUMNS($AB$1006:AQ1006),$AB$1006:$AQ$1006,0))&gt;=100000), " ",IF(INDEX($AB$2:$AQ$1001,MATCH(ROWS($U$2:U809),$U$2:$U$1001,0),MATCH(COLUMNS($AB$1006:AQ1006),$AB$1006:$AQ$1006,0)), HYPERLINK("#",""), HYPERLINK(CONCATENATE("#Metadata!", ADDRESS(INDEX($W$2:$W$1001,MATCH(ROWS($U$2:U809),$U$2:$U$1001,0),0), INDEX($AB$1004:$AQ$1004,1,MATCH(COLUMNS($AB$1006:AQ1006),$AB$1006:$AQ$1006,0)))),"Fix")))</f>
        <v>0</v>
      </c>
      <c r="U809">
        <v>0</v>
      </c>
      <c r="V809">
        <v>0</v>
      </c>
      <c r="W809">
        <v>0</v>
      </c>
      <c r="X809">
        <f>IF(Y809,TRUE,AND(AB809:AQ809))</f>
        <v>0</v>
      </c>
      <c r="Y809">
        <f>COUNTBLANK(Metadata!B809:Q809)=COLUMNS(Metadata!B809:Q809)</f>
        <v>0</v>
      </c>
      <c r="Z809">
        <v>0</v>
      </c>
      <c r="AB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AC809">
        <f>AND(IF(Metadata!C809="",FALSE,TRUE),exact(Metadata!C809,"urban biome"))</f>
        <v>0</v>
      </c>
      <c r="AD809">
        <f>AND(IF(Metadata!D809="",FALSE,TRUE),exact(Metadata!D809,"human-associated habitat"))</f>
        <v>0</v>
      </c>
      <c r="AE809">
        <f>AND(IF(Metadata!E809="",FALSE,TRUE),OR(exact(Metadata!E809,"human-associated"),exact(Metadata!E809,"human-skin"),exact(Metadata!E809,"human-oral"),exact(Metadata!E809,"human-gut"),exact(Metadata!E809,"human-vaginal")))</f>
        <v>0</v>
      </c>
      <c r="AF809">
        <f>AND(IF(Metadata!F809="",FALSE,ISNUMBER(VALUE(Metadata!F809))),Metadata!F809&gt;0)</f>
        <v>0</v>
      </c>
      <c r="AG809">
        <f>AND(IF(Metadata!G809="",FALSE,TRUE),exact(Metadata!G809,"years"))</f>
        <v>0</v>
      </c>
      <c r="AH809">
        <f>OR(AND(IF(Metadata!H809="",FALSE,TRUE),OR(exact(Metadata!H809,"not applicable"),exact(Metadata!H809,"not collected"),exact(Metadata!H809,"not provided"),exact(Metadata!H809,"restricted access"))),AND(IF(Metadata!H809="",FALSE,ISNUMBER(VALUE(Metadata!H809))),Metadata!H809&gt;0))</f>
        <v>0</v>
      </c>
      <c r="AI809">
        <f>AND(IF(Metadata!I809="",FALSE,TRUE),exact(Metadata!I809,"human"))</f>
        <v>0</v>
      </c>
      <c r="AJ809">
        <f>AND(IF(Metadata!J809="",FALSE,ISNUMBER(VALUE(Metadata!J809))),Metadata!J809&gt;0)</f>
        <v>0</v>
      </c>
      <c r="AK809">
        <f>AND(IF(Metadata!K809="",FALSE,TRUE),exact(Metadata!K809,"cm"))</f>
        <v>0</v>
      </c>
      <c r="AL809">
        <f>AND(IF(Metadata!L809="",FALSE,TRUE),exact(Metadata!L809,"Homo sapiens"))</f>
        <v>0</v>
      </c>
      <c r="AM809">
        <f>AND(IF(Metadata!M809="",FALSE,TRUE),exact(Metadata!M809,"9606"))</f>
        <v>0</v>
      </c>
      <c r="AN809">
        <f>AND(IF(Metadata!N809="",FALSE,ISNUMBER(VALUE(Metadata!N809))),Metadata!N809&gt;0)</f>
        <v>0</v>
      </c>
      <c r="AO809">
        <f>AND(IF(Metadata!O809="",FALSE,TRUE),exact(Metadata!O809,"kg"))</f>
        <v>0</v>
      </c>
      <c r="AP809">
        <f>OR(AND(IF(Metadata!P809="",FALSE,TRUE),exact(Metadata!P809,"not provided")),IF(Metadata!P809="",FALSE,TRUE))</f>
        <v>0</v>
      </c>
      <c r="AQ809">
        <f>OR(AND(IF(Metadata!Q809="",FALSE,TRUE),exact(Metadata!Q809,"not provided")),IF(Metadata!Q809="",FALSE,TRUE))</f>
        <v>0</v>
      </c>
    </row>
    <row r="810" spans="1:43">
      <c r="A810" s="4">
        <f>IF(B810=" "," ",HYPERLINK(CONCATENATE("#metadata!",ADDRESS(INDEX($W$2:$W$1001,MATCH(ROWS($U$2:U810),$U$2:$U$1001,0),0),2)),INDEX($Z$2:$Z$1001,MATCH(ROWS($U$2:U810),$U$2:$U$1001,0),0)))</f>
        <v>0</v>
      </c>
      <c r="B810" s="5">
        <f>IF(OR(INDEX($V$2:$V$1001,MATCH(ROWS($U$2:U810),$U$2:$U$1001,0),1)&gt;=100000,INDEX($AB$1005:$AQ$1005,1,MATCH(COLUMNS($AB$1006:AB1006),$AB$1006:$AQ$1006,0))&gt;=100000), " ",IF(INDEX($AB$2:$AQ$1001,MATCH(ROWS($U$2:U810),$U$2:$U$1001,0),MATCH(COLUMNS($AB$1006:AB1006),$AB$1006:$AQ$1006,0)), HYPERLINK("#",""), HYPERLINK(CONCATENATE("#Metadata!", ADDRESS(INDEX($W$2:$W$1001,MATCH(ROWS($U$2:U810),$U$2:$U$1001,0),0), INDEX($AB$1004:$AQ$1004,1,MATCH(COLUMNS($AB$1006:AB1006),$AB$1006:$AQ$1006,0)))),"Fix")))</f>
        <v>0</v>
      </c>
      <c r="C810" s="5">
        <f>IF(OR(INDEX($V$2:$V$1001,MATCH(ROWS($U$2:U810),$U$2:$U$1001,0),1)&gt;=100000,INDEX($AB$1005:$AQ$1005,1,MATCH(COLUMNS($AB$1006:AC1006),$AB$1006:$AQ$1006,0))&gt;=100000), " ",IF(INDEX($AB$2:$AQ$1001,MATCH(ROWS($U$2:U810),$U$2:$U$1001,0),MATCH(COLUMNS($AB$1006:AC1006),$AB$1006:$AQ$1006,0)), HYPERLINK("#",""), HYPERLINK(CONCATENATE("#Metadata!", ADDRESS(INDEX($W$2:$W$1001,MATCH(ROWS($U$2:U810),$U$2:$U$1001,0),0), INDEX($AB$1004:$AQ$1004,1,MATCH(COLUMNS($AB$1006:AC1006),$AB$1006:$AQ$1006,0)))),"Fix")))</f>
        <v>0</v>
      </c>
      <c r="D810" s="5">
        <f>IF(OR(INDEX($V$2:$V$1001,MATCH(ROWS($U$2:U810),$U$2:$U$1001,0),1)&gt;=100000,INDEX($AB$1005:$AQ$1005,1,MATCH(COLUMNS($AB$1006:AD1006),$AB$1006:$AQ$1006,0))&gt;=100000), " ",IF(INDEX($AB$2:$AQ$1001,MATCH(ROWS($U$2:U810),$U$2:$U$1001,0),MATCH(COLUMNS($AB$1006:AD1006),$AB$1006:$AQ$1006,0)), HYPERLINK("#",""), HYPERLINK(CONCATENATE("#Metadata!", ADDRESS(INDEX($W$2:$W$1001,MATCH(ROWS($U$2:U810),$U$2:$U$1001,0),0), INDEX($AB$1004:$AQ$1004,1,MATCH(COLUMNS($AB$1006:AD1006),$AB$1006:$AQ$1006,0)))),"Fix")))</f>
        <v>0</v>
      </c>
      <c r="E810" s="5">
        <f>IF(OR(INDEX($V$2:$V$1001,MATCH(ROWS($U$2:U810),$U$2:$U$1001,0),1)&gt;=100000,INDEX($AB$1005:$AQ$1005,1,MATCH(COLUMNS($AB$1006:AE1006),$AB$1006:$AQ$1006,0))&gt;=100000), " ",IF(INDEX($AB$2:$AQ$1001,MATCH(ROWS($U$2:U810),$U$2:$U$1001,0),MATCH(COLUMNS($AB$1006:AE1006),$AB$1006:$AQ$1006,0)), HYPERLINK("#",""), HYPERLINK(CONCATENATE("#Metadata!", ADDRESS(INDEX($W$2:$W$1001,MATCH(ROWS($U$2:U810),$U$2:$U$1001,0),0), INDEX($AB$1004:$AQ$1004,1,MATCH(COLUMNS($AB$1006:AE1006),$AB$1006:$AQ$1006,0)))),"Fix")))</f>
        <v>0</v>
      </c>
      <c r="F810" s="5">
        <f>IF(OR(INDEX($V$2:$V$1001,MATCH(ROWS($U$2:U810),$U$2:$U$1001,0),1)&gt;=100000,INDEX($AB$1005:$AQ$1005,1,MATCH(COLUMNS($AB$1006:AF1006),$AB$1006:$AQ$1006,0))&gt;=100000), " ",IF(INDEX($AB$2:$AQ$1001,MATCH(ROWS($U$2:U810),$U$2:$U$1001,0),MATCH(COLUMNS($AB$1006:AF1006),$AB$1006:$AQ$1006,0)), HYPERLINK("#",""), HYPERLINK(CONCATENATE("#Metadata!", ADDRESS(INDEX($W$2:$W$1001,MATCH(ROWS($U$2:U810),$U$2:$U$1001,0),0), INDEX($AB$1004:$AQ$1004,1,MATCH(COLUMNS($AB$1006:AF1006),$AB$1006:$AQ$1006,0)))),"Fix")))</f>
        <v>0</v>
      </c>
      <c r="G810" s="5">
        <f>IF(OR(INDEX($V$2:$V$1001,MATCH(ROWS($U$2:U810),$U$2:$U$1001,0),1)&gt;=100000,INDEX($AB$1005:$AQ$1005,1,MATCH(COLUMNS($AB$1006:AG1006),$AB$1006:$AQ$1006,0))&gt;=100000), " ",IF(INDEX($AB$2:$AQ$1001,MATCH(ROWS($U$2:U810),$U$2:$U$1001,0),MATCH(COLUMNS($AB$1006:AG1006),$AB$1006:$AQ$1006,0)), HYPERLINK("#",""), HYPERLINK(CONCATENATE("#Metadata!", ADDRESS(INDEX($W$2:$W$1001,MATCH(ROWS($U$2:U810),$U$2:$U$1001,0),0), INDEX($AB$1004:$AQ$1004,1,MATCH(COLUMNS($AB$1006:AG1006),$AB$1006:$AQ$1006,0)))),"Fix")))</f>
        <v>0</v>
      </c>
      <c r="H810" s="5">
        <f>IF(OR(INDEX($V$2:$V$1001,MATCH(ROWS($U$2:U810),$U$2:$U$1001,0),1)&gt;=100000,INDEX($AB$1005:$AQ$1005,1,MATCH(COLUMNS($AB$1006:AH1006),$AB$1006:$AQ$1006,0))&gt;=100000), " ",IF(INDEX($AB$2:$AQ$1001,MATCH(ROWS($U$2:U810),$U$2:$U$1001,0),MATCH(COLUMNS($AB$1006:AH1006),$AB$1006:$AQ$1006,0)), HYPERLINK("#",""), HYPERLINK(CONCATENATE("#Metadata!", ADDRESS(INDEX($W$2:$W$1001,MATCH(ROWS($U$2:U810),$U$2:$U$1001,0),0), INDEX($AB$1004:$AQ$1004,1,MATCH(COLUMNS($AB$1006:AH1006),$AB$1006:$AQ$1006,0)))),"Fix")))</f>
        <v>0</v>
      </c>
      <c r="I810" s="5">
        <f>IF(OR(INDEX($V$2:$V$1001,MATCH(ROWS($U$2:U810),$U$2:$U$1001,0),1)&gt;=100000,INDEX($AB$1005:$AQ$1005,1,MATCH(COLUMNS($AB$1006:AI1006),$AB$1006:$AQ$1006,0))&gt;=100000), " ",IF(INDEX($AB$2:$AQ$1001,MATCH(ROWS($U$2:U810),$U$2:$U$1001,0),MATCH(COLUMNS($AB$1006:AI1006),$AB$1006:$AQ$1006,0)), HYPERLINK("#",""), HYPERLINK(CONCATENATE("#Metadata!", ADDRESS(INDEX($W$2:$W$1001,MATCH(ROWS($U$2:U810),$U$2:$U$1001,0),0), INDEX($AB$1004:$AQ$1004,1,MATCH(COLUMNS($AB$1006:AI1006),$AB$1006:$AQ$1006,0)))),"Fix")))</f>
        <v>0</v>
      </c>
      <c r="J810" s="5">
        <f>IF(OR(INDEX($V$2:$V$1001,MATCH(ROWS($U$2:U810),$U$2:$U$1001,0),1)&gt;=100000,INDEX($AB$1005:$AQ$1005,1,MATCH(COLUMNS($AB$1006:AJ1006),$AB$1006:$AQ$1006,0))&gt;=100000), " ",IF(INDEX($AB$2:$AQ$1001,MATCH(ROWS($U$2:U810),$U$2:$U$1001,0),MATCH(COLUMNS($AB$1006:AJ1006),$AB$1006:$AQ$1006,0)), HYPERLINK("#",""), HYPERLINK(CONCATENATE("#Metadata!", ADDRESS(INDEX($W$2:$W$1001,MATCH(ROWS($U$2:U810),$U$2:$U$1001,0),0), INDEX($AB$1004:$AQ$1004,1,MATCH(COLUMNS($AB$1006:AJ1006),$AB$1006:$AQ$1006,0)))),"Fix")))</f>
        <v>0</v>
      </c>
      <c r="K810" s="5">
        <f>IF(OR(INDEX($V$2:$V$1001,MATCH(ROWS($U$2:U810),$U$2:$U$1001,0),1)&gt;=100000,INDEX($AB$1005:$AQ$1005,1,MATCH(COLUMNS($AB$1006:AK1006),$AB$1006:$AQ$1006,0))&gt;=100000), " ",IF(INDEX($AB$2:$AQ$1001,MATCH(ROWS($U$2:U810),$U$2:$U$1001,0),MATCH(COLUMNS($AB$1006:AK1006),$AB$1006:$AQ$1006,0)), HYPERLINK("#",""), HYPERLINK(CONCATENATE("#Metadata!", ADDRESS(INDEX($W$2:$W$1001,MATCH(ROWS($U$2:U810),$U$2:$U$1001,0),0), INDEX($AB$1004:$AQ$1004,1,MATCH(COLUMNS($AB$1006:AK1006),$AB$1006:$AQ$1006,0)))),"Fix")))</f>
        <v>0</v>
      </c>
      <c r="L810" s="5">
        <f>IF(OR(INDEX($V$2:$V$1001,MATCH(ROWS($U$2:U810),$U$2:$U$1001,0),1)&gt;=100000,INDEX($AB$1005:$AQ$1005,1,MATCH(COLUMNS($AB$1006:AL1006),$AB$1006:$AQ$1006,0))&gt;=100000), " ",IF(INDEX($AB$2:$AQ$1001,MATCH(ROWS($U$2:U810),$U$2:$U$1001,0),MATCH(COLUMNS($AB$1006:AL1006),$AB$1006:$AQ$1006,0)), HYPERLINK("#",""), HYPERLINK(CONCATENATE("#Metadata!", ADDRESS(INDEX($W$2:$W$1001,MATCH(ROWS($U$2:U810),$U$2:$U$1001,0),0), INDEX($AB$1004:$AQ$1004,1,MATCH(COLUMNS($AB$1006:AL1006),$AB$1006:$AQ$1006,0)))),"Fix")))</f>
        <v>0</v>
      </c>
      <c r="M810" s="5">
        <f>IF(OR(INDEX($V$2:$V$1001,MATCH(ROWS($U$2:U810),$U$2:$U$1001,0),1)&gt;=100000,INDEX($AB$1005:$AQ$1005,1,MATCH(COLUMNS($AB$1006:AM1006),$AB$1006:$AQ$1006,0))&gt;=100000), " ",IF(INDEX($AB$2:$AQ$1001,MATCH(ROWS($U$2:U810),$U$2:$U$1001,0),MATCH(COLUMNS($AB$1006:AM1006),$AB$1006:$AQ$1006,0)), HYPERLINK("#",""), HYPERLINK(CONCATENATE("#Metadata!", ADDRESS(INDEX($W$2:$W$1001,MATCH(ROWS($U$2:U810),$U$2:$U$1001,0),0), INDEX($AB$1004:$AQ$1004,1,MATCH(COLUMNS($AB$1006:AM1006),$AB$1006:$AQ$1006,0)))),"Fix")))</f>
        <v>0</v>
      </c>
      <c r="N810" s="5">
        <f>IF(OR(INDEX($V$2:$V$1001,MATCH(ROWS($U$2:U810),$U$2:$U$1001,0),1)&gt;=100000,INDEX($AB$1005:$AQ$1005,1,MATCH(COLUMNS($AB$1006:AN1006),$AB$1006:$AQ$1006,0))&gt;=100000), " ",IF(INDEX($AB$2:$AQ$1001,MATCH(ROWS($U$2:U810),$U$2:$U$1001,0),MATCH(COLUMNS($AB$1006:AN1006),$AB$1006:$AQ$1006,0)), HYPERLINK("#",""), HYPERLINK(CONCATENATE("#Metadata!", ADDRESS(INDEX($W$2:$W$1001,MATCH(ROWS($U$2:U810),$U$2:$U$1001,0),0), INDEX($AB$1004:$AQ$1004,1,MATCH(COLUMNS($AB$1006:AN1006),$AB$1006:$AQ$1006,0)))),"Fix")))</f>
        <v>0</v>
      </c>
      <c r="O810" s="5">
        <f>IF(OR(INDEX($V$2:$V$1001,MATCH(ROWS($U$2:U810),$U$2:$U$1001,0),1)&gt;=100000,INDEX($AB$1005:$AQ$1005,1,MATCH(COLUMNS($AB$1006:AO1006),$AB$1006:$AQ$1006,0))&gt;=100000), " ",IF(INDEX($AB$2:$AQ$1001,MATCH(ROWS($U$2:U810),$U$2:$U$1001,0),MATCH(COLUMNS($AB$1006:AO1006),$AB$1006:$AQ$1006,0)), HYPERLINK("#",""), HYPERLINK(CONCATENATE("#Metadata!", ADDRESS(INDEX($W$2:$W$1001,MATCH(ROWS($U$2:U810),$U$2:$U$1001,0),0), INDEX($AB$1004:$AQ$1004,1,MATCH(COLUMNS($AB$1006:AO1006),$AB$1006:$AQ$1006,0)))),"Fix")))</f>
        <v>0</v>
      </c>
      <c r="P810" s="5">
        <f>IF(OR(INDEX($V$2:$V$1001,MATCH(ROWS($U$2:U810),$U$2:$U$1001,0),1)&gt;=100000,INDEX($AB$1005:$AQ$1005,1,MATCH(COLUMNS($AB$1006:AP1006),$AB$1006:$AQ$1006,0))&gt;=100000), " ",IF(INDEX($AB$2:$AQ$1001,MATCH(ROWS($U$2:U810),$U$2:$U$1001,0),MATCH(COLUMNS($AB$1006:AP1006),$AB$1006:$AQ$1006,0)), HYPERLINK("#",""), HYPERLINK(CONCATENATE("#Metadata!", ADDRESS(INDEX($W$2:$W$1001,MATCH(ROWS($U$2:U810),$U$2:$U$1001,0),0), INDEX($AB$1004:$AQ$1004,1,MATCH(COLUMNS($AB$1006:AP1006),$AB$1006:$AQ$1006,0)))),"Fix")))</f>
        <v>0</v>
      </c>
      <c r="Q810" s="5">
        <f>IF(OR(INDEX($V$2:$V$1001,MATCH(ROWS($U$2:U810),$U$2:$U$1001,0),1)&gt;=100000,INDEX($AB$1005:$AQ$1005,1,MATCH(COLUMNS($AB$1006:AQ1006),$AB$1006:$AQ$1006,0))&gt;=100000), " ",IF(INDEX($AB$2:$AQ$1001,MATCH(ROWS($U$2:U810),$U$2:$U$1001,0),MATCH(COLUMNS($AB$1006:AQ1006),$AB$1006:$AQ$1006,0)), HYPERLINK("#",""), HYPERLINK(CONCATENATE("#Metadata!", ADDRESS(INDEX($W$2:$W$1001,MATCH(ROWS($U$2:U810),$U$2:$U$1001,0),0), INDEX($AB$1004:$AQ$1004,1,MATCH(COLUMNS($AB$1006:AQ1006),$AB$1006:$AQ$1006,0)))),"Fix")))</f>
        <v>0</v>
      </c>
      <c r="U810">
        <v>0</v>
      </c>
      <c r="V810">
        <v>0</v>
      </c>
      <c r="W810">
        <v>0</v>
      </c>
      <c r="X810">
        <f>IF(Y810,TRUE,AND(AB810:AQ810))</f>
        <v>0</v>
      </c>
      <c r="Y810">
        <f>COUNTBLANK(Metadata!B810:Q810)=COLUMNS(Metadata!B810:Q810)</f>
        <v>0</v>
      </c>
      <c r="Z810">
        <v>0</v>
      </c>
      <c r="AB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AC810">
        <f>AND(IF(Metadata!C810="",FALSE,TRUE),exact(Metadata!C810,"urban biome"))</f>
        <v>0</v>
      </c>
      <c r="AD810">
        <f>AND(IF(Metadata!D810="",FALSE,TRUE),exact(Metadata!D810,"human-associated habitat"))</f>
        <v>0</v>
      </c>
      <c r="AE810">
        <f>AND(IF(Metadata!E810="",FALSE,TRUE),OR(exact(Metadata!E810,"human-associated"),exact(Metadata!E810,"human-skin"),exact(Metadata!E810,"human-oral"),exact(Metadata!E810,"human-gut"),exact(Metadata!E810,"human-vaginal")))</f>
        <v>0</v>
      </c>
      <c r="AF810">
        <f>AND(IF(Metadata!F810="",FALSE,ISNUMBER(VALUE(Metadata!F810))),Metadata!F810&gt;0)</f>
        <v>0</v>
      </c>
      <c r="AG810">
        <f>AND(IF(Metadata!G810="",FALSE,TRUE),exact(Metadata!G810,"years"))</f>
        <v>0</v>
      </c>
      <c r="AH810">
        <f>OR(AND(IF(Metadata!H810="",FALSE,TRUE),OR(exact(Metadata!H810,"not applicable"),exact(Metadata!H810,"not collected"),exact(Metadata!H810,"not provided"),exact(Metadata!H810,"restricted access"))),AND(IF(Metadata!H810="",FALSE,ISNUMBER(VALUE(Metadata!H810))),Metadata!H810&gt;0))</f>
        <v>0</v>
      </c>
      <c r="AI810">
        <f>AND(IF(Metadata!I810="",FALSE,TRUE),exact(Metadata!I810,"human"))</f>
        <v>0</v>
      </c>
      <c r="AJ810">
        <f>AND(IF(Metadata!J810="",FALSE,ISNUMBER(VALUE(Metadata!J810))),Metadata!J810&gt;0)</f>
        <v>0</v>
      </c>
      <c r="AK810">
        <f>AND(IF(Metadata!K810="",FALSE,TRUE),exact(Metadata!K810,"cm"))</f>
        <v>0</v>
      </c>
      <c r="AL810">
        <f>AND(IF(Metadata!L810="",FALSE,TRUE),exact(Metadata!L810,"Homo sapiens"))</f>
        <v>0</v>
      </c>
      <c r="AM810">
        <f>AND(IF(Metadata!M810="",FALSE,TRUE),exact(Metadata!M810,"9606"))</f>
        <v>0</v>
      </c>
      <c r="AN810">
        <f>AND(IF(Metadata!N810="",FALSE,ISNUMBER(VALUE(Metadata!N810))),Metadata!N810&gt;0)</f>
        <v>0</v>
      </c>
      <c r="AO810">
        <f>AND(IF(Metadata!O810="",FALSE,TRUE),exact(Metadata!O810,"kg"))</f>
        <v>0</v>
      </c>
      <c r="AP810">
        <f>OR(AND(IF(Metadata!P810="",FALSE,TRUE),exact(Metadata!P810,"not provided")),IF(Metadata!P810="",FALSE,TRUE))</f>
        <v>0</v>
      </c>
      <c r="AQ810">
        <f>OR(AND(IF(Metadata!Q810="",FALSE,TRUE),exact(Metadata!Q810,"not provided")),IF(Metadata!Q810="",FALSE,TRUE))</f>
        <v>0</v>
      </c>
    </row>
    <row r="811" spans="1:43">
      <c r="A811" s="4">
        <f>IF(B811=" "," ",HYPERLINK(CONCATENATE("#metadata!",ADDRESS(INDEX($W$2:$W$1001,MATCH(ROWS($U$2:U811),$U$2:$U$1001,0),0),2)),INDEX($Z$2:$Z$1001,MATCH(ROWS($U$2:U811),$U$2:$U$1001,0),0)))</f>
        <v>0</v>
      </c>
      <c r="B811" s="5">
        <f>IF(OR(INDEX($V$2:$V$1001,MATCH(ROWS($U$2:U811),$U$2:$U$1001,0),1)&gt;=100000,INDEX($AB$1005:$AQ$1005,1,MATCH(COLUMNS($AB$1006:AB1006),$AB$1006:$AQ$1006,0))&gt;=100000), " ",IF(INDEX($AB$2:$AQ$1001,MATCH(ROWS($U$2:U811),$U$2:$U$1001,0),MATCH(COLUMNS($AB$1006:AB1006),$AB$1006:$AQ$1006,0)), HYPERLINK("#",""), HYPERLINK(CONCATENATE("#Metadata!", ADDRESS(INDEX($W$2:$W$1001,MATCH(ROWS($U$2:U811),$U$2:$U$1001,0),0), INDEX($AB$1004:$AQ$1004,1,MATCH(COLUMNS($AB$1006:AB1006),$AB$1006:$AQ$1006,0)))),"Fix")))</f>
        <v>0</v>
      </c>
      <c r="C811" s="5">
        <f>IF(OR(INDEX($V$2:$V$1001,MATCH(ROWS($U$2:U811),$U$2:$U$1001,0),1)&gt;=100000,INDEX($AB$1005:$AQ$1005,1,MATCH(COLUMNS($AB$1006:AC1006),$AB$1006:$AQ$1006,0))&gt;=100000), " ",IF(INDEX($AB$2:$AQ$1001,MATCH(ROWS($U$2:U811),$U$2:$U$1001,0),MATCH(COLUMNS($AB$1006:AC1006),$AB$1006:$AQ$1006,0)), HYPERLINK("#",""), HYPERLINK(CONCATENATE("#Metadata!", ADDRESS(INDEX($W$2:$W$1001,MATCH(ROWS($U$2:U811),$U$2:$U$1001,0),0), INDEX($AB$1004:$AQ$1004,1,MATCH(COLUMNS($AB$1006:AC1006),$AB$1006:$AQ$1006,0)))),"Fix")))</f>
        <v>0</v>
      </c>
      <c r="D811" s="5">
        <f>IF(OR(INDEX($V$2:$V$1001,MATCH(ROWS($U$2:U811),$U$2:$U$1001,0),1)&gt;=100000,INDEX($AB$1005:$AQ$1005,1,MATCH(COLUMNS($AB$1006:AD1006),$AB$1006:$AQ$1006,0))&gt;=100000), " ",IF(INDEX($AB$2:$AQ$1001,MATCH(ROWS($U$2:U811),$U$2:$U$1001,0),MATCH(COLUMNS($AB$1006:AD1006),$AB$1006:$AQ$1006,0)), HYPERLINK("#",""), HYPERLINK(CONCATENATE("#Metadata!", ADDRESS(INDEX($W$2:$W$1001,MATCH(ROWS($U$2:U811),$U$2:$U$1001,0),0), INDEX($AB$1004:$AQ$1004,1,MATCH(COLUMNS($AB$1006:AD1006),$AB$1006:$AQ$1006,0)))),"Fix")))</f>
        <v>0</v>
      </c>
      <c r="E811" s="5">
        <f>IF(OR(INDEX($V$2:$V$1001,MATCH(ROWS($U$2:U811),$U$2:$U$1001,0),1)&gt;=100000,INDEX($AB$1005:$AQ$1005,1,MATCH(COLUMNS($AB$1006:AE1006),$AB$1006:$AQ$1006,0))&gt;=100000), " ",IF(INDEX($AB$2:$AQ$1001,MATCH(ROWS($U$2:U811),$U$2:$U$1001,0),MATCH(COLUMNS($AB$1006:AE1006),$AB$1006:$AQ$1006,0)), HYPERLINK("#",""), HYPERLINK(CONCATENATE("#Metadata!", ADDRESS(INDEX($W$2:$W$1001,MATCH(ROWS($U$2:U811),$U$2:$U$1001,0),0), INDEX($AB$1004:$AQ$1004,1,MATCH(COLUMNS($AB$1006:AE1006),$AB$1006:$AQ$1006,0)))),"Fix")))</f>
        <v>0</v>
      </c>
      <c r="F811" s="5">
        <f>IF(OR(INDEX($V$2:$V$1001,MATCH(ROWS($U$2:U811),$U$2:$U$1001,0),1)&gt;=100000,INDEX($AB$1005:$AQ$1005,1,MATCH(COLUMNS($AB$1006:AF1006),$AB$1006:$AQ$1006,0))&gt;=100000), " ",IF(INDEX($AB$2:$AQ$1001,MATCH(ROWS($U$2:U811),$U$2:$U$1001,0),MATCH(COLUMNS($AB$1006:AF1006),$AB$1006:$AQ$1006,0)), HYPERLINK("#",""), HYPERLINK(CONCATENATE("#Metadata!", ADDRESS(INDEX($W$2:$W$1001,MATCH(ROWS($U$2:U811),$U$2:$U$1001,0),0), INDEX($AB$1004:$AQ$1004,1,MATCH(COLUMNS($AB$1006:AF1006),$AB$1006:$AQ$1006,0)))),"Fix")))</f>
        <v>0</v>
      </c>
      <c r="G811" s="5">
        <f>IF(OR(INDEX($V$2:$V$1001,MATCH(ROWS($U$2:U811),$U$2:$U$1001,0),1)&gt;=100000,INDEX($AB$1005:$AQ$1005,1,MATCH(COLUMNS($AB$1006:AG1006),$AB$1006:$AQ$1006,0))&gt;=100000), " ",IF(INDEX($AB$2:$AQ$1001,MATCH(ROWS($U$2:U811),$U$2:$U$1001,0),MATCH(COLUMNS($AB$1006:AG1006),$AB$1006:$AQ$1006,0)), HYPERLINK("#",""), HYPERLINK(CONCATENATE("#Metadata!", ADDRESS(INDEX($W$2:$W$1001,MATCH(ROWS($U$2:U811),$U$2:$U$1001,0),0), INDEX($AB$1004:$AQ$1004,1,MATCH(COLUMNS($AB$1006:AG1006),$AB$1006:$AQ$1006,0)))),"Fix")))</f>
        <v>0</v>
      </c>
      <c r="H811" s="5">
        <f>IF(OR(INDEX($V$2:$V$1001,MATCH(ROWS($U$2:U811),$U$2:$U$1001,0),1)&gt;=100000,INDEX($AB$1005:$AQ$1005,1,MATCH(COLUMNS($AB$1006:AH1006),$AB$1006:$AQ$1006,0))&gt;=100000), " ",IF(INDEX($AB$2:$AQ$1001,MATCH(ROWS($U$2:U811),$U$2:$U$1001,0),MATCH(COLUMNS($AB$1006:AH1006),$AB$1006:$AQ$1006,0)), HYPERLINK("#",""), HYPERLINK(CONCATENATE("#Metadata!", ADDRESS(INDEX($W$2:$W$1001,MATCH(ROWS($U$2:U811),$U$2:$U$1001,0),0), INDEX($AB$1004:$AQ$1004,1,MATCH(COLUMNS($AB$1006:AH1006),$AB$1006:$AQ$1006,0)))),"Fix")))</f>
        <v>0</v>
      </c>
      <c r="I811" s="5">
        <f>IF(OR(INDEX($V$2:$V$1001,MATCH(ROWS($U$2:U811),$U$2:$U$1001,0),1)&gt;=100000,INDEX($AB$1005:$AQ$1005,1,MATCH(COLUMNS($AB$1006:AI1006),$AB$1006:$AQ$1006,0))&gt;=100000), " ",IF(INDEX($AB$2:$AQ$1001,MATCH(ROWS($U$2:U811),$U$2:$U$1001,0),MATCH(COLUMNS($AB$1006:AI1006),$AB$1006:$AQ$1006,0)), HYPERLINK("#",""), HYPERLINK(CONCATENATE("#Metadata!", ADDRESS(INDEX($W$2:$W$1001,MATCH(ROWS($U$2:U811),$U$2:$U$1001,0),0), INDEX($AB$1004:$AQ$1004,1,MATCH(COLUMNS($AB$1006:AI1006),$AB$1006:$AQ$1006,0)))),"Fix")))</f>
        <v>0</v>
      </c>
      <c r="J811" s="5">
        <f>IF(OR(INDEX($V$2:$V$1001,MATCH(ROWS($U$2:U811),$U$2:$U$1001,0),1)&gt;=100000,INDEX($AB$1005:$AQ$1005,1,MATCH(COLUMNS($AB$1006:AJ1006),$AB$1006:$AQ$1006,0))&gt;=100000), " ",IF(INDEX($AB$2:$AQ$1001,MATCH(ROWS($U$2:U811),$U$2:$U$1001,0),MATCH(COLUMNS($AB$1006:AJ1006),$AB$1006:$AQ$1006,0)), HYPERLINK("#",""), HYPERLINK(CONCATENATE("#Metadata!", ADDRESS(INDEX($W$2:$W$1001,MATCH(ROWS($U$2:U811),$U$2:$U$1001,0),0), INDEX($AB$1004:$AQ$1004,1,MATCH(COLUMNS($AB$1006:AJ1006),$AB$1006:$AQ$1006,0)))),"Fix")))</f>
        <v>0</v>
      </c>
      <c r="K811" s="5">
        <f>IF(OR(INDEX($V$2:$V$1001,MATCH(ROWS($U$2:U811),$U$2:$U$1001,0),1)&gt;=100000,INDEX($AB$1005:$AQ$1005,1,MATCH(COLUMNS($AB$1006:AK1006),$AB$1006:$AQ$1006,0))&gt;=100000), " ",IF(INDEX($AB$2:$AQ$1001,MATCH(ROWS($U$2:U811),$U$2:$U$1001,0),MATCH(COLUMNS($AB$1006:AK1006),$AB$1006:$AQ$1006,0)), HYPERLINK("#",""), HYPERLINK(CONCATENATE("#Metadata!", ADDRESS(INDEX($W$2:$W$1001,MATCH(ROWS($U$2:U811),$U$2:$U$1001,0),0), INDEX($AB$1004:$AQ$1004,1,MATCH(COLUMNS($AB$1006:AK1006),$AB$1006:$AQ$1006,0)))),"Fix")))</f>
        <v>0</v>
      </c>
      <c r="L811" s="5">
        <f>IF(OR(INDEX($V$2:$V$1001,MATCH(ROWS($U$2:U811),$U$2:$U$1001,0),1)&gt;=100000,INDEX($AB$1005:$AQ$1005,1,MATCH(COLUMNS($AB$1006:AL1006),$AB$1006:$AQ$1006,0))&gt;=100000), " ",IF(INDEX($AB$2:$AQ$1001,MATCH(ROWS($U$2:U811),$U$2:$U$1001,0),MATCH(COLUMNS($AB$1006:AL1006),$AB$1006:$AQ$1006,0)), HYPERLINK("#",""), HYPERLINK(CONCATENATE("#Metadata!", ADDRESS(INDEX($W$2:$W$1001,MATCH(ROWS($U$2:U811),$U$2:$U$1001,0),0), INDEX($AB$1004:$AQ$1004,1,MATCH(COLUMNS($AB$1006:AL1006),$AB$1006:$AQ$1006,0)))),"Fix")))</f>
        <v>0</v>
      </c>
      <c r="M811" s="5">
        <f>IF(OR(INDEX($V$2:$V$1001,MATCH(ROWS($U$2:U811),$U$2:$U$1001,0),1)&gt;=100000,INDEX($AB$1005:$AQ$1005,1,MATCH(COLUMNS($AB$1006:AM1006),$AB$1006:$AQ$1006,0))&gt;=100000), " ",IF(INDEX($AB$2:$AQ$1001,MATCH(ROWS($U$2:U811),$U$2:$U$1001,0),MATCH(COLUMNS($AB$1006:AM1006),$AB$1006:$AQ$1006,0)), HYPERLINK("#",""), HYPERLINK(CONCATENATE("#Metadata!", ADDRESS(INDEX($W$2:$W$1001,MATCH(ROWS($U$2:U811),$U$2:$U$1001,0),0), INDEX($AB$1004:$AQ$1004,1,MATCH(COLUMNS($AB$1006:AM1006),$AB$1006:$AQ$1006,0)))),"Fix")))</f>
        <v>0</v>
      </c>
      <c r="N811" s="5">
        <f>IF(OR(INDEX($V$2:$V$1001,MATCH(ROWS($U$2:U811),$U$2:$U$1001,0),1)&gt;=100000,INDEX($AB$1005:$AQ$1005,1,MATCH(COLUMNS($AB$1006:AN1006),$AB$1006:$AQ$1006,0))&gt;=100000), " ",IF(INDEX($AB$2:$AQ$1001,MATCH(ROWS($U$2:U811),$U$2:$U$1001,0),MATCH(COLUMNS($AB$1006:AN1006),$AB$1006:$AQ$1006,0)), HYPERLINK("#",""), HYPERLINK(CONCATENATE("#Metadata!", ADDRESS(INDEX($W$2:$W$1001,MATCH(ROWS($U$2:U811),$U$2:$U$1001,0),0), INDEX($AB$1004:$AQ$1004,1,MATCH(COLUMNS($AB$1006:AN1006),$AB$1006:$AQ$1006,0)))),"Fix")))</f>
        <v>0</v>
      </c>
      <c r="O811" s="5">
        <f>IF(OR(INDEX($V$2:$V$1001,MATCH(ROWS($U$2:U811),$U$2:$U$1001,0),1)&gt;=100000,INDEX($AB$1005:$AQ$1005,1,MATCH(COLUMNS($AB$1006:AO1006),$AB$1006:$AQ$1006,0))&gt;=100000), " ",IF(INDEX($AB$2:$AQ$1001,MATCH(ROWS($U$2:U811),$U$2:$U$1001,0),MATCH(COLUMNS($AB$1006:AO1006),$AB$1006:$AQ$1006,0)), HYPERLINK("#",""), HYPERLINK(CONCATENATE("#Metadata!", ADDRESS(INDEX($W$2:$W$1001,MATCH(ROWS($U$2:U811),$U$2:$U$1001,0),0), INDEX($AB$1004:$AQ$1004,1,MATCH(COLUMNS($AB$1006:AO1006),$AB$1006:$AQ$1006,0)))),"Fix")))</f>
        <v>0</v>
      </c>
      <c r="P811" s="5">
        <f>IF(OR(INDEX($V$2:$V$1001,MATCH(ROWS($U$2:U811),$U$2:$U$1001,0),1)&gt;=100000,INDEX($AB$1005:$AQ$1005,1,MATCH(COLUMNS($AB$1006:AP1006),$AB$1006:$AQ$1006,0))&gt;=100000), " ",IF(INDEX($AB$2:$AQ$1001,MATCH(ROWS($U$2:U811),$U$2:$U$1001,0),MATCH(COLUMNS($AB$1006:AP1006),$AB$1006:$AQ$1006,0)), HYPERLINK("#",""), HYPERLINK(CONCATENATE("#Metadata!", ADDRESS(INDEX($W$2:$W$1001,MATCH(ROWS($U$2:U811),$U$2:$U$1001,0),0), INDEX($AB$1004:$AQ$1004,1,MATCH(COLUMNS($AB$1006:AP1006),$AB$1006:$AQ$1006,0)))),"Fix")))</f>
        <v>0</v>
      </c>
      <c r="Q811" s="5">
        <f>IF(OR(INDEX($V$2:$V$1001,MATCH(ROWS($U$2:U811),$U$2:$U$1001,0),1)&gt;=100000,INDEX($AB$1005:$AQ$1005,1,MATCH(COLUMNS($AB$1006:AQ1006),$AB$1006:$AQ$1006,0))&gt;=100000), " ",IF(INDEX($AB$2:$AQ$1001,MATCH(ROWS($U$2:U811),$U$2:$U$1001,0),MATCH(COLUMNS($AB$1006:AQ1006),$AB$1006:$AQ$1006,0)), HYPERLINK("#",""), HYPERLINK(CONCATENATE("#Metadata!", ADDRESS(INDEX($W$2:$W$1001,MATCH(ROWS($U$2:U811),$U$2:$U$1001,0),0), INDEX($AB$1004:$AQ$1004,1,MATCH(COLUMNS($AB$1006:AQ1006),$AB$1006:$AQ$1006,0)))),"Fix")))</f>
        <v>0</v>
      </c>
      <c r="U811">
        <v>0</v>
      </c>
      <c r="V811">
        <v>0</v>
      </c>
      <c r="W811">
        <v>0</v>
      </c>
      <c r="X811">
        <f>IF(Y811,TRUE,AND(AB811:AQ811))</f>
        <v>0</v>
      </c>
      <c r="Y811">
        <f>COUNTBLANK(Metadata!B811:Q811)=COLUMNS(Metadata!B811:Q811)</f>
        <v>0</v>
      </c>
      <c r="Z811">
        <v>0</v>
      </c>
      <c r="AB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AC811">
        <f>AND(IF(Metadata!C811="",FALSE,TRUE),exact(Metadata!C811,"urban biome"))</f>
        <v>0</v>
      </c>
      <c r="AD811">
        <f>AND(IF(Metadata!D811="",FALSE,TRUE),exact(Metadata!D811,"human-associated habitat"))</f>
        <v>0</v>
      </c>
      <c r="AE811">
        <f>AND(IF(Metadata!E811="",FALSE,TRUE),OR(exact(Metadata!E811,"human-associated"),exact(Metadata!E811,"human-skin"),exact(Metadata!E811,"human-oral"),exact(Metadata!E811,"human-gut"),exact(Metadata!E811,"human-vaginal")))</f>
        <v>0</v>
      </c>
      <c r="AF811">
        <f>AND(IF(Metadata!F811="",FALSE,ISNUMBER(VALUE(Metadata!F811))),Metadata!F811&gt;0)</f>
        <v>0</v>
      </c>
      <c r="AG811">
        <f>AND(IF(Metadata!G811="",FALSE,TRUE),exact(Metadata!G811,"years"))</f>
        <v>0</v>
      </c>
      <c r="AH811">
        <f>OR(AND(IF(Metadata!H811="",FALSE,TRUE),OR(exact(Metadata!H811,"not applicable"),exact(Metadata!H811,"not collected"),exact(Metadata!H811,"not provided"),exact(Metadata!H811,"restricted access"))),AND(IF(Metadata!H811="",FALSE,ISNUMBER(VALUE(Metadata!H811))),Metadata!H811&gt;0))</f>
        <v>0</v>
      </c>
      <c r="AI811">
        <f>AND(IF(Metadata!I811="",FALSE,TRUE),exact(Metadata!I811,"human"))</f>
        <v>0</v>
      </c>
      <c r="AJ811">
        <f>AND(IF(Metadata!J811="",FALSE,ISNUMBER(VALUE(Metadata!J811))),Metadata!J811&gt;0)</f>
        <v>0</v>
      </c>
      <c r="AK811">
        <f>AND(IF(Metadata!K811="",FALSE,TRUE),exact(Metadata!K811,"cm"))</f>
        <v>0</v>
      </c>
      <c r="AL811">
        <f>AND(IF(Metadata!L811="",FALSE,TRUE),exact(Metadata!L811,"Homo sapiens"))</f>
        <v>0</v>
      </c>
      <c r="AM811">
        <f>AND(IF(Metadata!M811="",FALSE,TRUE),exact(Metadata!M811,"9606"))</f>
        <v>0</v>
      </c>
      <c r="AN811">
        <f>AND(IF(Metadata!N811="",FALSE,ISNUMBER(VALUE(Metadata!N811))),Metadata!N811&gt;0)</f>
        <v>0</v>
      </c>
      <c r="AO811">
        <f>AND(IF(Metadata!O811="",FALSE,TRUE),exact(Metadata!O811,"kg"))</f>
        <v>0</v>
      </c>
      <c r="AP811">
        <f>OR(AND(IF(Metadata!P811="",FALSE,TRUE),exact(Metadata!P811,"not provided")),IF(Metadata!P811="",FALSE,TRUE))</f>
        <v>0</v>
      </c>
      <c r="AQ811">
        <f>OR(AND(IF(Metadata!Q811="",FALSE,TRUE),exact(Metadata!Q811,"not provided")),IF(Metadata!Q811="",FALSE,TRUE))</f>
        <v>0</v>
      </c>
    </row>
    <row r="812" spans="1:43">
      <c r="A812" s="4">
        <f>IF(B812=" "," ",HYPERLINK(CONCATENATE("#metadata!",ADDRESS(INDEX($W$2:$W$1001,MATCH(ROWS($U$2:U812),$U$2:$U$1001,0),0),2)),INDEX($Z$2:$Z$1001,MATCH(ROWS($U$2:U812),$U$2:$U$1001,0),0)))</f>
        <v>0</v>
      </c>
      <c r="B812" s="5">
        <f>IF(OR(INDEX($V$2:$V$1001,MATCH(ROWS($U$2:U812),$U$2:$U$1001,0),1)&gt;=100000,INDEX($AB$1005:$AQ$1005,1,MATCH(COLUMNS($AB$1006:AB1006),$AB$1006:$AQ$1006,0))&gt;=100000), " ",IF(INDEX($AB$2:$AQ$1001,MATCH(ROWS($U$2:U812),$U$2:$U$1001,0),MATCH(COLUMNS($AB$1006:AB1006),$AB$1006:$AQ$1006,0)), HYPERLINK("#",""), HYPERLINK(CONCATENATE("#Metadata!", ADDRESS(INDEX($W$2:$W$1001,MATCH(ROWS($U$2:U812),$U$2:$U$1001,0),0), INDEX($AB$1004:$AQ$1004,1,MATCH(COLUMNS($AB$1006:AB1006),$AB$1006:$AQ$1006,0)))),"Fix")))</f>
        <v>0</v>
      </c>
      <c r="C812" s="5">
        <f>IF(OR(INDEX($V$2:$V$1001,MATCH(ROWS($U$2:U812),$U$2:$U$1001,0),1)&gt;=100000,INDEX($AB$1005:$AQ$1005,1,MATCH(COLUMNS($AB$1006:AC1006),$AB$1006:$AQ$1006,0))&gt;=100000), " ",IF(INDEX($AB$2:$AQ$1001,MATCH(ROWS($U$2:U812),$U$2:$U$1001,0),MATCH(COLUMNS($AB$1006:AC1006),$AB$1006:$AQ$1006,0)), HYPERLINK("#",""), HYPERLINK(CONCATENATE("#Metadata!", ADDRESS(INDEX($W$2:$W$1001,MATCH(ROWS($U$2:U812),$U$2:$U$1001,0),0), INDEX($AB$1004:$AQ$1004,1,MATCH(COLUMNS($AB$1006:AC1006),$AB$1006:$AQ$1006,0)))),"Fix")))</f>
        <v>0</v>
      </c>
      <c r="D812" s="5">
        <f>IF(OR(INDEX($V$2:$V$1001,MATCH(ROWS($U$2:U812),$U$2:$U$1001,0),1)&gt;=100000,INDEX($AB$1005:$AQ$1005,1,MATCH(COLUMNS($AB$1006:AD1006),$AB$1006:$AQ$1006,0))&gt;=100000), " ",IF(INDEX($AB$2:$AQ$1001,MATCH(ROWS($U$2:U812),$U$2:$U$1001,0),MATCH(COLUMNS($AB$1006:AD1006),$AB$1006:$AQ$1006,0)), HYPERLINK("#",""), HYPERLINK(CONCATENATE("#Metadata!", ADDRESS(INDEX($W$2:$W$1001,MATCH(ROWS($U$2:U812),$U$2:$U$1001,0),0), INDEX($AB$1004:$AQ$1004,1,MATCH(COLUMNS($AB$1006:AD1006),$AB$1006:$AQ$1006,0)))),"Fix")))</f>
        <v>0</v>
      </c>
      <c r="E812" s="5">
        <f>IF(OR(INDEX($V$2:$V$1001,MATCH(ROWS($U$2:U812),$U$2:$U$1001,0),1)&gt;=100000,INDEX($AB$1005:$AQ$1005,1,MATCH(COLUMNS($AB$1006:AE1006),$AB$1006:$AQ$1006,0))&gt;=100000), " ",IF(INDEX($AB$2:$AQ$1001,MATCH(ROWS($U$2:U812),$U$2:$U$1001,0),MATCH(COLUMNS($AB$1006:AE1006),$AB$1006:$AQ$1006,0)), HYPERLINK("#",""), HYPERLINK(CONCATENATE("#Metadata!", ADDRESS(INDEX($W$2:$W$1001,MATCH(ROWS($U$2:U812),$U$2:$U$1001,0),0), INDEX($AB$1004:$AQ$1004,1,MATCH(COLUMNS($AB$1006:AE1006),$AB$1006:$AQ$1006,0)))),"Fix")))</f>
        <v>0</v>
      </c>
      <c r="F812" s="5">
        <f>IF(OR(INDEX($V$2:$V$1001,MATCH(ROWS($U$2:U812),$U$2:$U$1001,0),1)&gt;=100000,INDEX($AB$1005:$AQ$1005,1,MATCH(COLUMNS($AB$1006:AF1006),$AB$1006:$AQ$1006,0))&gt;=100000), " ",IF(INDEX($AB$2:$AQ$1001,MATCH(ROWS($U$2:U812),$U$2:$U$1001,0),MATCH(COLUMNS($AB$1006:AF1006),$AB$1006:$AQ$1006,0)), HYPERLINK("#",""), HYPERLINK(CONCATENATE("#Metadata!", ADDRESS(INDEX($W$2:$W$1001,MATCH(ROWS($U$2:U812),$U$2:$U$1001,0),0), INDEX($AB$1004:$AQ$1004,1,MATCH(COLUMNS($AB$1006:AF1006),$AB$1006:$AQ$1006,0)))),"Fix")))</f>
        <v>0</v>
      </c>
      <c r="G812" s="5">
        <f>IF(OR(INDEX($V$2:$V$1001,MATCH(ROWS($U$2:U812),$U$2:$U$1001,0),1)&gt;=100000,INDEX($AB$1005:$AQ$1005,1,MATCH(COLUMNS($AB$1006:AG1006),$AB$1006:$AQ$1006,0))&gt;=100000), " ",IF(INDEX($AB$2:$AQ$1001,MATCH(ROWS($U$2:U812),$U$2:$U$1001,0),MATCH(COLUMNS($AB$1006:AG1006),$AB$1006:$AQ$1006,0)), HYPERLINK("#",""), HYPERLINK(CONCATENATE("#Metadata!", ADDRESS(INDEX($W$2:$W$1001,MATCH(ROWS($U$2:U812),$U$2:$U$1001,0),0), INDEX($AB$1004:$AQ$1004,1,MATCH(COLUMNS($AB$1006:AG1006),$AB$1006:$AQ$1006,0)))),"Fix")))</f>
        <v>0</v>
      </c>
      <c r="H812" s="5">
        <f>IF(OR(INDEX($V$2:$V$1001,MATCH(ROWS($U$2:U812),$U$2:$U$1001,0),1)&gt;=100000,INDEX($AB$1005:$AQ$1005,1,MATCH(COLUMNS($AB$1006:AH1006),$AB$1006:$AQ$1006,0))&gt;=100000), " ",IF(INDEX($AB$2:$AQ$1001,MATCH(ROWS($U$2:U812),$U$2:$U$1001,0),MATCH(COLUMNS($AB$1006:AH1006),$AB$1006:$AQ$1006,0)), HYPERLINK("#",""), HYPERLINK(CONCATENATE("#Metadata!", ADDRESS(INDEX($W$2:$W$1001,MATCH(ROWS($U$2:U812),$U$2:$U$1001,0),0), INDEX($AB$1004:$AQ$1004,1,MATCH(COLUMNS($AB$1006:AH1006),$AB$1006:$AQ$1006,0)))),"Fix")))</f>
        <v>0</v>
      </c>
      <c r="I812" s="5">
        <f>IF(OR(INDEX($V$2:$V$1001,MATCH(ROWS($U$2:U812),$U$2:$U$1001,0),1)&gt;=100000,INDEX($AB$1005:$AQ$1005,1,MATCH(COLUMNS($AB$1006:AI1006),$AB$1006:$AQ$1006,0))&gt;=100000), " ",IF(INDEX($AB$2:$AQ$1001,MATCH(ROWS($U$2:U812),$U$2:$U$1001,0),MATCH(COLUMNS($AB$1006:AI1006),$AB$1006:$AQ$1006,0)), HYPERLINK("#",""), HYPERLINK(CONCATENATE("#Metadata!", ADDRESS(INDEX($W$2:$W$1001,MATCH(ROWS($U$2:U812),$U$2:$U$1001,0),0), INDEX($AB$1004:$AQ$1004,1,MATCH(COLUMNS($AB$1006:AI1006),$AB$1006:$AQ$1006,0)))),"Fix")))</f>
        <v>0</v>
      </c>
      <c r="J812" s="5">
        <f>IF(OR(INDEX($V$2:$V$1001,MATCH(ROWS($U$2:U812),$U$2:$U$1001,0),1)&gt;=100000,INDEX($AB$1005:$AQ$1005,1,MATCH(COLUMNS($AB$1006:AJ1006),$AB$1006:$AQ$1006,0))&gt;=100000), " ",IF(INDEX($AB$2:$AQ$1001,MATCH(ROWS($U$2:U812),$U$2:$U$1001,0),MATCH(COLUMNS($AB$1006:AJ1006),$AB$1006:$AQ$1006,0)), HYPERLINK("#",""), HYPERLINK(CONCATENATE("#Metadata!", ADDRESS(INDEX($W$2:$W$1001,MATCH(ROWS($U$2:U812),$U$2:$U$1001,0),0), INDEX($AB$1004:$AQ$1004,1,MATCH(COLUMNS($AB$1006:AJ1006),$AB$1006:$AQ$1006,0)))),"Fix")))</f>
        <v>0</v>
      </c>
      <c r="K812" s="5">
        <f>IF(OR(INDEX($V$2:$V$1001,MATCH(ROWS($U$2:U812),$U$2:$U$1001,0),1)&gt;=100000,INDEX($AB$1005:$AQ$1005,1,MATCH(COLUMNS($AB$1006:AK1006),$AB$1006:$AQ$1006,0))&gt;=100000), " ",IF(INDEX($AB$2:$AQ$1001,MATCH(ROWS($U$2:U812),$U$2:$U$1001,0),MATCH(COLUMNS($AB$1006:AK1006),$AB$1006:$AQ$1006,0)), HYPERLINK("#",""), HYPERLINK(CONCATENATE("#Metadata!", ADDRESS(INDEX($W$2:$W$1001,MATCH(ROWS($U$2:U812),$U$2:$U$1001,0),0), INDEX($AB$1004:$AQ$1004,1,MATCH(COLUMNS($AB$1006:AK1006),$AB$1006:$AQ$1006,0)))),"Fix")))</f>
        <v>0</v>
      </c>
      <c r="L812" s="5">
        <f>IF(OR(INDEX($V$2:$V$1001,MATCH(ROWS($U$2:U812),$U$2:$U$1001,0),1)&gt;=100000,INDEX($AB$1005:$AQ$1005,1,MATCH(COLUMNS($AB$1006:AL1006),$AB$1006:$AQ$1006,0))&gt;=100000), " ",IF(INDEX($AB$2:$AQ$1001,MATCH(ROWS($U$2:U812),$U$2:$U$1001,0),MATCH(COLUMNS($AB$1006:AL1006),$AB$1006:$AQ$1006,0)), HYPERLINK("#",""), HYPERLINK(CONCATENATE("#Metadata!", ADDRESS(INDEX($W$2:$W$1001,MATCH(ROWS($U$2:U812),$U$2:$U$1001,0),0), INDEX($AB$1004:$AQ$1004,1,MATCH(COLUMNS($AB$1006:AL1006),$AB$1006:$AQ$1006,0)))),"Fix")))</f>
        <v>0</v>
      </c>
      <c r="M812" s="5">
        <f>IF(OR(INDEX($V$2:$V$1001,MATCH(ROWS($U$2:U812),$U$2:$U$1001,0),1)&gt;=100000,INDEX($AB$1005:$AQ$1005,1,MATCH(COLUMNS($AB$1006:AM1006),$AB$1006:$AQ$1006,0))&gt;=100000), " ",IF(INDEX($AB$2:$AQ$1001,MATCH(ROWS($U$2:U812),$U$2:$U$1001,0),MATCH(COLUMNS($AB$1006:AM1006),$AB$1006:$AQ$1006,0)), HYPERLINK("#",""), HYPERLINK(CONCATENATE("#Metadata!", ADDRESS(INDEX($W$2:$W$1001,MATCH(ROWS($U$2:U812),$U$2:$U$1001,0),0), INDEX($AB$1004:$AQ$1004,1,MATCH(COLUMNS($AB$1006:AM1006),$AB$1006:$AQ$1006,0)))),"Fix")))</f>
        <v>0</v>
      </c>
      <c r="N812" s="5">
        <f>IF(OR(INDEX($V$2:$V$1001,MATCH(ROWS($U$2:U812),$U$2:$U$1001,0),1)&gt;=100000,INDEX($AB$1005:$AQ$1005,1,MATCH(COLUMNS($AB$1006:AN1006),$AB$1006:$AQ$1006,0))&gt;=100000), " ",IF(INDEX($AB$2:$AQ$1001,MATCH(ROWS($U$2:U812),$U$2:$U$1001,0),MATCH(COLUMNS($AB$1006:AN1006),$AB$1006:$AQ$1006,0)), HYPERLINK("#",""), HYPERLINK(CONCATENATE("#Metadata!", ADDRESS(INDEX($W$2:$W$1001,MATCH(ROWS($U$2:U812),$U$2:$U$1001,0),0), INDEX($AB$1004:$AQ$1004,1,MATCH(COLUMNS($AB$1006:AN1006),$AB$1006:$AQ$1006,0)))),"Fix")))</f>
        <v>0</v>
      </c>
      <c r="O812" s="5">
        <f>IF(OR(INDEX($V$2:$V$1001,MATCH(ROWS($U$2:U812),$U$2:$U$1001,0),1)&gt;=100000,INDEX($AB$1005:$AQ$1005,1,MATCH(COLUMNS($AB$1006:AO1006),$AB$1006:$AQ$1006,0))&gt;=100000), " ",IF(INDEX($AB$2:$AQ$1001,MATCH(ROWS($U$2:U812),$U$2:$U$1001,0),MATCH(COLUMNS($AB$1006:AO1006),$AB$1006:$AQ$1006,0)), HYPERLINK("#",""), HYPERLINK(CONCATENATE("#Metadata!", ADDRESS(INDEX($W$2:$W$1001,MATCH(ROWS($U$2:U812),$U$2:$U$1001,0),0), INDEX($AB$1004:$AQ$1004,1,MATCH(COLUMNS($AB$1006:AO1006),$AB$1006:$AQ$1006,0)))),"Fix")))</f>
        <v>0</v>
      </c>
      <c r="P812" s="5">
        <f>IF(OR(INDEX($V$2:$V$1001,MATCH(ROWS($U$2:U812),$U$2:$U$1001,0),1)&gt;=100000,INDEX($AB$1005:$AQ$1005,1,MATCH(COLUMNS($AB$1006:AP1006),$AB$1006:$AQ$1006,0))&gt;=100000), " ",IF(INDEX($AB$2:$AQ$1001,MATCH(ROWS($U$2:U812),$U$2:$U$1001,0),MATCH(COLUMNS($AB$1006:AP1006),$AB$1006:$AQ$1006,0)), HYPERLINK("#",""), HYPERLINK(CONCATENATE("#Metadata!", ADDRESS(INDEX($W$2:$W$1001,MATCH(ROWS($U$2:U812),$U$2:$U$1001,0),0), INDEX($AB$1004:$AQ$1004,1,MATCH(COLUMNS($AB$1006:AP1006),$AB$1006:$AQ$1006,0)))),"Fix")))</f>
        <v>0</v>
      </c>
      <c r="Q812" s="5">
        <f>IF(OR(INDEX($V$2:$V$1001,MATCH(ROWS($U$2:U812),$U$2:$U$1001,0),1)&gt;=100000,INDEX($AB$1005:$AQ$1005,1,MATCH(COLUMNS($AB$1006:AQ1006),$AB$1006:$AQ$1006,0))&gt;=100000), " ",IF(INDEX($AB$2:$AQ$1001,MATCH(ROWS($U$2:U812),$U$2:$U$1001,0),MATCH(COLUMNS($AB$1006:AQ1006),$AB$1006:$AQ$1006,0)), HYPERLINK("#",""), HYPERLINK(CONCATENATE("#Metadata!", ADDRESS(INDEX($W$2:$W$1001,MATCH(ROWS($U$2:U812),$U$2:$U$1001,0),0), INDEX($AB$1004:$AQ$1004,1,MATCH(COLUMNS($AB$1006:AQ1006),$AB$1006:$AQ$1006,0)))),"Fix")))</f>
        <v>0</v>
      </c>
      <c r="U812">
        <v>0</v>
      </c>
      <c r="V812">
        <v>0</v>
      </c>
      <c r="W812">
        <v>0</v>
      </c>
      <c r="X812">
        <f>IF(Y812,TRUE,AND(AB812:AQ812))</f>
        <v>0</v>
      </c>
      <c r="Y812">
        <f>COUNTBLANK(Metadata!B812:Q812)=COLUMNS(Metadata!B812:Q812)</f>
        <v>0</v>
      </c>
      <c r="Z812">
        <v>0</v>
      </c>
      <c r="AB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AC812">
        <f>AND(IF(Metadata!C812="",FALSE,TRUE),exact(Metadata!C812,"urban biome"))</f>
        <v>0</v>
      </c>
      <c r="AD812">
        <f>AND(IF(Metadata!D812="",FALSE,TRUE),exact(Metadata!D812,"human-associated habitat"))</f>
        <v>0</v>
      </c>
      <c r="AE812">
        <f>AND(IF(Metadata!E812="",FALSE,TRUE),OR(exact(Metadata!E812,"human-associated"),exact(Metadata!E812,"human-skin"),exact(Metadata!E812,"human-oral"),exact(Metadata!E812,"human-gut"),exact(Metadata!E812,"human-vaginal")))</f>
        <v>0</v>
      </c>
      <c r="AF812">
        <f>AND(IF(Metadata!F812="",FALSE,ISNUMBER(VALUE(Metadata!F812))),Metadata!F812&gt;0)</f>
        <v>0</v>
      </c>
      <c r="AG812">
        <f>AND(IF(Metadata!G812="",FALSE,TRUE),exact(Metadata!G812,"years"))</f>
        <v>0</v>
      </c>
      <c r="AH812">
        <f>OR(AND(IF(Metadata!H812="",FALSE,TRUE),OR(exact(Metadata!H812,"not applicable"),exact(Metadata!H812,"not collected"),exact(Metadata!H812,"not provided"),exact(Metadata!H812,"restricted access"))),AND(IF(Metadata!H812="",FALSE,ISNUMBER(VALUE(Metadata!H812))),Metadata!H812&gt;0))</f>
        <v>0</v>
      </c>
      <c r="AI812">
        <f>AND(IF(Metadata!I812="",FALSE,TRUE),exact(Metadata!I812,"human"))</f>
        <v>0</v>
      </c>
      <c r="AJ812">
        <f>AND(IF(Metadata!J812="",FALSE,ISNUMBER(VALUE(Metadata!J812))),Metadata!J812&gt;0)</f>
        <v>0</v>
      </c>
      <c r="AK812">
        <f>AND(IF(Metadata!K812="",FALSE,TRUE),exact(Metadata!K812,"cm"))</f>
        <v>0</v>
      </c>
      <c r="AL812">
        <f>AND(IF(Metadata!L812="",FALSE,TRUE),exact(Metadata!L812,"Homo sapiens"))</f>
        <v>0</v>
      </c>
      <c r="AM812">
        <f>AND(IF(Metadata!M812="",FALSE,TRUE),exact(Metadata!M812,"9606"))</f>
        <v>0</v>
      </c>
      <c r="AN812">
        <f>AND(IF(Metadata!N812="",FALSE,ISNUMBER(VALUE(Metadata!N812))),Metadata!N812&gt;0)</f>
        <v>0</v>
      </c>
      <c r="AO812">
        <f>AND(IF(Metadata!O812="",FALSE,TRUE),exact(Metadata!O812,"kg"))</f>
        <v>0</v>
      </c>
      <c r="AP812">
        <f>OR(AND(IF(Metadata!P812="",FALSE,TRUE),exact(Metadata!P812,"not provided")),IF(Metadata!P812="",FALSE,TRUE))</f>
        <v>0</v>
      </c>
      <c r="AQ812">
        <f>OR(AND(IF(Metadata!Q812="",FALSE,TRUE),exact(Metadata!Q812,"not provided")),IF(Metadata!Q812="",FALSE,TRUE))</f>
        <v>0</v>
      </c>
    </row>
    <row r="813" spans="1:43">
      <c r="A813" s="4">
        <f>IF(B813=" "," ",HYPERLINK(CONCATENATE("#metadata!",ADDRESS(INDEX($W$2:$W$1001,MATCH(ROWS($U$2:U813),$U$2:$U$1001,0),0),2)),INDEX($Z$2:$Z$1001,MATCH(ROWS($U$2:U813),$U$2:$U$1001,0),0)))</f>
        <v>0</v>
      </c>
      <c r="B813" s="5">
        <f>IF(OR(INDEX($V$2:$V$1001,MATCH(ROWS($U$2:U813),$U$2:$U$1001,0),1)&gt;=100000,INDEX($AB$1005:$AQ$1005,1,MATCH(COLUMNS($AB$1006:AB1006),$AB$1006:$AQ$1006,0))&gt;=100000), " ",IF(INDEX($AB$2:$AQ$1001,MATCH(ROWS($U$2:U813),$U$2:$U$1001,0),MATCH(COLUMNS($AB$1006:AB1006),$AB$1006:$AQ$1006,0)), HYPERLINK("#",""), HYPERLINK(CONCATENATE("#Metadata!", ADDRESS(INDEX($W$2:$W$1001,MATCH(ROWS($U$2:U813),$U$2:$U$1001,0),0), INDEX($AB$1004:$AQ$1004,1,MATCH(COLUMNS($AB$1006:AB1006),$AB$1006:$AQ$1006,0)))),"Fix")))</f>
        <v>0</v>
      </c>
      <c r="C813" s="5">
        <f>IF(OR(INDEX($V$2:$V$1001,MATCH(ROWS($U$2:U813),$U$2:$U$1001,0),1)&gt;=100000,INDEX($AB$1005:$AQ$1005,1,MATCH(COLUMNS($AB$1006:AC1006),$AB$1006:$AQ$1006,0))&gt;=100000), " ",IF(INDEX($AB$2:$AQ$1001,MATCH(ROWS($U$2:U813),$U$2:$U$1001,0),MATCH(COLUMNS($AB$1006:AC1006),$AB$1006:$AQ$1006,0)), HYPERLINK("#",""), HYPERLINK(CONCATENATE("#Metadata!", ADDRESS(INDEX($W$2:$W$1001,MATCH(ROWS($U$2:U813),$U$2:$U$1001,0),0), INDEX($AB$1004:$AQ$1004,1,MATCH(COLUMNS($AB$1006:AC1006),$AB$1006:$AQ$1006,0)))),"Fix")))</f>
        <v>0</v>
      </c>
      <c r="D813" s="5">
        <f>IF(OR(INDEX($V$2:$V$1001,MATCH(ROWS($U$2:U813),$U$2:$U$1001,0),1)&gt;=100000,INDEX($AB$1005:$AQ$1005,1,MATCH(COLUMNS($AB$1006:AD1006),$AB$1006:$AQ$1006,0))&gt;=100000), " ",IF(INDEX($AB$2:$AQ$1001,MATCH(ROWS($U$2:U813),$U$2:$U$1001,0),MATCH(COLUMNS($AB$1006:AD1006),$AB$1006:$AQ$1006,0)), HYPERLINK("#",""), HYPERLINK(CONCATENATE("#Metadata!", ADDRESS(INDEX($W$2:$W$1001,MATCH(ROWS($U$2:U813),$U$2:$U$1001,0),0), INDEX($AB$1004:$AQ$1004,1,MATCH(COLUMNS($AB$1006:AD1006),$AB$1006:$AQ$1006,0)))),"Fix")))</f>
        <v>0</v>
      </c>
      <c r="E813" s="5">
        <f>IF(OR(INDEX($V$2:$V$1001,MATCH(ROWS($U$2:U813),$U$2:$U$1001,0),1)&gt;=100000,INDEX($AB$1005:$AQ$1005,1,MATCH(COLUMNS($AB$1006:AE1006),$AB$1006:$AQ$1006,0))&gt;=100000), " ",IF(INDEX($AB$2:$AQ$1001,MATCH(ROWS($U$2:U813),$U$2:$U$1001,0),MATCH(COLUMNS($AB$1006:AE1006),$AB$1006:$AQ$1006,0)), HYPERLINK("#",""), HYPERLINK(CONCATENATE("#Metadata!", ADDRESS(INDEX($W$2:$W$1001,MATCH(ROWS($U$2:U813),$U$2:$U$1001,0),0), INDEX($AB$1004:$AQ$1004,1,MATCH(COLUMNS($AB$1006:AE1006),$AB$1006:$AQ$1006,0)))),"Fix")))</f>
        <v>0</v>
      </c>
      <c r="F813" s="5">
        <f>IF(OR(INDEX($V$2:$V$1001,MATCH(ROWS($U$2:U813),$U$2:$U$1001,0),1)&gt;=100000,INDEX($AB$1005:$AQ$1005,1,MATCH(COLUMNS($AB$1006:AF1006),$AB$1006:$AQ$1006,0))&gt;=100000), " ",IF(INDEX($AB$2:$AQ$1001,MATCH(ROWS($U$2:U813),$U$2:$U$1001,0),MATCH(COLUMNS($AB$1006:AF1006),$AB$1006:$AQ$1006,0)), HYPERLINK("#",""), HYPERLINK(CONCATENATE("#Metadata!", ADDRESS(INDEX($W$2:$W$1001,MATCH(ROWS($U$2:U813),$U$2:$U$1001,0),0), INDEX($AB$1004:$AQ$1004,1,MATCH(COLUMNS($AB$1006:AF1006),$AB$1006:$AQ$1006,0)))),"Fix")))</f>
        <v>0</v>
      </c>
      <c r="G813" s="5">
        <f>IF(OR(INDEX($V$2:$V$1001,MATCH(ROWS($U$2:U813),$U$2:$U$1001,0),1)&gt;=100000,INDEX($AB$1005:$AQ$1005,1,MATCH(COLUMNS($AB$1006:AG1006),$AB$1006:$AQ$1006,0))&gt;=100000), " ",IF(INDEX($AB$2:$AQ$1001,MATCH(ROWS($U$2:U813),$U$2:$U$1001,0),MATCH(COLUMNS($AB$1006:AG1006),$AB$1006:$AQ$1006,0)), HYPERLINK("#",""), HYPERLINK(CONCATENATE("#Metadata!", ADDRESS(INDEX($W$2:$W$1001,MATCH(ROWS($U$2:U813),$U$2:$U$1001,0),0), INDEX($AB$1004:$AQ$1004,1,MATCH(COLUMNS($AB$1006:AG1006),$AB$1006:$AQ$1006,0)))),"Fix")))</f>
        <v>0</v>
      </c>
      <c r="H813" s="5">
        <f>IF(OR(INDEX($V$2:$V$1001,MATCH(ROWS($U$2:U813),$U$2:$U$1001,0),1)&gt;=100000,INDEX($AB$1005:$AQ$1005,1,MATCH(COLUMNS($AB$1006:AH1006),$AB$1006:$AQ$1006,0))&gt;=100000), " ",IF(INDEX($AB$2:$AQ$1001,MATCH(ROWS($U$2:U813),$U$2:$U$1001,0),MATCH(COLUMNS($AB$1006:AH1006),$AB$1006:$AQ$1006,0)), HYPERLINK("#",""), HYPERLINK(CONCATENATE("#Metadata!", ADDRESS(INDEX($W$2:$W$1001,MATCH(ROWS($U$2:U813),$U$2:$U$1001,0),0), INDEX($AB$1004:$AQ$1004,1,MATCH(COLUMNS($AB$1006:AH1006),$AB$1006:$AQ$1006,0)))),"Fix")))</f>
        <v>0</v>
      </c>
      <c r="I813" s="5">
        <f>IF(OR(INDEX($V$2:$V$1001,MATCH(ROWS($U$2:U813),$U$2:$U$1001,0),1)&gt;=100000,INDEX($AB$1005:$AQ$1005,1,MATCH(COLUMNS($AB$1006:AI1006),$AB$1006:$AQ$1006,0))&gt;=100000), " ",IF(INDEX($AB$2:$AQ$1001,MATCH(ROWS($U$2:U813),$U$2:$U$1001,0),MATCH(COLUMNS($AB$1006:AI1006),$AB$1006:$AQ$1006,0)), HYPERLINK("#",""), HYPERLINK(CONCATENATE("#Metadata!", ADDRESS(INDEX($W$2:$W$1001,MATCH(ROWS($U$2:U813),$U$2:$U$1001,0),0), INDEX($AB$1004:$AQ$1004,1,MATCH(COLUMNS($AB$1006:AI1006),$AB$1006:$AQ$1006,0)))),"Fix")))</f>
        <v>0</v>
      </c>
      <c r="J813" s="5">
        <f>IF(OR(INDEX($V$2:$V$1001,MATCH(ROWS($U$2:U813),$U$2:$U$1001,0),1)&gt;=100000,INDEX($AB$1005:$AQ$1005,1,MATCH(COLUMNS($AB$1006:AJ1006),$AB$1006:$AQ$1006,0))&gt;=100000), " ",IF(INDEX($AB$2:$AQ$1001,MATCH(ROWS($U$2:U813),$U$2:$U$1001,0),MATCH(COLUMNS($AB$1006:AJ1006),$AB$1006:$AQ$1006,0)), HYPERLINK("#",""), HYPERLINK(CONCATENATE("#Metadata!", ADDRESS(INDEX($W$2:$W$1001,MATCH(ROWS($U$2:U813),$U$2:$U$1001,0),0), INDEX($AB$1004:$AQ$1004,1,MATCH(COLUMNS($AB$1006:AJ1006),$AB$1006:$AQ$1006,0)))),"Fix")))</f>
        <v>0</v>
      </c>
      <c r="K813" s="5">
        <f>IF(OR(INDEX($V$2:$V$1001,MATCH(ROWS($U$2:U813),$U$2:$U$1001,0),1)&gt;=100000,INDEX($AB$1005:$AQ$1005,1,MATCH(COLUMNS($AB$1006:AK1006),$AB$1006:$AQ$1006,0))&gt;=100000), " ",IF(INDEX($AB$2:$AQ$1001,MATCH(ROWS($U$2:U813),$U$2:$U$1001,0),MATCH(COLUMNS($AB$1006:AK1006),$AB$1006:$AQ$1006,0)), HYPERLINK("#",""), HYPERLINK(CONCATENATE("#Metadata!", ADDRESS(INDEX($W$2:$W$1001,MATCH(ROWS($U$2:U813),$U$2:$U$1001,0),0), INDEX($AB$1004:$AQ$1004,1,MATCH(COLUMNS($AB$1006:AK1006),$AB$1006:$AQ$1006,0)))),"Fix")))</f>
        <v>0</v>
      </c>
      <c r="L813" s="5">
        <f>IF(OR(INDEX($V$2:$V$1001,MATCH(ROWS($U$2:U813),$U$2:$U$1001,0),1)&gt;=100000,INDEX($AB$1005:$AQ$1005,1,MATCH(COLUMNS($AB$1006:AL1006),$AB$1006:$AQ$1006,0))&gt;=100000), " ",IF(INDEX($AB$2:$AQ$1001,MATCH(ROWS($U$2:U813),$U$2:$U$1001,0),MATCH(COLUMNS($AB$1006:AL1006),$AB$1006:$AQ$1006,0)), HYPERLINK("#",""), HYPERLINK(CONCATENATE("#Metadata!", ADDRESS(INDEX($W$2:$W$1001,MATCH(ROWS($U$2:U813),$U$2:$U$1001,0),0), INDEX($AB$1004:$AQ$1004,1,MATCH(COLUMNS($AB$1006:AL1006),$AB$1006:$AQ$1006,0)))),"Fix")))</f>
        <v>0</v>
      </c>
      <c r="M813" s="5">
        <f>IF(OR(INDEX($V$2:$V$1001,MATCH(ROWS($U$2:U813),$U$2:$U$1001,0),1)&gt;=100000,INDEX($AB$1005:$AQ$1005,1,MATCH(COLUMNS($AB$1006:AM1006),$AB$1006:$AQ$1006,0))&gt;=100000), " ",IF(INDEX($AB$2:$AQ$1001,MATCH(ROWS($U$2:U813),$U$2:$U$1001,0),MATCH(COLUMNS($AB$1006:AM1006),$AB$1006:$AQ$1006,0)), HYPERLINK("#",""), HYPERLINK(CONCATENATE("#Metadata!", ADDRESS(INDEX($W$2:$W$1001,MATCH(ROWS($U$2:U813),$U$2:$U$1001,0),0), INDEX($AB$1004:$AQ$1004,1,MATCH(COLUMNS($AB$1006:AM1006),$AB$1006:$AQ$1006,0)))),"Fix")))</f>
        <v>0</v>
      </c>
      <c r="N813" s="5">
        <f>IF(OR(INDEX($V$2:$V$1001,MATCH(ROWS($U$2:U813),$U$2:$U$1001,0),1)&gt;=100000,INDEX($AB$1005:$AQ$1005,1,MATCH(COLUMNS($AB$1006:AN1006),$AB$1006:$AQ$1006,0))&gt;=100000), " ",IF(INDEX($AB$2:$AQ$1001,MATCH(ROWS($U$2:U813),$U$2:$U$1001,0),MATCH(COLUMNS($AB$1006:AN1006),$AB$1006:$AQ$1006,0)), HYPERLINK("#",""), HYPERLINK(CONCATENATE("#Metadata!", ADDRESS(INDEX($W$2:$W$1001,MATCH(ROWS($U$2:U813),$U$2:$U$1001,0),0), INDEX($AB$1004:$AQ$1004,1,MATCH(COLUMNS($AB$1006:AN1006),$AB$1006:$AQ$1006,0)))),"Fix")))</f>
        <v>0</v>
      </c>
      <c r="O813" s="5">
        <f>IF(OR(INDEX($V$2:$V$1001,MATCH(ROWS($U$2:U813),$U$2:$U$1001,0),1)&gt;=100000,INDEX($AB$1005:$AQ$1005,1,MATCH(COLUMNS($AB$1006:AO1006),$AB$1006:$AQ$1006,0))&gt;=100000), " ",IF(INDEX($AB$2:$AQ$1001,MATCH(ROWS($U$2:U813),$U$2:$U$1001,0),MATCH(COLUMNS($AB$1006:AO1006),$AB$1006:$AQ$1006,0)), HYPERLINK("#",""), HYPERLINK(CONCATENATE("#Metadata!", ADDRESS(INDEX($W$2:$W$1001,MATCH(ROWS($U$2:U813),$U$2:$U$1001,0),0), INDEX($AB$1004:$AQ$1004,1,MATCH(COLUMNS($AB$1006:AO1006),$AB$1006:$AQ$1006,0)))),"Fix")))</f>
        <v>0</v>
      </c>
      <c r="P813" s="5">
        <f>IF(OR(INDEX($V$2:$V$1001,MATCH(ROWS($U$2:U813),$U$2:$U$1001,0),1)&gt;=100000,INDEX($AB$1005:$AQ$1005,1,MATCH(COLUMNS($AB$1006:AP1006),$AB$1006:$AQ$1006,0))&gt;=100000), " ",IF(INDEX($AB$2:$AQ$1001,MATCH(ROWS($U$2:U813),$U$2:$U$1001,0),MATCH(COLUMNS($AB$1006:AP1006),$AB$1006:$AQ$1006,0)), HYPERLINK("#",""), HYPERLINK(CONCATENATE("#Metadata!", ADDRESS(INDEX($W$2:$W$1001,MATCH(ROWS($U$2:U813),$U$2:$U$1001,0),0), INDEX($AB$1004:$AQ$1004,1,MATCH(COLUMNS($AB$1006:AP1006),$AB$1006:$AQ$1006,0)))),"Fix")))</f>
        <v>0</v>
      </c>
      <c r="Q813" s="5">
        <f>IF(OR(INDEX($V$2:$V$1001,MATCH(ROWS($U$2:U813),$U$2:$U$1001,0),1)&gt;=100000,INDEX($AB$1005:$AQ$1005,1,MATCH(COLUMNS($AB$1006:AQ1006),$AB$1006:$AQ$1006,0))&gt;=100000), " ",IF(INDEX($AB$2:$AQ$1001,MATCH(ROWS($U$2:U813),$U$2:$U$1001,0),MATCH(COLUMNS($AB$1006:AQ1006),$AB$1006:$AQ$1006,0)), HYPERLINK("#",""), HYPERLINK(CONCATENATE("#Metadata!", ADDRESS(INDEX($W$2:$W$1001,MATCH(ROWS($U$2:U813),$U$2:$U$1001,0),0), INDEX($AB$1004:$AQ$1004,1,MATCH(COLUMNS($AB$1006:AQ1006),$AB$1006:$AQ$1006,0)))),"Fix")))</f>
        <v>0</v>
      </c>
      <c r="U813">
        <v>0</v>
      </c>
      <c r="V813">
        <v>0</v>
      </c>
      <c r="W813">
        <v>0</v>
      </c>
      <c r="X813">
        <f>IF(Y813,TRUE,AND(AB813:AQ813))</f>
        <v>0</v>
      </c>
      <c r="Y813">
        <f>COUNTBLANK(Metadata!B813:Q813)=COLUMNS(Metadata!B813:Q813)</f>
        <v>0</v>
      </c>
      <c r="Z813">
        <v>0</v>
      </c>
      <c r="AB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AC813">
        <f>AND(IF(Metadata!C813="",FALSE,TRUE),exact(Metadata!C813,"urban biome"))</f>
        <v>0</v>
      </c>
      <c r="AD813">
        <f>AND(IF(Metadata!D813="",FALSE,TRUE),exact(Metadata!D813,"human-associated habitat"))</f>
        <v>0</v>
      </c>
      <c r="AE813">
        <f>AND(IF(Metadata!E813="",FALSE,TRUE),OR(exact(Metadata!E813,"human-associated"),exact(Metadata!E813,"human-skin"),exact(Metadata!E813,"human-oral"),exact(Metadata!E813,"human-gut"),exact(Metadata!E813,"human-vaginal")))</f>
        <v>0</v>
      </c>
      <c r="AF813">
        <f>AND(IF(Metadata!F813="",FALSE,ISNUMBER(VALUE(Metadata!F813))),Metadata!F813&gt;0)</f>
        <v>0</v>
      </c>
      <c r="AG813">
        <f>AND(IF(Metadata!G813="",FALSE,TRUE),exact(Metadata!G813,"years"))</f>
        <v>0</v>
      </c>
      <c r="AH813">
        <f>OR(AND(IF(Metadata!H813="",FALSE,TRUE),OR(exact(Metadata!H813,"not applicable"),exact(Metadata!H813,"not collected"),exact(Metadata!H813,"not provided"),exact(Metadata!H813,"restricted access"))),AND(IF(Metadata!H813="",FALSE,ISNUMBER(VALUE(Metadata!H813))),Metadata!H813&gt;0))</f>
        <v>0</v>
      </c>
      <c r="AI813">
        <f>AND(IF(Metadata!I813="",FALSE,TRUE),exact(Metadata!I813,"human"))</f>
        <v>0</v>
      </c>
      <c r="AJ813">
        <f>AND(IF(Metadata!J813="",FALSE,ISNUMBER(VALUE(Metadata!J813))),Metadata!J813&gt;0)</f>
        <v>0</v>
      </c>
      <c r="AK813">
        <f>AND(IF(Metadata!K813="",FALSE,TRUE),exact(Metadata!K813,"cm"))</f>
        <v>0</v>
      </c>
      <c r="AL813">
        <f>AND(IF(Metadata!L813="",FALSE,TRUE),exact(Metadata!L813,"Homo sapiens"))</f>
        <v>0</v>
      </c>
      <c r="AM813">
        <f>AND(IF(Metadata!M813="",FALSE,TRUE),exact(Metadata!M813,"9606"))</f>
        <v>0</v>
      </c>
      <c r="AN813">
        <f>AND(IF(Metadata!N813="",FALSE,ISNUMBER(VALUE(Metadata!N813))),Metadata!N813&gt;0)</f>
        <v>0</v>
      </c>
      <c r="AO813">
        <f>AND(IF(Metadata!O813="",FALSE,TRUE),exact(Metadata!O813,"kg"))</f>
        <v>0</v>
      </c>
      <c r="AP813">
        <f>OR(AND(IF(Metadata!P813="",FALSE,TRUE),exact(Metadata!P813,"not provided")),IF(Metadata!P813="",FALSE,TRUE))</f>
        <v>0</v>
      </c>
      <c r="AQ813">
        <f>OR(AND(IF(Metadata!Q813="",FALSE,TRUE),exact(Metadata!Q813,"not provided")),IF(Metadata!Q813="",FALSE,TRUE))</f>
        <v>0</v>
      </c>
    </row>
    <row r="814" spans="1:43">
      <c r="A814" s="4">
        <f>IF(B814=" "," ",HYPERLINK(CONCATENATE("#metadata!",ADDRESS(INDEX($W$2:$W$1001,MATCH(ROWS($U$2:U814),$U$2:$U$1001,0),0),2)),INDEX($Z$2:$Z$1001,MATCH(ROWS($U$2:U814),$U$2:$U$1001,0),0)))</f>
        <v>0</v>
      </c>
      <c r="B814" s="5">
        <f>IF(OR(INDEX($V$2:$V$1001,MATCH(ROWS($U$2:U814),$U$2:$U$1001,0),1)&gt;=100000,INDEX($AB$1005:$AQ$1005,1,MATCH(COLUMNS($AB$1006:AB1006),$AB$1006:$AQ$1006,0))&gt;=100000), " ",IF(INDEX($AB$2:$AQ$1001,MATCH(ROWS($U$2:U814),$U$2:$U$1001,0),MATCH(COLUMNS($AB$1006:AB1006),$AB$1006:$AQ$1006,0)), HYPERLINK("#",""), HYPERLINK(CONCATENATE("#Metadata!", ADDRESS(INDEX($W$2:$W$1001,MATCH(ROWS($U$2:U814),$U$2:$U$1001,0),0), INDEX($AB$1004:$AQ$1004,1,MATCH(COLUMNS($AB$1006:AB1006),$AB$1006:$AQ$1006,0)))),"Fix")))</f>
        <v>0</v>
      </c>
      <c r="C814" s="5">
        <f>IF(OR(INDEX($V$2:$V$1001,MATCH(ROWS($U$2:U814),$U$2:$U$1001,0),1)&gt;=100000,INDEX($AB$1005:$AQ$1005,1,MATCH(COLUMNS($AB$1006:AC1006),$AB$1006:$AQ$1006,0))&gt;=100000), " ",IF(INDEX($AB$2:$AQ$1001,MATCH(ROWS($U$2:U814),$U$2:$U$1001,0),MATCH(COLUMNS($AB$1006:AC1006),$AB$1006:$AQ$1006,0)), HYPERLINK("#",""), HYPERLINK(CONCATENATE("#Metadata!", ADDRESS(INDEX($W$2:$W$1001,MATCH(ROWS($U$2:U814),$U$2:$U$1001,0),0), INDEX($AB$1004:$AQ$1004,1,MATCH(COLUMNS($AB$1006:AC1006),$AB$1006:$AQ$1006,0)))),"Fix")))</f>
        <v>0</v>
      </c>
      <c r="D814" s="5">
        <f>IF(OR(INDEX($V$2:$V$1001,MATCH(ROWS($U$2:U814),$U$2:$U$1001,0),1)&gt;=100000,INDEX($AB$1005:$AQ$1005,1,MATCH(COLUMNS($AB$1006:AD1006),$AB$1006:$AQ$1006,0))&gt;=100000), " ",IF(INDEX($AB$2:$AQ$1001,MATCH(ROWS($U$2:U814),$U$2:$U$1001,0),MATCH(COLUMNS($AB$1006:AD1006),$AB$1006:$AQ$1006,0)), HYPERLINK("#",""), HYPERLINK(CONCATENATE("#Metadata!", ADDRESS(INDEX($W$2:$W$1001,MATCH(ROWS($U$2:U814),$U$2:$U$1001,0),0), INDEX($AB$1004:$AQ$1004,1,MATCH(COLUMNS($AB$1006:AD1006),$AB$1006:$AQ$1006,0)))),"Fix")))</f>
        <v>0</v>
      </c>
      <c r="E814" s="5">
        <f>IF(OR(INDEX($V$2:$V$1001,MATCH(ROWS($U$2:U814),$U$2:$U$1001,0),1)&gt;=100000,INDEX($AB$1005:$AQ$1005,1,MATCH(COLUMNS($AB$1006:AE1006),$AB$1006:$AQ$1006,0))&gt;=100000), " ",IF(INDEX($AB$2:$AQ$1001,MATCH(ROWS($U$2:U814),$U$2:$U$1001,0),MATCH(COLUMNS($AB$1006:AE1006),$AB$1006:$AQ$1006,0)), HYPERLINK("#",""), HYPERLINK(CONCATENATE("#Metadata!", ADDRESS(INDEX($W$2:$W$1001,MATCH(ROWS($U$2:U814),$U$2:$U$1001,0),0), INDEX($AB$1004:$AQ$1004,1,MATCH(COLUMNS($AB$1006:AE1006),$AB$1006:$AQ$1006,0)))),"Fix")))</f>
        <v>0</v>
      </c>
      <c r="F814" s="5">
        <f>IF(OR(INDEX($V$2:$V$1001,MATCH(ROWS($U$2:U814),$U$2:$U$1001,0),1)&gt;=100000,INDEX($AB$1005:$AQ$1005,1,MATCH(COLUMNS($AB$1006:AF1006),$AB$1006:$AQ$1006,0))&gt;=100000), " ",IF(INDEX($AB$2:$AQ$1001,MATCH(ROWS($U$2:U814),$U$2:$U$1001,0),MATCH(COLUMNS($AB$1006:AF1006),$AB$1006:$AQ$1006,0)), HYPERLINK("#",""), HYPERLINK(CONCATENATE("#Metadata!", ADDRESS(INDEX($W$2:$W$1001,MATCH(ROWS($U$2:U814),$U$2:$U$1001,0),0), INDEX($AB$1004:$AQ$1004,1,MATCH(COLUMNS($AB$1006:AF1006),$AB$1006:$AQ$1006,0)))),"Fix")))</f>
        <v>0</v>
      </c>
      <c r="G814" s="5">
        <f>IF(OR(INDEX($V$2:$V$1001,MATCH(ROWS($U$2:U814),$U$2:$U$1001,0),1)&gt;=100000,INDEX($AB$1005:$AQ$1005,1,MATCH(COLUMNS($AB$1006:AG1006),$AB$1006:$AQ$1006,0))&gt;=100000), " ",IF(INDEX($AB$2:$AQ$1001,MATCH(ROWS($U$2:U814),$U$2:$U$1001,0),MATCH(COLUMNS($AB$1006:AG1006),$AB$1006:$AQ$1006,0)), HYPERLINK("#",""), HYPERLINK(CONCATENATE("#Metadata!", ADDRESS(INDEX($W$2:$W$1001,MATCH(ROWS($U$2:U814),$U$2:$U$1001,0),0), INDEX($AB$1004:$AQ$1004,1,MATCH(COLUMNS($AB$1006:AG1006),$AB$1006:$AQ$1006,0)))),"Fix")))</f>
        <v>0</v>
      </c>
      <c r="H814" s="5">
        <f>IF(OR(INDEX($V$2:$V$1001,MATCH(ROWS($U$2:U814),$U$2:$U$1001,0),1)&gt;=100000,INDEX($AB$1005:$AQ$1005,1,MATCH(COLUMNS($AB$1006:AH1006),$AB$1006:$AQ$1006,0))&gt;=100000), " ",IF(INDEX($AB$2:$AQ$1001,MATCH(ROWS($U$2:U814),$U$2:$U$1001,0),MATCH(COLUMNS($AB$1006:AH1006),$AB$1006:$AQ$1006,0)), HYPERLINK("#",""), HYPERLINK(CONCATENATE("#Metadata!", ADDRESS(INDEX($W$2:$W$1001,MATCH(ROWS($U$2:U814),$U$2:$U$1001,0),0), INDEX($AB$1004:$AQ$1004,1,MATCH(COLUMNS($AB$1006:AH1006),$AB$1006:$AQ$1006,0)))),"Fix")))</f>
        <v>0</v>
      </c>
      <c r="I814" s="5">
        <f>IF(OR(INDEX($V$2:$V$1001,MATCH(ROWS($U$2:U814),$U$2:$U$1001,0),1)&gt;=100000,INDEX($AB$1005:$AQ$1005,1,MATCH(COLUMNS($AB$1006:AI1006),$AB$1006:$AQ$1006,0))&gt;=100000), " ",IF(INDEX($AB$2:$AQ$1001,MATCH(ROWS($U$2:U814),$U$2:$U$1001,0),MATCH(COLUMNS($AB$1006:AI1006),$AB$1006:$AQ$1006,0)), HYPERLINK("#",""), HYPERLINK(CONCATENATE("#Metadata!", ADDRESS(INDEX($W$2:$W$1001,MATCH(ROWS($U$2:U814),$U$2:$U$1001,0),0), INDEX($AB$1004:$AQ$1004,1,MATCH(COLUMNS($AB$1006:AI1006),$AB$1006:$AQ$1006,0)))),"Fix")))</f>
        <v>0</v>
      </c>
      <c r="J814" s="5">
        <f>IF(OR(INDEX($V$2:$V$1001,MATCH(ROWS($U$2:U814),$U$2:$U$1001,0),1)&gt;=100000,INDEX($AB$1005:$AQ$1005,1,MATCH(COLUMNS($AB$1006:AJ1006),$AB$1006:$AQ$1006,0))&gt;=100000), " ",IF(INDEX($AB$2:$AQ$1001,MATCH(ROWS($U$2:U814),$U$2:$U$1001,0),MATCH(COLUMNS($AB$1006:AJ1006),$AB$1006:$AQ$1006,0)), HYPERLINK("#",""), HYPERLINK(CONCATENATE("#Metadata!", ADDRESS(INDEX($W$2:$W$1001,MATCH(ROWS($U$2:U814),$U$2:$U$1001,0),0), INDEX($AB$1004:$AQ$1004,1,MATCH(COLUMNS($AB$1006:AJ1006),$AB$1006:$AQ$1006,0)))),"Fix")))</f>
        <v>0</v>
      </c>
      <c r="K814" s="5">
        <f>IF(OR(INDEX($V$2:$V$1001,MATCH(ROWS($U$2:U814),$U$2:$U$1001,0),1)&gt;=100000,INDEX($AB$1005:$AQ$1005,1,MATCH(COLUMNS($AB$1006:AK1006),$AB$1006:$AQ$1006,0))&gt;=100000), " ",IF(INDEX($AB$2:$AQ$1001,MATCH(ROWS($U$2:U814),$U$2:$U$1001,0),MATCH(COLUMNS($AB$1006:AK1006),$AB$1006:$AQ$1006,0)), HYPERLINK("#",""), HYPERLINK(CONCATENATE("#Metadata!", ADDRESS(INDEX($W$2:$W$1001,MATCH(ROWS($U$2:U814),$U$2:$U$1001,0),0), INDEX($AB$1004:$AQ$1004,1,MATCH(COLUMNS($AB$1006:AK1006),$AB$1006:$AQ$1006,0)))),"Fix")))</f>
        <v>0</v>
      </c>
      <c r="L814" s="5">
        <f>IF(OR(INDEX($V$2:$V$1001,MATCH(ROWS($U$2:U814),$U$2:$U$1001,0),1)&gt;=100000,INDEX($AB$1005:$AQ$1005,1,MATCH(COLUMNS($AB$1006:AL1006),$AB$1006:$AQ$1006,0))&gt;=100000), " ",IF(INDEX($AB$2:$AQ$1001,MATCH(ROWS($U$2:U814),$U$2:$U$1001,0),MATCH(COLUMNS($AB$1006:AL1006),$AB$1006:$AQ$1006,0)), HYPERLINK("#",""), HYPERLINK(CONCATENATE("#Metadata!", ADDRESS(INDEX($W$2:$W$1001,MATCH(ROWS($U$2:U814),$U$2:$U$1001,0),0), INDEX($AB$1004:$AQ$1004,1,MATCH(COLUMNS($AB$1006:AL1006),$AB$1006:$AQ$1006,0)))),"Fix")))</f>
        <v>0</v>
      </c>
      <c r="M814" s="5">
        <f>IF(OR(INDEX($V$2:$V$1001,MATCH(ROWS($U$2:U814),$U$2:$U$1001,0),1)&gt;=100000,INDEX($AB$1005:$AQ$1005,1,MATCH(COLUMNS($AB$1006:AM1006),$AB$1006:$AQ$1006,0))&gt;=100000), " ",IF(INDEX($AB$2:$AQ$1001,MATCH(ROWS($U$2:U814),$U$2:$U$1001,0),MATCH(COLUMNS($AB$1006:AM1006),$AB$1006:$AQ$1006,0)), HYPERLINK("#",""), HYPERLINK(CONCATENATE("#Metadata!", ADDRESS(INDEX($W$2:$W$1001,MATCH(ROWS($U$2:U814),$U$2:$U$1001,0),0), INDEX($AB$1004:$AQ$1004,1,MATCH(COLUMNS($AB$1006:AM1006),$AB$1006:$AQ$1006,0)))),"Fix")))</f>
        <v>0</v>
      </c>
      <c r="N814" s="5">
        <f>IF(OR(INDEX($V$2:$V$1001,MATCH(ROWS($U$2:U814),$U$2:$U$1001,0),1)&gt;=100000,INDEX($AB$1005:$AQ$1005,1,MATCH(COLUMNS($AB$1006:AN1006),$AB$1006:$AQ$1006,0))&gt;=100000), " ",IF(INDEX($AB$2:$AQ$1001,MATCH(ROWS($U$2:U814),$U$2:$U$1001,0),MATCH(COLUMNS($AB$1006:AN1006),$AB$1006:$AQ$1006,0)), HYPERLINK("#",""), HYPERLINK(CONCATENATE("#Metadata!", ADDRESS(INDEX($W$2:$W$1001,MATCH(ROWS($U$2:U814),$U$2:$U$1001,0),0), INDEX($AB$1004:$AQ$1004,1,MATCH(COLUMNS($AB$1006:AN1006),$AB$1006:$AQ$1006,0)))),"Fix")))</f>
        <v>0</v>
      </c>
      <c r="O814" s="5">
        <f>IF(OR(INDEX($V$2:$V$1001,MATCH(ROWS($U$2:U814),$U$2:$U$1001,0),1)&gt;=100000,INDEX($AB$1005:$AQ$1005,1,MATCH(COLUMNS($AB$1006:AO1006),$AB$1006:$AQ$1006,0))&gt;=100000), " ",IF(INDEX($AB$2:$AQ$1001,MATCH(ROWS($U$2:U814),$U$2:$U$1001,0),MATCH(COLUMNS($AB$1006:AO1006),$AB$1006:$AQ$1006,0)), HYPERLINK("#",""), HYPERLINK(CONCATENATE("#Metadata!", ADDRESS(INDEX($W$2:$W$1001,MATCH(ROWS($U$2:U814),$U$2:$U$1001,0),0), INDEX($AB$1004:$AQ$1004,1,MATCH(COLUMNS($AB$1006:AO1006),$AB$1006:$AQ$1006,0)))),"Fix")))</f>
        <v>0</v>
      </c>
      <c r="P814" s="5">
        <f>IF(OR(INDEX($V$2:$V$1001,MATCH(ROWS($U$2:U814),$U$2:$U$1001,0),1)&gt;=100000,INDEX($AB$1005:$AQ$1005,1,MATCH(COLUMNS($AB$1006:AP1006),$AB$1006:$AQ$1006,0))&gt;=100000), " ",IF(INDEX($AB$2:$AQ$1001,MATCH(ROWS($U$2:U814),$U$2:$U$1001,0),MATCH(COLUMNS($AB$1006:AP1006),$AB$1006:$AQ$1006,0)), HYPERLINK("#",""), HYPERLINK(CONCATENATE("#Metadata!", ADDRESS(INDEX($W$2:$W$1001,MATCH(ROWS($U$2:U814),$U$2:$U$1001,0),0), INDEX($AB$1004:$AQ$1004,1,MATCH(COLUMNS($AB$1006:AP1006),$AB$1006:$AQ$1006,0)))),"Fix")))</f>
        <v>0</v>
      </c>
      <c r="Q814" s="5">
        <f>IF(OR(INDEX($V$2:$V$1001,MATCH(ROWS($U$2:U814),$U$2:$U$1001,0),1)&gt;=100000,INDEX($AB$1005:$AQ$1005,1,MATCH(COLUMNS($AB$1006:AQ1006),$AB$1006:$AQ$1006,0))&gt;=100000), " ",IF(INDEX($AB$2:$AQ$1001,MATCH(ROWS($U$2:U814),$U$2:$U$1001,0),MATCH(COLUMNS($AB$1006:AQ1006),$AB$1006:$AQ$1006,0)), HYPERLINK("#",""), HYPERLINK(CONCATENATE("#Metadata!", ADDRESS(INDEX($W$2:$W$1001,MATCH(ROWS($U$2:U814),$U$2:$U$1001,0),0), INDEX($AB$1004:$AQ$1004,1,MATCH(COLUMNS($AB$1006:AQ1006),$AB$1006:$AQ$1006,0)))),"Fix")))</f>
        <v>0</v>
      </c>
      <c r="U814">
        <v>0</v>
      </c>
      <c r="V814">
        <v>0</v>
      </c>
      <c r="W814">
        <v>0</v>
      </c>
      <c r="X814">
        <f>IF(Y814,TRUE,AND(AB814:AQ814))</f>
        <v>0</v>
      </c>
      <c r="Y814">
        <f>COUNTBLANK(Metadata!B814:Q814)=COLUMNS(Metadata!B814:Q814)</f>
        <v>0</v>
      </c>
      <c r="Z814">
        <v>0</v>
      </c>
      <c r="AB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AC814">
        <f>AND(IF(Metadata!C814="",FALSE,TRUE),exact(Metadata!C814,"urban biome"))</f>
        <v>0</v>
      </c>
      <c r="AD814">
        <f>AND(IF(Metadata!D814="",FALSE,TRUE),exact(Metadata!D814,"human-associated habitat"))</f>
        <v>0</v>
      </c>
      <c r="AE814">
        <f>AND(IF(Metadata!E814="",FALSE,TRUE),OR(exact(Metadata!E814,"human-associated"),exact(Metadata!E814,"human-skin"),exact(Metadata!E814,"human-oral"),exact(Metadata!E814,"human-gut"),exact(Metadata!E814,"human-vaginal")))</f>
        <v>0</v>
      </c>
      <c r="AF814">
        <f>AND(IF(Metadata!F814="",FALSE,ISNUMBER(VALUE(Metadata!F814))),Metadata!F814&gt;0)</f>
        <v>0</v>
      </c>
      <c r="AG814">
        <f>AND(IF(Metadata!G814="",FALSE,TRUE),exact(Metadata!G814,"years"))</f>
        <v>0</v>
      </c>
      <c r="AH814">
        <f>OR(AND(IF(Metadata!H814="",FALSE,TRUE),OR(exact(Metadata!H814,"not applicable"),exact(Metadata!H814,"not collected"),exact(Metadata!H814,"not provided"),exact(Metadata!H814,"restricted access"))),AND(IF(Metadata!H814="",FALSE,ISNUMBER(VALUE(Metadata!H814))),Metadata!H814&gt;0))</f>
        <v>0</v>
      </c>
      <c r="AI814">
        <f>AND(IF(Metadata!I814="",FALSE,TRUE),exact(Metadata!I814,"human"))</f>
        <v>0</v>
      </c>
      <c r="AJ814">
        <f>AND(IF(Metadata!J814="",FALSE,ISNUMBER(VALUE(Metadata!J814))),Metadata!J814&gt;0)</f>
        <v>0</v>
      </c>
      <c r="AK814">
        <f>AND(IF(Metadata!K814="",FALSE,TRUE),exact(Metadata!K814,"cm"))</f>
        <v>0</v>
      </c>
      <c r="AL814">
        <f>AND(IF(Metadata!L814="",FALSE,TRUE),exact(Metadata!L814,"Homo sapiens"))</f>
        <v>0</v>
      </c>
      <c r="AM814">
        <f>AND(IF(Metadata!M814="",FALSE,TRUE),exact(Metadata!M814,"9606"))</f>
        <v>0</v>
      </c>
      <c r="AN814">
        <f>AND(IF(Metadata!N814="",FALSE,ISNUMBER(VALUE(Metadata!N814))),Metadata!N814&gt;0)</f>
        <v>0</v>
      </c>
      <c r="AO814">
        <f>AND(IF(Metadata!O814="",FALSE,TRUE),exact(Metadata!O814,"kg"))</f>
        <v>0</v>
      </c>
      <c r="AP814">
        <f>OR(AND(IF(Metadata!P814="",FALSE,TRUE),exact(Metadata!P814,"not provided")),IF(Metadata!P814="",FALSE,TRUE))</f>
        <v>0</v>
      </c>
      <c r="AQ814">
        <f>OR(AND(IF(Metadata!Q814="",FALSE,TRUE),exact(Metadata!Q814,"not provided")),IF(Metadata!Q814="",FALSE,TRUE))</f>
        <v>0</v>
      </c>
    </row>
    <row r="815" spans="1:43">
      <c r="A815" s="4">
        <f>IF(B815=" "," ",HYPERLINK(CONCATENATE("#metadata!",ADDRESS(INDEX($W$2:$W$1001,MATCH(ROWS($U$2:U815),$U$2:$U$1001,0),0),2)),INDEX($Z$2:$Z$1001,MATCH(ROWS($U$2:U815),$U$2:$U$1001,0),0)))</f>
        <v>0</v>
      </c>
      <c r="B815" s="5">
        <f>IF(OR(INDEX($V$2:$V$1001,MATCH(ROWS($U$2:U815),$U$2:$U$1001,0),1)&gt;=100000,INDEX($AB$1005:$AQ$1005,1,MATCH(COLUMNS($AB$1006:AB1006),$AB$1006:$AQ$1006,0))&gt;=100000), " ",IF(INDEX($AB$2:$AQ$1001,MATCH(ROWS($U$2:U815),$U$2:$U$1001,0),MATCH(COLUMNS($AB$1006:AB1006),$AB$1006:$AQ$1006,0)), HYPERLINK("#",""), HYPERLINK(CONCATENATE("#Metadata!", ADDRESS(INDEX($W$2:$W$1001,MATCH(ROWS($U$2:U815),$U$2:$U$1001,0),0), INDEX($AB$1004:$AQ$1004,1,MATCH(COLUMNS($AB$1006:AB1006),$AB$1006:$AQ$1006,0)))),"Fix")))</f>
        <v>0</v>
      </c>
      <c r="C815" s="5">
        <f>IF(OR(INDEX($V$2:$V$1001,MATCH(ROWS($U$2:U815),$U$2:$U$1001,0),1)&gt;=100000,INDEX($AB$1005:$AQ$1005,1,MATCH(COLUMNS($AB$1006:AC1006),$AB$1006:$AQ$1006,0))&gt;=100000), " ",IF(INDEX($AB$2:$AQ$1001,MATCH(ROWS($U$2:U815),$U$2:$U$1001,0),MATCH(COLUMNS($AB$1006:AC1006),$AB$1006:$AQ$1006,0)), HYPERLINK("#",""), HYPERLINK(CONCATENATE("#Metadata!", ADDRESS(INDEX($W$2:$W$1001,MATCH(ROWS($U$2:U815),$U$2:$U$1001,0),0), INDEX($AB$1004:$AQ$1004,1,MATCH(COLUMNS($AB$1006:AC1006),$AB$1006:$AQ$1006,0)))),"Fix")))</f>
        <v>0</v>
      </c>
      <c r="D815" s="5">
        <f>IF(OR(INDEX($V$2:$V$1001,MATCH(ROWS($U$2:U815),$U$2:$U$1001,0),1)&gt;=100000,INDEX($AB$1005:$AQ$1005,1,MATCH(COLUMNS($AB$1006:AD1006),$AB$1006:$AQ$1006,0))&gt;=100000), " ",IF(INDEX($AB$2:$AQ$1001,MATCH(ROWS($U$2:U815),$U$2:$U$1001,0),MATCH(COLUMNS($AB$1006:AD1006),$AB$1006:$AQ$1006,0)), HYPERLINK("#",""), HYPERLINK(CONCATENATE("#Metadata!", ADDRESS(INDEX($W$2:$W$1001,MATCH(ROWS($U$2:U815),$U$2:$U$1001,0),0), INDEX($AB$1004:$AQ$1004,1,MATCH(COLUMNS($AB$1006:AD1006),$AB$1006:$AQ$1006,0)))),"Fix")))</f>
        <v>0</v>
      </c>
      <c r="E815" s="5">
        <f>IF(OR(INDEX($V$2:$V$1001,MATCH(ROWS($U$2:U815),$U$2:$U$1001,0),1)&gt;=100000,INDEX($AB$1005:$AQ$1005,1,MATCH(COLUMNS($AB$1006:AE1006),$AB$1006:$AQ$1006,0))&gt;=100000), " ",IF(INDEX($AB$2:$AQ$1001,MATCH(ROWS($U$2:U815),$U$2:$U$1001,0),MATCH(COLUMNS($AB$1006:AE1006),$AB$1006:$AQ$1006,0)), HYPERLINK("#",""), HYPERLINK(CONCATENATE("#Metadata!", ADDRESS(INDEX($W$2:$W$1001,MATCH(ROWS($U$2:U815),$U$2:$U$1001,0),0), INDEX($AB$1004:$AQ$1004,1,MATCH(COLUMNS($AB$1006:AE1006),$AB$1006:$AQ$1006,0)))),"Fix")))</f>
        <v>0</v>
      </c>
      <c r="F815" s="5">
        <f>IF(OR(INDEX($V$2:$V$1001,MATCH(ROWS($U$2:U815),$U$2:$U$1001,0),1)&gt;=100000,INDEX($AB$1005:$AQ$1005,1,MATCH(COLUMNS($AB$1006:AF1006),$AB$1006:$AQ$1006,0))&gt;=100000), " ",IF(INDEX($AB$2:$AQ$1001,MATCH(ROWS($U$2:U815),$U$2:$U$1001,0),MATCH(COLUMNS($AB$1006:AF1006),$AB$1006:$AQ$1006,0)), HYPERLINK("#",""), HYPERLINK(CONCATENATE("#Metadata!", ADDRESS(INDEX($W$2:$W$1001,MATCH(ROWS($U$2:U815),$U$2:$U$1001,0),0), INDEX($AB$1004:$AQ$1004,1,MATCH(COLUMNS($AB$1006:AF1006),$AB$1006:$AQ$1006,0)))),"Fix")))</f>
        <v>0</v>
      </c>
      <c r="G815" s="5">
        <f>IF(OR(INDEX($V$2:$V$1001,MATCH(ROWS($U$2:U815),$U$2:$U$1001,0),1)&gt;=100000,INDEX($AB$1005:$AQ$1005,1,MATCH(COLUMNS($AB$1006:AG1006),$AB$1006:$AQ$1006,0))&gt;=100000), " ",IF(INDEX($AB$2:$AQ$1001,MATCH(ROWS($U$2:U815),$U$2:$U$1001,0),MATCH(COLUMNS($AB$1006:AG1006),$AB$1006:$AQ$1006,0)), HYPERLINK("#",""), HYPERLINK(CONCATENATE("#Metadata!", ADDRESS(INDEX($W$2:$W$1001,MATCH(ROWS($U$2:U815),$U$2:$U$1001,0),0), INDEX($AB$1004:$AQ$1004,1,MATCH(COLUMNS($AB$1006:AG1006),$AB$1006:$AQ$1006,0)))),"Fix")))</f>
        <v>0</v>
      </c>
      <c r="H815" s="5">
        <f>IF(OR(INDEX($V$2:$V$1001,MATCH(ROWS($U$2:U815),$U$2:$U$1001,0),1)&gt;=100000,INDEX($AB$1005:$AQ$1005,1,MATCH(COLUMNS($AB$1006:AH1006),$AB$1006:$AQ$1006,0))&gt;=100000), " ",IF(INDEX($AB$2:$AQ$1001,MATCH(ROWS($U$2:U815),$U$2:$U$1001,0),MATCH(COLUMNS($AB$1006:AH1006),$AB$1006:$AQ$1006,0)), HYPERLINK("#",""), HYPERLINK(CONCATENATE("#Metadata!", ADDRESS(INDEX($W$2:$W$1001,MATCH(ROWS($U$2:U815),$U$2:$U$1001,0),0), INDEX($AB$1004:$AQ$1004,1,MATCH(COLUMNS($AB$1006:AH1006),$AB$1006:$AQ$1006,0)))),"Fix")))</f>
        <v>0</v>
      </c>
      <c r="I815" s="5">
        <f>IF(OR(INDEX($V$2:$V$1001,MATCH(ROWS($U$2:U815),$U$2:$U$1001,0),1)&gt;=100000,INDEX($AB$1005:$AQ$1005,1,MATCH(COLUMNS($AB$1006:AI1006),$AB$1006:$AQ$1006,0))&gt;=100000), " ",IF(INDEX($AB$2:$AQ$1001,MATCH(ROWS($U$2:U815),$U$2:$U$1001,0),MATCH(COLUMNS($AB$1006:AI1006),$AB$1006:$AQ$1006,0)), HYPERLINK("#",""), HYPERLINK(CONCATENATE("#Metadata!", ADDRESS(INDEX($W$2:$W$1001,MATCH(ROWS($U$2:U815),$U$2:$U$1001,0),0), INDEX($AB$1004:$AQ$1004,1,MATCH(COLUMNS($AB$1006:AI1006),$AB$1006:$AQ$1006,0)))),"Fix")))</f>
        <v>0</v>
      </c>
      <c r="J815" s="5">
        <f>IF(OR(INDEX($V$2:$V$1001,MATCH(ROWS($U$2:U815),$U$2:$U$1001,0),1)&gt;=100000,INDEX($AB$1005:$AQ$1005,1,MATCH(COLUMNS($AB$1006:AJ1006),$AB$1006:$AQ$1006,0))&gt;=100000), " ",IF(INDEX($AB$2:$AQ$1001,MATCH(ROWS($U$2:U815),$U$2:$U$1001,0),MATCH(COLUMNS($AB$1006:AJ1006),$AB$1006:$AQ$1006,0)), HYPERLINK("#",""), HYPERLINK(CONCATENATE("#Metadata!", ADDRESS(INDEX($W$2:$W$1001,MATCH(ROWS($U$2:U815),$U$2:$U$1001,0),0), INDEX($AB$1004:$AQ$1004,1,MATCH(COLUMNS($AB$1006:AJ1006),$AB$1006:$AQ$1006,0)))),"Fix")))</f>
        <v>0</v>
      </c>
      <c r="K815" s="5">
        <f>IF(OR(INDEX($V$2:$V$1001,MATCH(ROWS($U$2:U815),$U$2:$U$1001,0),1)&gt;=100000,INDEX($AB$1005:$AQ$1005,1,MATCH(COLUMNS($AB$1006:AK1006),$AB$1006:$AQ$1006,0))&gt;=100000), " ",IF(INDEX($AB$2:$AQ$1001,MATCH(ROWS($U$2:U815),$U$2:$U$1001,0),MATCH(COLUMNS($AB$1006:AK1006),$AB$1006:$AQ$1006,0)), HYPERLINK("#",""), HYPERLINK(CONCATENATE("#Metadata!", ADDRESS(INDEX($W$2:$W$1001,MATCH(ROWS($U$2:U815),$U$2:$U$1001,0),0), INDEX($AB$1004:$AQ$1004,1,MATCH(COLUMNS($AB$1006:AK1006),$AB$1006:$AQ$1006,0)))),"Fix")))</f>
        <v>0</v>
      </c>
      <c r="L815" s="5">
        <f>IF(OR(INDEX($V$2:$V$1001,MATCH(ROWS($U$2:U815),$U$2:$U$1001,0),1)&gt;=100000,INDEX($AB$1005:$AQ$1005,1,MATCH(COLUMNS($AB$1006:AL1006),$AB$1006:$AQ$1006,0))&gt;=100000), " ",IF(INDEX($AB$2:$AQ$1001,MATCH(ROWS($U$2:U815),$U$2:$U$1001,0),MATCH(COLUMNS($AB$1006:AL1006),$AB$1006:$AQ$1006,0)), HYPERLINK("#",""), HYPERLINK(CONCATENATE("#Metadata!", ADDRESS(INDEX($W$2:$W$1001,MATCH(ROWS($U$2:U815),$U$2:$U$1001,0),0), INDEX($AB$1004:$AQ$1004,1,MATCH(COLUMNS($AB$1006:AL1006),$AB$1006:$AQ$1006,0)))),"Fix")))</f>
        <v>0</v>
      </c>
      <c r="M815" s="5">
        <f>IF(OR(INDEX($V$2:$V$1001,MATCH(ROWS($U$2:U815),$U$2:$U$1001,0),1)&gt;=100000,INDEX($AB$1005:$AQ$1005,1,MATCH(COLUMNS($AB$1006:AM1006),$AB$1006:$AQ$1006,0))&gt;=100000), " ",IF(INDEX($AB$2:$AQ$1001,MATCH(ROWS($U$2:U815),$U$2:$U$1001,0),MATCH(COLUMNS($AB$1006:AM1006),$AB$1006:$AQ$1006,0)), HYPERLINK("#",""), HYPERLINK(CONCATENATE("#Metadata!", ADDRESS(INDEX($W$2:$W$1001,MATCH(ROWS($U$2:U815),$U$2:$U$1001,0),0), INDEX($AB$1004:$AQ$1004,1,MATCH(COLUMNS($AB$1006:AM1006),$AB$1006:$AQ$1006,0)))),"Fix")))</f>
        <v>0</v>
      </c>
      <c r="N815" s="5">
        <f>IF(OR(INDEX($V$2:$V$1001,MATCH(ROWS($U$2:U815),$U$2:$U$1001,0),1)&gt;=100000,INDEX($AB$1005:$AQ$1005,1,MATCH(COLUMNS($AB$1006:AN1006),$AB$1006:$AQ$1006,0))&gt;=100000), " ",IF(INDEX($AB$2:$AQ$1001,MATCH(ROWS($U$2:U815),$U$2:$U$1001,0),MATCH(COLUMNS($AB$1006:AN1006),$AB$1006:$AQ$1006,0)), HYPERLINK("#",""), HYPERLINK(CONCATENATE("#Metadata!", ADDRESS(INDEX($W$2:$W$1001,MATCH(ROWS($U$2:U815),$U$2:$U$1001,0),0), INDEX($AB$1004:$AQ$1004,1,MATCH(COLUMNS($AB$1006:AN1006),$AB$1006:$AQ$1006,0)))),"Fix")))</f>
        <v>0</v>
      </c>
      <c r="O815" s="5">
        <f>IF(OR(INDEX($V$2:$V$1001,MATCH(ROWS($U$2:U815),$U$2:$U$1001,0),1)&gt;=100000,INDEX($AB$1005:$AQ$1005,1,MATCH(COLUMNS($AB$1006:AO1006),$AB$1006:$AQ$1006,0))&gt;=100000), " ",IF(INDEX($AB$2:$AQ$1001,MATCH(ROWS($U$2:U815),$U$2:$U$1001,0),MATCH(COLUMNS($AB$1006:AO1006),$AB$1006:$AQ$1006,0)), HYPERLINK("#",""), HYPERLINK(CONCATENATE("#Metadata!", ADDRESS(INDEX($W$2:$W$1001,MATCH(ROWS($U$2:U815),$U$2:$U$1001,0),0), INDEX($AB$1004:$AQ$1004,1,MATCH(COLUMNS($AB$1006:AO1006),$AB$1006:$AQ$1006,0)))),"Fix")))</f>
        <v>0</v>
      </c>
      <c r="P815" s="5">
        <f>IF(OR(INDEX($V$2:$V$1001,MATCH(ROWS($U$2:U815),$U$2:$U$1001,0),1)&gt;=100000,INDEX($AB$1005:$AQ$1005,1,MATCH(COLUMNS($AB$1006:AP1006),$AB$1006:$AQ$1006,0))&gt;=100000), " ",IF(INDEX($AB$2:$AQ$1001,MATCH(ROWS($U$2:U815),$U$2:$U$1001,0),MATCH(COLUMNS($AB$1006:AP1006),$AB$1006:$AQ$1006,0)), HYPERLINK("#",""), HYPERLINK(CONCATENATE("#Metadata!", ADDRESS(INDEX($W$2:$W$1001,MATCH(ROWS($U$2:U815),$U$2:$U$1001,0),0), INDEX($AB$1004:$AQ$1004,1,MATCH(COLUMNS($AB$1006:AP1006),$AB$1006:$AQ$1006,0)))),"Fix")))</f>
        <v>0</v>
      </c>
      <c r="Q815" s="5">
        <f>IF(OR(INDEX($V$2:$V$1001,MATCH(ROWS($U$2:U815),$U$2:$U$1001,0),1)&gt;=100000,INDEX($AB$1005:$AQ$1005,1,MATCH(COLUMNS($AB$1006:AQ1006),$AB$1006:$AQ$1006,0))&gt;=100000), " ",IF(INDEX($AB$2:$AQ$1001,MATCH(ROWS($U$2:U815),$U$2:$U$1001,0),MATCH(COLUMNS($AB$1006:AQ1006),$AB$1006:$AQ$1006,0)), HYPERLINK("#",""), HYPERLINK(CONCATENATE("#Metadata!", ADDRESS(INDEX($W$2:$W$1001,MATCH(ROWS($U$2:U815),$U$2:$U$1001,0),0), INDEX($AB$1004:$AQ$1004,1,MATCH(COLUMNS($AB$1006:AQ1006),$AB$1006:$AQ$1006,0)))),"Fix")))</f>
        <v>0</v>
      </c>
      <c r="U815">
        <v>0</v>
      </c>
      <c r="V815">
        <v>0</v>
      </c>
      <c r="W815">
        <v>0</v>
      </c>
      <c r="X815">
        <f>IF(Y815,TRUE,AND(AB815:AQ815))</f>
        <v>0</v>
      </c>
      <c r="Y815">
        <f>COUNTBLANK(Metadata!B815:Q815)=COLUMNS(Metadata!B815:Q815)</f>
        <v>0</v>
      </c>
      <c r="Z815">
        <v>0</v>
      </c>
      <c r="AB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AC815">
        <f>AND(IF(Metadata!C815="",FALSE,TRUE),exact(Metadata!C815,"urban biome"))</f>
        <v>0</v>
      </c>
      <c r="AD815">
        <f>AND(IF(Metadata!D815="",FALSE,TRUE),exact(Metadata!D815,"human-associated habitat"))</f>
        <v>0</v>
      </c>
      <c r="AE815">
        <f>AND(IF(Metadata!E815="",FALSE,TRUE),OR(exact(Metadata!E815,"human-associated"),exact(Metadata!E815,"human-skin"),exact(Metadata!E815,"human-oral"),exact(Metadata!E815,"human-gut"),exact(Metadata!E815,"human-vaginal")))</f>
        <v>0</v>
      </c>
      <c r="AF815">
        <f>AND(IF(Metadata!F815="",FALSE,ISNUMBER(VALUE(Metadata!F815))),Metadata!F815&gt;0)</f>
        <v>0</v>
      </c>
      <c r="AG815">
        <f>AND(IF(Metadata!G815="",FALSE,TRUE),exact(Metadata!G815,"years"))</f>
        <v>0</v>
      </c>
      <c r="AH815">
        <f>OR(AND(IF(Metadata!H815="",FALSE,TRUE),OR(exact(Metadata!H815,"not applicable"),exact(Metadata!H815,"not collected"),exact(Metadata!H815,"not provided"),exact(Metadata!H815,"restricted access"))),AND(IF(Metadata!H815="",FALSE,ISNUMBER(VALUE(Metadata!H815))),Metadata!H815&gt;0))</f>
        <v>0</v>
      </c>
      <c r="AI815">
        <f>AND(IF(Metadata!I815="",FALSE,TRUE),exact(Metadata!I815,"human"))</f>
        <v>0</v>
      </c>
      <c r="AJ815">
        <f>AND(IF(Metadata!J815="",FALSE,ISNUMBER(VALUE(Metadata!J815))),Metadata!J815&gt;0)</f>
        <v>0</v>
      </c>
      <c r="AK815">
        <f>AND(IF(Metadata!K815="",FALSE,TRUE),exact(Metadata!K815,"cm"))</f>
        <v>0</v>
      </c>
      <c r="AL815">
        <f>AND(IF(Metadata!L815="",FALSE,TRUE),exact(Metadata!L815,"Homo sapiens"))</f>
        <v>0</v>
      </c>
      <c r="AM815">
        <f>AND(IF(Metadata!M815="",FALSE,TRUE),exact(Metadata!M815,"9606"))</f>
        <v>0</v>
      </c>
      <c r="AN815">
        <f>AND(IF(Metadata!N815="",FALSE,ISNUMBER(VALUE(Metadata!N815))),Metadata!N815&gt;0)</f>
        <v>0</v>
      </c>
      <c r="AO815">
        <f>AND(IF(Metadata!O815="",FALSE,TRUE),exact(Metadata!O815,"kg"))</f>
        <v>0</v>
      </c>
      <c r="AP815">
        <f>OR(AND(IF(Metadata!P815="",FALSE,TRUE),exact(Metadata!P815,"not provided")),IF(Metadata!P815="",FALSE,TRUE))</f>
        <v>0</v>
      </c>
      <c r="AQ815">
        <f>OR(AND(IF(Metadata!Q815="",FALSE,TRUE),exact(Metadata!Q815,"not provided")),IF(Metadata!Q815="",FALSE,TRUE))</f>
        <v>0</v>
      </c>
    </row>
    <row r="816" spans="1:43">
      <c r="A816" s="4">
        <f>IF(B816=" "," ",HYPERLINK(CONCATENATE("#metadata!",ADDRESS(INDEX($W$2:$W$1001,MATCH(ROWS($U$2:U816),$U$2:$U$1001,0),0),2)),INDEX($Z$2:$Z$1001,MATCH(ROWS($U$2:U816),$U$2:$U$1001,0),0)))</f>
        <v>0</v>
      </c>
      <c r="B816" s="5">
        <f>IF(OR(INDEX($V$2:$V$1001,MATCH(ROWS($U$2:U816),$U$2:$U$1001,0),1)&gt;=100000,INDEX($AB$1005:$AQ$1005,1,MATCH(COLUMNS($AB$1006:AB1006),$AB$1006:$AQ$1006,0))&gt;=100000), " ",IF(INDEX($AB$2:$AQ$1001,MATCH(ROWS($U$2:U816),$U$2:$U$1001,0),MATCH(COLUMNS($AB$1006:AB1006),$AB$1006:$AQ$1006,0)), HYPERLINK("#",""), HYPERLINK(CONCATENATE("#Metadata!", ADDRESS(INDEX($W$2:$W$1001,MATCH(ROWS($U$2:U816),$U$2:$U$1001,0),0), INDEX($AB$1004:$AQ$1004,1,MATCH(COLUMNS($AB$1006:AB1006),$AB$1006:$AQ$1006,0)))),"Fix")))</f>
        <v>0</v>
      </c>
      <c r="C816" s="5">
        <f>IF(OR(INDEX($V$2:$V$1001,MATCH(ROWS($U$2:U816),$U$2:$U$1001,0),1)&gt;=100000,INDEX($AB$1005:$AQ$1005,1,MATCH(COLUMNS($AB$1006:AC1006),$AB$1006:$AQ$1006,0))&gt;=100000), " ",IF(INDEX($AB$2:$AQ$1001,MATCH(ROWS($U$2:U816),$U$2:$U$1001,0),MATCH(COLUMNS($AB$1006:AC1006),$AB$1006:$AQ$1006,0)), HYPERLINK("#",""), HYPERLINK(CONCATENATE("#Metadata!", ADDRESS(INDEX($W$2:$W$1001,MATCH(ROWS($U$2:U816),$U$2:$U$1001,0),0), INDEX($AB$1004:$AQ$1004,1,MATCH(COLUMNS($AB$1006:AC1006),$AB$1006:$AQ$1006,0)))),"Fix")))</f>
        <v>0</v>
      </c>
      <c r="D816" s="5">
        <f>IF(OR(INDEX($V$2:$V$1001,MATCH(ROWS($U$2:U816),$U$2:$U$1001,0),1)&gt;=100000,INDEX($AB$1005:$AQ$1005,1,MATCH(COLUMNS($AB$1006:AD1006),$AB$1006:$AQ$1006,0))&gt;=100000), " ",IF(INDEX($AB$2:$AQ$1001,MATCH(ROWS($U$2:U816),$U$2:$U$1001,0),MATCH(COLUMNS($AB$1006:AD1006),$AB$1006:$AQ$1006,0)), HYPERLINK("#",""), HYPERLINK(CONCATENATE("#Metadata!", ADDRESS(INDEX($W$2:$W$1001,MATCH(ROWS($U$2:U816),$U$2:$U$1001,0),0), INDEX($AB$1004:$AQ$1004,1,MATCH(COLUMNS($AB$1006:AD1006),$AB$1006:$AQ$1006,0)))),"Fix")))</f>
        <v>0</v>
      </c>
      <c r="E816" s="5">
        <f>IF(OR(INDEX($V$2:$V$1001,MATCH(ROWS($U$2:U816),$U$2:$U$1001,0),1)&gt;=100000,INDEX($AB$1005:$AQ$1005,1,MATCH(COLUMNS($AB$1006:AE1006),$AB$1006:$AQ$1006,0))&gt;=100000), " ",IF(INDEX($AB$2:$AQ$1001,MATCH(ROWS($U$2:U816),$U$2:$U$1001,0),MATCH(COLUMNS($AB$1006:AE1006),$AB$1006:$AQ$1006,0)), HYPERLINK("#",""), HYPERLINK(CONCATENATE("#Metadata!", ADDRESS(INDEX($W$2:$W$1001,MATCH(ROWS($U$2:U816),$U$2:$U$1001,0),0), INDEX($AB$1004:$AQ$1004,1,MATCH(COLUMNS($AB$1006:AE1006),$AB$1006:$AQ$1006,0)))),"Fix")))</f>
        <v>0</v>
      </c>
      <c r="F816" s="5">
        <f>IF(OR(INDEX($V$2:$V$1001,MATCH(ROWS($U$2:U816),$U$2:$U$1001,0),1)&gt;=100000,INDEX($AB$1005:$AQ$1005,1,MATCH(COLUMNS($AB$1006:AF1006),$AB$1006:$AQ$1006,0))&gt;=100000), " ",IF(INDEX($AB$2:$AQ$1001,MATCH(ROWS($U$2:U816),$U$2:$U$1001,0),MATCH(COLUMNS($AB$1006:AF1006),$AB$1006:$AQ$1006,0)), HYPERLINK("#",""), HYPERLINK(CONCATENATE("#Metadata!", ADDRESS(INDEX($W$2:$W$1001,MATCH(ROWS($U$2:U816),$U$2:$U$1001,0),0), INDEX($AB$1004:$AQ$1004,1,MATCH(COLUMNS($AB$1006:AF1006),$AB$1006:$AQ$1006,0)))),"Fix")))</f>
        <v>0</v>
      </c>
      <c r="G816" s="5">
        <f>IF(OR(INDEX($V$2:$V$1001,MATCH(ROWS($U$2:U816),$U$2:$U$1001,0),1)&gt;=100000,INDEX($AB$1005:$AQ$1005,1,MATCH(COLUMNS($AB$1006:AG1006),$AB$1006:$AQ$1006,0))&gt;=100000), " ",IF(INDEX($AB$2:$AQ$1001,MATCH(ROWS($U$2:U816),$U$2:$U$1001,0),MATCH(COLUMNS($AB$1006:AG1006),$AB$1006:$AQ$1006,0)), HYPERLINK("#",""), HYPERLINK(CONCATENATE("#Metadata!", ADDRESS(INDEX($W$2:$W$1001,MATCH(ROWS($U$2:U816),$U$2:$U$1001,0),0), INDEX($AB$1004:$AQ$1004,1,MATCH(COLUMNS($AB$1006:AG1006),$AB$1006:$AQ$1006,0)))),"Fix")))</f>
        <v>0</v>
      </c>
      <c r="H816" s="5">
        <f>IF(OR(INDEX($V$2:$V$1001,MATCH(ROWS($U$2:U816),$U$2:$U$1001,0),1)&gt;=100000,INDEX($AB$1005:$AQ$1005,1,MATCH(COLUMNS($AB$1006:AH1006),$AB$1006:$AQ$1006,0))&gt;=100000), " ",IF(INDEX($AB$2:$AQ$1001,MATCH(ROWS($U$2:U816),$U$2:$U$1001,0),MATCH(COLUMNS($AB$1006:AH1006),$AB$1006:$AQ$1006,0)), HYPERLINK("#",""), HYPERLINK(CONCATENATE("#Metadata!", ADDRESS(INDEX($W$2:$W$1001,MATCH(ROWS($U$2:U816),$U$2:$U$1001,0),0), INDEX($AB$1004:$AQ$1004,1,MATCH(COLUMNS($AB$1006:AH1006),$AB$1006:$AQ$1006,0)))),"Fix")))</f>
        <v>0</v>
      </c>
      <c r="I816" s="5">
        <f>IF(OR(INDEX($V$2:$V$1001,MATCH(ROWS($U$2:U816),$U$2:$U$1001,0),1)&gt;=100000,INDEX($AB$1005:$AQ$1005,1,MATCH(COLUMNS($AB$1006:AI1006),$AB$1006:$AQ$1006,0))&gt;=100000), " ",IF(INDEX($AB$2:$AQ$1001,MATCH(ROWS($U$2:U816),$U$2:$U$1001,0),MATCH(COLUMNS($AB$1006:AI1006),$AB$1006:$AQ$1006,0)), HYPERLINK("#",""), HYPERLINK(CONCATENATE("#Metadata!", ADDRESS(INDEX($W$2:$W$1001,MATCH(ROWS($U$2:U816),$U$2:$U$1001,0),0), INDEX($AB$1004:$AQ$1004,1,MATCH(COLUMNS($AB$1006:AI1006),$AB$1006:$AQ$1006,0)))),"Fix")))</f>
        <v>0</v>
      </c>
      <c r="J816" s="5">
        <f>IF(OR(INDEX($V$2:$V$1001,MATCH(ROWS($U$2:U816),$U$2:$U$1001,0),1)&gt;=100000,INDEX($AB$1005:$AQ$1005,1,MATCH(COLUMNS($AB$1006:AJ1006),$AB$1006:$AQ$1006,0))&gt;=100000), " ",IF(INDEX($AB$2:$AQ$1001,MATCH(ROWS($U$2:U816),$U$2:$U$1001,0),MATCH(COLUMNS($AB$1006:AJ1006),$AB$1006:$AQ$1006,0)), HYPERLINK("#",""), HYPERLINK(CONCATENATE("#Metadata!", ADDRESS(INDEX($W$2:$W$1001,MATCH(ROWS($U$2:U816),$U$2:$U$1001,0),0), INDEX($AB$1004:$AQ$1004,1,MATCH(COLUMNS($AB$1006:AJ1006),$AB$1006:$AQ$1006,0)))),"Fix")))</f>
        <v>0</v>
      </c>
      <c r="K816" s="5">
        <f>IF(OR(INDEX($V$2:$V$1001,MATCH(ROWS($U$2:U816),$U$2:$U$1001,0),1)&gt;=100000,INDEX($AB$1005:$AQ$1005,1,MATCH(COLUMNS($AB$1006:AK1006),$AB$1006:$AQ$1006,0))&gt;=100000), " ",IF(INDEX($AB$2:$AQ$1001,MATCH(ROWS($U$2:U816),$U$2:$U$1001,0),MATCH(COLUMNS($AB$1006:AK1006),$AB$1006:$AQ$1006,0)), HYPERLINK("#",""), HYPERLINK(CONCATENATE("#Metadata!", ADDRESS(INDEX($W$2:$W$1001,MATCH(ROWS($U$2:U816),$U$2:$U$1001,0),0), INDEX($AB$1004:$AQ$1004,1,MATCH(COLUMNS($AB$1006:AK1006),$AB$1006:$AQ$1006,0)))),"Fix")))</f>
        <v>0</v>
      </c>
      <c r="L816" s="5">
        <f>IF(OR(INDEX($V$2:$V$1001,MATCH(ROWS($U$2:U816),$U$2:$U$1001,0),1)&gt;=100000,INDEX($AB$1005:$AQ$1005,1,MATCH(COLUMNS($AB$1006:AL1006),$AB$1006:$AQ$1006,0))&gt;=100000), " ",IF(INDEX($AB$2:$AQ$1001,MATCH(ROWS($U$2:U816),$U$2:$U$1001,0),MATCH(COLUMNS($AB$1006:AL1006),$AB$1006:$AQ$1006,0)), HYPERLINK("#",""), HYPERLINK(CONCATENATE("#Metadata!", ADDRESS(INDEX($W$2:$W$1001,MATCH(ROWS($U$2:U816),$U$2:$U$1001,0),0), INDEX($AB$1004:$AQ$1004,1,MATCH(COLUMNS($AB$1006:AL1006),$AB$1006:$AQ$1006,0)))),"Fix")))</f>
        <v>0</v>
      </c>
      <c r="M816" s="5">
        <f>IF(OR(INDEX($V$2:$V$1001,MATCH(ROWS($U$2:U816),$U$2:$U$1001,0),1)&gt;=100000,INDEX($AB$1005:$AQ$1005,1,MATCH(COLUMNS($AB$1006:AM1006),$AB$1006:$AQ$1006,0))&gt;=100000), " ",IF(INDEX($AB$2:$AQ$1001,MATCH(ROWS($U$2:U816),$U$2:$U$1001,0),MATCH(COLUMNS($AB$1006:AM1006),$AB$1006:$AQ$1006,0)), HYPERLINK("#",""), HYPERLINK(CONCATENATE("#Metadata!", ADDRESS(INDEX($W$2:$W$1001,MATCH(ROWS($U$2:U816),$U$2:$U$1001,0),0), INDEX($AB$1004:$AQ$1004,1,MATCH(COLUMNS($AB$1006:AM1006),$AB$1006:$AQ$1006,0)))),"Fix")))</f>
        <v>0</v>
      </c>
      <c r="N816" s="5">
        <f>IF(OR(INDEX($V$2:$V$1001,MATCH(ROWS($U$2:U816),$U$2:$U$1001,0),1)&gt;=100000,INDEX($AB$1005:$AQ$1005,1,MATCH(COLUMNS($AB$1006:AN1006),$AB$1006:$AQ$1006,0))&gt;=100000), " ",IF(INDEX($AB$2:$AQ$1001,MATCH(ROWS($U$2:U816),$U$2:$U$1001,0),MATCH(COLUMNS($AB$1006:AN1006),$AB$1006:$AQ$1006,0)), HYPERLINK("#",""), HYPERLINK(CONCATENATE("#Metadata!", ADDRESS(INDEX($W$2:$W$1001,MATCH(ROWS($U$2:U816),$U$2:$U$1001,0),0), INDEX($AB$1004:$AQ$1004,1,MATCH(COLUMNS($AB$1006:AN1006),$AB$1006:$AQ$1006,0)))),"Fix")))</f>
        <v>0</v>
      </c>
      <c r="O816" s="5">
        <f>IF(OR(INDEX($V$2:$V$1001,MATCH(ROWS($U$2:U816),$U$2:$U$1001,0),1)&gt;=100000,INDEX($AB$1005:$AQ$1005,1,MATCH(COLUMNS($AB$1006:AO1006),$AB$1006:$AQ$1006,0))&gt;=100000), " ",IF(INDEX($AB$2:$AQ$1001,MATCH(ROWS($U$2:U816),$U$2:$U$1001,0),MATCH(COLUMNS($AB$1006:AO1006),$AB$1006:$AQ$1006,0)), HYPERLINK("#",""), HYPERLINK(CONCATENATE("#Metadata!", ADDRESS(INDEX($W$2:$W$1001,MATCH(ROWS($U$2:U816),$U$2:$U$1001,0),0), INDEX($AB$1004:$AQ$1004,1,MATCH(COLUMNS($AB$1006:AO1006),$AB$1006:$AQ$1006,0)))),"Fix")))</f>
        <v>0</v>
      </c>
      <c r="P816" s="5">
        <f>IF(OR(INDEX($V$2:$V$1001,MATCH(ROWS($U$2:U816),$U$2:$U$1001,0),1)&gt;=100000,INDEX($AB$1005:$AQ$1005,1,MATCH(COLUMNS($AB$1006:AP1006),$AB$1006:$AQ$1006,0))&gt;=100000), " ",IF(INDEX($AB$2:$AQ$1001,MATCH(ROWS($U$2:U816),$U$2:$U$1001,0),MATCH(COLUMNS($AB$1006:AP1006),$AB$1006:$AQ$1006,0)), HYPERLINK("#",""), HYPERLINK(CONCATENATE("#Metadata!", ADDRESS(INDEX($W$2:$W$1001,MATCH(ROWS($U$2:U816),$U$2:$U$1001,0),0), INDEX($AB$1004:$AQ$1004,1,MATCH(COLUMNS($AB$1006:AP1006),$AB$1006:$AQ$1006,0)))),"Fix")))</f>
        <v>0</v>
      </c>
      <c r="Q816" s="5">
        <f>IF(OR(INDEX($V$2:$V$1001,MATCH(ROWS($U$2:U816),$U$2:$U$1001,0),1)&gt;=100000,INDEX($AB$1005:$AQ$1005,1,MATCH(COLUMNS($AB$1006:AQ1006),$AB$1006:$AQ$1006,0))&gt;=100000), " ",IF(INDEX($AB$2:$AQ$1001,MATCH(ROWS($U$2:U816),$U$2:$U$1001,0),MATCH(COLUMNS($AB$1006:AQ1006),$AB$1006:$AQ$1006,0)), HYPERLINK("#",""), HYPERLINK(CONCATENATE("#Metadata!", ADDRESS(INDEX($W$2:$W$1001,MATCH(ROWS($U$2:U816),$U$2:$U$1001,0),0), INDEX($AB$1004:$AQ$1004,1,MATCH(COLUMNS($AB$1006:AQ1006),$AB$1006:$AQ$1006,0)))),"Fix")))</f>
        <v>0</v>
      </c>
      <c r="U816">
        <v>0</v>
      </c>
      <c r="V816">
        <v>0</v>
      </c>
      <c r="W816">
        <v>0</v>
      </c>
      <c r="X816">
        <f>IF(Y816,TRUE,AND(AB816:AQ816))</f>
        <v>0</v>
      </c>
      <c r="Y816">
        <f>COUNTBLANK(Metadata!B816:Q816)=COLUMNS(Metadata!B816:Q816)</f>
        <v>0</v>
      </c>
      <c r="Z816">
        <v>0</v>
      </c>
      <c r="AB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AC816">
        <f>AND(IF(Metadata!C816="",FALSE,TRUE),exact(Metadata!C816,"urban biome"))</f>
        <v>0</v>
      </c>
      <c r="AD816">
        <f>AND(IF(Metadata!D816="",FALSE,TRUE),exact(Metadata!D816,"human-associated habitat"))</f>
        <v>0</v>
      </c>
      <c r="AE816">
        <f>AND(IF(Metadata!E816="",FALSE,TRUE),OR(exact(Metadata!E816,"human-associated"),exact(Metadata!E816,"human-skin"),exact(Metadata!E816,"human-oral"),exact(Metadata!E816,"human-gut"),exact(Metadata!E816,"human-vaginal")))</f>
        <v>0</v>
      </c>
      <c r="AF816">
        <f>AND(IF(Metadata!F816="",FALSE,ISNUMBER(VALUE(Metadata!F816))),Metadata!F816&gt;0)</f>
        <v>0</v>
      </c>
      <c r="AG816">
        <f>AND(IF(Metadata!G816="",FALSE,TRUE),exact(Metadata!G816,"years"))</f>
        <v>0</v>
      </c>
      <c r="AH816">
        <f>OR(AND(IF(Metadata!H816="",FALSE,TRUE),OR(exact(Metadata!H816,"not applicable"),exact(Metadata!H816,"not collected"),exact(Metadata!H816,"not provided"),exact(Metadata!H816,"restricted access"))),AND(IF(Metadata!H816="",FALSE,ISNUMBER(VALUE(Metadata!H816))),Metadata!H816&gt;0))</f>
        <v>0</v>
      </c>
      <c r="AI816">
        <f>AND(IF(Metadata!I816="",FALSE,TRUE),exact(Metadata!I816,"human"))</f>
        <v>0</v>
      </c>
      <c r="AJ816">
        <f>AND(IF(Metadata!J816="",FALSE,ISNUMBER(VALUE(Metadata!J816))),Metadata!J816&gt;0)</f>
        <v>0</v>
      </c>
      <c r="AK816">
        <f>AND(IF(Metadata!K816="",FALSE,TRUE),exact(Metadata!K816,"cm"))</f>
        <v>0</v>
      </c>
      <c r="AL816">
        <f>AND(IF(Metadata!L816="",FALSE,TRUE),exact(Metadata!L816,"Homo sapiens"))</f>
        <v>0</v>
      </c>
      <c r="AM816">
        <f>AND(IF(Metadata!M816="",FALSE,TRUE),exact(Metadata!M816,"9606"))</f>
        <v>0</v>
      </c>
      <c r="AN816">
        <f>AND(IF(Metadata!N816="",FALSE,ISNUMBER(VALUE(Metadata!N816))),Metadata!N816&gt;0)</f>
        <v>0</v>
      </c>
      <c r="AO816">
        <f>AND(IF(Metadata!O816="",FALSE,TRUE),exact(Metadata!O816,"kg"))</f>
        <v>0</v>
      </c>
      <c r="AP816">
        <f>OR(AND(IF(Metadata!P816="",FALSE,TRUE),exact(Metadata!P816,"not provided")),IF(Metadata!P816="",FALSE,TRUE))</f>
        <v>0</v>
      </c>
      <c r="AQ816">
        <f>OR(AND(IF(Metadata!Q816="",FALSE,TRUE),exact(Metadata!Q816,"not provided")),IF(Metadata!Q816="",FALSE,TRUE))</f>
        <v>0</v>
      </c>
    </row>
    <row r="817" spans="1:43">
      <c r="A817" s="4">
        <f>IF(B817=" "," ",HYPERLINK(CONCATENATE("#metadata!",ADDRESS(INDEX($W$2:$W$1001,MATCH(ROWS($U$2:U817),$U$2:$U$1001,0),0),2)),INDEX($Z$2:$Z$1001,MATCH(ROWS($U$2:U817),$U$2:$U$1001,0),0)))</f>
        <v>0</v>
      </c>
      <c r="B817" s="5">
        <f>IF(OR(INDEX($V$2:$V$1001,MATCH(ROWS($U$2:U817),$U$2:$U$1001,0),1)&gt;=100000,INDEX($AB$1005:$AQ$1005,1,MATCH(COLUMNS($AB$1006:AB1006),$AB$1006:$AQ$1006,0))&gt;=100000), " ",IF(INDEX($AB$2:$AQ$1001,MATCH(ROWS($U$2:U817),$U$2:$U$1001,0),MATCH(COLUMNS($AB$1006:AB1006),$AB$1006:$AQ$1006,0)), HYPERLINK("#",""), HYPERLINK(CONCATENATE("#Metadata!", ADDRESS(INDEX($W$2:$W$1001,MATCH(ROWS($U$2:U817),$U$2:$U$1001,0),0), INDEX($AB$1004:$AQ$1004,1,MATCH(COLUMNS($AB$1006:AB1006),$AB$1006:$AQ$1006,0)))),"Fix")))</f>
        <v>0</v>
      </c>
      <c r="C817" s="5">
        <f>IF(OR(INDEX($V$2:$V$1001,MATCH(ROWS($U$2:U817),$U$2:$U$1001,0),1)&gt;=100000,INDEX($AB$1005:$AQ$1005,1,MATCH(COLUMNS($AB$1006:AC1006),$AB$1006:$AQ$1006,0))&gt;=100000), " ",IF(INDEX($AB$2:$AQ$1001,MATCH(ROWS($U$2:U817),$U$2:$U$1001,0),MATCH(COLUMNS($AB$1006:AC1006),$AB$1006:$AQ$1006,0)), HYPERLINK("#",""), HYPERLINK(CONCATENATE("#Metadata!", ADDRESS(INDEX($W$2:$W$1001,MATCH(ROWS($U$2:U817),$U$2:$U$1001,0),0), INDEX($AB$1004:$AQ$1004,1,MATCH(COLUMNS($AB$1006:AC1006),$AB$1006:$AQ$1006,0)))),"Fix")))</f>
        <v>0</v>
      </c>
      <c r="D817" s="5">
        <f>IF(OR(INDEX($V$2:$V$1001,MATCH(ROWS($U$2:U817),$U$2:$U$1001,0),1)&gt;=100000,INDEX($AB$1005:$AQ$1005,1,MATCH(COLUMNS($AB$1006:AD1006),$AB$1006:$AQ$1006,0))&gt;=100000), " ",IF(INDEX($AB$2:$AQ$1001,MATCH(ROWS($U$2:U817),$U$2:$U$1001,0),MATCH(COLUMNS($AB$1006:AD1006),$AB$1006:$AQ$1006,0)), HYPERLINK("#",""), HYPERLINK(CONCATENATE("#Metadata!", ADDRESS(INDEX($W$2:$W$1001,MATCH(ROWS($U$2:U817),$U$2:$U$1001,0),0), INDEX($AB$1004:$AQ$1004,1,MATCH(COLUMNS($AB$1006:AD1006),$AB$1006:$AQ$1006,0)))),"Fix")))</f>
        <v>0</v>
      </c>
      <c r="E817" s="5">
        <f>IF(OR(INDEX($V$2:$V$1001,MATCH(ROWS($U$2:U817),$U$2:$U$1001,0),1)&gt;=100000,INDEX($AB$1005:$AQ$1005,1,MATCH(COLUMNS($AB$1006:AE1006),$AB$1006:$AQ$1006,0))&gt;=100000), " ",IF(INDEX($AB$2:$AQ$1001,MATCH(ROWS($U$2:U817),$U$2:$U$1001,0),MATCH(COLUMNS($AB$1006:AE1006),$AB$1006:$AQ$1006,0)), HYPERLINK("#",""), HYPERLINK(CONCATENATE("#Metadata!", ADDRESS(INDEX($W$2:$W$1001,MATCH(ROWS($U$2:U817),$U$2:$U$1001,0),0), INDEX($AB$1004:$AQ$1004,1,MATCH(COLUMNS($AB$1006:AE1006),$AB$1006:$AQ$1006,0)))),"Fix")))</f>
        <v>0</v>
      </c>
      <c r="F817" s="5">
        <f>IF(OR(INDEX($V$2:$V$1001,MATCH(ROWS($U$2:U817),$U$2:$U$1001,0),1)&gt;=100000,INDEX($AB$1005:$AQ$1005,1,MATCH(COLUMNS($AB$1006:AF1006),$AB$1006:$AQ$1006,0))&gt;=100000), " ",IF(INDEX($AB$2:$AQ$1001,MATCH(ROWS($U$2:U817),$U$2:$U$1001,0),MATCH(COLUMNS($AB$1006:AF1006),$AB$1006:$AQ$1006,0)), HYPERLINK("#",""), HYPERLINK(CONCATENATE("#Metadata!", ADDRESS(INDEX($W$2:$W$1001,MATCH(ROWS($U$2:U817),$U$2:$U$1001,0),0), INDEX($AB$1004:$AQ$1004,1,MATCH(COLUMNS($AB$1006:AF1006),$AB$1006:$AQ$1006,0)))),"Fix")))</f>
        <v>0</v>
      </c>
      <c r="G817" s="5">
        <f>IF(OR(INDEX($V$2:$V$1001,MATCH(ROWS($U$2:U817),$U$2:$U$1001,0),1)&gt;=100000,INDEX($AB$1005:$AQ$1005,1,MATCH(COLUMNS($AB$1006:AG1006),$AB$1006:$AQ$1006,0))&gt;=100000), " ",IF(INDEX($AB$2:$AQ$1001,MATCH(ROWS($U$2:U817),$U$2:$U$1001,0),MATCH(COLUMNS($AB$1006:AG1006),$AB$1006:$AQ$1006,0)), HYPERLINK("#",""), HYPERLINK(CONCATENATE("#Metadata!", ADDRESS(INDEX($W$2:$W$1001,MATCH(ROWS($U$2:U817),$U$2:$U$1001,0),0), INDEX($AB$1004:$AQ$1004,1,MATCH(COLUMNS($AB$1006:AG1006),$AB$1006:$AQ$1006,0)))),"Fix")))</f>
        <v>0</v>
      </c>
      <c r="H817" s="5">
        <f>IF(OR(INDEX($V$2:$V$1001,MATCH(ROWS($U$2:U817),$U$2:$U$1001,0),1)&gt;=100000,INDEX($AB$1005:$AQ$1005,1,MATCH(COLUMNS($AB$1006:AH1006),$AB$1006:$AQ$1006,0))&gt;=100000), " ",IF(INDEX($AB$2:$AQ$1001,MATCH(ROWS($U$2:U817),$U$2:$U$1001,0),MATCH(COLUMNS($AB$1006:AH1006),$AB$1006:$AQ$1006,0)), HYPERLINK("#",""), HYPERLINK(CONCATENATE("#Metadata!", ADDRESS(INDEX($W$2:$W$1001,MATCH(ROWS($U$2:U817),$U$2:$U$1001,0),0), INDEX($AB$1004:$AQ$1004,1,MATCH(COLUMNS($AB$1006:AH1006),$AB$1006:$AQ$1006,0)))),"Fix")))</f>
        <v>0</v>
      </c>
      <c r="I817" s="5">
        <f>IF(OR(INDEX($V$2:$V$1001,MATCH(ROWS($U$2:U817),$U$2:$U$1001,0),1)&gt;=100000,INDEX($AB$1005:$AQ$1005,1,MATCH(COLUMNS($AB$1006:AI1006),$AB$1006:$AQ$1006,0))&gt;=100000), " ",IF(INDEX($AB$2:$AQ$1001,MATCH(ROWS($U$2:U817),$U$2:$U$1001,0),MATCH(COLUMNS($AB$1006:AI1006),$AB$1006:$AQ$1006,0)), HYPERLINK("#",""), HYPERLINK(CONCATENATE("#Metadata!", ADDRESS(INDEX($W$2:$W$1001,MATCH(ROWS($U$2:U817),$U$2:$U$1001,0),0), INDEX($AB$1004:$AQ$1004,1,MATCH(COLUMNS($AB$1006:AI1006),$AB$1006:$AQ$1006,0)))),"Fix")))</f>
        <v>0</v>
      </c>
      <c r="J817" s="5">
        <f>IF(OR(INDEX($V$2:$V$1001,MATCH(ROWS($U$2:U817),$U$2:$U$1001,0),1)&gt;=100000,INDEX($AB$1005:$AQ$1005,1,MATCH(COLUMNS($AB$1006:AJ1006),$AB$1006:$AQ$1006,0))&gt;=100000), " ",IF(INDEX($AB$2:$AQ$1001,MATCH(ROWS($U$2:U817),$U$2:$U$1001,0),MATCH(COLUMNS($AB$1006:AJ1006),$AB$1006:$AQ$1006,0)), HYPERLINK("#",""), HYPERLINK(CONCATENATE("#Metadata!", ADDRESS(INDEX($W$2:$W$1001,MATCH(ROWS($U$2:U817),$U$2:$U$1001,0),0), INDEX($AB$1004:$AQ$1004,1,MATCH(COLUMNS($AB$1006:AJ1006),$AB$1006:$AQ$1006,0)))),"Fix")))</f>
        <v>0</v>
      </c>
      <c r="K817" s="5">
        <f>IF(OR(INDEX($V$2:$V$1001,MATCH(ROWS($U$2:U817),$U$2:$U$1001,0),1)&gt;=100000,INDEX($AB$1005:$AQ$1005,1,MATCH(COLUMNS($AB$1006:AK1006),$AB$1006:$AQ$1006,0))&gt;=100000), " ",IF(INDEX($AB$2:$AQ$1001,MATCH(ROWS($U$2:U817),$U$2:$U$1001,0),MATCH(COLUMNS($AB$1006:AK1006),$AB$1006:$AQ$1006,0)), HYPERLINK("#",""), HYPERLINK(CONCATENATE("#Metadata!", ADDRESS(INDEX($W$2:$W$1001,MATCH(ROWS($U$2:U817),$U$2:$U$1001,0),0), INDEX($AB$1004:$AQ$1004,1,MATCH(COLUMNS($AB$1006:AK1006),$AB$1006:$AQ$1006,0)))),"Fix")))</f>
        <v>0</v>
      </c>
      <c r="L817" s="5">
        <f>IF(OR(INDEX($V$2:$V$1001,MATCH(ROWS($U$2:U817),$U$2:$U$1001,0),1)&gt;=100000,INDEX($AB$1005:$AQ$1005,1,MATCH(COLUMNS($AB$1006:AL1006),$AB$1006:$AQ$1006,0))&gt;=100000), " ",IF(INDEX($AB$2:$AQ$1001,MATCH(ROWS($U$2:U817),$U$2:$U$1001,0),MATCH(COLUMNS($AB$1006:AL1006),$AB$1006:$AQ$1006,0)), HYPERLINK("#",""), HYPERLINK(CONCATENATE("#Metadata!", ADDRESS(INDEX($W$2:$W$1001,MATCH(ROWS($U$2:U817),$U$2:$U$1001,0),0), INDEX($AB$1004:$AQ$1004,1,MATCH(COLUMNS($AB$1006:AL1006),$AB$1006:$AQ$1006,0)))),"Fix")))</f>
        <v>0</v>
      </c>
      <c r="M817" s="5">
        <f>IF(OR(INDEX($V$2:$V$1001,MATCH(ROWS($U$2:U817),$U$2:$U$1001,0),1)&gt;=100000,INDEX($AB$1005:$AQ$1005,1,MATCH(COLUMNS($AB$1006:AM1006),$AB$1006:$AQ$1006,0))&gt;=100000), " ",IF(INDEX($AB$2:$AQ$1001,MATCH(ROWS($U$2:U817),$U$2:$U$1001,0),MATCH(COLUMNS($AB$1006:AM1006),$AB$1006:$AQ$1006,0)), HYPERLINK("#",""), HYPERLINK(CONCATENATE("#Metadata!", ADDRESS(INDEX($W$2:$W$1001,MATCH(ROWS($U$2:U817),$U$2:$U$1001,0),0), INDEX($AB$1004:$AQ$1004,1,MATCH(COLUMNS($AB$1006:AM1006),$AB$1006:$AQ$1006,0)))),"Fix")))</f>
        <v>0</v>
      </c>
      <c r="N817" s="5">
        <f>IF(OR(INDEX($V$2:$V$1001,MATCH(ROWS($U$2:U817),$U$2:$U$1001,0),1)&gt;=100000,INDEX($AB$1005:$AQ$1005,1,MATCH(COLUMNS($AB$1006:AN1006),$AB$1006:$AQ$1006,0))&gt;=100000), " ",IF(INDEX($AB$2:$AQ$1001,MATCH(ROWS($U$2:U817),$U$2:$U$1001,0),MATCH(COLUMNS($AB$1006:AN1006),$AB$1006:$AQ$1006,0)), HYPERLINK("#",""), HYPERLINK(CONCATENATE("#Metadata!", ADDRESS(INDEX($W$2:$W$1001,MATCH(ROWS($U$2:U817),$U$2:$U$1001,0),0), INDEX($AB$1004:$AQ$1004,1,MATCH(COLUMNS($AB$1006:AN1006),$AB$1006:$AQ$1006,0)))),"Fix")))</f>
        <v>0</v>
      </c>
      <c r="O817" s="5">
        <f>IF(OR(INDEX($V$2:$V$1001,MATCH(ROWS($U$2:U817),$U$2:$U$1001,0),1)&gt;=100000,INDEX($AB$1005:$AQ$1005,1,MATCH(COLUMNS($AB$1006:AO1006),$AB$1006:$AQ$1006,0))&gt;=100000), " ",IF(INDEX($AB$2:$AQ$1001,MATCH(ROWS($U$2:U817),$U$2:$U$1001,0),MATCH(COLUMNS($AB$1006:AO1006),$AB$1006:$AQ$1006,0)), HYPERLINK("#",""), HYPERLINK(CONCATENATE("#Metadata!", ADDRESS(INDEX($W$2:$W$1001,MATCH(ROWS($U$2:U817),$U$2:$U$1001,0),0), INDEX($AB$1004:$AQ$1004,1,MATCH(COLUMNS($AB$1006:AO1006),$AB$1006:$AQ$1006,0)))),"Fix")))</f>
        <v>0</v>
      </c>
      <c r="P817" s="5">
        <f>IF(OR(INDEX($V$2:$V$1001,MATCH(ROWS($U$2:U817),$U$2:$U$1001,0),1)&gt;=100000,INDEX($AB$1005:$AQ$1005,1,MATCH(COLUMNS($AB$1006:AP1006),$AB$1006:$AQ$1006,0))&gt;=100000), " ",IF(INDEX($AB$2:$AQ$1001,MATCH(ROWS($U$2:U817),$U$2:$U$1001,0),MATCH(COLUMNS($AB$1006:AP1006),$AB$1006:$AQ$1006,0)), HYPERLINK("#",""), HYPERLINK(CONCATENATE("#Metadata!", ADDRESS(INDEX($W$2:$W$1001,MATCH(ROWS($U$2:U817),$U$2:$U$1001,0),0), INDEX($AB$1004:$AQ$1004,1,MATCH(COLUMNS($AB$1006:AP1006),$AB$1006:$AQ$1006,0)))),"Fix")))</f>
        <v>0</v>
      </c>
      <c r="Q817" s="5">
        <f>IF(OR(INDEX($V$2:$V$1001,MATCH(ROWS($U$2:U817),$U$2:$U$1001,0),1)&gt;=100000,INDEX($AB$1005:$AQ$1005,1,MATCH(COLUMNS($AB$1006:AQ1006),$AB$1006:$AQ$1006,0))&gt;=100000), " ",IF(INDEX($AB$2:$AQ$1001,MATCH(ROWS($U$2:U817),$U$2:$U$1001,0),MATCH(COLUMNS($AB$1006:AQ1006),$AB$1006:$AQ$1006,0)), HYPERLINK("#",""), HYPERLINK(CONCATENATE("#Metadata!", ADDRESS(INDEX($W$2:$W$1001,MATCH(ROWS($U$2:U817),$U$2:$U$1001,0),0), INDEX($AB$1004:$AQ$1004,1,MATCH(COLUMNS($AB$1006:AQ1006),$AB$1006:$AQ$1006,0)))),"Fix")))</f>
        <v>0</v>
      </c>
      <c r="U817">
        <v>0</v>
      </c>
      <c r="V817">
        <v>0</v>
      </c>
      <c r="W817">
        <v>0</v>
      </c>
      <c r="X817">
        <f>IF(Y817,TRUE,AND(AB817:AQ817))</f>
        <v>0</v>
      </c>
      <c r="Y817">
        <f>COUNTBLANK(Metadata!B817:Q817)=COLUMNS(Metadata!B817:Q817)</f>
        <v>0</v>
      </c>
      <c r="Z817">
        <v>0</v>
      </c>
      <c r="AB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AC817">
        <f>AND(IF(Metadata!C817="",FALSE,TRUE),exact(Metadata!C817,"urban biome"))</f>
        <v>0</v>
      </c>
      <c r="AD817">
        <f>AND(IF(Metadata!D817="",FALSE,TRUE),exact(Metadata!D817,"human-associated habitat"))</f>
        <v>0</v>
      </c>
      <c r="AE817">
        <f>AND(IF(Metadata!E817="",FALSE,TRUE),OR(exact(Metadata!E817,"human-associated"),exact(Metadata!E817,"human-skin"),exact(Metadata!E817,"human-oral"),exact(Metadata!E817,"human-gut"),exact(Metadata!E817,"human-vaginal")))</f>
        <v>0</v>
      </c>
      <c r="AF817">
        <f>AND(IF(Metadata!F817="",FALSE,ISNUMBER(VALUE(Metadata!F817))),Metadata!F817&gt;0)</f>
        <v>0</v>
      </c>
      <c r="AG817">
        <f>AND(IF(Metadata!G817="",FALSE,TRUE),exact(Metadata!G817,"years"))</f>
        <v>0</v>
      </c>
      <c r="AH817">
        <f>OR(AND(IF(Metadata!H817="",FALSE,TRUE),OR(exact(Metadata!H817,"not applicable"),exact(Metadata!H817,"not collected"),exact(Metadata!H817,"not provided"),exact(Metadata!H817,"restricted access"))),AND(IF(Metadata!H817="",FALSE,ISNUMBER(VALUE(Metadata!H817))),Metadata!H817&gt;0))</f>
        <v>0</v>
      </c>
      <c r="AI817">
        <f>AND(IF(Metadata!I817="",FALSE,TRUE),exact(Metadata!I817,"human"))</f>
        <v>0</v>
      </c>
      <c r="AJ817">
        <f>AND(IF(Metadata!J817="",FALSE,ISNUMBER(VALUE(Metadata!J817))),Metadata!J817&gt;0)</f>
        <v>0</v>
      </c>
      <c r="AK817">
        <f>AND(IF(Metadata!K817="",FALSE,TRUE),exact(Metadata!K817,"cm"))</f>
        <v>0</v>
      </c>
      <c r="AL817">
        <f>AND(IF(Metadata!L817="",FALSE,TRUE),exact(Metadata!L817,"Homo sapiens"))</f>
        <v>0</v>
      </c>
      <c r="AM817">
        <f>AND(IF(Metadata!M817="",FALSE,TRUE),exact(Metadata!M817,"9606"))</f>
        <v>0</v>
      </c>
      <c r="AN817">
        <f>AND(IF(Metadata!N817="",FALSE,ISNUMBER(VALUE(Metadata!N817))),Metadata!N817&gt;0)</f>
        <v>0</v>
      </c>
      <c r="AO817">
        <f>AND(IF(Metadata!O817="",FALSE,TRUE),exact(Metadata!O817,"kg"))</f>
        <v>0</v>
      </c>
      <c r="AP817">
        <f>OR(AND(IF(Metadata!P817="",FALSE,TRUE),exact(Metadata!P817,"not provided")),IF(Metadata!P817="",FALSE,TRUE))</f>
        <v>0</v>
      </c>
      <c r="AQ817">
        <f>OR(AND(IF(Metadata!Q817="",FALSE,TRUE),exact(Metadata!Q817,"not provided")),IF(Metadata!Q817="",FALSE,TRUE))</f>
        <v>0</v>
      </c>
    </row>
    <row r="818" spans="1:43">
      <c r="A818" s="4">
        <f>IF(B818=" "," ",HYPERLINK(CONCATENATE("#metadata!",ADDRESS(INDEX($W$2:$W$1001,MATCH(ROWS($U$2:U818),$U$2:$U$1001,0),0),2)),INDEX($Z$2:$Z$1001,MATCH(ROWS($U$2:U818),$U$2:$U$1001,0),0)))</f>
        <v>0</v>
      </c>
      <c r="B818" s="5">
        <f>IF(OR(INDEX($V$2:$V$1001,MATCH(ROWS($U$2:U818),$U$2:$U$1001,0),1)&gt;=100000,INDEX($AB$1005:$AQ$1005,1,MATCH(COLUMNS($AB$1006:AB1006),$AB$1006:$AQ$1006,0))&gt;=100000), " ",IF(INDEX($AB$2:$AQ$1001,MATCH(ROWS($U$2:U818),$U$2:$U$1001,0),MATCH(COLUMNS($AB$1006:AB1006),$AB$1006:$AQ$1006,0)), HYPERLINK("#",""), HYPERLINK(CONCATENATE("#Metadata!", ADDRESS(INDEX($W$2:$W$1001,MATCH(ROWS($U$2:U818),$U$2:$U$1001,0),0), INDEX($AB$1004:$AQ$1004,1,MATCH(COLUMNS($AB$1006:AB1006),$AB$1006:$AQ$1006,0)))),"Fix")))</f>
        <v>0</v>
      </c>
      <c r="C818" s="5">
        <f>IF(OR(INDEX($V$2:$V$1001,MATCH(ROWS($U$2:U818),$U$2:$U$1001,0),1)&gt;=100000,INDEX($AB$1005:$AQ$1005,1,MATCH(COLUMNS($AB$1006:AC1006),$AB$1006:$AQ$1006,0))&gt;=100000), " ",IF(INDEX($AB$2:$AQ$1001,MATCH(ROWS($U$2:U818),$U$2:$U$1001,0),MATCH(COLUMNS($AB$1006:AC1006),$AB$1006:$AQ$1006,0)), HYPERLINK("#",""), HYPERLINK(CONCATENATE("#Metadata!", ADDRESS(INDEX($W$2:$W$1001,MATCH(ROWS($U$2:U818),$U$2:$U$1001,0),0), INDEX($AB$1004:$AQ$1004,1,MATCH(COLUMNS($AB$1006:AC1006),$AB$1006:$AQ$1006,0)))),"Fix")))</f>
        <v>0</v>
      </c>
      <c r="D818" s="5">
        <f>IF(OR(INDEX($V$2:$V$1001,MATCH(ROWS($U$2:U818),$U$2:$U$1001,0),1)&gt;=100000,INDEX($AB$1005:$AQ$1005,1,MATCH(COLUMNS($AB$1006:AD1006),$AB$1006:$AQ$1006,0))&gt;=100000), " ",IF(INDEX($AB$2:$AQ$1001,MATCH(ROWS($U$2:U818),$U$2:$U$1001,0),MATCH(COLUMNS($AB$1006:AD1006),$AB$1006:$AQ$1006,0)), HYPERLINK("#",""), HYPERLINK(CONCATENATE("#Metadata!", ADDRESS(INDEX($W$2:$W$1001,MATCH(ROWS($U$2:U818),$U$2:$U$1001,0),0), INDEX($AB$1004:$AQ$1004,1,MATCH(COLUMNS($AB$1006:AD1006),$AB$1006:$AQ$1006,0)))),"Fix")))</f>
        <v>0</v>
      </c>
      <c r="E818" s="5">
        <f>IF(OR(INDEX($V$2:$V$1001,MATCH(ROWS($U$2:U818),$U$2:$U$1001,0),1)&gt;=100000,INDEX($AB$1005:$AQ$1005,1,MATCH(COLUMNS($AB$1006:AE1006),$AB$1006:$AQ$1006,0))&gt;=100000), " ",IF(INDEX($AB$2:$AQ$1001,MATCH(ROWS($U$2:U818),$U$2:$U$1001,0),MATCH(COLUMNS($AB$1006:AE1006),$AB$1006:$AQ$1006,0)), HYPERLINK("#",""), HYPERLINK(CONCATENATE("#Metadata!", ADDRESS(INDEX($W$2:$W$1001,MATCH(ROWS($U$2:U818),$U$2:$U$1001,0),0), INDEX($AB$1004:$AQ$1004,1,MATCH(COLUMNS($AB$1006:AE1006),$AB$1006:$AQ$1006,0)))),"Fix")))</f>
        <v>0</v>
      </c>
      <c r="F818" s="5">
        <f>IF(OR(INDEX($V$2:$V$1001,MATCH(ROWS($U$2:U818),$U$2:$U$1001,0),1)&gt;=100000,INDEX($AB$1005:$AQ$1005,1,MATCH(COLUMNS($AB$1006:AF1006),$AB$1006:$AQ$1006,0))&gt;=100000), " ",IF(INDEX($AB$2:$AQ$1001,MATCH(ROWS($U$2:U818),$U$2:$U$1001,0),MATCH(COLUMNS($AB$1006:AF1006),$AB$1006:$AQ$1006,0)), HYPERLINK("#",""), HYPERLINK(CONCATENATE("#Metadata!", ADDRESS(INDEX($W$2:$W$1001,MATCH(ROWS($U$2:U818),$U$2:$U$1001,0),0), INDEX($AB$1004:$AQ$1004,1,MATCH(COLUMNS($AB$1006:AF1006),$AB$1006:$AQ$1006,0)))),"Fix")))</f>
        <v>0</v>
      </c>
      <c r="G818" s="5">
        <f>IF(OR(INDEX($V$2:$V$1001,MATCH(ROWS($U$2:U818),$U$2:$U$1001,0),1)&gt;=100000,INDEX($AB$1005:$AQ$1005,1,MATCH(COLUMNS($AB$1006:AG1006),$AB$1006:$AQ$1006,0))&gt;=100000), " ",IF(INDEX($AB$2:$AQ$1001,MATCH(ROWS($U$2:U818),$U$2:$U$1001,0),MATCH(COLUMNS($AB$1006:AG1006),$AB$1006:$AQ$1006,0)), HYPERLINK("#",""), HYPERLINK(CONCATENATE("#Metadata!", ADDRESS(INDEX($W$2:$W$1001,MATCH(ROWS($U$2:U818),$U$2:$U$1001,0),0), INDEX($AB$1004:$AQ$1004,1,MATCH(COLUMNS($AB$1006:AG1006),$AB$1006:$AQ$1006,0)))),"Fix")))</f>
        <v>0</v>
      </c>
      <c r="H818" s="5">
        <f>IF(OR(INDEX($V$2:$V$1001,MATCH(ROWS($U$2:U818),$U$2:$U$1001,0),1)&gt;=100000,INDEX($AB$1005:$AQ$1005,1,MATCH(COLUMNS($AB$1006:AH1006),$AB$1006:$AQ$1006,0))&gt;=100000), " ",IF(INDEX($AB$2:$AQ$1001,MATCH(ROWS($U$2:U818),$U$2:$U$1001,0),MATCH(COLUMNS($AB$1006:AH1006),$AB$1006:$AQ$1006,0)), HYPERLINK("#",""), HYPERLINK(CONCATENATE("#Metadata!", ADDRESS(INDEX($W$2:$W$1001,MATCH(ROWS($U$2:U818),$U$2:$U$1001,0),0), INDEX($AB$1004:$AQ$1004,1,MATCH(COLUMNS($AB$1006:AH1006),$AB$1006:$AQ$1006,0)))),"Fix")))</f>
        <v>0</v>
      </c>
      <c r="I818" s="5">
        <f>IF(OR(INDEX($V$2:$V$1001,MATCH(ROWS($U$2:U818),$U$2:$U$1001,0),1)&gt;=100000,INDEX($AB$1005:$AQ$1005,1,MATCH(COLUMNS($AB$1006:AI1006),$AB$1006:$AQ$1006,0))&gt;=100000), " ",IF(INDEX($AB$2:$AQ$1001,MATCH(ROWS($U$2:U818),$U$2:$U$1001,0),MATCH(COLUMNS($AB$1006:AI1006),$AB$1006:$AQ$1006,0)), HYPERLINK("#",""), HYPERLINK(CONCATENATE("#Metadata!", ADDRESS(INDEX($W$2:$W$1001,MATCH(ROWS($U$2:U818),$U$2:$U$1001,0),0), INDEX($AB$1004:$AQ$1004,1,MATCH(COLUMNS($AB$1006:AI1006),$AB$1006:$AQ$1006,0)))),"Fix")))</f>
        <v>0</v>
      </c>
      <c r="J818" s="5">
        <f>IF(OR(INDEX($V$2:$V$1001,MATCH(ROWS($U$2:U818),$U$2:$U$1001,0),1)&gt;=100000,INDEX($AB$1005:$AQ$1005,1,MATCH(COLUMNS($AB$1006:AJ1006),$AB$1006:$AQ$1006,0))&gt;=100000), " ",IF(INDEX($AB$2:$AQ$1001,MATCH(ROWS($U$2:U818),$U$2:$U$1001,0),MATCH(COLUMNS($AB$1006:AJ1006),$AB$1006:$AQ$1006,0)), HYPERLINK("#",""), HYPERLINK(CONCATENATE("#Metadata!", ADDRESS(INDEX($W$2:$W$1001,MATCH(ROWS($U$2:U818),$U$2:$U$1001,0),0), INDEX($AB$1004:$AQ$1004,1,MATCH(COLUMNS($AB$1006:AJ1006),$AB$1006:$AQ$1006,0)))),"Fix")))</f>
        <v>0</v>
      </c>
      <c r="K818" s="5">
        <f>IF(OR(INDEX($V$2:$V$1001,MATCH(ROWS($U$2:U818),$U$2:$U$1001,0),1)&gt;=100000,INDEX($AB$1005:$AQ$1005,1,MATCH(COLUMNS($AB$1006:AK1006),$AB$1006:$AQ$1006,0))&gt;=100000), " ",IF(INDEX($AB$2:$AQ$1001,MATCH(ROWS($U$2:U818),$U$2:$U$1001,0),MATCH(COLUMNS($AB$1006:AK1006),$AB$1006:$AQ$1006,0)), HYPERLINK("#",""), HYPERLINK(CONCATENATE("#Metadata!", ADDRESS(INDEX($W$2:$W$1001,MATCH(ROWS($U$2:U818),$U$2:$U$1001,0),0), INDEX($AB$1004:$AQ$1004,1,MATCH(COLUMNS($AB$1006:AK1006),$AB$1006:$AQ$1006,0)))),"Fix")))</f>
        <v>0</v>
      </c>
      <c r="L818" s="5">
        <f>IF(OR(INDEX($V$2:$V$1001,MATCH(ROWS($U$2:U818),$U$2:$U$1001,0),1)&gt;=100000,INDEX($AB$1005:$AQ$1005,1,MATCH(COLUMNS($AB$1006:AL1006),$AB$1006:$AQ$1006,0))&gt;=100000), " ",IF(INDEX($AB$2:$AQ$1001,MATCH(ROWS($U$2:U818),$U$2:$U$1001,0),MATCH(COLUMNS($AB$1006:AL1006),$AB$1006:$AQ$1006,0)), HYPERLINK("#",""), HYPERLINK(CONCATENATE("#Metadata!", ADDRESS(INDEX($W$2:$W$1001,MATCH(ROWS($U$2:U818),$U$2:$U$1001,0),0), INDEX($AB$1004:$AQ$1004,1,MATCH(COLUMNS($AB$1006:AL1006),$AB$1006:$AQ$1006,0)))),"Fix")))</f>
        <v>0</v>
      </c>
      <c r="M818" s="5">
        <f>IF(OR(INDEX($V$2:$V$1001,MATCH(ROWS($U$2:U818),$U$2:$U$1001,0),1)&gt;=100000,INDEX($AB$1005:$AQ$1005,1,MATCH(COLUMNS($AB$1006:AM1006),$AB$1006:$AQ$1006,0))&gt;=100000), " ",IF(INDEX($AB$2:$AQ$1001,MATCH(ROWS($U$2:U818),$U$2:$U$1001,0),MATCH(COLUMNS($AB$1006:AM1006),$AB$1006:$AQ$1006,0)), HYPERLINK("#",""), HYPERLINK(CONCATENATE("#Metadata!", ADDRESS(INDEX($W$2:$W$1001,MATCH(ROWS($U$2:U818),$U$2:$U$1001,0),0), INDEX($AB$1004:$AQ$1004,1,MATCH(COLUMNS($AB$1006:AM1006),$AB$1006:$AQ$1006,0)))),"Fix")))</f>
        <v>0</v>
      </c>
      <c r="N818" s="5">
        <f>IF(OR(INDEX($V$2:$V$1001,MATCH(ROWS($U$2:U818),$U$2:$U$1001,0),1)&gt;=100000,INDEX($AB$1005:$AQ$1005,1,MATCH(COLUMNS($AB$1006:AN1006),$AB$1006:$AQ$1006,0))&gt;=100000), " ",IF(INDEX($AB$2:$AQ$1001,MATCH(ROWS($U$2:U818),$U$2:$U$1001,0),MATCH(COLUMNS($AB$1006:AN1006),$AB$1006:$AQ$1006,0)), HYPERLINK("#",""), HYPERLINK(CONCATENATE("#Metadata!", ADDRESS(INDEX($W$2:$W$1001,MATCH(ROWS($U$2:U818),$U$2:$U$1001,0),0), INDEX($AB$1004:$AQ$1004,1,MATCH(COLUMNS($AB$1006:AN1006),$AB$1006:$AQ$1006,0)))),"Fix")))</f>
        <v>0</v>
      </c>
      <c r="O818" s="5">
        <f>IF(OR(INDEX($V$2:$V$1001,MATCH(ROWS($U$2:U818),$U$2:$U$1001,0),1)&gt;=100000,INDEX($AB$1005:$AQ$1005,1,MATCH(COLUMNS($AB$1006:AO1006),$AB$1006:$AQ$1006,0))&gt;=100000), " ",IF(INDEX($AB$2:$AQ$1001,MATCH(ROWS($U$2:U818),$U$2:$U$1001,0),MATCH(COLUMNS($AB$1006:AO1006),$AB$1006:$AQ$1006,0)), HYPERLINK("#",""), HYPERLINK(CONCATENATE("#Metadata!", ADDRESS(INDEX($W$2:$W$1001,MATCH(ROWS($U$2:U818),$U$2:$U$1001,0),0), INDEX($AB$1004:$AQ$1004,1,MATCH(COLUMNS($AB$1006:AO1006),$AB$1006:$AQ$1006,0)))),"Fix")))</f>
        <v>0</v>
      </c>
      <c r="P818" s="5">
        <f>IF(OR(INDEX($V$2:$V$1001,MATCH(ROWS($U$2:U818),$U$2:$U$1001,0),1)&gt;=100000,INDEX($AB$1005:$AQ$1005,1,MATCH(COLUMNS($AB$1006:AP1006),$AB$1006:$AQ$1006,0))&gt;=100000), " ",IF(INDEX($AB$2:$AQ$1001,MATCH(ROWS($U$2:U818),$U$2:$U$1001,0),MATCH(COLUMNS($AB$1006:AP1006),$AB$1006:$AQ$1006,0)), HYPERLINK("#",""), HYPERLINK(CONCATENATE("#Metadata!", ADDRESS(INDEX($W$2:$W$1001,MATCH(ROWS($U$2:U818),$U$2:$U$1001,0),0), INDEX($AB$1004:$AQ$1004,1,MATCH(COLUMNS($AB$1006:AP1006),$AB$1006:$AQ$1006,0)))),"Fix")))</f>
        <v>0</v>
      </c>
      <c r="Q818" s="5">
        <f>IF(OR(INDEX($V$2:$V$1001,MATCH(ROWS($U$2:U818),$U$2:$U$1001,0),1)&gt;=100000,INDEX($AB$1005:$AQ$1005,1,MATCH(COLUMNS($AB$1006:AQ1006),$AB$1006:$AQ$1006,0))&gt;=100000), " ",IF(INDEX($AB$2:$AQ$1001,MATCH(ROWS($U$2:U818),$U$2:$U$1001,0),MATCH(COLUMNS($AB$1006:AQ1006),$AB$1006:$AQ$1006,0)), HYPERLINK("#",""), HYPERLINK(CONCATENATE("#Metadata!", ADDRESS(INDEX($W$2:$W$1001,MATCH(ROWS($U$2:U818),$U$2:$U$1001,0),0), INDEX($AB$1004:$AQ$1004,1,MATCH(COLUMNS($AB$1006:AQ1006),$AB$1006:$AQ$1006,0)))),"Fix")))</f>
        <v>0</v>
      </c>
      <c r="U818">
        <v>0</v>
      </c>
      <c r="V818">
        <v>0</v>
      </c>
      <c r="W818">
        <v>0</v>
      </c>
      <c r="X818">
        <f>IF(Y818,TRUE,AND(AB818:AQ818))</f>
        <v>0</v>
      </c>
      <c r="Y818">
        <f>COUNTBLANK(Metadata!B818:Q818)=COLUMNS(Metadata!B818:Q818)</f>
        <v>0</v>
      </c>
      <c r="Z818">
        <v>0</v>
      </c>
      <c r="AB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AC818">
        <f>AND(IF(Metadata!C818="",FALSE,TRUE),exact(Metadata!C818,"urban biome"))</f>
        <v>0</v>
      </c>
      <c r="AD818">
        <f>AND(IF(Metadata!D818="",FALSE,TRUE),exact(Metadata!D818,"human-associated habitat"))</f>
        <v>0</v>
      </c>
      <c r="AE818">
        <f>AND(IF(Metadata!E818="",FALSE,TRUE),OR(exact(Metadata!E818,"human-associated"),exact(Metadata!E818,"human-skin"),exact(Metadata!E818,"human-oral"),exact(Metadata!E818,"human-gut"),exact(Metadata!E818,"human-vaginal")))</f>
        <v>0</v>
      </c>
      <c r="AF818">
        <f>AND(IF(Metadata!F818="",FALSE,ISNUMBER(VALUE(Metadata!F818))),Metadata!F818&gt;0)</f>
        <v>0</v>
      </c>
      <c r="AG818">
        <f>AND(IF(Metadata!G818="",FALSE,TRUE),exact(Metadata!G818,"years"))</f>
        <v>0</v>
      </c>
      <c r="AH818">
        <f>OR(AND(IF(Metadata!H818="",FALSE,TRUE),OR(exact(Metadata!H818,"not applicable"),exact(Metadata!H818,"not collected"),exact(Metadata!H818,"not provided"),exact(Metadata!H818,"restricted access"))),AND(IF(Metadata!H818="",FALSE,ISNUMBER(VALUE(Metadata!H818))),Metadata!H818&gt;0))</f>
        <v>0</v>
      </c>
      <c r="AI818">
        <f>AND(IF(Metadata!I818="",FALSE,TRUE),exact(Metadata!I818,"human"))</f>
        <v>0</v>
      </c>
      <c r="AJ818">
        <f>AND(IF(Metadata!J818="",FALSE,ISNUMBER(VALUE(Metadata!J818))),Metadata!J818&gt;0)</f>
        <v>0</v>
      </c>
      <c r="AK818">
        <f>AND(IF(Metadata!K818="",FALSE,TRUE),exact(Metadata!K818,"cm"))</f>
        <v>0</v>
      </c>
      <c r="AL818">
        <f>AND(IF(Metadata!L818="",FALSE,TRUE),exact(Metadata!L818,"Homo sapiens"))</f>
        <v>0</v>
      </c>
      <c r="AM818">
        <f>AND(IF(Metadata!M818="",FALSE,TRUE),exact(Metadata!M818,"9606"))</f>
        <v>0</v>
      </c>
      <c r="AN818">
        <f>AND(IF(Metadata!N818="",FALSE,ISNUMBER(VALUE(Metadata!N818))),Metadata!N818&gt;0)</f>
        <v>0</v>
      </c>
      <c r="AO818">
        <f>AND(IF(Metadata!O818="",FALSE,TRUE),exact(Metadata!O818,"kg"))</f>
        <v>0</v>
      </c>
      <c r="AP818">
        <f>OR(AND(IF(Metadata!P818="",FALSE,TRUE),exact(Metadata!P818,"not provided")),IF(Metadata!P818="",FALSE,TRUE))</f>
        <v>0</v>
      </c>
      <c r="AQ818">
        <f>OR(AND(IF(Metadata!Q818="",FALSE,TRUE),exact(Metadata!Q818,"not provided")),IF(Metadata!Q818="",FALSE,TRUE))</f>
        <v>0</v>
      </c>
    </row>
    <row r="819" spans="1:43">
      <c r="A819" s="4">
        <f>IF(B819=" "," ",HYPERLINK(CONCATENATE("#metadata!",ADDRESS(INDEX($W$2:$W$1001,MATCH(ROWS($U$2:U819),$U$2:$U$1001,0),0),2)),INDEX($Z$2:$Z$1001,MATCH(ROWS($U$2:U819),$U$2:$U$1001,0),0)))</f>
        <v>0</v>
      </c>
      <c r="B819" s="5">
        <f>IF(OR(INDEX($V$2:$V$1001,MATCH(ROWS($U$2:U819),$U$2:$U$1001,0),1)&gt;=100000,INDEX($AB$1005:$AQ$1005,1,MATCH(COLUMNS($AB$1006:AB1006),$AB$1006:$AQ$1006,0))&gt;=100000), " ",IF(INDEX($AB$2:$AQ$1001,MATCH(ROWS($U$2:U819),$U$2:$U$1001,0),MATCH(COLUMNS($AB$1006:AB1006),$AB$1006:$AQ$1006,0)), HYPERLINK("#",""), HYPERLINK(CONCATENATE("#Metadata!", ADDRESS(INDEX($W$2:$W$1001,MATCH(ROWS($U$2:U819),$U$2:$U$1001,0),0), INDEX($AB$1004:$AQ$1004,1,MATCH(COLUMNS($AB$1006:AB1006),$AB$1006:$AQ$1006,0)))),"Fix")))</f>
        <v>0</v>
      </c>
      <c r="C819" s="5">
        <f>IF(OR(INDEX($V$2:$V$1001,MATCH(ROWS($U$2:U819),$U$2:$U$1001,0),1)&gt;=100000,INDEX($AB$1005:$AQ$1005,1,MATCH(COLUMNS($AB$1006:AC1006),$AB$1006:$AQ$1006,0))&gt;=100000), " ",IF(INDEX($AB$2:$AQ$1001,MATCH(ROWS($U$2:U819),$U$2:$U$1001,0),MATCH(COLUMNS($AB$1006:AC1006),$AB$1006:$AQ$1006,0)), HYPERLINK("#",""), HYPERLINK(CONCATENATE("#Metadata!", ADDRESS(INDEX($W$2:$W$1001,MATCH(ROWS($U$2:U819),$U$2:$U$1001,0),0), INDEX($AB$1004:$AQ$1004,1,MATCH(COLUMNS($AB$1006:AC1006),$AB$1006:$AQ$1006,0)))),"Fix")))</f>
        <v>0</v>
      </c>
      <c r="D819" s="5">
        <f>IF(OR(INDEX($V$2:$V$1001,MATCH(ROWS($U$2:U819),$U$2:$U$1001,0),1)&gt;=100000,INDEX($AB$1005:$AQ$1005,1,MATCH(COLUMNS($AB$1006:AD1006),$AB$1006:$AQ$1006,0))&gt;=100000), " ",IF(INDEX($AB$2:$AQ$1001,MATCH(ROWS($U$2:U819),$U$2:$U$1001,0),MATCH(COLUMNS($AB$1006:AD1006),$AB$1006:$AQ$1006,0)), HYPERLINK("#",""), HYPERLINK(CONCATENATE("#Metadata!", ADDRESS(INDEX($W$2:$W$1001,MATCH(ROWS($U$2:U819),$U$2:$U$1001,0),0), INDEX($AB$1004:$AQ$1004,1,MATCH(COLUMNS($AB$1006:AD1006),$AB$1006:$AQ$1006,0)))),"Fix")))</f>
        <v>0</v>
      </c>
      <c r="E819" s="5">
        <f>IF(OR(INDEX($V$2:$V$1001,MATCH(ROWS($U$2:U819),$U$2:$U$1001,0),1)&gt;=100000,INDEX($AB$1005:$AQ$1005,1,MATCH(COLUMNS($AB$1006:AE1006),$AB$1006:$AQ$1006,0))&gt;=100000), " ",IF(INDEX($AB$2:$AQ$1001,MATCH(ROWS($U$2:U819),$U$2:$U$1001,0),MATCH(COLUMNS($AB$1006:AE1006),$AB$1006:$AQ$1006,0)), HYPERLINK("#",""), HYPERLINK(CONCATENATE("#Metadata!", ADDRESS(INDEX($W$2:$W$1001,MATCH(ROWS($U$2:U819),$U$2:$U$1001,0),0), INDEX($AB$1004:$AQ$1004,1,MATCH(COLUMNS($AB$1006:AE1006),$AB$1006:$AQ$1006,0)))),"Fix")))</f>
        <v>0</v>
      </c>
      <c r="F819" s="5">
        <f>IF(OR(INDEX($V$2:$V$1001,MATCH(ROWS($U$2:U819),$U$2:$U$1001,0),1)&gt;=100000,INDEX($AB$1005:$AQ$1005,1,MATCH(COLUMNS($AB$1006:AF1006),$AB$1006:$AQ$1006,0))&gt;=100000), " ",IF(INDEX($AB$2:$AQ$1001,MATCH(ROWS($U$2:U819),$U$2:$U$1001,0),MATCH(COLUMNS($AB$1006:AF1006),$AB$1006:$AQ$1006,0)), HYPERLINK("#",""), HYPERLINK(CONCATENATE("#Metadata!", ADDRESS(INDEX($W$2:$W$1001,MATCH(ROWS($U$2:U819),$U$2:$U$1001,0),0), INDEX($AB$1004:$AQ$1004,1,MATCH(COLUMNS($AB$1006:AF1006),$AB$1006:$AQ$1006,0)))),"Fix")))</f>
        <v>0</v>
      </c>
      <c r="G819" s="5">
        <f>IF(OR(INDEX($V$2:$V$1001,MATCH(ROWS($U$2:U819),$U$2:$U$1001,0),1)&gt;=100000,INDEX($AB$1005:$AQ$1005,1,MATCH(COLUMNS($AB$1006:AG1006),$AB$1006:$AQ$1006,0))&gt;=100000), " ",IF(INDEX($AB$2:$AQ$1001,MATCH(ROWS($U$2:U819),$U$2:$U$1001,0),MATCH(COLUMNS($AB$1006:AG1006),$AB$1006:$AQ$1006,0)), HYPERLINK("#",""), HYPERLINK(CONCATENATE("#Metadata!", ADDRESS(INDEX($W$2:$W$1001,MATCH(ROWS($U$2:U819),$U$2:$U$1001,0),0), INDEX($AB$1004:$AQ$1004,1,MATCH(COLUMNS($AB$1006:AG1006),$AB$1006:$AQ$1006,0)))),"Fix")))</f>
        <v>0</v>
      </c>
      <c r="H819" s="5">
        <f>IF(OR(INDEX($V$2:$V$1001,MATCH(ROWS($U$2:U819),$U$2:$U$1001,0),1)&gt;=100000,INDEX($AB$1005:$AQ$1005,1,MATCH(COLUMNS($AB$1006:AH1006),$AB$1006:$AQ$1006,0))&gt;=100000), " ",IF(INDEX($AB$2:$AQ$1001,MATCH(ROWS($U$2:U819),$U$2:$U$1001,0),MATCH(COLUMNS($AB$1006:AH1006),$AB$1006:$AQ$1006,0)), HYPERLINK("#",""), HYPERLINK(CONCATENATE("#Metadata!", ADDRESS(INDEX($W$2:$W$1001,MATCH(ROWS($U$2:U819),$U$2:$U$1001,0),0), INDEX($AB$1004:$AQ$1004,1,MATCH(COLUMNS($AB$1006:AH1006),$AB$1006:$AQ$1006,0)))),"Fix")))</f>
        <v>0</v>
      </c>
      <c r="I819" s="5">
        <f>IF(OR(INDEX($V$2:$V$1001,MATCH(ROWS($U$2:U819),$U$2:$U$1001,0),1)&gt;=100000,INDEX($AB$1005:$AQ$1005,1,MATCH(COLUMNS($AB$1006:AI1006),$AB$1006:$AQ$1006,0))&gt;=100000), " ",IF(INDEX($AB$2:$AQ$1001,MATCH(ROWS($U$2:U819),$U$2:$U$1001,0),MATCH(COLUMNS($AB$1006:AI1006),$AB$1006:$AQ$1006,0)), HYPERLINK("#",""), HYPERLINK(CONCATENATE("#Metadata!", ADDRESS(INDEX($W$2:$W$1001,MATCH(ROWS($U$2:U819),$U$2:$U$1001,0),0), INDEX($AB$1004:$AQ$1004,1,MATCH(COLUMNS($AB$1006:AI1006),$AB$1006:$AQ$1006,0)))),"Fix")))</f>
        <v>0</v>
      </c>
      <c r="J819" s="5">
        <f>IF(OR(INDEX($V$2:$V$1001,MATCH(ROWS($U$2:U819),$U$2:$U$1001,0),1)&gt;=100000,INDEX($AB$1005:$AQ$1005,1,MATCH(COLUMNS($AB$1006:AJ1006),$AB$1006:$AQ$1006,0))&gt;=100000), " ",IF(INDEX($AB$2:$AQ$1001,MATCH(ROWS($U$2:U819),$U$2:$U$1001,0),MATCH(COLUMNS($AB$1006:AJ1006),$AB$1006:$AQ$1006,0)), HYPERLINK("#",""), HYPERLINK(CONCATENATE("#Metadata!", ADDRESS(INDEX($W$2:$W$1001,MATCH(ROWS($U$2:U819),$U$2:$U$1001,0),0), INDEX($AB$1004:$AQ$1004,1,MATCH(COLUMNS($AB$1006:AJ1006),$AB$1006:$AQ$1006,0)))),"Fix")))</f>
        <v>0</v>
      </c>
      <c r="K819" s="5">
        <f>IF(OR(INDEX($V$2:$V$1001,MATCH(ROWS($U$2:U819),$U$2:$U$1001,0),1)&gt;=100000,INDEX($AB$1005:$AQ$1005,1,MATCH(COLUMNS($AB$1006:AK1006),$AB$1006:$AQ$1006,0))&gt;=100000), " ",IF(INDEX($AB$2:$AQ$1001,MATCH(ROWS($U$2:U819),$U$2:$U$1001,0),MATCH(COLUMNS($AB$1006:AK1006),$AB$1006:$AQ$1006,0)), HYPERLINK("#",""), HYPERLINK(CONCATENATE("#Metadata!", ADDRESS(INDEX($W$2:$W$1001,MATCH(ROWS($U$2:U819),$U$2:$U$1001,0),0), INDEX($AB$1004:$AQ$1004,1,MATCH(COLUMNS($AB$1006:AK1006),$AB$1006:$AQ$1006,0)))),"Fix")))</f>
        <v>0</v>
      </c>
      <c r="L819" s="5">
        <f>IF(OR(INDEX($V$2:$V$1001,MATCH(ROWS($U$2:U819),$U$2:$U$1001,0),1)&gt;=100000,INDEX($AB$1005:$AQ$1005,1,MATCH(COLUMNS($AB$1006:AL1006),$AB$1006:$AQ$1006,0))&gt;=100000), " ",IF(INDEX($AB$2:$AQ$1001,MATCH(ROWS($U$2:U819),$U$2:$U$1001,0),MATCH(COLUMNS($AB$1006:AL1006),$AB$1006:$AQ$1006,0)), HYPERLINK("#",""), HYPERLINK(CONCATENATE("#Metadata!", ADDRESS(INDEX($W$2:$W$1001,MATCH(ROWS($U$2:U819),$U$2:$U$1001,0),0), INDEX($AB$1004:$AQ$1004,1,MATCH(COLUMNS($AB$1006:AL1006),$AB$1006:$AQ$1006,0)))),"Fix")))</f>
        <v>0</v>
      </c>
      <c r="M819" s="5">
        <f>IF(OR(INDEX($V$2:$V$1001,MATCH(ROWS($U$2:U819),$U$2:$U$1001,0),1)&gt;=100000,INDEX($AB$1005:$AQ$1005,1,MATCH(COLUMNS($AB$1006:AM1006),$AB$1006:$AQ$1006,0))&gt;=100000), " ",IF(INDEX($AB$2:$AQ$1001,MATCH(ROWS($U$2:U819),$U$2:$U$1001,0),MATCH(COLUMNS($AB$1006:AM1006),$AB$1006:$AQ$1006,0)), HYPERLINK("#",""), HYPERLINK(CONCATENATE("#Metadata!", ADDRESS(INDEX($W$2:$W$1001,MATCH(ROWS($U$2:U819),$U$2:$U$1001,0),0), INDEX($AB$1004:$AQ$1004,1,MATCH(COLUMNS($AB$1006:AM1006),$AB$1006:$AQ$1006,0)))),"Fix")))</f>
        <v>0</v>
      </c>
      <c r="N819" s="5">
        <f>IF(OR(INDEX($V$2:$V$1001,MATCH(ROWS($U$2:U819),$U$2:$U$1001,0),1)&gt;=100000,INDEX($AB$1005:$AQ$1005,1,MATCH(COLUMNS($AB$1006:AN1006),$AB$1006:$AQ$1006,0))&gt;=100000), " ",IF(INDEX($AB$2:$AQ$1001,MATCH(ROWS($U$2:U819),$U$2:$U$1001,0),MATCH(COLUMNS($AB$1006:AN1006),$AB$1006:$AQ$1006,0)), HYPERLINK("#",""), HYPERLINK(CONCATENATE("#Metadata!", ADDRESS(INDEX($W$2:$W$1001,MATCH(ROWS($U$2:U819),$U$2:$U$1001,0),0), INDEX($AB$1004:$AQ$1004,1,MATCH(COLUMNS($AB$1006:AN1006),$AB$1006:$AQ$1006,0)))),"Fix")))</f>
        <v>0</v>
      </c>
      <c r="O819" s="5">
        <f>IF(OR(INDEX($V$2:$V$1001,MATCH(ROWS($U$2:U819),$U$2:$U$1001,0),1)&gt;=100000,INDEX($AB$1005:$AQ$1005,1,MATCH(COLUMNS($AB$1006:AO1006),$AB$1006:$AQ$1006,0))&gt;=100000), " ",IF(INDEX($AB$2:$AQ$1001,MATCH(ROWS($U$2:U819),$U$2:$U$1001,0),MATCH(COLUMNS($AB$1006:AO1006),$AB$1006:$AQ$1006,0)), HYPERLINK("#",""), HYPERLINK(CONCATENATE("#Metadata!", ADDRESS(INDEX($W$2:$W$1001,MATCH(ROWS($U$2:U819),$U$2:$U$1001,0),0), INDEX($AB$1004:$AQ$1004,1,MATCH(COLUMNS($AB$1006:AO1006),$AB$1006:$AQ$1006,0)))),"Fix")))</f>
        <v>0</v>
      </c>
      <c r="P819" s="5">
        <f>IF(OR(INDEX($V$2:$V$1001,MATCH(ROWS($U$2:U819),$U$2:$U$1001,0),1)&gt;=100000,INDEX($AB$1005:$AQ$1005,1,MATCH(COLUMNS($AB$1006:AP1006),$AB$1006:$AQ$1006,0))&gt;=100000), " ",IF(INDEX($AB$2:$AQ$1001,MATCH(ROWS($U$2:U819),$U$2:$U$1001,0),MATCH(COLUMNS($AB$1006:AP1006),$AB$1006:$AQ$1006,0)), HYPERLINK("#",""), HYPERLINK(CONCATENATE("#Metadata!", ADDRESS(INDEX($W$2:$W$1001,MATCH(ROWS($U$2:U819),$U$2:$U$1001,0),0), INDEX($AB$1004:$AQ$1004,1,MATCH(COLUMNS($AB$1006:AP1006),$AB$1006:$AQ$1006,0)))),"Fix")))</f>
        <v>0</v>
      </c>
      <c r="Q819" s="5">
        <f>IF(OR(INDEX($V$2:$V$1001,MATCH(ROWS($U$2:U819),$U$2:$U$1001,0),1)&gt;=100000,INDEX($AB$1005:$AQ$1005,1,MATCH(COLUMNS($AB$1006:AQ1006),$AB$1006:$AQ$1006,0))&gt;=100000), " ",IF(INDEX($AB$2:$AQ$1001,MATCH(ROWS($U$2:U819),$U$2:$U$1001,0),MATCH(COLUMNS($AB$1006:AQ1006),$AB$1006:$AQ$1006,0)), HYPERLINK("#",""), HYPERLINK(CONCATENATE("#Metadata!", ADDRESS(INDEX($W$2:$W$1001,MATCH(ROWS($U$2:U819),$U$2:$U$1001,0),0), INDEX($AB$1004:$AQ$1004,1,MATCH(COLUMNS($AB$1006:AQ1006),$AB$1006:$AQ$1006,0)))),"Fix")))</f>
        <v>0</v>
      </c>
      <c r="U819">
        <v>0</v>
      </c>
      <c r="V819">
        <v>0</v>
      </c>
      <c r="W819">
        <v>0</v>
      </c>
      <c r="X819">
        <f>IF(Y819,TRUE,AND(AB819:AQ819))</f>
        <v>0</v>
      </c>
      <c r="Y819">
        <f>COUNTBLANK(Metadata!B819:Q819)=COLUMNS(Metadata!B819:Q819)</f>
        <v>0</v>
      </c>
      <c r="Z819">
        <v>0</v>
      </c>
      <c r="AB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AC819">
        <f>AND(IF(Metadata!C819="",FALSE,TRUE),exact(Metadata!C819,"urban biome"))</f>
        <v>0</v>
      </c>
      <c r="AD819">
        <f>AND(IF(Metadata!D819="",FALSE,TRUE),exact(Metadata!D819,"human-associated habitat"))</f>
        <v>0</v>
      </c>
      <c r="AE819">
        <f>AND(IF(Metadata!E819="",FALSE,TRUE),OR(exact(Metadata!E819,"human-associated"),exact(Metadata!E819,"human-skin"),exact(Metadata!E819,"human-oral"),exact(Metadata!E819,"human-gut"),exact(Metadata!E819,"human-vaginal")))</f>
        <v>0</v>
      </c>
      <c r="AF819">
        <f>AND(IF(Metadata!F819="",FALSE,ISNUMBER(VALUE(Metadata!F819))),Metadata!F819&gt;0)</f>
        <v>0</v>
      </c>
      <c r="AG819">
        <f>AND(IF(Metadata!G819="",FALSE,TRUE),exact(Metadata!G819,"years"))</f>
        <v>0</v>
      </c>
      <c r="AH819">
        <f>OR(AND(IF(Metadata!H819="",FALSE,TRUE),OR(exact(Metadata!H819,"not applicable"),exact(Metadata!H819,"not collected"),exact(Metadata!H819,"not provided"),exact(Metadata!H819,"restricted access"))),AND(IF(Metadata!H819="",FALSE,ISNUMBER(VALUE(Metadata!H819))),Metadata!H819&gt;0))</f>
        <v>0</v>
      </c>
      <c r="AI819">
        <f>AND(IF(Metadata!I819="",FALSE,TRUE),exact(Metadata!I819,"human"))</f>
        <v>0</v>
      </c>
      <c r="AJ819">
        <f>AND(IF(Metadata!J819="",FALSE,ISNUMBER(VALUE(Metadata!J819))),Metadata!J819&gt;0)</f>
        <v>0</v>
      </c>
      <c r="AK819">
        <f>AND(IF(Metadata!K819="",FALSE,TRUE),exact(Metadata!K819,"cm"))</f>
        <v>0</v>
      </c>
      <c r="AL819">
        <f>AND(IF(Metadata!L819="",FALSE,TRUE),exact(Metadata!L819,"Homo sapiens"))</f>
        <v>0</v>
      </c>
      <c r="AM819">
        <f>AND(IF(Metadata!M819="",FALSE,TRUE),exact(Metadata!M819,"9606"))</f>
        <v>0</v>
      </c>
      <c r="AN819">
        <f>AND(IF(Metadata!N819="",FALSE,ISNUMBER(VALUE(Metadata!N819))),Metadata!N819&gt;0)</f>
        <v>0</v>
      </c>
      <c r="AO819">
        <f>AND(IF(Metadata!O819="",FALSE,TRUE),exact(Metadata!O819,"kg"))</f>
        <v>0</v>
      </c>
      <c r="AP819">
        <f>OR(AND(IF(Metadata!P819="",FALSE,TRUE),exact(Metadata!P819,"not provided")),IF(Metadata!P819="",FALSE,TRUE))</f>
        <v>0</v>
      </c>
      <c r="AQ819">
        <f>OR(AND(IF(Metadata!Q819="",FALSE,TRUE),exact(Metadata!Q819,"not provided")),IF(Metadata!Q819="",FALSE,TRUE))</f>
        <v>0</v>
      </c>
    </row>
    <row r="820" spans="1:43">
      <c r="A820" s="4">
        <f>IF(B820=" "," ",HYPERLINK(CONCATENATE("#metadata!",ADDRESS(INDEX($W$2:$W$1001,MATCH(ROWS($U$2:U820),$U$2:$U$1001,0),0),2)),INDEX($Z$2:$Z$1001,MATCH(ROWS($U$2:U820),$U$2:$U$1001,0),0)))</f>
        <v>0</v>
      </c>
      <c r="B820" s="5">
        <f>IF(OR(INDEX($V$2:$V$1001,MATCH(ROWS($U$2:U820),$U$2:$U$1001,0),1)&gt;=100000,INDEX($AB$1005:$AQ$1005,1,MATCH(COLUMNS($AB$1006:AB1006),$AB$1006:$AQ$1006,0))&gt;=100000), " ",IF(INDEX($AB$2:$AQ$1001,MATCH(ROWS($U$2:U820),$U$2:$U$1001,0),MATCH(COLUMNS($AB$1006:AB1006),$AB$1006:$AQ$1006,0)), HYPERLINK("#",""), HYPERLINK(CONCATENATE("#Metadata!", ADDRESS(INDEX($W$2:$W$1001,MATCH(ROWS($U$2:U820),$U$2:$U$1001,0),0), INDEX($AB$1004:$AQ$1004,1,MATCH(COLUMNS($AB$1006:AB1006),$AB$1006:$AQ$1006,0)))),"Fix")))</f>
        <v>0</v>
      </c>
      <c r="C820" s="5">
        <f>IF(OR(INDEX($V$2:$V$1001,MATCH(ROWS($U$2:U820),$U$2:$U$1001,0),1)&gt;=100000,INDEX($AB$1005:$AQ$1005,1,MATCH(COLUMNS($AB$1006:AC1006),$AB$1006:$AQ$1006,0))&gt;=100000), " ",IF(INDEX($AB$2:$AQ$1001,MATCH(ROWS($U$2:U820),$U$2:$U$1001,0),MATCH(COLUMNS($AB$1006:AC1006),$AB$1006:$AQ$1006,0)), HYPERLINK("#",""), HYPERLINK(CONCATENATE("#Metadata!", ADDRESS(INDEX($W$2:$W$1001,MATCH(ROWS($U$2:U820),$U$2:$U$1001,0),0), INDEX($AB$1004:$AQ$1004,1,MATCH(COLUMNS($AB$1006:AC1006),$AB$1006:$AQ$1006,0)))),"Fix")))</f>
        <v>0</v>
      </c>
      <c r="D820" s="5">
        <f>IF(OR(INDEX($V$2:$V$1001,MATCH(ROWS($U$2:U820),$U$2:$U$1001,0),1)&gt;=100000,INDEX($AB$1005:$AQ$1005,1,MATCH(COLUMNS($AB$1006:AD1006),$AB$1006:$AQ$1006,0))&gt;=100000), " ",IF(INDEX($AB$2:$AQ$1001,MATCH(ROWS($U$2:U820),$U$2:$U$1001,0),MATCH(COLUMNS($AB$1006:AD1006),$AB$1006:$AQ$1006,0)), HYPERLINK("#",""), HYPERLINK(CONCATENATE("#Metadata!", ADDRESS(INDEX($W$2:$W$1001,MATCH(ROWS($U$2:U820),$U$2:$U$1001,0),0), INDEX($AB$1004:$AQ$1004,1,MATCH(COLUMNS($AB$1006:AD1006),$AB$1006:$AQ$1006,0)))),"Fix")))</f>
        <v>0</v>
      </c>
      <c r="E820" s="5">
        <f>IF(OR(INDEX($V$2:$V$1001,MATCH(ROWS($U$2:U820),$U$2:$U$1001,0),1)&gt;=100000,INDEX($AB$1005:$AQ$1005,1,MATCH(COLUMNS($AB$1006:AE1006),$AB$1006:$AQ$1006,0))&gt;=100000), " ",IF(INDEX($AB$2:$AQ$1001,MATCH(ROWS($U$2:U820),$U$2:$U$1001,0),MATCH(COLUMNS($AB$1006:AE1006),$AB$1006:$AQ$1006,0)), HYPERLINK("#",""), HYPERLINK(CONCATENATE("#Metadata!", ADDRESS(INDEX($W$2:$W$1001,MATCH(ROWS($U$2:U820),$U$2:$U$1001,0),0), INDEX($AB$1004:$AQ$1004,1,MATCH(COLUMNS($AB$1006:AE1006),$AB$1006:$AQ$1006,0)))),"Fix")))</f>
        <v>0</v>
      </c>
      <c r="F820" s="5">
        <f>IF(OR(INDEX($V$2:$V$1001,MATCH(ROWS($U$2:U820),$U$2:$U$1001,0),1)&gt;=100000,INDEX($AB$1005:$AQ$1005,1,MATCH(COLUMNS($AB$1006:AF1006),$AB$1006:$AQ$1006,0))&gt;=100000), " ",IF(INDEX($AB$2:$AQ$1001,MATCH(ROWS($U$2:U820),$U$2:$U$1001,0),MATCH(COLUMNS($AB$1006:AF1006),$AB$1006:$AQ$1006,0)), HYPERLINK("#",""), HYPERLINK(CONCATENATE("#Metadata!", ADDRESS(INDEX($W$2:$W$1001,MATCH(ROWS($U$2:U820),$U$2:$U$1001,0),0), INDEX($AB$1004:$AQ$1004,1,MATCH(COLUMNS($AB$1006:AF1006),$AB$1006:$AQ$1006,0)))),"Fix")))</f>
        <v>0</v>
      </c>
      <c r="G820" s="5">
        <f>IF(OR(INDEX($V$2:$V$1001,MATCH(ROWS($U$2:U820),$U$2:$U$1001,0),1)&gt;=100000,INDEX($AB$1005:$AQ$1005,1,MATCH(COLUMNS($AB$1006:AG1006),$AB$1006:$AQ$1006,0))&gt;=100000), " ",IF(INDEX($AB$2:$AQ$1001,MATCH(ROWS($U$2:U820),$U$2:$U$1001,0),MATCH(COLUMNS($AB$1006:AG1006),$AB$1006:$AQ$1006,0)), HYPERLINK("#",""), HYPERLINK(CONCATENATE("#Metadata!", ADDRESS(INDEX($W$2:$W$1001,MATCH(ROWS($U$2:U820),$U$2:$U$1001,0),0), INDEX($AB$1004:$AQ$1004,1,MATCH(COLUMNS($AB$1006:AG1006),$AB$1006:$AQ$1006,0)))),"Fix")))</f>
        <v>0</v>
      </c>
      <c r="H820" s="5">
        <f>IF(OR(INDEX($V$2:$V$1001,MATCH(ROWS($U$2:U820),$U$2:$U$1001,0),1)&gt;=100000,INDEX($AB$1005:$AQ$1005,1,MATCH(COLUMNS($AB$1006:AH1006),$AB$1006:$AQ$1006,0))&gt;=100000), " ",IF(INDEX($AB$2:$AQ$1001,MATCH(ROWS($U$2:U820),$U$2:$U$1001,0),MATCH(COLUMNS($AB$1006:AH1006),$AB$1006:$AQ$1006,0)), HYPERLINK("#",""), HYPERLINK(CONCATENATE("#Metadata!", ADDRESS(INDEX($W$2:$W$1001,MATCH(ROWS($U$2:U820),$U$2:$U$1001,0),0), INDEX($AB$1004:$AQ$1004,1,MATCH(COLUMNS($AB$1006:AH1006),$AB$1006:$AQ$1006,0)))),"Fix")))</f>
        <v>0</v>
      </c>
      <c r="I820" s="5">
        <f>IF(OR(INDEX($V$2:$V$1001,MATCH(ROWS($U$2:U820),$U$2:$U$1001,0),1)&gt;=100000,INDEX($AB$1005:$AQ$1005,1,MATCH(COLUMNS($AB$1006:AI1006),$AB$1006:$AQ$1006,0))&gt;=100000), " ",IF(INDEX($AB$2:$AQ$1001,MATCH(ROWS($U$2:U820),$U$2:$U$1001,0),MATCH(COLUMNS($AB$1006:AI1006),$AB$1006:$AQ$1006,0)), HYPERLINK("#",""), HYPERLINK(CONCATENATE("#Metadata!", ADDRESS(INDEX($W$2:$W$1001,MATCH(ROWS($U$2:U820),$U$2:$U$1001,0),0), INDEX($AB$1004:$AQ$1004,1,MATCH(COLUMNS($AB$1006:AI1006),$AB$1006:$AQ$1006,0)))),"Fix")))</f>
        <v>0</v>
      </c>
      <c r="J820" s="5">
        <f>IF(OR(INDEX($V$2:$V$1001,MATCH(ROWS($U$2:U820),$U$2:$U$1001,0),1)&gt;=100000,INDEX($AB$1005:$AQ$1005,1,MATCH(COLUMNS($AB$1006:AJ1006),$AB$1006:$AQ$1006,0))&gt;=100000), " ",IF(INDEX($AB$2:$AQ$1001,MATCH(ROWS($U$2:U820),$U$2:$U$1001,0),MATCH(COLUMNS($AB$1006:AJ1006),$AB$1006:$AQ$1006,0)), HYPERLINK("#",""), HYPERLINK(CONCATENATE("#Metadata!", ADDRESS(INDEX($W$2:$W$1001,MATCH(ROWS($U$2:U820),$U$2:$U$1001,0),0), INDEX($AB$1004:$AQ$1004,1,MATCH(COLUMNS($AB$1006:AJ1006),$AB$1006:$AQ$1006,0)))),"Fix")))</f>
        <v>0</v>
      </c>
      <c r="K820" s="5">
        <f>IF(OR(INDEX($V$2:$V$1001,MATCH(ROWS($U$2:U820),$U$2:$U$1001,0),1)&gt;=100000,INDEX($AB$1005:$AQ$1005,1,MATCH(COLUMNS($AB$1006:AK1006),$AB$1006:$AQ$1006,0))&gt;=100000), " ",IF(INDEX($AB$2:$AQ$1001,MATCH(ROWS($U$2:U820),$U$2:$U$1001,0),MATCH(COLUMNS($AB$1006:AK1006),$AB$1006:$AQ$1006,0)), HYPERLINK("#",""), HYPERLINK(CONCATENATE("#Metadata!", ADDRESS(INDEX($W$2:$W$1001,MATCH(ROWS($U$2:U820),$U$2:$U$1001,0),0), INDEX($AB$1004:$AQ$1004,1,MATCH(COLUMNS($AB$1006:AK1006),$AB$1006:$AQ$1006,0)))),"Fix")))</f>
        <v>0</v>
      </c>
      <c r="L820" s="5">
        <f>IF(OR(INDEX($V$2:$V$1001,MATCH(ROWS($U$2:U820),$U$2:$U$1001,0),1)&gt;=100000,INDEX($AB$1005:$AQ$1005,1,MATCH(COLUMNS($AB$1006:AL1006),$AB$1006:$AQ$1006,0))&gt;=100000), " ",IF(INDEX($AB$2:$AQ$1001,MATCH(ROWS($U$2:U820),$U$2:$U$1001,0),MATCH(COLUMNS($AB$1006:AL1006),$AB$1006:$AQ$1006,0)), HYPERLINK("#",""), HYPERLINK(CONCATENATE("#Metadata!", ADDRESS(INDEX($W$2:$W$1001,MATCH(ROWS($U$2:U820),$U$2:$U$1001,0),0), INDEX($AB$1004:$AQ$1004,1,MATCH(COLUMNS($AB$1006:AL1006),$AB$1006:$AQ$1006,0)))),"Fix")))</f>
        <v>0</v>
      </c>
      <c r="M820" s="5">
        <f>IF(OR(INDEX($V$2:$V$1001,MATCH(ROWS($U$2:U820),$U$2:$U$1001,0),1)&gt;=100000,INDEX($AB$1005:$AQ$1005,1,MATCH(COLUMNS($AB$1006:AM1006),$AB$1006:$AQ$1006,0))&gt;=100000), " ",IF(INDEX($AB$2:$AQ$1001,MATCH(ROWS($U$2:U820),$U$2:$U$1001,0),MATCH(COLUMNS($AB$1006:AM1006),$AB$1006:$AQ$1006,0)), HYPERLINK("#",""), HYPERLINK(CONCATENATE("#Metadata!", ADDRESS(INDEX($W$2:$W$1001,MATCH(ROWS($U$2:U820),$U$2:$U$1001,0),0), INDEX($AB$1004:$AQ$1004,1,MATCH(COLUMNS($AB$1006:AM1006),$AB$1006:$AQ$1006,0)))),"Fix")))</f>
        <v>0</v>
      </c>
      <c r="N820" s="5">
        <f>IF(OR(INDEX($V$2:$V$1001,MATCH(ROWS($U$2:U820),$U$2:$U$1001,0),1)&gt;=100000,INDEX($AB$1005:$AQ$1005,1,MATCH(COLUMNS($AB$1006:AN1006),$AB$1006:$AQ$1006,0))&gt;=100000), " ",IF(INDEX($AB$2:$AQ$1001,MATCH(ROWS($U$2:U820),$U$2:$U$1001,0),MATCH(COLUMNS($AB$1006:AN1006),$AB$1006:$AQ$1006,0)), HYPERLINK("#",""), HYPERLINK(CONCATENATE("#Metadata!", ADDRESS(INDEX($W$2:$W$1001,MATCH(ROWS($U$2:U820),$U$2:$U$1001,0),0), INDEX($AB$1004:$AQ$1004,1,MATCH(COLUMNS($AB$1006:AN1006),$AB$1006:$AQ$1006,0)))),"Fix")))</f>
        <v>0</v>
      </c>
      <c r="O820" s="5">
        <f>IF(OR(INDEX($V$2:$V$1001,MATCH(ROWS($U$2:U820),$U$2:$U$1001,0),1)&gt;=100000,INDEX($AB$1005:$AQ$1005,1,MATCH(COLUMNS($AB$1006:AO1006),$AB$1006:$AQ$1006,0))&gt;=100000), " ",IF(INDEX($AB$2:$AQ$1001,MATCH(ROWS($U$2:U820),$U$2:$U$1001,0),MATCH(COLUMNS($AB$1006:AO1006),$AB$1006:$AQ$1006,0)), HYPERLINK("#",""), HYPERLINK(CONCATENATE("#Metadata!", ADDRESS(INDEX($W$2:$W$1001,MATCH(ROWS($U$2:U820),$U$2:$U$1001,0),0), INDEX($AB$1004:$AQ$1004,1,MATCH(COLUMNS($AB$1006:AO1006),$AB$1006:$AQ$1006,0)))),"Fix")))</f>
        <v>0</v>
      </c>
      <c r="P820" s="5">
        <f>IF(OR(INDEX($V$2:$V$1001,MATCH(ROWS($U$2:U820),$U$2:$U$1001,0),1)&gt;=100000,INDEX($AB$1005:$AQ$1005,1,MATCH(COLUMNS($AB$1006:AP1006),$AB$1006:$AQ$1006,0))&gt;=100000), " ",IF(INDEX($AB$2:$AQ$1001,MATCH(ROWS($U$2:U820),$U$2:$U$1001,0),MATCH(COLUMNS($AB$1006:AP1006),$AB$1006:$AQ$1006,0)), HYPERLINK("#",""), HYPERLINK(CONCATENATE("#Metadata!", ADDRESS(INDEX($W$2:$W$1001,MATCH(ROWS($U$2:U820),$U$2:$U$1001,0),0), INDEX($AB$1004:$AQ$1004,1,MATCH(COLUMNS($AB$1006:AP1006),$AB$1006:$AQ$1006,0)))),"Fix")))</f>
        <v>0</v>
      </c>
      <c r="Q820" s="5">
        <f>IF(OR(INDEX($V$2:$V$1001,MATCH(ROWS($U$2:U820),$U$2:$U$1001,0),1)&gt;=100000,INDEX($AB$1005:$AQ$1005,1,MATCH(COLUMNS($AB$1006:AQ1006),$AB$1006:$AQ$1006,0))&gt;=100000), " ",IF(INDEX($AB$2:$AQ$1001,MATCH(ROWS($U$2:U820),$U$2:$U$1001,0),MATCH(COLUMNS($AB$1006:AQ1006),$AB$1006:$AQ$1006,0)), HYPERLINK("#",""), HYPERLINK(CONCATENATE("#Metadata!", ADDRESS(INDEX($W$2:$W$1001,MATCH(ROWS($U$2:U820),$U$2:$U$1001,0),0), INDEX($AB$1004:$AQ$1004,1,MATCH(COLUMNS($AB$1006:AQ1006),$AB$1006:$AQ$1006,0)))),"Fix")))</f>
        <v>0</v>
      </c>
      <c r="U820">
        <v>0</v>
      </c>
      <c r="V820">
        <v>0</v>
      </c>
      <c r="W820">
        <v>0</v>
      </c>
      <c r="X820">
        <f>IF(Y820,TRUE,AND(AB820:AQ820))</f>
        <v>0</v>
      </c>
      <c r="Y820">
        <f>COUNTBLANK(Metadata!B820:Q820)=COLUMNS(Metadata!B820:Q820)</f>
        <v>0</v>
      </c>
      <c r="Z820">
        <v>0</v>
      </c>
      <c r="AB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AC820">
        <f>AND(IF(Metadata!C820="",FALSE,TRUE),exact(Metadata!C820,"urban biome"))</f>
        <v>0</v>
      </c>
      <c r="AD820">
        <f>AND(IF(Metadata!D820="",FALSE,TRUE),exact(Metadata!D820,"human-associated habitat"))</f>
        <v>0</v>
      </c>
      <c r="AE820">
        <f>AND(IF(Metadata!E820="",FALSE,TRUE),OR(exact(Metadata!E820,"human-associated"),exact(Metadata!E820,"human-skin"),exact(Metadata!E820,"human-oral"),exact(Metadata!E820,"human-gut"),exact(Metadata!E820,"human-vaginal")))</f>
        <v>0</v>
      </c>
      <c r="AF820">
        <f>AND(IF(Metadata!F820="",FALSE,ISNUMBER(VALUE(Metadata!F820))),Metadata!F820&gt;0)</f>
        <v>0</v>
      </c>
      <c r="AG820">
        <f>AND(IF(Metadata!G820="",FALSE,TRUE),exact(Metadata!G820,"years"))</f>
        <v>0</v>
      </c>
      <c r="AH820">
        <f>OR(AND(IF(Metadata!H820="",FALSE,TRUE),OR(exact(Metadata!H820,"not applicable"),exact(Metadata!H820,"not collected"),exact(Metadata!H820,"not provided"),exact(Metadata!H820,"restricted access"))),AND(IF(Metadata!H820="",FALSE,ISNUMBER(VALUE(Metadata!H820))),Metadata!H820&gt;0))</f>
        <v>0</v>
      </c>
      <c r="AI820">
        <f>AND(IF(Metadata!I820="",FALSE,TRUE),exact(Metadata!I820,"human"))</f>
        <v>0</v>
      </c>
      <c r="AJ820">
        <f>AND(IF(Metadata!J820="",FALSE,ISNUMBER(VALUE(Metadata!J820))),Metadata!J820&gt;0)</f>
        <v>0</v>
      </c>
      <c r="AK820">
        <f>AND(IF(Metadata!K820="",FALSE,TRUE),exact(Metadata!K820,"cm"))</f>
        <v>0</v>
      </c>
      <c r="AL820">
        <f>AND(IF(Metadata!L820="",FALSE,TRUE),exact(Metadata!L820,"Homo sapiens"))</f>
        <v>0</v>
      </c>
      <c r="AM820">
        <f>AND(IF(Metadata!M820="",FALSE,TRUE),exact(Metadata!M820,"9606"))</f>
        <v>0</v>
      </c>
      <c r="AN820">
        <f>AND(IF(Metadata!N820="",FALSE,ISNUMBER(VALUE(Metadata!N820))),Metadata!N820&gt;0)</f>
        <v>0</v>
      </c>
      <c r="AO820">
        <f>AND(IF(Metadata!O820="",FALSE,TRUE),exact(Metadata!O820,"kg"))</f>
        <v>0</v>
      </c>
      <c r="AP820">
        <f>OR(AND(IF(Metadata!P820="",FALSE,TRUE),exact(Metadata!P820,"not provided")),IF(Metadata!P820="",FALSE,TRUE))</f>
        <v>0</v>
      </c>
      <c r="AQ820">
        <f>OR(AND(IF(Metadata!Q820="",FALSE,TRUE),exact(Metadata!Q820,"not provided")),IF(Metadata!Q820="",FALSE,TRUE))</f>
        <v>0</v>
      </c>
    </row>
    <row r="821" spans="1:43">
      <c r="A821" s="4">
        <f>IF(B821=" "," ",HYPERLINK(CONCATENATE("#metadata!",ADDRESS(INDEX($W$2:$W$1001,MATCH(ROWS($U$2:U821),$U$2:$U$1001,0),0),2)),INDEX($Z$2:$Z$1001,MATCH(ROWS($U$2:U821),$U$2:$U$1001,0),0)))</f>
        <v>0</v>
      </c>
      <c r="B821" s="5">
        <f>IF(OR(INDEX($V$2:$V$1001,MATCH(ROWS($U$2:U821),$U$2:$U$1001,0),1)&gt;=100000,INDEX($AB$1005:$AQ$1005,1,MATCH(COLUMNS($AB$1006:AB1006),$AB$1006:$AQ$1006,0))&gt;=100000), " ",IF(INDEX($AB$2:$AQ$1001,MATCH(ROWS($U$2:U821),$U$2:$U$1001,0),MATCH(COLUMNS($AB$1006:AB1006),$AB$1006:$AQ$1006,0)), HYPERLINK("#",""), HYPERLINK(CONCATENATE("#Metadata!", ADDRESS(INDEX($W$2:$W$1001,MATCH(ROWS($U$2:U821),$U$2:$U$1001,0),0), INDEX($AB$1004:$AQ$1004,1,MATCH(COLUMNS($AB$1006:AB1006),$AB$1006:$AQ$1006,0)))),"Fix")))</f>
        <v>0</v>
      </c>
      <c r="C821" s="5">
        <f>IF(OR(INDEX($V$2:$V$1001,MATCH(ROWS($U$2:U821),$U$2:$U$1001,0),1)&gt;=100000,INDEX($AB$1005:$AQ$1005,1,MATCH(COLUMNS($AB$1006:AC1006),$AB$1006:$AQ$1006,0))&gt;=100000), " ",IF(INDEX($AB$2:$AQ$1001,MATCH(ROWS($U$2:U821),$U$2:$U$1001,0),MATCH(COLUMNS($AB$1006:AC1006),$AB$1006:$AQ$1006,0)), HYPERLINK("#",""), HYPERLINK(CONCATENATE("#Metadata!", ADDRESS(INDEX($W$2:$W$1001,MATCH(ROWS($U$2:U821),$U$2:$U$1001,0),0), INDEX($AB$1004:$AQ$1004,1,MATCH(COLUMNS($AB$1006:AC1006),$AB$1006:$AQ$1006,0)))),"Fix")))</f>
        <v>0</v>
      </c>
      <c r="D821" s="5">
        <f>IF(OR(INDEX($V$2:$V$1001,MATCH(ROWS($U$2:U821),$U$2:$U$1001,0),1)&gt;=100000,INDEX($AB$1005:$AQ$1005,1,MATCH(COLUMNS($AB$1006:AD1006),$AB$1006:$AQ$1006,0))&gt;=100000), " ",IF(INDEX($AB$2:$AQ$1001,MATCH(ROWS($U$2:U821),$U$2:$U$1001,0),MATCH(COLUMNS($AB$1006:AD1006),$AB$1006:$AQ$1006,0)), HYPERLINK("#",""), HYPERLINK(CONCATENATE("#Metadata!", ADDRESS(INDEX($W$2:$W$1001,MATCH(ROWS($U$2:U821),$U$2:$U$1001,0),0), INDEX($AB$1004:$AQ$1004,1,MATCH(COLUMNS($AB$1006:AD1006),$AB$1006:$AQ$1006,0)))),"Fix")))</f>
        <v>0</v>
      </c>
      <c r="E821" s="5">
        <f>IF(OR(INDEX($V$2:$V$1001,MATCH(ROWS($U$2:U821),$U$2:$U$1001,0),1)&gt;=100000,INDEX($AB$1005:$AQ$1005,1,MATCH(COLUMNS($AB$1006:AE1006),$AB$1006:$AQ$1006,0))&gt;=100000), " ",IF(INDEX($AB$2:$AQ$1001,MATCH(ROWS($U$2:U821),$U$2:$U$1001,0),MATCH(COLUMNS($AB$1006:AE1006),$AB$1006:$AQ$1006,0)), HYPERLINK("#",""), HYPERLINK(CONCATENATE("#Metadata!", ADDRESS(INDEX($W$2:$W$1001,MATCH(ROWS($U$2:U821),$U$2:$U$1001,0),0), INDEX($AB$1004:$AQ$1004,1,MATCH(COLUMNS($AB$1006:AE1006),$AB$1006:$AQ$1006,0)))),"Fix")))</f>
        <v>0</v>
      </c>
      <c r="F821" s="5">
        <f>IF(OR(INDEX($V$2:$V$1001,MATCH(ROWS($U$2:U821),$U$2:$U$1001,0),1)&gt;=100000,INDEX($AB$1005:$AQ$1005,1,MATCH(COLUMNS($AB$1006:AF1006),$AB$1006:$AQ$1006,0))&gt;=100000), " ",IF(INDEX($AB$2:$AQ$1001,MATCH(ROWS($U$2:U821),$U$2:$U$1001,0),MATCH(COLUMNS($AB$1006:AF1006),$AB$1006:$AQ$1006,0)), HYPERLINK("#",""), HYPERLINK(CONCATENATE("#Metadata!", ADDRESS(INDEX($W$2:$W$1001,MATCH(ROWS($U$2:U821),$U$2:$U$1001,0),0), INDEX($AB$1004:$AQ$1004,1,MATCH(COLUMNS($AB$1006:AF1006),$AB$1006:$AQ$1006,0)))),"Fix")))</f>
        <v>0</v>
      </c>
      <c r="G821" s="5">
        <f>IF(OR(INDEX($V$2:$V$1001,MATCH(ROWS($U$2:U821),$U$2:$U$1001,0),1)&gt;=100000,INDEX($AB$1005:$AQ$1005,1,MATCH(COLUMNS($AB$1006:AG1006),$AB$1006:$AQ$1006,0))&gt;=100000), " ",IF(INDEX($AB$2:$AQ$1001,MATCH(ROWS($U$2:U821),$U$2:$U$1001,0),MATCH(COLUMNS($AB$1006:AG1006),$AB$1006:$AQ$1006,0)), HYPERLINK("#",""), HYPERLINK(CONCATENATE("#Metadata!", ADDRESS(INDEX($W$2:$W$1001,MATCH(ROWS($U$2:U821),$U$2:$U$1001,0),0), INDEX($AB$1004:$AQ$1004,1,MATCH(COLUMNS($AB$1006:AG1006),$AB$1006:$AQ$1006,0)))),"Fix")))</f>
        <v>0</v>
      </c>
      <c r="H821" s="5">
        <f>IF(OR(INDEX($V$2:$V$1001,MATCH(ROWS($U$2:U821),$U$2:$U$1001,0),1)&gt;=100000,INDEX($AB$1005:$AQ$1005,1,MATCH(COLUMNS($AB$1006:AH1006),$AB$1006:$AQ$1006,0))&gt;=100000), " ",IF(INDEX($AB$2:$AQ$1001,MATCH(ROWS($U$2:U821),$U$2:$U$1001,0),MATCH(COLUMNS($AB$1006:AH1006),$AB$1006:$AQ$1006,0)), HYPERLINK("#",""), HYPERLINK(CONCATENATE("#Metadata!", ADDRESS(INDEX($W$2:$W$1001,MATCH(ROWS($U$2:U821),$U$2:$U$1001,0),0), INDEX($AB$1004:$AQ$1004,1,MATCH(COLUMNS($AB$1006:AH1006),$AB$1006:$AQ$1006,0)))),"Fix")))</f>
        <v>0</v>
      </c>
      <c r="I821" s="5">
        <f>IF(OR(INDEX($V$2:$V$1001,MATCH(ROWS($U$2:U821),$U$2:$U$1001,0),1)&gt;=100000,INDEX($AB$1005:$AQ$1005,1,MATCH(COLUMNS($AB$1006:AI1006),$AB$1006:$AQ$1006,0))&gt;=100000), " ",IF(INDEX($AB$2:$AQ$1001,MATCH(ROWS($U$2:U821),$U$2:$U$1001,0),MATCH(COLUMNS($AB$1006:AI1006),$AB$1006:$AQ$1006,0)), HYPERLINK("#",""), HYPERLINK(CONCATENATE("#Metadata!", ADDRESS(INDEX($W$2:$W$1001,MATCH(ROWS($U$2:U821),$U$2:$U$1001,0),0), INDEX($AB$1004:$AQ$1004,1,MATCH(COLUMNS($AB$1006:AI1006),$AB$1006:$AQ$1006,0)))),"Fix")))</f>
        <v>0</v>
      </c>
      <c r="J821" s="5">
        <f>IF(OR(INDEX($V$2:$V$1001,MATCH(ROWS($U$2:U821),$U$2:$U$1001,0),1)&gt;=100000,INDEX($AB$1005:$AQ$1005,1,MATCH(COLUMNS($AB$1006:AJ1006),$AB$1006:$AQ$1006,0))&gt;=100000), " ",IF(INDEX($AB$2:$AQ$1001,MATCH(ROWS($U$2:U821),$U$2:$U$1001,0),MATCH(COLUMNS($AB$1006:AJ1006),$AB$1006:$AQ$1006,0)), HYPERLINK("#",""), HYPERLINK(CONCATENATE("#Metadata!", ADDRESS(INDEX($W$2:$W$1001,MATCH(ROWS($U$2:U821),$U$2:$U$1001,0),0), INDEX($AB$1004:$AQ$1004,1,MATCH(COLUMNS($AB$1006:AJ1006),$AB$1006:$AQ$1006,0)))),"Fix")))</f>
        <v>0</v>
      </c>
      <c r="K821" s="5">
        <f>IF(OR(INDEX($V$2:$V$1001,MATCH(ROWS($U$2:U821),$U$2:$U$1001,0),1)&gt;=100000,INDEX($AB$1005:$AQ$1005,1,MATCH(COLUMNS($AB$1006:AK1006),$AB$1006:$AQ$1006,0))&gt;=100000), " ",IF(INDEX($AB$2:$AQ$1001,MATCH(ROWS($U$2:U821),$U$2:$U$1001,0),MATCH(COLUMNS($AB$1006:AK1006),$AB$1006:$AQ$1006,0)), HYPERLINK("#",""), HYPERLINK(CONCATENATE("#Metadata!", ADDRESS(INDEX($W$2:$W$1001,MATCH(ROWS($U$2:U821),$U$2:$U$1001,0),0), INDEX($AB$1004:$AQ$1004,1,MATCH(COLUMNS($AB$1006:AK1006),$AB$1006:$AQ$1006,0)))),"Fix")))</f>
        <v>0</v>
      </c>
      <c r="L821" s="5">
        <f>IF(OR(INDEX($V$2:$V$1001,MATCH(ROWS($U$2:U821),$U$2:$U$1001,0),1)&gt;=100000,INDEX($AB$1005:$AQ$1005,1,MATCH(COLUMNS($AB$1006:AL1006),$AB$1006:$AQ$1006,0))&gt;=100000), " ",IF(INDEX($AB$2:$AQ$1001,MATCH(ROWS($U$2:U821),$U$2:$U$1001,0),MATCH(COLUMNS($AB$1006:AL1006),$AB$1006:$AQ$1006,0)), HYPERLINK("#",""), HYPERLINK(CONCATENATE("#Metadata!", ADDRESS(INDEX($W$2:$W$1001,MATCH(ROWS($U$2:U821),$U$2:$U$1001,0),0), INDEX($AB$1004:$AQ$1004,1,MATCH(COLUMNS($AB$1006:AL1006),$AB$1006:$AQ$1006,0)))),"Fix")))</f>
        <v>0</v>
      </c>
      <c r="M821" s="5">
        <f>IF(OR(INDEX($V$2:$V$1001,MATCH(ROWS($U$2:U821),$U$2:$U$1001,0),1)&gt;=100000,INDEX($AB$1005:$AQ$1005,1,MATCH(COLUMNS($AB$1006:AM1006),$AB$1006:$AQ$1006,0))&gt;=100000), " ",IF(INDEX($AB$2:$AQ$1001,MATCH(ROWS($U$2:U821),$U$2:$U$1001,0),MATCH(COLUMNS($AB$1006:AM1006),$AB$1006:$AQ$1006,0)), HYPERLINK("#",""), HYPERLINK(CONCATENATE("#Metadata!", ADDRESS(INDEX($W$2:$W$1001,MATCH(ROWS($U$2:U821),$U$2:$U$1001,0),0), INDEX($AB$1004:$AQ$1004,1,MATCH(COLUMNS($AB$1006:AM1006),$AB$1006:$AQ$1006,0)))),"Fix")))</f>
        <v>0</v>
      </c>
      <c r="N821" s="5">
        <f>IF(OR(INDEX($V$2:$V$1001,MATCH(ROWS($U$2:U821),$U$2:$U$1001,0),1)&gt;=100000,INDEX($AB$1005:$AQ$1005,1,MATCH(COLUMNS($AB$1006:AN1006),$AB$1006:$AQ$1006,0))&gt;=100000), " ",IF(INDEX($AB$2:$AQ$1001,MATCH(ROWS($U$2:U821),$U$2:$U$1001,0),MATCH(COLUMNS($AB$1006:AN1006),$AB$1006:$AQ$1006,0)), HYPERLINK("#",""), HYPERLINK(CONCATENATE("#Metadata!", ADDRESS(INDEX($W$2:$W$1001,MATCH(ROWS($U$2:U821),$U$2:$U$1001,0),0), INDEX($AB$1004:$AQ$1004,1,MATCH(COLUMNS($AB$1006:AN1006),$AB$1006:$AQ$1006,0)))),"Fix")))</f>
        <v>0</v>
      </c>
      <c r="O821" s="5">
        <f>IF(OR(INDEX($V$2:$V$1001,MATCH(ROWS($U$2:U821),$U$2:$U$1001,0),1)&gt;=100000,INDEX($AB$1005:$AQ$1005,1,MATCH(COLUMNS($AB$1006:AO1006),$AB$1006:$AQ$1006,0))&gt;=100000), " ",IF(INDEX($AB$2:$AQ$1001,MATCH(ROWS($U$2:U821),$U$2:$U$1001,0),MATCH(COLUMNS($AB$1006:AO1006),$AB$1006:$AQ$1006,0)), HYPERLINK("#",""), HYPERLINK(CONCATENATE("#Metadata!", ADDRESS(INDEX($W$2:$W$1001,MATCH(ROWS($U$2:U821),$U$2:$U$1001,0),0), INDEX($AB$1004:$AQ$1004,1,MATCH(COLUMNS($AB$1006:AO1006),$AB$1006:$AQ$1006,0)))),"Fix")))</f>
        <v>0</v>
      </c>
      <c r="P821" s="5">
        <f>IF(OR(INDEX($V$2:$V$1001,MATCH(ROWS($U$2:U821),$U$2:$U$1001,0),1)&gt;=100000,INDEX($AB$1005:$AQ$1005,1,MATCH(COLUMNS($AB$1006:AP1006),$AB$1006:$AQ$1006,0))&gt;=100000), " ",IF(INDEX($AB$2:$AQ$1001,MATCH(ROWS($U$2:U821),$U$2:$U$1001,0),MATCH(COLUMNS($AB$1006:AP1006),$AB$1006:$AQ$1006,0)), HYPERLINK("#",""), HYPERLINK(CONCATENATE("#Metadata!", ADDRESS(INDEX($W$2:$W$1001,MATCH(ROWS($U$2:U821),$U$2:$U$1001,0),0), INDEX($AB$1004:$AQ$1004,1,MATCH(COLUMNS($AB$1006:AP1006),$AB$1006:$AQ$1006,0)))),"Fix")))</f>
        <v>0</v>
      </c>
      <c r="Q821" s="5">
        <f>IF(OR(INDEX($V$2:$V$1001,MATCH(ROWS($U$2:U821),$U$2:$U$1001,0),1)&gt;=100000,INDEX($AB$1005:$AQ$1005,1,MATCH(COLUMNS($AB$1006:AQ1006),$AB$1006:$AQ$1006,0))&gt;=100000), " ",IF(INDEX($AB$2:$AQ$1001,MATCH(ROWS($U$2:U821),$U$2:$U$1001,0),MATCH(COLUMNS($AB$1006:AQ1006),$AB$1006:$AQ$1006,0)), HYPERLINK("#",""), HYPERLINK(CONCATENATE("#Metadata!", ADDRESS(INDEX($W$2:$W$1001,MATCH(ROWS($U$2:U821),$U$2:$U$1001,0),0), INDEX($AB$1004:$AQ$1004,1,MATCH(COLUMNS($AB$1006:AQ1006),$AB$1006:$AQ$1006,0)))),"Fix")))</f>
        <v>0</v>
      </c>
      <c r="U821">
        <v>0</v>
      </c>
      <c r="V821">
        <v>0</v>
      </c>
      <c r="W821">
        <v>0</v>
      </c>
      <c r="X821">
        <f>IF(Y821,TRUE,AND(AB821:AQ821))</f>
        <v>0</v>
      </c>
      <c r="Y821">
        <f>COUNTBLANK(Metadata!B821:Q821)=COLUMNS(Metadata!B821:Q821)</f>
        <v>0</v>
      </c>
      <c r="Z821">
        <v>0</v>
      </c>
      <c r="AB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AC821">
        <f>AND(IF(Metadata!C821="",FALSE,TRUE),exact(Metadata!C821,"urban biome"))</f>
        <v>0</v>
      </c>
      <c r="AD821">
        <f>AND(IF(Metadata!D821="",FALSE,TRUE),exact(Metadata!D821,"human-associated habitat"))</f>
        <v>0</v>
      </c>
      <c r="AE821">
        <f>AND(IF(Metadata!E821="",FALSE,TRUE),OR(exact(Metadata!E821,"human-associated"),exact(Metadata!E821,"human-skin"),exact(Metadata!E821,"human-oral"),exact(Metadata!E821,"human-gut"),exact(Metadata!E821,"human-vaginal")))</f>
        <v>0</v>
      </c>
      <c r="AF821">
        <f>AND(IF(Metadata!F821="",FALSE,ISNUMBER(VALUE(Metadata!F821))),Metadata!F821&gt;0)</f>
        <v>0</v>
      </c>
      <c r="AG821">
        <f>AND(IF(Metadata!G821="",FALSE,TRUE),exact(Metadata!G821,"years"))</f>
        <v>0</v>
      </c>
      <c r="AH821">
        <f>OR(AND(IF(Metadata!H821="",FALSE,TRUE),OR(exact(Metadata!H821,"not applicable"),exact(Metadata!H821,"not collected"),exact(Metadata!H821,"not provided"),exact(Metadata!H821,"restricted access"))),AND(IF(Metadata!H821="",FALSE,ISNUMBER(VALUE(Metadata!H821))),Metadata!H821&gt;0))</f>
        <v>0</v>
      </c>
      <c r="AI821">
        <f>AND(IF(Metadata!I821="",FALSE,TRUE),exact(Metadata!I821,"human"))</f>
        <v>0</v>
      </c>
      <c r="AJ821">
        <f>AND(IF(Metadata!J821="",FALSE,ISNUMBER(VALUE(Metadata!J821))),Metadata!J821&gt;0)</f>
        <v>0</v>
      </c>
      <c r="AK821">
        <f>AND(IF(Metadata!K821="",FALSE,TRUE),exact(Metadata!K821,"cm"))</f>
        <v>0</v>
      </c>
      <c r="AL821">
        <f>AND(IF(Metadata!L821="",FALSE,TRUE),exact(Metadata!L821,"Homo sapiens"))</f>
        <v>0</v>
      </c>
      <c r="AM821">
        <f>AND(IF(Metadata!M821="",FALSE,TRUE),exact(Metadata!M821,"9606"))</f>
        <v>0</v>
      </c>
      <c r="AN821">
        <f>AND(IF(Metadata!N821="",FALSE,ISNUMBER(VALUE(Metadata!N821))),Metadata!N821&gt;0)</f>
        <v>0</v>
      </c>
      <c r="AO821">
        <f>AND(IF(Metadata!O821="",FALSE,TRUE),exact(Metadata!O821,"kg"))</f>
        <v>0</v>
      </c>
      <c r="AP821">
        <f>OR(AND(IF(Metadata!P821="",FALSE,TRUE),exact(Metadata!P821,"not provided")),IF(Metadata!P821="",FALSE,TRUE))</f>
        <v>0</v>
      </c>
      <c r="AQ821">
        <f>OR(AND(IF(Metadata!Q821="",FALSE,TRUE),exact(Metadata!Q821,"not provided")),IF(Metadata!Q821="",FALSE,TRUE))</f>
        <v>0</v>
      </c>
    </row>
    <row r="822" spans="1:43">
      <c r="A822" s="4">
        <f>IF(B822=" "," ",HYPERLINK(CONCATENATE("#metadata!",ADDRESS(INDEX($W$2:$W$1001,MATCH(ROWS($U$2:U822),$U$2:$U$1001,0),0),2)),INDEX($Z$2:$Z$1001,MATCH(ROWS($U$2:U822),$U$2:$U$1001,0),0)))</f>
        <v>0</v>
      </c>
      <c r="B822" s="5">
        <f>IF(OR(INDEX($V$2:$V$1001,MATCH(ROWS($U$2:U822),$U$2:$U$1001,0),1)&gt;=100000,INDEX($AB$1005:$AQ$1005,1,MATCH(COLUMNS($AB$1006:AB1006),$AB$1006:$AQ$1006,0))&gt;=100000), " ",IF(INDEX($AB$2:$AQ$1001,MATCH(ROWS($U$2:U822),$U$2:$U$1001,0),MATCH(COLUMNS($AB$1006:AB1006),$AB$1006:$AQ$1006,0)), HYPERLINK("#",""), HYPERLINK(CONCATENATE("#Metadata!", ADDRESS(INDEX($W$2:$W$1001,MATCH(ROWS($U$2:U822),$U$2:$U$1001,0),0), INDEX($AB$1004:$AQ$1004,1,MATCH(COLUMNS($AB$1006:AB1006),$AB$1006:$AQ$1006,0)))),"Fix")))</f>
        <v>0</v>
      </c>
      <c r="C822" s="5">
        <f>IF(OR(INDEX($V$2:$V$1001,MATCH(ROWS($U$2:U822),$U$2:$U$1001,0),1)&gt;=100000,INDEX($AB$1005:$AQ$1005,1,MATCH(COLUMNS($AB$1006:AC1006),$AB$1006:$AQ$1006,0))&gt;=100000), " ",IF(INDEX($AB$2:$AQ$1001,MATCH(ROWS($U$2:U822),$U$2:$U$1001,0),MATCH(COLUMNS($AB$1006:AC1006),$AB$1006:$AQ$1006,0)), HYPERLINK("#",""), HYPERLINK(CONCATENATE("#Metadata!", ADDRESS(INDEX($W$2:$W$1001,MATCH(ROWS($U$2:U822),$U$2:$U$1001,0),0), INDEX($AB$1004:$AQ$1004,1,MATCH(COLUMNS($AB$1006:AC1006),$AB$1006:$AQ$1006,0)))),"Fix")))</f>
        <v>0</v>
      </c>
      <c r="D822" s="5">
        <f>IF(OR(INDEX($V$2:$V$1001,MATCH(ROWS($U$2:U822),$U$2:$U$1001,0),1)&gt;=100000,INDEX($AB$1005:$AQ$1005,1,MATCH(COLUMNS($AB$1006:AD1006),$AB$1006:$AQ$1006,0))&gt;=100000), " ",IF(INDEX($AB$2:$AQ$1001,MATCH(ROWS($U$2:U822),$U$2:$U$1001,0),MATCH(COLUMNS($AB$1006:AD1006),$AB$1006:$AQ$1006,0)), HYPERLINK("#",""), HYPERLINK(CONCATENATE("#Metadata!", ADDRESS(INDEX($W$2:$W$1001,MATCH(ROWS($U$2:U822),$U$2:$U$1001,0),0), INDEX($AB$1004:$AQ$1004,1,MATCH(COLUMNS($AB$1006:AD1006),$AB$1006:$AQ$1006,0)))),"Fix")))</f>
        <v>0</v>
      </c>
      <c r="E822" s="5">
        <f>IF(OR(INDEX($V$2:$V$1001,MATCH(ROWS($U$2:U822),$U$2:$U$1001,0),1)&gt;=100000,INDEX($AB$1005:$AQ$1005,1,MATCH(COLUMNS($AB$1006:AE1006),$AB$1006:$AQ$1006,0))&gt;=100000), " ",IF(INDEX($AB$2:$AQ$1001,MATCH(ROWS($U$2:U822),$U$2:$U$1001,0),MATCH(COLUMNS($AB$1006:AE1006),$AB$1006:$AQ$1006,0)), HYPERLINK("#",""), HYPERLINK(CONCATENATE("#Metadata!", ADDRESS(INDEX($W$2:$W$1001,MATCH(ROWS($U$2:U822),$U$2:$U$1001,0),0), INDEX($AB$1004:$AQ$1004,1,MATCH(COLUMNS($AB$1006:AE1006),$AB$1006:$AQ$1006,0)))),"Fix")))</f>
        <v>0</v>
      </c>
      <c r="F822" s="5">
        <f>IF(OR(INDEX($V$2:$V$1001,MATCH(ROWS($U$2:U822),$U$2:$U$1001,0),1)&gt;=100000,INDEX($AB$1005:$AQ$1005,1,MATCH(COLUMNS($AB$1006:AF1006),$AB$1006:$AQ$1006,0))&gt;=100000), " ",IF(INDEX($AB$2:$AQ$1001,MATCH(ROWS($U$2:U822),$U$2:$U$1001,0),MATCH(COLUMNS($AB$1006:AF1006),$AB$1006:$AQ$1006,0)), HYPERLINK("#",""), HYPERLINK(CONCATENATE("#Metadata!", ADDRESS(INDEX($W$2:$W$1001,MATCH(ROWS($U$2:U822),$U$2:$U$1001,0),0), INDEX($AB$1004:$AQ$1004,1,MATCH(COLUMNS($AB$1006:AF1006),$AB$1006:$AQ$1006,0)))),"Fix")))</f>
        <v>0</v>
      </c>
      <c r="G822" s="5">
        <f>IF(OR(INDEX($V$2:$V$1001,MATCH(ROWS($U$2:U822),$U$2:$U$1001,0),1)&gt;=100000,INDEX($AB$1005:$AQ$1005,1,MATCH(COLUMNS($AB$1006:AG1006),$AB$1006:$AQ$1006,0))&gt;=100000), " ",IF(INDEX($AB$2:$AQ$1001,MATCH(ROWS($U$2:U822),$U$2:$U$1001,0),MATCH(COLUMNS($AB$1006:AG1006),$AB$1006:$AQ$1006,0)), HYPERLINK("#",""), HYPERLINK(CONCATENATE("#Metadata!", ADDRESS(INDEX($W$2:$W$1001,MATCH(ROWS($U$2:U822),$U$2:$U$1001,0),0), INDEX($AB$1004:$AQ$1004,1,MATCH(COLUMNS($AB$1006:AG1006),$AB$1006:$AQ$1006,0)))),"Fix")))</f>
        <v>0</v>
      </c>
      <c r="H822" s="5">
        <f>IF(OR(INDEX($V$2:$V$1001,MATCH(ROWS($U$2:U822),$U$2:$U$1001,0),1)&gt;=100000,INDEX($AB$1005:$AQ$1005,1,MATCH(COLUMNS($AB$1006:AH1006),$AB$1006:$AQ$1006,0))&gt;=100000), " ",IF(INDEX($AB$2:$AQ$1001,MATCH(ROWS($U$2:U822),$U$2:$U$1001,0),MATCH(COLUMNS($AB$1006:AH1006),$AB$1006:$AQ$1006,0)), HYPERLINK("#",""), HYPERLINK(CONCATENATE("#Metadata!", ADDRESS(INDEX($W$2:$W$1001,MATCH(ROWS($U$2:U822),$U$2:$U$1001,0),0), INDEX($AB$1004:$AQ$1004,1,MATCH(COLUMNS($AB$1006:AH1006),$AB$1006:$AQ$1006,0)))),"Fix")))</f>
        <v>0</v>
      </c>
      <c r="I822" s="5">
        <f>IF(OR(INDEX($V$2:$V$1001,MATCH(ROWS($U$2:U822),$U$2:$U$1001,0),1)&gt;=100000,INDEX($AB$1005:$AQ$1005,1,MATCH(COLUMNS($AB$1006:AI1006),$AB$1006:$AQ$1006,0))&gt;=100000), " ",IF(INDEX($AB$2:$AQ$1001,MATCH(ROWS($U$2:U822),$U$2:$U$1001,0),MATCH(COLUMNS($AB$1006:AI1006),$AB$1006:$AQ$1006,0)), HYPERLINK("#",""), HYPERLINK(CONCATENATE("#Metadata!", ADDRESS(INDEX($W$2:$W$1001,MATCH(ROWS($U$2:U822),$U$2:$U$1001,0),0), INDEX($AB$1004:$AQ$1004,1,MATCH(COLUMNS($AB$1006:AI1006),$AB$1006:$AQ$1006,0)))),"Fix")))</f>
        <v>0</v>
      </c>
      <c r="J822" s="5">
        <f>IF(OR(INDEX($V$2:$V$1001,MATCH(ROWS($U$2:U822),$U$2:$U$1001,0),1)&gt;=100000,INDEX($AB$1005:$AQ$1005,1,MATCH(COLUMNS($AB$1006:AJ1006),$AB$1006:$AQ$1006,0))&gt;=100000), " ",IF(INDEX($AB$2:$AQ$1001,MATCH(ROWS($U$2:U822),$U$2:$U$1001,0),MATCH(COLUMNS($AB$1006:AJ1006),$AB$1006:$AQ$1006,0)), HYPERLINK("#",""), HYPERLINK(CONCATENATE("#Metadata!", ADDRESS(INDEX($W$2:$W$1001,MATCH(ROWS($U$2:U822),$U$2:$U$1001,0),0), INDEX($AB$1004:$AQ$1004,1,MATCH(COLUMNS($AB$1006:AJ1006),$AB$1006:$AQ$1006,0)))),"Fix")))</f>
        <v>0</v>
      </c>
      <c r="K822" s="5">
        <f>IF(OR(INDEX($V$2:$V$1001,MATCH(ROWS($U$2:U822),$U$2:$U$1001,0),1)&gt;=100000,INDEX($AB$1005:$AQ$1005,1,MATCH(COLUMNS($AB$1006:AK1006),$AB$1006:$AQ$1006,0))&gt;=100000), " ",IF(INDEX($AB$2:$AQ$1001,MATCH(ROWS($U$2:U822),$U$2:$U$1001,0),MATCH(COLUMNS($AB$1006:AK1006),$AB$1006:$AQ$1006,0)), HYPERLINK("#",""), HYPERLINK(CONCATENATE("#Metadata!", ADDRESS(INDEX($W$2:$W$1001,MATCH(ROWS($U$2:U822),$U$2:$U$1001,0),0), INDEX($AB$1004:$AQ$1004,1,MATCH(COLUMNS($AB$1006:AK1006),$AB$1006:$AQ$1006,0)))),"Fix")))</f>
        <v>0</v>
      </c>
      <c r="L822" s="5">
        <f>IF(OR(INDEX($V$2:$V$1001,MATCH(ROWS($U$2:U822),$U$2:$U$1001,0),1)&gt;=100000,INDEX($AB$1005:$AQ$1005,1,MATCH(COLUMNS($AB$1006:AL1006),$AB$1006:$AQ$1006,0))&gt;=100000), " ",IF(INDEX($AB$2:$AQ$1001,MATCH(ROWS($U$2:U822),$U$2:$U$1001,0),MATCH(COLUMNS($AB$1006:AL1006),$AB$1006:$AQ$1006,0)), HYPERLINK("#",""), HYPERLINK(CONCATENATE("#Metadata!", ADDRESS(INDEX($W$2:$W$1001,MATCH(ROWS($U$2:U822),$U$2:$U$1001,0),0), INDEX($AB$1004:$AQ$1004,1,MATCH(COLUMNS($AB$1006:AL1006),$AB$1006:$AQ$1006,0)))),"Fix")))</f>
        <v>0</v>
      </c>
      <c r="M822" s="5">
        <f>IF(OR(INDEX($V$2:$V$1001,MATCH(ROWS($U$2:U822),$U$2:$U$1001,0),1)&gt;=100000,INDEX($AB$1005:$AQ$1005,1,MATCH(COLUMNS($AB$1006:AM1006),$AB$1006:$AQ$1006,0))&gt;=100000), " ",IF(INDEX($AB$2:$AQ$1001,MATCH(ROWS($U$2:U822),$U$2:$U$1001,0),MATCH(COLUMNS($AB$1006:AM1006),$AB$1006:$AQ$1006,0)), HYPERLINK("#",""), HYPERLINK(CONCATENATE("#Metadata!", ADDRESS(INDEX($W$2:$W$1001,MATCH(ROWS($U$2:U822),$U$2:$U$1001,0),0), INDEX($AB$1004:$AQ$1004,1,MATCH(COLUMNS($AB$1006:AM1006),$AB$1006:$AQ$1006,0)))),"Fix")))</f>
        <v>0</v>
      </c>
      <c r="N822" s="5">
        <f>IF(OR(INDEX($V$2:$V$1001,MATCH(ROWS($U$2:U822),$U$2:$U$1001,0),1)&gt;=100000,INDEX($AB$1005:$AQ$1005,1,MATCH(COLUMNS($AB$1006:AN1006),$AB$1006:$AQ$1006,0))&gt;=100000), " ",IF(INDEX($AB$2:$AQ$1001,MATCH(ROWS($U$2:U822),$U$2:$U$1001,0),MATCH(COLUMNS($AB$1006:AN1006),$AB$1006:$AQ$1006,0)), HYPERLINK("#",""), HYPERLINK(CONCATENATE("#Metadata!", ADDRESS(INDEX($W$2:$W$1001,MATCH(ROWS($U$2:U822),$U$2:$U$1001,0),0), INDEX($AB$1004:$AQ$1004,1,MATCH(COLUMNS($AB$1006:AN1006),$AB$1006:$AQ$1006,0)))),"Fix")))</f>
        <v>0</v>
      </c>
      <c r="O822" s="5">
        <f>IF(OR(INDEX($V$2:$V$1001,MATCH(ROWS($U$2:U822),$U$2:$U$1001,0),1)&gt;=100000,INDEX($AB$1005:$AQ$1005,1,MATCH(COLUMNS($AB$1006:AO1006),$AB$1006:$AQ$1006,0))&gt;=100000), " ",IF(INDEX($AB$2:$AQ$1001,MATCH(ROWS($U$2:U822),$U$2:$U$1001,0),MATCH(COLUMNS($AB$1006:AO1006),$AB$1006:$AQ$1006,0)), HYPERLINK("#",""), HYPERLINK(CONCATENATE("#Metadata!", ADDRESS(INDEX($W$2:$W$1001,MATCH(ROWS($U$2:U822),$U$2:$U$1001,0),0), INDEX($AB$1004:$AQ$1004,1,MATCH(COLUMNS($AB$1006:AO1006),$AB$1006:$AQ$1006,0)))),"Fix")))</f>
        <v>0</v>
      </c>
      <c r="P822" s="5">
        <f>IF(OR(INDEX($V$2:$V$1001,MATCH(ROWS($U$2:U822),$U$2:$U$1001,0),1)&gt;=100000,INDEX($AB$1005:$AQ$1005,1,MATCH(COLUMNS($AB$1006:AP1006),$AB$1006:$AQ$1006,0))&gt;=100000), " ",IF(INDEX($AB$2:$AQ$1001,MATCH(ROWS($U$2:U822),$U$2:$U$1001,0),MATCH(COLUMNS($AB$1006:AP1006),$AB$1006:$AQ$1006,0)), HYPERLINK("#",""), HYPERLINK(CONCATENATE("#Metadata!", ADDRESS(INDEX($W$2:$W$1001,MATCH(ROWS($U$2:U822),$U$2:$U$1001,0),0), INDEX($AB$1004:$AQ$1004,1,MATCH(COLUMNS($AB$1006:AP1006),$AB$1006:$AQ$1006,0)))),"Fix")))</f>
        <v>0</v>
      </c>
      <c r="Q822" s="5">
        <f>IF(OR(INDEX($V$2:$V$1001,MATCH(ROWS($U$2:U822),$U$2:$U$1001,0),1)&gt;=100000,INDEX($AB$1005:$AQ$1005,1,MATCH(COLUMNS($AB$1006:AQ1006),$AB$1006:$AQ$1006,0))&gt;=100000), " ",IF(INDEX($AB$2:$AQ$1001,MATCH(ROWS($U$2:U822),$U$2:$U$1001,0),MATCH(COLUMNS($AB$1006:AQ1006),$AB$1006:$AQ$1006,0)), HYPERLINK("#",""), HYPERLINK(CONCATENATE("#Metadata!", ADDRESS(INDEX($W$2:$W$1001,MATCH(ROWS($U$2:U822),$U$2:$U$1001,0),0), INDEX($AB$1004:$AQ$1004,1,MATCH(COLUMNS($AB$1006:AQ1006),$AB$1006:$AQ$1006,0)))),"Fix")))</f>
        <v>0</v>
      </c>
      <c r="U822">
        <v>0</v>
      </c>
      <c r="V822">
        <v>0</v>
      </c>
      <c r="W822">
        <v>0</v>
      </c>
      <c r="X822">
        <f>IF(Y822,TRUE,AND(AB822:AQ822))</f>
        <v>0</v>
      </c>
      <c r="Y822">
        <f>COUNTBLANK(Metadata!B822:Q822)=COLUMNS(Metadata!B822:Q822)</f>
        <v>0</v>
      </c>
      <c r="Z822">
        <v>0</v>
      </c>
      <c r="AB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AC822">
        <f>AND(IF(Metadata!C822="",FALSE,TRUE),exact(Metadata!C822,"urban biome"))</f>
        <v>0</v>
      </c>
      <c r="AD822">
        <f>AND(IF(Metadata!D822="",FALSE,TRUE),exact(Metadata!D822,"human-associated habitat"))</f>
        <v>0</v>
      </c>
      <c r="AE822">
        <f>AND(IF(Metadata!E822="",FALSE,TRUE),OR(exact(Metadata!E822,"human-associated"),exact(Metadata!E822,"human-skin"),exact(Metadata!E822,"human-oral"),exact(Metadata!E822,"human-gut"),exact(Metadata!E822,"human-vaginal")))</f>
        <v>0</v>
      </c>
      <c r="AF822">
        <f>AND(IF(Metadata!F822="",FALSE,ISNUMBER(VALUE(Metadata!F822))),Metadata!F822&gt;0)</f>
        <v>0</v>
      </c>
      <c r="AG822">
        <f>AND(IF(Metadata!G822="",FALSE,TRUE),exact(Metadata!G822,"years"))</f>
        <v>0</v>
      </c>
      <c r="AH822">
        <f>OR(AND(IF(Metadata!H822="",FALSE,TRUE),OR(exact(Metadata!H822,"not applicable"),exact(Metadata!H822,"not collected"),exact(Metadata!H822,"not provided"),exact(Metadata!H822,"restricted access"))),AND(IF(Metadata!H822="",FALSE,ISNUMBER(VALUE(Metadata!H822))),Metadata!H822&gt;0))</f>
        <v>0</v>
      </c>
      <c r="AI822">
        <f>AND(IF(Metadata!I822="",FALSE,TRUE),exact(Metadata!I822,"human"))</f>
        <v>0</v>
      </c>
      <c r="AJ822">
        <f>AND(IF(Metadata!J822="",FALSE,ISNUMBER(VALUE(Metadata!J822))),Metadata!J822&gt;0)</f>
        <v>0</v>
      </c>
      <c r="AK822">
        <f>AND(IF(Metadata!K822="",FALSE,TRUE),exact(Metadata!K822,"cm"))</f>
        <v>0</v>
      </c>
      <c r="AL822">
        <f>AND(IF(Metadata!L822="",FALSE,TRUE),exact(Metadata!L822,"Homo sapiens"))</f>
        <v>0</v>
      </c>
      <c r="AM822">
        <f>AND(IF(Metadata!M822="",FALSE,TRUE),exact(Metadata!M822,"9606"))</f>
        <v>0</v>
      </c>
      <c r="AN822">
        <f>AND(IF(Metadata!N822="",FALSE,ISNUMBER(VALUE(Metadata!N822))),Metadata!N822&gt;0)</f>
        <v>0</v>
      </c>
      <c r="AO822">
        <f>AND(IF(Metadata!O822="",FALSE,TRUE),exact(Metadata!O822,"kg"))</f>
        <v>0</v>
      </c>
      <c r="AP822">
        <f>OR(AND(IF(Metadata!P822="",FALSE,TRUE),exact(Metadata!P822,"not provided")),IF(Metadata!P822="",FALSE,TRUE))</f>
        <v>0</v>
      </c>
      <c r="AQ822">
        <f>OR(AND(IF(Metadata!Q822="",FALSE,TRUE),exact(Metadata!Q822,"not provided")),IF(Metadata!Q822="",FALSE,TRUE))</f>
        <v>0</v>
      </c>
    </row>
    <row r="823" spans="1:43">
      <c r="A823" s="4">
        <f>IF(B823=" "," ",HYPERLINK(CONCATENATE("#metadata!",ADDRESS(INDEX($W$2:$W$1001,MATCH(ROWS($U$2:U823),$U$2:$U$1001,0),0),2)),INDEX($Z$2:$Z$1001,MATCH(ROWS($U$2:U823),$U$2:$U$1001,0),0)))</f>
        <v>0</v>
      </c>
      <c r="B823" s="5">
        <f>IF(OR(INDEX($V$2:$V$1001,MATCH(ROWS($U$2:U823),$U$2:$U$1001,0),1)&gt;=100000,INDEX($AB$1005:$AQ$1005,1,MATCH(COLUMNS($AB$1006:AB1006),$AB$1006:$AQ$1006,0))&gt;=100000), " ",IF(INDEX($AB$2:$AQ$1001,MATCH(ROWS($U$2:U823),$U$2:$U$1001,0),MATCH(COLUMNS($AB$1006:AB1006),$AB$1006:$AQ$1006,0)), HYPERLINK("#",""), HYPERLINK(CONCATENATE("#Metadata!", ADDRESS(INDEX($W$2:$W$1001,MATCH(ROWS($U$2:U823),$U$2:$U$1001,0),0), INDEX($AB$1004:$AQ$1004,1,MATCH(COLUMNS($AB$1006:AB1006),$AB$1006:$AQ$1006,0)))),"Fix")))</f>
        <v>0</v>
      </c>
      <c r="C823" s="5">
        <f>IF(OR(INDEX($V$2:$V$1001,MATCH(ROWS($U$2:U823),$U$2:$U$1001,0),1)&gt;=100000,INDEX($AB$1005:$AQ$1005,1,MATCH(COLUMNS($AB$1006:AC1006),$AB$1006:$AQ$1006,0))&gt;=100000), " ",IF(INDEX($AB$2:$AQ$1001,MATCH(ROWS($U$2:U823),$U$2:$U$1001,0),MATCH(COLUMNS($AB$1006:AC1006),$AB$1006:$AQ$1006,0)), HYPERLINK("#",""), HYPERLINK(CONCATENATE("#Metadata!", ADDRESS(INDEX($W$2:$W$1001,MATCH(ROWS($U$2:U823),$U$2:$U$1001,0),0), INDEX($AB$1004:$AQ$1004,1,MATCH(COLUMNS($AB$1006:AC1006),$AB$1006:$AQ$1006,0)))),"Fix")))</f>
        <v>0</v>
      </c>
      <c r="D823" s="5">
        <f>IF(OR(INDEX($V$2:$V$1001,MATCH(ROWS($U$2:U823),$U$2:$U$1001,0),1)&gt;=100000,INDEX($AB$1005:$AQ$1005,1,MATCH(COLUMNS($AB$1006:AD1006),$AB$1006:$AQ$1006,0))&gt;=100000), " ",IF(INDEX($AB$2:$AQ$1001,MATCH(ROWS($U$2:U823),$U$2:$U$1001,0),MATCH(COLUMNS($AB$1006:AD1006),$AB$1006:$AQ$1006,0)), HYPERLINK("#",""), HYPERLINK(CONCATENATE("#Metadata!", ADDRESS(INDEX($W$2:$W$1001,MATCH(ROWS($U$2:U823),$U$2:$U$1001,0),0), INDEX($AB$1004:$AQ$1004,1,MATCH(COLUMNS($AB$1006:AD1006),$AB$1006:$AQ$1006,0)))),"Fix")))</f>
        <v>0</v>
      </c>
      <c r="E823" s="5">
        <f>IF(OR(INDEX($V$2:$V$1001,MATCH(ROWS($U$2:U823),$U$2:$U$1001,0),1)&gt;=100000,INDEX($AB$1005:$AQ$1005,1,MATCH(COLUMNS($AB$1006:AE1006),$AB$1006:$AQ$1006,0))&gt;=100000), " ",IF(INDEX($AB$2:$AQ$1001,MATCH(ROWS($U$2:U823),$U$2:$U$1001,0),MATCH(COLUMNS($AB$1006:AE1006),$AB$1006:$AQ$1006,0)), HYPERLINK("#",""), HYPERLINK(CONCATENATE("#Metadata!", ADDRESS(INDEX($W$2:$W$1001,MATCH(ROWS($U$2:U823),$U$2:$U$1001,0),0), INDEX($AB$1004:$AQ$1004,1,MATCH(COLUMNS($AB$1006:AE1006),$AB$1006:$AQ$1006,0)))),"Fix")))</f>
        <v>0</v>
      </c>
      <c r="F823" s="5">
        <f>IF(OR(INDEX($V$2:$V$1001,MATCH(ROWS($U$2:U823),$U$2:$U$1001,0),1)&gt;=100000,INDEX($AB$1005:$AQ$1005,1,MATCH(COLUMNS($AB$1006:AF1006),$AB$1006:$AQ$1006,0))&gt;=100000), " ",IF(INDEX($AB$2:$AQ$1001,MATCH(ROWS($U$2:U823),$U$2:$U$1001,0),MATCH(COLUMNS($AB$1006:AF1006),$AB$1006:$AQ$1006,0)), HYPERLINK("#",""), HYPERLINK(CONCATENATE("#Metadata!", ADDRESS(INDEX($W$2:$W$1001,MATCH(ROWS($U$2:U823),$U$2:$U$1001,0),0), INDEX($AB$1004:$AQ$1004,1,MATCH(COLUMNS($AB$1006:AF1006),$AB$1006:$AQ$1006,0)))),"Fix")))</f>
        <v>0</v>
      </c>
      <c r="G823" s="5">
        <f>IF(OR(INDEX($V$2:$V$1001,MATCH(ROWS($U$2:U823),$U$2:$U$1001,0),1)&gt;=100000,INDEX($AB$1005:$AQ$1005,1,MATCH(COLUMNS($AB$1006:AG1006),$AB$1006:$AQ$1006,0))&gt;=100000), " ",IF(INDEX($AB$2:$AQ$1001,MATCH(ROWS($U$2:U823),$U$2:$U$1001,0),MATCH(COLUMNS($AB$1006:AG1006),$AB$1006:$AQ$1006,0)), HYPERLINK("#",""), HYPERLINK(CONCATENATE("#Metadata!", ADDRESS(INDEX($W$2:$W$1001,MATCH(ROWS($U$2:U823),$U$2:$U$1001,0),0), INDEX($AB$1004:$AQ$1004,1,MATCH(COLUMNS($AB$1006:AG1006),$AB$1006:$AQ$1006,0)))),"Fix")))</f>
        <v>0</v>
      </c>
      <c r="H823" s="5">
        <f>IF(OR(INDEX($V$2:$V$1001,MATCH(ROWS($U$2:U823),$U$2:$U$1001,0),1)&gt;=100000,INDEX($AB$1005:$AQ$1005,1,MATCH(COLUMNS($AB$1006:AH1006),$AB$1006:$AQ$1006,0))&gt;=100000), " ",IF(INDEX($AB$2:$AQ$1001,MATCH(ROWS($U$2:U823),$U$2:$U$1001,0),MATCH(COLUMNS($AB$1006:AH1006),$AB$1006:$AQ$1006,0)), HYPERLINK("#",""), HYPERLINK(CONCATENATE("#Metadata!", ADDRESS(INDEX($W$2:$W$1001,MATCH(ROWS($U$2:U823),$U$2:$U$1001,0),0), INDEX($AB$1004:$AQ$1004,1,MATCH(COLUMNS($AB$1006:AH1006),$AB$1006:$AQ$1006,0)))),"Fix")))</f>
        <v>0</v>
      </c>
      <c r="I823" s="5">
        <f>IF(OR(INDEX($V$2:$V$1001,MATCH(ROWS($U$2:U823),$U$2:$U$1001,0),1)&gt;=100000,INDEX($AB$1005:$AQ$1005,1,MATCH(COLUMNS($AB$1006:AI1006),$AB$1006:$AQ$1006,0))&gt;=100000), " ",IF(INDEX($AB$2:$AQ$1001,MATCH(ROWS($U$2:U823),$U$2:$U$1001,0),MATCH(COLUMNS($AB$1006:AI1006),$AB$1006:$AQ$1006,0)), HYPERLINK("#",""), HYPERLINK(CONCATENATE("#Metadata!", ADDRESS(INDEX($W$2:$W$1001,MATCH(ROWS($U$2:U823),$U$2:$U$1001,0),0), INDEX($AB$1004:$AQ$1004,1,MATCH(COLUMNS($AB$1006:AI1006),$AB$1006:$AQ$1006,0)))),"Fix")))</f>
        <v>0</v>
      </c>
      <c r="J823" s="5">
        <f>IF(OR(INDEX($V$2:$V$1001,MATCH(ROWS($U$2:U823),$U$2:$U$1001,0),1)&gt;=100000,INDEX($AB$1005:$AQ$1005,1,MATCH(COLUMNS($AB$1006:AJ1006),$AB$1006:$AQ$1006,0))&gt;=100000), " ",IF(INDEX($AB$2:$AQ$1001,MATCH(ROWS($U$2:U823),$U$2:$U$1001,0),MATCH(COLUMNS($AB$1006:AJ1006),$AB$1006:$AQ$1006,0)), HYPERLINK("#",""), HYPERLINK(CONCATENATE("#Metadata!", ADDRESS(INDEX($W$2:$W$1001,MATCH(ROWS($U$2:U823),$U$2:$U$1001,0),0), INDEX($AB$1004:$AQ$1004,1,MATCH(COLUMNS($AB$1006:AJ1006),$AB$1006:$AQ$1006,0)))),"Fix")))</f>
        <v>0</v>
      </c>
      <c r="K823" s="5">
        <f>IF(OR(INDEX($V$2:$V$1001,MATCH(ROWS($U$2:U823),$U$2:$U$1001,0),1)&gt;=100000,INDEX($AB$1005:$AQ$1005,1,MATCH(COLUMNS($AB$1006:AK1006),$AB$1006:$AQ$1006,0))&gt;=100000), " ",IF(INDEX($AB$2:$AQ$1001,MATCH(ROWS($U$2:U823),$U$2:$U$1001,0),MATCH(COLUMNS($AB$1006:AK1006),$AB$1006:$AQ$1006,0)), HYPERLINK("#",""), HYPERLINK(CONCATENATE("#Metadata!", ADDRESS(INDEX($W$2:$W$1001,MATCH(ROWS($U$2:U823),$U$2:$U$1001,0),0), INDEX($AB$1004:$AQ$1004,1,MATCH(COLUMNS($AB$1006:AK1006),$AB$1006:$AQ$1006,0)))),"Fix")))</f>
        <v>0</v>
      </c>
      <c r="L823" s="5">
        <f>IF(OR(INDEX($V$2:$V$1001,MATCH(ROWS($U$2:U823),$U$2:$U$1001,0),1)&gt;=100000,INDEX($AB$1005:$AQ$1005,1,MATCH(COLUMNS($AB$1006:AL1006),$AB$1006:$AQ$1006,0))&gt;=100000), " ",IF(INDEX($AB$2:$AQ$1001,MATCH(ROWS($U$2:U823),$U$2:$U$1001,0),MATCH(COLUMNS($AB$1006:AL1006),$AB$1006:$AQ$1006,0)), HYPERLINK("#",""), HYPERLINK(CONCATENATE("#Metadata!", ADDRESS(INDEX($W$2:$W$1001,MATCH(ROWS($U$2:U823),$U$2:$U$1001,0),0), INDEX($AB$1004:$AQ$1004,1,MATCH(COLUMNS($AB$1006:AL1006),$AB$1006:$AQ$1006,0)))),"Fix")))</f>
        <v>0</v>
      </c>
      <c r="M823" s="5">
        <f>IF(OR(INDEX($V$2:$V$1001,MATCH(ROWS($U$2:U823),$U$2:$U$1001,0),1)&gt;=100000,INDEX($AB$1005:$AQ$1005,1,MATCH(COLUMNS($AB$1006:AM1006),$AB$1006:$AQ$1006,0))&gt;=100000), " ",IF(INDEX($AB$2:$AQ$1001,MATCH(ROWS($U$2:U823),$U$2:$U$1001,0),MATCH(COLUMNS($AB$1006:AM1006),$AB$1006:$AQ$1006,0)), HYPERLINK("#",""), HYPERLINK(CONCATENATE("#Metadata!", ADDRESS(INDEX($W$2:$W$1001,MATCH(ROWS($U$2:U823),$U$2:$U$1001,0),0), INDEX($AB$1004:$AQ$1004,1,MATCH(COLUMNS($AB$1006:AM1006),$AB$1006:$AQ$1006,0)))),"Fix")))</f>
        <v>0</v>
      </c>
      <c r="N823" s="5">
        <f>IF(OR(INDEX($V$2:$V$1001,MATCH(ROWS($U$2:U823),$U$2:$U$1001,0),1)&gt;=100000,INDEX($AB$1005:$AQ$1005,1,MATCH(COLUMNS($AB$1006:AN1006),$AB$1006:$AQ$1006,0))&gt;=100000), " ",IF(INDEX($AB$2:$AQ$1001,MATCH(ROWS($U$2:U823),$U$2:$U$1001,0),MATCH(COLUMNS($AB$1006:AN1006),$AB$1006:$AQ$1006,0)), HYPERLINK("#",""), HYPERLINK(CONCATENATE("#Metadata!", ADDRESS(INDEX($W$2:$W$1001,MATCH(ROWS($U$2:U823),$U$2:$U$1001,0),0), INDEX($AB$1004:$AQ$1004,1,MATCH(COLUMNS($AB$1006:AN1006),$AB$1006:$AQ$1006,0)))),"Fix")))</f>
        <v>0</v>
      </c>
      <c r="O823" s="5">
        <f>IF(OR(INDEX($V$2:$V$1001,MATCH(ROWS($U$2:U823),$U$2:$U$1001,0),1)&gt;=100000,INDEX($AB$1005:$AQ$1005,1,MATCH(COLUMNS($AB$1006:AO1006),$AB$1006:$AQ$1006,0))&gt;=100000), " ",IF(INDEX($AB$2:$AQ$1001,MATCH(ROWS($U$2:U823),$U$2:$U$1001,0),MATCH(COLUMNS($AB$1006:AO1006),$AB$1006:$AQ$1006,0)), HYPERLINK("#",""), HYPERLINK(CONCATENATE("#Metadata!", ADDRESS(INDEX($W$2:$W$1001,MATCH(ROWS($U$2:U823),$U$2:$U$1001,0),0), INDEX($AB$1004:$AQ$1004,1,MATCH(COLUMNS($AB$1006:AO1006),$AB$1006:$AQ$1006,0)))),"Fix")))</f>
        <v>0</v>
      </c>
      <c r="P823" s="5">
        <f>IF(OR(INDEX($V$2:$V$1001,MATCH(ROWS($U$2:U823),$U$2:$U$1001,0),1)&gt;=100000,INDEX($AB$1005:$AQ$1005,1,MATCH(COLUMNS($AB$1006:AP1006),$AB$1006:$AQ$1006,0))&gt;=100000), " ",IF(INDEX($AB$2:$AQ$1001,MATCH(ROWS($U$2:U823),$U$2:$U$1001,0),MATCH(COLUMNS($AB$1006:AP1006),$AB$1006:$AQ$1006,0)), HYPERLINK("#",""), HYPERLINK(CONCATENATE("#Metadata!", ADDRESS(INDEX($W$2:$W$1001,MATCH(ROWS($U$2:U823),$U$2:$U$1001,0),0), INDEX($AB$1004:$AQ$1004,1,MATCH(COLUMNS($AB$1006:AP1006),$AB$1006:$AQ$1006,0)))),"Fix")))</f>
        <v>0</v>
      </c>
      <c r="Q823" s="5">
        <f>IF(OR(INDEX($V$2:$V$1001,MATCH(ROWS($U$2:U823),$U$2:$U$1001,0),1)&gt;=100000,INDEX($AB$1005:$AQ$1005,1,MATCH(COLUMNS($AB$1006:AQ1006),$AB$1006:$AQ$1006,0))&gt;=100000), " ",IF(INDEX($AB$2:$AQ$1001,MATCH(ROWS($U$2:U823),$U$2:$U$1001,0),MATCH(COLUMNS($AB$1006:AQ1006),$AB$1006:$AQ$1006,0)), HYPERLINK("#",""), HYPERLINK(CONCATENATE("#Metadata!", ADDRESS(INDEX($W$2:$W$1001,MATCH(ROWS($U$2:U823),$U$2:$U$1001,0),0), INDEX($AB$1004:$AQ$1004,1,MATCH(COLUMNS($AB$1006:AQ1006),$AB$1006:$AQ$1006,0)))),"Fix")))</f>
        <v>0</v>
      </c>
      <c r="U823">
        <v>0</v>
      </c>
      <c r="V823">
        <v>0</v>
      </c>
      <c r="W823">
        <v>0</v>
      </c>
      <c r="X823">
        <f>IF(Y823,TRUE,AND(AB823:AQ823))</f>
        <v>0</v>
      </c>
      <c r="Y823">
        <f>COUNTBLANK(Metadata!B823:Q823)=COLUMNS(Metadata!B823:Q823)</f>
        <v>0</v>
      </c>
      <c r="Z823">
        <v>0</v>
      </c>
      <c r="AB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AC823">
        <f>AND(IF(Metadata!C823="",FALSE,TRUE),exact(Metadata!C823,"urban biome"))</f>
        <v>0</v>
      </c>
      <c r="AD823">
        <f>AND(IF(Metadata!D823="",FALSE,TRUE),exact(Metadata!D823,"human-associated habitat"))</f>
        <v>0</v>
      </c>
      <c r="AE823">
        <f>AND(IF(Metadata!E823="",FALSE,TRUE),OR(exact(Metadata!E823,"human-associated"),exact(Metadata!E823,"human-skin"),exact(Metadata!E823,"human-oral"),exact(Metadata!E823,"human-gut"),exact(Metadata!E823,"human-vaginal")))</f>
        <v>0</v>
      </c>
      <c r="AF823">
        <f>AND(IF(Metadata!F823="",FALSE,ISNUMBER(VALUE(Metadata!F823))),Metadata!F823&gt;0)</f>
        <v>0</v>
      </c>
      <c r="AG823">
        <f>AND(IF(Metadata!G823="",FALSE,TRUE),exact(Metadata!G823,"years"))</f>
        <v>0</v>
      </c>
      <c r="AH823">
        <f>OR(AND(IF(Metadata!H823="",FALSE,TRUE),OR(exact(Metadata!H823,"not applicable"),exact(Metadata!H823,"not collected"),exact(Metadata!H823,"not provided"),exact(Metadata!H823,"restricted access"))),AND(IF(Metadata!H823="",FALSE,ISNUMBER(VALUE(Metadata!H823))),Metadata!H823&gt;0))</f>
        <v>0</v>
      </c>
      <c r="AI823">
        <f>AND(IF(Metadata!I823="",FALSE,TRUE),exact(Metadata!I823,"human"))</f>
        <v>0</v>
      </c>
      <c r="AJ823">
        <f>AND(IF(Metadata!J823="",FALSE,ISNUMBER(VALUE(Metadata!J823))),Metadata!J823&gt;0)</f>
        <v>0</v>
      </c>
      <c r="AK823">
        <f>AND(IF(Metadata!K823="",FALSE,TRUE),exact(Metadata!K823,"cm"))</f>
        <v>0</v>
      </c>
      <c r="AL823">
        <f>AND(IF(Metadata!L823="",FALSE,TRUE),exact(Metadata!L823,"Homo sapiens"))</f>
        <v>0</v>
      </c>
      <c r="AM823">
        <f>AND(IF(Metadata!M823="",FALSE,TRUE),exact(Metadata!M823,"9606"))</f>
        <v>0</v>
      </c>
      <c r="AN823">
        <f>AND(IF(Metadata!N823="",FALSE,ISNUMBER(VALUE(Metadata!N823))),Metadata!N823&gt;0)</f>
        <v>0</v>
      </c>
      <c r="AO823">
        <f>AND(IF(Metadata!O823="",FALSE,TRUE),exact(Metadata!O823,"kg"))</f>
        <v>0</v>
      </c>
      <c r="AP823">
        <f>OR(AND(IF(Metadata!P823="",FALSE,TRUE),exact(Metadata!P823,"not provided")),IF(Metadata!P823="",FALSE,TRUE))</f>
        <v>0</v>
      </c>
      <c r="AQ823">
        <f>OR(AND(IF(Metadata!Q823="",FALSE,TRUE),exact(Metadata!Q823,"not provided")),IF(Metadata!Q823="",FALSE,TRUE))</f>
        <v>0</v>
      </c>
    </row>
    <row r="824" spans="1:43">
      <c r="A824" s="4">
        <f>IF(B824=" "," ",HYPERLINK(CONCATENATE("#metadata!",ADDRESS(INDEX($W$2:$W$1001,MATCH(ROWS($U$2:U824),$U$2:$U$1001,0),0),2)),INDEX($Z$2:$Z$1001,MATCH(ROWS($U$2:U824),$U$2:$U$1001,0),0)))</f>
        <v>0</v>
      </c>
      <c r="B824" s="5">
        <f>IF(OR(INDEX($V$2:$V$1001,MATCH(ROWS($U$2:U824),$U$2:$U$1001,0),1)&gt;=100000,INDEX($AB$1005:$AQ$1005,1,MATCH(COLUMNS($AB$1006:AB1006),$AB$1006:$AQ$1006,0))&gt;=100000), " ",IF(INDEX($AB$2:$AQ$1001,MATCH(ROWS($U$2:U824),$U$2:$U$1001,0),MATCH(COLUMNS($AB$1006:AB1006),$AB$1006:$AQ$1006,0)), HYPERLINK("#",""), HYPERLINK(CONCATENATE("#Metadata!", ADDRESS(INDEX($W$2:$W$1001,MATCH(ROWS($U$2:U824),$U$2:$U$1001,0),0), INDEX($AB$1004:$AQ$1004,1,MATCH(COLUMNS($AB$1006:AB1006),$AB$1006:$AQ$1006,0)))),"Fix")))</f>
        <v>0</v>
      </c>
      <c r="C824" s="5">
        <f>IF(OR(INDEX($V$2:$V$1001,MATCH(ROWS($U$2:U824),$U$2:$U$1001,0),1)&gt;=100000,INDEX($AB$1005:$AQ$1005,1,MATCH(COLUMNS($AB$1006:AC1006),$AB$1006:$AQ$1006,0))&gt;=100000), " ",IF(INDEX($AB$2:$AQ$1001,MATCH(ROWS($U$2:U824),$U$2:$U$1001,0),MATCH(COLUMNS($AB$1006:AC1006),$AB$1006:$AQ$1006,0)), HYPERLINK("#",""), HYPERLINK(CONCATENATE("#Metadata!", ADDRESS(INDEX($W$2:$W$1001,MATCH(ROWS($U$2:U824),$U$2:$U$1001,0),0), INDEX($AB$1004:$AQ$1004,1,MATCH(COLUMNS($AB$1006:AC1006),$AB$1006:$AQ$1006,0)))),"Fix")))</f>
        <v>0</v>
      </c>
      <c r="D824" s="5">
        <f>IF(OR(INDEX($V$2:$V$1001,MATCH(ROWS($U$2:U824),$U$2:$U$1001,0),1)&gt;=100000,INDEX($AB$1005:$AQ$1005,1,MATCH(COLUMNS($AB$1006:AD1006),$AB$1006:$AQ$1006,0))&gt;=100000), " ",IF(INDEX($AB$2:$AQ$1001,MATCH(ROWS($U$2:U824),$U$2:$U$1001,0),MATCH(COLUMNS($AB$1006:AD1006),$AB$1006:$AQ$1006,0)), HYPERLINK("#",""), HYPERLINK(CONCATENATE("#Metadata!", ADDRESS(INDEX($W$2:$W$1001,MATCH(ROWS($U$2:U824),$U$2:$U$1001,0),0), INDEX($AB$1004:$AQ$1004,1,MATCH(COLUMNS($AB$1006:AD1006),$AB$1006:$AQ$1006,0)))),"Fix")))</f>
        <v>0</v>
      </c>
      <c r="E824" s="5">
        <f>IF(OR(INDEX($V$2:$V$1001,MATCH(ROWS($U$2:U824),$U$2:$U$1001,0),1)&gt;=100000,INDEX($AB$1005:$AQ$1005,1,MATCH(COLUMNS($AB$1006:AE1006),$AB$1006:$AQ$1006,0))&gt;=100000), " ",IF(INDEX($AB$2:$AQ$1001,MATCH(ROWS($U$2:U824),$U$2:$U$1001,0),MATCH(COLUMNS($AB$1006:AE1006),$AB$1006:$AQ$1006,0)), HYPERLINK("#",""), HYPERLINK(CONCATENATE("#Metadata!", ADDRESS(INDEX($W$2:$W$1001,MATCH(ROWS($U$2:U824),$U$2:$U$1001,0),0), INDEX($AB$1004:$AQ$1004,1,MATCH(COLUMNS($AB$1006:AE1006),$AB$1006:$AQ$1006,0)))),"Fix")))</f>
        <v>0</v>
      </c>
      <c r="F824" s="5">
        <f>IF(OR(INDEX($V$2:$V$1001,MATCH(ROWS($U$2:U824),$U$2:$U$1001,0),1)&gt;=100000,INDEX($AB$1005:$AQ$1005,1,MATCH(COLUMNS($AB$1006:AF1006),$AB$1006:$AQ$1006,0))&gt;=100000), " ",IF(INDEX($AB$2:$AQ$1001,MATCH(ROWS($U$2:U824),$U$2:$U$1001,0),MATCH(COLUMNS($AB$1006:AF1006),$AB$1006:$AQ$1006,0)), HYPERLINK("#",""), HYPERLINK(CONCATENATE("#Metadata!", ADDRESS(INDEX($W$2:$W$1001,MATCH(ROWS($U$2:U824),$U$2:$U$1001,0),0), INDEX($AB$1004:$AQ$1004,1,MATCH(COLUMNS($AB$1006:AF1006),$AB$1006:$AQ$1006,0)))),"Fix")))</f>
        <v>0</v>
      </c>
      <c r="G824" s="5">
        <f>IF(OR(INDEX($V$2:$V$1001,MATCH(ROWS($U$2:U824),$U$2:$U$1001,0),1)&gt;=100000,INDEX($AB$1005:$AQ$1005,1,MATCH(COLUMNS($AB$1006:AG1006),$AB$1006:$AQ$1006,0))&gt;=100000), " ",IF(INDEX($AB$2:$AQ$1001,MATCH(ROWS($U$2:U824),$U$2:$U$1001,0),MATCH(COLUMNS($AB$1006:AG1006),$AB$1006:$AQ$1006,0)), HYPERLINK("#",""), HYPERLINK(CONCATENATE("#Metadata!", ADDRESS(INDEX($W$2:$W$1001,MATCH(ROWS($U$2:U824),$U$2:$U$1001,0),0), INDEX($AB$1004:$AQ$1004,1,MATCH(COLUMNS($AB$1006:AG1006),$AB$1006:$AQ$1006,0)))),"Fix")))</f>
        <v>0</v>
      </c>
      <c r="H824" s="5">
        <f>IF(OR(INDEX($V$2:$V$1001,MATCH(ROWS($U$2:U824),$U$2:$U$1001,0),1)&gt;=100000,INDEX($AB$1005:$AQ$1005,1,MATCH(COLUMNS($AB$1006:AH1006),$AB$1006:$AQ$1006,0))&gt;=100000), " ",IF(INDEX($AB$2:$AQ$1001,MATCH(ROWS($U$2:U824),$U$2:$U$1001,0),MATCH(COLUMNS($AB$1006:AH1006),$AB$1006:$AQ$1006,0)), HYPERLINK("#",""), HYPERLINK(CONCATENATE("#Metadata!", ADDRESS(INDEX($W$2:$W$1001,MATCH(ROWS($U$2:U824),$U$2:$U$1001,0),0), INDEX($AB$1004:$AQ$1004,1,MATCH(COLUMNS($AB$1006:AH1006),$AB$1006:$AQ$1006,0)))),"Fix")))</f>
        <v>0</v>
      </c>
      <c r="I824" s="5">
        <f>IF(OR(INDEX($V$2:$V$1001,MATCH(ROWS($U$2:U824),$U$2:$U$1001,0),1)&gt;=100000,INDEX($AB$1005:$AQ$1005,1,MATCH(COLUMNS($AB$1006:AI1006),$AB$1006:$AQ$1006,0))&gt;=100000), " ",IF(INDEX($AB$2:$AQ$1001,MATCH(ROWS($U$2:U824),$U$2:$U$1001,0),MATCH(COLUMNS($AB$1006:AI1006),$AB$1006:$AQ$1006,0)), HYPERLINK("#",""), HYPERLINK(CONCATENATE("#Metadata!", ADDRESS(INDEX($W$2:$W$1001,MATCH(ROWS($U$2:U824),$U$2:$U$1001,0),0), INDEX($AB$1004:$AQ$1004,1,MATCH(COLUMNS($AB$1006:AI1006),$AB$1006:$AQ$1006,0)))),"Fix")))</f>
        <v>0</v>
      </c>
      <c r="J824" s="5">
        <f>IF(OR(INDEX($V$2:$V$1001,MATCH(ROWS($U$2:U824),$U$2:$U$1001,0),1)&gt;=100000,INDEX($AB$1005:$AQ$1005,1,MATCH(COLUMNS($AB$1006:AJ1006),$AB$1006:$AQ$1006,0))&gt;=100000), " ",IF(INDEX($AB$2:$AQ$1001,MATCH(ROWS($U$2:U824),$U$2:$U$1001,0),MATCH(COLUMNS($AB$1006:AJ1006),$AB$1006:$AQ$1006,0)), HYPERLINK("#",""), HYPERLINK(CONCATENATE("#Metadata!", ADDRESS(INDEX($W$2:$W$1001,MATCH(ROWS($U$2:U824),$U$2:$U$1001,0),0), INDEX($AB$1004:$AQ$1004,1,MATCH(COLUMNS($AB$1006:AJ1006),$AB$1006:$AQ$1006,0)))),"Fix")))</f>
        <v>0</v>
      </c>
      <c r="K824" s="5">
        <f>IF(OR(INDEX($V$2:$V$1001,MATCH(ROWS($U$2:U824),$U$2:$U$1001,0),1)&gt;=100000,INDEX($AB$1005:$AQ$1005,1,MATCH(COLUMNS($AB$1006:AK1006),$AB$1006:$AQ$1006,0))&gt;=100000), " ",IF(INDEX($AB$2:$AQ$1001,MATCH(ROWS($U$2:U824),$U$2:$U$1001,0),MATCH(COLUMNS($AB$1006:AK1006),$AB$1006:$AQ$1006,0)), HYPERLINK("#",""), HYPERLINK(CONCATENATE("#Metadata!", ADDRESS(INDEX($W$2:$W$1001,MATCH(ROWS($U$2:U824),$U$2:$U$1001,0),0), INDEX($AB$1004:$AQ$1004,1,MATCH(COLUMNS($AB$1006:AK1006),$AB$1006:$AQ$1006,0)))),"Fix")))</f>
        <v>0</v>
      </c>
      <c r="L824" s="5">
        <f>IF(OR(INDEX($V$2:$V$1001,MATCH(ROWS($U$2:U824),$U$2:$U$1001,0),1)&gt;=100000,INDEX($AB$1005:$AQ$1005,1,MATCH(COLUMNS($AB$1006:AL1006),$AB$1006:$AQ$1006,0))&gt;=100000), " ",IF(INDEX($AB$2:$AQ$1001,MATCH(ROWS($U$2:U824),$U$2:$U$1001,0),MATCH(COLUMNS($AB$1006:AL1006),$AB$1006:$AQ$1006,0)), HYPERLINK("#",""), HYPERLINK(CONCATENATE("#Metadata!", ADDRESS(INDEX($W$2:$W$1001,MATCH(ROWS($U$2:U824),$U$2:$U$1001,0),0), INDEX($AB$1004:$AQ$1004,1,MATCH(COLUMNS($AB$1006:AL1006),$AB$1006:$AQ$1006,0)))),"Fix")))</f>
        <v>0</v>
      </c>
      <c r="M824" s="5">
        <f>IF(OR(INDEX($V$2:$V$1001,MATCH(ROWS($U$2:U824),$U$2:$U$1001,0),1)&gt;=100000,INDEX($AB$1005:$AQ$1005,1,MATCH(COLUMNS($AB$1006:AM1006),$AB$1006:$AQ$1006,0))&gt;=100000), " ",IF(INDEX($AB$2:$AQ$1001,MATCH(ROWS($U$2:U824),$U$2:$U$1001,0),MATCH(COLUMNS($AB$1006:AM1006),$AB$1006:$AQ$1006,0)), HYPERLINK("#",""), HYPERLINK(CONCATENATE("#Metadata!", ADDRESS(INDEX($W$2:$W$1001,MATCH(ROWS($U$2:U824),$U$2:$U$1001,0),0), INDEX($AB$1004:$AQ$1004,1,MATCH(COLUMNS($AB$1006:AM1006),$AB$1006:$AQ$1006,0)))),"Fix")))</f>
        <v>0</v>
      </c>
      <c r="N824" s="5">
        <f>IF(OR(INDEX($V$2:$V$1001,MATCH(ROWS($U$2:U824),$U$2:$U$1001,0),1)&gt;=100000,INDEX($AB$1005:$AQ$1005,1,MATCH(COLUMNS($AB$1006:AN1006),$AB$1006:$AQ$1006,0))&gt;=100000), " ",IF(INDEX($AB$2:$AQ$1001,MATCH(ROWS($U$2:U824),$U$2:$U$1001,0),MATCH(COLUMNS($AB$1006:AN1006),$AB$1006:$AQ$1006,0)), HYPERLINK("#",""), HYPERLINK(CONCATENATE("#Metadata!", ADDRESS(INDEX($W$2:$W$1001,MATCH(ROWS($U$2:U824),$U$2:$U$1001,0),0), INDEX($AB$1004:$AQ$1004,1,MATCH(COLUMNS($AB$1006:AN1006),$AB$1006:$AQ$1006,0)))),"Fix")))</f>
        <v>0</v>
      </c>
      <c r="O824" s="5">
        <f>IF(OR(INDEX($V$2:$V$1001,MATCH(ROWS($U$2:U824),$U$2:$U$1001,0),1)&gt;=100000,INDEX($AB$1005:$AQ$1005,1,MATCH(COLUMNS($AB$1006:AO1006),$AB$1006:$AQ$1006,0))&gt;=100000), " ",IF(INDEX($AB$2:$AQ$1001,MATCH(ROWS($U$2:U824),$U$2:$U$1001,0),MATCH(COLUMNS($AB$1006:AO1006),$AB$1006:$AQ$1006,0)), HYPERLINK("#",""), HYPERLINK(CONCATENATE("#Metadata!", ADDRESS(INDEX($W$2:$W$1001,MATCH(ROWS($U$2:U824),$U$2:$U$1001,0),0), INDEX($AB$1004:$AQ$1004,1,MATCH(COLUMNS($AB$1006:AO1006),$AB$1006:$AQ$1006,0)))),"Fix")))</f>
        <v>0</v>
      </c>
      <c r="P824" s="5">
        <f>IF(OR(INDEX($V$2:$V$1001,MATCH(ROWS($U$2:U824),$U$2:$U$1001,0),1)&gt;=100000,INDEX($AB$1005:$AQ$1005,1,MATCH(COLUMNS($AB$1006:AP1006),$AB$1006:$AQ$1006,0))&gt;=100000), " ",IF(INDEX($AB$2:$AQ$1001,MATCH(ROWS($U$2:U824),$U$2:$U$1001,0),MATCH(COLUMNS($AB$1006:AP1006),$AB$1006:$AQ$1006,0)), HYPERLINK("#",""), HYPERLINK(CONCATENATE("#Metadata!", ADDRESS(INDEX($W$2:$W$1001,MATCH(ROWS($U$2:U824),$U$2:$U$1001,0),0), INDEX($AB$1004:$AQ$1004,1,MATCH(COLUMNS($AB$1006:AP1006),$AB$1006:$AQ$1006,0)))),"Fix")))</f>
        <v>0</v>
      </c>
      <c r="Q824" s="5">
        <f>IF(OR(INDEX($V$2:$V$1001,MATCH(ROWS($U$2:U824),$U$2:$U$1001,0),1)&gt;=100000,INDEX($AB$1005:$AQ$1005,1,MATCH(COLUMNS($AB$1006:AQ1006),$AB$1006:$AQ$1006,0))&gt;=100000), " ",IF(INDEX($AB$2:$AQ$1001,MATCH(ROWS($U$2:U824),$U$2:$U$1001,0),MATCH(COLUMNS($AB$1006:AQ1006),$AB$1006:$AQ$1006,0)), HYPERLINK("#",""), HYPERLINK(CONCATENATE("#Metadata!", ADDRESS(INDEX($W$2:$W$1001,MATCH(ROWS($U$2:U824),$U$2:$U$1001,0),0), INDEX($AB$1004:$AQ$1004,1,MATCH(COLUMNS($AB$1006:AQ1006),$AB$1006:$AQ$1006,0)))),"Fix")))</f>
        <v>0</v>
      </c>
      <c r="U824">
        <v>0</v>
      </c>
      <c r="V824">
        <v>0</v>
      </c>
      <c r="W824">
        <v>0</v>
      </c>
      <c r="X824">
        <f>IF(Y824,TRUE,AND(AB824:AQ824))</f>
        <v>0</v>
      </c>
      <c r="Y824">
        <f>COUNTBLANK(Metadata!B824:Q824)=COLUMNS(Metadata!B824:Q824)</f>
        <v>0</v>
      </c>
      <c r="Z824">
        <v>0</v>
      </c>
      <c r="AB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AC824">
        <f>AND(IF(Metadata!C824="",FALSE,TRUE),exact(Metadata!C824,"urban biome"))</f>
        <v>0</v>
      </c>
      <c r="AD824">
        <f>AND(IF(Metadata!D824="",FALSE,TRUE),exact(Metadata!D824,"human-associated habitat"))</f>
        <v>0</v>
      </c>
      <c r="AE824">
        <f>AND(IF(Metadata!E824="",FALSE,TRUE),OR(exact(Metadata!E824,"human-associated"),exact(Metadata!E824,"human-skin"),exact(Metadata!E824,"human-oral"),exact(Metadata!E824,"human-gut"),exact(Metadata!E824,"human-vaginal")))</f>
        <v>0</v>
      </c>
      <c r="AF824">
        <f>AND(IF(Metadata!F824="",FALSE,ISNUMBER(VALUE(Metadata!F824))),Metadata!F824&gt;0)</f>
        <v>0</v>
      </c>
      <c r="AG824">
        <f>AND(IF(Metadata!G824="",FALSE,TRUE),exact(Metadata!G824,"years"))</f>
        <v>0</v>
      </c>
      <c r="AH824">
        <f>OR(AND(IF(Metadata!H824="",FALSE,TRUE),OR(exact(Metadata!H824,"not applicable"),exact(Metadata!H824,"not collected"),exact(Metadata!H824,"not provided"),exact(Metadata!H824,"restricted access"))),AND(IF(Metadata!H824="",FALSE,ISNUMBER(VALUE(Metadata!H824))),Metadata!H824&gt;0))</f>
        <v>0</v>
      </c>
      <c r="AI824">
        <f>AND(IF(Metadata!I824="",FALSE,TRUE),exact(Metadata!I824,"human"))</f>
        <v>0</v>
      </c>
      <c r="AJ824">
        <f>AND(IF(Metadata!J824="",FALSE,ISNUMBER(VALUE(Metadata!J824))),Metadata!J824&gt;0)</f>
        <v>0</v>
      </c>
      <c r="AK824">
        <f>AND(IF(Metadata!K824="",FALSE,TRUE),exact(Metadata!K824,"cm"))</f>
        <v>0</v>
      </c>
      <c r="AL824">
        <f>AND(IF(Metadata!L824="",FALSE,TRUE),exact(Metadata!L824,"Homo sapiens"))</f>
        <v>0</v>
      </c>
      <c r="AM824">
        <f>AND(IF(Metadata!M824="",FALSE,TRUE),exact(Metadata!M824,"9606"))</f>
        <v>0</v>
      </c>
      <c r="AN824">
        <f>AND(IF(Metadata!N824="",FALSE,ISNUMBER(VALUE(Metadata!N824))),Metadata!N824&gt;0)</f>
        <v>0</v>
      </c>
      <c r="AO824">
        <f>AND(IF(Metadata!O824="",FALSE,TRUE),exact(Metadata!O824,"kg"))</f>
        <v>0</v>
      </c>
      <c r="AP824">
        <f>OR(AND(IF(Metadata!P824="",FALSE,TRUE),exact(Metadata!P824,"not provided")),IF(Metadata!P824="",FALSE,TRUE))</f>
        <v>0</v>
      </c>
      <c r="AQ824">
        <f>OR(AND(IF(Metadata!Q824="",FALSE,TRUE),exact(Metadata!Q824,"not provided")),IF(Metadata!Q824="",FALSE,TRUE))</f>
        <v>0</v>
      </c>
    </row>
    <row r="825" spans="1:43">
      <c r="A825" s="4">
        <f>IF(B825=" "," ",HYPERLINK(CONCATENATE("#metadata!",ADDRESS(INDEX($W$2:$W$1001,MATCH(ROWS($U$2:U825),$U$2:$U$1001,0),0),2)),INDEX($Z$2:$Z$1001,MATCH(ROWS($U$2:U825),$U$2:$U$1001,0),0)))</f>
        <v>0</v>
      </c>
      <c r="B825" s="5">
        <f>IF(OR(INDEX($V$2:$V$1001,MATCH(ROWS($U$2:U825),$U$2:$U$1001,0),1)&gt;=100000,INDEX($AB$1005:$AQ$1005,1,MATCH(COLUMNS($AB$1006:AB1006),$AB$1006:$AQ$1006,0))&gt;=100000), " ",IF(INDEX($AB$2:$AQ$1001,MATCH(ROWS($U$2:U825),$U$2:$U$1001,0),MATCH(COLUMNS($AB$1006:AB1006),$AB$1006:$AQ$1006,0)), HYPERLINK("#",""), HYPERLINK(CONCATENATE("#Metadata!", ADDRESS(INDEX($W$2:$W$1001,MATCH(ROWS($U$2:U825),$U$2:$U$1001,0),0), INDEX($AB$1004:$AQ$1004,1,MATCH(COLUMNS($AB$1006:AB1006),$AB$1006:$AQ$1006,0)))),"Fix")))</f>
        <v>0</v>
      </c>
      <c r="C825" s="5">
        <f>IF(OR(INDEX($V$2:$V$1001,MATCH(ROWS($U$2:U825),$U$2:$U$1001,0),1)&gt;=100000,INDEX($AB$1005:$AQ$1005,1,MATCH(COLUMNS($AB$1006:AC1006),$AB$1006:$AQ$1006,0))&gt;=100000), " ",IF(INDEX($AB$2:$AQ$1001,MATCH(ROWS($U$2:U825),$U$2:$U$1001,0),MATCH(COLUMNS($AB$1006:AC1006),$AB$1006:$AQ$1006,0)), HYPERLINK("#",""), HYPERLINK(CONCATENATE("#Metadata!", ADDRESS(INDEX($W$2:$W$1001,MATCH(ROWS($U$2:U825),$U$2:$U$1001,0),0), INDEX($AB$1004:$AQ$1004,1,MATCH(COLUMNS($AB$1006:AC1006),$AB$1006:$AQ$1006,0)))),"Fix")))</f>
        <v>0</v>
      </c>
      <c r="D825" s="5">
        <f>IF(OR(INDEX($V$2:$V$1001,MATCH(ROWS($U$2:U825),$U$2:$U$1001,0),1)&gt;=100000,INDEX($AB$1005:$AQ$1005,1,MATCH(COLUMNS($AB$1006:AD1006),$AB$1006:$AQ$1006,0))&gt;=100000), " ",IF(INDEX($AB$2:$AQ$1001,MATCH(ROWS($U$2:U825),$U$2:$U$1001,0),MATCH(COLUMNS($AB$1006:AD1006),$AB$1006:$AQ$1006,0)), HYPERLINK("#",""), HYPERLINK(CONCATENATE("#Metadata!", ADDRESS(INDEX($W$2:$W$1001,MATCH(ROWS($U$2:U825),$U$2:$U$1001,0),0), INDEX($AB$1004:$AQ$1004,1,MATCH(COLUMNS($AB$1006:AD1006),$AB$1006:$AQ$1006,0)))),"Fix")))</f>
        <v>0</v>
      </c>
      <c r="E825" s="5">
        <f>IF(OR(INDEX($V$2:$V$1001,MATCH(ROWS($U$2:U825),$U$2:$U$1001,0),1)&gt;=100000,INDEX($AB$1005:$AQ$1005,1,MATCH(COLUMNS($AB$1006:AE1006),$AB$1006:$AQ$1006,0))&gt;=100000), " ",IF(INDEX($AB$2:$AQ$1001,MATCH(ROWS($U$2:U825),$U$2:$U$1001,0),MATCH(COLUMNS($AB$1006:AE1006),$AB$1006:$AQ$1006,0)), HYPERLINK("#",""), HYPERLINK(CONCATENATE("#Metadata!", ADDRESS(INDEX($W$2:$W$1001,MATCH(ROWS($U$2:U825),$U$2:$U$1001,0),0), INDEX($AB$1004:$AQ$1004,1,MATCH(COLUMNS($AB$1006:AE1006),$AB$1006:$AQ$1006,0)))),"Fix")))</f>
        <v>0</v>
      </c>
      <c r="F825" s="5">
        <f>IF(OR(INDEX($V$2:$V$1001,MATCH(ROWS($U$2:U825),$U$2:$U$1001,0),1)&gt;=100000,INDEX($AB$1005:$AQ$1005,1,MATCH(COLUMNS($AB$1006:AF1006),$AB$1006:$AQ$1006,0))&gt;=100000), " ",IF(INDEX($AB$2:$AQ$1001,MATCH(ROWS($U$2:U825),$U$2:$U$1001,0),MATCH(COLUMNS($AB$1006:AF1006),$AB$1006:$AQ$1006,0)), HYPERLINK("#",""), HYPERLINK(CONCATENATE("#Metadata!", ADDRESS(INDEX($W$2:$W$1001,MATCH(ROWS($U$2:U825),$U$2:$U$1001,0),0), INDEX($AB$1004:$AQ$1004,1,MATCH(COLUMNS($AB$1006:AF1006),$AB$1006:$AQ$1006,0)))),"Fix")))</f>
        <v>0</v>
      </c>
      <c r="G825" s="5">
        <f>IF(OR(INDEX($V$2:$V$1001,MATCH(ROWS($U$2:U825),$U$2:$U$1001,0),1)&gt;=100000,INDEX($AB$1005:$AQ$1005,1,MATCH(COLUMNS($AB$1006:AG1006),$AB$1006:$AQ$1006,0))&gt;=100000), " ",IF(INDEX($AB$2:$AQ$1001,MATCH(ROWS($U$2:U825),$U$2:$U$1001,0),MATCH(COLUMNS($AB$1006:AG1006),$AB$1006:$AQ$1006,0)), HYPERLINK("#",""), HYPERLINK(CONCATENATE("#Metadata!", ADDRESS(INDEX($W$2:$W$1001,MATCH(ROWS($U$2:U825),$U$2:$U$1001,0),0), INDEX($AB$1004:$AQ$1004,1,MATCH(COLUMNS($AB$1006:AG1006),$AB$1006:$AQ$1006,0)))),"Fix")))</f>
        <v>0</v>
      </c>
      <c r="H825" s="5">
        <f>IF(OR(INDEX($V$2:$V$1001,MATCH(ROWS($U$2:U825),$U$2:$U$1001,0),1)&gt;=100000,INDEX($AB$1005:$AQ$1005,1,MATCH(COLUMNS($AB$1006:AH1006),$AB$1006:$AQ$1006,0))&gt;=100000), " ",IF(INDEX($AB$2:$AQ$1001,MATCH(ROWS($U$2:U825),$U$2:$U$1001,0),MATCH(COLUMNS($AB$1006:AH1006),$AB$1006:$AQ$1006,0)), HYPERLINK("#",""), HYPERLINK(CONCATENATE("#Metadata!", ADDRESS(INDEX($W$2:$W$1001,MATCH(ROWS($U$2:U825),$U$2:$U$1001,0),0), INDEX($AB$1004:$AQ$1004,1,MATCH(COLUMNS($AB$1006:AH1006),$AB$1006:$AQ$1006,0)))),"Fix")))</f>
        <v>0</v>
      </c>
      <c r="I825" s="5">
        <f>IF(OR(INDEX($V$2:$V$1001,MATCH(ROWS($U$2:U825),$U$2:$U$1001,0),1)&gt;=100000,INDEX($AB$1005:$AQ$1005,1,MATCH(COLUMNS($AB$1006:AI1006),$AB$1006:$AQ$1006,0))&gt;=100000), " ",IF(INDEX($AB$2:$AQ$1001,MATCH(ROWS($U$2:U825),$U$2:$U$1001,0),MATCH(COLUMNS($AB$1006:AI1006),$AB$1006:$AQ$1006,0)), HYPERLINK("#",""), HYPERLINK(CONCATENATE("#Metadata!", ADDRESS(INDEX($W$2:$W$1001,MATCH(ROWS($U$2:U825),$U$2:$U$1001,0),0), INDEX($AB$1004:$AQ$1004,1,MATCH(COLUMNS($AB$1006:AI1006),$AB$1006:$AQ$1006,0)))),"Fix")))</f>
        <v>0</v>
      </c>
      <c r="J825" s="5">
        <f>IF(OR(INDEX($V$2:$V$1001,MATCH(ROWS($U$2:U825),$U$2:$U$1001,0),1)&gt;=100000,INDEX($AB$1005:$AQ$1005,1,MATCH(COLUMNS($AB$1006:AJ1006),$AB$1006:$AQ$1006,0))&gt;=100000), " ",IF(INDEX($AB$2:$AQ$1001,MATCH(ROWS($U$2:U825),$U$2:$U$1001,0),MATCH(COLUMNS($AB$1006:AJ1006),$AB$1006:$AQ$1006,0)), HYPERLINK("#",""), HYPERLINK(CONCATENATE("#Metadata!", ADDRESS(INDEX($W$2:$W$1001,MATCH(ROWS($U$2:U825),$U$2:$U$1001,0),0), INDEX($AB$1004:$AQ$1004,1,MATCH(COLUMNS($AB$1006:AJ1006),$AB$1006:$AQ$1006,0)))),"Fix")))</f>
        <v>0</v>
      </c>
      <c r="K825" s="5">
        <f>IF(OR(INDEX($V$2:$V$1001,MATCH(ROWS($U$2:U825),$U$2:$U$1001,0),1)&gt;=100000,INDEX($AB$1005:$AQ$1005,1,MATCH(COLUMNS($AB$1006:AK1006),$AB$1006:$AQ$1006,0))&gt;=100000), " ",IF(INDEX($AB$2:$AQ$1001,MATCH(ROWS($U$2:U825),$U$2:$U$1001,0),MATCH(COLUMNS($AB$1006:AK1006),$AB$1006:$AQ$1006,0)), HYPERLINK("#",""), HYPERLINK(CONCATENATE("#Metadata!", ADDRESS(INDEX($W$2:$W$1001,MATCH(ROWS($U$2:U825),$U$2:$U$1001,0),0), INDEX($AB$1004:$AQ$1004,1,MATCH(COLUMNS($AB$1006:AK1006),$AB$1006:$AQ$1006,0)))),"Fix")))</f>
        <v>0</v>
      </c>
      <c r="L825" s="5">
        <f>IF(OR(INDEX($V$2:$V$1001,MATCH(ROWS($U$2:U825),$U$2:$U$1001,0),1)&gt;=100000,INDEX($AB$1005:$AQ$1005,1,MATCH(COLUMNS($AB$1006:AL1006),$AB$1006:$AQ$1006,0))&gt;=100000), " ",IF(INDEX($AB$2:$AQ$1001,MATCH(ROWS($U$2:U825),$U$2:$U$1001,0),MATCH(COLUMNS($AB$1006:AL1006),$AB$1006:$AQ$1006,0)), HYPERLINK("#",""), HYPERLINK(CONCATENATE("#Metadata!", ADDRESS(INDEX($W$2:$W$1001,MATCH(ROWS($U$2:U825),$U$2:$U$1001,0),0), INDEX($AB$1004:$AQ$1004,1,MATCH(COLUMNS($AB$1006:AL1006),$AB$1006:$AQ$1006,0)))),"Fix")))</f>
        <v>0</v>
      </c>
      <c r="M825" s="5">
        <f>IF(OR(INDEX($V$2:$V$1001,MATCH(ROWS($U$2:U825),$U$2:$U$1001,0),1)&gt;=100000,INDEX($AB$1005:$AQ$1005,1,MATCH(COLUMNS($AB$1006:AM1006),$AB$1006:$AQ$1006,0))&gt;=100000), " ",IF(INDEX($AB$2:$AQ$1001,MATCH(ROWS($U$2:U825),$U$2:$U$1001,0),MATCH(COLUMNS($AB$1006:AM1006),$AB$1006:$AQ$1006,0)), HYPERLINK("#",""), HYPERLINK(CONCATENATE("#Metadata!", ADDRESS(INDEX($W$2:$W$1001,MATCH(ROWS($U$2:U825),$U$2:$U$1001,0),0), INDEX($AB$1004:$AQ$1004,1,MATCH(COLUMNS($AB$1006:AM1006),$AB$1006:$AQ$1006,0)))),"Fix")))</f>
        <v>0</v>
      </c>
      <c r="N825" s="5">
        <f>IF(OR(INDEX($V$2:$V$1001,MATCH(ROWS($U$2:U825),$U$2:$U$1001,0),1)&gt;=100000,INDEX($AB$1005:$AQ$1005,1,MATCH(COLUMNS($AB$1006:AN1006),$AB$1006:$AQ$1006,0))&gt;=100000), " ",IF(INDEX($AB$2:$AQ$1001,MATCH(ROWS($U$2:U825),$U$2:$U$1001,0),MATCH(COLUMNS($AB$1006:AN1006),$AB$1006:$AQ$1006,0)), HYPERLINK("#",""), HYPERLINK(CONCATENATE("#Metadata!", ADDRESS(INDEX($W$2:$W$1001,MATCH(ROWS($U$2:U825),$U$2:$U$1001,0),0), INDEX($AB$1004:$AQ$1004,1,MATCH(COLUMNS($AB$1006:AN1006),$AB$1006:$AQ$1006,0)))),"Fix")))</f>
        <v>0</v>
      </c>
      <c r="O825" s="5">
        <f>IF(OR(INDEX($V$2:$V$1001,MATCH(ROWS($U$2:U825),$U$2:$U$1001,0),1)&gt;=100000,INDEX($AB$1005:$AQ$1005,1,MATCH(COLUMNS($AB$1006:AO1006),$AB$1006:$AQ$1006,0))&gt;=100000), " ",IF(INDEX($AB$2:$AQ$1001,MATCH(ROWS($U$2:U825),$U$2:$U$1001,0),MATCH(COLUMNS($AB$1006:AO1006),$AB$1006:$AQ$1006,0)), HYPERLINK("#",""), HYPERLINK(CONCATENATE("#Metadata!", ADDRESS(INDEX($W$2:$W$1001,MATCH(ROWS($U$2:U825),$U$2:$U$1001,0),0), INDEX($AB$1004:$AQ$1004,1,MATCH(COLUMNS($AB$1006:AO1006),$AB$1006:$AQ$1006,0)))),"Fix")))</f>
        <v>0</v>
      </c>
      <c r="P825" s="5">
        <f>IF(OR(INDEX($V$2:$V$1001,MATCH(ROWS($U$2:U825),$U$2:$U$1001,0),1)&gt;=100000,INDEX($AB$1005:$AQ$1005,1,MATCH(COLUMNS($AB$1006:AP1006),$AB$1006:$AQ$1006,0))&gt;=100000), " ",IF(INDEX($AB$2:$AQ$1001,MATCH(ROWS($U$2:U825),$U$2:$U$1001,0),MATCH(COLUMNS($AB$1006:AP1006),$AB$1006:$AQ$1006,0)), HYPERLINK("#",""), HYPERLINK(CONCATENATE("#Metadata!", ADDRESS(INDEX($W$2:$W$1001,MATCH(ROWS($U$2:U825),$U$2:$U$1001,0),0), INDEX($AB$1004:$AQ$1004,1,MATCH(COLUMNS($AB$1006:AP1006),$AB$1006:$AQ$1006,0)))),"Fix")))</f>
        <v>0</v>
      </c>
      <c r="Q825" s="5">
        <f>IF(OR(INDEX($V$2:$V$1001,MATCH(ROWS($U$2:U825),$U$2:$U$1001,0),1)&gt;=100000,INDEX($AB$1005:$AQ$1005,1,MATCH(COLUMNS($AB$1006:AQ1006),$AB$1006:$AQ$1006,0))&gt;=100000), " ",IF(INDEX($AB$2:$AQ$1001,MATCH(ROWS($U$2:U825),$U$2:$U$1001,0),MATCH(COLUMNS($AB$1006:AQ1006),$AB$1006:$AQ$1006,0)), HYPERLINK("#",""), HYPERLINK(CONCATENATE("#Metadata!", ADDRESS(INDEX($W$2:$W$1001,MATCH(ROWS($U$2:U825),$U$2:$U$1001,0),0), INDEX($AB$1004:$AQ$1004,1,MATCH(COLUMNS($AB$1006:AQ1006),$AB$1006:$AQ$1006,0)))),"Fix")))</f>
        <v>0</v>
      </c>
      <c r="U825">
        <v>0</v>
      </c>
      <c r="V825">
        <v>0</v>
      </c>
      <c r="W825">
        <v>0</v>
      </c>
      <c r="X825">
        <f>IF(Y825,TRUE,AND(AB825:AQ825))</f>
        <v>0</v>
      </c>
      <c r="Y825">
        <f>COUNTBLANK(Metadata!B825:Q825)=COLUMNS(Metadata!B825:Q825)</f>
        <v>0</v>
      </c>
      <c r="Z825">
        <v>0</v>
      </c>
      <c r="AB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AC825">
        <f>AND(IF(Metadata!C825="",FALSE,TRUE),exact(Metadata!C825,"urban biome"))</f>
        <v>0</v>
      </c>
      <c r="AD825">
        <f>AND(IF(Metadata!D825="",FALSE,TRUE),exact(Metadata!D825,"human-associated habitat"))</f>
        <v>0</v>
      </c>
      <c r="AE825">
        <f>AND(IF(Metadata!E825="",FALSE,TRUE),OR(exact(Metadata!E825,"human-associated"),exact(Metadata!E825,"human-skin"),exact(Metadata!E825,"human-oral"),exact(Metadata!E825,"human-gut"),exact(Metadata!E825,"human-vaginal")))</f>
        <v>0</v>
      </c>
      <c r="AF825">
        <f>AND(IF(Metadata!F825="",FALSE,ISNUMBER(VALUE(Metadata!F825))),Metadata!F825&gt;0)</f>
        <v>0</v>
      </c>
      <c r="AG825">
        <f>AND(IF(Metadata!G825="",FALSE,TRUE),exact(Metadata!G825,"years"))</f>
        <v>0</v>
      </c>
      <c r="AH825">
        <f>OR(AND(IF(Metadata!H825="",FALSE,TRUE),OR(exact(Metadata!H825,"not applicable"),exact(Metadata!H825,"not collected"),exact(Metadata!H825,"not provided"),exact(Metadata!H825,"restricted access"))),AND(IF(Metadata!H825="",FALSE,ISNUMBER(VALUE(Metadata!H825))),Metadata!H825&gt;0))</f>
        <v>0</v>
      </c>
      <c r="AI825">
        <f>AND(IF(Metadata!I825="",FALSE,TRUE),exact(Metadata!I825,"human"))</f>
        <v>0</v>
      </c>
      <c r="AJ825">
        <f>AND(IF(Metadata!J825="",FALSE,ISNUMBER(VALUE(Metadata!J825))),Metadata!J825&gt;0)</f>
        <v>0</v>
      </c>
      <c r="AK825">
        <f>AND(IF(Metadata!K825="",FALSE,TRUE),exact(Metadata!K825,"cm"))</f>
        <v>0</v>
      </c>
      <c r="AL825">
        <f>AND(IF(Metadata!L825="",FALSE,TRUE),exact(Metadata!L825,"Homo sapiens"))</f>
        <v>0</v>
      </c>
      <c r="AM825">
        <f>AND(IF(Metadata!M825="",FALSE,TRUE),exact(Metadata!M825,"9606"))</f>
        <v>0</v>
      </c>
      <c r="AN825">
        <f>AND(IF(Metadata!N825="",FALSE,ISNUMBER(VALUE(Metadata!N825))),Metadata!N825&gt;0)</f>
        <v>0</v>
      </c>
      <c r="AO825">
        <f>AND(IF(Metadata!O825="",FALSE,TRUE),exact(Metadata!O825,"kg"))</f>
        <v>0</v>
      </c>
      <c r="AP825">
        <f>OR(AND(IF(Metadata!P825="",FALSE,TRUE),exact(Metadata!P825,"not provided")),IF(Metadata!P825="",FALSE,TRUE))</f>
        <v>0</v>
      </c>
      <c r="AQ825">
        <f>OR(AND(IF(Metadata!Q825="",FALSE,TRUE),exact(Metadata!Q825,"not provided")),IF(Metadata!Q825="",FALSE,TRUE))</f>
        <v>0</v>
      </c>
    </row>
    <row r="826" spans="1:43">
      <c r="A826" s="4">
        <f>IF(B826=" "," ",HYPERLINK(CONCATENATE("#metadata!",ADDRESS(INDEX($W$2:$W$1001,MATCH(ROWS($U$2:U826),$U$2:$U$1001,0),0),2)),INDEX($Z$2:$Z$1001,MATCH(ROWS($U$2:U826),$U$2:$U$1001,0),0)))</f>
        <v>0</v>
      </c>
      <c r="B826" s="5">
        <f>IF(OR(INDEX($V$2:$V$1001,MATCH(ROWS($U$2:U826),$U$2:$U$1001,0),1)&gt;=100000,INDEX($AB$1005:$AQ$1005,1,MATCH(COLUMNS($AB$1006:AB1006),$AB$1006:$AQ$1006,0))&gt;=100000), " ",IF(INDEX($AB$2:$AQ$1001,MATCH(ROWS($U$2:U826),$U$2:$U$1001,0),MATCH(COLUMNS($AB$1006:AB1006),$AB$1006:$AQ$1006,0)), HYPERLINK("#",""), HYPERLINK(CONCATENATE("#Metadata!", ADDRESS(INDEX($W$2:$W$1001,MATCH(ROWS($U$2:U826),$U$2:$U$1001,0),0), INDEX($AB$1004:$AQ$1004,1,MATCH(COLUMNS($AB$1006:AB1006),$AB$1006:$AQ$1006,0)))),"Fix")))</f>
        <v>0</v>
      </c>
      <c r="C826" s="5">
        <f>IF(OR(INDEX($V$2:$V$1001,MATCH(ROWS($U$2:U826),$U$2:$U$1001,0),1)&gt;=100000,INDEX($AB$1005:$AQ$1005,1,MATCH(COLUMNS($AB$1006:AC1006),$AB$1006:$AQ$1006,0))&gt;=100000), " ",IF(INDEX($AB$2:$AQ$1001,MATCH(ROWS($U$2:U826),$U$2:$U$1001,0),MATCH(COLUMNS($AB$1006:AC1006),$AB$1006:$AQ$1006,0)), HYPERLINK("#",""), HYPERLINK(CONCATENATE("#Metadata!", ADDRESS(INDEX($W$2:$W$1001,MATCH(ROWS($U$2:U826),$U$2:$U$1001,0),0), INDEX($AB$1004:$AQ$1004,1,MATCH(COLUMNS($AB$1006:AC1006),$AB$1006:$AQ$1006,0)))),"Fix")))</f>
        <v>0</v>
      </c>
      <c r="D826" s="5">
        <f>IF(OR(INDEX($V$2:$V$1001,MATCH(ROWS($U$2:U826),$U$2:$U$1001,0),1)&gt;=100000,INDEX($AB$1005:$AQ$1005,1,MATCH(COLUMNS($AB$1006:AD1006),$AB$1006:$AQ$1006,0))&gt;=100000), " ",IF(INDEX($AB$2:$AQ$1001,MATCH(ROWS($U$2:U826),$U$2:$U$1001,0),MATCH(COLUMNS($AB$1006:AD1006),$AB$1006:$AQ$1006,0)), HYPERLINK("#",""), HYPERLINK(CONCATENATE("#Metadata!", ADDRESS(INDEX($W$2:$W$1001,MATCH(ROWS($U$2:U826),$U$2:$U$1001,0),0), INDEX($AB$1004:$AQ$1004,1,MATCH(COLUMNS($AB$1006:AD1006),$AB$1006:$AQ$1006,0)))),"Fix")))</f>
        <v>0</v>
      </c>
      <c r="E826" s="5">
        <f>IF(OR(INDEX($V$2:$V$1001,MATCH(ROWS($U$2:U826),$U$2:$U$1001,0),1)&gt;=100000,INDEX($AB$1005:$AQ$1005,1,MATCH(COLUMNS($AB$1006:AE1006),$AB$1006:$AQ$1006,0))&gt;=100000), " ",IF(INDEX($AB$2:$AQ$1001,MATCH(ROWS($U$2:U826),$U$2:$U$1001,0),MATCH(COLUMNS($AB$1006:AE1006),$AB$1006:$AQ$1006,0)), HYPERLINK("#",""), HYPERLINK(CONCATENATE("#Metadata!", ADDRESS(INDEX($W$2:$W$1001,MATCH(ROWS($U$2:U826),$U$2:$U$1001,0),0), INDEX($AB$1004:$AQ$1004,1,MATCH(COLUMNS($AB$1006:AE1006),$AB$1006:$AQ$1006,0)))),"Fix")))</f>
        <v>0</v>
      </c>
      <c r="F826" s="5">
        <f>IF(OR(INDEX($V$2:$V$1001,MATCH(ROWS($U$2:U826),$U$2:$U$1001,0),1)&gt;=100000,INDEX($AB$1005:$AQ$1005,1,MATCH(COLUMNS($AB$1006:AF1006),$AB$1006:$AQ$1006,0))&gt;=100000), " ",IF(INDEX($AB$2:$AQ$1001,MATCH(ROWS($U$2:U826),$U$2:$U$1001,0),MATCH(COLUMNS($AB$1006:AF1006),$AB$1006:$AQ$1006,0)), HYPERLINK("#",""), HYPERLINK(CONCATENATE("#Metadata!", ADDRESS(INDEX($W$2:$W$1001,MATCH(ROWS($U$2:U826),$U$2:$U$1001,0),0), INDEX($AB$1004:$AQ$1004,1,MATCH(COLUMNS($AB$1006:AF1006),$AB$1006:$AQ$1006,0)))),"Fix")))</f>
        <v>0</v>
      </c>
      <c r="G826" s="5">
        <f>IF(OR(INDEX($V$2:$V$1001,MATCH(ROWS($U$2:U826),$U$2:$U$1001,0),1)&gt;=100000,INDEX($AB$1005:$AQ$1005,1,MATCH(COLUMNS($AB$1006:AG1006),$AB$1006:$AQ$1006,0))&gt;=100000), " ",IF(INDEX($AB$2:$AQ$1001,MATCH(ROWS($U$2:U826),$U$2:$U$1001,0),MATCH(COLUMNS($AB$1006:AG1006),$AB$1006:$AQ$1006,0)), HYPERLINK("#",""), HYPERLINK(CONCATENATE("#Metadata!", ADDRESS(INDEX($W$2:$W$1001,MATCH(ROWS($U$2:U826),$U$2:$U$1001,0),0), INDEX($AB$1004:$AQ$1004,1,MATCH(COLUMNS($AB$1006:AG1006),$AB$1006:$AQ$1006,0)))),"Fix")))</f>
        <v>0</v>
      </c>
      <c r="H826" s="5">
        <f>IF(OR(INDEX($V$2:$V$1001,MATCH(ROWS($U$2:U826),$U$2:$U$1001,0),1)&gt;=100000,INDEX($AB$1005:$AQ$1005,1,MATCH(COLUMNS($AB$1006:AH1006),$AB$1006:$AQ$1006,0))&gt;=100000), " ",IF(INDEX($AB$2:$AQ$1001,MATCH(ROWS($U$2:U826),$U$2:$U$1001,0),MATCH(COLUMNS($AB$1006:AH1006),$AB$1006:$AQ$1006,0)), HYPERLINK("#",""), HYPERLINK(CONCATENATE("#Metadata!", ADDRESS(INDEX($W$2:$W$1001,MATCH(ROWS($U$2:U826),$U$2:$U$1001,0),0), INDEX($AB$1004:$AQ$1004,1,MATCH(COLUMNS($AB$1006:AH1006),$AB$1006:$AQ$1006,0)))),"Fix")))</f>
        <v>0</v>
      </c>
      <c r="I826" s="5">
        <f>IF(OR(INDEX($V$2:$V$1001,MATCH(ROWS($U$2:U826),$U$2:$U$1001,0),1)&gt;=100000,INDEX($AB$1005:$AQ$1005,1,MATCH(COLUMNS($AB$1006:AI1006),$AB$1006:$AQ$1006,0))&gt;=100000), " ",IF(INDEX($AB$2:$AQ$1001,MATCH(ROWS($U$2:U826),$U$2:$U$1001,0),MATCH(COLUMNS($AB$1006:AI1006),$AB$1006:$AQ$1006,0)), HYPERLINK("#",""), HYPERLINK(CONCATENATE("#Metadata!", ADDRESS(INDEX($W$2:$W$1001,MATCH(ROWS($U$2:U826),$U$2:$U$1001,0),0), INDEX($AB$1004:$AQ$1004,1,MATCH(COLUMNS($AB$1006:AI1006),$AB$1006:$AQ$1006,0)))),"Fix")))</f>
        <v>0</v>
      </c>
      <c r="J826" s="5">
        <f>IF(OR(INDEX($V$2:$V$1001,MATCH(ROWS($U$2:U826),$U$2:$U$1001,0),1)&gt;=100000,INDEX($AB$1005:$AQ$1005,1,MATCH(COLUMNS($AB$1006:AJ1006),$AB$1006:$AQ$1006,0))&gt;=100000), " ",IF(INDEX($AB$2:$AQ$1001,MATCH(ROWS($U$2:U826),$U$2:$U$1001,0),MATCH(COLUMNS($AB$1006:AJ1006),$AB$1006:$AQ$1006,0)), HYPERLINK("#",""), HYPERLINK(CONCATENATE("#Metadata!", ADDRESS(INDEX($W$2:$W$1001,MATCH(ROWS($U$2:U826),$U$2:$U$1001,0),0), INDEX($AB$1004:$AQ$1004,1,MATCH(COLUMNS($AB$1006:AJ1006),$AB$1006:$AQ$1006,0)))),"Fix")))</f>
        <v>0</v>
      </c>
      <c r="K826" s="5">
        <f>IF(OR(INDEX($V$2:$V$1001,MATCH(ROWS($U$2:U826),$U$2:$U$1001,0),1)&gt;=100000,INDEX($AB$1005:$AQ$1005,1,MATCH(COLUMNS($AB$1006:AK1006),$AB$1006:$AQ$1006,0))&gt;=100000), " ",IF(INDEX($AB$2:$AQ$1001,MATCH(ROWS($U$2:U826),$U$2:$U$1001,0),MATCH(COLUMNS($AB$1006:AK1006),$AB$1006:$AQ$1006,0)), HYPERLINK("#",""), HYPERLINK(CONCATENATE("#Metadata!", ADDRESS(INDEX($W$2:$W$1001,MATCH(ROWS($U$2:U826),$U$2:$U$1001,0),0), INDEX($AB$1004:$AQ$1004,1,MATCH(COLUMNS($AB$1006:AK1006),$AB$1006:$AQ$1006,0)))),"Fix")))</f>
        <v>0</v>
      </c>
      <c r="L826" s="5">
        <f>IF(OR(INDEX($V$2:$V$1001,MATCH(ROWS($U$2:U826),$U$2:$U$1001,0),1)&gt;=100000,INDEX($AB$1005:$AQ$1005,1,MATCH(COLUMNS($AB$1006:AL1006),$AB$1006:$AQ$1006,0))&gt;=100000), " ",IF(INDEX($AB$2:$AQ$1001,MATCH(ROWS($U$2:U826),$U$2:$U$1001,0),MATCH(COLUMNS($AB$1006:AL1006),$AB$1006:$AQ$1006,0)), HYPERLINK("#",""), HYPERLINK(CONCATENATE("#Metadata!", ADDRESS(INDEX($W$2:$W$1001,MATCH(ROWS($U$2:U826),$U$2:$U$1001,0),0), INDEX($AB$1004:$AQ$1004,1,MATCH(COLUMNS($AB$1006:AL1006),$AB$1006:$AQ$1006,0)))),"Fix")))</f>
        <v>0</v>
      </c>
      <c r="M826" s="5">
        <f>IF(OR(INDEX($V$2:$V$1001,MATCH(ROWS($U$2:U826),$U$2:$U$1001,0),1)&gt;=100000,INDEX($AB$1005:$AQ$1005,1,MATCH(COLUMNS($AB$1006:AM1006),$AB$1006:$AQ$1006,0))&gt;=100000), " ",IF(INDEX($AB$2:$AQ$1001,MATCH(ROWS($U$2:U826),$U$2:$U$1001,0),MATCH(COLUMNS($AB$1006:AM1006),$AB$1006:$AQ$1006,0)), HYPERLINK("#",""), HYPERLINK(CONCATENATE("#Metadata!", ADDRESS(INDEX($W$2:$W$1001,MATCH(ROWS($U$2:U826),$U$2:$U$1001,0),0), INDEX($AB$1004:$AQ$1004,1,MATCH(COLUMNS($AB$1006:AM1006),$AB$1006:$AQ$1006,0)))),"Fix")))</f>
        <v>0</v>
      </c>
      <c r="N826" s="5">
        <f>IF(OR(INDEX($V$2:$V$1001,MATCH(ROWS($U$2:U826),$U$2:$U$1001,0),1)&gt;=100000,INDEX($AB$1005:$AQ$1005,1,MATCH(COLUMNS($AB$1006:AN1006),$AB$1006:$AQ$1006,0))&gt;=100000), " ",IF(INDEX($AB$2:$AQ$1001,MATCH(ROWS($U$2:U826),$U$2:$U$1001,0),MATCH(COLUMNS($AB$1006:AN1006),$AB$1006:$AQ$1006,0)), HYPERLINK("#",""), HYPERLINK(CONCATENATE("#Metadata!", ADDRESS(INDEX($W$2:$W$1001,MATCH(ROWS($U$2:U826),$U$2:$U$1001,0),0), INDEX($AB$1004:$AQ$1004,1,MATCH(COLUMNS($AB$1006:AN1006),$AB$1006:$AQ$1006,0)))),"Fix")))</f>
        <v>0</v>
      </c>
      <c r="O826" s="5">
        <f>IF(OR(INDEX($V$2:$V$1001,MATCH(ROWS($U$2:U826),$U$2:$U$1001,0),1)&gt;=100000,INDEX($AB$1005:$AQ$1005,1,MATCH(COLUMNS($AB$1006:AO1006),$AB$1006:$AQ$1006,0))&gt;=100000), " ",IF(INDEX($AB$2:$AQ$1001,MATCH(ROWS($U$2:U826),$U$2:$U$1001,0),MATCH(COLUMNS($AB$1006:AO1006),$AB$1006:$AQ$1006,0)), HYPERLINK("#",""), HYPERLINK(CONCATENATE("#Metadata!", ADDRESS(INDEX($W$2:$W$1001,MATCH(ROWS($U$2:U826),$U$2:$U$1001,0),0), INDEX($AB$1004:$AQ$1004,1,MATCH(COLUMNS($AB$1006:AO1006),$AB$1006:$AQ$1006,0)))),"Fix")))</f>
        <v>0</v>
      </c>
      <c r="P826" s="5">
        <f>IF(OR(INDEX($V$2:$V$1001,MATCH(ROWS($U$2:U826),$U$2:$U$1001,0),1)&gt;=100000,INDEX($AB$1005:$AQ$1005,1,MATCH(COLUMNS($AB$1006:AP1006),$AB$1006:$AQ$1006,0))&gt;=100000), " ",IF(INDEX($AB$2:$AQ$1001,MATCH(ROWS($U$2:U826),$U$2:$U$1001,0),MATCH(COLUMNS($AB$1006:AP1006),$AB$1006:$AQ$1006,0)), HYPERLINK("#",""), HYPERLINK(CONCATENATE("#Metadata!", ADDRESS(INDEX($W$2:$W$1001,MATCH(ROWS($U$2:U826),$U$2:$U$1001,0),0), INDEX($AB$1004:$AQ$1004,1,MATCH(COLUMNS($AB$1006:AP1006),$AB$1006:$AQ$1006,0)))),"Fix")))</f>
        <v>0</v>
      </c>
      <c r="Q826" s="5">
        <f>IF(OR(INDEX($V$2:$V$1001,MATCH(ROWS($U$2:U826),$U$2:$U$1001,0),1)&gt;=100000,INDEX($AB$1005:$AQ$1005,1,MATCH(COLUMNS($AB$1006:AQ1006),$AB$1006:$AQ$1006,0))&gt;=100000), " ",IF(INDEX($AB$2:$AQ$1001,MATCH(ROWS($U$2:U826),$U$2:$U$1001,0),MATCH(COLUMNS($AB$1006:AQ1006),$AB$1006:$AQ$1006,0)), HYPERLINK("#",""), HYPERLINK(CONCATENATE("#Metadata!", ADDRESS(INDEX($W$2:$W$1001,MATCH(ROWS($U$2:U826),$U$2:$U$1001,0),0), INDEX($AB$1004:$AQ$1004,1,MATCH(COLUMNS($AB$1006:AQ1006),$AB$1006:$AQ$1006,0)))),"Fix")))</f>
        <v>0</v>
      </c>
      <c r="U826">
        <v>0</v>
      </c>
      <c r="V826">
        <v>0</v>
      </c>
      <c r="W826">
        <v>0</v>
      </c>
      <c r="X826">
        <f>IF(Y826,TRUE,AND(AB826:AQ826))</f>
        <v>0</v>
      </c>
      <c r="Y826">
        <f>COUNTBLANK(Metadata!B826:Q826)=COLUMNS(Metadata!B826:Q826)</f>
        <v>0</v>
      </c>
      <c r="Z826">
        <v>0</v>
      </c>
      <c r="AB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AC826">
        <f>AND(IF(Metadata!C826="",FALSE,TRUE),exact(Metadata!C826,"urban biome"))</f>
        <v>0</v>
      </c>
      <c r="AD826">
        <f>AND(IF(Metadata!D826="",FALSE,TRUE),exact(Metadata!D826,"human-associated habitat"))</f>
        <v>0</v>
      </c>
      <c r="AE826">
        <f>AND(IF(Metadata!E826="",FALSE,TRUE),OR(exact(Metadata!E826,"human-associated"),exact(Metadata!E826,"human-skin"),exact(Metadata!E826,"human-oral"),exact(Metadata!E826,"human-gut"),exact(Metadata!E826,"human-vaginal")))</f>
        <v>0</v>
      </c>
      <c r="AF826">
        <f>AND(IF(Metadata!F826="",FALSE,ISNUMBER(VALUE(Metadata!F826))),Metadata!F826&gt;0)</f>
        <v>0</v>
      </c>
      <c r="AG826">
        <f>AND(IF(Metadata!G826="",FALSE,TRUE),exact(Metadata!G826,"years"))</f>
        <v>0</v>
      </c>
      <c r="AH826">
        <f>OR(AND(IF(Metadata!H826="",FALSE,TRUE),OR(exact(Metadata!H826,"not applicable"),exact(Metadata!H826,"not collected"),exact(Metadata!H826,"not provided"),exact(Metadata!H826,"restricted access"))),AND(IF(Metadata!H826="",FALSE,ISNUMBER(VALUE(Metadata!H826))),Metadata!H826&gt;0))</f>
        <v>0</v>
      </c>
      <c r="AI826">
        <f>AND(IF(Metadata!I826="",FALSE,TRUE),exact(Metadata!I826,"human"))</f>
        <v>0</v>
      </c>
      <c r="AJ826">
        <f>AND(IF(Metadata!J826="",FALSE,ISNUMBER(VALUE(Metadata!J826))),Metadata!J826&gt;0)</f>
        <v>0</v>
      </c>
      <c r="AK826">
        <f>AND(IF(Metadata!K826="",FALSE,TRUE),exact(Metadata!K826,"cm"))</f>
        <v>0</v>
      </c>
      <c r="AL826">
        <f>AND(IF(Metadata!L826="",FALSE,TRUE),exact(Metadata!L826,"Homo sapiens"))</f>
        <v>0</v>
      </c>
      <c r="AM826">
        <f>AND(IF(Metadata!M826="",FALSE,TRUE),exact(Metadata!M826,"9606"))</f>
        <v>0</v>
      </c>
      <c r="AN826">
        <f>AND(IF(Metadata!N826="",FALSE,ISNUMBER(VALUE(Metadata!N826))),Metadata!N826&gt;0)</f>
        <v>0</v>
      </c>
      <c r="AO826">
        <f>AND(IF(Metadata!O826="",FALSE,TRUE),exact(Metadata!O826,"kg"))</f>
        <v>0</v>
      </c>
      <c r="AP826">
        <f>OR(AND(IF(Metadata!P826="",FALSE,TRUE),exact(Metadata!P826,"not provided")),IF(Metadata!P826="",FALSE,TRUE))</f>
        <v>0</v>
      </c>
      <c r="AQ826">
        <f>OR(AND(IF(Metadata!Q826="",FALSE,TRUE),exact(Metadata!Q826,"not provided")),IF(Metadata!Q826="",FALSE,TRUE))</f>
        <v>0</v>
      </c>
    </row>
    <row r="827" spans="1:43">
      <c r="A827" s="4">
        <f>IF(B827=" "," ",HYPERLINK(CONCATENATE("#metadata!",ADDRESS(INDEX($W$2:$W$1001,MATCH(ROWS($U$2:U827),$U$2:$U$1001,0),0),2)),INDEX($Z$2:$Z$1001,MATCH(ROWS($U$2:U827),$U$2:$U$1001,0),0)))</f>
        <v>0</v>
      </c>
      <c r="B827" s="5">
        <f>IF(OR(INDEX($V$2:$V$1001,MATCH(ROWS($U$2:U827),$U$2:$U$1001,0),1)&gt;=100000,INDEX($AB$1005:$AQ$1005,1,MATCH(COLUMNS($AB$1006:AB1006),$AB$1006:$AQ$1006,0))&gt;=100000), " ",IF(INDEX($AB$2:$AQ$1001,MATCH(ROWS($U$2:U827),$U$2:$U$1001,0),MATCH(COLUMNS($AB$1006:AB1006),$AB$1006:$AQ$1006,0)), HYPERLINK("#",""), HYPERLINK(CONCATENATE("#Metadata!", ADDRESS(INDEX($W$2:$W$1001,MATCH(ROWS($U$2:U827),$U$2:$U$1001,0),0), INDEX($AB$1004:$AQ$1004,1,MATCH(COLUMNS($AB$1006:AB1006),$AB$1006:$AQ$1006,0)))),"Fix")))</f>
        <v>0</v>
      </c>
      <c r="C827" s="5">
        <f>IF(OR(INDEX($V$2:$V$1001,MATCH(ROWS($U$2:U827),$U$2:$U$1001,0),1)&gt;=100000,INDEX($AB$1005:$AQ$1005,1,MATCH(COLUMNS($AB$1006:AC1006),$AB$1006:$AQ$1006,0))&gt;=100000), " ",IF(INDEX($AB$2:$AQ$1001,MATCH(ROWS($U$2:U827),$U$2:$U$1001,0),MATCH(COLUMNS($AB$1006:AC1006),$AB$1006:$AQ$1006,0)), HYPERLINK("#",""), HYPERLINK(CONCATENATE("#Metadata!", ADDRESS(INDEX($W$2:$W$1001,MATCH(ROWS($U$2:U827),$U$2:$U$1001,0),0), INDEX($AB$1004:$AQ$1004,1,MATCH(COLUMNS($AB$1006:AC1006),$AB$1006:$AQ$1006,0)))),"Fix")))</f>
        <v>0</v>
      </c>
      <c r="D827" s="5">
        <f>IF(OR(INDEX($V$2:$V$1001,MATCH(ROWS($U$2:U827),$U$2:$U$1001,0),1)&gt;=100000,INDEX($AB$1005:$AQ$1005,1,MATCH(COLUMNS($AB$1006:AD1006),$AB$1006:$AQ$1006,0))&gt;=100000), " ",IF(INDEX($AB$2:$AQ$1001,MATCH(ROWS($U$2:U827),$U$2:$U$1001,0),MATCH(COLUMNS($AB$1006:AD1006),$AB$1006:$AQ$1006,0)), HYPERLINK("#",""), HYPERLINK(CONCATENATE("#Metadata!", ADDRESS(INDEX($W$2:$W$1001,MATCH(ROWS($U$2:U827),$U$2:$U$1001,0),0), INDEX($AB$1004:$AQ$1004,1,MATCH(COLUMNS($AB$1006:AD1006),$AB$1006:$AQ$1006,0)))),"Fix")))</f>
        <v>0</v>
      </c>
      <c r="E827" s="5">
        <f>IF(OR(INDEX($V$2:$V$1001,MATCH(ROWS($U$2:U827),$U$2:$U$1001,0),1)&gt;=100000,INDEX($AB$1005:$AQ$1005,1,MATCH(COLUMNS($AB$1006:AE1006),$AB$1006:$AQ$1006,0))&gt;=100000), " ",IF(INDEX($AB$2:$AQ$1001,MATCH(ROWS($U$2:U827),$U$2:$U$1001,0),MATCH(COLUMNS($AB$1006:AE1006),$AB$1006:$AQ$1006,0)), HYPERLINK("#",""), HYPERLINK(CONCATENATE("#Metadata!", ADDRESS(INDEX($W$2:$W$1001,MATCH(ROWS($U$2:U827),$U$2:$U$1001,0),0), INDEX($AB$1004:$AQ$1004,1,MATCH(COLUMNS($AB$1006:AE1006),$AB$1006:$AQ$1006,0)))),"Fix")))</f>
        <v>0</v>
      </c>
      <c r="F827" s="5">
        <f>IF(OR(INDEX($V$2:$V$1001,MATCH(ROWS($U$2:U827),$U$2:$U$1001,0),1)&gt;=100000,INDEX($AB$1005:$AQ$1005,1,MATCH(COLUMNS($AB$1006:AF1006),$AB$1006:$AQ$1006,0))&gt;=100000), " ",IF(INDEX($AB$2:$AQ$1001,MATCH(ROWS($U$2:U827),$U$2:$U$1001,0),MATCH(COLUMNS($AB$1006:AF1006),$AB$1006:$AQ$1006,0)), HYPERLINK("#",""), HYPERLINK(CONCATENATE("#Metadata!", ADDRESS(INDEX($W$2:$W$1001,MATCH(ROWS($U$2:U827),$U$2:$U$1001,0),0), INDEX($AB$1004:$AQ$1004,1,MATCH(COLUMNS($AB$1006:AF1006),$AB$1006:$AQ$1006,0)))),"Fix")))</f>
        <v>0</v>
      </c>
      <c r="G827" s="5">
        <f>IF(OR(INDEX($V$2:$V$1001,MATCH(ROWS($U$2:U827),$U$2:$U$1001,0),1)&gt;=100000,INDEX($AB$1005:$AQ$1005,1,MATCH(COLUMNS($AB$1006:AG1006),$AB$1006:$AQ$1006,0))&gt;=100000), " ",IF(INDEX($AB$2:$AQ$1001,MATCH(ROWS($U$2:U827),$U$2:$U$1001,0),MATCH(COLUMNS($AB$1006:AG1006),$AB$1006:$AQ$1006,0)), HYPERLINK("#",""), HYPERLINK(CONCATENATE("#Metadata!", ADDRESS(INDEX($W$2:$W$1001,MATCH(ROWS($U$2:U827),$U$2:$U$1001,0),0), INDEX($AB$1004:$AQ$1004,1,MATCH(COLUMNS($AB$1006:AG1006),$AB$1006:$AQ$1006,0)))),"Fix")))</f>
        <v>0</v>
      </c>
      <c r="H827" s="5">
        <f>IF(OR(INDEX($V$2:$V$1001,MATCH(ROWS($U$2:U827),$U$2:$U$1001,0),1)&gt;=100000,INDEX($AB$1005:$AQ$1005,1,MATCH(COLUMNS($AB$1006:AH1006),$AB$1006:$AQ$1006,0))&gt;=100000), " ",IF(INDEX($AB$2:$AQ$1001,MATCH(ROWS($U$2:U827),$U$2:$U$1001,0),MATCH(COLUMNS($AB$1006:AH1006),$AB$1006:$AQ$1006,0)), HYPERLINK("#",""), HYPERLINK(CONCATENATE("#Metadata!", ADDRESS(INDEX($W$2:$W$1001,MATCH(ROWS($U$2:U827),$U$2:$U$1001,0),0), INDEX($AB$1004:$AQ$1004,1,MATCH(COLUMNS($AB$1006:AH1006),$AB$1006:$AQ$1006,0)))),"Fix")))</f>
        <v>0</v>
      </c>
      <c r="I827" s="5">
        <f>IF(OR(INDEX($V$2:$V$1001,MATCH(ROWS($U$2:U827),$U$2:$U$1001,0),1)&gt;=100000,INDEX($AB$1005:$AQ$1005,1,MATCH(COLUMNS($AB$1006:AI1006),$AB$1006:$AQ$1006,0))&gt;=100000), " ",IF(INDEX($AB$2:$AQ$1001,MATCH(ROWS($U$2:U827),$U$2:$U$1001,0),MATCH(COLUMNS($AB$1006:AI1006),$AB$1006:$AQ$1006,0)), HYPERLINK("#",""), HYPERLINK(CONCATENATE("#Metadata!", ADDRESS(INDEX($W$2:$W$1001,MATCH(ROWS($U$2:U827),$U$2:$U$1001,0),0), INDEX($AB$1004:$AQ$1004,1,MATCH(COLUMNS($AB$1006:AI1006),$AB$1006:$AQ$1006,0)))),"Fix")))</f>
        <v>0</v>
      </c>
      <c r="J827" s="5">
        <f>IF(OR(INDEX($V$2:$V$1001,MATCH(ROWS($U$2:U827),$U$2:$U$1001,0),1)&gt;=100000,INDEX($AB$1005:$AQ$1005,1,MATCH(COLUMNS($AB$1006:AJ1006),$AB$1006:$AQ$1006,0))&gt;=100000), " ",IF(INDEX($AB$2:$AQ$1001,MATCH(ROWS($U$2:U827),$U$2:$U$1001,0),MATCH(COLUMNS($AB$1006:AJ1006),$AB$1006:$AQ$1006,0)), HYPERLINK("#",""), HYPERLINK(CONCATENATE("#Metadata!", ADDRESS(INDEX($W$2:$W$1001,MATCH(ROWS($U$2:U827),$U$2:$U$1001,0),0), INDEX($AB$1004:$AQ$1004,1,MATCH(COLUMNS($AB$1006:AJ1006),$AB$1006:$AQ$1006,0)))),"Fix")))</f>
        <v>0</v>
      </c>
      <c r="K827" s="5">
        <f>IF(OR(INDEX($V$2:$V$1001,MATCH(ROWS($U$2:U827),$U$2:$U$1001,0),1)&gt;=100000,INDEX($AB$1005:$AQ$1005,1,MATCH(COLUMNS($AB$1006:AK1006),$AB$1006:$AQ$1006,0))&gt;=100000), " ",IF(INDEX($AB$2:$AQ$1001,MATCH(ROWS($U$2:U827),$U$2:$U$1001,0),MATCH(COLUMNS($AB$1006:AK1006),$AB$1006:$AQ$1006,0)), HYPERLINK("#",""), HYPERLINK(CONCATENATE("#Metadata!", ADDRESS(INDEX($W$2:$W$1001,MATCH(ROWS($U$2:U827),$U$2:$U$1001,0),0), INDEX($AB$1004:$AQ$1004,1,MATCH(COLUMNS($AB$1006:AK1006),$AB$1006:$AQ$1006,0)))),"Fix")))</f>
        <v>0</v>
      </c>
      <c r="L827" s="5">
        <f>IF(OR(INDEX($V$2:$V$1001,MATCH(ROWS($U$2:U827),$U$2:$U$1001,0),1)&gt;=100000,INDEX($AB$1005:$AQ$1005,1,MATCH(COLUMNS($AB$1006:AL1006),$AB$1006:$AQ$1006,0))&gt;=100000), " ",IF(INDEX($AB$2:$AQ$1001,MATCH(ROWS($U$2:U827),$U$2:$U$1001,0),MATCH(COLUMNS($AB$1006:AL1006),$AB$1006:$AQ$1006,0)), HYPERLINK("#",""), HYPERLINK(CONCATENATE("#Metadata!", ADDRESS(INDEX($W$2:$W$1001,MATCH(ROWS($U$2:U827),$U$2:$U$1001,0),0), INDEX($AB$1004:$AQ$1004,1,MATCH(COLUMNS($AB$1006:AL1006),$AB$1006:$AQ$1006,0)))),"Fix")))</f>
        <v>0</v>
      </c>
      <c r="M827" s="5">
        <f>IF(OR(INDEX($V$2:$V$1001,MATCH(ROWS($U$2:U827),$U$2:$U$1001,0),1)&gt;=100000,INDEX($AB$1005:$AQ$1005,1,MATCH(COLUMNS($AB$1006:AM1006),$AB$1006:$AQ$1006,0))&gt;=100000), " ",IF(INDEX($AB$2:$AQ$1001,MATCH(ROWS($U$2:U827),$U$2:$U$1001,0),MATCH(COLUMNS($AB$1006:AM1006),$AB$1006:$AQ$1006,0)), HYPERLINK("#",""), HYPERLINK(CONCATENATE("#Metadata!", ADDRESS(INDEX($W$2:$W$1001,MATCH(ROWS($U$2:U827),$U$2:$U$1001,0),0), INDEX($AB$1004:$AQ$1004,1,MATCH(COLUMNS($AB$1006:AM1006),$AB$1006:$AQ$1006,0)))),"Fix")))</f>
        <v>0</v>
      </c>
      <c r="N827" s="5">
        <f>IF(OR(INDEX($V$2:$V$1001,MATCH(ROWS($U$2:U827),$U$2:$U$1001,0),1)&gt;=100000,INDEX($AB$1005:$AQ$1005,1,MATCH(COLUMNS($AB$1006:AN1006),$AB$1006:$AQ$1006,0))&gt;=100000), " ",IF(INDEX($AB$2:$AQ$1001,MATCH(ROWS($U$2:U827),$U$2:$U$1001,0),MATCH(COLUMNS($AB$1006:AN1006),$AB$1006:$AQ$1006,0)), HYPERLINK("#",""), HYPERLINK(CONCATENATE("#Metadata!", ADDRESS(INDEX($W$2:$W$1001,MATCH(ROWS($U$2:U827),$U$2:$U$1001,0),0), INDEX($AB$1004:$AQ$1004,1,MATCH(COLUMNS($AB$1006:AN1006),$AB$1006:$AQ$1006,0)))),"Fix")))</f>
        <v>0</v>
      </c>
      <c r="O827" s="5">
        <f>IF(OR(INDEX($V$2:$V$1001,MATCH(ROWS($U$2:U827),$U$2:$U$1001,0),1)&gt;=100000,INDEX($AB$1005:$AQ$1005,1,MATCH(COLUMNS($AB$1006:AO1006),$AB$1006:$AQ$1006,0))&gt;=100000), " ",IF(INDEX($AB$2:$AQ$1001,MATCH(ROWS($U$2:U827),$U$2:$U$1001,0),MATCH(COLUMNS($AB$1006:AO1006),$AB$1006:$AQ$1006,0)), HYPERLINK("#",""), HYPERLINK(CONCATENATE("#Metadata!", ADDRESS(INDEX($W$2:$W$1001,MATCH(ROWS($U$2:U827),$U$2:$U$1001,0),0), INDEX($AB$1004:$AQ$1004,1,MATCH(COLUMNS($AB$1006:AO1006),$AB$1006:$AQ$1006,0)))),"Fix")))</f>
        <v>0</v>
      </c>
      <c r="P827" s="5">
        <f>IF(OR(INDEX($V$2:$V$1001,MATCH(ROWS($U$2:U827),$U$2:$U$1001,0),1)&gt;=100000,INDEX($AB$1005:$AQ$1005,1,MATCH(COLUMNS($AB$1006:AP1006),$AB$1006:$AQ$1006,0))&gt;=100000), " ",IF(INDEX($AB$2:$AQ$1001,MATCH(ROWS($U$2:U827),$U$2:$U$1001,0),MATCH(COLUMNS($AB$1006:AP1006),$AB$1006:$AQ$1006,0)), HYPERLINK("#",""), HYPERLINK(CONCATENATE("#Metadata!", ADDRESS(INDEX($W$2:$W$1001,MATCH(ROWS($U$2:U827),$U$2:$U$1001,0),0), INDEX($AB$1004:$AQ$1004,1,MATCH(COLUMNS($AB$1006:AP1006),$AB$1006:$AQ$1006,0)))),"Fix")))</f>
        <v>0</v>
      </c>
      <c r="Q827" s="5">
        <f>IF(OR(INDEX($V$2:$V$1001,MATCH(ROWS($U$2:U827),$U$2:$U$1001,0),1)&gt;=100000,INDEX($AB$1005:$AQ$1005,1,MATCH(COLUMNS($AB$1006:AQ1006),$AB$1006:$AQ$1006,0))&gt;=100000), " ",IF(INDEX($AB$2:$AQ$1001,MATCH(ROWS($U$2:U827),$U$2:$U$1001,0),MATCH(COLUMNS($AB$1006:AQ1006),$AB$1006:$AQ$1006,0)), HYPERLINK("#",""), HYPERLINK(CONCATENATE("#Metadata!", ADDRESS(INDEX($W$2:$W$1001,MATCH(ROWS($U$2:U827),$U$2:$U$1001,0),0), INDEX($AB$1004:$AQ$1004,1,MATCH(COLUMNS($AB$1006:AQ1006),$AB$1006:$AQ$1006,0)))),"Fix")))</f>
        <v>0</v>
      </c>
      <c r="U827">
        <v>0</v>
      </c>
      <c r="V827">
        <v>0</v>
      </c>
      <c r="W827">
        <v>0</v>
      </c>
      <c r="X827">
        <f>IF(Y827,TRUE,AND(AB827:AQ827))</f>
        <v>0</v>
      </c>
      <c r="Y827">
        <f>COUNTBLANK(Metadata!B827:Q827)=COLUMNS(Metadata!B827:Q827)</f>
        <v>0</v>
      </c>
      <c r="Z827">
        <v>0</v>
      </c>
      <c r="AB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AC827">
        <f>AND(IF(Metadata!C827="",FALSE,TRUE),exact(Metadata!C827,"urban biome"))</f>
        <v>0</v>
      </c>
      <c r="AD827">
        <f>AND(IF(Metadata!D827="",FALSE,TRUE),exact(Metadata!D827,"human-associated habitat"))</f>
        <v>0</v>
      </c>
      <c r="AE827">
        <f>AND(IF(Metadata!E827="",FALSE,TRUE),OR(exact(Metadata!E827,"human-associated"),exact(Metadata!E827,"human-skin"),exact(Metadata!E827,"human-oral"),exact(Metadata!E827,"human-gut"),exact(Metadata!E827,"human-vaginal")))</f>
        <v>0</v>
      </c>
      <c r="AF827">
        <f>AND(IF(Metadata!F827="",FALSE,ISNUMBER(VALUE(Metadata!F827))),Metadata!F827&gt;0)</f>
        <v>0</v>
      </c>
      <c r="AG827">
        <f>AND(IF(Metadata!G827="",FALSE,TRUE),exact(Metadata!G827,"years"))</f>
        <v>0</v>
      </c>
      <c r="AH827">
        <f>OR(AND(IF(Metadata!H827="",FALSE,TRUE),OR(exact(Metadata!H827,"not applicable"),exact(Metadata!H827,"not collected"),exact(Metadata!H827,"not provided"),exact(Metadata!H827,"restricted access"))),AND(IF(Metadata!H827="",FALSE,ISNUMBER(VALUE(Metadata!H827))),Metadata!H827&gt;0))</f>
        <v>0</v>
      </c>
      <c r="AI827">
        <f>AND(IF(Metadata!I827="",FALSE,TRUE),exact(Metadata!I827,"human"))</f>
        <v>0</v>
      </c>
      <c r="AJ827">
        <f>AND(IF(Metadata!J827="",FALSE,ISNUMBER(VALUE(Metadata!J827))),Metadata!J827&gt;0)</f>
        <v>0</v>
      </c>
      <c r="AK827">
        <f>AND(IF(Metadata!K827="",FALSE,TRUE),exact(Metadata!K827,"cm"))</f>
        <v>0</v>
      </c>
      <c r="AL827">
        <f>AND(IF(Metadata!L827="",FALSE,TRUE),exact(Metadata!L827,"Homo sapiens"))</f>
        <v>0</v>
      </c>
      <c r="AM827">
        <f>AND(IF(Metadata!M827="",FALSE,TRUE),exact(Metadata!M827,"9606"))</f>
        <v>0</v>
      </c>
      <c r="AN827">
        <f>AND(IF(Metadata!N827="",FALSE,ISNUMBER(VALUE(Metadata!N827))),Metadata!N827&gt;0)</f>
        <v>0</v>
      </c>
      <c r="AO827">
        <f>AND(IF(Metadata!O827="",FALSE,TRUE),exact(Metadata!O827,"kg"))</f>
        <v>0</v>
      </c>
      <c r="AP827">
        <f>OR(AND(IF(Metadata!P827="",FALSE,TRUE),exact(Metadata!P827,"not provided")),IF(Metadata!P827="",FALSE,TRUE))</f>
        <v>0</v>
      </c>
      <c r="AQ827">
        <f>OR(AND(IF(Metadata!Q827="",FALSE,TRUE),exact(Metadata!Q827,"not provided")),IF(Metadata!Q827="",FALSE,TRUE))</f>
        <v>0</v>
      </c>
    </row>
    <row r="828" spans="1:43">
      <c r="A828" s="4">
        <f>IF(B828=" "," ",HYPERLINK(CONCATENATE("#metadata!",ADDRESS(INDEX($W$2:$W$1001,MATCH(ROWS($U$2:U828),$U$2:$U$1001,0),0),2)),INDEX($Z$2:$Z$1001,MATCH(ROWS($U$2:U828),$U$2:$U$1001,0),0)))</f>
        <v>0</v>
      </c>
      <c r="B828" s="5">
        <f>IF(OR(INDEX($V$2:$V$1001,MATCH(ROWS($U$2:U828),$U$2:$U$1001,0),1)&gt;=100000,INDEX($AB$1005:$AQ$1005,1,MATCH(COLUMNS($AB$1006:AB1006),$AB$1006:$AQ$1006,0))&gt;=100000), " ",IF(INDEX($AB$2:$AQ$1001,MATCH(ROWS($U$2:U828),$U$2:$U$1001,0),MATCH(COLUMNS($AB$1006:AB1006),$AB$1006:$AQ$1006,0)), HYPERLINK("#",""), HYPERLINK(CONCATENATE("#Metadata!", ADDRESS(INDEX($W$2:$W$1001,MATCH(ROWS($U$2:U828),$U$2:$U$1001,0),0), INDEX($AB$1004:$AQ$1004,1,MATCH(COLUMNS($AB$1006:AB1006),$AB$1006:$AQ$1006,0)))),"Fix")))</f>
        <v>0</v>
      </c>
      <c r="C828" s="5">
        <f>IF(OR(INDEX($V$2:$V$1001,MATCH(ROWS($U$2:U828),$U$2:$U$1001,0),1)&gt;=100000,INDEX($AB$1005:$AQ$1005,1,MATCH(COLUMNS($AB$1006:AC1006),$AB$1006:$AQ$1006,0))&gt;=100000), " ",IF(INDEX($AB$2:$AQ$1001,MATCH(ROWS($U$2:U828),$U$2:$U$1001,0),MATCH(COLUMNS($AB$1006:AC1006),$AB$1006:$AQ$1006,0)), HYPERLINK("#",""), HYPERLINK(CONCATENATE("#Metadata!", ADDRESS(INDEX($W$2:$W$1001,MATCH(ROWS($U$2:U828),$U$2:$U$1001,0),0), INDEX($AB$1004:$AQ$1004,1,MATCH(COLUMNS($AB$1006:AC1006),$AB$1006:$AQ$1006,0)))),"Fix")))</f>
        <v>0</v>
      </c>
      <c r="D828" s="5">
        <f>IF(OR(INDEX($V$2:$V$1001,MATCH(ROWS($U$2:U828),$U$2:$U$1001,0),1)&gt;=100000,INDEX($AB$1005:$AQ$1005,1,MATCH(COLUMNS($AB$1006:AD1006),$AB$1006:$AQ$1006,0))&gt;=100000), " ",IF(INDEX($AB$2:$AQ$1001,MATCH(ROWS($U$2:U828),$U$2:$U$1001,0),MATCH(COLUMNS($AB$1006:AD1006),$AB$1006:$AQ$1006,0)), HYPERLINK("#",""), HYPERLINK(CONCATENATE("#Metadata!", ADDRESS(INDEX($W$2:$W$1001,MATCH(ROWS($U$2:U828),$U$2:$U$1001,0),0), INDEX($AB$1004:$AQ$1004,1,MATCH(COLUMNS($AB$1006:AD1006),$AB$1006:$AQ$1006,0)))),"Fix")))</f>
        <v>0</v>
      </c>
      <c r="E828" s="5">
        <f>IF(OR(INDEX($V$2:$V$1001,MATCH(ROWS($U$2:U828),$U$2:$U$1001,0),1)&gt;=100000,INDEX($AB$1005:$AQ$1005,1,MATCH(COLUMNS($AB$1006:AE1006),$AB$1006:$AQ$1006,0))&gt;=100000), " ",IF(INDEX($AB$2:$AQ$1001,MATCH(ROWS($U$2:U828),$U$2:$U$1001,0),MATCH(COLUMNS($AB$1006:AE1006),$AB$1006:$AQ$1006,0)), HYPERLINK("#",""), HYPERLINK(CONCATENATE("#Metadata!", ADDRESS(INDEX($W$2:$W$1001,MATCH(ROWS($U$2:U828),$U$2:$U$1001,0),0), INDEX($AB$1004:$AQ$1004,1,MATCH(COLUMNS($AB$1006:AE1006),$AB$1006:$AQ$1006,0)))),"Fix")))</f>
        <v>0</v>
      </c>
      <c r="F828" s="5">
        <f>IF(OR(INDEX($V$2:$V$1001,MATCH(ROWS($U$2:U828),$U$2:$U$1001,0),1)&gt;=100000,INDEX($AB$1005:$AQ$1005,1,MATCH(COLUMNS($AB$1006:AF1006),$AB$1006:$AQ$1006,0))&gt;=100000), " ",IF(INDEX($AB$2:$AQ$1001,MATCH(ROWS($U$2:U828),$U$2:$U$1001,0),MATCH(COLUMNS($AB$1006:AF1006),$AB$1006:$AQ$1006,0)), HYPERLINK("#",""), HYPERLINK(CONCATENATE("#Metadata!", ADDRESS(INDEX($W$2:$W$1001,MATCH(ROWS($U$2:U828),$U$2:$U$1001,0),0), INDEX($AB$1004:$AQ$1004,1,MATCH(COLUMNS($AB$1006:AF1006),$AB$1006:$AQ$1006,0)))),"Fix")))</f>
        <v>0</v>
      </c>
      <c r="G828" s="5">
        <f>IF(OR(INDEX($V$2:$V$1001,MATCH(ROWS($U$2:U828),$U$2:$U$1001,0),1)&gt;=100000,INDEX($AB$1005:$AQ$1005,1,MATCH(COLUMNS($AB$1006:AG1006),$AB$1006:$AQ$1006,0))&gt;=100000), " ",IF(INDEX($AB$2:$AQ$1001,MATCH(ROWS($U$2:U828),$U$2:$U$1001,0),MATCH(COLUMNS($AB$1006:AG1006),$AB$1006:$AQ$1006,0)), HYPERLINK("#",""), HYPERLINK(CONCATENATE("#Metadata!", ADDRESS(INDEX($W$2:$W$1001,MATCH(ROWS($U$2:U828),$U$2:$U$1001,0),0), INDEX($AB$1004:$AQ$1004,1,MATCH(COLUMNS($AB$1006:AG1006),$AB$1006:$AQ$1006,0)))),"Fix")))</f>
        <v>0</v>
      </c>
      <c r="H828" s="5">
        <f>IF(OR(INDEX($V$2:$V$1001,MATCH(ROWS($U$2:U828),$U$2:$U$1001,0),1)&gt;=100000,INDEX($AB$1005:$AQ$1005,1,MATCH(COLUMNS($AB$1006:AH1006),$AB$1006:$AQ$1006,0))&gt;=100000), " ",IF(INDEX($AB$2:$AQ$1001,MATCH(ROWS($U$2:U828),$U$2:$U$1001,0),MATCH(COLUMNS($AB$1006:AH1006),$AB$1006:$AQ$1006,0)), HYPERLINK("#",""), HYPERLINK(CONCATENATE("#Metadata!", ADDRESS(INDEX($W$2:$W$1001,MATCH(ROWS($U$2:U828),$U$2:$U$1001,0),0), INDEX($AB$1004:$AQ$1004,1,MATCH(COLUMNS($AB$1006:AH1006),$AB$1006:$AQ$1006,0)))),"Fix")))</f>
        <v>0</v>
      </c>
      <c r="I828" s="5">
        <f>IF(OR(INDEX($V$2:$V$1001,MATCH(ROWS($U$2:U828),$U$2:$U$1001,0),1)&gt;=100000,INDEX($AB$1005:$AQ$1005,1,MATCH(COLUMNS($AB$1006:AI1006),$AB$1006:$AQ$1006,0))&gt;=100000), " ",IF(INDEX($AB$2:$AQ$1001,MATCH(ROWS($U$2:U828),$U$2:$U$1001,0),MATCH(COLUMNS($AB$1006:AI1006),$AB$1006:$AQ$1006,0)), HYPERLINK("#",""), HYPERLINK(CONCATENATE("#Metadata!", ADDRESS(INDEX($W$2:$W$1001,MATCH(ROWS($U$2:U828),$U$2:$U$1001,0),0), INDEX($AB$1004:$AQ$1004,1,MATCH(COLUMNS($AB$1006:AI1006),$AB$1006:$AQ$1006,0)))),"Fix")))</f>
        <v>0</v>
      </c>
      <c r="J828" s="5">
        <f>IF(OR(INDEX($V$2:$V$1001,MATCH(ROWS($U$2:U828),$U$2:$U$1001,0),1)&gt;=100000,INDEX($AB$1005:$AQ$1005,1,MATCH(COLUMNS($AB$1006:AJ1006),$AB$1006:$AQ$1006,0))&gt;=100000), " ",IF(INDEX($AB$2:$AQ$1001,MATCH(ROWS($U$2:U828),$U$2:$U$1001,0),MATCH(COLUMNS($AB$1006:AJ1006),$AB$1006:$AQ$1006,0)), HYPERLINK("#",""), HYPERLINK(CONCATENATE("#Metadata!", ADDRESS(INDEX($W$2:$W$1001,MATCH(ROWS($U$2:U828),$U$2:$U$1001,0),0), INDEX($AB$1004:$AQ$1004,1,MATCH(COLUMNS($AB$1006:AJ1006),$AB$1006:$AQ$1006,0)))),"Fix")))</f>
        <v>0</v>
      </c>
      <c r="K828" s="5">
        <f>IF(OR(INDEX($V$2:$V$1001,MATCH(ROWS($U$2:U828),$U$2:$U$1001,0),1)&gt;=100000,INDEX($AB$1005:$AQ$1005,1,MATCH(COLUMNS($AB$1006:AK1006),$AB$1006:$AQ$1006,0))&gt;=100000), " ",IF(INDEX($AB$2:$AQ$1001,MATCH(ROWS($U$2:U828),$U$2:$U$1001,0),MATCH(COLUMNS($AB$1006:AK1006),$AB$1006:$AQ$1006,0)), HYPERLINK("#",""), HYPERLINK(CONCATENATE("#Metadata!", ADDRESS(INDEX($W$2:$W$1001,MATCH(ROWS($U$2:U828),$U$2:$U$1001,0),0), INDEX($AB$1004:$AQ$1004,1,MATCH(COLUMNS($AB$1006:AK1006),$AB$1006:$AQ$1006,0)))),"Fix")))</f>
        <v>0</v>
      </c>
      <c r="L828" s="5">
        <f>IF(OR(INDEX($V$2:$V$1001,MATCH(ROWS($U$2:U828),$U$2:$U$1001,0),1)&gt;=100000,INDEX($AB$1005:$AQ$1005,1,MATCH(COLUMNS($AB$1006:AL1006),$AB$1006:$AQ$1006,0))&gt;=100000), " ",IF(INDEX($AB$2:$AQ$1001,MATCH(ROWS($U$2:U828),$U$2:$U$1001,0),MATCH(COLUMNS($AB$1006:AL1006),$AB$1006:$AQ$1006,0)), HYPERLINK("#",""), HYPERLINK(CONCATENATE("#Metadata!", ADDRESS(INDEX($W$2:$W$1001,MATCH(ROWS($U$2:U828),$U$2:$U$1001,0),0), INDEX($AB$1004:$AQ$1004,1,MATCH(COLUMNS($AB$1006:AL1006),$AB$1006:$AQ$1006,0)))),"Fix")))</f>
        <v>0</v>
      </c>
      <c r="M828" s="5">
        <f>IF(OR(INDEX($V$2:$V$1001,MATCH(ROWS($U$2:U828),$U$2:$U$1001,0),1)&gt;=100000,INDEX($AB$1005:$AQ$1005,1,MATCH(COLUMNS($AB$1006:AM1006),$AB$1006:$AQ$1006,0))&gt;=100000), " ",IF(INDEX($AB$2:$AQ$1001,MATCH(ROWS($U$2:U828),$U$2:$U$1001,0),MATCH(COLUMNS($AB$1006:AM1006),$AB$1006:$AQ$1006,0)), HYPERLINK("#",""), HYPERLINK(CONCATENATE("#Metadata!", ADDRESS(INDEX($W$2:$W$1001,MATCH(ROWS($U$2:U828),$U$2:$U$1001,0),0), INDEX($AB$1004:$AQ$1004,1,MATCH(COLUMNS($AB$1006:AM1006),$AB$1006:$AQ$1006,0)))),"Fix")))</f>
        <v>0</v>
      </c>
      <c r="N828" s="5">
        <f>IF(OR(INDEX($V$2:$V$1001,MATCH(ROWS($U$2:U828),$U$2:$U$1001,0),1)&gt;=100000,INDEX($AB$1005:$AQ$1005,1,MATCH(COLUMNS($AB$1006:AN1006),$AB$1006:$AQ$1006,0))&gt;=100000), " ",IF(INDEX($AB$2:$AQ$1001,MATCH(ROWS($U$2:U828),$U$2:$U$1001,0),MATCH(COLUMNS($AB$1006:AN1006),$AB$1006:$AQ$1006,0)), HYPERLINK("#",""), HYPERLINK(CONCATENATE("#Metadata!", ADDRESS(INDEX($W$2:$W$1001,MATCH(ROWS($U$2:U828),$U$2:$U$1001,0),0), INDEX($AB$1004:$AQ$1004,1,MATCH(COLUMNS($AB$1006:AN1006),$AB$1006:$AQ$1006,0)))),"Fix")))</f>
        <v>0</v>
      </c>
      <c r="O828" s="5">
        <f>IF(OR(INDEX($V$2:$V$1001,MATCH(ROWS($U$2:U828),$U$2:$U$1001,0),1)&gt;=100000,INDEX($AB$1005:$AQ$1005,1,MATCH(COLUMNS($AB$1006:AO1006),$AB$1006:$AQ$1006,0))&gt;=100000), " ",IF(INDEX($AB$2:$AQ$1001,MATCH(ROWS($U$2:U828),$U$2:$U$1001,0),MATCH(COLUMNS($AB$1006:AO1006),$AB$1006:$AQ$1006,0)), HYPERLINK("#",""), HYPERLINK(CONCATENATE("#Metadata!", ADDRESS(INDEX($W$2:$W$1001,MATCH(ROWS($U$2:U828),$U$2:$U$1001,0),0), INDEX($AB$1004:$AQ$1004,1,MATCH(COLUMNS($AB$1006:AO1006),$AB$1006:$AQ$1006,0)))),"Fix")))</f>
        <v>0</v>
      </c>
      <c r="P828" s="5">
        <f>IF(OR(INDEX($V$2:$V$1001,MATCH(ROWS($U$2:U828),$U$2:$U$1001,0),1)&gt;=100000,INDEX($AB$1005:$AQ$1005,1,MATCH(COLUMNS($AB$1006:AP1006),$AB$1006:$AQ$1006,0))&gt;=100000), " ",IF(INDEX($AB$2:$AQ$1001,MATCH(ROWS($U$2:U828),$U$2:$U$1001,0),MATCH(COLUMNS($AB$1006:AP1006),$AB$1006:$AQ$1006,0)), HYPERLINK("#",""), HYPERLINK(CONCATENATE("#Metadata!", ADDRESS(INDEX($W$2:$W$1001,MATCH(ROWS($U$2:U828),$U$2:$U$1001,0),0), INDEX($AB$1004:$AQ$1004,1,MATCH(COLUMNS($AB$1006:AP1006),$AB$1006:$AQ$1006,0)))),"Fix")))</f>
        <v>0</v>
      </c>
      <c r="Q828" s="5">
        <f>IF(OR(INDEX($V$2:$V$1001,MATCH(ROWS($U$2:U828),$U$2:$U$1001,0),1)&gt;=100000,INDEX($AB$1005:$AQ$1005,1,MATCH(COLUMNS($AB$1006:AQ1006),$AB$1006:$AQ$1006,0))&gt;=100000), " ",IF(INDEX($AB$2:$AQ$1001,MATCH(ROWS($U$2:U828),$U$2:$U$1001,0),MATCH(COLUMNS($AB$1006:AQ1006),$AB$1006:$AQ$1006,0)), HYPERLINK("#",""), HYPERLINK(CONCATENATE("#Metadata!", ADDRESS(INDEX($W$2:$W$1001,MATCH(ROWS($U$2:U828),$U$2:$U$1001,0),0), INDEX($AB$1004:$AQ$1004,1,MATCH(COLUMNS($AB$1006:AQ1006),$AB$1006:$AQ$1006,0)))),"Fix")))</f>
        <v>0</v>
      </c>
      <c r="U828">
        <v>0</v>
      </c>
      <c r="V828">
        <v>0</v>
      </c>
      <c r="W828">
        <v>0</v>
      </c>
      <c r="X828">
        <f>IF(Y828,TRUE,AND(AB828:AQ828))</f>
        <v>0</v>
      </c>
      <c r="Y828">
        <f>COUNTBLANK(Metadata!B828:Q828)=COLUMNS(Metadata!B828:Q828)</f>
        <v>0</v>
      </c>
      <c r="Z828">
        <v>0</v>
      </c>
      <c r="AB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AC828">
        <f>AND(IF(Metadata!C828="",FALSE,TRUE),exact(Metadata!C828,"urban biome"))</f>
        <v>0</v>
      </c>
      <c r="AD828">
        <f>AND(IF(Metadata!D828="",FALSE,TRUE),exact(Metadata!D828,"human-associated habitat"))</f>
        <v>0</v>
      </c>
      <c r="AE828">
        <f>AND(IF(Metadata!E828="",FALSE,TRUE),OR(exact(Metadata!E828,"human-associated"),exact(Metadata!E828,"human-skin"),exact(Metadata!E828,"human-oral"),exact(Metadata!E828,"human-gut"),exact(Metadata!E828,"human-vaginal")))</f>
        <v>0</v>
      </c>
      <c r="AF828">
        <f>AND(IF(Metadata!F828="",FALSE,ISNUMBER(VALUE(Metadata!F828))),Metadata!F828&gt;0)</f>
        <v>0</v>
      </c>
      <c r="AG828">
        <f>AND(IF(Metadata!G828="",FALSE,TRUE),exact(Metadata!G828,"years"))</f>
        <v>0</v>
      </c>
      <c r="AH828">
        <f>OR(AND(IF(Metadata!H828="",FALSE,TRUE),OR(exact(Metadata!H828,"not applicable"),exact(Metadata!H828,"not collected"),exact(Metadata!H828,"not provided"),exact(Metadata!H828,"restricted access"))),AND(IF(Metadata!H828="",FALSE,ISNUMBER(VALUE(Metadata!H828))),Metadata!H828&gt;0))</f>
        <v>0</v>
      </c>
      <c r="AI828">
        <f>AND(IF(Metadata!I828="",FALSE,TRUE),exact(Metadata!I828,"human"))</f>
        <v>0</v>
      </c>
      <c r="AJ828">
        <f>AND(IF(Metadata!J828="",FALSE,ISNUMBER(VALUE(Metadata!J828))),Metadata!J828&gt;0)</f>
        <v>0</v>
      </c>
      <c r="AK828">
        <f>AND(IF(Metadata!K828="",FALSE,TRUE),exact(Metadata!K828,"cm"))</f>
        <v>0</v>
      </c>
      <c r="AL828">
        <f>AND(IF(Metadata!L828="",FALSE,TRUE),exact(Metadata!L828,"Homo sapiens"))</f>
        <v>0</v>
      </c>
      <c r="AM828">
        <f>AND(IF(Metadata!M828="",FALSE,TRUE),exact(Metadata!M828,"9606"))</f>
        <v>0</v>
      </c>
      <c r="AN828">
        <f>AND(IF(Metadata!N828="",FALSE,ISNUMBER(VALUE(Metadata!N828))),Metadata!N828&gt;0)</f>
        <v>0</v>
      </c>
      <c r="AO828">
        <f>AND(IF(Metadata!O828="",FALSE,TRUE),exact(Metadata!O828,"kg"))</f>
        <v>0</v>
      </c>
      <c r="AP828">
        <f>OR(AND(IF(Metadata!P828="",FALSE,TRUE),exact(Metadata!P828,"not provided")),IF(Metadata!P828="",FALSE,TRUE))</f>
        <v>0</v>
      </c>
      <c r="AQ828">
        <f>OR(AND(IF(Metadata!Q828="",FALSE,TRUE),exact(Metadata!Q828,"not provided")),IF(Metadata!Q828="",FALSE,TRUE))</f>
        <v>0</v>
      </c>
    </row>
    <row r="829" spans="1:43">
      <c r="A829" s="4">
        <f>IF(B829=" "," ",HYPERLINK(CONCATENATE("#metadata!",ADDRESS(INDEX($W$2:$W$1001,MATCH(ROWS($U$2:U829),$U$2:$U$1001,0),0),2)),INDEX($Z$2:$Z$1001,MATCH(ROWS($U$2:U829),$U$2:$U$1001,0),0)))</f>
        <v>0</v>
      </c>
      <c r="B829" s="5">
        <f>IF(OR(INDEX($V$2:$V$1001,MATCH(ROWS($U$2:U829),$U$2:$U$1001,0),1)&gt;=100000,INDEX($AB$1005:$AQ$1005,1,MATCH(COLUMNS($AB$1006:AB1006),$AB$1006:$AQ$1006,0))&gt;=100000), " ",IF(INDEX($AB$2:$AQ$1001,MATCH(ROWS($U$2:U829),$U$2:$U$1001,0),MATCH(COLUMNS($AB$1006:AB1006),$AB$1006:$AQ$1006,0)), HYPERLINK("#",""), HYPERLINK(CONCATENATE("#Metadata!", ADDRESS(INDEX($W$2:$W$1001,MATCH(ROWS($U$2:U829),$U$2:$U$1001,0),0), INDEX($AB$1004:$AQ$1004,1,MATCH(COLUMNS($AB$1006:AB1006),$AB$1006:$AQ$1006,0)))),"Fix")))</f>
        <v>0</v>
      </c>
      <c r="C829" s="5">
        <f>IF(OR(INDEX($V$2:$V$1001,MATCH(ROWS($U$2:U829),$U$2:$U$1001,0),1)&gt;=100000,INDEX($AB$1005:$AQ$1005,1,MATCH(COLUMNS($AB$1006:AC1006),$AB$1006:$AQ$1006,0))&gt;=100000), " ",IF(INDEX($AB$2:$AQ$1001,MATCH(ROWS($U$2:U829),$U$2:$U$1001,0),MATCH(COLUMNS($AB$1006:AC1006),$AB$1006:$AQ$1006,0)), HYPERLINK("#",""), HYPERLINK(CONCATENATE("#Metadata!", ADDRESS(INDEX($W$2:$W$1001,MATCH(ROWS($U$2:U829),$U$2:$U$1001,0),0), INDEX($AB$1004:$AQ$1004,1,MATCH(COLUMNS($AB$1006:AC1006),$AB$1006:$AQ$1006,0)))),"Fix")))</f>
        <v>0</v>
      </c>
      <c r="D829" s="5">
        <f>IF(OR(INDEX($V$2:$V$1001,MATCH(ROWS($U$2:U829),$U$2:$U$1001,0),1)&gt;=100000,INDEX($AB$1005:$AQ$1005,1,MATCH(COLUMNS($AB$1006:AD1006),$AB$1006:$AQ$1006,0))&gt;=100000), " ",IF(INDEX($AB$2:$AQ$1001,MATCH(ROWS($U$2:U829),$U$2:$U$1001,0),MATCH(COLUMNS($AB$1006:AD1006),$AB$1006:$AQ$1006,0)), HYPERLINK("#",""), HYPERLINK(CONCATENATE("#Metadata!", ADDRESS(INDEX($W$2:$W$1001,MATCH(ROWS($U$2:U829),$U$2:$U$1001,0),0), INDEX($AB$1004:$AQ$1004,1,MATCH(COLUMNS($AB$1006:AD1006),$AB$1006:$AQ$1006,0)))),"Fix")))</f>
        <v>0</v>
      </c>
      <c r="E829" s="5">
        <f>IF(OR(INDEX($V$2:$V$1001,MATCH(ROWS($U$2:U829),$U$2:$U$1001,0),1)&gt;=100000,INDEX($AB$1005:$AQ$1005,1,MATCH(COLUMNS($AB$1006:AE1006),$AB$1006:$AQ$1006,0))&gt;=100000), " ",IF(INDEX($AB$2:$AQ$1001,MATCH(ROWS($U$2:U829),$U$2:$U$1001,0),MATCH(COLUMNS($AB$1006:AE1006),$AB$1006:$AQ$1006,0)), HYPERLINK("#",""), HYPERLINK(CONCATENATE("#Metadata!", ADDRESS(INDEX($W$2:$W$1001,MATCH(ROWS($U$2:U829),$U$2:$U$1001,0),0), INDEX($AB$1004:$AQ$1004,1,MATCH(COLUMNS($AB$1006:AE1006),$AB$1006:$AQ$1006,0)))),"Fix")))</f>
        <v>0</v>
      </c>
      <c r="F829" s="5">
        <f>IF(OR(INDEX($V$2:$V$1001,MATCH(ROWS($U$2:U829),$U$2:$U$1001,0),1)&gt;=100000,INDEX($AB$1005:$AQ$1005,1,MATCH(COLUMNS($AB$1006:AF1006),$AB$1006:$AQ$1006,0))&gt;=100000), " ",IF(INDEX($AB$2:$AQ$1001,MATCH(ROWS($U$2:U829),$U$2:$U$1001,0),MATCH(COLUMNS($AB$1006:AF1006),$AB$1006:$AQ$1006,0)), HYPERLINK("#",""), HYPERLINK(CONCATENATE("#Metadata!", ADDRESS(INDEX($W$2:$W$1001,MATCH(ROWS($U$2:U829),$U$2:$U$1001,0),0), INDEX($AB$1004:$AQ$1004,1,MATCH(COLUMNS($AB$1006:AF1006),$AB$1006:$AQ$1006,0)))),"Fix")))</f>
        <v>0</v>
      </c>
      <c r="G829" s="5">
        <f>IF(OR(INDEX($V$2:$V$1001,MATCH(ROWS($U$2:U829),$U$2:$U$1001,0),1)&gt;=100000,INDEX($AB$1005:$AQ$1005,1,MATCH(COLUMNS($AB$1006:AG1006),$AB$1006:$AQ$1006,0))&gt;=100000), " ",IF(INDEX($AB$2:$AQ$1001,MATCH(ROWS($U$2:U829),$U$2:$U$1001,0),MATCH(COLUMNS($AB$1006:AG1006),$AB$1006:$AQ$1006,0)), HYPERLINK("#",""), HYPERLINK(CONCATENATE("#Metadata!", ADDRESS(INDEX($W$2:$W$1001,MATCH(ROWS($U$2:U829),$U$2:$U$1001,0),0), INDEX($AB$1004:$AQ$1004,1,MATCH(COLUMNS($AB$1006:AG1006),$AB$1006:$AQ$1006,0)))),"Fix")))</f>
        <v>0</v>
      </c>
      <c r="H829" s="5">
        <f>IF(OR(INDEX($V$2:$V$1001,MATCH(ROWS($U$2:U829),$U$2:$U$1001,0),1)&gt;=100000,INDEX($AB$1005:$AQ$1005,1,MATCH(COLUMNS($AB$1006:AH1006),$AB$1006:$AQ$1006,0))&gt;=100000), " ",IF(INDEX($AB$2:$AQ$1001,MATCH(ROWS($U$2:U829),$U$2:$U$1001,0),MATCH(COLUMNS($AB$1006:AH1006),$AB$1006:$AQ$1006,0)), HYPERLINK("#",""), HYPERLINK(CONCATENATE("#Metadata!", ADDRESS(INDEX($W$2:$W$1001,MATCH(ROWS($U$2:U829),$U$2:$U$1001,0),0), INDEX($AB$1004:$AQ$1004,1,MATCH(COLUMNS($AB$1006:AH1006),$AB$1006:$AQ$1006,0)))),"Fix")))</f>
        <v>0</v>
      </c>
      <c r="I829" s="5">
        <f>IF(OR(INDEX($V$2:$V$1001,MATCH(ROWS($U$2:U829),$U$2:$U$1001,0),1)&gt;=100000,INDEX($AB$1005:$AQ$1005,1,MATCH(COLUMNS($AB$1006:AI1006),$AB$1006:$AQ$1006,0))&gt;=100000), " ",IF(INDEX($AB$2:$AQ$1001,MATCH(ROWS($U$2:U829),$U$2:$U$1001,0),MATCH(COLUMNS($AB$1006:AI1006),$AB$1006:$AQ$1006,0)), HYPERLINK("#",""), HYPERLINK(CONCATENATE("#Metadata!", ADDRESS(INDEX($W$2:$W$1001,MATCH(ROWS($U$2:U829),$U$2:$U$1001,0),0), INDEX($AB$1004:$AQ$1004,1,MATCH(COLUMNS($AB$1006:AI1006),$AB$1006:$AQ$1006,0)))),"Fix")))</f>
        <v>0</v>
      </c>
      <c r="J829" s="5">
        <f>IF(OR(INDEX($V$2:$V$1001,MATCH(ROWS($U$2:U829),$U$2:$U$1001,0),1)&gt;=100000,INDEX($AB$1005:$AQ$1005,1,MATCH(COLUMNS($AB$1006:AJ1006),$AB$1006:$AQ$1006,0))&gt;=100000), " ",IF(INDEX($AB$2:$AQ$1001,MATCH(ROWS($U$2:U829),$U$2:$U$1001,0),MATCH(COLUMNS($AB$1006:AJ1006),$AB$1006:$AQ$1006,0)), HYPERLINK("#",""), HYPERLINK(CONCATENATE("#Metadata!", ADDRESS(INDEX($W$2:$W$1001,MATCH(ROWS($U$2:U829),$U$2:$U$1001,0),0), INDEX($AB$1004:$AQ$1004,1,MATCH(COLUMNS($AB$1006:AJ1006),$AB$1006:$AQ$1006,0)))),"Fix")))</f>
        <v>0</v>
      </c>
      <c r="K829" s="5">
        <f>IF(OR(INDEX($V$2:$V$1001,MATCH(ROWS($U$2:U829),$U$2:$U$1001,0),1)&gt;=100000,INDEX($AB$1005:$AQ$1005,1,MATCH(COLUMNS($AB$1006:AK1006),$AB$1006:$AQ$1006,0))&gt;=100000), " ",IF(INDEX($AB$2:$AQ$1001,MATCH(ROWS($U$2:U829),$U$2:$U$1001,0),MATCH(COLUMNS($AB$1006:AK1006),$AB$1006:$AQ$1006,0)), HYPERLINK("#",""), HYPERLINK(CONCATENATE("#Metadata!", ADDRESS(INDEX($W$2:$W$1001,MATCH(ROWS($U$2:U829),$U$2:$U$1001,0),0), INDEX($AB$1004:$AQ$1004,1,MATCH(COLUMNS($AB$1006:AK1006),$AB$1006:$AQ$1006,0)))),"Fix")))</f>
        <v>0</v>
      </c>
      <c r="L829" s="5">
        <f>IF(OR(INDEX($V$2:$V$1001,MATCH(ROWS($U$2:U829),$U$2:$U$1001,0),1)&gt;=100000,INDEX($AB$1005:$AQ$1005,1,MATCH(COLUMNS($AB$1006:AL1006),$AB$1006:$AQ$1006,0))&gt;=100000), " ",IF(INDEX($AB$2:$AQ$1001,MATCH(ROWS($U$2:U829),$U$2:$U$1001,0),MATCH(COLUMNS($AB$1006:AL1006),$AB$1006:$AQ$1006,0)), HYPERLINK("#",""), HYPERLINK(CONCATENATE("#Metadata!", ADDRESS(INDEX($W$2:$W$1001,MATCH(ROWS($U$2:U829),$U$2:$U$1001,0),0), INDEX($AB$1004:$AQ$1004,1,MATCH(COLUMNS($AB$1006:AL1006),$AB$1006:$AQ$1006,0)))),"Fix")))</f>
        <v>0</v>
      </c>
      <c r="M829" s="5">
        <f>IF(OR(INDEX($V$2:$V$1001,MATCH(ROWS($U$2:U829),$U$2:$U$1001,0),1)&gt;=100000,INDEX($AB$1005:$AQ$1005,1,MATCH(COLUMNS($AB$1006:AM1006),$AB$1006:$AQ$1006,0))&gt;=100000), " ",IF(INDEX($AB$2:$AQ$1001,MATCH(ROWS($U$2:U829),$U$2:$U$1001,0),MATCH(COLUMNS($AB$1006:AM1006),$AB$1006:$AQ$1006,0)), HYPERLINK("#",""), HYPERLINK(CONCATENATE("#Metadata!", ADDRESS(INDEX($W$2:$W$1001,MATCH(ROWS($U$2:U829),$U$2:$U$1001,0),0), INDEX($AB$1004:$AQ$1004,1,MATCH(COLUMNS($AB$1006:AM1006),$AB$1006:$AQ$1006,0)))),"Fix")))</f>
        <v>0</v>
      </c>
      <c r="N829" s="5">
        <f>IF(OR(INDEX($V$2:$V$1001,MATCH(ROWS($U$2:U829),$U$2:$U$1001,0),1)&gt;=100000,INDEX($AB$1005:$AQ$1005,1,MATCH(COLUMNS($AB$1006:AN1006),$AB$1006:$AQ$1006,0))&gt;=100000), " ",IF(INDEX($AB$2:$AQ$1001,MATCH(ROWS($U$2:U829),$U$2:$U$1001,0),MATCH(COLUMNS($AB$1006:AN1006),$AB$1006:$AQ$1006,0)), HYPERLINK("#",""), HYPERLINK(CONCATENATE("#Metadata!", ADDRESS(INDEX($W$2:$W$1001,MATCH(ROWS($U$2:U829),$U$2:$U$1001,0),0), INDEX($AB$1004:$AQ$1004,1,MATCH(COLUMNS($AB$1006:AN1006),$AB$1006:$AQ$1006,0)))),"Fix")))</f>
        <v>0</v>
      </c>
      <c r="O829" s="5">
        <f>IF(OR(INDEX($V$2:$V$1001,MATCH(ROWS($U$2:U829),$U$2:$U$1001,0),1)&gt;=100000,INDEX($AB$1005:$AQ$1005,1,MATCH(COLUMNS($AB$1006:AO1006),$AB$1006:$AQ$1006,0))&gt;=100000), " ",IF(INDEX($AB$2:$AQ$1001,MATCH(ROWS($U$2:U829),$U$2:$U$1001,0),MATCH(COLUMNS($AB$1006:AO1006),$AB$1006:$AQ$1006,0)), HYPERLINK("#",""), HYPERLINK(CONCATENATE("#Metadata!", ADDRESS(INDEX($W$2:$W$1001,MATCH(ROWS($U$2:U829),$U$2:$U$1001,0),0), INDEX($AB$1004:$AQ$1004,1,MATCH(COLUMNS($AB$1006:AO1006),$AB$1006:$AQ$1006,0)))),"Fix")))</f>
        <v>0</v>
      </c>
      <c r="P829" s="5">
        <f>IF(OR(INDEX($V$2:$V$1001,MATCH(ROWS($U$2:U829),$U$2:$U$1001,0),1)&gt;=100000,INDEX($AB$1005:$AQ$1005,1,MATCH(COLUMNS($AB$1006:AP1006),$AB$1006:$AQ$1006,0))&gt;=100000), " ",IF(INDEX($AB$2:$AQ$1001,MATCH(ROWS($U$2:U829),$U$2:$U$1001,0),MATCH(COLUMNS($AB$1006:AP1006),$AB$1006:$AQ$1006,0)), HYPERLINK("#",""), HYPERLINK(CONCATENATE("#Metadata!", ADDRESS(INDEX($W$2:$W$1001,MATCH(ROWS($U$2:U829),$U$2:$U$1001,0),0), INDEX($AB$1004:$AQ$1004,1,MATCH(COLUMNS($AB$1006:AP1006),$AB$1006:$AQ$1006,0)))),"Fix")))</f>
        <v>0</v>
      </c>
      <c r="Q829" s="5">
        <f>IF(OR(INDEX($V$2:$V$1001,MATCH(ROWS($U$2:U829),$U$2:$U$1001,0),1)&gt;=100000,INDEX($AB$1005:$AQ$1005,1,MATCH(COLUMNS($AB$1006:AQ1006),$AB$1006:$AQ$1006,0))&gt;=100000), " ",IF(INDEX($AB$2:$AQ$1001,MATCH(ROWS($U$2:U829),$U$2:$U$1001,0),MATCH(COLUMNS($AB$1006:AQ1006),$AB$1006:$AQ$1006,0)), HYPERLINK("#",""), HYPERLINK(CONCATENATE("#Metadata!", ADDRESS(INDEX($W$2:$W$1001,MATCH(ROWS($U$2:U829),$U$2:$U$1001,0),0), INDEX($AB$1004:$AQ$1004,1,MATCH(COLUMNS($AB$1006:AQ1006),$AB$1006:$AQ$1006,0)))),"Fix")))</f>
        <v>0</v>
      </c>
      <c r="U829">
        <v>0</v>
      </c>
      <c r="V829">
        <v>0</v>
      </c>
      <c r="W829">
        <v>0</v>
      </c>
      <c r="X829">
        <f>IF(Y829,TRUE,AND(AB829:AQ829))</f>
        <v>0</v>
      </c>
      <c r="Y829">
        <f>COUNTBLANK(Metadata!B829:Q829)=COLUMNS(Metadata!B829:Q829)</f>
        <v>0</v>
      </c>
      <c r="Z829">
        <v>0</v>
      </c>
      <c r="AB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AC829">
        <f>AND(IF(Metadata!C829="",FALSE,TRUE),exact(Metadata!C829,"urban biome"))</f>
        <v>0</v>
      </c>
      <c r="AD829">
        <f>AND(IF(Metadata!D829="",FALSE,TRUE),exact(Metadata!D829,"human-associated habitat"))</f>
        <v>0</v>
      </c>
      <c r="AE829">
        <f>AND(IF(Metadata!E829="",FALSE,TRUE),OR(exact(Metadata!E829,"human-associated"),exact(Metadata!E829,"human-skin"),exact(Metadata!E829,"human-oral"),exact(Metadata!E829,"human-gut"),exact(Metadata!E829,"human-vaginal")))</f>
        <v>0</v>
      </c>
      <c r="AF829">
        <f>AND(IF(Metadata!F829="",FALSE,ISNUMBER(VALUE(Metadata!F829))),Metadata!F829&gt;0)</f>
        <v>0</v>
      </c>
      <c r="AG829">
        <f>AND(IF(Metadata!G829="",FALSE,TRUE),exact(Metadata!G829,"years"))</f>
        <v>0</v>
      </c>
      <c r="AH829">
        <f>OR(AND(IF(Metadata!H829="",FALSE,TRUE),OR(exact(Metadata!H829,"not applicable"),exact(Metadata!H829,"not collected"),exact(Metadata!H829,"not provided"),exact(Metadata!H829,"restricted access"))),AND(IF(Metadata!H829="",FALSE,ISNUMBER(VALUE(Metadata!H829))),Metadata!H829&gt;0))</f>
        <v>0</v>
      </c>
      <c r="AI829">
        <f>AND(IF(Metadata!I829="",FALSE,TRUE),exact(Metadata!I829,"human"))</f>
        <v>0</v>
      </c>
      <c r="AJ829">
        <f>AND(IF(Metadata!J829="",FALSE,ISNUMBER(VALUE(Metadata!J829))),Metadata!J829&gt;0)</f>
        <v>0</v>
      </c>
      <c r="AK829">
        <f>AND(IF(Metadata!K829="",FALSE,TRUE),exact(Metadata!K829,"cm"))</f>
        <v>0</v>
      </c>
      <c r="AL829">
        <f>AND(IF(Metadata!L829="",FALSE,TRUE),exact(Metadata!L829,"Homo sapiens"))</f>
        <v>0</v>
      </c>
      <c r="AM829">
        <f>AND(IF(Metadata!M829="",FALSE,TRUE),exact(Metadata!M829,"9606"))</f>
        <v>0</v>
      </c>
      <c r="AN829">
        <f>AND(IF(Metadata!N829="",FALSE,ISNUMBER(VALUE(Metadata!N829))),Metadata!N829&gt;0)</f>
        <v>0</v>
      </c>
      <c r="AO829">
        <f>AND(IF(Metadata!O829="",FALSE,TRUE),exact(Metadata!O829,"kg"))</f>
        <v>0</v>
      </c>
      <c r="AP829">
        <f>OR(AND(IF(Metadata!P829="",FALSE,TRUE),exact(Metadata!P829,"not provided")),IF(Metadata!P829="",FALSE,TRUE))</f>
        <v>0</v>
      </c>
      <c r="AQ829">
        <f>OR(AND(IF(Metadata!Q829="",FALSE,TRUE),exact(Metadata!Q829,"not provided")),IF(Metadata!Q829="",FALSE,TRUE))</f>
        <v>0</v>
      </c>
    </row>
    <row r="830" spans="1:43">
      <c r="A830" s="4">
        <f>IF(B830=" "," ",HYPERLINK(CONCATENATE("#metadata!",ADDRESS(INDEX($W$2:$W$1001,MATCH(ROWS($U$2:U830),$U$2:$U$1001,0),0),2)),INDEX($Z$2:$Z$1001,MATCH(ROWS($U$2:U830),$U$2:$U$1001,0),0)))</f>
        <v>0</v>
      </c>
      <c r="B830" s="5">
        <f>IF(OR(INDEX($V$2:$V$1001,MATCH(ROWS($U$2:U830),$U$2:$U$1001,0),1)&gt;=100000,INDEX($AB$1005:$AQ$1005,1,MATCH(COLUMNS($AB$1006:AB1006),$AB$1006:$AQ$1006,0))&gt;=100000), " ",IF(INDEX($AB$2:$AQ$1001,MATCH(ROWS($U$2:U830),$U$2:$U$1001,0),MATCH(COLUMNS($AB$1006:AB1006),$AB$1006:$AQ$1006,0)), HYPERLINK("#",""), HYPERLINK(CONCATENATE("#Metadata!", ADDRESS(INDEX($W$2:$W$1001,MATCH(ROWS($U$2:U830),$U$2:$U$1001,0),0), INDEX($AB$1004:$AQ$1004,1,MATCH(COLUMNS($AB$1006:AB1006),$AB$1006:$AQ$1006,0)))),"Fix")))</f>
        <v>0</v>
      </c>
      <c r="C830" s="5">
        <f>IF(OR(INDEX($V$2:$V$1001,MATCH(ROWS($U$2:U830),$U$2:$U$1001,0),1)&gt;=100000,INDEX($AB$1005:$AQ$1005,1,MATCH(COLUMNS($AB$1006:AC1006),$AB$1006:$AQ$1006,0))&gt;=100000), " ",IF(INDEX($AB$2:$AQ$1001,MATCH(ROWS($U$2:U830),$U$2:$U$1001,0),MATCH(COLUMNS($AB$1006:AC1006),$AB$1006:$AQ$1006,0)), HYPERLINK("#",""), HYPERLINK(CONCATENATE("#Metadata!", ADDRESS(INDEX($W$2:$W$1001,MATCH(ROWS($U$2:U830),$U$2:$U$1001,0),0), INDEX($AB$1004:$AQ$1004,1,MATCH(COLUMNS($AB$1006:AC1006),$AB$1006:$AQ$1006,0)))),"Fix")))</f>
        <v>0</v>
      </c>
      <c r="D830" s="5">
        <f>IF(OR(INDEX($V$2:$V$1001,MATCH(ROWS($U$2:U830),$U$2:$U$1001,0),1)&gt;=100000,INDEX($AB$1005:$AQ$1005,1,MATCH(COLUMNS($AB$1006:AD1006),$AB$1006:$AQ$1006,0))&gt;=100000), " ",IF(INDEX($AB$2:$AQ$1001,MATCH(ROWS($U$2:U830),$U$2:$U$1001,0),MATCH(COLUMNS($AB$1006:AD1006),$AB$1006:$AQ$1006,0)), HYPERLINK("#",""), HYPERLINK(CONCATENATE("#Metadata!", ADDRESS(INDEX($W$2:$W$1001,MATCH(ROWS($U$2:U830),$U$2:$U$1001,0),0), INDEX($AB$1004:$AQ$1004,1,MATCH(COLUMNS($AB$1006:AD1006),$AB$1006:$AQ$1006,0)))),"Fix")))</f>
        <v>0</v>
      </c>
      <c r="E830" s="5">
        <f>IF(OR(INDEX($V$2:$V$1001,MATCH(ROWS($U$2:U830),$U$2:$U$1001,0),1)&gt;=100000,INDEX($AB$1005:$AQ$1005,1,MATCH(COLUMNS($AB$1006:AE1006),$AB$1006:$AQ$1006,0))&gt;=100000), " ",IF(INDEX($AB$2:$AQ$1001,MATCH(ROWS($U$2:U830),$U$2:$U$1001,0),MATCH(COLUMNS($AB$1006:AE1006),$AB$1006:$AQ$1006,0)), HYPERLINK("#",""), HYPERLINK(CONCATENATE("#Metadata!", ADDRESS(INDEX($W$2:$W$1001,MATCH(ROWS($U$2:U830),$U$2:$U$1001,0),0), INDEX($AB$1004:$AQ$1004,1,MATCH(COLUMNS($AB$1006:AE1006),$AB$1006:$AQ$1006,0)))),"Fix")))</f>
        <v>0</v>
      </c>
      <c r="F830" s="5">
        <f>IF(OR(INDEX($V$2:$V$1001,MATCH(ROWS($U$2:U830),$U$2:$U$1001,0),1)&gt;=100000,INDEX($AB$1005:$AQ$1005,1,MATCH(COLUMNS($AB$1006:AF1006),$AB$1006:$AQ$1006,0))&gt;=100000), " ",IF(INDEX($AB$2:$AQ$1001,MATCH(ROWS($U$2:U830),$U$2:$U$1001,0),MATCH(COLUMNS($AB$1006:AF1006),$AB$1006:$AQ$1006,0)), HYPERLINK("#",""), HYPERLINK(CONCATENATE("#Metadata!", ADDRESS(INDEX($W$2:$W$1001,MATCH(ROWS($U$2:U830),$U$2:$U$1001,0),0), INDEX($AB$1004:$AQ$1004,1,MATCH(COLUMNS($AB$1006:AF1006),$AB$1006:$AQ$1006,0)))),"Fix")))</f>
        <v>0</v>
      </c>
      <c r="G830" s="5">
        <f>IF(OR(INDEX($V$2:$V$1001,MATCH(ROWS($U$2:U830),$U$2:$U$1001,0),1)&gt;=100000,INDEX($AB$1005:$AQ$1005,1,MATCH(COLUMNS($AB$1006:AG1006),$AB$1006:$AQ$1006,0))&gt;=100000), " ",IF(INDEX($AB$2:$AQ$1001,MATCH(ROWS($U$2:U830),$U$2:$U$1001,0),MATCH(COLUMNS($AB$1006:AG1006),$AB$1006:$AQ$1006,0)), HYPERLINK("#",""), HYPERLINK(CONCATENATE("#Metadata!", ADDRESS(INDEX($W$2:$W$1001,MATCH(ROWS($U$2:U830),$U$2:$U$1001,0),0), INDEX($AB$1004:$AQ$1004,1,MATCH(COLUMNS($AB$1006:AG1006),$AB$1006:$AQ$1006,0)))),"Fix")))</f>
        <v>0</v>
      </c>
      <c r="H830" s="5">
        <f>IF(OR(INDEX($V$2:$V$1001,MATCH(ROWS($U$2:U830),$U$2:$U$1001,0),1)&gt;=100000,INDEX($AB$1005:$AQ$1005,1,MATCH(COLUMNS($AB$1006:AH1006),$AB$1006:$AQ$1006,0))&gt;=100000), " ",IF(INDEX($AB$2:$AQ$1001,MATCH(ROWS($U$2:U830),$U$2:$U$1001,0),MATCH(COLUMNS($AB$1006:AH1006),$AB$1006:$AQ$1006,0)), HYPERLINK("#",""), HYPERLINK(CONCATENATE("#Metadata!", ADDRESS(INDEX($W$2:$W$1001,MATCH(ROWS($U$2:U830),$U$2:$U$1001,0),0), INDEX($AB$1004:$AQ$1004,1,MATCH(COLUMNS($AB$1006:AH1006),$AB$1006:$AQ$1006,0)))),"Fix")))</f>
        <v>0</v>
      </c>
      <c r="I830" s="5">
        <f>IF(OR(INDEX($V$2:$V$1001,MATCH(ROWS($U$2:U830),$U$2:$U$1001,0),1)&gt;=100000,INDEX($AB$1005:$AQ$1005,1,MATCH(COLUMNS($AB$1006:AI1006),$AB$1006:$AQ$1006,0))&gt;=100000), " ",IF(INDEX($AB$2:$AQ$1001,MATCH(ROWS($U$2:U830),$U$2:$U$1001,0),MATCH(COLUMNS($AB$1006:AI1006),$AB$1006:$AQ$1006,0)), HYPERLINK("#",""), HYPERLINK(CONCATENATE("#Metadata!", ADDRESS(INDEX($W$2:$W$1001,MATCH(ROWS($U$2:U830),$U$2:$U$1001,0),0), INDEX($AB$1004:$AQ$1004,1,MATCH(COLUMNS($AB$1006:AI1006),$AB$1006:$AQ$1006,0)))),"Fix")))</f>
        <v>0</v>
      </c>
      <c r="J830" s="5">
        <f>IF(OR(INDEX($V$2:$V$1001,MATCH(ROWS($U$2:U830),$U$2:$U$1001,0),1)&gt;=100000,INDEX($AB$1005:$AQ$1005,1,MATCH(COLUMNS($AB$1006:AJ1006),$AB$1006:$AQ$1006,0))&gt;=100000), " ",IF(INDEX($AB$2:$AQ$1001,MATCH(ROWS($U$2:U830),$U$2:$U$1001,0),MATCH(COLUMNS($AB$1006:AJ1006),$AB$1006:$AQ$1006,0)), HYPERLINK("#",""), HYPERLINK(CONCATENATE("#Metadata!", ADDRESS(INDEX($W$2:$W$1001,MATCH(ROWS($U$2:U830),$U$2:$U$1001,0),0), INDEX($AB$1004:$AQ$1004,1,MATCH(COLUMNS($AB$1006:AJ1006),$AB$1006:$AQ$1006,0)))),"Fix")))</f>
        <v>0</v>
      </c>
      <c r="K830" s="5">
        <f>IF(OR(INDEX($V$2:$V$1001,MATCH(ROWS($U$2:U830),$U$2:$U$1001,0),1)&gt;=100000,INDEX($AB$1005:$AQ$1005,1,MATCH(COLUMNS($AB$1006:AK1006),$AB$1006:$AQ$1006,0))&gt;=100000), " ",IF(INDEX($AB$2:$AQ$1001,MATCH(ROWS($U$2:U830),$U$2:$U$1001,0),MATCH(COLUMNS($AB$1006:AK1006),$AB$1006:$AQ$1006,0)), HYPERLINK("#",""), HYPERLINK(CONCATENATE("#Metadata!", ADDRESS(INDEX($W$2:$W$1001,MATCH(ROWS($U$2:U830),$U$2:$U$1001,0),0), INDEX($AB$1004:$AQ$1004,1,MATCH(COLUMNS($AB$1006:AK1006),$AB$1006:$AQ$1006,0)))),"Fix")))</f>
        <v>0</v>
      </c>
      <c r="L830" s="5">
        <f>IF(OR(INDEX($V$2:$V$1001,MATCH(ROWS($U$2:U830),$U$2:$U$1001,0),1)&gt;=100000,INDEX($AB$1005:$AQ$1005,1,MATCH(COLUMNS($AB$1006:AL1006),$AB$1006:$AQ$1006,0))&gt;=100000), " ",IF(INDEX($AB$2:$AQ$1001,MATCH(ROWS($U$2:U830),$U$2:$U$1001,0),MATCH(COLUMNS($AB$1006:AL1006),$AB$1006:$AQ$1006,0)), HYPERLINK("#",""), HYPERLINK(CONCATENATE("#Metadata!", ADDRESS(INDEX($W$2:$W$1001,MATCH(ROWS($U$2:U830),$U$2:$U$1001,0),0), INDEX($AB$1004:$AQ$1004,1,MATCH(COLUMNS($AB$1006:AL1006),$AB$1006:$AQ$1006,0)))),"Fix")))</f>
        <v>0</v>
      </c>
      <c r="M830" s="5">
        <f>IF(OR(INDEX($V$2:$V$1001,MATCH(ROWS($U$2:U830),$U$2:$U$1001,0),1)&gt;=100000,INDEX($AB$1005:$AQ$1005,1,MATCH(COLUMNS($AB$1006:AM1006),$AB$1006:$AQ$1006,0))&gt;=100000), " ",IF(INDEX($AB$2:$AQ$1001,MATCH(ROWS($U$2:U830),$U$2:$U$1001,0),MATCH(COLUMNS($AB$1006:AM1006),$AB$1006:$AQ$1006,0)), HYPERLINK("#",""), HYPERLINK(CONCATENATE("#Metadata!", ADDRESS(INDEX($W$2:$W$1001,MATCH(ROWS($U$2:U830),$U$2:$U$1001,0),0), INDEX($AB$1004:$AQ$1004,1,MATCH(COLUMNS($AB$1006:AM1006),$AB$1006:$AQ$1006,0)))),"Fix")))</f>
        <v>0</v>
      </c>
      <c r="N830" s="5">
        <f>IF(OR(INDEX($V$2:$V$1001,MATCH(ROWS($U$2:U830),$U$2:$U$1001,0),1)&gt;=100000,INDEX($AB$1005:$AQ$1005,1,MATCH(COLUMNS($AB$1006:AN1006),$AB$1006:$AQ$1006,0))&gt;=100000), " ",IF(INDEX($AB$2:$AQ$1001,MATCH(ROWS($U$2:U830),$U$2:$U$1001,0),MATCH(COLUMNS($AB$1006:AN1006),$AB$1006:$AQ$1006,0)), HYPERLINK("#",""), HYPERLINK(CONCATENATE("#Metadata!", ADDRESS(INDEX($W$2:$W$1001,MATCH(ROWS($U$2:U830),$U$2:$U$1001,0),0), INDEX($AB$1004:$AQ$1004,1,MATCH(COLUMNS($AB$1006:AN1006),$AB$1006:$AQ$1006,0)))),"Fix")))</f>
        <v>0</v>
      </c>
      <c r="O830" s="5">
        <f>IF(OR(INDEX($V$2:$V$1001,MATCH(ROWS($U$2:U830),$U$2:$U$1001,0),1)&gt;=100000,INDEX($AB$1005:$AQ$1005,1,MATCH(COLUMNS($AB$1006:AO1006),$AB$1006:$AQ$1006,0))&gt;=100000), " ",IF(INDEX($AB$2:$AQ$1001,MATCH(ROWS($U$2:U830),$U$2:$U$1001,0),MATCH(COLUMNS($AB$1006:AO1006),$AB$1006:$AQ$1006,0)), HYPERLINK("#",""), HYPERLINK(CONCATENATE("#Metadata!", ADDRESS(INDEX($W$2:$W$1001,MATCH(ROWS($U$2:U830),$U$2:$U$1001,0),0), INDEX($AB$1004:$AQ$1004,1,MATCH(COLUMNS($AB$1006:AO1006),$AB$1006:$AQ$1006,0)))),"Fix")))</f>
        <v>0</v>
      </c>
      <c r="P830" s="5">
        <f>IF(OR(INDEX($V$2:$V$1001,MATCH(ROWS($U$2:U830),$U$2:$U$1001,0),1)&gt;=100000,INDEX($AB$1005:$AQ$1005,1,MATCH(COLUMNS($AB$1006:AP1006),$AB$1006:$AQ$1006,0))&gt;=100000), " ",IF(INDEX($AB$2:$AQ$1001,MATCH(ROWS($U$2:U830),$U$2:$U$1001,0),MATCH(COLUMNS($AB$1006:AP1006),$AB$1006:$AQ$1006,0)), HYPERLINK("#",""), HYPERLINK(CONCATENATE("#Metadata!", ADDRESS(INDEX($W$2:$W$1001,MATCH(ROWS($U$2:U830),$U$2:$U$1001,0),0), INDEX($AB$1004:$AQ$1004,1,MATCH(COLUMNS($AB$1006:AP1006),$AB$1006:$AQ$1006,0)))),"Fix")))</f>
        <v>0</v>
      </c>
      <c r="Q830" s="5">
        <f>IF(OR(INDEX($V$2:$V$1001,MATCH(ROWS($U$2:U830),$U$2:$U$1001,0),1)&gt;=100000,INDEX($AB$1005:$AQ$1005,1,MATCH(COLUMNS($AB$1006:AQ1006),$AB$1006:$AQ$1006,0))&gt;=100000), " ",IF(INDEX($AB$2:$AQ$1001,MATCH(ROWS($U$2:U830),$U$2:$U$1001,0),MATCH(COLUMNS($AB$1006:AQ1006),$AB$1006:$AQ$1006,0)), HYPERLINK("#",""), HYPERLINK(CONCATENATE("#Metadata!", ADDRESS(INDEX($W$2:$W$1001,MATCH(ROWS($U$2:U830),$U$2:$U$1001,0),0), INDEX($AB$1004:$AQ$1004,1,MATCH(COLUMNS($AB$1006:AQ1006),$AB$1006:$AQ$1006,0)))),"Fix")))</f>
        <v>0</v>
      </c>
      <c r="U830">
        <v>0</v>
      </c>
      <c r="V830">
        <v>0</v>
      </c>
      <c r="W830">
        <v>0</v>
      </c>
      <c r="X830">
        <f>IF(Y830,TRUE,AND(AB830:AQ830))</f>
        <v>0</v>
      </c>
      <c r="Y830">
        <f>COUNTBLANK(Metadata!B830:Q830)=COLUMNS(Metadata!B830:Q830)</f>
        <v>0</v>
      </c>
      <c r="Z830">
        <v>0</v>
      </c>
      <c r="AB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AC830">
        <f>AND(IF(Metadata!C830="",FALSE,TRUE),exact(Metadata!C830,"urban biome"))</f>
        <v>0</v>
      </c>
      <c r="AD830">
        <f>AND(IF(Metadata!D830="",FALSE,TRUE),exact(Metadata!D830,"human-associated habitat"))</f>
        <v>0</v>
      </c>
      <c r="AE830">
        <f>AND(IF(Metadata!E830="",FALSE,TRUE),OR(exact(Metadata!E830,"human-associated"),exact(Metadata!E830,"human-skin"),exact(Metadata!E830,"human-oral"),exact(Metadata!E830,"human-gut"),exact(Metadata!E830,"human-vaginal")))</f>
        <v>0</v>
      </c>
      <c r="AF830">
        <f>AND(IF(Metadata!F830="",FALSE,ISNUMBER(VALUE(Metadata!F830))),Metadata!F830&gt;0)</f>
        <v>0</v>
      </c>
      <c r="AG830">
        <f>AND(IF(Metadata!G830="",FALSE,TRUE),exact(Metadata!G830,"years"))</f>
        <v>0</v>
      </c>
      <c r="AH830">
        <f>OR(AND(IF(Metadata!H830="",FALSE,TRUE),OR(exact(Metadata!H830,"not applicable"),exact(Metadata!H830,"not collected"),exact(Metadata!H830,"not provided"),exact(Metadata!H830,"restricted access"))),AND(IF(Metadata!H830="",FALSE,ISNUMBER(VALUE(Metadata!H830))),Metadata!H830&gt;0))</f>
        <v>0</v>
      </c>
      <c r="AI830">
        <f>AND(IF(Metadata!I830="",FALSE,TRUE),exact(Metadata!I830,"human"))</f>
        <v>0</v>
      </c>
      <c r="AJ830">
        <f>AND(IF(Metadata!J830="",FALSE,ISNUMBER(VALUE(Metadata!J830))),Metadata!J830&gt;0)</f>
        <v>0</v>
      </c>
      <c r="AK830">
        <f>AND(IF(Metadata!K830="",FALSE,TRUE),exact(Metadata!K830,"cm"))</f>
        <v>0</v>
      </c>
      <c r="AL830">
        <f>AND(IF(Metadata!L830="",FALSE,TRUE),exact(Metadata!L830,"Homo sapiens"))</f>
        <v>0</v>
      </c>
      <c r="AM830">
        <f>AND(IF(Metadata!M830="",FALSE,TRUE),exact(Metadata!M830,"9606"))</f>
        <v>0</v>
      </c>
      <c r="AN830">
        <f>AND(IF(Metadata!N830="",FALSE,ISNUMBER(VALUE(Metadata!N830))),Metadata!N830&gt;0)</f>
        <v>0</v>
      </c>
      <c r="AO830">
        <f>AND(IF(Metadata!O830="",FALSE,TRUE),exact(Metadata!O830,"kg"))</f>
        <v>0</v>
      </c>
      <c r="AP830">
        <f>OR(AND(IF(Metadata!P830="",FALSE,TRUE),exact(Metadata!P830,"not provided")),IF(Metadata!P830="",FALSE,TRUE))</f>
        <v>0</v>
      </c>
      <c r="AQ830">
        <f>OR(AND(IF(Metadata!Q830="",FALSE,TRUE),exact(Metadata!Q830,"not provided")),IF(Metadata!Q830="",FALSE,TRUE))</f>
        <v>0</v>
      </c>
    </row>
    <row r="831" spans="1:43">
      <c r="A831" s="4">
        <f>IF(B831=" "," ",HYPERLINK(CONCATENATE("#metadata!",ADDRESS(INDEX($W$2:$W$1001,MATCH(ROWS($U$2:U831),$U$2:$U$1001,0),0),2)),INDEX($Z$2:$Z$1001,MATCH(ROWS($U$2:U831),$U$2:$U$1001,0),0)))</f>
        <v>0</v>
      </c>
      <c r="B831" s="5">
        <f>IF(OR(INDEX($V$2:$V$1001,MATCH(ROWS($U$2:U831),$U$2:$U$1001,0),1)&gt;=100000,INDEX($AB$1005:$AQ$1005,1,MATCH(COLUMNS($AB$1006:AB1006),$AB$1006:$AQ$1006,0))&gt;=100000), " ",IF(INDEX($AB$2:$AQ$1001,MATCH(ROWS($U$2:U831),$U$2:$U$1001,0),MATCH(COLUMNS($AB$1006:AB1006),$AB$1006:$AQ$1006,0)), HYPERLINK("#",""), HYPERLINK(CONCATENATE("#Metadata!", ADDRESS(INDEX($W$2:$W$1001,MATCH(ROWS($U$2:U831),$U$2:$U$1001,0),0), INDEX($AB$1004:$AQ$1004,1,MATCH(COLUMNS($AB$1006:AB1006),$AB$1006:$AQ$1006,0)))),"Fix")))</f>
        <v>0</v>
      </c>
      <c r="C831" s="5">
        <f>IF(OR(INDEX($V$2:$V$1001,MATCH(ROWS($U$2:U831),$U$2:$U$1001,0),1)&gt;=100000,INDEX($AB$1005:$AQ$1005,1,MATCH(COLUMNS($AB$1006:AC1006),$AB$1006:$AQ$1006,0))&gt;=100000), " ",IF(INDEX($AB$2:$AQ$1001,MATCH(ROWS($U$2:U831),$U$2:$U$1001,0),MATCH(COLUMNS($AB$1006:AC1006),$AB$1006:$AQ$1006,0)), HYPERLINK("#",""), HYPERLINK(CONCATENATE("#Metadata!", ADDRESS(INDEX($W$2:$W$1001,MATCH(ROWS($U$2:U831),$U$2:$U$1001,0),0), INDEX($AB$1004:$AQ$1004,1,MATCH(COLUMNS($AB$1006:AC1006),$AB$1006:$AQ$1006,0)))),"Fix")))</f>
        <v>0</v>
      </c>
      <c r="D831" s="5">
        <f>IF(OR(INDEX($V$2:$V$1001,MATCH(ROWS($U$2:U831),$U$2:$U$1001,0),1)&gt;=100000,INDEX($AB$1005:$AQ$1005,1,MATCH(COLUMNS($AB$1006:AD1006),$AB$1006:$AQ$1006,0))&gt;=100000), " ",IF(INDEX($AB$2:$AQ$1001,MATCH(ROWS($U$2:U831),$U$2:$U$1001,0),MATCH(COLUMNS($AB$1006:AD1006),$AB$1006:$AQ$1006,0)), HYPERLINK("#",""), HYPERLINK(CONCATENATE("#Metadata!", ADDRESS(INDEX($W$2:$W$1001,MATCH(ROWS($U$2:U831),$U$2:$U$1001,0),0), INDEX($AB$1004:$AQ$1004,1,MATCH(COLUMNS($AB$1006:AD1006),$AB$1006:$AQ$1006,0)))),"Fix")))</f>
        <v>0</v>
      </c>
      <c r="E831" s="5">
        <f>IF(OR(INDEX($V$2:$V$1001,MATCH(ROWS($U$2:U831),$U$2:$U$1001,0),1)&gt;=100000,INDEX($AB$1005:$AQ$1005,1,MATCH(COLUMNS($AB$1006:AE1006),$AB$1006:$AQ$1006,0))&gt;=100000), " ",IF(INDEX($AB$2:$AQ$1001,MATCH(ROWS($U$2:U831),$U$2:$U$1001,0),MATCH(COLUMNS($AB$1006:AE1006),$AB$1006:$AQ$1006,0)), HYPERLINK("#",""), HYPERLINK(CONCATENATE("#Metadata!", ADDRESS(INDEX($W$2:$W$1001,MATCH(ROWS($U$2:U831),$U$2:$U$1001,0),0), INDEX($AB$1004:$AQ$1004,1,MATCH(COLUMNS($AB$1006:AE1006),$AB$1006:$AQ$1006,0)))),"Fix")))</f>
        <v>0</v>
      </c>
      <c r="F831" s="5">
        <f>IF(OR(INDEX($V$2:$V$1001,MATCH(ROWS($U$2:U831),$U$2:$U$1001,0),1)&gt;=100000,INDEX($AB$1005:$AQ$1005,1,MATCH(COLUMNS($AB$1006:AF1006),$AB$1006:$AQ$1006,0))&gt;=100000), " ",IF(INDEX($AB$2:$AQ$1001,MATCH(ROWS($U$2:U831),$U$2:$U$1001,0),MATCH(COLUMNS($AB$1006:AF1006),$AB$1006:$AQ$1006,0)), HYPERLINK("#",""), HYPERLINK(CONCATENATE("#Metadata!", ADDRESS(INDEX($W$2:$W$1001,MATCH(ROWS($U$2:U831),$U$2:$U$1001,0),0), INDEX($AB$1004:$AQ$1004,1,MATCH(COLUMNS($AB$1006:AF1006),$AB$1006:$AQ$1006,0)))),"Fix")))</f>
        <v>0</v>
      </c>
      <c r="G831" s="5">
        <f>IF(OR(INDEX($V$2:$V$1001,MATCH(ROWS($U$2:U831),$U$2:$U$1001,0),1)&gt;=100000,INDEX($AB$1005:$AQ$1005,1,MATCH(COLUMNS($AB$1006:AG1006),$AB$1006:$AQ$1006,0))&gt;=100000), " ",IF(INDEX($AB$2:$AQ$1001,MATCH(ROWS($U$2:U831),$U$2:$U$1001,0),MATCH(COLUMNS($AB$1006:AG1006),$AB$1006:$AQ$1006,0)), HYPERLINK("#",""), HYPERLINK(CONCATENATE("#Metadata!", ADDRESS(INDEX($W$2:$W$1001,MATCH(ROWS($U$2:U831),$U$2:$U$1001,0),0), INDEX($AB$1004:$AQ$1004,1,MATCH(COLUMNS($AB$1006:AG1006),$AB$1006:$AQ$1006,0)))),"Fix")))</f>
        <v>0</v>
      </c>
      <c r="H831" s="5">
        <f>IF(OR(INDEX($V$2:$V$1001,MATCH(ROWS($U$2:U831),$U$2:$U$1001,0),1)&gt;=100000,INDEX($AB$1005:$AQ$1005,1,MATCH(COLUMNS($AB$1006:AH1006),$AB$1006:$AQ$1006,0))&gt;=100000), " ",IF(INDEX($AB$2:$AQ$1001,MATCH(ROWS($U$2:U831),$U$2:$U$1001,0),MATCH(COLUMNS($AB$1006:AH1006),$AB$1006:$AQ$1006,0)), HYPERLINK("#",""), HYPERLINK(CONCATENATE("#Metadata!", ADDRESS(INDEX($W$2:$W$1001,MATCH(ROWS($U$2:U831),$U$2:$U$1001,0),0), INDEX($AB$1004:$AQ$1004,1,MATCH(COLUMNS($AB$1006:AH1006),$AB$1006:$AQ$1006,0)))),"Fix")))</f>
        <v>0</v>
      </c>
      <c r="I831" s="5">
        <f>IF(OR(INDEX($V$2:$V$1001,MATCH(ROWS($U$2:U831),$U$2:$U$1001,0),1)&gt;=100000,INDEX($AB$1005:$AQ$1005,1,MATCH(COLUMNS($AB$1006:AI1006),$AB$1006:$AQ$1006,0))&gt;=100000), " ",IF(INDEX($AB$2:$AQ$1001,MATCH(ROWS($U$2:U831),$U$2:$U$1001,0),MATCH(COLUMNS($AB$1006:AI1006),$AB$1006:$AQ$1006,0)), HYPERLINK("#",""), HYPERLINK(CONCATENATE("#Metadata!", ADDRESS(INDEX($W$2:$W$1001,MATCH(ROWS($U$2:U831),$U$2:$U$1001,0),0), INDEX($AB$1004:$AQ$1004,1,MATCH(COLUMNS($AB$1006:AI1006),$AB$1006:$AQ$1006,0)))),"Fix")))</f>
        <v>0</v>
      </c>
      <c r="J831" s="5">
        <f>IF(OR(INDEX($V$2:$V$1001,MATCH(ROWS($U$2:U831),$U$2:$U$1001,0),1)&gt;=100000,INDEX($AB$1005:$AQ$1005,1,MATCH(COLUMNS($AB$1006:AJ1006),$AB$1006:$AQ$1006,0))&gt;=100000), " ",IF(INDEX($AB$2:$AQ$1001,MATCH(ROWS($U$2:U831),$U$2:$U$1001,0),MATCH(COLUMNS($AB$1006:AJ1006),$AB$1006:$AQ$1006,0)), HYPERLINK("#",""), HYPERLINK(CONCATENATE("#Metadata!", ADDRESS(INDEX($W$2:$W$1001,MATCH(ROWS($U$2:U831),$U$2:$U$1001,0),0), INDEX($AB$1004:$AQ$1004,1,MATCH(COLUMNS($AB$1006:AJ1006),$AB$1006:$AQ$1006,0)))),"Fix")))</f>
        <v>0</v>
      </c>
      <c r="K831" s="5">
        <f>IF(OR(INDEX($V$2:$V$1001,MATCH(ROWS($U$2:U831),$U$2:$U$1001,0),1)&gt;=100000,INDEX($AB$1005:$AQ$1005,1,MATCH(COLUMNS($AB$1006:AK1006),$AB$1006:$AQ$1006,0))&gt;=100000), " ",IF(INDEX($AB$2:$AQ$1001,MATCH(ROWS($U$2:U831),$U$2:$U$1001,0),MATCH(COLUMNS($AB$1006:AK1006),$AB$1006:$AQ$1006,0)), HYPERLINK("#",""), HYPERLINK(CONCATENATE("#Metadata!", ADDRESS(INDEX($W$2:$W$1001,MATCH(ROWS($U$2:U831),$U$2:$U$1001,0),0), INDEX($AB$1004:$AQ$1004,1,MATCH(COLUMNS($AB$1006:AK1006),$AB$1006:$AQ$1006,0)))),"Fix")))</f>
        <v>0</v>
      </c>
      <c r="L831" s="5">
        <f>IF(OR(INDEX($V$2:$V$1001,MATCH(ROWS($U$2:U831),$U$2:$U$1001,0),1)&gt;=100000,INDEX($AB$1005:$AQ$1005,1,MATCH(COLUMNS($AB$1006:AL1006),$AB$1006:$AQ$1006,0))&gt;=100000), " ",IF(INDEX($AB$2:$AQ$1001,MATCH(ROWS($U$2:U831),$U$2:$U$1001,0),MATCH(COLUMNS($AB$1006:AL1006),$AB$1006:$AQ$1006,0)), HYPERLINK("#",""), HYPERLINK(CONCATENATE("#Metadata!", ADDRESS(INDEX($W$2:$W$1001,MATCH(ROWS($U$2:U831),$U$2:$U$1001,0),0), INDEX($AB$1004:$AQ$1004,1,MATCH(COLUMNS($AB$1006:AL1006),$AB$1006:$AQ$1006,0)))),"Fix")))</f>
        <v>0</v>
      </c>
      <c r="M831" s="5">
        <f>IF(OR(INDEX($V$2:$V$1001,MATCH(ROWS($U$2:U831),$U$2:$U$1001,0),1)&gt;=100000,INDEX($AB$1005:$AQ$1005,1,MATCH(COLUMNS($AB$1006:AM1006),$AB$1006:$AQ$1006,0))&gt;=100000), " ",IF(INDEX($AB$2:$AQ$1001,MATCH(ROWS($U$2:U831),$U$2:$U$1001,0),MATCH(COLUMNS($AB$1006:AM1006),$AB$1006:$AQ$1006,0)), HYPERLINK("#",""), HYPERLINK(CONCATENATE("#Metadata!", ADDRESS(INDEX($W$2:$W$1001,MATCH(ROWS($U$2:U831),$U$2:$U$1001,0),0), INDEX($AB$1004:$AQ$1004,1,MATCH(COLUMNS($AB$1006:AM1006),$AB$1006:$AQ$1006,0)))),"Fix")))</f>
        <v>0</v>
      </c>
      <c r="N831" s="5">
        <f>IF(OR(INDEX($V$2:$V$1001,MATCH(ROWS($U$2:U831),$U$2:$U$1001,0),1)&gt;=100000,INDEX($AB$1005:$AQ$1005,1,MATCH(COLUMNS($AB$1006:AN1006),$AB$1006:$AQ$1006,0))&gt;=100000), " ",IF(INDEX($AB$2:$AQ$1001,MATCH(ROWS($U$2:U831),$U$2:$U$1001,0),MATCH(COLUMNS($AB$1006:AN1006),$AB$1006:$AQ$1006,0)), HYPERLINK("#",""), HYPERLINK(CONCATENATE("#Metadata!", ADDRESS(INDEX($W$2:$W$1001,MATCH(ROWS($U$2:U831),$U$2:$U$1001,0),0), INDEX($AB$1004:$AQ$1004,1,MATCH(COLUMNS($AB$1006:AN1006),$AB$1006:$AQ$1006,0)))),"Fix")))</f>
        <v>0</v>
      </c>
      <c r="O831" s="5">
        <f>IF(OR(INDEX($V$2:$V$1001,MATCH(ROWS($U$2:U831),$U$2:$U$1001,0),1)&gt;=100000,INDEX($AB$1005:$AQ$1005,1,MATCH(COLUMNS($AB$1006:AO1006),$AB$1006:$AQ$1006,0))&gt;=100000), " ",IF(INDEX($AB$2:$AQ$1001,MATCH(ROWS($U$2:U831),$U$2:$U$1001,0),MATCH(COLUMNS($AB$1006:AO1006),$AB$1006:$AQ$1006,0)), HYPERLINK("#",""), HYPERLINK(CONCATENATE("#Metadata!", ADDRESS(INDEX($W$2:$W$1001,MATCH(ROWS($U$2:U831),$U$2:$U$1001,0),0), INDEX($AB$1004:$AQ$1004,1,MATCH(COLUMNS($AB$1006:AO1006),$AB$1006:$AQ$1006,0)))),"Fix")))</f>
        <v>0</v>
      </c>
      <c r="P831" s="5">
        <f>IF(OR(INDEX($V$2:$V$1001,MATCH(ROWS($U$2:U831),$U$2:$U$1001,0),1)&gt;=100000,INDEX($AB$1005:$AQ$1005,1,MATCH(COLUMNS($AB$1006:AP1006),$AB$1006:$AQ$1006,0))&gt;=100000), " ",IF(INDEX($AB$2:$AQ$1001,MATCH(ROWS($U$2:U831),$U$2:$U$1001,0),MATCH(COLUMNS($AB$1006:AP1006),$AB$1006:$AQ$1006,0)), HYPERLINK("#",""), HYPERLINK(CONCATENATE("#Metadata!", ADDRESS(INDEX($W$2:$W$1001,MATCH(ROWS($U$2:U831),$U$2:$U$1001,0),0), INDEX($AB$1004:$AQ$1004,1,MATCH(COLUMNS($AB$1006:AP1006),$AB$1006:$AQ$1006,0)))),"Fix")))</f>
        <v>0</v>
      </c>
      <c r="Q831" s="5">
        <f>IF(OR(INDEX($V$2:$V$1001,MATCH(ROWS($U$2:U831),$U$2:$U$1001,0),1)&gt;=100000,INDEX($AB$1005:$AQ$1005,1,MATCH(COLUMNS($AB$1006:AQ1006),$AB$1006:$AQ$1006,0))&gt;=100000), " ",IF(INDEX($AB$2:$AQ$1001,MATCH(ROWS($U$2:U831),$U$2:$U$1001,0),MATCH(COLUMNS($AB$1006:AQ1006),$AB$1006:$AQ$1006,0)), HYPERLINK("#",""), HYPERLINK(CONCATENATE("#Metadata!", ADDRESS(INDEX($W$2:$W$1001,MATCH(ROWS($U$2:U831),$U$2:$U$1001,0),0), INDEX($AB$1004:$AQ$1004,1,MATCH(COLUMNS($AB$1006:AQ1006),$AB$1006:$AQ$1006,0)))),"Fix")))</f>
        <v>0</v>
      </c>
      <c r="U831">
        <v>0</v>
      </c>
      <c r="V831">
        <v>0</v>
      </c>
      <c r="W831">
        <v>0</v>
      </c>
      <c r="X831">
        <f>IF(Y831,TRUE,AND(AB831:AQ831))</f>
        <v>0</v>
      </c>
      <c r="Y831">
        <f>COUNTBLANK(Metadata!B831:Q831)=COLUMNS(Metadata!B831:Q831)</f>
        <v>0</v>
      </c>
      <c r="Z831">
        <v>0</v>
      </c>
      <c r="AB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AC831">
        <f>AND(IF(Metadata!C831="",FALSE,TRUE),exact(Metadata!C831,"urban biome"))</f>
        <v>0</v>
      </c>
      <c r="AD831">
        <f>AND(IF(Metadata!D831="",FALSE,TRUE),exact(Metadata!D831,"human-associated habitat"))</f>
        <v>0</v>
      </c>
      <c r="AE831">
        <f>AND(IF(Metadata!E831="",FALSE,TRUE),OR(exact(Metadata!E831,"human-associated"),exact(Metadata!E831,"human-skin"),exact(Metadata!E831,"human-oral"),exact(Metadata!E831,"human-gut"),exact(Metadata!E831,"human-vaginal")))</f>
        <v>0</v>
      </c>
      <c r="AF831">
        <f>AND(IF(Metadata!F831="",FALSE,ISNUMBER(VALUE(Metadata!F831))),Metadata!F831&gt;0)</f>
        <v>0</v>
      </c>
      <c r="AG831">
        <f>AND(IF(Metadata!G831="",FALSE,TRUE),exact(Metadata!G831,"years"))</f>
        <v>0</v>
      </c>
      <c r="AH831">
        <f>OR(AND(IF(Metadata!H831="",FALSE,TRUE),OR(exact(Metadata!H831,"not applicable"),exact(Metadata!H831,"not collected"),exact(Metadata!H831,"not provided"),exact(Metadata!H831,"restricted access"))),AND(IF(Metadata!H831="",FALSE,ISNUMBER(VALUE(Metadata!H831))),Metadata!H831&gt;0))</f>
        <v>0</v>
      </c>
      <c r="AI831">
        <f>AND(IF(Metadata!I831="",FALSE,TRUE),exact(Metadata!I831,"human"))</f>
        <v>0</v>
      </c>
      <c r="AJ831">
        <f>AND(IF(Metadata!J831="",FALSE,ISNUMBER(VALUE(Metadata!J831))),Metadata!J831&gt;0)</f>
        <v>0</v>
      </c>
      <c r="AK831">
        <f>AND(IF(Metadata!K831="",FALSE,TRUE),exact(Metadata!K831,"cm"))</f>
        <v>0</v>
      </c>
      <c r="AL831">
        <f>AND(IF(Metadata!L831="",FALSE,TRUE),exact(Metadata!L831,"Homo sapiens"))</f>
        <v>0</v>
      </c>
      <c r="AM831">
        <f>AND(IF(Metadata!M831="",FALSE,TRUE),exact(Metadata!M831,"9606"))</f>
        <v>0</v>
      </c>
      <c r="AN831">
        <f>AND(IF(Metadata!N831="",FALSE,ISNUMBER(VALUE(Metadata!N831))),Metadata!N831&gt;0)</f>
        <v>0</v>
      </c>
      <c r="AO831">
        <f>AND(IF(Metadata!O831="",FALSE,TRUE),exact(Metadata!O831,"kg"))</f>
        <v>0</v>
      </c>
      <c r="AP831">
        <f>OR(AND(IF(Metadata!P831="",FALSE,TRUE),exact(Metadata!P831,"not provided")),IF(Metadata!P831="",FALSE,TRUE))</f>
        <v>0</v>
      </c>
      <c r="AQ831">
        <f>OR(AND(IF(Metadata!Q831="",FALSE,TRUE),exact(Metadata!Q831,"not provided")),IF(Metadata!Q831="",FALSE,TRUE))</f>
        <v>0</v>
      </c>
    </row>
    <row r="832" spans="1:43">
      <c r="A832" s="4">
        <f>IF(B832=" "," ",HYPERLINK(CONCATENATE("#metadata!",ADDRESS(INDEX($W$2:$W$1001,MATCH(ROWS($U$2:U832),$U$2:$U$1001,0),0),2)),INDEX($Z$2:$Z$1001,MATCH(ROWS($U$2:U832),$U$2:$U$1001,0),0)))</f>
        <v>0</v>
      </c>
      <c r="B832" s="5">
        <f>IF(OR(INDEX($V$2:$V$1001,MATCH(ROWS($U$2:U832),$U$2:$U$1001,0),1)&gt;=100000,INDEX($AB$1005:$AQ$1005,1,MATCH(COLUMNS($AB$1006:AB1006),$AB$1006:$AQ$1006,0))&gt;=100000), " ",IF(INDEX($AB$2:$AQ$1001,MATCH(ROWS($U$2:U832),$U$2:$U$1001,0),MATCH(COLUMNS($AB$1006:AB1006),$AB$1006:$AQ$1006,0)), HYPERLINK("#",""), HYPERLINK(CONCATENATE("#Metadata!", ADDRESS(INDEX($W$2:$W$1001,MATCH(ROWS($U$2:U832),$U$2:$U$1001,0),0), INDEX($AB$1004:$AQ$1004,1,MATCH(COLUMNS($AB$1006:AB1006),$AB$1006:$AQ$1006,0)))),"Fix")))</f>
        <v>0</v>
      </c>
      <c r="C832" s="5">
        <f>IF(OR(INDEX($V$2:$V$1001,MATCH(ROWS($U$2:U832),$U$2:$U$1001,0),1)&gt;=100000,INDEX($AB$1005:$AQ$1005,1,MATCH(COLUMNS($AB$1006:AC1006),$AB$1006:$AQ$1006,0))&gt;=100000), " ",IF(INDEX($AB$2:$AQ$1001,MATCH(ROWS($U$2:U832),$U$2:$U$1001,0),MATCH(COLUMNS($AB$1006:AC1006),$AB$1006:$AQ$1006,0)), HYPERLINK("#",""), HYPERLINK(CONCATENATE("#Metadata!", ADDRESS(INDEX($W$2:$W$1001,MATCH(ROWS($U$2:U832),$U$2:$U$1001,0),0), INDEX($AB$1004:$AQ$1004,1,MATCH(COLUMNS($AB$1006:AC1006),$AB$1006:$AQ$1006,0)))),"Fix")))</f>
        <v>0</v>
      </c>
      <c r="D832" s="5">
        <f>IF(OR(INDEX($V$2:$V$1001,MATCH(ROWS($U$2:U832),$U$2:$U$1001,0),1)&gt;=100000,INDEX($AB$1005:$AQ$1005,1,MATCH(COLUMNS($AB$1006:AD1006),$AB$1006:$AQ$1006,0))&gt;=100000), " ",IF(INDEX($AB$2:$AQ$1001,MATCH(ROWS($U$2:U832),$U$2:$U$1001,0),MATCH(COLUMNS($AB$1006:AD1006),$AB$1006:$AQ$1006,0)), HYPERLINK("#",""), HYPERLINK(CONCATENATE("#Metadata!", ADDRESS(INDEX($W$2:$W$1001,MATCH(ROWS($U$2:U832),$U$2:$U$1001,0),0), INDEX($AB$1004:$AQ$1004,1,MATCH(COLUMNS($AB$1006:AD1006),$AB$1006:$AQ$1006,0)))),"Fix")))</f>
        <v>0</v>
      </c>
      <c r="E832" s="5">
        <f>IF(OR(INDEX($V$2:$V$1001,MATCH(ROWS($U$2:U832),$U$2:$U$1001,0),1)&gt;=100000,INDEX($AB$1005:$AQ$1005,1,MATCH(COLUMNS($AB$1006:AE1006),$AB$1006:$AQ$1006,0))&gt;=100000), " ",IF(INDEX($AB$2:$AQ$1001,MATCH(ROWS($U$2:U832),$U$2:$U$1001,0),MATCH(COLUMNS($AB$1006:AE1006),$AB$1006:$AQ$1006,0)), HYPERLINK("#",""), HYPERLINK(CONCATENATE("#Metadata!", ADDRESS(INDEX($W$2:$W$1001,MATCH(ROWS($U$2:U832),$U$2:$U$1001,0),0), INDEX($AB$1004:$AQ$1004,1,MATCH(COLUMNS($AB$1006:AE1006),$AB$1006:$AQ$1006,0)))),"Fix")))</f>
        <v>0</v>
      </c>
      <c r="F832" s="5">
        <f>IF(OR(INDEX($V$2:$V$1001,MATCH(ROWS($U$2:U832),$U$2:$U$1001,0),1)&gt;=100000,INDEX($AB$1005:$AQ$1005,1,MATCH(COLUMNS($AB$1006:AF1006),$AB$1006:$AQ$1006,0))&gt;=100000), " ",IF(INDEX($AB$2:$AQ$1001,MATCH(ROWS($U$2:U832),$U$2:$U$1001,0),MATCH(COLUMNS($AB$1006:AF1006),$AB$1006:$AQ$1006,0)), HYPERLINK("#",""), HYPERLINK(CONCATENATE("#Metadata!", ADDRESS(INDEX($W$2:$W$1001,MATCH(ROWS($U$2:U832),$U$2:$U$1001,0),0), INDEX($AB$1004:$AQ$1004,1,MATCH(COLUMNS($AB$1006:AF1006),$AB$1006:$AQ$1006,0)))),"Fix")))</f>
        <v>0</v>
      </c>
      <c r="G832" s="5">
        <f>IF(OR(INDEX($V$2:$V$1001,MATCH(ROWS($U$2:U832),$U$2:$U$1001,0),1)&gt;=100000,INDEX($AB$1005:$AQ$1005,1,MATCH(COLUMNS($AB$1006:AG1006),$AB$1006:$AQ$1006,0))&gt;=100000), " ",IF(INDEX($AB$2:$AQ$1001,MATCH(ROWS($U$2:U832),$U$2:$U$1001,0),MATCH(COLUMNS($AB$1006:AG1006),$AB$1006:$AQ$1006,0)), HYPERLINK("#",""), HYPERLINK(CONCATENATE("#Metadata!", ADDRESS(INDEX($W$2:$W$1001,MATCH(ROWS($U$2:U832),$U$2:$U$1001,0),0), INDEX($AB$1004:$AQ$1004,1,MATCH(COLUMNS($AB$1006:AG1006),$AB$1006:$AQ$1006,0)))),"Fix")))</f>
        <v>0</v>
      </c>
      <c r="H832" s="5">
        <f>IF(OR(INDEX($V$2:$V$1001,MATCH(ROWS($U$2:U832),$U$2:$U$1001,0),1)&gt;=100000,INDEX($AB$1005:$AQ$1005,1,MATCH(COLUMNS($AB$1006:AH1006),$AB$1006:$AQ$1006,0))&gt;=100000), " ",IF(INDEX($AB$2:$AQ$1001,MATCH(ROWS($U$2:U832),$U$2:$U$1001,0),MATCH(COLUMNS($AB$1006:AH1006),$AB$1006:$AQ$1006,0)), HYPERLINK("#",""), HYPERLINK(CONCATENATE("#Metadata!", ADDRESS(INDEX($W$2:$W$1001,MATCH(ROWS($U$2:U832),$U$2:$U$1001,0),0), INDEX($AB$1004:$AQ$1004,1,MATCH(COLUMNS($AB$1006:AH1006),$AB$1006:$AQ$1006,0)))),"Fix")))</f>
        <v>0</v>
      </c>
      <c r="I832" s="5">
        <f>IF(OR(INDEX($V$2:$V$1001,MATCH(ROWS($U$2:U832),$U$2:$U$1001,0),1)&gt;=100000,INDEX($AB$1005:$AQ$1005,1,MATCH(COLUMNS($AB$1006:AI1006),$AB$1006:$AQ$1006,0))&gt;=100000), " ",IF(INDEX($AB$2:$AQ$1001,MATCH(ROWS($U$2:U832),$U$2:$U$1001,0),MATCH(COLUMNS($AB$1006:AI1006),$AB$1006:$AQ$1006,0)), HYPERLINK("#",""), HYPERLINK(CONCATENATE("#Metadata!", ADDRESS(INDEX($W$2:$W$1001,MATCH(ROWS($U$2:U832),$U$2:$U$1001,0),0), INDEX($AB$1004:$AQ$1004,1,MATCH(COLUMNS($AB$1006:AI1006),$AB$1006:$AQ$1006,0)))),"Fix")))</f>
        <v>0</v>
      </c>
      <c r="J832" s="5">
        <f>IF(OR(INDEX($V$2:$V$1001,MATCH(ROWS($U$2:U832),$U$2:$U$1001,0),1)&gt;=100000,INDEX($AB$1005:$AQ$1005,1,MATCH(COLUMNS($AB$1006:AJ1006),$AB$1006:$AQ$1006,0))&gt;=100000), " ",IF(INDEX($AB$2:$AQ$1001,MATCH(ROWS($U$2:U832),$U$2:$U$1001,0),MATCH(COLUMNS($AB$1006:AJ1006),$AB$1006:$AQ$1006,0)), HYPERLINK("#",""), HYPERLINK(CONCATENATE("#Metadata!", ADDRESS(INDEX($W$2:$W$1001,MATCH(ROWS($U$2:U832),$U$2:$U$1001,0),0), INDEX($AB$1004:$AQ$1004,1,MATCH(COLUMNS($AB$1006:AJ1006),$AB$1006:$AQ$1006,0)))),"Fix")))</f>
        <v>0</v>
      </c>
      <c r="K832" s="5">
        <f>IF(OR(INDEX($V$2:$V$1001,MATCH(ROWS($U$2:U832),$U$2:$U$1001,0),1)&gt;=100000,INDEX($AB$1005:$AQ$1005,1,MATCH(COLUMNS($AB$1006:AK1006),$AB$1006:$AQ$1006,0))&gt;=100000), " ",IF(INDEX($AB$2:$AQ$1001,MATCH(ROWS($U$2:U832),$U$2:$U$1001,0),MATCH(COLUMNS($AB$1006:AK1006),$AB$1006:$AQ$1006,0)), HYPERLINK("#",""), HYPERLINK(CONCATENATE("#Metadata!", ADDRESS(INDEX($W$2:$W$1001,MATCH(ROWS($U$2:U832),$U$2:$U$1001,0),0), INDEX($AB$1004:$AQ$1004,1,MATCH(COLUMNS($AB$1006:AK1006),$AB$1006:$AQ$1006,0)))),"Fix")))</f>
        <v>0</v>
      </c>
      <c r="L832" s="5">
        <f>IF(OR(INDEX($V$2:$V$1001,MATCH(ROWS($U$2:U832),$U$2:$U$1001,0),1)&gt;=100000,INDEX($AB$1005:$AQ$1005,1,MATCH(COLUMNS($AB$1006:AL1006),$AB$1006:$AQ$1006,0))&gt;=100000), " ",IF(INDEX($AB$2:$AQ$1001,MATCH(ROWS($U$2:U832),$U$2:$U$1001,0),MATCH(COLUMNS($AB$1006:AL1006),$AB$1006:$AQ$1006,0)), HYPERLINK("#",""), HYPERLINK(CONCATENATE("#Metadata!", ADDRESS(INDEX($W$2:$W$1001,MATCH(ROWS($U$2:U832),$U$2:$U$1001,0),0), INDEX($AB$1004:$AQ$1004,1,MATCH(COLUMNS($AB$1006:AL1006),$AB$1006:$AQ$1006,0)))),"Fix")))</f>
        <v>0</v>
      </c>
      <c r="M832" s="5">
        <f>IF(OR(INDEX($V$2:$V$1001,MATCH(ROWS($U$2:U832),$U$2:$U$1001,0),1)&gt;=100000,INDEX($AB$1005:$AQ$1005,1,MATCH(COLUMNS($AB$1006:AM1006),$AB$1006:$AQ$1006,0))&gt;=100000), " ",IF(INDEX($AB$2:$AQ$1001,MATCH(ROWS($U$2:U832),$U$2:$U$1001,0),MATCH(COLUMNS($AB$1006:AM1006),$AB$1006:$AQ$1006,0)), HYPERLINK("#",""), HYPERLINK(CONCATENATE("#Metadata!", ADDRESS(INDEX($W$2:$W$1001,MATCH(ROWS($U$2:U832),$U$2:$U$1001,0),0), INDEX($AB$1004:$AQ$1004,1,MATCH(COLUMNS($AB$1006:AM1006),$AB$1006:$AQ$1006,0)))),"Fix")))</f>
        <v>0</v>
      </c>
      <c r="N832" s="5">
        <f>IF(OR(INDEX($V$2:$V$1001,MATCH(ROWS($U$2:U832),$U$2:$U$1001,0),1)&gt;=100000,INDEX($AB$1005:$AQ$1005,1,MATCH(COLUMNS($AB$1006:AN1006),$AB$1006:$AQ$1006,0))&gt;=100000), " ",IF(INDEX($AB$2:$AQ$1001,MATCH(ROWS($U$2:U832),$U$2:$U$1001,0),MATCH(COLUMNS($AB$1006:AN1006),$AB$1006:$AQ$1006,0)), HYPERLINK("#",""), HYPERLINK(CONCATENATE("#Metadata!", ADDRESS(INDEX($W$2:$W$1001,MATCH(ROWS($U$2:U832),$U$2:$U$1001,0),0), INDEX($AB$1004:$AQ$1004,1,MATCH(COLUMNS($AB$1006:AN1006),$AB$1006:$AQ$1006,0)))),"Fix")))</f>
        <v>0</v>
      </c>
      <c r="O832" s="5">
        <f>IF(OR(INDEX($V$2:$V$1001,MATCH(ROWS($U$2:U832),$U$2:$U$1001,0),1)&gt;=100000,INDEX($AB$1005:$AQ$1005,1,MATCH(COLUMNS($AB$1006:AO1006),$AB$1006:$AQ$1006,0))&gt;=100000), " ",IF(INDEX($AB$2:$AQ$1001,MATCH(ROWS($U$2:U832),$U$2:$U$1001,0),MATCH(COLUMNS($AB$1006:AO1006),$AB$1006:$AQ$1006,0)), HYPERLINK("#",""), HYPERLINK(CONCATENATE("#Metadata!", ADDRESS(INDEX($W$2:$W$1001,MATCH(ROWS($U$2:U832),$U$2:$U$1001,0),0), INDEX($AB$1004:$AQ$1004,1,MATCH(COLUMNS($AB$1006:AO1006),$AB$1006:$AQ$1006,0)))),"Fix")))</f>
        <v>0</v>
      </c>
      <c r="P832" s="5">
        <f>IF(OR(INDEX($V$2:$V$1001,MATCH(ROWS($U$2:U832),$U$2:$U$1001,0),1)&gt;=100000,INDEX($AB$1005:$AQ$1005,1,MATCH(COLUMNS($AB$1006:AP1006),$AB$1006:$AQ$1006,0))&gt;=100000), " ",IF(INDEX($AB$2:$AQ$1001,MATCH(ROWS($U$2:U832),$U$2:$U$1001,0),MATCH(COLUMNS($AB$1006:AP1006),$AB$1006:$AQ$1006,0)), HYPERLINK("#",""), HYPERLINK(CONCATENATE("#Metadata!", ADDRESS(INDEX($W$2:$W$1001,MATCH(ROWS($U$2:U832),$U$2:$U$1001,0),0), INDEX($AB$1004:$AQ$1004,1,MATCH(COLUMNS($AB$1006:AP1006),$AB$1006:$AQ$1006,0)))),"Fix")))</f>
        <v>0</v>
      </c>
      <c r="Q832" s="5">
        <f>IF(OR(INDEX($V$2:$V$1001,MATCH(ROWS($U$2:U832),$U$2:$U$1001,0),1)&gt;=100000,INDEX($AB$1005:$AQ$1005,1,MATCH(COLUMNS($AB$1006:AQ1006),$AB$1006:$AQ$1006,0))&gt;=100000), " ",IF(INDEX($AB$2:$AQ$1001,MATCH(ROWS($U$2:U832),$U$2:$U$1001,0),MATCH(COLUMNS($AB$1006:AQ1006),$AB$1006:$AQ$1006,0)), HYPERLINK("#",""), HYPERLINK(CONCATENATE("#Metadata!", ADDRESS(INDEX($W$2:$W$1001,MATCH(ROWS($U$2:U832),$U$2:$U$1001,0),0), INDEX($AB$1004:$AQ$1004,1,MATCH(COLUMNS($AB$1006:AQ1006),$AB$1006:$AQ$1006,0)))),"Fix")))</f>
        <v>0</v>
      </c>
      <c r="U832">
        <v>0</v>
      </c>
      <c r="V832">
        <v>0</v>
      </c>
      <c r="W832">
        <v>0</v>
      </c>
      <c r="X832">
        <f>IF(Y832,TRUE,AND(AB832:AQ832))</f>
        <v>0</v>
      </c>
      <c r="Y832">
        <f>COUNTBLANK(Metadata!B832:Q832)=COLUMNS(Metadata!B832:Q832)</f>
        <v>0</v>
      </c>
      <c r="Z832">
        <v>0</v>
      </c>
      <c r="AB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AC832">
        <f>AND(IF(Metadata!C832="",FALSE,TRUE),exact(Metadata!C832,"urban biome"))</f>
        <v>0</v>
      </c>
      <c r="AD832">
        <f>AND(IF(Metadata!D832="",FALSE,TRUE),exact(Metadata!D832,"human-associated habitat"))</f>
        <v>0</v>
      </c>
      <c r="AE832">
        <f>AND(IF(Metadata!E832="",FALSE,TRUE),OR(exact(Metadata!E832,"human-associated"),exact(Metadata!E832,"human-skin"),exact(Metadata!E832,"human-oral"),exact(Metadata!E832,"human-gut"),exact(Metadata!E832,"human-vaginal")))</f>
        <v>0</v>
      </c>
      <c r="AF832">
        <f>AND(IF(Metadata!F832="",FALSE,ISNUMBER(VALUE(Metadata!F832))),Metadata!F832&gt;0)</f>
        <v>0</v>
      </c>
      <c r="AG832">
        <f>AND(IF(Metadata!G832="",FALSE,TRUE),exact(Metadata!G832,"years"))</f>
        <v>0</v>
      </c>
      <c r="AH832">
        <f>OR(AND(IF(Metadata!H832="",FALSE,TRUE),OR(exact(Metadata!H832,"not applicable"),exact(Metadata!H832,"not collected"),exact(Metadata!H832,"not provided"),exact(Metadata!H832,"restricted access"))),AND(IF(Metadata!H832="",FALSE,ISNUMBER(VALUE(Metadata!H832))),Metadata!H832&gt;0))</f>
        <v>0</v>
      </c>
      <c r="AI832">
        <f>AND(IF(Metadata!I832="",FALSE,TRUE),exact(Metadata!I832,"human"))</f>
        <v>0</v>
      </c>
      <c r="AJ832">
        <f>AND(IF(Metadata!J832="",FALSE,ISNUMBER(VALUE(Metadata!J832))),Metadata!J832&gt;0)</f>
        <v>0</v>
      </c>
      <c r="AK832">
        <f>AND(IF(Metadata!K832="",FALSE,TRUE),exact(Metadata!K832,"cm"))</f>
        <v>0</v>
      </c>
      <c r="AL832">
        <f>AND(IF(Metadata!L832="",FALSE,TRUE),exact(Metadata!L832,"Homo sapiens"))</f>
        <v>0</v>
      </c>
      <c r="AM832">
        <f>AND(IF(Metadata!M832="",FALSE,TRUE),exact(Metadata!M832,"9606"))</f>
        <v>0</v>
      </c>
      <c r="AN832">
        <f>AND(IF(Metadata!N832="",FALSE,ISNUMBER(VALUE(Metadata!N832))),Metadata!N832&gt;0)</f>
        <v>0</v>
      </c>
      <c r="AO832">
        <f>AND(IF(Metadata!O832="",FALSE,TRUE),exact(Metadata!O832,"kg"))</f>
        <v>0</v>
      </c>
      <c r="AP832">
        <f>OR(AND(IF(Metadata!P832="",FALSE,TRUE),exact(Metadata!P832,"not provided")),IF(Metadata!P832="",FALSE,TRUE))</f>
        <v>0</v>
      </c>
      <c r="AQ832">
        <f>OR(AND(IF(Metadata!Q832="",FALSE,TRUE),exact(Metadata!Q832,"not provided")),IF(Metadata!Q832="",FALSE,TRUE))</f>
        <v>0</v>
      </c>
    </row>
    <row r="833" spans="1:43">
      <c r="A833" s="4">
        <f>IF(B833=" "," ",HYPERLINK(CONCATENATE("#metadata!",ADDRESS(INDEX($W$2:$W$1001,MATCH(ROWS($U$2:U833),$U$2:$U$1001,0),0),2)),INDEX($Z$2:$Z$1001,MATCH(ROWS($U$2:U833),$U$2:$U$1001,0),0)))</f>
        <v>0</v>
      </c>
      <c r="B833" s="5">
        <f>IF(OR(INDEX($V$2:$V$1001,MATCH(ROWS($U$2:U833),$U$2:$U$1001,0),1)&gt;=100000,INDEX($AB$1005:$AQ$1005,1,MATCH(COLUMNS($AB$1006:AB1006),$AB$1006:$AQ$1006,0))&gt;=100000), " ",IF(INDEX($AB$2:$AQ$1001,MATCH(ROWS($U$2:U833),$U$2:$U$1001,0),MATCH(COLUMNS($AB$1006:AB1006),$AB$1006:$AQ$1006,0)), HYPERLINK("#",""), HYPERLINK(CONCATENATE("#Metadata!", ADDRESS(INDEX($W$2:$W$1001,MATCH(ROWS($U$2:U833),$U$2:$U$1001,0),0), INDEX($AB$1004:$AQ$1004,1,MATCH(COLUMNS($AB$1006:AB1006),$AB$1006:$AQ$1006,0)))),"Fix")))</f>
        <v>0</v>
      </c>
      <c r="C833" s="5">
        <f>IF(OR(INDEX($V$2:$V$1001,MATCH(ROWS($U$2:U833),$U$2:$U$1001,0),1)&gt;=100000,INDEX($AB$1005:$AQ$1005,1,MATCH(COLUMNS($AB$1006:AC1006),$AB$1006:$AQ$1006,0))&gt;=100000), " ",IF(INDEX($AB$2:$AQ$1001,MATCH(ROWS($U$2:U833),$U$2:$U$1001,0),MATCH(COLUMNS($AB$1006:AC1006),$AB$1006:$AQ$1006,0)), HYPERLINK("#",""), HYPERLINK(CONCATENATE("#Metadata!", ADDRESS(INDEX($W$2:$W$1001,MATCH(ROWS($U$2:U833),$U$2:$U$1001,0),0), INDEX($AB$1004:$AQ$1004,1,MATCH(COLUMNS($AB$1006:AC1006),$AB$1006:$AQ$1006,0)))),"Fix")))</f>
        <v>0</v>
      </c>
      <c r="D833" s="5">
        <f>IF(OR(INDEX($V$2:$V$1001,MATCH(ROWS($U$2:U833),$U$2:$U$1001,0),1)&gt;=100000,INDEX($AB$1005:$AQ$1005,1,MATCH(COLUMNS($AB$1006:AD1006),$AB$1006:$AQ$1006,0))&gt;=100000), " ",IF(INDEX($AB$2:$AQ$1001,MATCH(ROWS($U$2:U833),$U$2:$U$1001,0),MATCH(COLUMNS($AB$1006:AD1006),$AB$1006:$AQ$1006,0)), HYPERLINK("#",""), HYPERLINK(CONCATENATE("#Metadata!", ADDRESS(INDEX($W$2:$W$1001,MATCH(ROWS($U$2:U833),$U$2:$U$1001,0),0), INDEX($AB$1004:$AQ$1004,1,MATCH(COLUMNS($AB$1006:AD1006),$AB$1006:$AQ$1006,0)))),"Fix")))</f>
        <v>0</v>
      </c>
      <c r="E833" s="5">
        <f>IF(OR(INDEX($V$2:$V$1001,MATCH(ROWS($U$2:U833),$U$2:$U$1001,0),1)&gt;=100000,INDEX($AB$1005:$AQ$1005,1,MATCH(COLUMNS($AB$1006:AE1006),$AB$1006:$AQ$1006,0))&gt;=100000), " ",IF(INDEX($AB$2:$AQ$1001,MATCH(ROWS($U$2:U833),$U$2:$U$1001,0),MATCH(COLUMNS($AB$1006:AE1006),$AB$1006:$AQ$1006,0)), HYPERLINK("#",""), HYPERLINK(CONCATENATE("#Metadata!", ADDRESS(INDEX($W$2:$W$1001,MATCH(ROWS($U$2:U833),$U$2:$U$1001,0),0), INDEX($AB$1004:$AQ$1004,1,MATCH(COLUMNS($AB$1006:AE1006),$AB$1006:$AQ$1006,0)))),"Fix")))</f>
        <v>0</v>
      </c>
      <c r="F833" s="5">
        <f>IF(OR(INDEX($V$2:$V$1001,MATCH(ROWS($U$2:U833),$U$2:$U$1001,0),1)&gt;=100000,INDEX($AB$1005:$AQ$1005,1,MATCH(COLUMNS($AB$1006:AF1006),$AB$1006:$AQ$1006,0))&gt;=100000), " ",IF(INDEX($AB$2:$AQ$1001,MATCH(ROWS($U$2:U833),$U$2:$U$1001,0),MATCH(COLUMNS($AB$1006:AF1006),$AB$1006:$AQ$1006,0)), HYPERLINK("#",""), HYPERLINK(CONCATENATE("#Metadata!", ADDRESS(INDEX($W$2:$W$1001,MATCH(ROWS($U$2:U833),$U$2:$U$1001,0),0), INDEX($AB$1004:$AQ$1004,1,MATCH(COLUMNS($AB$1006:AF1006),$AB$1006:$AQ$1006,0)))),"Fix")))</f>
        <v>0</v>
      </c>
      <c r="G833" s="5">
        <f>IF(OR(INDEX($V$2:$V$1001,MATCH(ROWS($U$2:U833),$U$2:$U$1001,0),1)&gt;=100000,INDEX($AB$1005:$AQ$1005,1,MATCH(COLUMNS($AB$1006:AG1006),$AB$1006:$AQ$1006,0))&gt;=100000), " ",IF(INDEX($AB$2:$AQ$1001,MATCH(ROWS($U$2:U833),$U$2:$U$1001,0),MATCH(COLUMNS($AB$1006:AG1006),$AB$1006:$AQ$1006,0)), HYPERLINK("#",""), HYPERLINK(CONCATENATE("#Metadata!", ADDRESS(INDEX($W$2:$W$1001,MATCH(ROWS($U$2:U833),$U$2:$U$1001,0),0), INDEX($AB$1004:$AQ$1004,1,MATCH(COLUMNS($AB$1006:AG1006),$AB$1006:$AQ$1006,0)))),"Fix")))</f>
        <v>0</v>
      </c>
      <c r="H833" s="5">
        <f>IF(OR(INDEX($V$2:$V$1001,MATCH(ROWS($U$2:U833),$U$2:$U$1001,0),1)&gt;=100000,INDEX($AB$1005:$AQ$1005,1,MATCH(COLUMNS($AB$1006:AH1006),$AB$1006:$AQ$1006,0))&gt;=100000), " ",IF(INDEX($AB$2:$AQ$1001,MATCH(ROWS($U$2:U833),$U$2:$U$1001,0),MATCH(COLUMNS($AB$1006:AH1006),$AB$1006:$AQ$1006,0)), HYPERLINK("#",""), HYPERLINK(CONCATENATE("#Metadata!", ADDRESS(INDEX($W$2:$W$1001,MATCH(ROWS($U$2:U833),$U$2:$U$1001,0),0), INDEX($AB$1004:$AQ$1004,1,MATCH(COLUMNS($AB$1006:AH1006),$AB$1006:$AQ$1006,0)))),"Fix")))</f>
        <v>0</v>
      </c>
      <c r="I833" s="5">
        <f>IF(OR(INDEX($V$2:$V$1001,MATCH(ROWS($U$2:U833),$U$2:$U$1001,0),1)&gt;=100000,INDEX($AB$1005:$AQ$1005,1,MATCH(COLUMNS($AB$1006:AI1006),$AB$1006:$AQ$1006,0))&gt;=100000), " ",IF(INDEX($AB$2:$AQ$1001,MATCH(ROWS($U$2:U833),$U$2:$U$1001,0),MATCH(COLUMNS($AB$1006:AI1006),$AB$1006:$AQ$1006,0)), HYPERLINK("#",""), HYPERLINK(CONCATENATE("#Metadata!", ADDRESS(INDEX($W$2:$W$1001,MATCH(ROWS($U$2:U833),$U$2:$U$1001,0),0), INDEX($AB$1004:$AQ$1004,1,MATCH(COLUMNS($AB$1006:AI1006),$AB$1006:$AQ$1006,0)))),"Fix")))</f>
        <v>0</v>
      </c>
      <c r="J833" s="5">
        <f>IF(OR(INDEX($V$2:$V$1001,MATCH(ROWS($U$2:U833),$U$2:$U$1001,0),1)&gt;=100000,INDEX($AB$1005:$AQ$1005,1,MATCH(COLUMNS($AB$1006:AJ1006),$AB$1006:$AQ$1006,0))&gt;=100000), " ",IF(INDEX($AB$2:$AQ$1001,MATCH(ROWS($U$2:U833),$U$2:$U$1001,0),MATCH(COLUMNS($AB$1006:AJ1006),$AB$1006:$AQ$1006,0)), HYPERLINK("#",""), HYPERLINK(CONCATENATE("#Metadata!", ADDRESS(INDEX($W$2:$W$1001,MATCH(ROWS($U$2:U833),$U$2:$U$1001,0),0), INDEX($AB$1004:$AQ$1004,1,MATCH(COLUMNS($AB$1006:AJ1006),$AB$1006:$AQ$1006,0)))),"Fix")))</f>
        <v>0</v>
      </c>
      <c r="K833" s="5">
        <f>IF(OR(INDEX($V$2:$V$1001,MATCH(ROWS($U$2:U833),$U$2:$U$1001,0),1)&gt;=100000,INDEX($AB$1005:$AQ$1005,1,MATCH(COLUMNS($AB$1006:AK1006),$AB$1006:$AQ$1006,0))&gt;=100000), " ",IF(INDEX($AB$2:$AQ$1001,MATCH(ROWS($U$2:U833),$U$2:$U$1001,0),MATCH(COLUMNS($AB$1006:AK1006),$AB$1006:$AQ$1006,0)), HYPERLINK("#",""), HYPERLINK(CONCATENATE("#Metadata!", ADDRESS(INDEX($W$2:$W$1001,MATCH(ROWS($U$2:U833),$U$2:$U$1001,0),0), INDEX($AB$1004:$AQ$1004,1,MATCH(COLUMNS($AB$1006:AK1006),$AB$1006:$AQ$1006,0)))),"Fix")))</f>
        <v>0</v>
      </c>
      <c r="L833" s="5">
        <f>IF(OR(INDEX($V$2:$V$1001,MATCH(ROWS($U$2:U833),$U$2:$U$1001,0),1)&gt;=100000,INDEX($AB$1005:$AQ$1005,1,MATCH(COLUMNS($AB$1006:AL1006),$AB$1006:$AQ$1006,0))&gt;=100000), " ",IF(INDEX($AB$2:$AQ$1001,MATCH(ROWS($U$2:U833),$U$2:$U$1001,0),MATCH(COLUMNS($AB$1006:AL1006),$AB$1006:$AQ$1006,0)), HYPERLINK("#",""), HYPERLINK(CONCATENATE("#Metadata!", ADDRESS(INDEX($W$2:$W$1001,MATCH(ROWS($U$2:U833),$U$2:$U$1001,0),0), INDEX($AB$1004:$AQ$1004,1,MATCH(COLUMNS($AB$1006:AL1006),$AB$1006:$AQ$1006,0)))),"Fix")))</f>
        <v>0</v>
      </c>
      <c r="M833" s="5">
        <f>IF(OR(INDEX($V$2:$V$1001,MATCH(ROWS($U$2:U833),$U$2:$U$1001,0),1)&gt;=100000,INDEX($AB$1005:$AQ$1005,1,MATCH(COLUMNS($AB$1006:AM1006),$AB$1006:$AQ$1006,0))&gt;=100000), " ",IF(INDEX($AB$2:$AQ$1001,MATCH(ROWS($U$2:U833),$U$2:$U$1001,0),MATCH(COLUMNS($AB$1006:AM1006),$AB$1006:$AQ$1006,0)), HYPERLINK("#",""), HYPERLINK(CONCATENATE("#Metadata!", ADDRESS(INDEX($W$2:$W$1001,MATCH(ROWS($U$2:U833),$U$2:$U$1001,0),0), INDEX($AB$1004:$AQ$1004,1,MATCH(COLUMNS($AB$1006:AM1006),$AB$1006:$AQ$1006,0)))),"Fix")))</f>
        <v>0</v>
      </c>
      <c r="N833" s="5">
        <f>IF(OR(INDEX($V$2:$V$1001,MATCH(ROWS($U$2:U833),$U$2:$U$1001,0),1)&gt;=100000,INDEX($AB$1005:$AQ$1005,1,MATCH(COLUMNS($AB$1006:AN1006),$AB$1006:$AQ$1006,0))&gt;=100000), " ",IF(INDEX($AB$2:$AQ$1001,MATCH(ROWS($U$2:U833),$U$2:$U$1001,0),MATCH(COLUMNS($AB$1006:AN1006),$AB$1006:$AQ$1006,0)), HYPERLINK("#",""), HYPERLINK(CONCATENATE("#Metadata!", ADDRESS(INDEX($W$2:$W$1001,MATCH(ROWS($U$2:U833),$U$2:$U$1001,0),0), INDEX($AB$1004:$AQ$1004,1,MATCH(COLUMNS($AB$1006:AN1006),$AB$1006:$AQ$1006,0)))),"Fix")))</f>
        <v>0</v>
      </c>
      <c r="O833" s="5">
        <f>IF(OR(INDEX($V$2:$V$1001,MATCH(ROWS($U$2:U833),$U$2:$U$1001,0),1)&gt;=100000,INDEX($AB$1005:$AQ$1005,1,MATCH(COLUMNS($AB$1006:AO1006),$AB$1006:$AQ$1006,0))&gt;=100000), " ",IF(INDEX($AB$2:$AQ$1001,MATCH(ROWS($U$2:U833),$U$2:$U$1001,0),MATCH(COLUMNS($AB$1006:AO1006),$AB$1006:$AQ$1006,0)), HYPERLINK("#",""), HYPERLINK(CONCATENATE("#Metadata!", ADDRESS(INDEX($W$2:$W$1001,MATCH(ROWS($U$2:U833),$U$2:$U$1001,0),0), INDEX($AB$1004:$AQ$1004,1,MATCH(COLUMNS($AB$1006:AO1006),$AB$1006:$AQ$1006,0)))),"Fix")))</f>
        <v>0</v>
      </c>
      <c r="P833" s="5">
        <f>IF(OR(INDEX($V$2:$V$1001,MATCH(ROWS($U$2:U833),$U$2:$U$1001,0),1)&gt;=100000,INDEX($AB$1005:$AQ$1005,1,MATCH(COLUMNS($AB$1006:AP1006),$AB$1006:$AQ$1006,0))&gt;=100000), " ",IF(INDEX($AB$2:$AQ$1001,MATCH(ROWS($U$2:U833),$U$2:$U$1001,0),MATCH(COLUMNS($AB$1006:AP1006),$AB$1006:$AQ$1006,0)), HYPERLINK("#",""), HYPERLINK(CONCATENATE("#Metadata!", ADDRESS(INDEX($W$2:$W$1001,MATCH(ROWS($U$2:U833),$U$2:$U$1001,0),0), INDEX($AB$1004:$AQ$1004,1,MATCH(COLUMNS($AB$1006:AP1006),$AB$1006:$AQ$1006,0)))),"Fix")))</f>
        <v>0</v>
      </c>
      <c r="Q833" s="5">
        <f>IF(OR(INDEX($V$2:$V$1001,MATCH(ROWS($U$2:U833),$U$2:$U$1001,0),1)&gt;=100000,INDEX($AB$1005:$AQ$1005,1,MATCH(COLUMNS($AB$1006:AQ1006),$AB$1006:$AQ$1006,0))&gt;=100000), " ",IF(INDEX($AB$2:$AQ$1001,MATCH(ROWS($U$2:U833),$U$2:$U$1001,0),MATCH(COLUMNS($AB$1006:AQ1006),$AB$1006:$AQ$1006,0)), HYPERLINK("#",""), HYPERLINK(CONCATENATE("#Metadata!", ADDRESS(INDEX($W$2:$W$1001,MATCH(ROWS($U$2:U833),$U$2:$U$1001,0),0), INDEX($AB$1004:$AQ$1004,1,MATCH(COLUMNS($AB$1006:AQ1006),$AB$1006:$AQ$1006,0)))),"Fix")))</f>
        <v>0</v>
      </c>
      <c r="U833">
        <v>0</v>
      </c>
      <c r="V833">
        <v>0</v>
      </c>
      <c r="W833">
        <v>0</v>
      </c>
      <c r="X833">
        <f>IF(Y833,TRUE,AND(AB833:AQ833))</f>
        <v>0</v>
      </c>
      <c r="Y833">
        <f>COUNTBLANK(Metadata!B833:Q833)=COLUMNS(Metadata!B833:Q833)</f>
        <v>0</v>
      </c>
      <c r="Z833">
        <v>0</v>
      </c>
      <c r="AB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AC833">
        <f>AND(IF(Metadata!C833="",FALSE,TRUE),exact(Metadata!C833,"urban biome"))</f>
        <v>0</v>
      </c>
      <c r="AD833">
        <f>AND(IF(Metadata!D833="",FALSE,TRUE),exact(Metadata!D833,"human-associated habitat"))</f>
        <v>0</v>
      </c>
      <c r="AE833">
        <f>AND(IF(Metadata!E833="",FALSE,TRUE),OR(exact(Metadata!E833,"human-associated"),exact(Metadata!E833,"human-skin"),exact(Metadata!E833,"human-oral"),exact(Metadata!E833,"human-gut"),exact(Metadata!E833,"human-vaginal")))</f>
        <v>0</v>
      </c>
      <c r="AF833">
        <f>AND(IF(Metadata!F833="",FALSE,ISNUMBER(VALUE(Metadata!F833))),Metadata!F833&gt;0)</f>
        <v>0</v>
      </c>
      <c r="AG833">
        <f>AND(IF(Metadata!G833="",FALSE,TRUE),exact(Metadata!G833,"years"))</f>
        <v>0</v>
      </c>
      <c r="AH833">
        <f>OR(AND(IF(Metadata!H833="",FALSE,TRUE),OR(exact(Metadata!H833,"not applicable"),exact(Metadata!H833,"not collected"),exact(Metadata!H833,"not provided"),exact(Metadata!H833,"restricted access"))),AND(IF(Metadata!H833="",FALSE,ISNUMBER(VALUE(Metadata!H833))),Metadata!H833&gt;0))</f>
        <v>0</v>
      </c>
      <c r="AI833">
        <f>AND(IF(Metadata!I833="",FALSE,TRUE),exact(Metadata!I833,"human"))</f>
        <v>0</v>
      </c>
      <c r="AJ833">
        <f>AND(IF(Metadata!J833="",FALSE,ISNUMBER(VALUE(Metadata!J833))),Metadata!J833&gt;0)</f>
        <v>0</v>
      </c>
      <c r="AK833">
        <f>AND(IF(Metadata!K833="",FALSE,TRUE),exact(Metadata!K833,"cm"))</f>
        <v>0</v>
      </c>
      <c r="AL833">
        <f>AND(IF(Metadata!L833="",FALSE,TRUE),exact(Metadata!L833,"Homo sapiens"))</f>
        <v>0</v>
      </c>
      <c r="AM833">
        <f>AND(IF(Metadata!M833="",FALSE,TRUE),exact(Metadata!M833,"9606"))</f>
        <v>0</v>
      </c>
      <c r="AN833">
        <f>AND(IF(Metadata!N833="",FALSE,ISNUMBER(VALUE(Metadata!N833))),Metadata!N833&gt;0)</f>
        <v>0</v>
      </c>
      <c r="AO833">
        <f>AND(IF(Metadata!O833="",FALSE,TRUE),exact(Metadata!O833,"kg"))</f>
        <v>0</v>
      </c>
      <c r="AP833">
        <f>OR(AND(IF(Metadata!P833="",FALSE,TRUE),exact(Metadata!P833,"not provided")),IF(Metadata!P833="",FALSE,TRUE))</f>
        <v>0</v>
      </c>
      <c r="AQ833">
        <f>OR(AND(IF(Metadata!Q833="",FALSE,TRUE),exact(Metadata!Q833,"not provided")),IF(Metadata!Q833="",FALSE,TRUE))</f>
        <v>0</v>
      </c>
    </row>
    <row r="834" spans="1:43">
      <c r="A834" s="4">
        <f>IF(B834=" "," ",HYPERLINK(CONCATENATE("#metadata!",ADDRESS(INDEX($W$2:$W$1001,MATCH(ROWS($U$2:U834),$U$2:$U$1001,0),0),2)),INDEX($Z$2:$Z$1001,MATCH(ROWS($U$2:U834),$U$2:$U$1001,0),0)))</f>
        <v>0</v>
      </c>
      <c r="B834" s="5">
        <f>IF(OR(INDEX($V$2:$V$1001,MATCH(ROWS($U$2:U834),$U$2:$U$1001,0),1)&gt;=100000,INDEX($AB$1005:$AQ$1005,1,MATCH(COLUMNS($AB$1006:AB1006),$AB$1006:$AQ$1006,0))&gt;=100000), " ",IF(INDEX($AB$2:$AQ$1001,MATCH(ROWS($U$2:U834),$U$2:$U$1001,0),MATCH(COLUMNS($AB$1006:AB1006),$AB$1006:$AQ$1006,0)), HYPERLINK("#",""), HYPERLINK(CONCATENATE("#Metadata!", ADDRESS(INDEX($W$2:$W$1001,MATCH(ROWS($U$2:U834),$U$2:$U$1001,0),0), INDEX($AB$1004:$AQ$1004,1,MATCH(COLUMNS($AB$1006:AB1006),$AB$1006:$AQ$1006,0)))),"Fix")))</f>
        <v>0</v>
      </c>
      <c r="C834" s="5">
        <f>IF(OR(INDEX($V$2:$V$1001,MATCH(ROWS($U$2:U834),$U$2:$U$1001,0),1)&gt;=100000,INDEX($AB$1005:$AQ$1005,1,MATCH(COLUMNS($AB$1006:AC1006),$AB$1006:$AQ$1006,0))&gt;=100000), " ",IF(INDEX($AB$2:$AQ$1001,MATCH(ROWS($U$2:U834),$U$2:$U$1001,0),MATCH(COLUMNS($AB$1006:AC1006),$AB$1006:$AQ$1006,0)), HYPERLINK("#",""), HYPERLINK(CONCATENATE("#Metadata!", ADDRESS(INDEX($W$2:$W$1001,MATCH(ROWS($U$2:U834),$U$2:$U$1001,0),0), INDEX($AB$1004:$AQ$1004,1,MATCH(COLUMNS($AB$1006:AC1006),$AB$1006:$AQ$1006,0)))),"Fix")))</f>
        <v>0</v>
      </c>
      <c r="D834" s="5">
        <f>IF(OR(INDEX($V$2:$V$1001,MATCH(ROWS($U$2:U834),$U$2:$U$1001,0),1)&gt;=100000,INDEX($AB$1005:$AQ$1005,1,MATCH(COLUMNS($AB$1006:AD1006),$AB$1006:$AQ$1006,0))&gt;=100000), " ",IF(INDEX($AB$2:$AQ$1001,MATCH(ROWS($U$2:U834),$U$2:$U$1001,0),MATCH(COLUMNS($AB$1006:AD1006),$AB$1006:$AQ$1006,0)), HYPERLINK("#",""), HYPERLINK(CONCATENATE("#Metadata!", ADDRESS(INDEX($W$2:$W$1001,MATCH(ROWS($U$2:U834),$U$2:$U$1001,0),0), INDEX($AB$1004:$AQ$1004,1,MATCH(COLUMNS($AB$1006:AD1006),$AB$1006:$AQ$1006,0)))),"Fix")))</f>
        <v>0</v>
      </c>
      <c r="E834" s="5">
        <f>IF(OR(INDEX($V$2:$V$1001,MATCH(ROWS($U$2:U834),$U$2:$U$1001,0),1)&gt;=100000,INDEX($AB$1005:$AQ$1005,1,MATCH(COLUMNS($AB$1006:AE1006),$AB$1006:$AQ$1006,0))&gt;=100000), " ",IF(INDEX($AB$2:$AQ$1001,MATCH(ROWS($U$2:U834),$U$2:$U$1001,0),MATCH(COLUMNS($AB$1006:AE1006),$AB$1006:$AQ$1006,0)), HYPERLINK("#",""), HYPERLINK(CONCATENATE("#Metadata!", ADDRESS(INDEX($W$2:$W$1001,MATCH(ROWS($U$2:U834),$U$2:$U$1001,0),0), INDEX($AB$1004:$AQ$1004,1,MATCH(COLUMNS($AB$1006:AE1006),$AB$1006:$AQ$1006,0)))),"Fix")))</f>
        <v>0</v>
      </c>
      <c r="F834" s="5">
        <f>IF(OR(INDEX($V$2:$V$1001,MATCH(ROWS($U$2:U834),$U$2:$U$1001,0),1)&gt;=100000,INDEX($AB$1005:$AQ$1005,1,MATCH(COLUMNS($AB$1006:AF1006),$AB$1006:$AQ$1006,0))&gt;=100000), " ",IF(INDEX($AB$2:$AQ$1001,MATCH(ROWS($U$2:U834),$U$2:$U$1001,0),MATCH(COLUMNS($AB$1006:AF1006),$AB$1006:$AQ$1006,0)), HYPERLINK("#",""), HYPERLINK(CONCATENATE("#Metadata!", ADDRESS(INDEX($W$2:$W$1001,MATCH(ROWS($U$2:U834),$U$2:$U$1001,0),0), INDEX($AB$1004:$AQ$1004,1,MATCH(COLUMNS($AB$1006:AF1006),$AB$1006:$AQ$1006,0)))),"Fix")))</f>
        <v>0</v>
      </c>
      <c r="G834" s="5">
        <f>IF(OR(INDEX($V$2:$V$1001,MATCH(ROWS($U$2:U834),$U$2:$U$1001,0),1)&gt;=100000,INDEX($AB$1005:$AQ$1005,1,MATCH(COLUMNS($AB$1006:AG1006),$AB$1006:$AQ$1006,0))&gt;=100000), " ",IF(INDEX($AB$2:$AQ$1001,MATCH(ROWS($U$2:U834),$U$2:$U$1001,0),MATCH(COLUMNS($AB$1006:AG1006),$AB$1006:$AQ$1006,0)), HYPERLINK("#",""), HYPERLINK(CONCATENATE("#Metadata!", ADDRESS(INDEX($W$2:$W$1001,MATCH(ROWS($U$2:U834),$U$2:$U$1001,0),0), INDEX($AB$1004:$AQ$1004,1,MATCH(COLUMNS($AB$1006:AG1006),$AB$1006:$AQ$1006,0)))),"Fix")))</f>
        <v>0</v>
      </c>
      <c r="H834" s="5">
        <f>IF(OR(INDEX($V$2:$V$1001,MATCH(ROWS($U$2:U834),$U$2:$U$1001,0),1)&gt;=100000,INDEX($AB$1005:$AQ$1005,1,MATCH(COLUMNS($AB$1006:AH1006),$AB$1006:$AQ$1006,0))&gt;=100000), " ",IF(INDEX($AB$2:$AQ$1001,MATCH(ROWS($U$2:U834),$U$2:$U$1001,0),MATCH(COLUMNS($AB$1006:AH1006),$AB$1006:$AQ$1006,0)), HYPERLINK("#",""), HYPERLINK(CONCATENATE("#Metadata!", ADDRESS(INDEX($W$2:$W$1001,MATCH(ROWS($U$2:U834),$U$2:$U$1001,0),0), INDEX($AB$1004:$AQ$1004,1,MATCH(COLUMNS($AB$1006:AH1006),$AB$1006:$AQ$1006,0)))),"Fix")))</f>
        <v>0</v>
      </c>
      <c r="I834" s="5">
        <f>IF(OR(INDEX($V$2:$V$1001,MATCH(ROWS($U$2:U834),$U$2:$U$1001,0),1)&gt;=100000,INDEX($AB$1005:$AQ$1005,1,MATCH(COLUMNS($AB$1006:AI1006),$AB$1006:$AQ$1006,0))&gt;=100000), " ",IF(INDEX($AB$2:$AQ$1001,MATCH(ROWS($U$2:U834),$U$2:$U$1001,0),MATCH(COLUMNS($AB$1006:AI1006),$AB$1006:$AQ$1006,0)), HYPERLINK("#",""), HYPERLINK(CONCATENATE("#Metadata!", ADDRESS(INDEX($W$2:$W$1001,MATCH(ROWS($U$2:U834),$U$2:$U$1001,0),0), INDEX($AB$1004:$AQ$1004,1,MATCH(COLUMNS($AB$1006:AI1006),$AB$1006:$AQ$1006,0)))),"Fix")))</f>
        <v>0</v>
      </c>
      <c r="J834" s="5">
        <f>IF(OR(INDEX($V$2:$V$1001,MATCH(ROWS($U$2:U834),$U$2:$U$1001,0),1)&gt;=100000,INDEX($AB$1005:$AQ$1005,1,MATCH(COLUMNS($AB$1006:AJ1006),$AB$1006:$AQ$1006,0))&gt;=100000), " ",IF(INDEX($AB$2:$AQ$1001,MATCH(ROWS($U$2:U834),$U$2:$U$1001,0),MATCH(COLUMNS($AB$1006:AJ1006),$AB$1006:$AQ$1006,0)), HYPERLINK("#",""), HYPERLINK(CONCATENATE("#Metadata!", ADDRESS(INDEX($W$2:$W$1001,MATCH(ROWS($U$2:U834),$U$2:$U$1001,0),0), INDEX($AB$1004:$AQ$1004,1,MATCH(COLUMNS($AB$1006:AJ1006),$AB$1006:$AQ$1006,0)))),"Fix")))</f>
        <v>0</v>
      </c>
      <c r="K834" s="5">
        <f>IF(OR(INDEX($V$2:$V$1001,MATCH(ROWS($U$2:U834),$U$2:$U$1001,0),1)&gt;=100000,INDEX($AB$1005:$AQ$1005,1,MATCH(COLUMNS($AB$1006:AK1006),$AB$1006:$AQ$1006,0))&gt;=100000), " ",IF(INDEX($AB$2:$AQ$1001,MATCH(ROWS($U$2:U834),$U$2:$U$1001,0),MATCH(COLUMNS($AB$1006:AK1006),$AB$1006:$AQ$1006,0)), HYPERLINK("#",""), HYPERLINK(CONCATENATE("#Metadata!", ADDRESS(INDEX($W$2:$W$1001,MATCH(ROWS($U$2:U834),$U$2:$U$1001,0),0), INDEX($AB$1004:$AQ$1004,1,MATCH(COLUMNS($AB$1006:AK1006),$AB$1006:$AQ$1006,0)))),"Fix")))</f>
        <v>0</v>
      </c>
      <c r="L834" s="5">
        <f>IF(OR(INDEX($V$2:$V$1001,MATCH(ROWS($U$2:U834),$U$2:$U$1001,0),1)&gt;=100000,INDEX($AB$1005:$AQ$1005,1,MATCH(COLUMNS($AB$1006:AL1006),$AB$1006:$AQ$1006,0))&gt;=100000), " ",IF(INDEX($AB$2:$AQ$1001,MATCH(ROWS($U$2:U834),$U$2:$U$1001,0),MATCH(COLUMNS($AB$1006:AL1006),$AB$1006:$AQ$1006,0)), HYPERLINK("#",""), HYPERLINK(CONCATENATE("#Metadata!", ADDRESS(INDEX($W$2:$W$1001,MATCH(ROWS($U$2:U834),$U$2:$U$1001,0),0), INDEX($AB$1004:$AQ$1004,1,MATCH(COLUMNS($AB$1006:AL1006),$AB$1006:$AQ$1006,0)))),"Fix")))</f>
        <v>0</v>
      </c>
      <c r="M834" s="5">
        <f>IF(OR(INDEX($V$2:$V$1001,MATCH(ROWS($U$2:U834),$U$2:$U$1001,0),1)&gt;=100000,INDEX($AB$1005:$AQ$1005,1,MATCH(COLUMNS($AB$1006:AM1006),$AB$1006:$AQ$1006,0))&gt;=100000), " ",IF(INDEX($AB$2:$AQ$1001,MATCH(ROWS($U$2:U834),$U$2:$U$1001,0),MATCH(COLUMNS($AB$1006:AM1006),$AB$1006:$AQ$1006,0)), HYPERLINK("#",""), HYPERLINK(CONCATENATE("#Metadata!", ADDRESS(INDEX($W$2:$W$1001,MATCH(ROWS($U$2:U834),$U$2:$U$1001,0),0), INDEX($AB$1004:$AQ$1004,1,MATCH(COLUMNS($AB$1006:AM1006),$AB$1006:$AQ$1006,0)))),"Fix")))</f>
        <v>0</v>
      </c>
      <c r="N834" s="5">
        <f>IF(OR(INDEX($V$2:$V$1001,MATCH(ROWS($U$2:U834),$U$2:$U$1001,0),1)&gt;=100000,INDEX($AB$1005:$AQ$1005,1,MATCH(COLUMNS($AB$1006:AN1006),$AB$1006:$AQ$1006,0))&gt;=100000), " ",IF(INDEX($AB$2:$AQ$1001,MATCH(ROWS($U$2:U834),$U$2:$U$1001,0),MATCH(COLUMNS($AB$1006:AN1006),$AB$1006:$AQ$1006,0)), HYPERLINK("#",""), HYPERLINK(CONCATENATE("#Metadata!", ADDRESS(INDEX($W$2:$W$1001,MATCH(ROWS($U$2:U834),$U$2:$U$1001,0),0), INDEX($AB$1004:$AQ$1004,1,MATCH(COLUMNS($AB$1006:AN1006),$AB$1006:$AQ$1006,0)))),"Fix")))</f>
        <v>0</v>
      </c>
      <c r="O834" s="5">
        <f>IF(OR(INDEX($V$2:$V$1001,MATCH(ROWS($U$2:U834),$U$2:$U$1001,0),1)&gt;=100000,INDEX($AB$1005:$AQ$1005,1,MATCH(COLUMNS($AB$1006:AO1006),$AB$1006:$AQ$1006,0))&gt;=100000), " ",IF(INDEX($AB$2:$AQ$1001,MATCH(ROWS($U$2:U834),$U$2:$U$1001,0),MATCH(COLUMNS($AB$1006:AO1006),$AB$1006:$AQ$1006,0)), HYPERLINK("#",""), HYPERLINK(CONCATENATE("#Metadata!", ADDRESS(INDEX($W$2:$W$1001,MATCH(ROWS($U$2:U834),$U$2:$U$1001,0),0), INDEX($AB$1004:$AQ$1004,1,MATCH(COLUMNS($AB$1006:AO1006),$AB$1006:$AQ$1006,0)))),"Fix")))</f>
        <v>0</v>
      </c>
      <c r="P834" s="5">
        <f>IF(OR(INDEX($V$2:$V$1001,MATCH(ROWS($U$2:U834),$U$2:$U$1001,0),1)&gt;=100000,INDEX($AB$1005:$AQ$1005,1,MATCH(COLUMNS($AB$1006:AP1006),$AB$1006:$AQ$1006,0))&gt;=100000), " ",IF(INDEX($AB$2:$AQ$1001,MATCH(ROWS($U$2:U834),$U$2:$U$1001,0),MATCH(COLUMNS($AB$1006:AP1006),$AB$1006:$AQ$1006,0)), HYPERLINK("#",""), HYPERLINK(CONCATENATE("#Metadata!", ADDRESS(INDEX($W$2:$W$1001,MATCH(ROWS($U$2:U834),$U$2:$U$1001,0),0), INDEX($AB$1004:$AQ$1004,1,MATCH(COLUMNS($AB$1006:AP1006),$AB$1006:$AQ$1006,0)))),"Fix")))</f>
        <v>0</v>
      </c>
      <c r="Q834" s="5">
        <f>IF(OR(INDEX($V$2:$V$1001,MATCH(ROWS($U$2:U834),$U$2:$U$1001,0),1)&gt;=100000,INDEX($AB$1005:$AQ$1005,1,MATCH(COLUMNS($AB$1006:AQ1006),$AB$1006:$AQ$1006,0))&gt;=100000), " ",IF(INDEX($AB$2:$AQ$1001,MATCH(ROWS($U$2:U834),$U$2:$U$1001,0),MATCH(COLUMNS($AB$1006:AQ1006),$AB$1006:$AQ$1006,0)), HYPERLINK("#",""), HYPERLINK(CONCATENATE("#Metadata!", ADDRESS(INDEX($W$2:$W$1001,MATCH(ROWS($U$2:U834),$U$2:$U$1001,0),0), INDEX($AB$1004:$AQ$1004,1,MATCH(COLUMNS($AB$1006:AQ1006),$AB$1006:$AQ$1006,0)))),"Fix")))</f>
        <v>0</v>
      </c>
      <c r="U834">
        <v>0</v>
      </c>
      <c r="V834">
        <v>0</v>
      </c>
      <c r="W834">
        <v>0</v>
      </c>
      <c r="X834">
        <f>IF(Y834,TRUE,AND(AB834:AQ834))</f>
        <v>0</v>
      </c>
      <c r="Y834">
        <f>COUNTBLANK(Metadata!B834:Q834)=COLUMNS(Metadata!B834:Q834)</f>
        <v>0</v>
      </c>
      <c r="Z834">
        <v>0</v>
      </c>
      <c r="AB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AC834">
        <f>AND(IF(Metadata!C834="",FALSE,TRUE),exact(Metadata!C834,"urban biome"))</f>
        <v>0</v>
      </c>
      <c r="AD834">
        <f>AND(IF(Metadata!D834="",FALSE,TRUE),exact(Metadata!D834,"human-associated habitat"))</f>
        <v>0</v>
      </c>
      <c r="AE834">
        <f>AND(IF(Metadata!E834="",FALSE,TRUE),OR(exact(Metadata!E834,"human-associated"),exact(Metadata!E834,"human-skin"),exact(Metadata!E834,"human-oral"),exact(Metadata!E834,"human-gut"),exact(Metadata!E834,"human-vaginal")))</f>
        <v>0</v>
      </c>
      <c r="AF834">
        <f>AND(IF(Metadata!F834="",FALSE,ISNUMBER(VALUE(Metadata!F834))),Metadata!F834&gt;0)</f>
        <v>0</v>
      </c>
      <c r="AG834">
        <f>AND(IF(Metadata!G834="",FALSE,TRUE),exact(Metadata!G834,"years"))</f>
        <v>0</v>
      </c>
      <c r="AH834">
        <f>OR(AND(IF(Metadata!H834="",FALSE,TRUE),OR(exact(Metadata!H834,"not applicable"),exact(Metadata!H834,"not collected"),exact(Metadata!H834,"not provided"),exact(Metadata!H834,"restricted access"))),AND(IF(Metadata!H834="",FALSE,ISNUMBER(VALUE(Metadata!H834))),Metadata!H834&gt;0))</f>
        <v>0</v>
      </c>
      <c r="AI834">
        <f>AND(IF(Metadata!I834="",FALSE,TRUE),exact(Metadata!I834,"human"))</f>
        <v>0</v>
      </c>
      <c r="AJ834">
        <f>AND(IF(Metadata!J834="",FALSE,ISNUMBER(VALUE(Metadata!J834))),Metadata!J834&gt;0)</f>
        <v>0</v>
      </c>
      <c r="AK834">
        <f>AND(IF(Metadata!K834="",FALSE,TRUE),exact(Metadata!K834,"cm"))</f>
        <v>0</v>
      </c>
      <c r="AL834">
        <f>AND(IF(Metadata!L834="",FALSE,TRUE),exact(Metadata!L834,"Homo sapiens"))</f>
        <v>0</v>
      </c>
      <c r="AM834">
        <f>AND(IF(Metadata!M834="",FALSE,TRUE),exact(Metadata!M834,"9606"))</f>
        <v>0</v>
      </c>
      <c r="AN834">
        <f>AND(IF(Metadata!N834="",FALSE,ISNUMBER(VALUE(Metadata!N834))),Metadata!N834&gt;0)</f>
        <v>0</v>
      </c>
      <c r="AO834">
        <f>AND(IF(Metadata!O834="",FALSE,TRUE),exact(Metadata!O834,"kg"))</f>
        <v>0</v>
      </c>
      <c r="AP834">
        <f>OR(AND(IF(Metadata!P834="",FALSE,TRUE),exact(Metadata!P834,"not provided")),IF(Metadata!P834="",FALSE,TRUE))</f>
        <v>0</v>
      </c>
      <c r="AQ834">
        <f>OR(AND(IF(Metadata!Q834="",FALSE,TRUE),exact(Metadata!Q834,"not provided")),IF(Metadata!Q834="",FALSE,TRUE))</f>
        <v>0</v>
      </c>
    </row>
    <row r="835" spans="1:43">
      <c r="A835" s="4">
        <f>IF(B835=" "," ",HYPERLINK(CONCATENATE("#metadata!",ADDRESS(INDEX($W$2:$W$1001,MATCH(ROWS($U$2:U835),$U$2:$U$1001,0),0),2)),INDEX($Z$2:$Z$1001,MATCH(ROWS($U$2:U835),$U$2:$U$1001,0),0)))</f>
        <v>0</v>
      </c>
      <c r="B835" s="5">
        <f>IF(OR(INDEX($V$2:$V$1001,MATCH(ROWS($U$2:U835),$U$2:$U$1001,0),1)&gt;=100000,INDEX($AB$1005:$AQ$1005,1,MATCH(COLUMNS($AB$1006:AB1006),$AB$1006:$AQ$1006,0))&gt;=100000), " ",IF(INDEX($AB$2:$AQ$1001,MATCH(ROWS($U$2:U835),$U$2:$U$1001,0),MATCH(COLUMNS($AB$1006:AB1006),$AB$1006:$AQ$1006,0)), HYPERLINK("#",""), HYPERLINK(CONCATENATE("#Metadata!", ADDRESS(INDEX($W$2:$W$1001,MATCH(ROWS($U$2:U835),$U$2:$U$1001,0),0), INDEX($AB$1004:$AQ$1004,1,MATCH(COLUMNS($AB$1006:AB1006),$AB$1006:$AQ$1006,0)))),"Fix")))</f>
        <v>0</v>
      </c>
      <c r="C835" s="5">
        <f>IF(OR(INDEX($V$2:$V$1001,MATCH(ROWS($U$2:U835),$U$2:$U$1001,0),1)&gt;=100000,INDEX($AB$1005:$AQ$1005,1,MATCH(COLUMNS($AB$1006:AC1006),$AB$1006:$AQ$1006,0))&gt;=100000), " ",IF(INDEX($AB$2:$AQ$1001,MATCH(ROWS($U$2:U835),$U$2:$U$1001,0),MATCH(COLUMNS($AB$1006:AC1006),$AB$1006:$AQ$1006,0)), HYPERLINK("#",""), HYPERLINK(CONCATENATE("#Metadata!", ADDRESS(INDEX($W$2:$W$1001,MATCH(ROWS($U$2:U835),$U$2:$U$1001,0),0), INDEX($AB$1004:$AQ$1004,1,MATCH(COLUMNS($AB$1006:AC1006),$AB$1006:$AQ$1006,0)))),"Fix")))</f>
        <v>0</v>
      </c>
      <c r="D835" s="5">
        <f>IF(OR(INDEX($V$2:$V$1001,MATCH(ROWS($U$2:U835),$U$2:$U$1001,0),1)&gt;=100000,INDEX($AB$1005:$AQ$1005,1,MATCH(COLUMNS($AB$1006:AD1006),$AB$1006:$AQ$1006,0))&gt;=100000), " ",IF(INDEX($AB$2:$AQ$1001,MATCH(ROWS($U$2:U835),$U$2:$U$1001,0),MATCH(COLUMNS($AB$1006:AD1006),$AB$1006:$AQ$1006,0)), HYPERLINK("#",""), HYPERLINK(CONCATENATE("#Metadata!", ADDRESS(INDEX($W$2:$W$1001,MATCH(ROWS($U$2:U835),$U$2:$U$1001,0),0), INDEX($AB$1004:$AQ$1004,1,MATCH(COLUMNS($AB$1006:AD1006),$AB$1006:$AQ$1006,0)))),"Fix")))</f>
        <v>0</v>
      </c>
      <c r="E835" s="5">
        <f>IF(OR(INDEX($V$2:$V$1001,MATCH(ROWS($U$2:U835),$U$2:$U$1001,0),1)&gt;=100000,INDEX($AB$1005:$AQ$1005,1,MATCH(COLUMNS($AB$1006:AE1006),$AB$1006:$AQ$1006,0))&gt;=100000), " ",IF(INDEX($AB$2:$AQ$1001,MATCH(ROWS($U$2:U835),$U$2:$U$1001,0),MATCH(COLUMNS($AB$1006:AE1006),$AB$1006:$AQ$1006,0)), HYPERLINK("#",""), HYPERLINK(CONCATENATE("#Metadata!", ADDRESS(INDEX($W$2:$W$1001,MATCH(ROWS($U$2:U835),$U$2:$U$1001,0),0), INDEX($AB$1004:$AQ$1004,1,MATCH(COLUMNS($AB$1006:AE1006),$AB$1006:$AQ$1006,0)))),"Fix")))</f>
        <v>0</v>
      </c>
      <c r="F835" s="5">
        <f>IF(OR(INDEX($V$2:$V$1001,MATCH(ROWS($U$2:U835),$U$2:$U$1001,0),1)&gt;=100000,INDEX($AB$1005:$AQ$1005,1,MATCH(COLUMNS($AB$1006:AF1006),$AB$1006:$AQ$1006,0))&gt;=100000), " ",IF(INDEX($AB$2:$AQ$1001,MATCH(ROWS($U$2:U835),$U$2:$U$1001,0),MATCH(COLUMNS($AB$1006:AF1006),$AB$1006:$AQ$1006,0)), HYPERLINK("#",""), HYPERLINK(CONCATENATE("#Metadata!", ADDRESS(INDEX($W$2:$W$1001,MATCH(ROWS($U$2:U835),$U$2:$U$1001,0),0), INDEX($AB$1004:$AQ$1004,1,MATCH(COLUMNS($AB$1006:AF1006),$AB$1006:$AQ$1006,0)))),"Fix")))</f>
        <v>0</v>
      </c>
      <c r="G835" s="5">
        <f>IF(OR(INDEX($V$2:$V$1001,MATCH(ROWS($U$2:U835),$U$2:$U$1001,0),1)&gt;=100000,INDEX($AB$1005:$AQ$1005,1,MATCH(COLUMNS($AB$1006:AG1006),$AB$1006:$AQ$1006,0))&gt;=100000), " ",IF(INDEX($AB$2:$AQ$1001,MATCH(ROWS($U$2:U835),$U$2:$U$1001,0),MATCH(COLUMNS($AB$1006:AG1006),$AB$1006:$AQ$1006,0)), HYPERLINK("#",""), HYPERLINK(CONCATENATE("#Metadata!", ADDRESS(INDEX($W$2:$W$1001,MATCH(ROWS($U$2:U835),$U$2:$U$1001,0),0), INDEX($AB$1004:$AQ$1004,1,MATCH(COLUMNS($AB$1006:AG1006),$AB$1006:$AQ$1006,0)))),"Fix")))</f>
        <v>0</v>
      </c>
      <c r="H835" s="5">
        <f>IF(OR(INDEX($V$2:$V$1001,MATCH(ROWS($U$2:U835),$U$2:$U$1001,0),1)&gt;=100000,INDEX($AB$1005:$AQ$1005,1,MATCH(COLUMNS($AB$1006:AH1006),$AB$1006:$AQ$1006,0))&gt;=100000), " ",IF(INDEX($AB$2:$AQ$1001,MATCH(ROWS($U$2:U835),$U$2:$U$1001,0),MATCH(COLUMNS($AB$1006:AH1006),$AB$1006:$AQ$1006,0)), HYPERLINK("#",""), HYPERLINK(CONCATENATE("#Metadata!", ADDRESS(INDEX($W$2:$W$1001,MATCH(ROWS($U$2:U835),$U$2:$U$1001,0),0), INDEX($AB$1004:$AQ$1004,1,MATCH(COLUMNS($AB$1006:AH1006),$AB$1006:$AQ$1006,0)))),"Fix")))</f>
        <v>0</v>
      </c>
      <c r="I835" s="5">
        <f>IF(OR(INDEX($V$2:$V$1001,MATCH(ROWS($U$2:U835),$U$2:$U$1001,0),1)&gt;=100000,INDEX($AB$1005:$AQ$1005,1,MATCH(COLUMNS($AB$1006:AI1006),$AB$1006:$AQ$1006,0))&gt;=100000), " ",IF(INDEX($AB$2:$AQ$1001,MATCH(ROWS($U$2:U835),$U$2:$U$1001,0),MATCH(COLUMNS($AB$1006:AI1006),$AB$1006:$AQ$1006,0)), HYPERLINK("#",""), HYPERLINK(CONCATENATE("#Metadata!", ADDRESS(INDEX($W$2:$W$1001,MATCH(ROWS($U$2:U835),$U$2:$U$1001,0),0), INDEX($AB$1004:$AQ$1004,1,MATCH(COLUMNS($AB$1006:AI1006),$AB$1006:$AQ$1006,0)))),"Fix")))</f>
        <v>0</v>
      </c>
      <c r="J835" s="5">
        <f>IF(OR(INDEX($V$2:$V$1001,MATCH(ROWS($U$2:U835),$U$2:$U$1001,0),1)&gt;=100000,INDEX($AB$1005:$AQ$1005,1,MATCH(COLUMNS($AB$1006:AJ1006),$AB$1006:$AQ$1006,0))&gt;=100000), " ",IF(INDEX($AB$2:$AQ$1001,MATCH(ROWS($U$2:U835),$U$2:$U$1001,0),MATCH(COLUMNS($AB$1006:AJ1006),$AB$1006:$AQ$1006,0)), HYPERLINK("#",""), HYPERLINK(CONCATENATE("#Metadata!", ADDRESS(INDEX($W$2:$W$1001,MATCH(ROWS($U$2:U835),$U$2:$U$1001,0),0), INDEX($AB$1004:$AQ$1004,1,MATCH(COLUMNS($AB$1006:AJ1006),$AB$1006:$AQ$1006,0)))),"Fix")))</f>
        <v>0</v>
      </c>
      <c r="K835" s="5">
        <f>IF(OR(INDEX($V$2:$V$1001,MATCH(ROWS($U$2:U835),$U$2:$U$1001,0),1)&gt;=100000,INDEX($AB$1005:$AQ$1005,1,MATCH(COLUMNS($AB$1006:AK1006),$AB$1006:$AQ$1006,0))&gt;=100000), " ",IF(INDEX($AB$2:$AQ$1001,MATCH(ROWS($U$2:U835),$U$2:$U$1001,0),MATCH(COLUMNS($AB$1006:AK1006),$AB$1006:$AQ$1006,0)), HYPERLINK("#",""), HYPERLINK(CONCATENATE("#Metadata!", ADDRESS(INDEX($W$2:$W$1001,MATCH(ROWS($U$2:U835),$U$2:$U$1001,0),0), INDEX($AB$1004:$AQ$1004,1,MATCH(COLUMNS($AB$1006:AK1006),$AB$1006:$AQ$1006,0)))),"Fix")))</f>
        <v>0</v>
      </c>
      <c r="L835" s="5">
        <f>IF(OR(INDEX($V$2:$V$1001,MATCH(ROWS($U$2:U835),$U$2:$U$1001,0),1)&gt;=100000,INDEX($AB$1005:$AQ$1005,1,MATCH(COLUMNS($AB$1006:AL1006),$AB$1006:$AQ$1006,0))&gt;=100000), " ",IF(INDEX($AB$2:$AQ$1001,MATCH(ROWS($U$2:U835),$U$2:$U$1001,0),MATCH(COLUMNS($AB$1006:AL1006),$AB$1006:$AQ$1006,0)), HYPERLINK("#",""), HYPERLINK(CONCATENATE("#Metadata!", ADDRESS(INDEX($W$2:$W$1001,MATCH(ROWS($U$2:U835),$U$2:$U$1001,0),0), INDEX($AB$1004:$AQ$1004,1,MATCH(COLUMNS($AB$1006:AL1006),$AB$1006:$AQ$1006,0)))),"Fix")))</f>
        <v>0</v>
      </c>
      <c r="M835" s="5">
        <f>IF(OR(INDEX($V$2:$V$1001,MATCH(ROWS($U$2:U835),$U$2:$U$1001,0),1)&gt;=100000,INDEX($AB$1005:$AQ$1005,1,MATCH(COLUMNS($AB$1006:AM1006),$AB$1006:$AQ$1006,0))&gt;=100000), " ",IF(INDEX($AB$2:$AQ$1001,MATCH(ROWS($U$2:U835),$U$2:$U$1001,0),MATCH(COLUMNS($AB$1006:AM1006),$AB$1006:$AQ$1006,0)), HYPERLINK("#",""), HYPERLINK(CONCATENATE("#Metadata!", ADDRESS(INDEX($W$2:$W$1001,MATCH(ROWS($U$2:U835),$U$2:$U$1001,0),0), INDEX($AB$1004:$AQ$1004,1,MATCH(COLUMNS($AB$1006:AM1006),$AB$1006:$AQ$1006,0)))),"Fix")))</f>
        <v>0</v>
      </c>
      <c r="N835" s="5">
        <f>IF(OR(INDEX($V$2:$V$1001,MATCH(ROWS($U$2:U835),$U$2:$U$1001,0),1)&gt;=100000,INDEX($AB$1005:$AQ$1005,1,MATCH(COLUMNS($AB$1006:AN1006),$AB$1006:$AQ$1006,0))&gt;=100000), " ",IF(INDEX($AB$2:$AQ$1001,MATCH(ROWS($U$2:U835),$U$2:$U$1001,0),MATCH(COLUMNS($AB$1006:AN1006),$AB$1006:$AQ$1006,0)), HYPERLINK("#",""), HYPERLINK(CONCATENATE("#Metadata!", ADDRESS(INDEX($W$2:$W$1001,MATCH(ROWS($U$2:U835),$U$2:$U$1001,0),0), INDEX($AB$1004:$AQ$1004,1,MATCH(COLUMNS($AB$1006:AN1006),$AB$1006:$AQ$1006,0)))),"Fix")))</f>
        <v>0</v>
      </c>
      <c r="O835" s="5">
        <f>IF(OR(INDEX($V$2:$V$1001,MATCH(ROWS($U$2:U835),$U$2:$U$1001,0),1)&gt;=100000,INDEX($AB$1005:$AQ$1005,1,MATCH(COLUMNS($AB$1006:AO1006),$AB$1006:$AQ$1006,0))&gt;=100000), " ",IF(INDEX($AB$2:$AQ$1001,MATCH(ROWS($U$2:U835),$U$2:$U$1001,0),MATCH(COLUMNS($AB$1006:AO1006),$AB$1006:$AQ$1006,0)), HYPERLINK("#",""), HYPERLINK(CONCATENATE("#Metadata!", ADDRESS(INDEX($W$2:$W$1001,MATCH(ROWS($U$2:U835),$U$2:$U$1001,0),0), INDEX($AB$1004:$AQ$1004,1,MATCH(COLUMNS($AB$1006:AO1006),$AB$1006:$AQ$1006,0)))),"Fix")))</f>
        <v>0</v>
      </c>
      <c r="P835" s="5">
        <f>IF(OR(INDEX($V$2:$V$1001,MATCH(ROWS($U$2:U835),$U$2:$U$1001,0),1)&gt;=100000,INDEX($AB$1005:$AQ$1005,1,MATCH(COLUMNS($AB$1006:AP1006),$AB$1006:$AQ$1006,0))&gt;=100000), " ",IF(INDEX($AB$2:$AQ$1001,MATCH(ROWS($U$2:U835),$U$2:$U$1001,0),MATCH(COLUMNS($AB$1006:AP1006),$AB$1006:$AQ$1006,0)), HYPERLINK("#",""), HYPERLINK(CONCATENATE("#Metadata!", ADDRESS(INDEX($W$2:$W$1001,MATCH(ROWS($U$2:U835),$U$2:$U$1001,0),0), INDEX($AB$1004:$AQ$1004,1,MATCH(COLUMNS($AB$1006:AP1006),$AB$1006:$AQ$1006,0)))),"Fix")))</f>
        <v>0</v>
      </c>
      <c r="Q835" s="5">
        <f>IF(OR(INDEX($V$2:$V$1001,MATCH(ROWS($U$2:U835),$U$2:$U$1001,0),1)&gt;=100000,INDEX($AB$1005:$AQ$1005,1,MATCH(COLUMNS($AB$1006:AQ1006),$AB$1006:$AQ$1006,0))&gt;=100000), " ",IF(INDEX($AB$2:$AQ$1001,MATCH(ROWS($U$2:U835),$U$2:$U$1001,0),MATCH(COLUMNS($AB$1006:AQ1006),$AB$1006:$AQ$1006,0)), HYPERLINK("#",""), HYPERLINK(CONCATENATE("#Metadata!", ADDRESS(INDEX($W$2:$W$1001,MATCH(ROWS($U$2:U835),$U$2:$U$1001,0),0), INDEX($AB$1004:$AQ$1004,1,MATCH(COLUMNS($AB$1006:AQ1006),$AB$1006:$AQ$1006,0)))),"Fix")))</f>
        <v>0</v>
      </c>
      <c r="U835">
        <v>0</v>
      </c>
      <c r="V835">
        <v>0</v>
      </c>
      <c r="W835">
        <v>0</v>
      </c>
      <c r="X835">
        <f>IF(Y835,TRUE,AND(AB835:AQ835))</f>
        <v>0</v>
      </c>
      <c r="Y835">
        <f>COUNTBLANK(Metadata!B835:Q835)=COLUMNS(Metadata!B835:Q835)</f>
        <v>0</v>
      </c>
      <c r="Z835">
        <v>0</v>
      </c>
      <c r="AB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AC835">
        <f>AND(IF(Metadata!C835="",FALSE,TRUE),exact(Metadata!C835,"urban biome"))</f>
        <v>0</v>
      </c>
      <c r="AD835">
        <f>AND(IF(Metadata!D835="",FALSE,TRUE),exact(Metadata!D835,"human-associated habitat"))</f>
        <v>0</v>
      </c>
      <c r="AE835">
        <f>AND(IF(Metadata!E835="",FALSE,TRUE),OR(exact(Metadata!E835,"human-associated"),exact(Metadata!E835,"human-skin"),exact(Metadata!E835,"human-oral"),exact(Metadata!E835,"human-gut"),exact(Metadata!E835,"human-vaginal")))</f>
        <v>0</v>
      </c>
      <c r="AF835">
        <f>AND(IF(Metadata!F835="",FALSE,ISNUMBER(VALUE(Metadata!F835))),Metadata!F835&gt;0)</f>
        <v>0</v>
      </c>
      <c r="AG835">
        <f>AND(IF(Metadata!G835="",FALSE,TRUE),exact(Metadata!G835,"years"))</f>
        <v>0</v>
      </c>
      <c r="AH835">
        <f>OR(AND(IF(Metadata!H835="",FALSE,TRUE),OR(exact(Metadata!H835,"not applicable"),exact(Metadata!H835,"not collected"),exact(Metadata!H835,"not provided"),exact(Metadata!H835,"restricted access"))),AND(IF(Metadata!H835="",FALSE,ISNUMBER(VALUE(Metadata!H835))),Metadata!H835&gt;0))</f>
        <v>0</v>
      </c>
      <c r="AI835">
        <f>AND(IF(Metadata!I835="",FALSE,TRUE),exact(Metadata!I835,"human"))</f>
        <v>0</v>
      </c>
      <c r="AJ835">
        <f>AND(IF(Metadata!J835="",FALSE,ISNUMBER(VALUE(Metadata!J835))),Metadata!J835&gt;0)</f>
        <v>0</v>
      </c>
      <c r="AK835">
        <f>AND(IF(Metadata!K835="",FALSE,TRUE),exact(Metadata!K835,"cm"))</f>
        <v>0</v>
      </c>
      <c r="AL835">
        <f>AND(IF(Metadata!L835="",FALSE,TRUE),exact(Metadata!L835,"Homo sapiens"))</f>
        <v>0</v>
      </c>
      <c r="AM835">
        <f>AND(IF(Metadata!M835="",FALSE,TRUE),exact(Metadata!M835,"9606"))</f>
        <v>0</v>
      </c>
      <c r="AN835">
        <f>AND(IF(Metadata!N835="",FALSE,ISNUMBER(VALUE(Metadata!N835))),Metadata!N835&gt;0)</f>
        <v>0</v>
      </c>
      <c r="AO835">
        <f>AND(IF(Metadata!O835="",FALSE,TRUE),exact(Metadata!O835,"kg"))</f>
        <v>0</v>
      </c>
      <c r="AP835">
        <f>OR(AND(IF(Metadata!P835="",FALSE,TRUE),exact(Metadata!P835,"not provided")),IF(Metadata!P835="",FALSE,TRUE))</f>
        <v>0</v>
      </c>
      <c r="AQ835">
        <f>OR(AND(IF(Metadata!Q835="",FALSE,TRUE),exact(Metadata!Q835,"not provided")),IF(Metadata!Q835="",FALSE,TRUE))</f>
        <v>0</v>
      </c>
    </row>
    <row r="836" spans="1:43">
      <c r="A836" s="4">
        <f>IF(B836=" "," ",HYPERLINK(CONCATENATE("#metadata!",ADDRESS(INDEX($W$2:$W$1001,MATCH(ROWS($U$2:U836),$U$2:$U$1001,0),0),2)),INDEX($Z$2:$Z$1001,MATCH(ROWS($U$2:U836),$U$2:$U$1001,0),0)))</f>
        <v>0</v>
      </c>
      <c r="B836" s="5">
        <f>IF(OR(INDEX($V$2:$V$1001,MATCH(ROWS($U$2:U836),$U$2:$U$1001,0),1)&gt;=100000,INDEX($AB$1005:$AQ$1005,1,MATCH(COLUMNS($AB$1006:AB1006),$AB$1006:$AQ$1006,0))&gt;=100000), " ",IF(INDEX($AB$2:$AQ$1001,MATCH(ROWS($U$2:U836),$U$2:$U$1001,0),MATCH(COLUMNS($AB$1006:AB1006),$AB$1006:$AQ$1006,0)), HYPERLINK("#",""), HYPERLINK(CONCATENATE("#Metadata!", ADDRESS(INDEX($W$2:$W$1001,MATCH(ROWS($U$2:U836),$U$2:$U$1001,0),0), INDEX($AB$1004:$AQ$1004,1,MATCH(COLUMNS($AB$1006:AB1006),$AB$1006:$AQ$1006,0)))),"Fix")))</f>
        <v>0</v>
      </c>
      <c r="C836" s="5">
        <f>IF(OR(INDEX($V$2:$V$1001,MATCH(ROWS($U$2:U836),$U$2:$U$1001,0),1)&gt;=100000,INDEX($AB$1005:$AQ$1005,1,MATCH(COLUMNS($AB$1006:AC1006),$AB$1006:$AQ$1006,0))&gt;=100000), " ",IF(INDEX($AB$2:$AQ$1001,MATCH(ROWS($U$2:U836),$U$2:$U$1001,0),MATCH(COLUMNS($AB$1006:AC1006),$AB$1006:$AQ$1006,0)), HYPERLINK("#",""), HYPERLINK(CONCATENATE("#Metadata!", ADDRESS(INDEX($W$2:$W$1001,MATCH(ROWS($U$2:U836),$U$2:$U$1001,0),0), INDEX($AB$1004:$AQ$1004,1,MATCH(COLUMNS($AB$1006:AC1006),$AB$1006:$AQ$1006,0)))),"Fix")))</f>
        <v>0</v>
      </c>
      <c r="D836" s="5">
        <f>IF(OR(INDEX($V$2:$V$1001,MATCH(ROWS($U$2:U836),$U$2:$U$1001,0),1)&gt;=100000,INDEX($AB$1005:$AQ$1005,1,MATCH(COLUMNS($AB$1006:AD1006),$AB$1006:$AQ$1006,0))&gt;=100000), " ",IF(INDEX($AB$2:$AQ$1001,MATCH(ROWS($U$2:U836),$U$2:$U$1001,0),MATCH(COLUMNS($AB$1006:AD1006),$AB$1006:$AQ$1006,0)), HYPERLINK("#",""), HYPERLINK(CONCATENATE("#Metadata!", ADDRESS(INDEX($W$2:$W$1001,MATCH(ROWS($U$2:U836),$U$2:$U$1001,0),0), INDEX($AB$1004:$AQ$1004,1,MATCH(COLUMNS($AB$1006:AD1006),$AB$1006:$AQ$1006,0)))),"Fix")))</f>
        <v>0</v>
      </c>
      <c r="E836" s="5">
        <f>IF(OR(INDEX($V$2:$V$1001,MATCH(ROWS($U$2:U836),$U$2:$U$1001,0),1)&gt;=100000,INDEX($AB$1005:$AQ$1005,1,MATCH(COLUMNS($AB$1006:AE1006),$AB$1006:$AQ$1006,0))&gt;=100000), " ",IF(INDEX($AB$2:$AQ$1001,MATCH(ROWS($U$2:U836),$U$2:$U$1001,0),MATCH(COLUMNS($AB$1006:AE1006),$AB$1006:$AQ$1006,0)), HYPERLINK("#",""), HYPERLINK(CONCATENATE("#Metadata!", ADDRESS(INDEX($W$2:$W$1001,MATCH(ROWS($U$2:U836),$U$2:$U$1001,0),0), INDEX($AB$1004:$AQ$1004,1,MATCH(COLUMNS($AB$1006:AE1006),$AB$1006:$AQ$1006,0)))),"Fix")))</f>
        <v>0</v>
      </c>
      <c r="F836" s="5">
        <f>IF(OR(INDEX($V$2:$V$1001,MATCH(ROWS($U$2:U836),$U$2:$U$1001,0),1)&gt;=100000,INDEX($AB$1005:$AQ$1005,1,MATCH(COLUMNS($AB$1006:AF1006),$AB$1006:$AQ$1006,0))&gt;=100000), " ",IF(INDEX($AB$2:$AQ$1001,MATCH(ROWS($U$2:U836),$U$2:$U$1001,0),MATCH(COLUMNS($AB$1006:AF1006),$AB$1006:$AQ$1006,0)), HYPERLINK("#",""), HYPERLINK(CONCATENATE("#Metadata!", ADDRESS(INDEX($W$2:$W$1001,MATCH(ROWS($U$2:U836),$U$2:$U$1001,0),0), INDEX($AB$1004:$AQ$1004,1,MATCH(COLUMNS($AB$1006:AF1006),$AB$1006:$AQ$1006,0)))),"Fix")))</f>
        <v>0</v>
      </c>
      <c r="G836" s="5">
        <f>IF(OR(INDEX($V$2:$V$1001,MATCH(ROWS($U$2:U836),$U$2:$U$1001,0),1)&gt;=100000,INDEX($AB$1005:$AQ$1005,1,MATCH(COLUMNS($AB$1006:AG1006),$AB$1006:$AQ$1006,0))&gt;=100000), " ",IF(INDEX($AB$2:$AQ$1001,MATCH(ROWS($U$2:U836),$U$2:$U$1001,0),MATCH(COLUMNS($AB$1006:AG1006),$AB$1006:$AQ$1006,0)), HYPERLINK("#",""), HYPERLINK(CONCATENATE("#Metadata!", ADDRESS(INDEX($W$2:$W$1001,MATCH(ROWS($U$2:U836),$U$2:$U$1001,0),0), INDEX($AB$1004:$AQ$1004,1,MATCH(COLUMNS($AB$1006:AG1006),$AB$1006:$AQ$1006,0)))),"Fix")))</f>
        <v>0</v>
      </c>
      <c r="H836" s="5">
        <f>IF(OR(INDEX($V$2:$V$1001,MATCH(ROWS($U$2:U836),$U$2:$U$1001,0),1)&gt;=100000,INDEX($AB$1005:$AQ$1005,1,MATCH(COLUMNS($AB$1006:AH1006),$AB$1006:$AQ$1006,0))&gt;=100000), " ",IF(INDEX($AB$2:$AQ$1001,MATCH(ROWS($U$2:U836),$U$2:$U$1001,0),MATCH(COLUMNS($AB$1006:AH1006),$AB$1006:$AQ$1006,0)), HYPERLINK("#",""), HYPERLINK(CONCATENATE("#Metadata!", ADDRESS(INDEX($W$2:$W$1001,MATCH(ROWS($U$2:U836),$U$2:$U$1001,0),0), INDEX($AB$1004:$AQ$1004,1,MATCH(COLUMNS($AB$1006:AH1006),$AB$1006:$AQ$1006,0)))),"Fix")))</f>
        <v>0</v>
      </c>
      <c r="I836" s="5">
        <f>IF(OR(INDEX($V$2:$V$1001,MATCH(ROWS($U$2:U836),$U$2:$U$1001,0),1)&gt;=100000,INDEX($AB$1005:$AQ$1005,1,MATCH(COLUMNS($AB$1006:AI1006),$AB$1006:$AQ$1006,0))&gt;=100000), " ",IF(INDEX($AB$2:$AQ$1001,MATCH(ROWS($U$2:U836),$U$2:$U$1001,0),MATCH(COLUMNS($AB$1006:AI1006),$AB$1006:$AQ$1006,0)), HYPERLINK("#",""), HYPERLINK(CONCATENATE("#Metadata!", ADDRESS(INDEX($W$2:$W$1001,MATCH(ROWS($U$2:U836),$U$2:$U$1001,0),0), INDEX($AB$1004:$AQ$1004,1,MATCH(COLUMNS($AB$1006:AI1006),$AB$1006:$AQ$1006,0)))),"Fix")))</f>
        <v>0</v>
      </c>
      <c r="J836" s="5">
        <f>IF(OR(INDEX($V$2:$V$1001,MATCH(ROWS($U$2:U836),$U$2:$U$1001,0),1)&gt;=100000,INDEX($AB$1005:$AQ$1005,1,MATCH(COLUMNS($AB$1006:AJ1006),$AB$1006:$AQ$1006,0))&gt;=100000), " ",IF(INDEX($AB$2:$AQ$1001,MATCH(ROWS($U$2:U836),$U$2:$U$1001,0),MATCH(COLUMNS($AB$1006:AJ1006),$AB$1006:$AQ$1006,0)), HYPERLINK("#",""), HYPERLINK(CONCATENATE("#Metadata!", ADDRESS(INDEX($W$2:$W$1001,MATCH(ROWS($U$2:U836),$U$2:$U$1001,0),0), INDEX($AB$1004:$AQ$1004,1,MATCH(COLUMNS($AB$1006:AJ1006),$AB$1006:$AQ$1006,0)))),"Fix")))</f>
        <v>0</v>
      </c>
      <c r="K836" s="5">
        <f>IF(OR(INDEX($V$2:$V$1001,MATCH(ROWS($U$2:U836),$U$2:$U$1001,0),1)&gt;=100000,INDEX($AB$1005:$AQ$1005,1,MATCH(COLUMNS($AB$1006:AK1006),$AB$1006:$AQ$1006,0))&gt;=100000), " ",IF(INDEX($AB$2:$AQ$1001,MATCH(ROWS($U$2:U836),$U$2:$U$1001,0),MATCH(COLUMNS($AB$1006:AK1006),$AB$1006:$AQ$1006,0)), HYPERLINK("#",""), HYPERLINK(CONCATENATE("#Metadata!", ADDRESS(INDEX($W$2:$W$1001,MATCH(ROWS($U$2:U836),$U$2:$U$1001,0),0), INDEX($AB$1004:$AQ$1004,1,MATCH(COLUMNS($AB$1006:AK1006),$AB$1006:$AQ$1006,0)))),"Fix")))</f>
        <v>0</v>
      </c>
      <c r="L836" s="5">
        <f>IF(OR(INDEX($V$2:$V$1001,MATCH(ROWS($U$2:U836),$U$2:$U$1001,0),1)&gt;=100000,INDEX($AB$1005:$AQ$1005,1,MATCH(COLUMNS($AB$1006:AL1006),$AB$1006:$AQ$1006,0))&gt;=100000), " ",IF(INDEX($AB$2:$AQ$1001,MATCH(ROWS($U$2:U836),$U$2:$U$1001,0),MATCH(COLUMNS($AB$1006:AL1006),$AB$1006:$AQ$1006,0)), HYPERLINK("#",""), HYPERLINK(CONCATENATE("#Metadata!", ADDRESS(INDEX($W$2:$W$1001,MATCH(ROWS($U$2:U836),$U$2:$U$1001,0),0), INDEX($AB$1004:$AQ$1004,1,MATCH(COLUMNS($AB$1006:AL1006),$AB$1006:$AQ$1006,0)))),"Fix")))</f>
        <v>0</v>
      </c>
      <c r="M836" s="5">
        <f>IF(OR(INDEX($V$2:$V$1001,MATCH(ROWS($U$2:U836),$U$2:$U$1001,0),1)&gt;=100000,INDEX($AB$1005:$AQ$1005,1,MATCH(COLUMNS($AB$1006:AM1006),$AB$1006:$AQ$1006,0))&gt;=100000), " ",IF(INDEX($AB$2:$AQ$1001,MATCH(ROWS($U$2:U836),$U$2:$U$1001,0),MATCH(COLUMNS($AB$1006:AM1006),$AB$1006:$AQ$1006,0)), HYPERLINK("#",""), HYPERLINK(CONCATENATE("#Metadata!", ADDRESS(INDEX($W$2:$W$1001,MATCH(ROWS($U$2:U836),$U$2:$U$1001,0),0), INDEX($AB$1004:$AQ$1004,1,MATCH(COLUMNS($AB$1006:AM1006),$AB$1006:$AQ$1006,0)))),"Fix")))</f>
        <v>0</v>
      </c>
      <c r="N836" s="5">
        <f>IF(OR(INDEX($V$2:$V$1001,MATCH(ROWS($U$2:U836),$U$2:$U$1001,0),1)&gt;=100000,INDEX($AB$1005:$AQ$1005,1,MATCH(COLUMNS($AB$1006:AN1006),$AB$1006:$AQ$1006,0))&gt;=100000), " ",IF(INDEX($AB$2:$AQ$1001,MATCH(ROWS($U$2:U836),$U$2:$U$1001,0),MATCH(COLUMNS($AB$1006:AN1006),$AB$1006:$AQ$1006,0)), HYPERLINK("#",""), HYPERLINK(CONCATENATE("#Metadata!", ADDRESS(INDEX($W$2:$W$1001,MATCH(ROWS($U$2:U836),$U$2:$U$1001,0),0), INDEX($AB$1004:$AQ$1004,1,MATCH(COLUMNS($AB$1006:AN1006),$AB$1006:$AQ$1006,0)))),"Fix")))</f>
        <v>0</v>
      </c>
      <c r="O836" s="5">
        <f>IF(OR(INDEX($V$2:$V$1001,MATCH(ROWS($U$2:U836),$U$2:$U$1001,0),1)&gt;=100000,INDEX($AB$1005:$AQ$1005,1,MATCH(COLUMNS($AB$1006:AO1006),$AB$1006:$AQ$1006,0))&gt;=100000), " ",IF(INDEX($AB$2:$AQ$1001,MATCH(ROWS($U$2:U836),$U$2:$U$1001,0),MATCH(COLUMNS($AB$1006:AO1006),$AB$1006:$AQ$1006,0)), HYPERLINK("#",""), HYPERLINK(CONCATENATE("#Metadata!", ADDRESS(INDEX($W$2:$W$1001,MATCH(ROWS($U$2:U836),$U$2:$U$1001,0),0), INDEX($AB$1004:$AQ$1004,1,MATCH(COLUMNS($AB$1006:AO1006),$AB$1006:$AQ$1006,0)))),"Fix")))</f>
        <v>0</v>
      </c>
      <c r="P836" s="5">
        <f>IF(OR(INDEX($V$2:$V$1001,MATCH(ROWS($U$2:U836),$U$2:$U$1001,0),1)&gt;=100000,INDEX($AB$1005:$AQ$1005,1,MATCH(COLUMNS($AB$1006:AP1006),$AB$1006:$AQ$1006,0))&gt;=100000), " ",IF(INDEX($AB$2:$AQ$1001,MATCH(ROWS($U$2:U836),$U$2:$U$1001,0),MATCH(COLUMNS($AB$1006:AP1006),$AB$1006:$AQ$1006,0)), HYPERLINK("#",""), HYPERLINK(CONCATENATE("#Metadata!", ADDRESS(INDEX($W$2:$W$1001,MATCH(ROWS($U$2:U836),$U$2:$U$1001,0),0), INDEX($AB$1004:$AQ$1004,1,MATCH(COLUMNS($AB$1006:AP1006),$AB$1006:$AQ$1006,0)))),"Fix")))</f>
        <v>0</v>
      </c>
      <c r="Q836" s="5">
        <f>IF(OR(INDEX($V$2:$V$1001,MATCH(ROWS($U$2:U836),$U$2:$U$1001,0),1)&gt;=100000,INDEX($AB$1005:$AQ$1005,1,MATCH(COLUMNS($AB$1006:AQ1006),$AB$1006:$AQ$1006,0))&gt;=100000), " ",IF(INDEX($AB$2:$AQ$1001,MATCH(ROWS($U$2:U836),$U$2:$U$1001,0),MATCH(COLUMNS($AB$1006:AQ1006),$AB$1006:$AQ$1006,0)), HYPERLINK("#",""), HYPERLINK(CONCATENATE("#Metadata!", ADDRESS(INDEX($W$2:$W$1001,MATCH(ROWS($U$2:U836),$U$2:$U$1001,0),0), INDEX($AB$1004:$AQ$1004,1,MATCH(COLUMNS($AB$1006:AQ1006),$AB$1006:$AQ$1006,0)))),"Fix")))</f>
        <v>0</v>
      </c>
      <c r="U836">
        <v>0</v>
      </c>
      <c r="V836">
        <v>0</v>
      </c>
      <c r="W836">
        <v>0</v>
      </c>
      <c r="X836">
        <f>IF(Y836,TRUE,AND(AB836:AQ836))</f>
        <v>0</v>
      </c>
      <c r="Y836">
        <f>COUNTBLANK(Metadata!B836:Q836)=COLUMNS(Metadata!B836:Q836)</f>
        <v>0</v>
      </c>
      <c r="Z836">
        <v>0</v>
      </c>
      <c r="AB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AC836">
        <f>AND(IF(Metadata!C836="",FALSE,TRUE),exact(Metadata!C836,"urban biome"))</f>
        <v>0</v>
      </c>
      <c r="AD836">
        <f>AND(IF(Metadata!D836="",FALSE,TRUE),exact(Metadata!D836,"human-associated habitat"))</f>
        <v>0</v>
      </c>
      <c r="AE836">
        <f>AND(IF(Metadata!E836="",FALSE,TRUE),OR(exact(Metadata!E836,"human-associated"),exact(Metadata!E836,"human-skin"),exact(Metadata!E836,"human-oral"),exact(Metadata!E836,"human-gut"),exact(Metadata!E836,"human-vaginal")))</f>
        <v>0</v>
      </c>
      <c r="AF836">
        <f>AND(IF(Metadata!F836="",FALSE,ISNUMBER(VALUE(Metadata!F836))),Metadata!F836&gt;0)</f>
        <v>0</v>
      </c>
      <c r="AG836">
        <f>AND(IF(Metadata!G836="",FALSE,TRUE),exact(Metadata!G836,"years"))</f>
        <v>0</v>
      </c>
      <c r="AH836">
        <f>OR(AND(IF(Metadata!H836="",FALSE,TRUE),OR(exact(Metadata!H836,"not applicable"),exact(Metadata!H836,"not collected"),exact(Metadata!H836,"not provided"),exact(Metadata!H836,"restricted access"))),AND(IF(Metadata!H836="",FALSE,ISNUMBER(VALUE(Metadata!H836))),Metadata!H836&gt;0))</f>
        <v>0</v>
      </c>
      <c r="AI836">
        <f>AND(IF(Metadata!I836="",FALSE,TRUE),exact(Metadata!I836,"human"))</f>
        <v>0</v>
      </c>
      <c r="AJ836">
        <f>AND(IF(Metadata!J836="",FALSE,ISNUMBER(VALUE(Metadata!J836))),Metadata!J836&gt;0)</f>
        <v>0</v>
      </c>
      <c r="AK836">
        <f>AND(IF(Metadata!K836="",FALSE,TRUE),exact(Metadata!K836,"cm"))</f>
        <v>0</v>
      </c>
      <c r="AL836">
        <f>AND(IF(Metadata!L836="",FALSE,TRUE),exact(Metadata!L836,"Homo sapiens"))</f>
        <v>0</v>
      </c>
      <c r="AM836">
        <f>AND(IF(Metadata!M836="",FALSE,TRUE),exact(Metadata!M836,"9606"))</f>
        <v>0</v>
      </c>
      <c r="AN836">
        <f>AND(IF(Metadata!N836="",FALSE,ISNUMBER(VALUE(Metadata!N836))),Metadata!N836&gt;0)</f>
        <v>0</v>
      </c>
      <c r="AO836">
        <f>AND(IF(Metadata!O836="",FALSE,TRUE),exact(Metadata!O836,"kg"))</f>
        <v>0</v>
      </c>
      <c r="AP836">
        <f>OR(AND(IF(Metadata!P836="",FALSE,TRUE),exact(Metadata!P836,"not provided")),IF(Metadata!P836="",FALSE,TRUE))</f>
        <v>0</v>
      </c>
      <c r="AQ836">
        <f>OR(AND(IF(Metadata!Q836="",FALSE,TRUE),exact(Metadata!Q836,"not provided")),IF(Metadata!Q836="",FALSE,TRUE))</f>
        <v>0</v>
      </c>
    </row>
    <row r="837" spans="1:43">
      <c r="A837" s="4">
        <f>IF(B837=" "," ",HYPERLINK(CONCATENATE("#metadata!",ADDRESS(INDEX($W$2:$W$1001,MATCH(ROWS($U$2:U837),$U$2:$U$1001,0),0),2)),INDEX($Z$2:$Z$1001,MATCH(ROWS($U$2:U837),$U$2:$U$1001,0),0)))</f>
        <v>0</v>
      </c>
      <c r="B837" s="5">
        <f>IF(OR(INDEX($V$2:$V$1001,MATCH(ROWS($U$2:U837),$U$2:$U$1001,0),1)&gt;=100000,INDEX($AB$1005:$AQ$1005,1,MATCH(COLUMNS($AB$1006:AB1006),$AB$1006:$AQ$1006,0))&gt;=100000), " ",IF(INDEX($AB$2:$AQ$1001,MATCH(ROWS($U$2:U837),$U$2:$U$1001,0),MATCH(COLUMNS($AB$1006:AB1006),$AB$1006:$AQ$1006,0)), HYPERLINK("#",""), HYPERLINK(CONCATENATE("#Metadata!", ADDRESS(INDEX($W$2:$W$1001,MATCH(ROWS($U$2:U837),$U$2:$U$1001,0),0), INDEX($AB$1004:$AQ$1004,1,MATCH(COLUMNS($AB$1006:AB1006),$AB$1006:$AQ$1006,0)))),"Fix")))</f>
        <v>0</v>
      </c>
      <c r="C837" s="5">
        <f>IF(OR(INDEX($V$2:$V$1001,MATCH(ROWS($U$2:U837),$U$2:$U$1001,0),1)&gt;=100000,INDEX($AB$1005:$AQ$1005,1,MATCH(COLUMNS($AB$1006:AC1006),$AB$1006:$AQ$1006,0))&gt;=100000), " ",IF(INDEX($AB$2:$AQ$1001,MATCH(ROWS($U$2:U837),$U$2:$U$1001,0),MATCH(COLUMNS($AB$1006:AC1006),$AB$1006:$AQ$1006,0)), HYPERLINK("#",""), HYPERLINK(CONCATENATE("#Metadata!", ADDRESS(INDEX($W$2:$W$1001,MATCH(ROWS($U$2:U837),$U$2:$U$1001,0),0), INDEX($AB$1004:$AQ$1004,1,MATCH(COLUMNS($AB$1006:AC1006),$AB$1006:$AQ$1006,0)))),"Fix")))</f>
        <v>0</v>
      </c>
      <c r="D837" s="5">
        <f>IF(OR(INDEX($V$2:$V$1001,MATCH(ROWS($U$2:U837),$U$2:$U$1001,0),1)&gt;=100000,INDEX($AB$1005:$AQ$1005,1,MATCH(COLUMNS($AB$1006:AD1006),$AB$1006:$AQ$1006,0))&gt;=100000), " ",IF(INDEX($AB$2:$AQ$1001,MATCH(ROWS($U$2:U837),$U$2:$U$1001,0),MATCH(COLUMNS($AB$1006:AD1006),$AB$1006:$AQ$1006,0)), HYPERLINK("#",""), HYPERLINK(CONCATENATE("#Metadata!", ADDRESS(INDEX($W$2:$W$1001,MATCH(ROWS($U$2:U837),$U$2:$U$1001,0),0), INDEX($AB$1004:$AQ$1004,1,MATCH(COLUMNS($AB$1006:AD1006),$AB$1006:$AQ$1006,0)))),"Fix")))</f>
        <v>0</v>
      </c>
      <c r="E837" s="5">
        <f>IF(OR(INDEX($V$2:$V$1001,MATCH(ROWS($U$2:U837),$U$2:$U$1001,0),1)&gt;=100000,INDEX($AB$1005:$AQ$1005,1,MATCH(COLUMNS($AB$1006:AE1006),$AB$1006:$AQ$1006,0))&gt;=100000), " ",IF(INDEX($AB$2:$AQ$1001,MATCH(ROWS($U$2:U837),$U$2:$U$1001,0),MATCH(COLUMNS($AB$1006:AE1006),$AB$1006:$AQ$1006,0)), HYPERLINK("#",""), HYPERLINK(CONCATENATE("#Metadata!", ADDRESS(INDEX($W$2:$W$1001,MATCH(ROWS($U$2:U837),$U$2:$U$1001,0),0), INDEX($AB$1004:$AQ$1004,1,MATCH(COLUMNS($AB$1006:AE1006),$AB$1006:$AQ$1006,0)))),"Fix")))</f>
        <v>0</v>
      </c>
      <c r="F837" s="5">
        <f>IF(OR(INDEX($V$2:$V$1001,MATCH(ROWS($U$2:U837),$U$2:$U$1001,0),1)&gt;=100000,INDEX($AB$1005:$AQ$1005,1,MATCH(COLUMNS($AB$1006:AF1006),$AB$1006:$AQ$1006,0))&gt;=100000), " ",IF(INDEX($AB$2:$AQ$1001,MATCH(ROWS($U$2:U837),$U$2:$U$1001,0),MATCH(COLUMNS($AB$1006:AF1006),$AB$1006:$AQ$1006,0)), HYPERLINK("#",""), HYPERLINK(CONCATENATE("#Metadata!", ADDRESS(INDEX($W$2:$W$1001,MATCH(ROWS($U$2:U837),$U$2:$U$1001,0),0), INDEX($AB$1004:$AQ$1004,1,MATCH(COLUMNS($AB$1006:AF1006),$AB$1006:$AQ$1006,0)))),"Fix")))</f>
        <v>0</v>
      </c>
      <c r="G837" s="5">
        <f>IF(OR(INDEX($V$2:$V$1001,MATCH(ROWS($U$2:U837),$U$2:$U$1001,0),1)&gt;=100000,INDEX($AB$1005:$AQ$1005,1,MATCH(COLUMNS($AB$1006:AG1006),$AB$1006:$AQ$1006,0))&gt;=100000), " ",IF(INDEX($AB$2:$AQ$1001,MATCH(ROWS($U$2:U837),$U$2:$U$1001,0),MATCH(COLUMNS($AB$1006:AG1006),$AB$1006:$AQ$1006,0)), HYPERLINK("#",""), HYPERLINK(CONCATENATE("#Metadata!", ADDRESS(INDEX($W$2:$W$1001,MATCH(ROWS($U$2:U837),$U$2:$U$1001,0),0), INDEX($AB$1004:$AQ$1004,1,MATCH(COLUMNS($AB$1006:AG1006),$AB$1006:$AQ$1006,0)))),"Fix")))</f>
        <v>0</v>
      </c>
      <c r="H837" s="5">
        <f>IF(OR(INDEX($V$2:$V$1001,MATCH(ROWS($U$2:U837),$U$2:$U$1001,0),1)&gt;=100000,INDEX($AB$1005:$AQ$1005,1,MATCH(COLUMNS($AB$1006:AH1006),$AB$1006:$AQ$1006,0))&gt;=100000), " ",IF(INDEX($AB$2:$AQ$1001,MATCH(ROWS($U$2:U837),$U$2:$U$1001,0),MATCH(COLUMNS($AB$1006:AH1006),$AB$1006:$AQ$1006,0)), HYPERLINK("#",""), HYPERLINK(CONCATENATE("#Metadata!", ADDRESS(INDEX($W$2:$W$1001,MATCH(ROWS($U$2:U837),$U$2:$U$1001,0),0), INDEX($AB$1004:$AQ$1004,1,MATCH(COLUMNS($AB$1006:AH1006),$AB$1006:$AQ$1006,0)))),"Fix")))</f>
        <v>0</v>
      </c>
      <c r="I837" s="5">
        <f>IF(OR(INDEX($V$2:$V$1001,MATCH(ROWS($U$2:U837),$U$2:$U$1001,0),1)&gt;=100000,INDEX($AB$1005:$AQ$1005,1,MATCH(COLUMNS($AB$1006:AI1006),$AB$1006:$AQ$1006,0))&gt;=100000), " ",IF(INDEX($AB$2:$AQ$1001,MATCH(ROWS($U$2:U837),$U$2:$U$1001,0),MATCH(COLUMNS($AB$1006:AI1006),$AB$1006:$AQ$1006,0)), HYPERLINK("#",""), HYPERLINK(CONCATENATE("#Metadata!", ADDRESS(INDEX($W$2:$W$1001,MATCH(ROWS($U$2:U837),$U$2:$U$1001,0),0), INDEX($AB$1004:$AQ$1004,1,MATCH(COLUMNS($AB$1006:AI1006),$AB$1006:$AQ$1006,0)))),"Fix")))</f>
        <v>0</v>
      </c>
      <c r="J837" s="5">
        <f>IF(OR(INDEX($V$2:$V$1001,MATCH(ROWS($U$2:U837),$U$2:$U$1001,0),1)&gt;=100000,INDEX($AB$1005:$AQ$1005,1,MATCH(COLUMNS($AB$1006:AJ1006),$AB$1006:$AQ$1006,0))&gt;=100000), " ",IF(INDEX($AB$2:$AQ$1001,MATCH(ROWS($U$2:U837),$U$2:$U$1001,0),MATCH(COLUMNS($AB$1006:AJ1006),$AB$1006:$AQ$1006,0)), HYPERLINK("#",""), HYPERLINK(CONCATENATE("#Metadata!", ADDRESS(INDEX($W$2:$W$1001,MATCH(ROWS($U$2:U837),$U$2:$U$1001,0),0), INDEX($AB$1004:$AQ$1004,1,MATCH(COLUMNS($AB$1006:AJ1006),$AB$1006:$AQ$1006,0)))),"Fix")))</f>
        <v>0</v>
      </c>
      <c r="K837" s="5">
        <f>IF(OR(INDEX($V$2:$V$1001,MATCH(ROWS($U$2:U837),$U$2:$U$1001,0),1)&gt;=100000,INDEX($AB$1005:$AQ$1005,1,MATCH(COLUMNS($AB$1006:AK1006),$AB$1006:$AQ$1006,0))&gt;=100000), " ",IF(INDEX($AB$2:$AQ$1001,MATCH(ROWS($U$2:U837),$U$2:$U$1001,0),MATCH(COLUMNS($AB$1006:AK1006),$AB$1006:$AQ$1006,0)), HYPERLINK("#",""), HYPERLINK(CONCATENATE("#Metadata!", ADDRESS(INDEX($W$2:$W$1001,MATCH(ROWS($U$2:U837),$U$2:$U$1001,0),0), INDEX($AB$1004:$AQ$1004,1,MATCH(COLUMNS($AB$1006:AK1006),$AB$1006:$AQ$1006,0)))),"Fix")))</f>
        <v>0</v>
      </c>
      <c r="L837" s="5">
        <f>IF(OR(INDEX($V$2:$V$1001,MATCH(ROWS($U$2:U837),$U$2:$U$1001,0),1)&gt;=100000,INDEX($AB$1005:$AQ$1005,1,MATCH(COLUMNS($AB$1006:AL1006),$AB$1006:$AQ$1006,0))&gt;=100000), " ",IF(INDEX($AB$2:$AQ$1001,MATCH(ROWS($U$2:U837),$U$2:$U$1001,0),MATCH(COLUMNS($AB$1006:AL1006),$AB$1006:$AQ$1006,0)), HYPERLINK("#",""), HYPERLINK(CONCATENATE("#Metadata!", ADDRESS(INDEX($W$2:$W$1001,MATCH(ROWS($U$2:U837),$U$2:$U$1001,0),0), INDEX($AB$1004:$AQ$1004,1,MATCH(COLUMNS($AB$1006:AL1006),$AB$1006:$AQ$1006,0)))),"Fix")))</f>
        <v>0</v>
      </c>
      <c r="M837" s="5">
        <f>IF(OR(INDEX($V$2:$V$1001,MATCH(ROWS($U$2:U837),$U$2:$U$1001,0),1)&gt;=100000,INDEX($AB$1005:$AQ$1005,1,MATCH(COLUMNS($AB$1006:AM1006),$AB$1006:$AQ$1006,0))&gt;=100000), " ",IF(INDEX($AB$2:$AQ$1001,MATCH(ROWS($U$2:U837),$U$2:$U$1001,0),MATCH(COLUMNS($AB$1006:AM1006),$AB$1006:$AQ$1006,0)), HYPERLINK("#",""), HYPERLINK(CONCATENATE("#Metadata!", ADDRESS(INDEX($W$2:$W$1001,MATCH(ROWS($U$2:U837),$U$2:$U$1001,0),0), INDEX($AB$1004:$AQ$1004,1,MATCH(COLUMNS($AB$1006:AM1006),$AB$1006:$AQ$1006,0)))),"Fix")))</f>
        <v>0</v>
      </c>
      <c r="N837" s="5">
        <f>IF(OR(INDEX($V$2:$V$1001,MATCH(ROWS($U$2:U837),$U$2:$U$1001,0),1)&gt;=100000,INDEX($AB$1005:$AQ$1005,1,MATCH(COLUMNS($AB$1006:AN1006),$AB$1006:$AQ$1006,0))&gt;=100000), " ",IF(INDEX($AB$2:$AQ$1001,MATCH(ROWS($U$2:U837),$U$2:$U$1001,0),MATCH(COLUMNS($AB$1006:AN1006),$AB$1006:$AQ$1006,0)), HYPERLINK("#",""), HYPERLINK(CONCATENATE("#Metadata!", ADDRESS(INDEX($W$2:$W$1001,MATCH(ROWS($U$2:U837),$U$2:$U$1001,0),0), INDEX($AB$1004:$AQ$1004,1,MATCH(COLUMNS($AB$1006:AN1006),$AB$1006:$AQ$1006,0)))),"Fix")))</f>
        <v>0</v>
      </c>
      <c r="O837" s="5">
        <f>IF(OR(INDEX($V$2:$V$1001,MATCH(ROWS($U$2:U837),$U$2:$U$1001,0),1)&gt;=100000,INDEX($AB$1005:$AQ$1005,1,MATCH(COLUMNS($AB$1006:AO1006),$AB$1006:$AQ$1006,0))&gt;=100000), " ",IF(INDEX($AB$2:$AQ$1001,MATCH(ROWS($U$2:U837),$U$2:$U$1001,0),MATCH(COLUMNS($AB$1006:AO1006),$AB$1006:$AQ$1006,0)), HYPERLINK("#",""), HYPERLINK(CONCATENATE("#Metadata!", ADDRESS(INDEX($W$2:$W$1001,MATCH(ROWS($U$2:U837),$U$2:$U$1001,0),0), INDEX($AB$1004:$AQ$1004,1,MATCH(COLUMNS($AB$1006:AO1006),$AB$1006:$AQ$1006,0)))),"Fix")))</f>
        <v>0</v>
      </c>
      <c r="P837" s="5">
        <f>IF(OR(INDEX($V$2:$V$1001,MATCH(ROWS($U$2:U837),$U$2:$U$1001,0),1)&gt;=100000,INDEX($AB$1005:$AQ$1005,1,MATCH(COLUMNS($AB$1006:AP1006),$AB$1006:$AQ$1006,0))&gt;=100000), " ",IF(INDEX($AB$2:$AQ$1001,MATCH(ROWS($U$2:U837),$U$2:$U$1001,0),MATCH(COLUMNS($AB$1006:AP1006),$AB$1006:$AQ$1006,0)), HYPERLINK("#",""), HYPERLINK(CONCATENATE("#Metadata!", ADDRESS(INDEX($W$2:$W$1001,MATCH(ROWS($U$2:U837),$U$2:$U$1001,0),0), INDEX($AB$1004:$AQ$1004,1,MATCH(COLUMNS($AB$1006:AP1006),$AB$1006:$AQ$1006,0)))),"Fix")))</f>
        <v>0</v>
      </c>
      <c r="Q837" s="5">
        <f>IF(OR(INDEX($V$2:$V$1001,MATCH(ROWS($U$2:U837),$U$2:$U$1001,0),1)&gt;=100000,INDEX($AB$1005:$AQ$1005,1,MATCH(COLUMNS($AB$1006:AQ1006),$AB$1006:$AQ$1006,0))&gt;=100000), " ",IF(INDEX($AB$2:$AQ$1001,MATCH(ROWS($U$2:U837),$U$2:$U$1001,0),MATCH(COLUMNS($AB$1006:AQ1006),$AB$1006:$AQ$1006,0)), HYPERLINK("#",""), HYPERLINK(CONCATENATE("#Metadata!", ADDRESS(INDEX($W$2:$W$1001,MATCH(ROWS($U$2:U837),$U$2:$U$1001,0),0), INDEX($AB$1004:$AQ$1004,1,MATCH(COLUMNS($AB$1006:AQ1006),$AB$1006:$AQ$1006,0)))),"Fix")))</f>
        <v>0</v>
      </c>
      <c r="U837">
        <v>0</v>
      </c>
      <c r="V837">
        <v>0</v>
      </c>
      <c r="W837">
        <v>0</v>
      </c>
      <c r="X837">
        <f>IF(Y837,TRUE,AND(AB837:AQ837))</f>
        <v>0</v>
      </c>
      <c r="Y837">
        <f>COUNTBLANK(Metadata!B837:Q837)=COLUMNS(Metadata!B837:Q837)</f>
        <v>0</v>
      </c>
      <c r="Z837">
        <v>0</v>
      </c>
      <c r="AB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AC837">
        <f>AND(IF(Metadata!C837="",FALSE,TRUE),exact(Metadata!C837,"urban biome"))</f>
        <v>0</v>
      </c>
      <c r="AD837">
        <f>AND(IF(Metadata!D837="",FALSE,TRUE),exact(Metadata!D837,"human-associated habitat"))</f>
        <v>0</v>
      </c>
      <c r="AE837">
        <f>AND(IF(Metadata!E837="",FALSE,TRUE),OR(exact(Metadata!E837,"human-associated"),exact(Metadata!E837,"human-skin"),exact(Metadata!E837,"human-oral"),exact(Metadata!E837,"human-gut"),exact(Metadata!E837,"human-vaginal")))</f>
        <v>0</v>
      </c>
      <c r="AF837">
        <f>AND(IF(Metadata!F837="",FALSE,ISNUMBER(VALUE(Metadata!F837))),Metadata!F837&gt;0)</f>
        <v>0</v>
      </c>
      <c r="AG837">
        <f>AND(IF(Metadata!G837="",FALSE,TRUE),exact(Metadata!G837,"years"))</f>
        <v>0</v>
      </c>
      <c r="AH837">
        <f>OR(AND(IF(Metadata!H837="",FALSE,TRUE),OR(exact(Metadata!H837,"not applicable"),exact(Metadata!H837,"not collected"),exact(Metadata!H837,"not provided"),exact(Metadata!H837,"restricted access"))),AND(IF(Metadata!H837="",FALSE,ISNUMBER(VALUE(Metadata!H837))),Metadata!H837&gt;0))</f>
        <v>0</v>
      </c>
      <c r="AI837">
        <f>AND(IF(Metadata!I837="",FALSE,TRUE),exact(Metadata!I837,"human"))</f>
        <v>0</v>
      </c>
      <c r="AJ837">
        <f>AND(IF(Metadata!J837="",FALSE,ISNUMBER(VALUE(Metadata!J837))),Metadata!J837&gt;0)</f>
        <v>0</v>
      </c>
      <c r="AK837">
        <f>AND(IF(Metadata!K837="",FALSE,TRUE),exact(Metadata!K837,"cm"))</f>
        <v>0</v>
      </c>
      <c r="AL837">
        <f>AND(IF(Metadata!L837="",FALSE,TRUE),exact(Metadata!L837,"Homo sapiens"))</f>
        <v>0</v>
      </c>
      <c r="AM837">
        <f>AND(IF(Metadata!M837="",FALSE,TRUE),exact(Metadata!M837,"9606"))</f>
        <v>0</v>
      </c>
      <c r="AN837">
        <f>AND(IF(Metadata!N837="",FALSE,ISNUMBER(VALUE(Metadata!N837))),Metadata!N837&gt;0)</f>
        <v>0</v>
      </c>
      <c r="AO837">
        <f>AND(IF(Metadata!O837="",FALSE,TRUE),exact(Metadata!O837,"kg"))</f>
        <v>0</v>
      </c>
      <c r="AP837">
        <f>OR(AND(IF(Metadata!P837="",FALSE,TRUE),exact(Metadata!P837,"not provided")),IF(Metadata!P837="",FALSE,TRUE))</f>
        <v>0</v>
      </c>
      <c r="AQ837">
        <f>OR(AND(IF(Metadata!Q837="",FALSE,TRUE),exact(Metadata!Q837,"not provided")),IF(Metadata!Q837="",FALSE,TRUE))</f>
        <v>0</v>
      </c>
    </row>
    <row r="838" spans="1:43">
      <c r="A838" s="4">
        <f>IF(B838=" "," ",HYPERLINK(CONCATENATE("#metadata!",ADDRESS(INDEX($W$2:$W$1001,MATCH(ROWS($U$2:U838),$U$2:$U$1001,0),0),2)),INDEX($Z$2:$Z$1001,MATCH(ROWS($U$2:U838),$U$2:$U$1001,0),0)))</f>
        <v>0</v>
      </c>
      <c r="B838" s="5">
        <f>IF(OR(INDEX($V$2:$V$1001,MATCH(ROWS($U$2:U838),$U$2:$U$1001,0),1)&gt;=100000,INDEX($AB$1005:$AQ$1005,1,MATCH(COLUMNS($AB$1006:AB1006),$AB$1006:$AQ$1006,0))&gt;=100000), " ",IF(INDEX($AB$2:$AQ$1001,MATCH(ROWS($U$2:U838),$U$2:$U$1001,0),MATCH(COLUMNS($AB$1006:AB1006),$AB$1006:$AQ$1006,0)), HYPERLINK("#",""), HYPERLINK(CONCATENATE("#Metadata!", ADDRESS(INDEX($W$2:$W$1001,MATCH(ROWS($U$2:U838),$U$2:$U$1001,0),0), INDEX($AB$1004:$AQ$1004,1,MATCH(COLUMNS($AB$1006:AB1006),$AB$1006:$AQ$1006,0)))),"Fix")))</f>
        <v>0</v>
      </c>
      <c r="C838" s="5">
        <f>IF(OR(INDEX($V$2:$V$1001,MATCH(ROWS($U$2:U838),$U$2:$U$1001,0),1)&gt;=100000,INDEX($AB$1005:$AQ$1005,1,MATCH(COLUMNS($AB$1006:AC1006),$AB$1006:$AQ$1006,0))&gt;=100000), " ",IF(INDEX($AB$2:$AQ$1001,MATCH(ROWS($U$2:U838),$U$2:$U$1001,0),MATCH(COLUMNS($AB$1006:AC1006),$AB$1006:$AQ$1006,0)), HYPERLINK("#",""), HYPERLINK(CONCATENATE("#Metadata!", ADDRESS(INDEX($W$2:$W$1001,MATCH(ROWS($U$2:U838),$U$2:$U$1001,0),0), INDEX($AB$1004:$AQ$1004,1,MATCH(COLUMNS($AB$1006:AC1006),$AB$1006:$AQ$1006,0)))),"Fix")))</f>
        <v>0</v>
      </c>
      <c r="D838" s="5">
        <f>IF(OR(INDEX($V$2:$V$1001,MATCH(ROWS($U$2:U838),$U$2:$U$1001,0),1)&gt;=100000,INDEX($AB$1005:$AQ$1005,1,MATCH(COLUMNS($AB$1006:AD1006),$AB$1006:$AQ$1006,0))&gt;=100000), " ",IF(INDEX($AB$2:$AQ$1001,MATCH(ROWS($U$2:U838),$U$2:$U$1001,0),MATCH(COLUMNS($AB$1006:AD1006),$AB$1006:$AQ$1006,0)), HYPERLINK("#",""), HYPERLINK(CONCATENATE("#Metadata!", ADDRESS(INDEX($W$2:$W$1001,MATCH(ROWS($U$2:U838),$U$2:$U$1001,0),0), INDEX($AB$1004:$AQ$1004,1,MATCH(COLUMNS($AB$1006:AD1006),$AB$1006:$AQ$1006,0)))),"Fix")))</f>
        <v>0</v>
      </c>
      <c r="E838" s="5">
        <f>IF(OR(INDEX($V$2:$V$1001,MATCH(ROWS($U$2:U838),$U$2:$U$1001,0),1)&gt;=100000,INDEX($AB$1005:$AQ$1005,1,MATCH(COLUMNS($AB$1006:AE1006),$AB$1006:$AQ$1006,0))&gt;=100000), " ",IF(INDEX($AB$2:$AQ$1001,MATCH(ROWS($U$2:U838),$U$2:$U$1001,0),MATCH(COLUMNS($AB$1006:AE1006),$AB$1006:$AQ$1006,0)), HYPERLINK("#",""), HYPERLINK(CONCATENATE("#Metadata!", ADDRESS(INDEX($W$2:$W$1001,MATCH(ROWS($U$2:U838),$U$2:$U$1001,0),0), INDEX($AB$1004:$AQ$1004,1,MATCH(COLUMNS($AB$1006:AE1006),$AB$1006:$AQ$1006,0)))),"Fix")))</f>
        <v>0</v>
      </c>
      <c r="F838" s="5">
        <f>IF(OR(INDEX($V$2:$V$1001,MATCH(ROWS($U$2:U838),$U$2:$U$1001,0),1)&gt;=100000,INDEX($AB$1005:$AQ$1005,1,MATCH(COLUMNS($AB$1006:AF1006),$AB$1006:$AQ$1006,0))&gt;=100000), " ",IF(INDEX($AB$2:$AQ$1001,MATCH(ROWS($U$2:U838),$U$2:$U$1001,0),MATCH(COLUMNS($AB$1006:AF1006),$AB$1006:$AQ$1006,0)), HYPERLINK("#",""), HYPERLINK(CONCATENATE("#Metadata!", ADDRESS(INDEX($W$2:$W$1001,MATCH(ROWS($U$2:U838),$U$2:$U$1001,0),0), INDEX($AB$1004:$AQ$1004,1,MATCH(COLUMNS($AB$1006:AF1006),$AB$1006:$AQ$1006,0)))),"Fix")))</f>
        <v>0</v>
      </c>
      <c r="G838" s="5">
        <f>IF(OR(INDEX($V$2:$V$1001,MATCH(ROWS($U$2:U838),$U$2:$U$1001,0),1)&gt;=100000,INDEX($AB$1005:$AQ$1005,1,MATCH(COLUMNS($AB$1006:AG1006),$AB$1006:$AQ$1006,0))&gt;=100000), " ",IF(INDEX($AB$2:$AQ$1001,MATCH(ROWS($U$2:U838),$U$2:$U$1001,0),MATCH(COLUMNS($AB$1006:AG1006),$AB$1006:$AQ$1006,0)), HYPERLINK("#",""), HYPERLINK(CONCATENATE("#Metadata!", ADDRESS(INDEX($W$2:$W$1001,MATCH(ROWS($U$2:U838),$U$2:$U$1001,0),0), INDEX($AB$1004:$AQ$1004,1,MATCH(COLUMNS($AB$1006:AG1006),$AB$1006:$AQ$1006,0)))),"Fix")))</f>
        <v>0</v>
      </c>
      <c r="H838" s="5">
        <f>IF(OR(INDEX($V$2:$V$1001,MATCH(ROWS($U$2:U838),$U$2:$U$1001,0),1)&gt;=100000,INDEX($AB$1005:$AQ$1005,1,MATCH(COLUMNS($AB$1006:AH1006),$AB$1006:$AQ$1006,0))&gt;=100000), " ",IF(INDEX($AB$2:$AQ$1001,MATCH(ROWS($U$2:U838),$U$2:$U$1001,0),MATCH(COLUMNS($AB$1006:AH1006),$AB$1006:$AQ$1006,0)), HYPERLINK("#",""), HYPERLINK(CONCATENATE("#Metadata!", ADDRESS(INDEX($W$2:$W$1001,MATCH(ROWS($U$2:U838),$U$2:$U$1001,0),0), INDEX($AB$1004:$AQ$1004,1,MATCH(COLUMNS($AB$1006:AH1006),$AB$1006:$AQ$1006,0)))),"Fix")))</f>
        <v>0</v>
      </c>
      <c r="I838" s="5">
        <f>IF(OR(INDEX($V$2:$V$1001,MATCH(ROWS($U$2:U838),$U$2:$U$1001,0),1)&gt;=100000,INDEX($AB$1005:$AQ$1005,1,MATCH(COLUMNS($AB$1006:AI1006),$AB$1006:$AQ$1006,0))&gt;=100000), " ",IF(INDEX($AB$2:$AQ$1001,MATCH(ROWS($U$2:U838),$U$2:$U$1001,0),MATCH(COLUMNS($AB$1006:AI1006),$AB$1006:$AQ$1006,0)), HYPERLINK("#",""), HYPERLINK(CONCATENATE("#Metadata!", ADDRESS(INDEX($W$2:$W$1001,MATCH(ROWS($U$2:U838),$U$2:$U$1001,0),0), INDEX($AB$1004:$AQ$1004,1,MATCH(COLUMNS($AB$1006:AI1006),$AB$1006:$AQ$1006,0)))),"Fix")))</f>
        <v>0</v>
      </c>
      <c r="J838" s="5">
        <f>IF(OR(INDEX($V$2:$V$1001,MATCH(ROWS($U$2:U838),$U$2:$U$1001,0),1)&gt;=100000,INDEX($AB$1005:$AQ$1005,1,MATCH(COLUMNS($AB$1006:AJ1006),$AB$1006:$AQ$1006,0))&gt;=100000), " ",IF(INDEX($AB$2:$AQ$1001,MATCH(ROWS($U$2:U838),$U$2:$U$1001,0),MATCH(COLUMNS($AB$1006:AJ1006),$AB$1006:$AQ$1006,0)), HYPERLINK("#",""), HYPERLINK(CONCATENATE("#Metadata!", ADDRESS(INDEX($W$2:$W$1001,MATCH(ROWS($U$2:U838),$U$2:$U$1001,0),0), INDEX($AB$1004:$AQ$1004,1,MATCH(COLUMNS($AB$1006:AJ1006),$AB$1006:$AQ$1006,0)))),"Fix")))</f>
        <v>0</v>
      </c>
      <c r="K838" s="5">
        <f>IF(OR(INDEX($V$2:$V$1001,MATCH(ROWS($U$2:U838),$U$2:$U$1001,0),1)&gt;=100000,INDEX($AB$1005:$AQ$1005,1,MATCH(COLUMNS($AB$1006:AK1006),$AB$1006:$AQ$1006,0))&gt;=100000), " ",IF(INDEX($AB$2:$AQ$1001,MATCH(ROWS($U$2:U838),$U$2:$U$1001,0),MATCH(COLUMNS($AB$1006:AK1006),$AB$1006:$AQ$1006,0)), HYPERLINK("#",""), HYPERLINK(CONCATENATE("#Metadata!", ADDRESS(INDEX($W$2:$W$1001,MATCH(ROWS($U$2:U838),$U$2:$U$1001,0),0), INDEX($AB$1004:$AQ$1004,1,MATCH(COLUMNS($AB$1006:AK1006),$AB$1006:$AQ$1006,0)))),"Fix")))</f>
        <v>0</v>
      </c>
      <c r="L838" s="5">
        <f>IF(OR(INDEX($V$2:$V$1001,MATCH(ROWS($U$2:U838),$U$2:$U$1001,0),1)&gt;=100000,INDEX($AB$1005:$AQ$1005,1,MATCH(COLUMNS($AB$1006:AL1006),$AB$1006:$AQ$1006,0))&gt;=100000), " ",IF(INDEX($AB$2:$AQ$1001,MATCH(ROWS($U$2:U838),$U$2:$U$1001,0),MATCH(COLUMNS($AB$1006:AL1006),$AB$1006:$AQ$1006,0)), HYPERLINK("#",""), HYPERLINK(CONCATENATE("#Metadata!", ADDRESS(INDEX($W$2:$W$1001,MATCH(ROWS($U$2:U838),$U$2:$U$1001,0),0), INDEX($AB$1004:$AQ$1004,1,MATCH(COLUMNS($AB$1006:AL1006),$AB$1006:$AQ$1006,0)))),"Fix")))</f>
        <v>0</v>
      </c>
      <c r="M838" s="5">
        <f>IF(OR(INDEX($V$2:$V$1001,MATCH(ROWS($U$2:U838),$U$2:$U$1001,0),1)&gt;=100000,INDEX($AB$1005:$AQ$1005,1,MATCH(COLUMNS($AB$1006:AM1006),$AB$1006:$AQ$1006,0))&gt;=100000), " ",IF(INDEX($AB$2:$AQ$1001,MATCH(ROWS($U$2:U838),$U$2:$U$1001,0),MATCH(COLUMNS($AB$1006:AM1006),$AB$1006:$AQ$1006,0)), HYPERLINK("#",""), HYPERLINK(CONCATENATE("#Metadata!", ADDRESS(INDEX($W$2:$W$1001,MATCH(ROWS($U$2:U838),$U$2:$U$1001,0),0), INDEX($AB$1004:$AQ$1004,1,MATCH(COLUMNS($AB$1006:AM1006),$AB$1006:$AQ$1006,0)))),"Fix")))</f>
        <v>0</v>
      </c>
      <c r="N838" s="5">
        <f>IF(OR(INDEX($V$2:$V$1001,MATCH(ROWS($U$2:U838),$U$2:$U$1001,0),1)&gt;=100000,INDEX($AB$1005:$AQ$1005,1,MATCH(COLUMNS($AB$1006:AN1006),$AB$1006:$AQ$1006,0))&gt;=100000), " ",IF(INDEX($AB$2:$AQ$1001,MATCH(ROWS($U$2:U838),$U$2:$U$1001,0),MATCH(COLUMNS($AB$1006:AN1006),$AB$1006:$AQ$1006,0)), HYPERLINK("#",""), HYPERLINK(CONCATENATE("#Metadata!", ADDRESS(INDEX($W$2:$W$1001,MATCH(ROWS($U$2:U838),$U$2:$U$1001,0),0), INDEX($AB$1004:$AQ$1004,1,MATCH(COLUMNS($AB$1006:AN1006),$AB$1006:$AQ$1006,0)))),"Fix")))</f>
        <v>0</v>
      </c>
      <c r="O838" s="5">
        <f>IF(OR(INDEX($V$2:$V$1001,MATCH(ROWS($U$2:U838),$U$2:$U$1001,0),1)&gt;=100000,INDEX($AB$1005:$AQ$1005,1,MATCH(COLUMNS($AB$1006:AO1006),$AB$1006:$AQ$1006,0))&gt;=100000), " ",IF(INDEX($AB$2:$AQ$1001,MATCH(ROWS($U$2:U838),$U$2:$U$1001,0),MATCH(COLUMNS($AB$1006:AO1006),$AB$1006:$AQ$1006,0)), HYPERLINK("#",""), HYPERLINK(CONCATENATE("#Metadata!", ADDRESS(INDEX($W$2:$W$1001,MATCH(ROWS($U$2:U838),$U$2:$U$1001,0),0), INDEX($AB$1004:$AQ$1004,1,MATCH(COLUMNS($AB$1006:AO1006),$AB$1006:$AQ$1006,0)))),"Fix")))</f>
        <v>0</v>
      </c>
      <c r="P838" s="5">
        <f>IF(OR(INDEX($V$2:$V$1001,MATCH(ROWS($U$2:U838),$U$2:$U$1001,0),1)&gt;=100000,INDEX($AB$1005:$AQ$1005,1,MATCH(COLUMNS($AB$1006:AP1006),$AB$1006:$AQ$1006,0))&gt;=100000), " ",IF(INDEX($AB$2:$AQ$1001,MATCH(ROWS($U$2:U838),$U$2:$U$1001,0),MATCH(COLUMNS($AB$1006:AP1006),$AB$1006:$AQ$1006,0)), HYPERLINK("#",""), HYPERLINK(CONCATENATE("#Metadata!", ADDRESS(INDEX($W$2:$W$1001,MATCH(ROWS($U$2:U838),$U$2:$U$1001,0),0), INDEX($AB$1004:$AQ$1004,1,MATCH(COLUMNS($AB$1006:AP1006),$AB$1006:$AQ$1006,0)))),"Fix")))</f>
        <v>0</v>
      </c>
      <c r="Q838" s="5">
        <f>IF(OR(INDEX($V$2:$V$1001,MATCH(ROWS($U$2:U838),$U$2:$U$1001,0),1)&gt;=100000,INDEX($AB$1005:$AQ$1005,1,MATCH(COLUMNS($AB$1006:AQ1006),$AB$1006:$AQ$1006,0))&gt;=100000), " ",IF(INDEX($AB$2:$AQ$1001,MATCH(ROWS($U$2:U838),$U$2:$U$1001,0),MATCH(COLUMNS($AB$1006:AQ1006),$AB$1006:$AQ$1006,0)), HYPERLINK("#",""), HYPERLINK(CONCATENATE("#Metadata!", ADDRESS(INDEX($W$2:$W$1001,MATCH(ROWS($U$2:U838),$U$2:$U$1001,0),0), INDEX($AB$1004:$AQ$1004,1,MATCH(COLUMNS($AB$1006:AQ1006),$AB$1006:$AQ$1006,0)))),"Fix")))</f>
        <v>0</v>
      </c>
      <c r="U838">
        <v>0</v>
      </c>
      <c r="V838">
        <v>0</v>
      </c>
      <c r="W838">
        <v>0</v>
      </c>
      <c r="X838">
        <f>IF(Y838,TRUE,AND(AB838:AQ838))</f>
        <v>0</v>
      </c>
      <c r="Y838">
        <f>COUNTBLANK(Metadata!B838:Q838)=COLUMNS(Metadata!B838:Q838)</f>
        <v>0</v>
      </c>
      <c r="Z838">
        <v>0</v>
      </c>
      <c r="AB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AC838">
        <f>AND(IF(Metadata!C838="",FALSE,TRUE),exact(Metadata!C838,"urban biome"))</f>
        <v>0</v>
      </c>
      <c r="AD838">
        <f>AND(IF(Metadata!D838="",FALSE,TRUE),exact(Metadata!D838,"human-associated habitat"))</f>
        <v>0</v>
      </c>
      <c r="AE838">
        <f>AND(IF(Metadata!E838="",FALSE,TRUE),OR(exact(Metadata!E838,"human-associated"),exact(Metadata!E838,"human-skin"),exact(Metadata!E838,"human-oral"),exact(Metadata!E838,"human-gut"),exact(Metadata!E838,"human-vaginal")))</f>
        <v>0</v>
      </c>
      <c r="AF838">
        <f>AND(IF(Metadata!F838="",FALSE,ISNUMBER(VALUE(Metadata!F838))),Metadata!F838&gt;0)</f>
        <v>0</v>
      </c>
      <c r="AG838">
        <f>AND(IF(Metadata!G838="",FALSE,TRUE),exact(Metadata!G838,"years"))</f>
        <v>0</v>
      </c>
      <c r="AH838">
        <f>OR(AND(IF(Metadata!H838="",FALSE,TRUE),OR(exact(Metadata!H838,"not applicable"),exact(Metadata!H838,"not collected"),exact(Metadata!H838,"not provided"),exact(Metadata!H838,"restricted access"))),AND(IF(Metadata!H838="",FALSE,ISNUMBER(VALUE(Metadata!H838))),Metadata!H838&gt;0))</f>
        <v>0</v>
      </c>
      <c r="AI838">
        <f>AND(IF(Metadata!I838="",FALSE,TRUE),exact(Metadata!I838,"human"))</f>
        <v>0</v>
      </c>
      <c r="AJ838">
        <f>AND(IF(Metadata!J838="",FALSE,ISNUMBER(VALUE(Metadata!J838))),Metadata!J838&gt;0)</f>
        <v>0</v>
      </c>
      <c r="AK838">
        <f>AND(IF(Metadata!K838="",FALSE,TRUE),exact(Metadata!K838,"cm"))</f>
        <v>0</v>
      </c>
      <c r="AL838">
        <f>AND(IF(Metadata!L838="",FALSE,TRUE),exact(Metadata!L838,"Homo sapiens"))</f>
        <v>0</v>
      </c>
      <c r="AM838">
        <f>AND(IF(Metadata!M838="",FALSE,TRUE),exact(Metadata!M838,"9606"))</f>
        <v>0</v>
      </c>
      <c r="AN838">
        <f>AND(IF(Metadata!N838="",FALSE,ISNUMBER(VALUE(Metadata!N838))),Metadata!N838&gt;0)</f>
        <v>0</v>
      </c>
      <c r="AO838">
        <f>AND(IF(Metadata!O838="",FALSE,TRUE),exact(Metadata!O838,"kg"))</f>
        <v>0</v>
      </c>
      <c r="AP838">
        <f>OR(AND(IF(Metadata!P838="",FALSE,TRUE),exact(Metadata!P838,"not provided")),IF(Metadata!P838="",FALSE,TRUE))</f>
        <v>0</v>
      </c>
      <c r="AQ838">
        <f>OR(AND(IF(Metadata!Q838="",FALSE,TRUE),exact(Metadata!Q838,"not provided")),IF(Metadata!Q838="",FALSE,TRUE))</f>
        <v>0</v>
      </c>
    </row>
    <row r="839" spans="1:43">
      <c r="A839" s="4">
        <f>IF(B839=" "," ",HYPERLINK(CONCATENATE("#metadata!",ADDRESS(INDEX($W$2:$W$1001,MATCH(ROWS($U$2:U839),$U$2:$U$1001,0),0),2)),INDEX($Z$2:$Z$1001,MATCH(ROWS($U$2:U839),$U$2:$U$1001,0),0)))</f>
        <v>0</v>
      </c>
      <c r="B839" s="5">
        <f>IF(OR(INDEX($V$2:$V$1001,MATCH(ROWS($U$2:U839),$U$2:$U$1001,0),1)&gt;=100000,INDEX($AB$1005:$AQ$1005,1,MATCH(COLUMNS($AB$1006:AB1006),$AB$1006:$AQ$1006,0))&gt;=100000), " ",IF(INDEX($AB$2:$AQ$1001,MATCH(ROWS($U$2:U839),$U$2:$U$1001,0),MATCH(COLUMNS($AB$1006:AB1006),$AB$1006:$AQ$1006,0)), HYPERLINK("#",""), HYPERLINK(CONCATENATE("#Metadata!", ADDRESS(INDEX($W$2:$W$1001,MATCH(ROWS($U$2:U839),$U$2:$U$1001,0),0), INDEX($AB$1004:$AQ$1004,1,MATCH(COLUMNS($AB$1006:AB1006),$AB$1006:$AQ$1006,0)))),"Fix")))</f>
        <v>0</v>
      </c>
      <c r="C839" s="5">
        <f>IF(OR(INDEX($V$2:$V$1001,MATCH(ROWS($U$2:U839),$U$2:$U$1001,0),1)&gt;=100000,INDEX($AB$1005:$AQ$1005,1,MATCH(COLUMNS($AB$1006:AC1006),$AB$1006:$AQ$1006,0))&gt;=100000), " ",IF(INDEX($AB$2:$AQ$1001,MATCH(ROWS($U$2:U839),$U$2:$U$1001,0),MATCH(COLUMNS($AB$1006:AC1006),$AB$1006:$AQ$1006,0)), HYPERLINK("#",""), HYPERLINK(CONCATENATE("#Metadata!", ADDRESS(INDEX($W$2:$W$1001,MATCH(ROWS($U$2:U839),$U$2:$U$1001,0),0), INDEX($AB$1004:$AQ$1004,1,MATCH(COLUMNS($AB$1006:AC1006),$AB$1006:$AQ$1006,0)))),"Fix")))</f>
        <v>0</v>
      </c>
      <c r="D839" s="5">
        <f>IF(OR(INDEX($V$2:$V$1001,MATCH(ROWS($U$2:U839),$U$2:$U$1001,0),1)&gt;=100000,INDEX($AB$1005:$AQ$1005,1,MATCH(COLUMNS($AB$1006:AD1006),$AB$1006:$AQ$1006,0))&gt;=100000), " ",IF(INDEX($AB$2:$AQ$1001,MATCH(ROWS($U$2:U839),$U$2:$U$1001,0),MATCH(COLUMNS($AB$1006:AD1006),$AB$1006:$AQ$1006,0)), HYPERLINK("#",""), HYPERLINK(CONCATENATE("#Metadata!", ADDRESS(INDEX($W$2:$W$1001,MATCH(ROWS($U$2:U839),$U$2:$U$1001,0),0), INDEX($AB$1004:$AQ$1004,1,MATCH(COLUMNS($AB$1006:AD1006),$AB$1006:$AQ$1006,0)))),"Fix")))</f>
        <v>0</v>
      </c>
      <c r="E839" s="5">
        <f>IF(OR(INDEX($V$2:$V$1001,MATCH(ROWS($U$2:U839),$U$2:$U$1001,0),1)&gt;=100000,INDEX($AB$1005:$AQ$1005,1,MATCH(COLUMNS($AB$1006:AE1006),$AB$1006:$AQ$1006,0))&gt;=100000), " ",IF(INDEX($AB$2:$AQ$1001,MATCH(ROWS($U$2:U839),$U$2:$U$1001,0),MATCH(COLUMNS($AB$1006:AE1006),$AB$1006:$AQ$1006,0)), HYPERLINK("#",""), HYPERLINK(CONCATENATE("#Metadata!", ADDRESS(INDEX($W$2:$W$1001,MATCH(ROWS($U$2:U839),$U$2:$U$1001,0),0), INDEX($AB$1004:$AQ$1004,1,MATCH(COLUMNS($AB$1006:AE1006),$AB$1006:$AQ$1006,0)))),"Fix")))</f>
        <v>0</v>
      </c>
      <c r="F839" s="5">
        <f>IF(OR(INDEX($V$2:$V$1001,MATCH(ROWS($U$2:U839),$U$2:$U$1001,0),1)&gt;=100000,INDEX($AB$1005:$AQ$1005,1,MATCH(COLUMNS($AB$1006:AF1006),$AB$1006:$AQ$1006,0))&gt;=100000), " ",IF(INDEX($AB$2:$AQ$1001,MATCH(ROWS($U$2:U839),$U$2:$U$1001,0),MATCH(COLUMNS($AB$1006:AF1006),$AB$1006:$AQ$1006,0)), HYPERLINK("#",""), HYPERLINK(CONCATENATE("#Metadata!", ADDRESS(INDEX($W$2:$W$1001,MATCH(ROWS($U$2:U839),$U$2:$U$1001,0),0), INDEX($AB$1004:$AQ$1004,1,MATCH(COLUMNS($AB$1006:AF1006),$AB$1006:$AQ$1006,0)))),"Fix")))</f>
        <v>0</v>
      </c>
      <c r="G839" s="5">
        <f>IF(OR(INDEX($V$2:$V$1001,MATCH(ROWS($U$2:U839),$U$2:$U$1001,0),1)&gt;=100000,INDEX($AB$1005:$AQ$1005,1,MATCH(COLUMNS($AB$1006:AG1006),$AB$1006:$AQ$1006,0))&gt;=100000), " ",IF(INDEX($AB$2:$AQ$1001,MATCH(ROWS($U$2:U839),$U$2:$U$1001,0),MATCH(COLUMNS($AB$1006:AG1006),$AB$1006:$AQ$1006,0)), HYPERLINK("#",""), HYPERLINK(CONCATENATE("#Metadata!", ADDRESS(INDEX($W$2:$W$1001,MATCH(ROWS($U$2:U839),$U$2:$U$1001,0),0), INDEX($AB$1004:$AQ$1004,1,MATCH(COLUMNS($AB$1006:AG1006),$AB$1006:$AQ$1006,0)))),"Fix")))</f>
        <v>0</v>
      </c>
      <c r="H839" s="5">
        <f>IF(OR(INDEX($V$2:$V$1001,MATCH(ROWS($U$2:U839),$U$2:$U$1001,0),1)&gt;=100000,INDEX($AB$1005:$AQ$1005,1,MATCH(COLUMNS($AB$1006:AH1006),$AB$1006:$AQ$1006,0))&gt;=100000), " ",IF(INDEX($AB$2:$AQ$1001,MATCH(ROWS($U$2:U839),$U$2:$U$1001,0),MATCH(COLUMNS($AB$1006:AH1006),$AB$1006:$AQ$1006,0)), HYPERLINK("#",""), HYPERLINK(CONCATENATE("#Metadata!", ADDRESS(INDEX($W$2:$W$1001,MATCH(ROWS($U$2:U839),$U$2:$U$1001,0),0), INDEX($AB$1004:$AQ$1004,1,MATCH(COLUMNS($AB$1006:AH1006),$AB$1006:$AQ$1006,0)))),"Fix")))</f>
        <v>0</v>
      </c>
      <c r="I839" s="5">
        <f>IF(OR(INDEX($V$2:$V$1001,MATCH(ROWS($U$2:U839),$U$2:$U$1001,0),1)&gt;=100000,INDEX($AB$1005:$AQ$1005,1,MATCH(COLUMNS($AB$1006:AI1006),$AB$1006:$AQ$1006,0))&gt;=100000), " ",IF(INDEX($AB$2:$AQ$1001,MATCH(ROWS($U$2:U839),$U$2:$U$1001,0),MATCH(COLUMNS($AB$1006:AI1006),$AB$1006:$AQ$1006,0)), HYPERLINK("#",""), HYPERLINK(CONCATENATE("#Metadata!", ADDRESS(INDEX($W$2:$W$1001,MATCH(ROWS($U$2:U839),$U$2:$U$1001,0),0), INDEX($AB$1004:$AQ$1004,1,MATCH(COLUMNS($AB$1006:AI1006),$AB$1006:$AQ$1006,0)))),"Fix")))</f>
        <v>0</v>
      </c>
      <c r="J839" s="5">
        <f>IF(OR(INDEX($V$2:$V$1001,MATCH(ROWS($U$2:U839),$U$2:$U$1001,0),1)&gt;=100000,INDEX($AB$1005:$AQ$1005,1,MATCH(COLUMNS($AB$1006:AJ1006),$AB$1006:$AQ$1006,0))&gt;=100000), " ",IF(INDEX($AB$2:$AQ$1001,MATCH(ROWS($U$2:U839),$U$2:$U$1001,0),MATCH(COLUMNS($AB$1006:AJ1006),$AB$1006:$AQ$1006,0)), HYPERLINK("#",""), HYPERLINK(CONCATENATE("#Metadata!", ADDRESS(INDEX($W$2:$W$1001,MATCH(ROWS($U$2:U839),$U$2:$U$1001,0),0), INDEX($AB$1004:$AQ$1004,1,MATCH(COLUMNS($AB$1006:AJ1006),$AB$1006:$AQ$1006,0)))),"Fix")))</f>
        <v>0</v>
      </c>
      <c r="K839" s="5">
        <f>IF(OR(INDEX($V$2:$V$1001,MATCH(ROWS($U$2:U839),$U$2:$U$1001,0),1)&gt;=100000,INDEX($AB$1005:$AQ$1005,1,MATCH(COLUMNS($AB$1006:AK1006),$AB$1006:$AQ$1006,0))&gt;=100000), " ",IF(INDEX($AB$2:$AQ$1001,MATCH(ROWS($U$2:U839),$U$2:$U$1001,0),MATCH(COLUMNS($AB$1006:AK1006),$AB$1006:$AQ$1006,0)), HYPERLINK("#",""), HYPERLINK(CONCATENATE("#Metadata!", ADDRESS(INDEX($W$2:$W$1001,MATCH(ROWS($U$2:U839),$U$2:$U$1001,0),0), INDEX($AB$1004:$AQ$1004,1,MATCH(COLUMNS($AB$1006:AK1006),$AB$1006:$AQ$1006,0)))),"Fix")))</f>
        <v>0</v>
      </c>
      <c r="L839" s="5">
        <f>IF(OR(INDEX($V$2:$V$1001,MATCH(ROWS($U$2:U839),$U$2:$U$1001,0),1)&gt;=100000,INDEX($AB$1005:$AQ$1005,1,MATCH(COLUMNS($AB$1006:AL1006),$AB$1006:$AQ$1006,0))&gt;=100000), " ",IF(INDEX($AB$2:$AQ$1001,MATCH(ROWS($U$2:U839),$U$2:$U$1001,0),MATCH(COLUMNS($AB$1006:AL1006),$AB$1006:$AQ$1006,0)), HYPERLINK("#",""), HYPERLINK(CONCATENATE("#Metadata!", ADDRESS(INDEX($W$2:$W$1001,MATCH(ROWS($U$2:U839),$U$2:$U$1001,0),0), INDEX($AB$1004:$AQ$1004,1,MATCH(COLUMNS($AB$1006:AL1006),$AB$1006:$AQ$1006,0)))),"Fix")))</f>
        <v>0</v>
      </c>
      <c r="M839" s="5">
        <f>IF(OR(INDEX($V$2:$V$1001,MATCH(ROWS($U$2:U839),$U$2:$U$1001,0),1)&gt;=100000,INDEX($AB$1005:$AQ$1005,1,MATCH(COLUMNS($AB$1006:AM1006),$AB$1006:$AQ$1006,0))&gt;=100000), " ",IF(INDEX($AB$2:$AQ$1001,MATCH(ROWS($U$2:U839),$U$2:$U$1001,0),MATCH(COLUMNS($AB$1006:AM1006),$AB$1006:$AQ$1006,0)), HYPERLINK("#",""), HYPERLINK(CONCATENATE("#Metadata!", ADDRESS(INDEX($W$2:$W$1001,MATCH(ROWS($U$2:U839),$U$2:$U$1001,0),0), INDEX($AB$1004:$AQ$1004,1,MATCH(COLUMNS($AB$1006:AM1006),$AB$1006:$AQ$1006,0)))),"Fix")))</f>
        <v>0</v>
      </c>
      <c r="N839" s="5">
        <f>IF(OR(INDEX($V$2:$V$1001,MATCH(ROWS($U$2:U839),$U$2:$U$1001,0),1)&gt;=100000,INDEX($AB$1005:$AQ$1005,1,MATCH(COLUMNS($AB$1006:AN1006),$AB$1006:$AQ$1006,0))&gt;=100000), " ",IF(INDEX($AB$2:$AQ$1001,MATCH(ROWS($U$2:U839),$U$2:$U$1001,0),MATCH(COLUMNS($AB$1006:AN1006),$AB$1006:$AQ$1006,0)), HYPERLINK("#",""), HYPERLINK(CONCATENATE("#Metadata!", ADDRESS(INDEX($W$2:$W$1001,MATCH(ROWS($U$2:U839),$U$2:$U$1001,0),0), INDEX($AB$1004:$AQ$1004,1,MATCH(COLUMNS($AB$1006:AN1006),$AB$1006:$AQ$1006,0)))),"Fix")))</f>
        <v>0</v>
      </c>
      <c r="O839" s="5">
        <f>IF(OR(INDEX($V$2:$V$1001,MATCH(ROWS($U$2:U839),$U$2:$U$1001,0),1)&gt;=100000,INDEX($AB$1005:$AQ$1005,1,MATCH(COLUMNS($AB$1006:AO1006),$AB$1006:$AQ$1006,0))&gt;=100000), " ",IF(INDEX($AB$2:$AQ$1001,MATCH(ROWS($U$2:U839),$U$2:$U$1001,0),MATCH(COLUMNS($AB$1006:AO1006),$AB$1006:$AQ$1006,0)), HYPERLINK("#",""), HYPERLINK(CONCATENATE("#Metadata!", ADDRESS(INDEX($W$2:$W$1001,MATCH(ROWS($U$2:U839),$U$2:$U$1001,0),0), INDEX($AB$1004:$AQ$1004,1,MATCH(COLUMNS($AB$1006:AO1006),$AB$1006:$AQ$1006,0)))),"Fix")))</f>
        <v>0</v>
      </c>
      <c r="P839" s="5">
        <f>IF(OR(INDEX($V$2:$V$1001,MATCH(ROWS($U$2:U839),$U$2:$U$1001,0),1)&gt;=100000,INDEX($AB$1005:$AQ$1005,1,MATCH(COLUMNS($AB$1006:AP1006),$AB$1006:$AQ$1006,0))&gt;=100000), " ",IF(INDEX($AB$2:$AQ$1001,MATCH(ROWS($U$2:U839),$U$2:$U$1001,0),MATCH(COLUMNS($AB$1006:AP1006),$AB$1006:$AQ$1006,0)), HYPERLINK("#",""), HYPERLINK(CONCATENATE("#Metadata!", ADDRESS(INDEX($W$2:$W$1001,MATCH(ROWS($U$2:U839),$U$2:$U$1001,0),0), INDEX($AB$1004:$AQ$1004,1,MATCH(COLUMNS($AB$1006:AP1006),$AB$1006:$AQ$1006,0)))),"Fix")))</f>
        <v>0</v>
      </c>
      <c r="Q839" s="5">
        <f>IF(OR(INDEX($V$2:$V$1001,MATCH(ROWS($U$2:U839),$U$2:$U$1001,0),1)&gt;=100000,INDEX($AB$1005:$AQ$1005,1,MATCH(COLUMNS($AB$1006:AQ1006),$AB$1006:$AQ$1006,0))&gt;=100000), " ",IF(INDEX($AB$2:$AQ$1001,MATCH(ROWS($U$2:U839),$U$2:$U$1001,0),MATCH(COLUMNS($AB$1006:AQ1006),$AB$1006:$AQ$1006,0)), HYPERLINK("#",""), HYPERLINK(CONCATENATE("#Metadata!", ADDRESS(INDEX($W$2:$W$1001,MATCH(ROWS($U$2:U839),$U$2:$U$1001,0),0), INDEX($AB$1004:$AQ$1004,1,MATCH(COLUMNS($AB$1006:AQ1006),$AB$1006:$AQ$1006,0)))),"Fix")))</f>
        <v>0</v>
      </c>
      <c r="U839">
        <v>0</v>
      </c>
      <c r="V839">
        <v>0</v>
      </c>
      <c r="W839">
        <v>0</v>
      </c>
      <c r="X839">
        <f>IF(Y839,TRUE,AND(AB839:AQ839))</f>
        <v>0</v>
      </c>
      <c r="Y839">
        <f>COUNTBLANK(Metadata!B839:Q839)=COLUMNS(Metadata!B839:Q839)</f>
        <v>0</v>
      </c>
      <c r="Z839">
        <v>0</v>
      </c>
      <c r="AB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AC839">
        <f>AND(IF(Metadata!C839="",FALSE,TRUE),exact(Metadata!C839,"urban biome"))</f>
        <v>0</v>
      </c>
      <c r="AD839">
        <f>AND(IF(Metadata!D839="",FALSE,TRUE),exact(Metadata!D839,"human-associated habitat"))</f>
        <v>0</v>
      </c>
      <c r="AE839">
        <f>AND(IF(Metadata!E839="",FALSE,TRUE),OR(exact(Metadata!E839,"human-associated"),exact(Metadata!E839,"human-skin"),exact(Metadata!E839,"human-oral"),exact(Metadata!E839,"human-gut"),exact(Metadata!E839,"human-vaginal")))</f>
        <v>0</v>
      </c>
      <c r="AF839">
        <f>AND(IF(Metadata!F839="",FALSE,ISNUMBER(VALUE(Metadata!F839))),Metadata!F839&gt;0)</f>
        <v>0</v>
      </c>
      <c r="AG839">
        <f>AND(IF(Metadata!G839="",FALSE,TRUE),exact(Metadata!G839,"years"))</f>
        <v>0</v>
      </c>
      <c r="AH839">
        <f>OR(AND(IF(Metadata!H839="",FALSE,TRUE),OR(exact(Metadata!H839,"not applicable"),exact(Metadata!H839,"not collected"),exact(Metadata!H839,"not provided"),exact(Metadata!H839,"restricted access"))),AND(IF(Metadata!H839="",FALSE,ISNUMBER(VALUE(Metadata!H839))),Metadata!H839&gt;0))</f>
        <v>0</v>
      </c>
      <c r="AI839">
        <f>AND(IF(Metadata!I839="",FALSE,TRUE),exact(Metadata!I839,"human"))</f>
        <v>0</v>
      </c>
      <c r="AJ839">
        <f>AND(IF(Metadata!J839="",FALSE,ISNUMBER(VALUE(Metadata!J839))),Metadata!J839&gt;0)</f>
        <v>0</v>
      </c>
      <c r="AK839">
        <f>AND(IF(Metadata!K839="",FALSE,TRUE),exact(Metadata!K839,"cm"))</f>
        <v>0</v>
      </c>
      <c r="AL839">
        <f>AND(IF(Metadata!L839="",FALSE,TRUE),exact(Metadata!L839,"Homo sapiens"))</f>
        <v>0</v>
      </c>
      <c r="AM839">
        <f>AND(IF(Metadata!M839="",FALSE,TRUE),exact(Metadata!M839,"9606"))</f>
        <v>0</v>
      </c>
      <c r="AN839">
        <f>AND(IF(Metadata!N839="",FALSE,ISNUMBER(VALUE(Metadata!N839))),Metadata!N839&gt;0)</f>
        <v>0</v>
      </c>
      <c r="AO839">
        <f>AND(IF(Metadata!O839="",FALSE,TRUE),exact(Metadata!O839,"kg"))</f>
        <v>0</v>
      </c>
      <c r="AP839">
        <f>OR(AND(IF(Metadata!P839="",FALSE,TRUE),exact(Metadata!P839,"not provided")),IF(Metadata!P839="",FALSE,TRUE))</f>
        <v>0</v>
      </c>
      <c r="AQ839">
        <f>OR(AND(IF(Metadata!Q839="",FALSE,TRUE),exact(Metadata!Q839,"not provided")),IF(Metadata!Q839="",FALSE,TRUE))</f>
        <v>0</v>
      </c>
    </row>
    <row r="840" spans="1:43">
      <c r="A840" s="4">
        <f>IF(B840=" "," ",HYPERLINK(CONCATENATE("#metadata!",ADDRESS(INDEX($W$2:$W$1001,MATCH(ROWS($U$2:U840),$U$2:$U$1001,0),0),2)),INDEX($Z$2:$Z$1001,MATCH(ROWS($U$2:U840),$U$2:$U$1001,0),0)))</f>
        <v>0</v>
      </c>
      <c r="B840" s="5">
        <f>IF(OR(INDEX($V$2:$V$1001,MATCH(ROWS($U$2:U840),$U$2:$U$1001,0),1)&gt;=100000,INDEX($AB$1005:$AQ$1005,1,MATCH(COLUMNS($AB$1006:AB1006),$AB$1006:$AQ$1006,0))&gt;=100000), " ",IF(INDEX($AB$2:$AQ$1001,MATCH(ROWS($U$2:U840),$U$2:$U$1001,0),MATCH(COLUMNS($AB$1006:AB1006),$AB$1006:$AQ$1006,0)), HYPERLINK("#",""), HYPERLINK(CONCATENATE("#Metadata!", ADDRESS(INDEX($W$2:$W$1001,MATCH(ROWS($U$2:U840),$U$2:$U$1001,0),0), INDEX($AB$1004:$AQ$1004,1,MATCH(COLUMNS($AB$1006:AB1006),$AB$1006:$AQ$1006,0)))),"Fix")))</f>
        <v>0</v>
      </c>
      <c r="C840" s="5">
        <f>IF(OR(INDEX($V$2:$V$1001,MATCH(ROWS($U$2:U840),$U$2:$U$1001,0),1)&gt;=100000,INDEX($AB$1005:$AQ$1005,1,MATCH(COLUMNS($AB$1006:AC1006),$AB$1006:$AQ$1006,0))&gt;=100000), " ",IF(INDEX($AB$2:$AQ$1001,MATCH(ROWS($U$2:U840),$U$2:$U$1001,0),MATCH(COLUMNS($AB$1006:AC1006),$AB$1006:$AQ$1006,0)), HYPERLINK("#",""), HYPERLINK(CONCATENATE("#Metadata!", ADDRESS(INDEX($W$2:$W$1001,MATCH(ROWS($U$2:U840),$U$2:$U$1001,0),0), INDEX($AB$1004:$AQ$1004,1,MATCH(COLUMNS($AB$1006:AC1006),$AB$1006:$AQ$1006,0)))),"Fix")))</f>
        <v>0</v>
      </c>
      <c r="D840" s="5">
        <f>IF(OR(INDEX($V$2:$V$1001,MATCH(ROWS($U$2:U840),$U$2:$U$1001,0),1)&gt;=100000,INDEX($AB$1005:$AQ$1005,1,MATCH(COLUMNS($AB$1006:AD1006),$AB$1006:$AQ$1006,0))&gt;=100000), " ",IF(INDEX($AB$2:$AQ$1001,MATCH(ROWS($U$2:U840),$U$2:$U$1001,0),MATCH(COLUMNS($AB$1006:AD1006),$AB$1006:$AQ$1006,0)), HYPERLINK("#",""), HYPERLINK(CONCATENATE("#Metadata!", ADDRESS(INDEX($W$2:$W$1001,MATCH(ROWS($U$2:U840),$U$2:$U$1001,0),0), INDEX($AB$1004:$AQ$1004,1,MATCH(COLUMNS($AB$1006:AD1006),$AB$1006:$AQ$1006,0)))),"Fix")))</f>
        <v>0</v>
      </c>
      <c r="E840" s="5">
        <f>IF(OR(INDEX($V$2:$V$1001,MATCH(ROWS($U$2:U840),$U$2:$U$1001,0),1)&gt;=100000,INDEX($AB$1005:$AQ$1005,1,MATCH(COLUMNS($AB$1006:AE1006),$AB$1006:$AQ$1006,0))&gt;=100000), " ",IF(INDEX($AB$2:$AQ$1001,MATCH(ROWS($U$2:U840),$U$2:$U$1001,0),MATCH(COLUMNS($AB$1006:AE1006),$AB$1006:$AQ$1006,0)), HYPERLINK("#",""), HYPERLINK(CONCATENATE("#Metadata!", ADDRESS(INDEX($W$2:$W$1001,MATCH(ROWS($U$2:U840),$U$2:$U$1001,0),0), INDEX($AB$1004:$AQ$1004,1,MATCH(COLUMNS($AB$1006:AE1006),$AB$1006:$AQ$1006,0)))),"Fix")))</f>
        <v>0</v>
      </c>
      <c r="F840" s="5">
        <f>IF(OR(INDEX($V$2:$V$1001,MATCH(ROWS($U$2:U840),$U$2:$U$1001,0),1)&gt;=100000,INDEX($AB$1005:$AQ$1005,1,MATCH(COLUMNS($AB$1006:AF1006),$AB$1006:$AQ$1006,0))&gt;=100000), " ",IF(INDEX($AB$2:$AQ$1001,MATCH(ROWS($U$2:U840),$U$2:$U$1001,0),MATCH(COLUMNS($AB$1006:AF1006),$AB$1006:$AQ$1006,0)), HYPERLINK("#",""), HYPERLINK(CONCATENATE("#Metadata!", ADDRESS(INDEX($W$2:$W$1001,MATCH(ROWS($U$2:U840),$U$2:$U$1001,0),0), INDEX($AB$1004:$AQ$1004,1,MATCH(COLUMNS($AB$1006:AF1006),$AB$1006:$AQ$1006,0)))),"Fix")))</f>
        <v>0</v>
      </c>
      <c r="G840" s="5">
        <f>IF(OR(INDEX($V$2:$V$1001,MATCH(ROWS($U$2:U840),$U$2:$U$1001,0),1)&gt;=100000,INDEX($AB$1005:$AQ$1005,1,MATCH(COLUMNS($AB$1006:AG1006),$AB$1006:$AQ$1006,0))&gt;=100000), " ",IF(INDEX($AB$2:$AQ$1001,MATCH(ROWS($U$2:U840),$U$2:$U$1001,0),MATCH(COLUMNS($AB$1006:AG1006),$AB$1006:$AQ$1006,0)), HYPERLINK("#",""), HYPERLINK(CONCATENATE("#Metadata!", ADDRESS(INDEX($W$2:$W$1001,MATCH(ROWS($U$2:U840),$U$2:$U$1001,0),0), INDEX($AB$1004:$AQ$1004,1,MATCH(COLUMNS($AB$1006:AG1006),$AB$1006:$AQ$1006,0)))),"Fix")))</f>
        <v>0</v>
      </c>
      <c r="H840" s="5">
        <f>IF(OR(INDEX($V$2:$V$1001,MATCH(ROWS($U$2:U840),$U$2:$U$1001,0),1)&gt;=100000,INDEX($AB$1005:$AQ$1005,1,MATCH(COLUMNS($AB$1006:AH1006),$AB$1006:$AQ$1006,0))&gt;=100000), " ",IF(INDEX($AB$2:$AQ$1001,MATCH(ROWS($U$2:U840),$U$2:$U$1001,0),MATCH(COLUMNS($AB$1006:AH1006),$AB$1006:$AQ$1006,0)), HYPERLINK("#",""), HYPERLINK(CONCATENATE("#Metadata!", ADDRESS(INDEX($W$2:$W$1001,MATCH(ROWS($U$2:U840),$U$2:$U$1001,0),0), INDEX($AB$1004:$AQ$1004,1,MATCH(COLUMNS($AB$1006:AH1006),$AB$1006:$AQ$1006,0)))),"Fix")))</f>
        <v>0</v>
      </c>
      <c r="I840" s="5">
        <f>IF(OR(INDEX($V$2:$V$1001,MATCH(ROWS($U$2:U840),$U$2:$U$1001,0),1)&gt;=100000,INDEX($AB$1005:$AQ$1005,1,MATCH(COLUMNS($AB$1006:AI1006),$AB$1006:$AQ$1006,0))&gt;=100000), " ",IF(INDEX($AB$2:$AQ$1001,MATCH(ROWS($U$2:U840),$U$2:$U$1001,0),MATCH(COLUMNS($AB$1006:AI1006),$AB$1006:$AQ$1006,0)), HYPERLINK("#",""), HYPERLINK(CONCATENATE("#Metadata!", ADDRESS(INDEX($W$2:$W$1001,MATCH(ROWS($U$2:U840),$U$2:$U$1001,0),0), INDEX($AB$1004:$AQ$1004,1,MATCH(COLUMNS($AB$1006:AI1006),$AB$1006:$AQ$1006,0)))),"Fix")))</f>
        <v>0</v>
      </c>
      <c r="J840" s="5">
        <f>IF(OR(INDEX($V$2:$V$1001,MATCH(ROWS($U$2:U840),$U$2:$U$1001,0),1)&gt;=100000,INDEX($AB$1005:$AQ$1005,1,MATCH(COLUMNS($AB$1006:AJ1006),$AB$1006:$AQ$1006,0))&gt;=100000), " ",IF(INDEX($AB$2:$AQ$1001,MATCH(ROWS($U$2:U840),$U$2:$U$1001,0),MATCH(COLUMNS($AB$1006:AJ1006),$AB$1006:$AQ$1006,0)), HYPERLINK("#",""), HYPERLINK(CONCATENATE("#Metadata!", ADDRESS(INDEX($W$2:$W$1001,MATCH(ROWS($U$2:U840),$U$2:$U$1001,0),0), INDEX($AB$1004:$AQ$1004,1,MATCH(COLUMNS($AB$1006:AJ1006),$AB$1006:$AQ$1006,0)))),"Fix")))</f>
        <v>0</v>
      </c>
      <c r="K840" s="5">
        <f>IF(OR(INDEX($V$2:$V$1001,MATCH(ROWS($U$2:U840),$U$2:$U$1001,0),1)&gt;=100000,INDEX($AB$1005:$AQ$1005,1,MATCH(COLUMNS($AB$1006:AK1006),$AB$1006:$AQ$1006,0))&gt;=100000), " ",IF(INDEX($AB$2:$AQ$1001,MATCH(ROWS($U$2:U840),$U$2:$U$1001,0),MATCH(COLUMNS($AB$1006:AK1006),$AB$1006:$AQ$1006,0)), HYPERLINK("#",""), HYPERLINK(CONCATENATE("#Metadata!", ADDRESS(INDEX($W$2:$W$1001,MATCH(ROWS($U$2:U840),$U$2:$U$1001,0),0), INDEX($AB$1004:$AQ$1004,1,MATCH(COLUMNS($AB$1006:AK1006),$AB$1006:$AQ$1006,0)))),"Fix")))</f>
        <v>0</v>
      </c>
      <c r="L840" s="5">
        <f>IF(OR(INDEX($V$2:$V$1001,MATCH(ROWS($U$2:U840),$U$2:$U$1001,0),1)&gt;=100000,INDEX($AB$1005:$AQ$1005,1,MATCH(COLUMNS($AB$1006:AL1006),$AB$1006:$AQ$1006,0))&gt;=100000), " ",IF(INDEX($AB$2:$AQ$1001,MATCH(ROWS($U$2:U840),$U$2:$U$1001,0),MATCH(COLUMNS($AB$1006:AL1006),$AB$1006:$AQ$1006,0)), HYPERLINK("#",""), HYPERLINK(CONCATENATE("#Metadata!", ADDRESS(INDEX($W$2:$W$1001,MATCH(ROWS($U$2:U840),$U$2:$U$1001,0),0), INDEX($AB$1004:$AQ$1004,1,MATCH(COLUMNS($AB$1006:AL1006),$AB$1006:$AQ$1006,0)))),"Fix")))</f>
        <v>0</v>
      </c>
      <c r="M840" s="5">
        <f>IF(OR(INDEX($V$2:$V$1001,MATCH(ROWS($U$2:U840),$U$2:$U$1001,0),1)&gt;=100000,INDEX($AB$1005:$AQ$1005,1,MATCH(COLUMNS($AB$1006:AM1006),$AB$1006:$AQ$1006,0))&gt;=100000), " ",IF(INDEX($AB$2:$AQ$1001,MATCH(ROWS($U$2:U840),$U$2:$U$1001,0),MATCH(COLUMNS($AB$1006:AM1006),$AB$1006:$AQ$1006,0)), HYPERLINK("#",""), HYPERLINK(CONCATENATE("#Metadata!", ADDRESS(INDEX($W$2:$W$1001,MATCH(ROWS($U$2:U840),$U$2:$U$1001,0),0), INDEX($AB$1004:$AQ$1004,1,MATCH(COLUMNS($AB$1006:AM1006),$AB$1006:$AQ$1006,0)))),"Fix")))</f>
        <v>0</v>
      </c>
      <c r="N840" s="5">
        <f>IF(OR(INDEX($V$2:$V$1001,MATCH(ROWS($U$2:U840),$U$2:$U$1001,0),1)&gt;=100000,INDEX($AB$1005:$AQ$1005,1,MATCH(COLUMNS($AB$1006:AN1006),$AB$1006:$AQ$1006,0))&gt;=100000), " ",IF(INDEX($AB$2:$AQ$1001,MATCH(ROWS($U$2:U840),$U$2:$U$1001,0),MATCH(COLUMNS($AB$1006:AN1006),$AB$1006:$AQ$1006,0)), HYPERLINK("#",""), HYPERLINK(CONCATENATE("#Metadata!", ADDRESS(INDEX($W$2:$W$1001,MATCH(ROWS($U$2:U840),$U$2:$U$1001,0),0), INDEX($AB$1004:$AQ$1004,1,MATCH(COLUMNS($AB$1006:AN1006),$AB$1006:$AQ$1006,0)))),"Fix")))</f>
        <v>0</v>
      </c>
      <c r="O840" s="5">
        <f>IF(OR(INDEX($V$2:$V$1001,MATCH(ROWS($U$2:U840),$U$2:$U$1001,0),1)&gt;=100000,INDEX($AB$1005:$AQ$1005,1,MATCH(COLUMNS($AB$1006:AO1006),$AB$1006:$AQ$1006,0))&gt;=100000), " ",IF(INDEX($AB$2:$AQ$1001,MATCH(ROWS($U$2:U840),$U$2:$U$1001,0),MATCH(COLUMNS($AB$1006:AO1006),$AB$1006:$AQ$1006,0)), HYPERLINK("#",""), HYPERLINK(CONCATENATE("#Metadata!", ADDRESS(INDEX($W$2:$W$1001,MATCH(ROWS($U$2:U840),$U$2:$U$1001,0),0), INDEX($AB$1004:$AQ$1004,1,MATCH(COLUMNS($AB$1006:AO1006),$AB$1006:$AQ$1006,0)))),"Fix")))</f>
        <v>0</v>
      </c>
      <c r="P840" s="5">
        <f>IF(OR(INDEX($V$2:$V$1001,MATCH(ROWS($U$2:U840),$U$2:$U$1001,0),1)&gt;=100000,INDEX($AB$1005:$AQ$1005,1,MATCH(COLUMNS($AB$1006:AP1006),$AB$1006:$AQ$1006,0))&gt;=100000), " ",IF(INDEX($AB$2:$AQ$1001,MATCH(ROWS($U$2:U840),$U$2:$U$1001,0),MATCH(COLUMNS($AB$1006:AP1006),$AB$1006:$AQ$1006,0)), HYPERLINK("#",""), HYPERLINK(CONCATENATE("#Metadata!", ADDRESS(INDEX($W$2:$W$1001,MATCH(ROWS($U$2:U840),$U$2:$U$1001,0),0), INDEX($AB$1004:$AQ$1004,1,MATCH(COLUMNS($AB$1006:AP1006),$AB$1006:$AQ$1006,0)))),"Fix")))</f>
        <v>0</v>
      </c>
      <c r="Q840" s="5">
        <f>IF(OR(INDEX($V$2:$V$1001,MATCH(ROWS($U$2:U840),$U$2:$U$1001,0),1)&gt;=100000,INDEX($AB$1005:$AQ$1005,1,MATCH(COLUMNS($AB$1006:AQ1006),$AB$1006:$AQ$1006,0))&gt;=100000), " ",IF(INDEX($AB$2:$AQ$1001,MATCH(ROWS($U$2:U840),$U$2:$U$1001,0),MATCH(COLUMNS($AB$1006:AQ1006),$AB$1006:$AQ$1006,0)), HYPERLINK("#",""), HYPERLINK(CONCATENATE("#Metadata!", ADDRESS(INDEX($W$2:$W$1001,MATCH(ROWS($U$2:U840),$U$2:$U$1001,0),0), INDEX($AB$1004:$AQ$1004,1,MATCH(COLUMNS($AB$1006:AQ1006),$AB$1006:$AQ$1006,0)))),"Fix")))</f>
        <v>0</v>
      </c>
      <c r="U840">
        <v>0</v>
      </c>
      <c r="V840">
        <v>0</v>
      </c>
      <c r="W840">
        <v>0</v>
      </c>
      <c r="X840">
        <f>IF(Y840,TRUE,AND(AB840:AQ840))</f>
        <v>0</v>
      </c>
      <c r="Y840">
        <f>COUNTBLANK(Metadata!B840:Q840)=COLUMNS(Metadata!B840:Q840)</f>
        <v>0</v>
      </c>
      <c r="Z840">
        <v>0</v>
      </c>
      <c r="AB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AC840">
        <f>AND(IF(Metadata!C840="",FALSE,TRUE),exact(Metadata!C840,"urban biome"))</f>
        <v>0</v>
      </c>
      <c r="AD840">
        <f>AND(IF(Metadata!D840="",FALSE,TRUE),exact(Metadata!D840,"human-associated habitat"))</f>
        <v>0</v>
      </c>
      <c r="AE840">
        <f>AND(IF(Metadata!E840="",FALSE,TRUE),OR(exact(Metadata!E840,"human-associated"),exact(Metadata!E840,"human-skin"),exact(Metadata!E840,"human-oral"),exact(Metadata!E840,"human-gut"),exact(Metadata!E840,"human-vaginal")))</f>
        <v>0</v>
      </c>
      <c r="AF840">
        <f>AND(IF(Metadata!F840="",FALSE,ISNUMBER(VALUE(Metadata!F840))),Metadata!F840&gt;0)</f>
        <v>0</v>
      </c>
      <c r="AG840">
        <f>AND(IF(Metadata!G840="",FALSE,TRUE),exact(Metadata!G840,"years"))</f>
        <v>0</v>
      </c>
      <c r="AH840">
        <f>OR(AND(IF(Metadata!H840="",FALSE,TRUE),OR(exact(Metadata!H840,"not applicable"),exact(Metadata!H840,"not collected"),exact(Metadata!H840,"not provided"),exact(Metadata!H840,"restricted access"))),AND(IF(Metadata!H840="",FALSE,ISNUMBER(VALUE(Metadata!H840))),Metadata!H840&gt;0))</f>
        <v>0</v>
      </c>
      <c r="AI840">
        <f>AND(IF(Metadata!I840="",FALSE,TRUE),exact(Metadata!I840,"human"))</f>
        <v>0</v>
      </c>
      <c r="AJ840">
        <f>AND(IF(Metadata!J840="",FALSE,ISNUMBER(VALUE(Metadata!J840))),Metadata!J840&gt;0)</f>
        <v>0</v>
      </c>
      <c r="AK840">
        <f>AND(IF(Metadata!K840="",FALSE,TRUE),exact(Metadata!K840,"cm"))</f>
        <v>0</v>
      </c>
      <c r="AL840">
        <f>AND(IF(Metadata!L840="",FALSE,TRUE),exact(Metadata!L840,"Homo sapiens"))</f>
        <v>0</v>
      </c>
      <c r="AM840">
        <f>AND(IF(Metadata!M840="",FALSE,TRUE),exact(Metadata!M840,"9606"))</f>
        <v>0</v>
      </c>
      <c r="AN840">
        <f>AND(IF(Metadata!N840="",FALSE,ISNUMBER(VALUE(Metadata!N840))),Metadata!N840&gt;0)</f>
        <v>0</v>
      </c>
      <c r="AO840">
        <f>AND(IF(Metadata!O840="",FALSE,TRUE),exact(Metadata!O840,"kg"))</f>
        <v>0</v>
      </c>
      <c r="AP840">
        <f>OR(AND(IF(Metadata!P840="",FALSE,TRUE),exact(Metadata!P840,"not provided")),IF(Metadata!P840="",FALSE,TRUE))</f>
        <v>0</v>
      </c>
      <c r="AQ840">
        <f>OR(AND(IF(Metadata!Q840="",FALSE,TRUE),exact(Metadata!Q840,"not provided")),IF(Metadata!Q840="",FALSE,TRUE))</f>
        <v>0</v>
      </c>
    </row>
    <row r="841" spans="1:43">
      <c r="A841" s="4">
        <f>IF(B841=" "," ",HYPERLINK(CONCATENATE("#metadata!",ADDRESS(INDEX($W$2:$W$1001,MATCH(ROWS($U$2:U841),$U$2:$U$1001,0),0),2)),INDEX($Z$2:$Z$1001,MATCH(ROWS($U$2:U841),$U$2:$U$1001,0),0)))</f>
        <v>0</v>
      </c>
      <c r="B841" s="5">
        <f>IF(OR(INDEX($V$2:$V$1001,MATCH(ROWS($U$2:U841),$U$2:$U$1001,0),1)&gt;=100000,INDEX($AB$1005:$AQ$1005,1,MATCH(COLUMNS($AB$1006:AB1006),$AB$1006:$AQ$1006,0))&gt;=100000), " ",IF(INDEX($AB$2:$AQ$1001,MATCH(ROWS($U$2:U841),$U$2:$U$1001,0),MATCH(COLUMNS($AB$1006:AB1006),$AB$1006:$AQ$1006,0)), HYPERLINK("#",""), HYPERLINK(CONCATENATE("#Metadata!", ADDRESS(INDEX($W$2:$W$1001,MATCH(ROWS($U$2:U841),$U$2:$U$1001,0),0), INDEX($AB$1004:$AQ$1004,1,MATCH(COLUMNS($AB$1006:AB1006),$AB$1006:$AQ$1006,0)))),"Fix")))</f>
        <v>0</v>
      </c>
      <c r="C841" s="5">
        <f>IF(OR(INDEX($V$2:$V$1001,MATCH(ROWS($U$2:U841),$U$2:$U$1001,0),1)&gt;=100000,INDEX($AB$1005:$AQ$1005,1,MATCH(COLUMNS($AB$1006:AC1006),$AB$1006:$AQ$1006,0))&gt;=100000), " ",IF(INDEX($AB$2:$AQ$1001,MATCH(ROWS($U$2:U841),$U$2:$U$1001,0),MATCH(COLUMNS($AB$1006:AC1006),$AB$1006:$AQ$1006,0)), HYPERLINK("#",""), HYPERLINK(CONCATENATE("#Metadata!", ADDRESS(INDEX($W$2:$W$1001,MATCH(ROWS($U$2:U841),$U$2:$U$1001,0),0), INDEX($AB$1004:$AQ$1004,1,MATCH(COLUMNS($AB$1006:AC1006),$AB$1006:$AQ$1006,0)))),"Fix")))</f>
        <v>0</v>
      </c>
      <c r="D841" s="5">
        <f>IF(OR(INDEX($V$2:$V$1001,MATCH(ROWS($U$2:U841),$U$2:$U$1001,0),1)&gt;=100000,INDEX($AB$1005:$AQ$1005,1,MATCH(COLUMNS($AB$1006:AD1006),$AB$1006:$AQ$1006,0))&gt;=100000), " ",IF(INDEX($AB$2:$AQ$1001,MATCH(ROWS($U$2:U841),$U$2:$U$1001,0),MATCH(COLUMNS($AB$1006:AD1006),$AB$1006:$AQ$1006,0)), HYPERLINK("#",""), HYPERLINK(CONCATENATE("#Metadata!", ADDRESS(INDEX($W$2:$W$1001,MATCH(ROWS($U$2:U841),$U$2:$U$1001,0),0), INDEX($AB$1004:$AQ$1004,1,MATCH(COLUMNS($AB$1006:AD1006),$AB$1006:$AQ$1006,0)))),"Fix")))</f>
        <v>0</v>
      </c>
      <c r="E841" s="5">
        <f>IF(OR(INDEX($V$2:$V$1001,MATCH(ROWS($U$2:U841),$U$2:$U$1001,0),1)&gt;=100000,INDEX($AB$1005:$AQ$1005,1,MATCH(COLUMNS($AB$1006:AE1006),$AB$1006:$AQ$1006,0))&gt;=100000), " ",IF(INDEX($AB$2:$AQ$1001,MATCH(ROWS($U$2:U841),$U$2:$U$1001,0),MATCH(COLUMNS($AB$1006:AE1006),$AB$1006:$AQ$1006,0)), HYPERLINK("#",""), HYPERLINK(CONCATENATE("#Metadata!", ADDRESS(INDEX($W$2:$W$1001,MATCH(ROWS($U$2:U841),$U$2:$U$1001,0),0), INDEX($AB$1004:$AQ$1004,1,MATCH(COLUMNS($AB$1006:AE1006),$AB$1006:$AQ$1006,0)))),"Fix")))</f>
        <v>0</v>
      </c>
      <c r="F841" s="5">
        <f>IF(OR(INDEX($V$2:$V$1001,MATCH(ROWS($U$2:U841),$U$2:$U$1001,0),1)&gt;=100000,INDEX($AB$1005:$AQ$1005,1,MATCH(COLUMNS($AB$1006:AF1006),$AB$1006:$AQ$1006,0))&gt;=100000), " ",IF(INDEX($AB$2:$AQ$1001,MATCH(ROWS($U$2:U841),$U$2:$U$1001,0),MATCH(COLUMNS($AB$1006:AF1006),$AB$1006:$AQ$1006,0)), HYPERLINK("#",""), HYPERLINK(CONCATENATE("#Metadata!", ADDRESS(INDEX($W$2:$W$1001,MATCH(ROWS($U$2:U841),$U$2:$U$1001,0),0), INDEX($AB$1004:$AQ$1004,1,MATCH(COLUMNS($AB$1006:AF1006),$AB$1006:$AQ$1006,0)))),"Fix")))</f>
        <v>0</v>
      </c>
      <c r="G841" s="5">
        <f>IF(OR(INDEX($V$2:$V$1001,MATCH(ROWS($U$2:U841),$U$2:$U$1001,0),1)&gt;=100000,INDEX($AB$1005:$AQ$1005,1,MATCH(COLUMNS($AB$1006:AG1006),$AB$1006:$AQ$1006,0))&gt;=100000), " ",IF(INDEX($AB$2:$AQ$1001,MATCH(ROWS($U$2:U841),$U$2:$U$1001,0),MATCH(COLUMNS($AB$1006:AG1006),$AB$1006:$AQ$1006,0)), HYPERLINK("#",""), HYPERLINK(CONCATENATE("#Metadata!", ADDRESS(INDEX($W$2:$W$1001,MATCH(ROWS($U$2:U841),$U$2:$U$1001,0),0), INDEX($AB$1004:$AQ$1004,1,MATCH(COLUMNS($AB$1006:AG1006),$AB$1006:$AQ$1006,0)))),"Fix")))</f>
        <v>0</v>
      </c>
      <c r="H841" s="5">
        <f>IF(OR(INDEX($V$2:$V$1001,MATCH(ROWS($U$2:U841),$U$2:$U$1001,0),1)&gt;=100000,INDEX($AB$1005:$AQ$1005,1,MATCH(COLUMNS($AB$1006:AH1006),$AB$1006:$AQ$1006,0))&gt;=100000), " ",IF(INDEX($AB$2:$AQ$1001,MATCH(ROWS($U$2:U841),$U$2:$U$1001,0),MATCH(COLUMNS($AB$1006:AH1006),$AB$1006:$AQ$1006,0)), HYPERLINK("#",""), HYPERLINK(CONCATENATE("#Metadata!", ADDRESS(INDEX($W$2:$W$1001,MATCH(ROWS($U$2:U841),$U$2:$U$1001,0),0), INDEX($AB$1004:$AQ$1004,1,MATCH(COLUMNS($AB$1006:AH1006),$AB$1006:$AQ$1006,0)))),"Fix")))</f>
        <v>0</v>
      </c>
      <c r="I841" s="5">
        <f>IF(OR(INDEX($V$2:$V$1001,MATCH(ROWS($U$2:U841),$U$2:$U$1001,0),1)&gt;=100000,INDEX($AB$1005:$AQ$1005,1,MATCH(COLUMNS($AB$1006:AI1006),$AB$1006:$AQ$1006,0))&gt;=100000), " ",IF(INDEX($AB$2:$AQ$1001,MATCH(ROWS($U$2:U841),$U$2:$U$1001,0),MATCH(COLUMNS($AB$1006:AI1006),$AB$1006:$AQ$1006,0)), HYPERLINK("#",""), HYPERLINK(CONCATENATE("#Metadata!", ADDRESS(INDEX($W$2:$W$1001,MATCH(ROWS($U$2:U841),$U$2:$U$1001,0),0), INDEX($AB$1004:$AQ$1004,1,MATCH(COLUMNS($AB$1006:AI1006),$AB$1006:$AQ$1006,0)))),"Fix")))</f>
        <v>0</v>
      </c>
      <c r="J841" s="5">
        <f>IF(OR(INDEX($V$2:$V$1001,MATCH(ROWS($U$2:U841),$U$2:$U$1001,0),1)&gt;=100000,INDEX($AB$1005:$AQ$1005,1,MATCH(COLUMNS($AB$1006:AJ1006),$AB$1006:$AQ$1006,0))&gt;=100000), " ",IF(INDEX($AB$2:$AQ$1001,MATCH(ROWS($U$2:U841),$U$2:$U$1001,0),MATCH(COLUMNS($AB$1006:AJ1006),$AB$1006:$AQ$1006,0)), HYPERLINK("#",""), HYPERLINK(CONCATENATE("#Metadata!", ADDRESS(INDEX($W$2:$W$1001,MATCH(ROWS($U$2:U841),$U$2:$U$1001,0),0), INDEX($AB$1004:$AQ$1004,1,MATCH(COLUMNS($AB$1006:AJ1006),$AB$1006:$AQ$1006,0)))),"Fix")))</f>
        <v>0</v>
      </c>
      <c r="K841" s="5">
        <f>IF(OR(INDEX($V$2:$V$1001,MATCH(ROWS($U$2:U841),$U$2:$U$1001,0),1)&gt;=100000,INDEX($AB$1005:$AQ$1005,1,MATCH(COLUMNS($AB$1006:AK1006),$AB$1006:$AQ$1006,0))&gt;=100000), " ",IF(INDEX($AB$2:$AQ$1001,MATCH(ROWS($U$2:U841),$U$2:$U$1001,0),MATCH(COLUMNS($AB$1006:AK1006),$AB$1006:$AQ$1006,0)), HYPERLINK("#",""), HYPERLINK(CONCATENATE("#Metadata!", ADDRESS(INDEX($W$2:$W$1001,MATCH(ROWS($U$2:U841),$U$2:$U$1001,0),0), INDEX($AB$1004:$AQ$1004,1,MATCH(COLUMNS($AB$1006:AK1006),$AB$1006:$AQ$1006,0)))),"Fix")))</f>
        <v>0</v>
      </c>
      <c r="L841" s="5">
        <f>IF(OR(INDEX($V$2:$V$1001,MATCH(ROWS($U$2:U841),$U$2:$U$1001,0),1)&gt;=100000,INDEX($AB$1005:$AQ$1005,1,MATCH(COLUMNS($AB$1006:AL1006),$AB$1006:$AQ$1006,0))&gt;=100000), " ",IF(INDEX($AB$2:$AQ$1001,MATCH(ROWS($U$2:U841),$U$2:$U$1001,0),MATCH(COLUMNS($AB$1006:AL1006),$AB$1006:$AQ$1006,0)), HYPERLINK("#",""), HYPERLINK(CONCATENATE("#Metadata!", ADDRESS(INDEX($W$2:$W$1001,MATCH(ROWS($U$2:U841),$U$2:$U$1001,0),0), INDEX($AB$1004:$AQ$1004,1,MATCH(COLUMNS($AB$1006:AL1006),$AB$1006:$AQ$1006,0)))),"Fix")))</f>
        <v>0</v>
      </c>
      <c r="M841" s="5">
        <f>IF(OR(INDEX($V$2:$V$1001,MATCH(ROWS($U$2:U841),$U$2:$U$1001,0),1)&gt;=100000,INDEX($AB$1005:$AQ$1005,1,MATCH(COLUMNS($AB$1006:AM1006),$AB$1006:$AQ$1006,0))&gt;=100000), " ",IF(INDEX($AB$2:$AQ$1001,MATCH(ROWS($U$2:U841),$U$2:$U$1001,0),MATCH(COLUMNS($AB$1006:AM1006),$AB$1006:$AQ$1006,0)), HYPERLINK("#",""), HYPERLINK(CONCATENATE("#Metadata!", ADDRESS(INDEX($W$2:$W$1001,MATCH(ROWS($U$2:U841),$U$2:$U$1001,0),0), INDEX($AB$1004:$AQ$1004,1,MATCH(COLUMNS($AB$1006:AM1006),$AB$1006:$AQ$1006,0)))),"Fix")))</f>
        <v>0</v>
      </c>
      <c r="N841" s="5">
        <f>IF(OR(INDEX($V$2:$V$1001,MATCH(ROWS($U$2:U841),$U$2:$U$1001,0),1)&gt;=100000,INDEX($AB$1005:$AQ$1005,1,MATCH(COLUMNS($AB$1006:AN1006),$AB$1006:$AQ$1006,0))&gt;=100000), " ",IF(INDEX($AB$2:$AQ$1001,MATCH(ROWS($U$2:U841),$U$2:$U$1001,0),MATCH(COLUMNS($AB$1006:AN1006),$AB$1006:$AQ$1006,0)), HYPERLINK("#",""), HYPERLINK(CONCATENATE("#Metadata!", ADDRESS(INDEX($W$2:$W$1001,MATCH(ROWS($U$2:U841),$U$2:$U$1001,0),0), INDEX($AB$1004:$AQ$1004,1,MATCH(COLUMNS($AB$1006:AN1006),$AB$1006:$AQ$1006,0)))),"Fix")))</f>
        <v>0</v>
      </c>
      <c r="O841" s="5">
        <f>IF(OR(INDEX($V$2:$V$1001,MATCH(ROWS($U$2:U841),$U$2:$U$1001,0),1)&gt;=100000,INDEX($AB$1005:$AQ$1005,1,MATCH(COLUMNS($AB$1006:AO1006),$AB$1006:$AQ$1006,0))&gt;=100000), " ",IF(INDEX($AB$2:$AQ$1001,MATCH(ROWS($U$2:U841),$U$2:$U$1001,0),MATCH(COLUMNS($AB$1006:AO1006),$AB$1006:$AQ$1006,0)), HYPERLINK("#",""), HYPERLINK(CONCATENATE("#Metadata!", ADDRESS(INDEX($W$2:$W$1001,MATCH(ROWS($U$2:U841),$U$2:$U$1001,0),0), INDEX($AB$1004:$AQ$1004,1,MATCH(COLUMNS($AB$1006:AO1006),$AB$1006:$AQ$1006,0)))),"Fix")))</f>
        <v>0</v>
      </c>
      <c r="P841" s="5">
        <f>IF(OR(INDEX($V$2:$V$1001,MATCH(ROWS($U$2:U841),$U$2:$U$1001,0),1)&gt;=100000,INDEX($AB$1005:$AQ$1005,1,MATCH(COLUMNS($AB$1006:AP1006),$AB$1006:$AQ$1006,0))&gt;=100000), " ",IF(INDEX($AB$2:$AQ$1001,MATCH(ROWS($U$2:U841),$U$2:$U$1001,0),MATCH(COLUMNS($AB$1006:AP1006),$AB$1006:$AQ$1006,0)), HYPERLINK("#",""), HYPERLINK(CONCATENATE("#Metadata!", ADDRESS(INDEX($W$2:$W$1001,MATCH(ROWS($U$2:U841),$U$2:$U$1001,0),0), INDEX($AB$1004:$AQ$1004,1,MATCH(COLUMNS($AB$1006:AP1006),$AB$1006:$AQ$1006,0)))),"Fix")))</f>
        <v>0</v>
      </c>
      <c r="Q841" s="5">
        <f>IF(OR(INDEX($V$2:$V$1001,MATCH(ROWS($U$2:U841),$U$2:$U$1001,0),1)&gt;=100000,INDEX($AB$1005:$AQ$1005,1,MATCH(COLUMNS($AB$1006:AQ1006),$AB$1006:$AQ$1006,0))&gt;=100000), " ",IF(INDEX($AB$2:$AQ$1001,MATCH(ROWS($U$2:U841),$U$2:$U$1001,0),MATCH(COLUMNS($AB$1006:AQ1006),$AB$1006:$AQ$1006,0)), HYPERLINK("#",""), HYPERLINK(CONCATENATE("#Metadata!", ADDRESS(INDEX($W$2:$W$1001,MATCH(ROWS($U$2:U841),$U$2:$U$1001,0),0), INDEX($AB$1004:$AQ$1004,1,MATCH(COLUMNS($AB$1006:AQ1006),$AB$1006:$AQ$1006,0)))),"Fix")))</f>
        <v>0</v>
      </c>
      <c r="U841">
        <v>0</v>
      </c>
      <c r="V841">
        <v>0</v>
      </c>
      <c r="W841">
        <v>0</v>
      </c>
      <c r="X841">
        <f>IF(Y841,TRUE,AND(AB841:AQ841))</f>
        <v>0</v>
      </c>
      <c r="Y841">
        <f>COUNTBLANK(Metadata!B841:Q841)=COLUMNS(Metadata!B841:Q841)</f>
        <v>0</v>
      </c>
      <c r="Z841">
        <v>0</v>
      </c>
      <c r="AB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AC841">
        <f>AND(IF(Metadata!C841="",FALSE,TRUE),exact(Metadata!C841,"urban biome"))</f>
        <v>0</v>
      </c>
      <c r="AD841">
        <f>AND(IF(Metadata!D841="",FALSE,TRUE),exact(Metadata!D841,"human-associated habitat"))</f>
        <v>0</v>
      </c>
      <c r="AE841">
        <f>AND(IF(Metadata!E841="",FALSE,TRUE),OR(exact(Metadata!E841,"human-associated"),exact(Metadata!E841,"human-skin"),exact(Metadata!E841,"human-oral"),exact(Metadata!E841,"human-gut"),exact(Metadata!E841,"human-vaginal")))</f>
        <v>0</v>
      </c>
      <c r="AF841">
        <f>AND(IF(Metadata!F841="",FALSE,ISNUMBER(VALUE(Metadata!F841))),Metadata!F841&gt;0)</f>
        <v>0</v>
      </c>
      <c r="AG841">
        <f>AND(IF(Metadata!G841="",FALSE,TRUE),exact(Metadata!G841,"years"))</f>
        <v>0</v>
      </c>
      <c r="AH841">
        <f>OR(AND(IF(Metadata!H841="",FALSE,TRUE),OR(exact(Metadata!H841,"not applicable"),exact(Metadata!H841,"not collected"),exact(Metadata!H841,"not provided"),exact(Metadata!H841,"restricted access"))),AND(IF(Metadata!H841="",FALSE,ISNUMBER(VALUE(Metadata!H841))),Metadata!H841&gt;0))</f>
        <v>0</v>
      </c>
      <c r="AI841">
        <f>AND(IF(Metadata!I841="",FALSE,TRUE),exact(Metadata!I841,"human"))</f>
        <v>0</v>
      </c>
      <c r="AJ841">
        <f>AND(IF(Metadata!J841="",FALSE,ISNUMBER(VALUE(Metadata!J841))),Metadata!J841&gt;0)</f>
        <v>0</v>
      </c>
      <c r="AK841">
        <f>AND(IF(Metadata!K841="",FALSE,TRUE),exact(Metadata!K841,"cm"))</f>
        <v>0</v>
      </c>
      <c r="AL841">
        <f>AND(IF(Metadata!L841="",FALSE,TRUE),exact(Metadata!L841,"Homo sapiens"))</f>
        <v>0</v>
      </c>
      <c r="AM841">
        <f>AND(IF(Metadata!M841="",FALSE,TRUE),exact(Metadata!M841,"9606"))</f>
        <v>0</v>
      </c>
      <c r="AN841">
        <f>AND(IF(Metadata!N841="",FALSE,ISNUMBER(VALUE(Metadata!N841))),Metadata!N841&gt;0)</f>
        <v>0</v>
      </c>
      <c r="AO841">
        <f>AND(IF(Metadata!O841="",FALSE,TRUE),exact(Metadata!O841,"kg"))</f>
        <v>0</v>
      </c>
      <c r="AP841">
        <f>OR(AND(IF(Metadata!P841="",FALSE,TRUE),exact(Metadata!P841,"not provided")),IF(Metadata!P841="",FALSE,TRUE))</f>
        <v>0</v>
      </c>
      <c r="AQ841">
        <f>OR(AND(IF(Metadata!Q841="",FALSE,TRUE),exact(Metadata!Q841,"not provided")),IF(Metadata!Q841="",FALSE,TRUE))</f>
        <v>0</v>
      </c>
    </row>
    <row r="842" spans="1:43">
      <c r="A842" s="4">
        <f>IF(B842=" "," ",HYPERLINK(CONCATENATE("#metadata!",ADDRESS(INDEX($W$2:$W$1001,MATCH(ROWS($U$2:U842),$U$2:$U$1001,0),0),2)),INDEX($Z$2:$Z$1001,MATCH(ROWS($U$2:U842),$U$2:$U$1001,0),0)))</f>
        <v>0</v>
      </c>
      <c r="B842" s="5">
        <f>IF(OR(INDEX($V$2:$V$1001,MATCH(ROWS($U$2:U842),$U$2:$U$1001,0),1)&gt;=100000,INDEX($AB$1005:$AQ$1005,1,MATCH(COLUMNS($AB$1006:AB1006),$AB$1006:$AQ$1006,0))&gt;=100000), " ",IF(INDEX($AB$2:$AQ$1001,MATCH(ROWS($U$2:U842),$U$2:$U$1001,0),MATCH(COLUMNS($AB$1006:AB1006),$AB$1006:$AQ$1006,0)), HYPERLINK("#",""), HYPERLINK(CONCATENATE("#Metadata!", ADDRESS(INDEX($W$2:$W$1001,MATCH(ROWS($U$2:U842),$U$2:$U$1001,0),0), INDEX($AB$1004:$AQ$1004,1,MATCH(COLUMNS($AB$1006:AB1006),$AB$1006:$AQ$1006,0)))),"Fix")))</f>
        <v>0</v>
      </c>
      <c r="C842" s="5">
        <f>IF(OR(INDEX($V$2:$V$1001,MATCH(ROWS($U$2:U842),$U$2:$U$1001,0),1)&gt;=100000,INDEX($AB$1005:$AQ$1005,1,MATCH(COLUMNS($AB$1006:AC1006),$AB$1006:$AQ$1006,0))&gt;=100000), " ",IF(INDEX($AB$2:$AQ$1001,MATCH(ROWS($U$2:U842),$U$2:$U$1001,0),MATCH(COLUMNS($AB$1006:AC1006),$AB$1006:$AQ$1006,0)), HYPERLINK("#",""), HYPERLINK(CONCATENATE("#Metadata!", ADDRESS(INDEX($W$2:$W$1001,MATCH(ROWS($U$2:U842),$U$2:$U$1001,0),0), INDEX($AB$1004:$AQ$1004,1,MATCH(COLUMNS($AB$1006:AC1006),$AB$1006:$AQ$1006,0)))),"Fix")))</f>
        <v>0</v>
      </c>
      <c r="D842" s="5">
        <f>IF(OR(INDEX($V$2:$V$1001,MATCH(ROWS($U$2:U842),$U$2:$U$1001,0),1)&gt;=100000,INDEX($AB$1005:$AQ$1005,1,MATCH(COLUMNS($AB$1006:AD1006),$AB$1006:$AQ$1006,0))&gt;=100000), " ",IF(INDEX($AB$2:$AQ$1001,MATCH(ROWS($U$2:U842),$U$2:$U$1001,0),MATCH(COLUMNS($AB$1006:AD1006),$AB$1006:$AQ$1006,0)), HYPERLINK("#",""), HYPERLINK(CONCATENATE("#Metadata!", ADDRESS(INDEX($W$2:$W$1001,MATCH(ROWS($U$2:U842),$U$2:$U$1001,0),0), INDEX($AB$1004:$AQ$1004,1,MATCH(COLUMNS($AB$1006:AD1006),$AB$1006:$AQ$1006,0)))),"Fix")))</f>
        <v>0</v>
      </c>
      <c r="E842" s="5">
        <f>IF(OR(INDEX($V$2:$V$1001,MATCH(ROWS($U$2:U842),$U$2:$U$1001,0),1)&gt;=100000,INDEX($AB$1005:$AQ$1005,1,MATCH(COLUMNS($AB$1006:AE1006),$AB$1006:$AQ$1006,0))&gt;=100000), " ",IF(INDEX($AB$2:$AQ$1001,MATCH(ROWS($U$2:U842),$U$2:$U$1001,0),MATCH(COLUMNS($AB$1006:AE1006),$AB$1006:$AQ$1006,0)), HYPERLINK("#",""), HYPERLINK(CONCATENATE("#Metadata!", ADDRESS(INDEX($W$2:$W$1001,MATCH(ROWS($U$2:U842),$U$2:$U$1001,0),0), INDEX($AB$1004:$AQ$1004,1,MATCH(COLUMNS($AB$1006:AE1006),$AB$1006:$AQ$1006,0)))),"Fix")))</f>
        <v>0</v>
      </c>
      <c r="F842" s="5">
        <f>IF(OR(INDEX($V$2:$V$1001,MATCH(ROWS($U$2:U842),$U$2:$U$1001,0),1)&gt;=100000,INDEX($AB$1005:$AQ$1005,1,MATCH(COLUMNS($AB$1006:AF1006),$AB$1006:$AQ$1006,0))&gt;=100000), " ",IF(INDEX($AB$2:$AQ$1001,MATCH(ROWS($U$2:U842),$U$2:$U$1001,0),MATCH(COLUMNS($AB$1006:AF1006),$AB$1006:$AQ$1006,0)), HYPERLINK("#",""), HYPERLINK(CONCATENATE("#Metadata!", ADDRESS(INDEX($W$2:$W$1001,MATCH(ROWS($U$2:U842),$U$2:$U$1001,0),0), INDEX($AB$1004:$AQ$1004,1,MATCH(COLUMNS($AB$1006:AF1006),$AB$1006:$AQ$1006,0)))),"Fix")))</f>
        <v>0</v>
      </c>
      <c r="G842" s="5">
        <f>IF(OR(INDEX($V$2:$V$1001,MATCH(ROWS($U$2:U842),$U$2:$U$1001,0),1)&gt;=100000,INDEX($AB$1005:$AQ$1005,1,MATCH(COLUMNS($AB$1006:AG1006),$AB$1006:$AQ$1006,0))&gt;=100000), " ",IF(INDEX($AB$2:$AQ$1001,MATCH(ROWS($U$2:U842),$U$2:$U$1001,0),MATCH(COLUMNS($AB$1006:AG1006),$AB$1006:$AQ$1006,0)), HYPERLINK("#",""), HYPERLINK(CONCATENATE("#Metadata!", ADDRESS(INDEX($W$2:$W$1001,MATCH(ROWS($U$2:U842),$U$2:$U$1001,0),0), INDEX($AB$1004:$AQ$1004,1,MATCH(COLUMNS($AB$1006:AG1006),$AB$1006:$AQ$1006,0)))),"Fix")))</f>
        <v>0</v>
      </c>
      <c r="H842" s="5">
        <f>IF(OR(INDEX($V$2:$V$1001,MATCH(ROWS($U$2:U842),$U$2:$U$1001,0),1)&gt;=100000,INDEX($AB$1005:$AQ$1005,1,MATCH(COLUMNS($AB$1006:AH1006),$AB$1006:$AQ$1006,0))&gt;=100000), " ",IF(INDEX($AB$2:$AQ$1001,MATCH(ROWS($U$2:U842),$U$2:$U$1001,0),MATCH(COLUMNS($AB$1006:AH1006),$AB$1006:$AQ$1006,0)), HYPERLINK("#",""), HYPERLINK(CONCATENATE("#Metadata!", ADDRESS(INDEX($W$2:$W$1001,MATCH(ROWS($U$2:U842),$U$2:$U$1001,0),0), INDEX($AB$1004:$AQ$1004,1,MATCH(COLUMNS($AB$1006:AH1006),$AB$1006:$AQ$1006,0)))),"Fix")))</f>
        <v>0</v>
      </c>
      <c r="I842" s="5">
        <f>IF(OR(INDEX($V$2:$V$1001,MATCH(ROWS($U$2:U842),$U$2:$U$1001,0),1)&gt;=100000,INDEX($AB$1005:$AQ$1005,1,MATCH(COLUMNS($AB$1006:AI1006),$AB$1006:$AQ$1006,0))&gt;=100000), " ",IF(INDEX($AB$2:$AQ$1001,MATCH(ROWS($U$2:U842),$U$2:$U$1001,0),MATCH(COLUMNS($AB$1006:AI1006),$AB$1006:$AQ$1006,0)), HYPERLINK("#",""), HYPERLINK(CONCATENATE("#Metadata!", ADDRESS(INDEX($W$2:$W$1001,MATCH(ROWS($U$2:U842),$U$2:$U$1001,0),0), INDEX($AB$1004:$AQ$1004,1,MATCH(COLUMNS($AB$1006:AI1006),$AB$1006:$AQ$1006,0)))),"Fix")))</f>
        <v>0</v>
      </c>
      <c r="J842" s="5">
        <f>IF(OR(INDEX($V$2:$V$1001,MATCH(ROWS($U$2:U842),$U$2:$U$1001,0),1)&gt;=100000,INDEX($AB$1005:$AQ$1005,1,MATCH(COLUMNS($AB$1006:AJ1006),$AB$1006:$AQ$1006,0))&gt;=100000), " ",IF(INDEX($AB$2:$AQ$1001,MATCH(ROWS($U$2:U842),$U$2:$U$1001,0),MATCH(COLUMNS($AB$1006:AJ1006),$AB$1006:$AQ$1006,0)), HYPERLINK("#",""), HYPERLINK(CONCATENATE("#Metadata!", ADDRESS(INDEX($W$2:$W$1001,MATCH(ROWS($U$2:U842),$U$2:$U$1001,0),0), INDEX($AB$1004:$AQ$1004,1,MATCH(COLUMNS($AB$1006:AJ1006),$AB$1006:$AQ$1006,0)))),"Fix")))</f>
        <v>0</v>
      </c>
      <c r="K842" s="5">
        <f>IF(OR(INDEX($V$2:$V$1001,MATCH(ROWS($U$2:U842),$U$2:$U$1001,0),1)&gt;=100000,INDEX($AB$1005:$AQ$1005,1,MATCH(COLUMNS($AB$1006:AK1006),$AB$1006:$AQ$1006,0))&gt;=100000), " ",IF(INDEX($AB$2:$AQ$1001,MATCH(ROWS($U$2:U842),$U$2:$U$1001,0),MATCH(COLUMNS($AB$1006:AK1006),$AB$1006:$AQ$1006,0)), HYPERLINK("#",""), HYPERLINK(CONCATENATE("#Metadata!", ADDRESS(INDEX($W$2:$W$1001,MATCH(ROWS($U$2:U842),$U$2:$U$1001,0),0), INDEX($AB$1004:$AQ$1004,1,MATCH(COLUMNS($AB$1006:AK1006),$AB$1006:$AQ$1006,0)))),"Fix")))</f>
        <v>0</v>
      </c>
      <c r="L842" s="5">
        <f>IF(OR(INDEX($V$2:$V$1001,MATCH(ROWS($U$2:U842),$U$2:$U$1001,0),1)&gt;=100000,INDEX($AB$1005:$AQ$1005,1,MATCH(COLUMNS($AB$1006:AL1006),$AB$1006:$AQ$1006,0))&gt;=100000), " ",IF(INDEX($AB$2:$AQ$1001,MATCH(ROWS($U$2:U842),$U$2:$U$1001,0),MATCH(COLUMNS($AB$1006:AL1006),$AB$1006:$AQ$1006,0)), HYPERLINK("#",""), HYPERLINK(CONCATENATE("#Metadata!", ADDRESS(INDEX($W$2:$W$1001,MATCH(ROWS($U$2:U842),$U$2:$U$1001,0),0), INDEX($AB$1004:$AQ$1004,1,MATCH(COLUMNS($AB$1006:AL1006),$AB$1006:$AQ$1006,0)))),"Fix")))</f>
        <v>0</v>
      </c>
      <c r="M842" s="5">
        <f>IF(OR(INDEX($V$2:$V$1001,MATCH(ROWS($U$2:U842),$U$2:$U$1001,0),1)&gt;=100000,INDEX($AB$1005:$AQ$1005,1,MATCH(COLUMNS($AB$1006:AM1006),$AB$1006:$AQ$1006,0))&gt;=100000), " ",IF(INDEX($AB$2:$AQ$1001,MATCH(ROWS($U$2:U842),$U$2:$U$1001,0),MATCH(COLUMNS($AB$1006:AM1006),$AB$1006:$AQ$1006,0)), HYPERLINK("#",""), HYPERLINK(CONCATENATE("#Metadata!", ADDRESS(INDEX($W$2:$W$1001,MATCH(ROWS($U$2:U842),$U$2:$U$1001,0),0), INDEX($AB$1004:$AQ$1004,1,MATCH(COLUMNS($AB$1006:AM1006),$AB$1006:$AQ$1006,0)))),"Fix")))</f>
        <v>0</v>
      </c>
      <c r="N842" s="5">
        <f>IF(OR(INDEX($V$2:$V$1001,MATCH(ROWS($U$2:U842),$U$2:$U$1001,0),1)&gt;=100000,INDEX($AB$1005:$AQ$1005,1,MATCH(COLUMNS($AB$1006:AN1006),$AB$1006:$AQ$1006,0))&gt;=100000), " ",IF(INDEX($AB$2:$AQ$1001,MATCH(ROWS($U$2:U842),$U$2:$U$1001,0),MATCH(COLUMNS($AB$1006:AN1006),$AB$1006:$AQ$1006,0)), HYPERLINK("#",""), HYPERLINK(CONCATENATE("#Metadata!", ADDRESS(INDEX($W$2:$W$1001,MATCH(ROWS($U$2:U842),$U$2:$U$1001,0),0), INDEX($AB$1004:$AQ$1004,1,MATCH(COLUMNS($AB$1006:AN1006),$AB$1006:$AQ$1006,0)))),"Fix")))</f>
        <v>0</v>
      </c>
      <c r="O842" s="5">
        <f>IF(OR(INDEX($V$2:$V$1001,MATCH(ROWS($U$2:U842),$U$2:$U$1001,0),1)&gt;=100000,INDEX($AB$1005:$AQ$1005,1,MATCH(COLUMNS($AB$1006:AO1006),$AB$1006:$AQ$1006,0))&gt;=100000), " ",IF(INDEX($AB$2:$AQ$1001,MATCH(ROWS($U$2:U842),$U$2:$U$1001,0),MATCH(COLUMNS($AB$1006:AO1006),$AB$1006:$AQ$1006,0)), HYPERLINK("#",""), HYPERLINK(CONCATENATE("#Metadata!", ADDRESS(INDEX($W$2:$W$1001,MATCH(ROWS($U$2:U842),$U$2:$U$1001,0),0), INDEX($AB$1004:$AQ$1004,1,MATCH(COLUMNS($AB$1006:AO1006),$AB$1006:$AQ$1006,0)))),"Fix")))</f>
        <v>0</v>
      </c>
      <c r="P842" s="5">
        <f>IF(OR(INDEX($V$2:$V$1001,MATCH(ROWS($U$2:U842),$U$2:$U$1001,0),1)&gt;=100000,INDEX($AB$1005:$AQ$1005,1,MATCH(COLUMNS($AB$1006:AP1006),$AB$1006:$AQ$1006,0))&gt;=100000), " ",IF(INDEX($AB$2:$AQ$1001,MATCH(ROWS($U$2:U842),$U$2:$U$1001,0),MATCH(COLUMNS($AB$1006:AP1006),$AB$1006:$AQ$1006,0)), HYPERLINK("#",""), HYPERLINK(CONCATENATE("#Metadata!", ADDRESS(INDEX($W$2:$W$1001,MATCH(ROWS($U$2:U842),$U$2:$U$1001,0),0), INDEX($AB$1004:$AQ$1004,1,MATCH(COLUMNS($AB$1006:AP1006),$AB$1006:$AQ$1006,0)))),"Fix")))</f>
        <v>0</v>
      </c>
      <c r="Q842" s="5">
        <f>IF(OR(INDEX($V$2:$V$1001,MATCH(ROWS($U$2:U842),$U$2:$U$1001,0),1)&gt;=100000,INDEX($AB$1005:$AQ$1005,1,MATCH(COLUMNS($AB$1006:AQ1006),$AB$1006:$AQ$1006,0))&gt;=100000), " ",IF(INDEX($AB$2:$AQ$1001,MATCH(ROWS($U$2:U842),$U$2:$U$1001,0),MATCH(COLUMNS($AB$1006:AQ1006),$AB$1006:$AQ$1006,0)), HYPERLINK("#",""), HYPERLINK(CONCATENATE("#Metadata!", ADDRESS(INDEX($W$2:$W$1001,MATCH(ROWS($U$2:U842),$U$2:$U$1001,0),0), INDEX($AB$1004:$AQ$1004,1,MATCH(COLUMNS($AB$1006:AQ1006),$AB$1006:$AQ$1006,0)))),"Fix")))</f>
        <v>0</v>
      </c>
      <c r="U842">
        <v>0</v>
      </c>
      <c r="V842">
        <v>0</v>
      </c>
      <c r="W842">
        <v>0</v>
      </c>
      <c r="X842">
        <f>IF(Y842,TRUE,AND(AB842:AQ842))</f>
        <v>0</v>
      </c>
      <c r="Y842">
        <f>COUNTBLANK(Metadata!B842:Q842)=COLUMNS(Metadata!B842:Q842)</f>
        <v>0</v>
      </c>
      <c r="Z842">
        <v>0</v>
      </c>
      <c r="AB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AC842">
        <f>AND(IF(Metadata!C842="",FALSE,TRUE),exact(Metadata!C842,"urban biome"))</f>
        <v>0</v>
      </c>
      <c r="AD842">
        <f>AND(IF(Metadata!D842="",FALSE,TRUE),exact(Metadata!D842,"human-associated habitat"))</f>
        <v>0</v>
      </c>
      <c r="AE842">
        <f>AND(IF(Metadata!E842="",FALSE,TRUE),OR(exact(Metadata!E842,"human-associated"),exact(Metadata!E842,"human-skin"),exact(Metadata!E842,"human-oral"),exact(Metadata!E842,"human-gut"),exact(Metadata!E842,"human-vaginal")))</f>
        <v>0</v>
      </c>
      <c r="AF842">
        <f>AND(IF(Metadata!F842="",FALSE,ISNUMBER(VALUE(Metadata!F842))),Metadata!F842&gt;0)</f>
        <v>0</v>
      </c>
      <c r="AG842">
        <f>AND(IF(Metadata!G842="",FALSE,TRUE),exact(Metadata!G842,"years"))</f>
        <v>0</v>
      </c>
      <c r="AH842">
        <f>OR(AND(IF(Metadata!H842="",FALSE,TRUE),OR(exact(Metadata!H842,"not applicable"),exact(Metadata!H842,"not collected"),exact(Metadata!H842,"not provided"),exact(Metadata!H842,"restricted access"))),AND(IF(Metadata!H842="",FALSE,ISNUMBER(VALUE(Metadata!H842))),Metadata!H842&gt;0))</f>
        <v>0</v>
      </c>
      <c r="AI842">
        <f>AND(IF(Metadata!I842="",FALSE,TRUE),exact(Metadata!I842,"human"))</f>
        <v>0</v>
      </c>
      <c r="AJ842">
        <f>AND(IF(Metadata!J842="",FALSE,ISNUMBER(VALUE(Metadata!J842))),Metadata!J842&gt;0)</f>
        <v>0</v>
      </c>
      <c r="AK842">
        <f>AND(IF(Metadata!K842="",FALSE,TRUE),exact(Metadata!K842,"cm"))</f>
        <v>0</v>
      </c>
      <c r="AL842">
        <f>AND(IF(Metadata!L842="",FALSE,TRUE),exact(Metadata!L842,"Homo sapiens"))</f>
        <v>0</v>
      </c>
      <c r="AM842">
        <f>AND(IF(Metadata!M842="",FALSE,TRUE),exact(Metadata!M842,"9606"))</f>
        <v>0</v>
      </c>
      <c r="AN842">
        <f>AND(IF(Metadata!N842="",FALSE,ISNUMBER(VALUE(Metadata!N842))),Metadata!N842&gt;0)</f>
        <v>0</v>
      </c>
      <c r="AO842">
        <f>AND(IF(Metadata!O842="",FALSE,TRUE),exact(Metadata!O842,"kg"))</f>
        <v>0</v>
      </c>
      <c r="AP842">
        <f>OR(AND(IF(Metadata!P842="",FALSE,TRUE),exact(Metadata!P842,"not provided")),IF(Metadata!P842="",FALSE,TRUE))</f>
        <v>0</v>
      </c>
      <c r="AQ842">
        <f>OR(AND(IF(Metadata!Q842="",FALSE,TRUE),exact(Metadata!Q842,"not provided")),IF(Metadata!Q842="",FALSE,TRUE))</f>
        <v>0</v>
      </c>
    </row>
    <row r="843" spans="1:43">
      <c r="A843" s="4">
        <f>IF(B843=" "," ",HYPERLINK(CONCATENATE("#metadata!",ADDRESS(INDEX($W$2:$W$1001,MATCH(ROWS($U$2:U843),$U$2:$U$1001,0),0),2)),INDEX($Z$2:$Z$1001,MATCH(ROWS($U$2:U843),$U$2:$U$1001,0),0)))</f>
        <v>0</v>
      </c>
      <c r="B843" s="5">
        <f>IF(OR(INDEX($V$2:$V$1001,MATCH(ROWS($U$2:U843),$U$2:$U$1001,0),1)&gt;=100000,INDEX($AB$1005:$AQ$1005,1,MATCH(COLUMNS($AB$1006:AB1006),$AB$1006:$AQ$1006,0))&gt;=100000), " ",IF(INDEX($AB$2:$AQ$1001,MATCH(ROWS($U$2:U843),$U$2:$U$1001,0),MATCH(COLUMNS($AB$1006:AB1006),$AB$1006:$AQ$1006,0)), HYPERLINK("#",""), HYPERLINK(CONCATENATE("#Metadata!", ADDRESS(INDEX($W$2:$W$1001,MATCH(ROWS($U$2:U843),$U$2:$U$1001,0),0), INDEX($AB$1004:$AQ$1004,1,MATCH(COLUMNS($AB$1006:AB1006),$AB$1006:$AQ$1006,0)))),"Fix")))</f>
        <v>0</v>
      </c>
      <c r="C843" s="5">
        <f>IF(OR(INDEX($V$2:$V$1001,MATCH(ROWS($U$2:U843),$U$2:$U$1001,0),1)&gt;=100000,INDEX($AB$1005:$AQ$1005,1,MATCH(COLUMNS($AB$1006:AC1006),$AB$1006:$AQ$1006,0))&gt;=100000), " ",IF(INDEX($AB$2:$AQ$1001,MATCH(ROWS($U$2:U843),$U$2:$U$1001,0),MATCH(COLUMNS($AB$1006:AC1006),$AB$1006:$AQ$1006,0)), HYPERLINK("#",""), HYPERLINK(CONCATENATE("#Metadata!", ADDRESS(INDEX($W$2:$W$1001,MATCH(ROWS($U$2:U843),$U$2:$U$1001,0),0), INDEX($AB$1004:$AQ$1004,1,MATCH(COLUMNS($AB$1006:AC1006),$AB$1006:$AQ$1006,0)))),"Fix")))</f>
        <v>0</v>
      </c>
      <c r="D843" s="5">
        <f>IF(OR(INDEX($V$2:$V$1001,MATCH(ROWS($U$2:U843),$U$2:$U$1001,0),1)&gt;=100000,INDEX($AB$1005:$AQ$1005,1,MATCH(COLUMNS($AB$1006:AD1006),$AB$1006:$AQ$1006,0))&gt;=100000), " ",IF(INDEX($AB$2:$AQ$1001,MATCH(ROWS($U$2:U843),$U$2:$U$1001,0),MATCH(COLUMNS($AB$1006:AD1006),$AB$1006:$AQ$1006,0)), HYPERLINK("#",""), HYPERLINK(CONCATENATE("#Metadata!", ADDRESS(INDEX($W$2:$W$1001,MATCH(ROWS($U$2:U843),$U$2:$U$1001,0),0), INDEX($AB$1004:$AQ$1004,1,MATCH(COLUMNS($AB$1006:AD1006),$AB$1006:$AQ$1006,0)))),"Fix")))</f>
        <v>0</v>
      </c>
      <c r="E843" s="5">
        <f>IF(OR(INDEX($V$2:$V$1001,MATCH(ROWS($U$2:U843),$U$2:$U$1001,0),1)&gt;=100000,INDEX($AB$1005:$AQ$1005,1,MATCH(COLUMNS($AB$1006:AE1006),$AB$1006:$AQ$1006,0))&gt;=100000), " ",IF(INDEX($AB$2:$AQ$1001,MATCH(ROWS($U$2:U843),$U$2:$U$1001,0),MATCH(COLUMNS($AB$1006:AE1006),$AB$1006:$AQ$1006,0)), HYPERLINK("#",""), HYPERLINK(CONCATENATE("#Metadata!", ADDRESS(INDEX($W$2:$W$1001,MATCH(ROWS($U$2:U843),$U$2:$U$1001,0),0), INDEX($AB$1004:$AQ$1004,1,MATCH(COLUMNS($AB$1006:AE1006),$AB$1006:$AQ$1006,0)))),"Fix")))</f>
        <v>0</v>
      </c>
      <c r="F843" s="5">
        <f>IF(OR(INDEX($V$2:$V$1001,MATCH(ROWS($U$2:U843),$U$2:$U$1001,0),1)&gt;=100000,INDEX($AB$1005:$AQ$1005,1,MATCH(COLUMNS($AB$1006:AF1006),$AB$1006:$AQ$1006,0))&gt;=100000), " ",IF(INDEX($AB$2:$AQ$1001,MATCH(ROWS($U$2:U843),$U$2:$U$1001,0),MATCH(COLUMNS($AB$1006:AF1006),$AB$1006:$AQ$1006,0)), HYPERLINK("#",""), HYPERLINK(CONCATENATE("#Metadata!", ADDRESS(INDEX($W$2:$W$1001,MATCH(ROWS($U$2:U843),$U$2:$U$1001,0),0), INDEX($AB$1004:$AQ$1004,1,MATCH(COLUMNS($AB$1006:AF1006),$AB$1006:$AQ$1006,0)))),"Fix")))</f>
        <v>0</v>
      </c>
      <c r="G843" s="5">
        <f>IF(OR(INDEX($V$2:$V$1001,MATCH(ROWS($U$2:U843),$U$2:$U$1001,0),1)&gt;=100000,INDEX($AB$1005:$AQ$1005,1,MATCH(COLUMNS($AB$1006:AG1006),$AB$1006:$AQ$1006,0))&gt;=100000), " ",IF(INDEX($AB$2:$AQ$1001,MATCH(ROWS($U$2:U843),$U$2:$U$1001,0),MATCH(COLUMNS($AB$1006:AG1006),$AB$1006:$AQ$1006,0)), HYPERLINK("#",""), HYPERLINK(CONCATENATE("#Metadata!", ADDRESS(INDEX($W$2:$W$1001,MATCH(ROWS($U$2:U843),$U$2:$U$1001,0),0), INDEX($AB$1004:$AQ$1004,1,MATCH(COLUMNS($AB$1006:AG1006),$AB$1006:$AQ$1006,0)))),"Fix")))</f>
        <v>0</v>
      </c>
      <c r="H843" s="5">
        <f>IF(OR(INDEX($V$2:$V$1001,MATCH(ROWS($U$2:U843),$U$2:$U$1001,0),1)&gt;=100000,INDEX($AB$1005:$AQ$1005,1,MATCH(COLUMNS($AB$1006:AH1006),$AB$1006:$AQ$1006,0))&gt;=100000), " ",IF(INDEX($AB$2:$AQ$1001,MATCH(ROWS($U$2:U843),$U$2:$U$1001,0),MATCH(COLUMNS($AB$1006:AH1006),$AB$1006:$AQ$1006,0)), HYPERLINK("#",""), HYPERLINK(CONCATENATE("#Metadata!", ADDRESS(INDEX($W$2:$W$1001,MATCH(ROWS($U$2:U843),$U$2:$U$1001,0),0), INDEX($AB$1004:$AQ$1004,1,MATCH(COLUMNS($AB$1006:AH1006),$AB$1006:$AQ$1006,0)))),"Fix")))</f>
        <v>0</v>
      </c>
      <c r="I843" s="5">
        <f>IF(OR(INDEX($V$2:$V$1001,MATCH(ROWS($U$2:U843),$U$2:$U$1001,0),1)&gt;=100000,INDEX($AB$1005:$AQ$1005,1,MATCH(COLUMNS($AB$1006:AI1006),$AB$1006:$AQ$1006,0))&gt;=100000), " ",IF(INDEX($AB$2:$AQ$1001,MATCH(ROWS($U$2:U843),$U$2:$U$1001,0),MATCH(COLUMNS($AB$1006:AI1006),$AB$1006:$AQ$1006,0)), HYPERLINK("#",""), HYPERLINK(CONCATENATE("#Metadata!", ADDRESS(INDEX($W$2:$W$1001,MATCH(ROWS($U$2:U843),$U$2:$U$1001,0),0), INDEX($AB$1004:$AQ$1004,1,MATCH(COLUMNS($AB$1006:AI1006),$AB$1006:$AQ$1006,0)))),"Fix")))</f>
        <v>0</v>
      </c>
      <c r="J843" s="5">
        <f>IF(OR(INDEX($V$2:$V$1001,MATCH(ROWS($U$2:U843),$U$2:$U$1001,0),1)&gt;=100000,INDEX($AB$1005:$AQ$1005,1,MATCH(COLUMNS($AB$1006:AJ1006),$AB$1006:$AQ$1006,0))&gt;=100000), " ",IF(INDEX($AB$2:$AQ$1001,MATCH(ROWS($U$2:U843),$U$2:$U$1001,0),MATCH(COLUMNS($AB$1006:AJ1006),$AB$1006:$AQ$1006,0)), HYPERLINK("#",""), HYPERLINK(CONCATENATE("#Metadata!", ADDRESS(INDEX($W$2:$W$1001,MATCH(ROWS($U$2:U843),$U$2:$U$1001,0),0), INDEX($AB$1004:$AQ$1004,1,MATCH(COLUMNS($AB$1006:AJ1006),$AB$1006:$AQ$1006,0)))),"Fix")))</f>
        <v>0</v>
      </c>
      <c r="K843" s="5">
        <f>IF(OR(INDEX($V$2:$V$1001,MATCH(ROWS($U$2:U843),$U$2:$U$1001,0),1)&gt;=100000,INDEX($AB$1005:$AQ$1005,1,MATCH(COLUMNS($AB$1006:AK1006),$AB$1006:$AQ$1006,0))&gt;=100000), " ",IF(INDEX($AB$2:$AQ$1001,MATCH(ROWS($U$2:U843),$U$2:$U$1001,0),MATCH(COLUMNS($AB$1006:AK1006),$AB$1006:$AQ$1006,0)), HYPERLINK("#",""), HYPERLINK(CONCATENATE("#Metadata!", ADDRESS(INDEX($W$2:$W$1001,MATCH(ROWS($U$2:U843),$U$2:$U$1001,0),0), INDEX($AB$1004:$AQ$1004,1,MATCH(COLUMNS($AB$1006:AK1006),$AB$1006:$AQ$1006,0)))),"Fix")))</f>
        <v>0</v>
      </c>
      <c r="L843" s="5">
        <f>IF(OR(INDEX($V$2:$V$1001,MATCH(ROWS($U$2:U843),$U$2:$U$1001,0),1)&gt;=100000,INDEX($AB$1005:$AQ$1005,1,MATCH(COLUMNS($AB$1006:AL1006),$AB$1006:$AQ$1006,0))&gt;=100000), " ",IF(INDEX($AB$2:$AQ$1001,MATCH(ROWS($U$2:U843),$U$2:$U$1001,0),MATCH(COLUMNS($AB$1006:AL1006),$AB$1006:$AQ$1006,0)), HYPERLINK("#",""), HYPERLINK(CONCATENATE("#Metadata!", ADDRESS(INDEX($W$2:$W$1001,MATCH(ROWS($U$2:U843),$U$2:$U$1001,0),0), INDEX($AB$1004:$AQ$1004,1,MATCH(COLUMNS($AB$1006:AL1006),$AB$1006:$AQ$1006,0)))),"Fix")))</f>
        <v>0</v>
      </c>
      <c r="M843" s="5">
        <f>IF(OR(INDEX($V$2:$V$1001,MATCH(ROWS($U$2:U843),$U$2:$U$1001,0),1)&gt;=100000,INDEX($AB$1005:$AQ$1005,1,MATCH(COLUMNS($AB$1006:AM1006),$AB$1006:$AQ$1006,0))&gt;=100000), " ",IF(INDEX($AB$2:$AQ$1001,MATCH(ROWS($U$2:U843),$U$2:$U$1001,0),MATCH(COLUMNS($AB$1006:AM1006),$AB$1006:$AQ$1006,0)), HYPERLINK("#",""), HYPERLINK(CONCATENATE("#Metadata!", ADDRESS(INDEX($W$2:$W$1001,MATCH(ROWS($U$2:U843),$U$2:$U$1001,0),0), INDEX($AB$1004:$AQ$1004,1,MATCH(COLUMNS($AB$1006:AM1006),$AB$1006:$AQ$1006,0)))),"Fix")))</f>
        <v>0</v>
      </c>
      <c r="N843" s="5">
        <f>IF(OR(INDEX($V$2:$V$1001,MATCH(ROWS($U$2:U843),$U$2:$U$1001,0),1)&gt;=100000,INDEX($AB$1005:$AQ$1005,1,MATCH(COLUMNS($AB$1006:AN1006),$AB$1006:$AQ$1006,0))&gt;=100000), " ",IF(INDEX($AB$2:$AQ$1001,MATCH(ROWS($U$2:U843),$U$2:$U$1001,0),MATCH(COLUMNS($AB$1006:AN1006),$AB$1006:$AQ$1006,0)), HYPERLINK("#",""), HYPERLINK(CONCATENATE("#Metadata!", ADDRESS(INDEX($W$2:$W$1001,MATCH(ROWS($U$2:U843),$U$2:$U$1001,0),0), INDEX($AB$1004:$AQ$1004,1,MATCH(COLUMNS($AB$1006:AN1006),$AB$1006:$AQ$1006,0)))),"Fix")))</f>
        <v>0</v>
      </c>
      <c r="O843" s="5">
        <f>IF(OR(INDEX($V$2:$V$1001,MATCH(ROWS($U$2:U843),$U$2:$U$1001,0),1)&gt;=100000,INDEX($AB$1005:$AQ$1005,1,MATCH(COLUMNS($AB$1006:AO1006),$AB$1006:$AQ$1006,0))&gt;=100000), " ",IF(INDEX($AB$2:$AQ$1001,MATCH(ROWS($U$2:U843),$U$2:$U$1001,0),MATCH(COLUMNS($AB$1006:AO1006),$AB$1006:$AQ$1006,0)), HYPERLINK("#",""), HYPERLINK(CONCATENATE("#Metadata!", ADDRESS(INDEX($W$2:$W$1001,MATCH(ROWS($U$2:U843),$U$2:$U$1001,0),0), INDEX($AB$1004:$AQ$1004,1,MATCH(COLUMNS($AB$1006:AO1006),$AB$1006:$AQ$1006,0)))),"Fix")))</f>
        <v>0</v>
      </c>
      <c r="P843" s="5">
        <f>IF(OR(INDEX($V$2:$V$1001,MATCH(ROWS($U$2:U843),$U$2:$U$1001,0),1)&gt;=100000,INDEX($AB$1005:$AQ$1005,1,MATCH(COLUMNS($AB$1006:AP1006),$AB$1006:$AQ$1006,0))&gt;=100000), " ",IF(INDEX($AB$2:$AQ$1001,MATCH(ROWS($U$2:U843),$U$2:$U$1001,0),MATCH(COLUMNS($AB$1006:AP1006),$AB$1006:$AQ$1006,0)), HYPERLINK("#",""), HYPERLINK(CONCATENATE("#Metadata!", ADDRESS(INDEX($W$2:$W$1001,MATCH(ROWS($U$2:U843),$U$2:$U$1001,0),0), INDEX($AB$1004:$AQ$1004,1,MATCH(COLUMNS($AB$1006:AP1006),$AB$1006:$AQ$1006,0)))),"Fix")))</f>
        <v>0</v>
      </c>
      <c r="Q843" s="5">
        <f>IF(OR(INDEX($V$2:$V$1001,MATCH(ROWS($U$2:U843),$U$2:$U$1001,0),1)&gt;=100000,INDEX($AB$1005:$AQ$1005,1,MATCH(COLUMNS($AB$1006:AQ1006),$AB$1006:$AQ$1006,0))&gt;=100000), " ",IF(INDEX($AB$2:$AQ$1001,MATCH(ROWS($U$2:U843),$U$2:$U$1001,0),MATCH(COLUMNS($AB$1006:AQ1006),$AB$1006:$AQ$1006,0)), HYPERLINK("#",""), HYPERLINK(CONCATENATE("#Metadata!", ADDRESS(INDEX($W$2:$W$1001,MATCH(ROWS($U$2:U843),$U$2:$U$1001,0),0), INDEX($AB$1004:$AQ$1004,1,MATCH(COLUMNS($AB$1006:AQ1006),$AB$1006:$AQ$1006,0)))),"Fix")))</f>
        <v>0</v>
      </c>
      <c r="U843">
        <v>0</v>
      </c>
      <c r="V843">
        <v>0</v>
      </c>
      <c r="W843">
        <v>0</v>
      </c>
      <c r="X843">
        <f>IF(Y843,TRUE,AND(AB843:AQ843))</f>
        <v>0</v>
      </c>
      <c r="Y843">
        <f>COUNTBLANK(Metadata!B843:Q843)=COLUMNS(Metadata!B843:Q843)</f>
        <v>0</v>
      </c>
      <c r="Z843">
        <v>0</v>
      </c>
      <c r="AB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AC843">
        <f>AND(IF(Metadata!C843="",FALSE,TRUE),exact(Metadata!C843,"urban biome"))</f>
        <v>0</v>
      </c>
      <c r="AD843">
        <f>AND(IF(Metadata!D843="",FALSE,TRUE),exact(Metadata!D843,"human-associated habitat"))</f>
        <v>0</v>
      </c>
      <c r="AE843">
        <f>AND(IF(Metadata!E843="",FALSE,TRUE),OR(exact(Metadata!E843,"human-associated"),exact(Metadata!E843,"human-skin"),exact(Metadata!E843,"human-oral"),exact(Metadata!E843,"human-gut"),exact(Metadata!E843,"human-vaginal")))</f>
        <v>0</v>
      </c>
      <c r="AF843">
        <f>AND(IF(Metadata!F843="",FALSE,ISNUMBER(VALUE(Metadata!F843))),Metadata!F843&gt;0)</f>
        <v>0</v>
      </c>
      <c r="AG843">
        <f>AND(IF(Metadata!G843="",FALSE,TRUE),exact(Metadata!G843,"years"))</f>
        <v>0</v>
      </c>
      <c r="AH843">
        <f>OR(AND(IF(Metadata!H843="",FALSE,TRUE),OR(exact(Metadata!H843,"not applicable"),exact(Metadata!H843,"not collected"),exact(Metadata!H843,"not provided"),exact(Metadata!H843,"restricted access"))),AND(IF(Metadata!H843="",FALSE,ISNUMBER(VALUE(Metadata!H843))),Metadata!H843&gt;0))</f>
        <v>0</v>
      </c>
      <c r="AI843">
        <f>AND(IF(Metadata!I843="",FALSE,TRUE),exact(Metadata!I843,"human"))</f>
        <v>0</v>
      </c>
      <c r="AJ843">
        <f>AND(IF(Metadata!J843="",FALSE,ISNUMBER(VALUE(Metadata!J843))),Metadata!J843&gt;0)</f>
        <v>0</v>
      </c>
      <c r="AK843">
        <f>AND(IF(Metadata!K843="",FALSE,TRUE),exact(Metadata!K843,"cm"))</f>
        <v>0</v>
      </c>
      <c r="AL843">
        <f>AND(IF(Metadata!L843="",FALSE,TRUE),exact(Metadata!L843,"Homo sapiens"))</f>
        <v>0</v>
      </c>
      <c r="AM843">
        <f>AND(IF(Metadata!M843="",FALSE,TRUE),exact(Metadata!M843,"9606"))</f>
        <v>0</v>
      </c>
      <c r="AN843">
        <f>AND(IF(Metadata!N843="",FALSE,ISNUMBER(VALUE(Metadata!N843))),Metadata!N843&gt;0)</f>
        <v>0</v>
      </c>
      <c r="AO843">
        <f>AND(IF(Metadata!O843="",FALSE,TRUE),exact(Metadata!O843,"kg"))</f>
        <v>0</v>
      </c>
      <c r="AP843">
        <f>OR(AND(IF(Metadata!P843="",FALSE,TRUE),exact(Metadata!P843,"not provided")),IF(Metadata!P843="",FALSE,TRUE))</f>
        <v>0</v>
      </c>
      <c r="AQ843">
        <f>OR(AND(IF(Metadata!Q843="",FALSE,TRUE),exact(Metadata!Q843,"not provided")),IF(Metadata!Q843="",FALSE,TRUE))</f>
        <v>0</v>
      </c>
    </row>
    <row r="844" spans="1:43">
      <c r="A844" s="4">
        <f>IF(B844=" "," ",HYPERLINK(CONCATENATE("#metadata!",ADDRESS(INDEX($W$2:$W$1001,MATCH(ROWS($U$2:U844),$U$2:$U$1001,0),0),2)),INDEX($Z$2:$Z$1001,MATCH(ROWS($U$2:U844),$U$2:$U$1001,0),0)))</f>
        <v>0</v>
      </c>
      <c r="B844" s="5">
        <f>IF(OR(INDEX($V$2:$V$1001,MATCH(ROWS($U$2:U844),$U$2:$U$1001,0),1)&gt;=100000,INDEX($AB$1005:$AQ$1005,1,MATCH(COLUMNS($AB$1006:AB1006),$AB$1006:$AQ$1006,0))&gt;=100000), " ",IF(INDEX($AB$2:$AQ$1001,MATCH(ROWS($U$2:U844),$U$2:$U$1001,0),MATCH(COLUMNS($AB$1006:AB1006),$AB$1006:$AQ$1006,0)), HYPERLINK("#",""), HYPERLINK(CONCATENATE("#Metadata!", ADDRESS(INDEX($W$2:$W$1001,MATCH(ROWS($U$2:U844),$U$2:$U$1001,0),0), INDEX($AB$1004:$AQ$1004,1,MATCH(COLUMNS($AB$1006:AB1006),$AB$1006:$AQ$1006,0)))),"Fix")))</f>
        <v>0</v>
      </c>
      <c r="C844" s="5">
        <f>IF(OR(INDEX($V$2:$V$1001,MATCH(ROWS($U$2:U844),$U$2:$U$1001,0),1)&gt;=100000,INDEX($AB$1005:$AQ$1005,1,MATCH(COLUMNS($AB$1006:AC1006),$AB$1006:$AQ$1006,0))&gt;=100000), " ",IF(INDEX($AB$2:$AQ$1001,MATCH(ROWS($U$2:U844),$U$2:$U$1001,0),MATCH(COLUMNS($AB$1006:AC1006),$AB$1006:$AQ$1006,0)), HYPERLINK("#",""), HYPERLINK(CONCATENATE("#Metadata!", ADDRESS(INDEX($W$2:$W$1001,MATCH(ROWS($U$2:U844),$U$2:$U$1001,0),0), INDEX($AB$1004:$AQ$1004,1,MATCH(COLUMNS($AB$1006:AC1006),$AB$1006:$AQ$1006,0)))),"Fix")))</f>
        <v>0</v>
      </c>
      <c r="D844" s="5">
        <f>IF(OR(INDEX($V$2:$V$1001,MATCH(ROWS($U$2:U844),$U$2:$U$1001,0),1)&gt;=100000,INDEX($AB$1005:$AQ$1005,1,MATCH(COLUMNS($AB$1006:AD1006),$AB$1006:$AQ$1006,0))&gt;=100000), " ",IF(INDEX($AB$2:$AQ$1001,MATCH(ROWS($U$2:U844),$U$2:$U$1001,0),MATCH(COLUMNS($AB$1006:AD1006),$AB$1006:$AQ$1006,0)), HYPERLINK("#",""), HYPERLINK(CONCATENATE("#Metadata!", ADDRESS(INDEX($W$2:$W$1001,MATCH(ROWS($U$2:U844),$U$2:$U$1001,0),0), INDEX($AB$1004:$AQ$1004,1,MATCH(COLUMNS($AB$1006:AD1006),$AB$1006:$AQ$1006,0)))),"Fix")))</f>
        <v>0</v>
      </c>
      <c r="E844" s="5">
        <f>IF(OR(INDEX($V$2:$V$1001,MATCH(ROWS($U$2:U844),$U$2:$U$1001,0),1)&gt;=100000,INDEX($AB$1005:$AQ$1005,1,MATCH(COLUMNS($AB$1006:AE1006),$AB$1006:$AQ$1006,0))&gt;=100000), " ",IF(INDEX($AB$2:$AQ$1001,MATCH(ROWS($U$2:U844),$U$2:$U$1001,0),MATCH(COLUMNS($AB$1006:AE1006),$AB$1006:$AQ$1006,0)), HYPERLINK("#",""), HYPERLINK(CONCATENATE("#Metadata!", ADDRESS(INDEX($W$2:$W$1001,MATCH(ROWS($U$2:U844),$U$2:$U$1001,0),0), INDEX($AB$1004:$AQ$1004,1,MATCH(COLUMNS($AB$1006:AE1006),$AB$1006:$AQ$1006,0)))),"Fix")))</f>
        <v>0</v>
      </c>
      <c r="F844" s="5">
        <f>IF(OR(INDEX($V$2:$V$1001,MATCH(ROWS($U$2:U844),$U$2:$U$1001,0),1)&gt;=100000,INDEX($AB$1005:$AQ$1005,1,MATCH(COLUMNS($AB$1006:AF1006),$AB$1006:$AQ$1006,0))&gt;=100000), " ",IF(INDEX($AB$2:$AQ$1001,MATCH(ROWS($U$2:U844),$U$2:$U$1001,0),MATCH(COLUMNS($AB$1006:AF1006),$AB$1006:$AQ$1006,0)), HYPERLINK("#",""), HYPERLINK(CONCATENATE("#Metadata!", ADDRESS(INDEX($W$2:$W$1001,MATCH(ROWS($U$2:U844),$U$2:$U$1001,0),0), INDEX($AB$1004:$AQ$1004,1,MATCH(COLUMNS($AB$1006:AF1006),$AB$1006:$AQ$1006,0)))),"Fix")))</f>
        <v>0</v>
      </c>
      <c r="G844" s="5">
        <f>IF(OR(INDEX($V$2:$V$1001,MATCH(ROWS($U$2:U844),$U$2:$U$1001,0),1)&gt;=100000,INDEX($AB$1005:$AQ$1005,1,MATCH(COLUMNS($AB$1006:AG1006),$AB$1006:$AQ$1006,0))&gt;=100000), " ",IF(INDEX($AB$2:$AQ$1001,MATCH(ROWS($U$2:U844),$U$2:$U$1001,0),MATCH(COLUMNS($AB$1006:AG1006),$AB$1006:$AQ$1006,0)), HYPERLINK("#",""), HYPERLINK(CONCATENATE("#Metadata!", ADDRESS(INDEX($W$2:$W$1001,MATCH(ROWS($U$2:U844),$U$2:$U$1001,0),0), INDEX($AB$1004:$AQ$1004,1,MATCH(COLUMNS($AB$1006:AG1006),$AB$1006:$AQ$1006,0)))),"Fix")))</f>
        <v>0</v>
      </c>
      <c r="H844" s="5">
        <f>IF(OR(INDEX($V$2:$V$1001,MATCH(ROWS($U$2:U844),$U$2:$U$1001,0),1)&gt;=100000,INDEX($AB$1005:$AQ$1005,1,MATCH(COLUMNS($AB$1006:AH1006),$AB$1006:$AQ$1006,0))&gt;=100000), " ",IF(INDEX($AB$2:$AQ$1001,MATCH(ROWS($U$2:U844),$U$2:$U$1001,0),MATCH(COLUMNS($AB$1006:AH1006),$AB$1006:$AQ$1006,0)), HYPERLINK("#",""), HYPERLINK(CONCATENATE("#Metadata!", ADDRESS(INDEX($W$2:$W$1001,MATCH(ROWS($U$2:U844),$U$2:$U$1001,0),0), INDEX($AB$1004:$AQ$1004,1,MATCH(COLUMNS($AB$1006:AH1006),$AB$1006:$AQ$1006,0)))),"Fix")))</f>
        <v>0</v>
      </c>
      <c r="I844" s="5">
        <f>IF(OR(INDEX($V$2:$V$1001,MATCH(ROWS($U$2:U844),$U$2:$U$1001,0),1)&gt;=100000,INDEX($AB$1005:$AQ$1005,1,MATCH(COLUMNS($AB$1006:AI1006),$AB$1006:$AQ$1006,0))&gt;=100000), " ",IF(INDEX($AB$2:$AQ$1001,MATCH(ROWS($U$2:U844),$U$2:$U$1001,0),MATCH(COLUMNS($AB$1006:AI1006),$AB$1006:$AQ$1006,0)), HYPERLINK("#",""), HYPERLINK(CONCATENATE("#Metadata!", ADDRESS(INDEX($W$2:$W$1001,MATCH(ROWS($U$2:U844),$U$2:$U$1001,0),0), INDEX($AB$1004:$AQ$1004,1,MATCH(COLUMNS($AB$1006:AI1006),$AB$1006:$AQ$1006,0)))),"Fix")))</f>
        <v>0</v>
      </c>
      <c r="J844" s="5">
        <f>IF(OR(INDEX($V$2:$V$1001,MATCH(ROWS($U$2:U844),$U$2:$U$1001,0),1)&gt;=100000,INDEX($AB$1005:$AQ$1005,1,MATCH(COLUMNS($AB$1006:AJ1006),$AB$1006:$AQ$1006,0))&gt;=100000), " ",IF(INDEX($AB$2:$AQ$1001,MATCH(ROWS($U$2:U844),$U$2:$U$1001,0),MATCH(COLUMNS($AB$1006:AJ1006),$AB$1006:$AQ$1006,0)), HYPERLINK("#",""), HYPERLINK(CONCATENATE("#Metadata!", ADDRESS(INDEX($W$2:$W$1001,MATCH(ROWS($U$2:U844),$U$2:$U$1001,0),0), INDEX($AB$1004:$AQ$1004,1,MATCH(COLUMNS($AB$1006:AJ1006),$AB$1006:$AQ$1006,0)))),"Fix")))</f>
        <v>0</v>
      </c>
      <c r="K844" s="5">
        <f>IF(OR(INDEX($V$2:$V$1001,MATCH(ROWS($U$2:U844),$U$2:$U$1001,0),1)&gt;=100000,INDEX($AB$1005:$AQ$1005,1,MATCH(COLUMNS($AB$1006:AK1006),$AB$1006:$AQ$1006,0))&gt;=100000), " ",IF(INDEX($AB$2:$AQ$1001,MATCH(ROWS($U$2:U844),$U$2:$U$1001,0),MATCH(COLUMNS($AB$1006:AK1006),$AB$1006:$AQ$1006,0)), HYPERLINK("#",""), HYPERLINK(CONCATENATE("#Metadata!", ADDRESS(INDEX($W$2:$W$1001,MATCH(ROWS($U$2:U844),$U$2:$U$1001,0),0), INDEX($AB$1004:$AQ$1004,1,MATCH(COLUMNS($AB$1006:AK1006),$AB$1006:$AQ$1006,0)))),"Fix")))</f>
        <v>0</v>
      </c>
      <c r="L844" s="5">
        <f>IF(OR(INDEX($V$2:$V$1001,MATCH(ROWS($U$2:U844),$U$2:$U$1001,0),1)&gt;=100000,INDEX($AB$1005:$AQ$1005,1,MATCH(COLUMNS($AB$1006:AL1006),$AB$1006:$AQ$1006,0))&gt;=100000), " ",IF(INDEX($AB$2:$AQ$1001,MATCH(ROWS($U$2:U844),$U$2:$U$1001,0),MATCH(COLUMNS($AB$1006:AL1006),$AB$1006:$AQ$1006,0)), HYPERLINK("#",""), HYPERLINK(CONCATENATE("#Metadata!", ADDRESS(INDEX($W$2:$W$1001,MATCH(ROWS($U$2:U844),$U$2:$U$1001,0),0), INDEX($AB$1004:$AQ$1004,1,MATCH(COLUMNS($AB$1006:AL1006),$AB$1006:$AQ$1006,0)))),"Fix")))</f>
        <v>0</v>
      </c>
      <c r="M844" s="5">
        <f>IF(OR(INDEX($V$2:$V$1001,MATCH(ROWS($U$2:U844),$U$2:$U$1001,0),1)&gt;=100000,INDEX($AB$1005:$AQ$1005,1,MATCH(COLUMNS($AB$1006:AM1006),$AB$1006:$AQ$1006,0))&gt;=100000), " ",IF(INDEX($AB$2:$AQ$1001,MATCH(ROWS($U$2:U844),$U$2:$U$1001,0),MATCH(COLUMNS($AB$1006:AM1006),$AB$1006:$AQ$1006,0)), HYPERLINK("#",""), HYPERLINK(CONCATENATE("#Metadata!", ADDRESS(INDEX($W$2:$W$1001,MATCH(ROWS($U$2:U844),$U$2:$U$1001,0),0), INDEX($AB$1004:$AQ$1004,1,MATCH(COLUMNS($AB$1006:AM1006),$AB$1006:$AQ$1006,0)))),"Fix")))</f>
        <v>0</v>
      </c>
      <c r="N844" s="5">
        <f>IF(OR(INDEX($V$2:$V$1001,MATCH(ROWS($U$2:U844),$U$2:$U$1001,0),1)&gt;=100000,INDEX($AB$1005:$AQ$1005,1,MATCH(COLUMNS($AB$1006:AN1006),$AB$1006:$AQ$1006,0))&gt;=100000), " ",IF(INDEX($AB$2:$AQ$1001,MATCH(ROWS($U$2:U844),$U$2:$U$1001,0),MATCH(COLUMNS($AB$1006:AN1006),$AB$1006:$AQ$1006,0)), HYPERLINK("#",""), HYPERLINK(CONCATENATE("#Metadata!", ADDRESS(INDEX($W$2:$W$1001,MATCH(ROWS($U$2:U844),$U$2:$U$1001,0),0), INDEX($AB$1004:$AQ$1004,1,MATCH(COLUMNS($AB$1006:AN1006),$AB$1006:$AQ$1006,0)))),"Fix")))</f>
        <v>0</v>
      </c>
      <c r="O844" s="5">
        <f>IF(OR(INDEX($V$2:$V$1001,MATCH(ROWS($U$2:U844),$U$2:$U$1001,0),1)&gt;=100000,INDEX($AB$1005:$AQ$1005,1,MATCH(COLUMNS($AB$1006:AO1006),$AB$1006:$AQ$1006,0))&gt;=100000), " ",IF(INDEX($AB$2:$AQ$1001,MATCH(ROWS($U$2:U844),$U$2:$U$1001,0),MATCH(COLUMNS($AB$1006:AO1006),$AB$1006:$AQ$1006,0)), HYPERLINK("#",""), HYPERLINK(CONCATENATE("#Metadata!", ADDRESS(INDEX($W$2:$W$1001,MATCH(ROWS($U$2:U844),$U$2:$U$1001,0),0), INDEX($AB$1004:$AQ$1004,1,MATCH(COLUMNS($AB$1006:AO1006),$AB$1006:$AQ$1006,0)))),"Fix")))</f>
        <v>0</v>
      </c>
      <c r="P844" s="5">
        <f>IF(OR(INDEX($V$2:$V$1001,MATCH(ROWS($U$2:U844),$U$2:$U$1001,0),1)&gt;=100000,INDEX($AB$1005:$AQ$1005,1,MATCH(COLUMNS($AB$1006:AP1006),$AB$1006:$AQ$1006,0))&gt;=100000), " ",IF(INDEX($AB$2:$AQ$1001,MATCH(ROWS($U$2:U844),$U$2:$U$1001,0),MATCH(COLUMNS($AB$1006:AP1006),$AB$1006:$AQ$1006,0)), HYPERLINK("#",""), HYPERLINK(CONCATENATE("#Metadata!", ADDRESS(INDEX($W$2:$W$1001,MATCH(ROWS($U$2:U844),$U$2:$U$1001,0),0), INDEX($AB$1004:$AQ$1004,1,MATCH(COLUMNS($AB$1006:AP1006),$AB$1006:$AQ$1006,0)))),"Fix")))</f>
        <v>0</v>
      </c>
      <c r="Q844" s="5">
        <f>IF(OR(INDEX($V$2:$V$1001,MATCH(ROWS($U$2:U844),$U$2:$U$1001,0),1)&gt;=100000,INDEX($AB$1005:$AQ$1005,1,MATCH(COLUMNS($AB$1006:AQ1006),$AB$1006:$AQ$1006,0))&gt;=100000), " ",IF(INDEX($AB$2:$AQ$1001,MATCH(ROWS($U$2:U844),$U$2:$U$1001,0),MATCH(COLUMNS($AB$1006:AQ1006),$AB$1006:$AQ$1006,0)), HYPERLINK("#",""), HYPERLINK(CONCATENATE("#Metadata!", ADDRESS(INDEX($W$2:$W$1001,MATCH(ROWS($U$2:U844),$U$2:$U$1001,0),0), INDEX($AB$1004:$AQ$1004,1,MATCH(COLUMNS($AB$1006:AQ1006),$AB$1006:$AQ$1006,0)))),"Fix")))</f>
        <v>0</v>
      </c>
      <c r="U844">
        <v>0</v>
      </c>
      <c r="V844">
        <v>0</v>
      </c>
      <c r="W844">
        <v>0</v>
      </c>
      <c r="X844">
        <f>IF(Y844,TRUE,AND(AB844:AQ844))</f>
        <v>0</v>
      </c>
      <c r="Y844">
        <f>COUNTBLANK(Metadata!B844:Q844)=COLUMNS(Metadata!B844:Q844)</f>
        <v>0</v>
      </c>
      <c r="Z844">
        <v>0</v>
      </c>
      <c r="AB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AC844">
        <f>AND(IF(Metadata!C844="",FALSE,TRUE),exact(Metadata!C844,"urban biome"))</f>
        <v>0</v>
      </c>
      <c r="AD844">
        <f>AND(IF(Metadata!D844="",FALSE,TRUE),exact(Metadata!D844,"human-associated habitat"))</f>
        <v>0</v>
      </c>
      <c r="AE844">
        <f>AND(IF(Metadata!E844="",FALSE,TRUE),OR(exact(Metadata!E844,"human-associated"),exact(Metadata!E844,"human-skin"),exact(Metadata!E844,"human-oral"),exact(Metadata!E844,"human-gut"),exact(Metadata!E844,"human-vaginal")))</f>
        <v>0</v>
      </c>
      <c r="AF844">
        <f>AND(IF(Metadata!F844="",FALSE,ISNUMBER(VALUE(Metadata!F844))),Metadata!F844&gt;0)</f>
        <v>0</v>
      </c>
      <c r="AG844">
        <f>AND(IF(Metadata!G844="",FALSE,TRUE),exact(Metadata!G844,"years"))</f>
        <v>0</v>
      </c>
      <c r="AH844">
        <f>OR(AND(IF(Metadata!H844="",FALSE,TRUE),OR(exact(Metadata!H844,"not applicable"),exact(Metadata!H844,"not collected"),exact(Metadata!H844,"not provided"),exact(Metadata!H844,"restricted access"))),AND(IF(Metadata!H844="",FALSE,ISNUMBER(VALUE(Metadata!H844))),Metadata!H844&gt;0))</f>
        <v>0</v>
      </c>
      <c r="AI844">
        <f>AND(IF(Metadata!I844="",FALSE,TRUE),exact(Metadata!I844,"human"))</f>
        <v>0</v>
      </c>
      <c r="AJ844">
        <f>AND(IF(Metadata!J844="",FALSE,ISNUMBER(VALUE(Metadata!J844))),Metadata!J844&gt;0)</f>
        <v>0</v>
      </c>
      <c r="AK844">
        <f>AND(IF(Metadata!K844="",FALSE,TRUE),exact(Metadata!K844,"cm"))</f>
        <v>0</v>
      </c>
      <c r="AL844">
        <f>AND(IF(Metadata!L844="",FALSE,TRUE),exact(Metadata!L844,"Homo sapiens"))</f>
        <v>0</v>
      </c>
      <c r="AM844">
        <f>AND(IF(Metadata!M844="",FALSE,TRUE),exact(Metadata!M844,"9606"))</f>
        <v>0</v>
      </c>
      <c r="AN844">
        <f>AND(IF(Metadata!N844="",FALSE,ISNUMBER(VALUE(Metadata!N844))),Metadata!N844&gt;0)</f>
        <v>0</v>
      </c>
      <c r="AO844">
        <f>AND(IF(Metadata!O844="",FALSE,TRUE),exact(Metadata!O844,"kg"))</f>
        <v>0</v>
      </c>
      <c r="AP844">
        <f>OR(AND(IF(Metadata!P844="",FALSE,TRUE),exact(Metadata!P844,"not provided")),IF(Metadata!P844="",FALSE,TRUE))</f>
        <v>0</v>
      </c>
      <c r="AQ844">
        <f>OR(AND(IF(Metadata!Q844="",FALSE,TRUE),exact(Metadata!Q844,"not provided")),IF(Metadata!Q844="",FALSE,TRUE))</f>
        <v>0</v>
      </c>
    </row>
    <row r="845" spans="1:43">
      <c r="A845" s="4">
        <f>IF(B845=" "," ",HYPERLINK(CONCATENATE("#metadata!",ADDRESS(INDEX($W$2:$W$1001,MATCH(ROWS($U$2:U845),$U$2:$U$1001,0),0),2)),INDEX($Z$2:$Z$1001,MATCH(ROWS($U$2:U845),$U$2:$U$1001,0),0)))</f>
        <v>0</v>
      </c>
      <c r="B845" s="5">
        <f>IF(OR(INDEX($V$2:$V$1001,MATCH(ROWS($U$2:U845),$U$2:$U$1001,0),1)&gt;=100000,INDEX($AB$1005:$AQ$1005,1,MATCH(COLUMNS($AB$1006:AB1006),$AB$1006:$AQ$1006,0))&gt;=100000), " ",IF(INDEX($AB$2:$AQ$1001,MATCH(ROWS($U$2:U845),$U$2:$U$1001,0),MATCH(COLUMNS($AB$1006:AB1006),$AB$1006:$AQ$1006,0)), HYPERLINK("#",""), HYPERLINK(CONCATENATE("#Metadata!", ADDRESS(INDEX($W$2:$W$1001,MATCH(ROWS($U$2:U845),$U$2:$U$1001,0),0), INDEX($AB$1004:$AQ$1004,1,MATCH(COLUMNS($AB$1006:AB1006),$AB$1006:$AQ$1006,0)))),"Fix")))</f>
        <v>0</v>
      </c>
      <c r="C845" s="5">
        <f>IF(OR(INDEX($V$2:$V$1001,MATCH(ROWS($U$2:U845),$U$2:$U$1001,0),1)&gt;=100000,INDEX($AB$1005:$AQ$1005,1,MATCH(COLUMNS($AB$1006:AC1006),$AB$1006:$AQ$1006,0))&gt;=100000), " ",IF(INDEX($AB$2:$AQ$1001,MATCH(ROWS($U$2:U845),$U$2:$U$1001,0),MATCH(COLUMNS($AB$1006:AC1006),$AB$1006:$AQ$1006,0)), HYPERLINK("#",""), HYPERLINK(CONCATENATE("#Metadata!", ADDRESS(INDEX($W$2:$W$1001,MATCH(ROWS($U$2:U845),$U$2:$U$1001,0),0), INDEX($AB$1004:$AQ$1004,1,MATCH(COLUMNS($AB$1006:AC1006),$AB$1006:$AQ$1006,0)))),"Fix")))</f>
        <v>0</v>
      </c>
      <c r="D845" s="5">
        <f>IF(OR(INDEX($V$2:$V$1001,MATCH(ROWS($U$2:U845),$U$2:$U$1001,0),1)&gt;=100000,INDEX($AB$1005:$AQ$1005,1,MATCH(COLUMNS($AB$1006:AD1006),$AB$1006:$AQ$1006,0))&gt;=100000), " ",IF(INDEX($AB$2:$AQ$1001,MATCH(ROWS($U$2:U845),$U$2:$U$1001,0),MATCH(COLUMNS($AB$1006:AD1006),$AB$1006:$AQ$1006,0)), HYPERLINK("#",""), HYPERLINK(CONCATENATE("#Metadata!", ADDRESS(INDEX($W$2:$W$1001,MATCH(ROWS($U$2:U845),$U$2:$U$1001,0),0), INDEX($AB$1004:$AQ$1004,1,MATCH(COLUMNS($AB$1006:AD1006),$AB$1006:$AQ$1006,0)))),"Fix")))</f>
        <v>0</v>
      </c>
      <c r="E845" s="5">
        <f>IF(OR(INDEX($V$2:$V$1001,MATCH(ROWS($U$2:U845),$U$2:$U$1001,0),1)&gt;=100000,INDEX($AB$1005:$AQ$1005,1,MATCH(COLUMNS($AB$1006:AE1006),$AB$1006:$AQ$1006,0))&gt;=100000), " ",IF(INDEX($AB$2:$AQ$1001,MATCH(ROWS($U$2:U845),$U$2:$U$1001,0),MATCH(COLUMNS($AB$1006:AE1006),$AB$1006:$AQ$1006,0)), HYPERLINK("#",""), HYPERLINK(CONCATENATE("#Metadata!", ADDRESS(INDEX($W$2:$W$1001,MATCH(ROWS($U$2:U845),$U$2:$U$1001,0),0), INDEX($AB$1004:$AQ$1004,1,MATCH(COLUMNS($AB$1006:AE1006),$AB$1006:$AQ$1006,0)))),"Fix")))</f>
        <v>0</v>
      </c>
      <c r="F845" s="5">
        <f>IF(OR(INDEX($V$2:$V$1001,MATCH(ROWS($U$2:U845),$U$2:$U$1001,0),1)&gt;=100000,INDEX($AB$1005:$AQ$1005,1,MATCH(COLUMNS($AB$1006:AF1006),$AB$1006:$AQ$1006,0))&gt;=100000), " ",IF(INDEX($AB$2:$AQ$1001,MATCH(ROWS($U$2:U845),$U$2:$U$1001,0),MATCH(COLUMNS($AB$1006:AF1006),$AB$1006:$AQ$1006,0)), HYPERLINK("#",""), HYPERLINK(CONCATENATE("#Metadata!", ADDRESS(INDEX($W$2:$W$1001,MATCH(ROWS($U$2:U845),$U$2:$U$1001,0),0), INDEX($AB$1004:$AQ$1004,1,MATCH(COLUMNS($AB$1006:AF1006),$AB$1006:$AQ$1006,0)))),"Fix")))</f>
        <v>0</v>
      </c>
      <c r="G845" s="5">
        <f>IF(OR(INDEX($V$2:$V$1001,MATCH(ROWS($U$2:U845),$U$2:$U$1001,0),1)&gt;=100000,INDEX($AB$1005:$AQ$1005,1,MATCH(COLUMNS($AB$1006:AG1006),$AB$1006:$AQ$1006,0))&gt;=100000), " ",IF(INDEX($AB$2:$AQ$1001,MATCH(ROWS($U$2:U845),$U$2:$U$1001,0),MATCH(COLUMNS($AB$1006:AG1006),$AB$1006:$AQ$1006,0)), HYPERLINK("#",""), HYPERLINK(CONCATENATE("#Metadata!", ADDRESS(INDEX($W$2:$W$1001,MATCH(ROWS($U$2:U845),$U$2:$U$1001,0),0), INDEX($AB$1004:$AQ$1004,1,MATCH(COLUMNS($AB$1006:AG1006),$AB$1006:$AQ$1006,0)))),"Fix")))</f>
        <v>0</v>
      </c>
      <c r="H845" s="5">
        <f>IF(OR(INDEX($V$2:$V$1001,MATCH(ROWS($U$2:U845),$U$2:$U$1001,0),1)&gt;=100000,INDEX($AB$1005:$AQ$1005,1,MATCH(COLUMNS($AB$1006:AH1006),$AB$1006:$AQ$1006,0))&gt;=100000), " ",IF(INDEX($AB$2:$AQ$1001,MATCH(ROWS($U$2:U845),$U$2:$U$1001,0),MATCH(COLUMNS($AB$1006:AH1006),$AB$1006:$AQ$1006,0)), HYPERLINK("#",""), HYPERLINK(CONCATENATE("#Metadata!", ADDRESS(INDEX($W$2:$W$1001,MATCH(ROWS($U$2:U845),$U$2:$U$1001,0),0), INDEX($AB$1004:$AQ$1004,1,MATCH(COLUMNS($AB$1006:AH1006),$AB$1006:$AQ$1006,0)))),"Fix")))</f>
        <v>0</v>
      </c>
      <c r="I845" s="5">
        <f>IF(OR(INDEX($V$2:$V$1001,MATCH(ROWS($U$2:U845),$U$2:$U$1001,0),1)&gt;=100000,INDEX($AB$1005:$AQ$1005,1,MATCH(COLUMNS($AB$1006:AI1006),$AB$1006:$AQ$1006,0))&gt;=100000), " ",IF(INDEX($AB$2:$AQ$1001,MATCH(ROWS($U$2:U845),$U$2:$U$1001,0),MATCH(COLUMNS($AB$1006:AI1006),$AB$1006:$AQ$1006,0)), HYPERLINK("#",""), HYPERLINK(CONCATENATE("#Metadata!", ADDRESS(INDEX($W$2:$W$1001,MATCH(ROWS($U$2:U845),$U$2:$U$1001,0),0), INDEX($AB$1004:$AQ$1004,1,MATCH(COLUMNS($AB$1006:AI1006),$AB$1006:$AQ$1006,0)))),"Fix")))</f>
        <v>0</v>
      </c>
      <c r="J845" s="5">
        <f>IF(OR(INDEX($V$2:$V$1001,MATCH(ROWS($U$2:U845),$U$2:$U$1001,0),1)&gt;=100000,INDEX($AB$1005:$AQ$1005,1,MATCH(COLUMNS($AB$1006:AJ1006),$AB$1006:$AQ$1006,0))&gt;=100000), " ",IF(INDEX($AB$2:$AQ$1001,MATCH(ROWS($U$2:U845),$U$2:$U$1001,0),MATCH(COLUMNS($AB$1006:AJ1006),$AB$1006:$AQ$1006,0)), HYPERLINK("#",""), HYPERLINK(CONCATENATE("#Metadata!", ADDRESS(INDEX($W$2:$W$1001,MATCH(ROWS($U$2:U845),$U$2:$U$1001,0),0), INDEX($AB$1004:$AQ$1004,1,MATCH(COLUMNS($AB$1006:AJ1006),$AB$1006:$AQ$1006,0)))),"Fix")))</f>
        <v>0</v>
      </c>
      <c r="K845" s="5">
        <f>IF(OR(INDEX($V$2:$V$1001,MATCH(ROWS($U$2:U845),$U$2:$U$1001,0),1)&gt;=100000,INDEX($AB$1005:$AQ$1005,1,MATCH(COLUMNS($AB$1006:AK1006),$AB$1006:$AQ$1006,0))&gt;=100000), " ",IF(INDEX($AB$2:$AQ$1001,MATCH(ROWS($U$2:U845),$U$2:$U$1001,0),MATCH(COLUMNS($AB$1006:AK1006),$AB$1006:$AQ$1006,0)), HYPERLINK("#",""), HYPERLINK(CONCATENATE("#Metadata!", ADDRESS(INDEX($W$2:$W$1001,MATCH(ROWS($U$2:U845),$U$2:$U$1001,0),0), INDEX($AB$1004:$AQ$1004,1,MATCH(COLUMNS($AB$1006:AK1006),$AB$1006:$AQ$1006,0)))),"Fix")))</f>
        <v>0</v>
      </c>
      <c r="L845" s="5">
        <f>IF(OR(INDEX($V$2:$V$1001,MATCH(ROWS($U$2:U845),$U$2:$U$1001,0),1)&gt;=100000,INDEX($AB$1005:$AQ$1005,1,MATCH(COLUMNS($AB$1006:AL1006),$AB$1006:$AQ$1006,0))&gt;=100000), " ",IF(INDEX($AB$2:$AQ$1001,MATCH(ROWS($U$2:U845),$U$2:$U$1001,0),MATCH(COLUMNS($AB$1006:AL1006),$AB$1006:$AQ$1006,0)), HYPERLINK("#",""), HYPERLINK(CONCATENATE("#Metadata!", ADDRESS(INDEX($W$2:$W$1001,MATCH(ROWS($U$2:U845),$U$2:$U$1001,0),0), INDEX($AB$1004:$AQ$1004,1,MATCH(COLUMNS($AB$1006:AL1006),$AB$1006:$AQ$1006,0)))),"Fix")))</f>
        <v>0</v>
      </c>
      <c r="M845" s="5">
        <f>IF(OR(INDEX($V$2:$V$1001,MATCH(ROWS($U$2:U845),$U$2:$U$1001,0),1)&gt;=100000,INDEX($AB$1005:$AQ$1005,1,MATCH(COLUMNS($AB$1006:AM1006),$AB$1006:$AQ$1006,0))&gt;=100000), " ",IF(INDEX($AB$2:$AQ$1001,MATCH(ROWS($U$2:U845),$U$2:$U$1001,0),MATCH(COLUMNS($AB$1006:AM1006),$AB$1006:$AQ$1006,0)), HYPERLINK("#",""), HYPERLINK(CONCATENATE("#Metadata!", ADDRESS(INDEX($W$2:$W$1001,MATCH(ROWS($U$2:U845),$U$2:$U$1001,0),0), INDEX($AB$1004:$AQ$1004,1,MATCH(COLUMNS($AB$1006:AM1006),$AB$1006:$AQ$1006,0)))),"Fix")))</f>
        <v>0</v>
      </c>
      <c r="N845" s="5">
        <f>IF(OR(INDEX($V$2:$V$1001,MATCH(ROWS($U$2:U845),$U$2:$U$1001,0),1)&gt;=100000,INDEX($AB$1005:$AQ$1005,1,MATCH(COLUMNS($AB$1006:AN1006),$AB$1006:$AQ$1006,0))&gt;=100000), " ",IF(INDEX($AB$2:$AQ$1001,MATCH(ROWS($U$2:U845),$U$2:$U$1001,0),MATCH(COLUMNS($AB$1006:AN1006),$AB$1006:$AQ$1006,0)), HYPERLINK("#",""), HYPERLINK(CONCATENATE("#Metadata!", ADDRESS(INDEX($W$2:$W$1001,MATCH(ROWS($U$2:U845),$U$2:$U$1001,0),0), INDEX($AB$1004:$AQ$1004,1,MATCH(COLUMNS($AB$1006:AN1006),$AB$1006:$AQ$1006,0)))),"Fix")))</f>
        <v>0</v>
      </c>
      <c r="O845" s="5">
        <f>IF(OR(INDEX($V$2:$V$1001,MATCH(ROWS($U$2:U845),$U$2:$U$1001,0),1)&gt;=100000,INDEX($AB$1005:$AQ$1005,1,MATCH(COLUMNS($AB$1006:AO1006),$AB$1006:$AQ$1006,0))&gt;=100000), " ",IF(INDEX($AB$2:$AQ$1001,MATCH(ROWS($U$2:U845),$U$2:$U$1001,0),MATCH(COLUMNS($AB$1006:AO1006),$AB$1006:$AQ$1006,0)), HYPERLINK("#",""), HYPERLINK(CONCATENATE("#Metadata!", ADDRESS(INDEX($W$2:$W$1001,MATCH(ROWS($U$2:U845),$U$2:$U$1001,0),0), INDEX($AB$1004:$AQ$1004,1,MATCH(COLUMNS($AB$1006:AO1006),$AB$1006:$AQ$1006,0)))),"Fix")))</f>
        <v>0</v>
      </c>
      <c r="P845" s="5">
        <f>IF(OR(INDEX($V$2:$V$1001,MATCH(ROWS($U$2:U845),$U$2:$U$1001,0),1)&gt;=100000,INDEX($AB$1005:$AQ$1005,1,MATCH(COLUMNS($AB$1006:AP1006),$AB$1006:$AQ$1006,0))&gt;=100000), " ",IF(INDEX($AB$2:$AQ$1001,MATCH(ROWS($U$2:U845),$U$2:$U$1001,0),MATCH(COLUMNS($AB$1006:AP1006),$AB$1006:$AQ$1006,0)), HYPERLINK("#",""), HYPERLINK(CONCATENATE("#Metadata!", ADDRESS(INDEX($W$2:$W$1001,MATCH(ROWS($U$2:U845),$U$2:$U$1001,0),0), INDEX($AB$1004:$AQ$1004,1,MATCH(COLUMNS($AB$1006:AP1006),$AB$1006:$AQ$1006,0)))),"Fix")))</f>
        <v>0</v>
      </c>
      <c r="Q845" s="5">
        <f>IF(OR(INDEX($V$2:$V$1001,MATCH(ROWS($U$2:U845),$U$2:$U$1001,0),1)&gt;=100000,INDEX($AB$1005:$AQ$1005,1,MATCH(COLUMNS($AB$1006:AQ1006),$AB$1006:$AQ$1006,0))&gt;=100000), " ",IF(INDEX($AB$2:$AQ$1001,MATCH(ROWS($U$2:U845),$U$2:$U$1001,0),MATCH(COLUMNS($AB$1006:AQ1006),$AB$1006:$AQ$1006,0)), HYPERLINK("#",""), HYPERLINK(CONCATENATE("#Metadata!", ADDRESS(INDEX($W$2:$W$1001,MATCH(ROWS($U$2:U845),$U$2:$U$1001,0),0), INDEX($AB$1004:$AQ$1004,1,MATCH(COLUMNS($AB$1006:AQ1006),$AB$1006:$AQ$1006,0)))),"Fix")))</f>
        <v>0</v>
      </c>
      <c r="U845">
        <v>0</v>
      </c>
      <c r="V845">
        <v>0</v>
      </c>
      <c r="W845">
        <v>0</v>
      </c>
      <c r="X845">
        <f>IF(Y845,TRUE,AND(AB845:AQ845))</f>
        <v>0</v>
      </c>
      <c r="Y845">
        <f>COUNTBLANK(Metadata!B845:Q845)=COLUMNS(Metadata!B845:Q845)</f>
        <v>0</v>
      </c>
      <c r="Z845">
        <v>0</v>
      </c>
      <c r="AB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AC845">
        <f>AND(IF(Metadata!C845="",FALSE,TRUE),exact(Metadata!C845,"urban biome"))</f>
        <v>0</v>
      </c>
      <c r="AD845">
        <f>AND(IF(Metadata!D845="",FALSE,TRUE),exact(Metadata!D845,"human-associated habitat"))</f>
        <v>0</v>
      </c>
      <c r="AE845">
        <f>AND(IF(Metadata!E845="",FALSE,TRUE),OR(exact(Metadata!E845,"human-associated"),exact(Metadata!E845,"human-skin"),exact(Metadata!E845,"human-oral"),exact(Metadata!E845,"human-gut"),exact(Metadata!E845,"human-vaginal")))</f>
        <v>0</v>
      </c>
      <c r="AF845">
        <f>AND(IF(Metadata!F845="",FALSE,ISNUMBER(VALUE(Metadata!F845))),Metadata!F845&gt;0)</f>
        <v>0</v>
      </c>
      <c r="AG845">
        <f>AND(IF(Metadata!G845="",FALSE,TRUE),exact(Metadata!G845,"years"))</f>
        <v>0</v>
      </c>
      <c r="AH845">
        <f>OR(AND(IF(Metadata!H845="",FALSE,TRUE),OR(exact(Metadata!H845,"not applicable"),exact(Metadata!H845,"not collected"),exact(Metadata!H845,"not provided"),exact(Metadata!H845,"restricted access"))),AND(IF(Metadata!H845="",FALSE,ISNUMBER(VALUE(Metadata!H845))),Metadata!H845&gt;0))</f>
        <v>0</v>
      </c>
      <c r="AI845">
        <f>AND(IF(Metadata!I845="",FALSE,TRUE),exact(Metadata!I845,"human"))</f>
        <v>0</v>
      </c>
      <c r="AJ845">
        <f>AND(IF(Metadata!J845="",FALSE,ISNUMBER(VALUE(Metadata!J845))),Metadata!J845&gt;0)</f>
        <v>0</v>
      </c>
      <c r="AK845">
        <f>AND(IF(Metadata!K845="",FALSE,TRUE),exact(Metadata!K845,"cm"))</f>
        <v>0</v>
      </c>
      <c r="AL845">
        <f>AND(IF(Metadata!L845="",FALSE,TRUE),exact(Metadata!L845,"Homo sapiens"))</f>
        <v>0</v>
      </c>
      <c r="AM845">
        <f>AND(IF(Metadata!M845="",FALSE,TRUE),exact(Metadata!M845,"9606"))</f>
        <v>0</v>
      </c>
      <c r="AN845">
        <f>AND(IF(Metadata!N845="",FALSE,ISNUMBER(VALUE(Metadata!N845))),Metadata!N845&gt;0)</f>
        <v>0</v>
      </c>
      <c r="AO845">
        <f>AND(IF(Metadata!O845="",FALSE,TRUE),exact(Metadata!O845,"kg"))</f>
        <v>0</v>
      </c>
      <c r="AP845">
        <f>OR(AND(IF(Metadata!P845="",FALSE,TRUE),exact(Metadata!P845,"not provided")),IF(Metadata!P845="",FALSE,TRUE))</f>
        <v>0</v>
      </c>
      <c r="AQ845">
        <f>OR(AND(IF(Metadata!Q845="",FALSE,TRUE),exact(Metadata!Q845,"not provided")),IF(Metadata!Q845="",FALSE,TRUE))</f>
        <v>0</v>
      </c>
    </row>
    <row r="846" spans="1:43">
      <c r="A846" s="4">
        <f>IF(B846=" "," ",HYPERLINK(CONCATENATE("#metadata!",ADDRESS(INDEX($W$2:$W$1001,MATCH(ROWS($U$2:U846),$U$2:$U$1001,0),0),2)),INDEX($Z$2:$Z$1001,MATCH(ROWS($U$2:U846),$U$2:$U$1001,0),0)))</f>
        <v>0</v>
      </c>
      <c r="B846" s="5">
        <f>IF(OR(INDEX($V$2:$V$1001,MATCH(ROWS($U$2:U846),$U$2:$U$1001,0),1)&gt;=100000,INDEX($AB$1005:$AQ$1005,1,MATCH(COLUMNS($AB$1006:AB1006),$AB$1006:$AQ$1006,0))&gt;=100000), " ",IF(INDEX($AB$2:$AQ$1001,MATCH(ROWS($U$2:U846),$U$2:$U$1001,0),MATCH(COLUMNS($AB$1006:AB1006),$AB$1006:$AQ$1006,0)), HYPERLINK("#",""), HYPERLINK(CONCATENATE("#Metadata!", ADDRESS(INDEX($W$2:$W$1001,MATCH(ROWS($U$2:U846),$U$2:$U$1001,0),0), INDEX($AB$1004:$AQ$1004,1,MATCH(COLUMNS($AB$1006:AB1006),$AB$1006:$AQ$1006,0)))),"Fix")))</f>
        <v>0</v>
      </c>
      <c r="C846" s="5">
        <f>IF(OR(INDEX($V$2:$V$1001,MATCH(ROWS($U$2:U846),$U$2:$U$1001,0),1)&gt;=100000,INDEX($AB$1005:$AQ$1005,1,MATCH(COLUMNS($AB$1006:AC1006),$AB$1006:$AQ$1006,0))&gt;=100000), " ",IF(INDEX($AB$2:$AQ$1001,MATCH(ROWS($U$2:U846),$U$2:$U$1001,0),MATCH(COLUMNS($AB$1006:AC1006),$AB$1006:$AQ$1006,0)), HYPERLINK("#",""), HYPERLINK(CONCATENATE("#Metadata!", ADDRESS(INDEX($W$2:$W$1001,MATCH(ROWS($U$2:U846),$U$2:$U$1001,0),0), INDEX($AB$1004:$AQ$1004,1,MATCH(COLUMNS($AB$1006:AC1006),$AB$1006:$AQ$1006,0)))),"Fix")))</f>
        <v>0</v>
      </c>
      <c r="D846" s="5">
        <f>IF(OR(INDEX($V$2:$V$1001,MATCH(ROWS($U$2:U846),$U$2:$U$1001,0),1)&gt;=100000,INDEX($AB$1005:$AQ$1005,1,MATCH(COLUMNS($AB$1006:AD1006),$AB$1006:$AQ$1006,0))&gt;=100000), " ",IF(INDEX($AB$2:$AQ$1001,MATCH(ROWS($U$2:U846),$U$2:$U$1001,0),MATCH(COLUMNS($AB$1006:AD1006),$AB$1006:$AQ$1006,0)), HYPERLINK("#",""), HYPERLINK(CONCATENATE("#Metadata!", ADDRESS(INDEX($W$2:$W$1001,MATCH(ROWS($U$2:U846),$U$2:$U$1001,0),0), INDEX($AB$1004:$AQ$1004,1,MATCH(COLUMNS($AB$1006:AD1006),$AB$1006:$AQ$1006,0)))),"Fix")))</f>
        <v>0</v>
      </c>
      <c r="E846" s="5">
        <f>IF(OR(INDEX($V$2:$V$1001,MATCH(ROWS($U$2:U846),$U$2:$U$1001,0),1)&gt;=100000,INDEX($AB$1005:$AQ$1005,1,MATCH(COLUMNS($AB$1006:AE1006),$AB$1006:$AQ$1006,0))&gt;=100000), " ",IF(INDEX($AB$2:$AQ$1001,MATCH(ROWS($U$2:U846),$U$2:$U$1001,0),MATCH(COLUMNS($AB$1006:AE1006),$AB$1006:$AQ$1006,0)), HYPERLINK("#",""), HYPERLINK(CONCATENATE("#Metadata!", ADDRESS(INDEX($W$2:$W$1001,MATCH(ROWS($U$2:U846),$U$2:$U$1001,0),0), INDEX($AB$1004:$AQ$1004,1,MATCH(COLUMNS($AB$1006:AE1006),$AB$1006:$AQ$1006,0)))),"Fix")))</f>
        <v>0</v>
      </c>
      <c r="F846" s="5">
        <f>IF(OR(INDEX($V$2:$V$1001,MATCH(ROWS($U$2:U846),$U$2:$U$1001,0),1)&gt;=100000,INDEX($AB$1005:$AQ$1005,1,MATCH(COLUMNS($AB$1006:AF1006),$AB$1006:$AQ$1006,0))&gt;=100000), " ",IF(INDEX($AB$2:$AQ$1001,MATCH(ROWS($U$2:U846),$U$2:$U$1001,0),MATCH(COLUMNS($AB$1006:AF1006),$AB$1006:$AQ$1006,0)), HYPERLINK("#",""), HYPERLINK(CONCATENATE("#Metadata!", ADDRESS(INDEX($W$2:$W$1001,MATCH(ROWS($U$2:U846),$U$2:$U$1001,0),0), INDEX($AB$1004:$AQ$1004,1,MATCH(COLUMNS($AB$1006:AF1006),$AB$1006:$AQ$1006,0)))),"Fix")))</f>
        <v>0</v>
      </c>
      <c r="G846" s="5">
        <f>IF(OR(INDEX($V$2:$V$1001,MATCH(ROWS($U$2:U846),$U$2:$U$1001,0),1)&gt;=100000,INDEX($AB$1005:$AQ$1005,1,MATCH(COLUMNS($AB$1006:AG1006),$AB$1006:$AQ$1006,0))&gt;=100000), " ",IF(INDEX($AB$2:$AQ$1001,MATCH(ROWS($U$2:U846),$U$2:$U$1001,0),MATCH(COLUMNS($AB$1006:AG1006),$AB$1006:$AQ$1006,0)), HYPERLINK("#",""), HYPERLINK(CONCATENATE("#Metadata!", ADDRESS(INDEX($W$2:$W$1001,MATCH(ROWS($U$2:U846),$U$2:$U$1001,0),0), INDEX($AB$1004:$AQ$1004,1,MATCH(COLUMNS($AB$1006:AG1006),$AB$1006:$AQ$1006,0)))),"Fix")))</f>
        <v>0</v>
      </c>
      <c r="H846" s="5">
        <f>IF(OR(INDEX($V$2:$V$1001,MATCH(ROWS($U$2:U846),$U$2:$U$1001,0),1)&gt;=100000,INDEX($AB$1005:$AQ$1005,1,MATCH(COLUMNS($AB$1006:AH1006),$AB$1006:$AQ$1006,0))&gt;=100000), " ",IF(INDEX($AB$2:$AQ$1001,MATCH(ROWS($U$2:U846),$U$2:$U$1001,0),MATCH(COLUMNS($AB$1006:AH1006),$AB$1006:$AQ$1006,0)), HYPERLINK("#",""), HYPERLINK(CONCATENATE("#Metadata!", ADDRESS(INDEX($W$2:$W$1001,MATCH(ROWS($U$2:U846),$U$2:$U$1001,0),0), INDEX($AB$1004:$AQ$1004,1,MATCH(COLUMNS($AB$1006:AH1006),$AB$1006:$AQ$1006,0)))),"Fix")))</f>
        <v>0</v>
      </c>
      <c r="I846" s="5">
        <f>IF(OR(INDEX($V$2:$V$1001,MATCH(ROWS($U$2:U846),$U$2:$U$1001,0),1)&gt;=100000,INDEX($AB$1005:$AQ$1005,1,MATCH(COLUMNS($AB$1006:AI1006),$AB$1006:$AQ$1006,0))&gt;=100000), " ",IF(INDEX($AB$2:$AQ$1001,MATCH(ROWS($U$2:U846),$U$2:$U$1001,0),MATCH(COLUMNS($AB$1006:AI1006),$AB$1006:$AQ$1006,0)), HYPERLINK("#",""), HYPERLINK(CONCATENATE("#Metadata!", ADDRESS(INDEX($W$2:$W$1001,MATCH(ROWS($U$2:U846),$U$2:$U$1001,0),0), INDEX($AB$1004:$AQ$1004,1,MATCH(COLUMNS($AB$1006:AI1006),$AB$1006:$AQ$1006,0)))),"Fix")))</f>
        <v>0</v>
      </c>
      <c r="J846" s="5">
        <f>IF(OR(INDEX($V$2:$V$1001,MATCH(ROWS($U$2:U846),$U$2:$U$1001,0),1)&gt;=100000,INDEX($AB$1005:$AQ$1005,1,MATCH(COLUMNS($AB$1006:AJ1006),$AB$1006:$AQ$1006,0))&gt;=100000), " ",IF(INDEX($AB$2:$AQ$1001,MATCH(ROWS($U$2:U846),$U$2:$U$1001,0),MATCH(COLUMNS($AB$1006:AJ1006),$AB$1006:$AQ$1006,0)), HYPERLINK("#",""), HYPERLINK(CONCATENATE("#Metadata!", ADDRESS(INDEX($W$2:$W$1001,MATCH(ROWS($U$2:U846),$U$2:$U$1001,0),0), INDEX($AB$1004:$AQ$1004,1,MATCH(COLUMNS($AB$1006:AJ1006),$AB$1006:$AQ$1006,0)))),"Fix")))</f>
        <v>0</v>
      </c>
      <c r="K846" s="5">
        <f>IF(OR(INDEX($V$2:$V$1001,MATCH(ROWS($U$2:U846),$U$2:$U$1001,0),1)&gt;=100000,INDEX($AB$1005:$AQ$1005,1,MATCH(COLUMNS($AB$1006:AK1006),$AB$1006:$AQ$1006,0))&gt;=100000), " ",IF(INDEX($AB$2:$AQ$1001,MATCH(ROWS($U$2:U846),$U$2:$U$1001,0),MATCH(COLUMNS($AB$1006:AK1006),$AB$1006:$AQ$1006,0)), HYPERLINK("#",""), HYPERLINK(CONCATENATE("#Metadata!", ADDRESS(INDEX($W$2:$W$1001,MATCH(ROWS($U$2:U846),$U$2:$U$1001,0),0), INDEX($AB$1004:$AQ$1004,1,MATCH(COLUMNS($AB$1006:AK1006),$AB$1006:$AQ$1006,0)))),"Fix")))</f>
        <v>0</v>
      </c>
      <c r="L846" s="5">
        <f>IF(OR(INDEX($V$2:$V$1001,MATCH(ROWS($U$2:U846),$U$2:$U$1001,0),1)&gt;=100000,INDEX($AB$1005:$AQ$1005,1,MATCH(COLUMNS($AB$1006:AL1006),$AB$1006:$AQ$1006,0))&gt;=100000), " ",IF(INDEX($AB$2:$AQ$1001,MATCH(ROWS($U$2:U846),$U$2:$U$1001,0),MATCH(COLUMNS($AB$1006:AL1006),$AB$1006:$AQ$1006,0)), HYPERLINK("#",""), HYPERLINK(CONCATENATE("#Metadata!", ADDRESS(INDEX($W$2:$W$1001,MATCH(ROWS($U$2:U846),$U$2:$U$1001,0),0), INDEX($AB$1004:$AQ$1004,1,MATCH(COLUMNS($AB$1006:AL1006),$AB$1006:$AQ$1006,0)))),"Fix")))</f>
        <v>0</v>
      </c>
      <c r="M846" s="5">
        <f>IF(OR(INDEX($V$2:$V$1001,MATCH(ROWS($U$2:U846),$U$2:$U$1001,0),1)&gt;=100000,INDEX($AB$1005:$AQ$1005,1,MATCH(COLUMNS($AB$1006:AM1006),$AB$1006:$AQ$1006,0))&gt;=100000), " ",IF(INDEX($AB$2:$AQ$1001,MATCH(ROWS($U$2:U846),$U$2:$U$1001,0),MATCH(COLUMNS($AB$1006:AM1006),$AB$1006:$AQ$1006,0)), HYPERLINK("#",""), HYPERLINK(CONCATENATE("#Metadata!", ADDRESS(INDEX($W$2:$W$1001,MATCH(ROWS($U$2:U846),$U$2:$U$1001,0),0), INDEX($AB$1004:$AQ$1004,1,MATCH(COLUMNS($AB$1006:AM1006),$AB$1006:$AQ$1006,0)))),"Fix")))</f>
        <v>0</v>
      </c>
      <c r="N846" s="5">
        <f>IF(OR(INDEX($V$2:$V$1001,MATCH(ROWS($U$2:U846),$U$2:$U$1001,0),1)&gt;=100000,INDEX($AB$1005:$AQ$1005,1,MATCH(COLUMNS($AB$1006:AN1006),$AB$1006:$AQ$1006,0))&gt;=100000), " ",IF(INDEX($AB$2:$AQ$1001,MATCH(ROWS($U$2:U846),$U$2:$U$1001,0),MATCH(COLUMNS($AB$1006:AN1006),$AB$1006:$AQ$1006,0)), HYPERLINK("#",""), HYPERLINK(CONCATENATE("#Metadata!", ADDRESS(INDEX($W$2:$W$1001,MATCH(ROWS($U$2:U846),$U$2:$U$1001,0),0), INDEX($AB$1004:$AQ$1004,1,MATCH(COLUMNS($AB$1006:AN1006),$AB$1006:$AQ$1006,0)))),"Fix")))</f>
        <v>0</v>
      </c>
      <c r="O846" s="5">
        <f>IF(OR(INDEX($V$2:$V$1001,MATCH(ROWS($U$2:U846),$U$2:$U$1001,0),1)&gt;=100000,INDEX($AB$1005:$AQ$1005,1,MATCH(COLUMNS($AB$1006:AO1006),$AB$1006:$AQ$1006,0))&gt;=100000), " ",IF(INDEX($AB$2:$AQ$1001,MATCH(ROWS($U$2:U846),$U$2:$U$1001,0),MATCH(COLUMNS($AB$1006:AO1006),$AB$1006:$AQ$1006,0)), HYPERLINK("#",""), HYPERLINK(CONCATENATE("#Metadata!", ADDRESS(INDEX($W$2:$W$1001,MATCH(ROWS($U$2:U846),$U$2:$U$1001,0),0), INDEX($AB$1004:$AQ$1004,1,MATCH(COLUMNS($AB$1006:AO1006),$AB$1006:$AQ$1006,0)))),"Fix")))</f>
        <v>0</v>
      </c>
      <c r="P846" s="5">
        <f>IF(OR(INDEX($V$2:$V$1001,MATCH(ROWS($U$2:U846),$U$2:$U$1001,0),1)&gt;=100000,INDEX($AB$1005:$AQ$1005,1,MATCH(COLUMNS($AB$1006:AP1006),$AB$1006:$AQ$1006,0))&gt;=100000), " ",IF(INDEX($AB$2:$AQ$1001,MATCH(ROWS($U$2:U846),$U$2:$U$1001,0),MATCH(COLUMNS($AB$1006:AP1006),$AB$1006:$AQ$1006,0)), HYPERLINK("#",""), HYPERLINK(CONCATENATE("#Metadata!", ADDRESS(INDEX($W$2:$W$1001,MATCH(ROWS($U$2:U846),$U$2:$U$1001,0),0), INDEX($AB$1004:$AQ$1004,1,MATCH(COLUMNS($AB$1006:AP1006),$AB$1006:$AQ$1006,0)))),"Fix")))</f>
        <v>0</v>
      </c>
      <c r="Q846" s="5">
        <f>IF(OR(INDEX($V$2:$V$1001,MATCH(ROWS($U$2:U846),$U$2:$U$1001,0),1)&gt;=100000,INDEX($AB$1005:$AQ$1005,1,MATCH(COLUMNS($AB$1006:AQ1006),$AB$1006:$AQ$1006,0))&gt;=100000), " ",IF(INDEX($AB$2:$AQ$1001,MATCH(ROWS($U$2:U846),$U$2:$U$1001,0),MATCH(COLUMNS($AB$1006:AQ1006),$AB$1006:$AQ$1006,0)), HYPERLINK("#",""), HYPERLINK(CONCATENATE("#Metadata!", ADDRESS(INDEX($W$2:$W$1001,MATCH(ROWS($U$2:U846),$U$2:$U$1001,0),0), INDEX($AB$1004:$AQ$1004,1,MATCH(COLUMNS($AB$1006:AQ1006),$AB$1006:$AQ$1006,0)))),"Fix")))</f>
        <v>0</v>
      </c>
      <c r="U846">
        <v>0</v>
      </c>
      <c r="V846">
        <v>0</v>
      </c>
      <c r="W846">
        <v>0</v>
      </c>
      <c r="X846">
        <f>IF(Y846,TRUE,AND(AB846:AQ846))</f>
        <v>0</v>
      </c>
      <c r="Y846">
        <f>COUNTBLANK(Metadata!B846:Q846)=COLUMNS(Metadata!B846:Q846)</f>
        <v>0</v>
      </c>
      <c r="Z846">
        <v>0</v>
      </c>
      <c r="AB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AC846">
        <f>AND(IF(Metadata!C846="",FALSE,TRUE),exact(Metadata!C846,"urban biome"))</f>
        <v>0</v>
      </c>
      <c r="AD846">
        <f>AND(IF(Metadata!D846="",FALSE,TRUE),exact(Metadata!D846,"human-associated habitat"))</f>
        <v>0</v>
      </c>
      <c r="AE846">
        <f>AND(IF(Metadata!E846="",FALSE,TRUE),OR(exact(Metadata!E846,"human-associated"),exact(Metadata!E846,"human-skin"),exact(Metadata!E846,"human-oral"),exact(Metadata!E846,"human-gut"),exact(Metadata!E846,"human-vaginal")))</f>
        <v>0</v>
      </c>
      <c r="AF846">
        <f>AND(IF(Metadata!F846="",FALSE,ISNUMBER(VALUE(Metadata!F846))),Metadata!F846&gt;0)</f>
        <v>0</v>
      </c>
      <c r="AG846">
        <f>AND(IF(Metadata!G846="",FALSE,TRUE),exact(Metadata!G846,"years"))</f>
        <v>0</v>
      </c>
      <c r="AH846">
        <f>OR(AND(IF(Metadata!H846="",FALSE,TRUE),OR(exact(Metadata!H846,"not applicable"),exact(Metadata!H846,"not collected"),exact(Metadata!H846,"not provided"),exact(Metadata!H846,"restricted access"))),AND(IF(Metadata!H846="",FALSE,ISNUMBER(VALUE(Metadata!H846))),Metadata!H846&gt;0))</f>
        <v>0</v>
      </c>
      <c r="AI846">
        <f>AND(IF(Metadata!I846="",FALSE,TRUE),exact(Metadata!I846,"human"))</f>
        <v>0</v>
      </c>
      <c r="AJ846">
        <f>AND(IF(Metadata!J846="",FALSE,ISNUMBER(VALUE(Metadata!J846))),Metadata!J846&gt;0)</f>
        <v>0</v>
      </c>
      <c r="AK846">
        <f>AND(IF(Metadata!K846="",FALSE,TRUE),exact(Metadata!K846,"cm"))</f>
        <v>0</v>
      </c>
      <c r="AL846">
        <f>AND(IF(Metadata!L846="",FALSE,TRUE),exact(Metadata!L846,"Homo sapiens"))</f>
        <v>0</v>
      </c>
      <c r="AM846">
        <f>AND(IF(Metadata!M846="",FALSE,TRUE),exact(Metadata!M846,"9606"))</f>
        <v>0</v>
      </c>
      <c r="AN846">
        <f>AND(IF(Metadata!N846="",FALSE,ISNUMBER(VALUE(Metadata!N846))),Metadata!N846&gt;0)</f>
        <v>0</v>
      </c>
      <c r="AO846">
        <f>AND(IF(Metadata!O846="",FALSE,TRUE),exact(Metadata!O846,"kg"))</f>
        <v>0</v>
      </c>
      <c r="AP846">
        <f>OR(AND(IF(Metadata!P846="",FALSE,TRUE),exact(Metadata!P846,"not provided")),IF(Metadata!P846="",FALSE,TRUE))</f>
        <v>0</v>
      </c>
      <c r="AQ846">
        <f>OR(AND(IF(Metadata!Q846="",FALSE,TRUE),exact(Metadata!Q846,"not provided")),IF(Metadata!Q846="",FALSE,TRUE))</f>
        <v>0</v>
      </c>
    </row>
    <row r="847" spans="1:43">
      <c r="A847" s="4">
        <f>IF(B847=" "," ",HYPERLINK(CONCATENATE("#metadata!",ADDRESS(INDEX($W$2:$W$1001,MATCH(ROWS($U$2:U847),$U$2:$U$1001,0),0),2)),INDEX($Z$2:$Z$1001,MATCH(ROWS($U$2:U847),$U$2:$U$1001,0),0)))</f>
        <v>0</v>
      </c>
      <c r="B847" s="5">
        <f>IF(OR(INDEX($V$2:$V$1001,MATCH(ROWS($U$2:U847),$U$2:$U$1001,0),1)&gt;=100000,INDEX($AB$1005:$AQ$1005,1,MATCH(COLUMNS($AB$1006:AB1006),$AB$1006:$AQ$1006,0))&gt;=100000), " ",IF(INDEX($AB$2:$AQ$1001,MATCH(ROWS($U$2:U847),$U$2:$U$1001,0),MATCH(COLUMNS($AB$1006:AB1006),$AB$1006:$AQ$1006,0)), HYPERLINK("#",""), HYPERLINK(CONCATENATE("#Metadata!", ADDRESS(INDEX($W$2:$W$1001,MATCH(ROWS($U$2:U847),$U$2:$U$1001,0),0), INDEX($AB$1004:$AQ$1004,1,MATCH(COLUMNS($AB$1006:AB1006),$AB$1006:$AQ$1006,0)))),"Fix")))</f>
        <v>0</v>
      </c>
      <c r="C847" s="5">
        <f>IF(OR(INDEX($V$2:$V$1001,MATCH(ROWS($U$2:U847),$U$2:$U$1001,0),1)&gt;=100000,INDEX($AB$1005:$AQ$1005,1,MATCH(COLUMNS($AB$1006:AC1006),$AB$1006:$AQ$1006,0))&gt;=100000), " ",IF(INDEX($AB$2:$AQ$1001,MATCH(ROWS($U$2:U847),$U$2:$U$1001,0),MATCH(COLUMNS($AB$1006:AC1006),$AB$1006:$AQ$1006,0)), HYPERLINK("#",""), HYPERLINK(CONCATENATE("#Metadata!", ADDRESS(INDEX($W$2:$W$1001,MATCH(ROWS($U$2:U847),$U$2:$U$1001,0),0), INDEX($AB$1004:$AQ$1004,1,MATCH(COLUMNS($AB$1006:AC1006),$AB$1006:$AQ$1006,0)))),"Fix")))</f>
        <v>0</v>
      </c>
      <c r="D847" s="5">
        <f>IF(OR(INDEX($V$2:$V$1001,MATCH(ROWS($U$2:U847),$U$2:$U$1001,0),1)&gt;=100000,INDEX($AB$1005:$AQ$1005,1,MATCH(COLUMNS($AB$1006:AD1006),$AB$1006:$AQ$1006,0))&gt;=100000), " ",IF(INDEX($AB$2:$AQ$1001,MATCH(ROWS($U$2:U847),$U$2:$U$1001,0),MATCH(COLUMNS($AB$1006:AD1006),$AB$1006:$AQ$1006,0)), HYPERLINK("#",""), HYPERLINK(CONCATENATE("#Metadata!", ADDRESS(INDEX($W$2:$W$1001,MATCH(ROWS($U$2:U847),$U$2:$U$1001,0),0), INDEX($AB$1004:$AQ$1004,1,MATCH(COLUMNS($AB$1006:AD1006),$AB$1006:$AQ$1006,0)))),"Fix")))</f>
        <v>0</v>
      </c>
      <c r="E847" s="5">
        <f>IF(OR(INDEX($V$2:$V$1001,MATCH(ROWS($U$2:U847),$U$2:$U$1001,0),1)&gt;=100000,INDEX($AB$1005:$AQ$1005,1,MATCH(COLUMNS($AB$1006:AE1006),$AB$1006:$AQ$1006,0))&gt;=100000), " ",IF(INDEX($AB$2:$AQ$1001,MATCH(ROWS($U$2:U847),$U$2:$U$1001,0),MATCH(COLUMNS($AB$1006:AE1006),$AB$1006:$AQ$1006,0)), HYPERLINK("#",""), HYPERLINK(CONCATENATE("#Metadata!", ADDRESS(INDEX($W$2:$W$1001,MATCH(ROWS($U$2:U847),$U$2:$U$1001,0),0), INDEX($AB$1004:$AQ$1004,1,MATCH(COLUMNS($AB$1006:AE1006),$AB$1006:$AQ$1006,0)))),"Fix")))</f>
        <v>0</v>
      </c>
      <c r="F847" s="5">
        <f>IF(OR(INDEX($V$2:$V$1001,MATCH(ROWS($U$2:U847),$U$2:$U$1001,0),1)&gt;=100000,INDEX($AB$1005:$AQ$1005,1,MATCH(COLUMNS($AB$1006:AF1006),$AB$1006:$AQ$1006,0))&gt;=100000), " ",IF(INDEX($AB$2:$AQ$1001,MATCH(ROWS($U$2:U847),$U$2:$U$1001,0),MATCH(COLUMNS($AB$1006:AF1006),$AB$1006:$AQ$1006,0)), HYPERLINK("#",""), HYPERLINK(CONCATENATE("#Metadata!", ADDRESS(INDEX($W$2:$W$1001,MATCH(ROWS($U$2:U847),$U$2:$U$1001,0),0), INDEX($AB$1004:$AQ$1004,1,MATCH(COLUMNS($AB$1006:AF1006),$AB$1006:$AQ$1006,0)))),"Fix")))</f>
        <v>0</v>
      </c>
      <c r="G847" s="5">
        <f>IF(OR(INDEX($V$2:$V$1001,MATCH(ROWS($U$2:U847),$U$2:$U$1001,0),1)&gt;=100000,INDEX($AB$1005:$AQ$1005,1,MATCH(COLUMNS($AB$1006:AG1006),$AB$1006:$AQ$1006,0))&gt;=100000), " ",IF(INDEX($AB$2:$AQ$1001,MATCH(ROWS($U$2:U847),$U$2:$U$1001,0),MATCH(COLUMNS($AB$1006:AG1006),$AB$1006:$AQ$1006,0)), HYPERLINK("#",""), HYPERLINK(CONCATENATE("#Metadata!", ADDRESS(INDEX($W$2:$W$1001,MATCH(ROWS($U$2:U847),$U$2:$U$1001,0),0), INDEX($AB$1004:$AQ$1004,1,MATCH(COLUMNS($AB$1006:AG1006),$AB$1006:$AQ$1006,0)))),"Fix")))</f>
        <v>0</v>
      </c>
      <c r="H847" s="5">
        <f>IF(OR(INDEX($V$2:$V$1001,MATCH(ROWS($U$2:U847),$U$2:$U$1001,0),1)&gt;=100000,INDEX($AB$1005:$AQ$1005,1,MATCH(COLUMNS($AB$1006:AH1006),$AB$1006:$AQ$1006,0))&gt;=100000), " ",IF(INDEX($AB$2:$AQ$1001,MATCH(ROWS($U$2:U847),$U$2:$U$1001,0),MATCH(COLUMNS($AB$1006:AH1006),$AB$1006:$AQ$1006,0)), HYPERLINK("#",""), HYPERLINK(CONCATENATE("#Metadata!", ADDRESS(INDEX($W$2:$W$1001,MATCH(ROWS($U$2:U847),$U$2:$U$1001,0),0), INDEX($AB$1004:$AQ$1004,1,MATCH(COLUMNS($AB$1006:AH1006),$AB$1006:$AQ$1006,0)))),"Fix")))</f>
        <v>0</v>
      </c>
      <c r="I847" s="5">
        <f>IF(OR(INDEX($V$2:$V$1001,MATCH(ROWS($U$2:U847),$U$2:$U$1001,0),1)&gt;=100000,INDEX($AB$1005:$AQ$1005,1,MATCH(COLUMNS($AB$1006:AI1006),$AB$1006:$AQ$1006,0))&gt;=100000), " ",IF(INDEX($AB$2:$AQ$1001,MATCH(ROWS($U$2:U847),$U$2:$U$1001,0),MATCH(COLUMNS($AB$1006:AI1006),$AB$1006:$AQ$1006,0)), HYPERLINK("#",""), HYPERLINK(CONCATENATE("#Metadata!", ADDRESS(INDEX($W$2:$W$1001,MATCH(ROWS($U$2:U847),$U$2:$U$1001,0),0), INDEX($AB$1004:$AQ$1004,1,MATCH(COLUMNS($AB$1006:AI1006),$AB$1006:$AQ$1006,0)))),"Fix")))</f>
        <v>0</v>
      </c>
      <c r="J847" s="5">
        <f>IF(OR(INDEX($V$2:$V$1001,MATCH(ROWS($U$2:U847),$U$2:$U$1001,0),1)&gt;=100000,INDEX($AB$1005:$AQ$1005,1,MATCH(COLUMNS($AB$1006:AJ1006),$AB$1006:$AQ$1006,0))&gt;=100000), " ",IF(INDEX($AB$2:$AQ$1001,MATCH(ROWS($U$2:U847),$U$2:$U$1001,0),MATCH(COLUMNS($AB$1006:AJ1006),$AB$1006:$AQ$1006,0)), HYPERLINK("#",""), HYPERLINK(CONCATENATE("#Metadata!", ADDRESS(INDEX($W$2:$W$1001,MATCH(ROWS($U$2:U847),$U$2:$U$1001,0),0), INDEX($AB$1004:$AQ$1004,1,MATCH(COLUMNS($AB$1006:AJ1006),$AB$1006:$AQ$1006,0)))),"Fix")))</f>
        <v>0</v>
      </c>
      <c r="K847" s="5">
        <f>IF(OR(INDEX($V$2:$V$1001,MATCH(ROWS($U$2:U847),$U$2:$U$1001,0),1)&gt;=100000,INDEX($AB$1005:$AQ$1005,1,MATCH(COLUMNS($AB$1006:AK1006),$AB$1006:$AQ$1006,0))&gt;=100000), " ",IF(INDEX($AB$2:$AQ$1001,MATCH(ROWS($U$2:U847),$U$2:$U$1001,0),MATCH(COLUMNS($AB$1006:AK1006),$AB$1006:$AQ$1006,0)), HYPERLINK("#",""), HYPERLINK(CONCATENATE("#Metadata!", ADDRESS(INDEX($W$2:$W$1001,MATCH(ROWS($U$2:U847),$U$2:$U$1001,0),0), INDEX($AB$1004:$AQ$1004,1,MATCH(COLUMNS($AB$1006:AK1006),$AB$1006:$AQ$1006,0)))),"Fix")))</f>
        <v>0</v>
      </c>
      <c r="L847" s="5">
        <f>IF(OR(INDEX($V$2:$V$1001,MATCH(ROWS($U$2:U847),$U$2:$U$1001,0),1)&gt;=100000,INDEX($AB$1005:$AQ$1005,1,MATCH(COLUMNS($AB$1006:AL1006),$AB$1006:$AQ$1006,0))&gt;=100000), " ",IF(INDEX($AB$2:$AQ$1001,MATCH(ROWS($U$2:U847),$U$2:$U$1001,0),MATCH(COLUMNS($AB$1006:AL1006),$AB$1006:$AQ$1006,0)), HYPERLINK("#",""), HYPERLINK(CONCATENATE("#Metadata!", ADDRESS(INDEX($W$2:$W$1001,MATCH(ROWS($U$2:U847),$U$2:$U$1001,0),0), INDEX($AB$1004:$AQ$1004,1,MATCH(COLUMNS($AB$1006:AL1006),$AB$1006:$AQ$1006,0)))),"Fix")))</f>
        <v>0</v>
      </c>
      <c r="M847" s="5">
        <f>IF(OR(INDEX($V$2:$V$1001,MATCH(ROWS($U$2:U847),$U$2:$U$1001,0),1)&gt;=100000,INDEX($AB$1005:$AQ$1005,1,MATCH(COLUMNS($AB$1006:AM1006),$AB$1006:$AQ$1006,0))&gt;=100000), " ",IF(INDEX($AB$2:$AQ$1001,MATCH(ROWS($U$2:U847),$U$2:$U$1001,0),MATCH(COLUMNS($AB$1006:AM1006),$AB$1006:$AQ$1006,0)), HYPERLINK("#",""), HYPERLINK(CONCATENATE("#Metadata!", ADDRESS(INDEX($W$2:$W$1001,MATCH(ROWS($U$2:U847),$U$2:$U$1001,0),0), INDEX($AB$1004:$AQ$1004,1,MATCH(COLUMNS($AB$1006:AM1006),$AB$1006:$AQ$1006,0)))),"Fix")))</f>
        <v>0</v>
      </c>
      <c r="N847" s="5">
        <f>IF(OR(INDEX($V$2:$V$1001,MATCH(ROWS($U$2:U847),$U$2:$U$1001,0),1)&gt;=100000,INDEX($AB$1005:$AQ$1005,1,MATCH(COLUMNS($AB$1006:AN1006),$AB$1006:$AQ$1006,0))&gt;=100000), " ",IF(INDEX($AB$2:$AQ$1001,MATCH(ROWS($U$2:U847),$U$2:$U$1001,0),MATCH(COLUMNS($AB$1006:AN1006),$AB$1006:$AQ$1006,0)), HYPERLINK("#",""), HYPERLINK(CONCATENATE("#Metadata!", ADDRESS(INDEX($W$2:$W$1001,MATCH(ROWS($U$2:U847),$U$2:$U$1001,0),0), INDEX($AB$1004:$AQ$1004,1,MATCH(COLUMNS($AB$1006:AN1006),$AB$1006:$AQ$1006,0)))),"Fix")))</f>
        <v>0</v>
      </c>
      <c r="O847" s="5">
        <f>IF(OR(INDEX($V$2:$V$1001,MATCH(ROWS($U$2:U847),$U$2:$U$1001,0),1)&gt;=100000,INDEX($AB$1005:$AQ$1005,1,MATCH(COLUMNS($AB$1006:AO1006),$AB$1006:$AQ$1006,0))&gt;=100000), " ",IF(INDEX($AB$2:$AQ$1001,MATCH(ROWS($U$2:U847),$U$2:$U$1001,0),MATCH(COLUMNS($AB$1006:AO1006),$AB$1006:$AQ$1006,0)), HYPERLINK("#",""), HYPERLINK(CONCATENATE("#Metadata!", ADDRESS(INDEX($W$2:$W$1001,MATCH(ROWS($U$2:U847),$U$2:$U$1001,0),0), INDEX($AB$1004:$AQ$1004,1,MATCH(COLUMNS($AB$1006:AO1006),$AB$1006:$AQ$1006,0)))),"Fix")))</f>
        <v>0</v>
      </c>
      <c r="P847" s="5">
        <f>IF(OR(INDEX($V$2:$V$1001,MATCH(ROWS($U$2:U847),$U$2:$U$1001,0),1)&gt;=100000,INDEX($AB$1005:$AQ$1005,1,MATCH(COLUMNS($AB$1006:AP1006),$AB$1006:$AQ$1006,0))&gt;=100000), " ",IF(INDEX($AB$2:$AQ$1001,MATCH(ROWS($U$2:U847),$U$2:$U$1001,0),MATCH(COLUMNS($AB$1006:AP1006),$AB$1006:$AQ$1006,0)), HYPERLINK("#",""), HYPERLINK(CONCATENATE("#Metadata!", ADDRESS(INDEX($W$2:$W$1001,MATCH(ROWS($U$2:U847),$U$2:$U$1001,0),0), INDEX($AB$1004:$AQ$1004,1,MATCH(COLUMNS($AB$1006:AP1006),$AB$1006:$AQ$1006,0)))),"Fix")))</f>
        <v>0</v>
      </c>
      <c r="Q847" s="5">
        <f>IF(OR(INDEX($V$2:$V$1001,MATCH(ROWS($U$2:U847),$U$2:$U$1001,0),1)&gt;=100000,INDEX($AB$1005:$AQ$1005,1,MATCH(COLUMNS($AB$1006:AQ1006),$AB$1006:$AQ$1006,0))&gt;=100000), " ",IF(INDEX($AB$2:$AQ$1001,MATCH(ROWS($U$2:U847),$U$2:$U$1001,0),MATCH(COLUMNS($AB$1006:AQ1006),$AB$1006:$AQ$1006,0)), HYPERLINK("#",""), HYPERLINK(CONCATENATE("#Metadata!", ADDRESS(INDEX($W$2:$W$1001,MATCH(ROWS($U$2:U847),$U$2:$U$1001,0),0), INDEX($AB$1004:$AQ$1004,1,MATCH(COLUMNS($AB$1006:AQ1006),$AB$1006:$AQ$1006,0)))),"Fix")))</f>
        <v>0</v>
      </c>
      <c r="U847">
        <v>0</v>
      </c>
      <c r="V847">
        <v>0</v>
      </c>
      <c r="W847">
        <v>0</v>
      </c>
      <c r="X847">
        <f>IF(Y847,TRUE,AND(AB847:AQ847))</f>
        <v>0</v>
      </c>
      <c r="Y847">
        <f>COUNTBLANK(Metadata!B847:Q847)=COLUMNS(Metadata!B847:Q847)</f>
        <v>0</v>
      </c>
      <c r="Z847">
        <v>0</v>
      </c>
      <c r="AB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AC847">
        <f>AND(IF(Metadata!C847="",FALSE,TRUE),exact(Metadata!C847,"urban biome"))</f>
        <v>0</v>
      </c>
      <c r="AD847">
        <f>AND(IF(Metadata!D847="",FALSE,TRUE),exact(Metadata!D847,"human-associated habitat"))</f>
        <v>0</v>
      </c>
      <c r="AE847">
        <f>AND(IF(Metadata!E847="",FALSE,TRUE),OR(exact(Metadata!E847,"human-associated"),exact(Metadata!E847,"human-skin"),exact(Metadata!E847,"human-oral"),exact(Metadata!E847,"human-gut"),exact(Metadata!E847,"human-vaginal")))</f>
        <v>0</v>
      </c>
      <c r="AF847">
        <f>AND(IF(Metadata!F847="",FALSE,ISNUMBER(VALUE(Metadata!F847))),Metadata!F847&gt;0)</f>
        <v>0</v>
      </c>
      <c r="AG847">
        <f>AND(IF(Metadata!G847="",FALSE,TRUE),exact(Metadata!G847,"years"))</f>
        <v>0</v>
      </c>
      <c r="AH847">
        <f>OR(AND(IF(Metadata!H847="",FALSE,TRUE),OR(exact(Metadata!H847,"not applicable"),exact(Metadata!H847,"not collected"),exact(Metadata!H847,"not provided"),exact(Metadata!H847,"restricted access"))),AND(IF(Metadata!H847="",FALSE,ISNUMBER(VALUE(Metadata!H847))),Metadata!H847&gt;0))</f>
        <v>0</v>
      </c>
      <c r="AI847">
        <f>AND(IF(Metadata!I847="",FALSE,TRUE),exact(Metadata!I847,"human"))</f>
        <v>0</v>
      </c>
      <c r="AJ847">
        <f>AND(IF(Metadata!J847="",FALSE,ISNUMBER(VALUE(Metadata!J847))),Metadata!J847&gt;0)</f>
        <v>0</v>
      </c>
      <c r="AK847">
        <f>AND(IF(Metadata!K847="",FALSE,TRUE),exact(Metadata!K847,"cm"))</f>
        <v>0</v>
      </c>
      <c r="AL847">
        <f>AND(IF(Metadata!L847="",FALSE,TRUE),exact(Metadata!L847,"Homo sapiens"))</f>
        <v>0</v>
      </c>
      <c r="AM847">
        <f>AND(IF(Metadata!M847="",FALSE,TRUE),exact(Metadata!M847,"9606"))</f>
        <v>0</v>
      </c>
      <c r="AN847">
        <f>AND(IF(Metadata!N847="",FALSE,ISNUMBER(VALUE(Metadata!N847))),Metadata!N847&gt;0)</f>
        <v>0</v>
      </c>
      <c r="AO847">
        <f>AND(IF(Metadata!O847="",FALSE,TRUE),exact(Metadata!O847,"kg"))</f>
        <v>0</v>
      </c>
      <c r="AP847">
        <f>OR(AND(IF(Metadata!P847="",FALSE,TRUE),exact(Metadata!P847,"not provided")),IF(Metadata!P847="",FALSE,TRUE))</f>
        <v>0</v>
      </c>
      <c r="AQ847">
        <f>OR(AND(IF(Metadata!Q847="",FALSE,TRUE),exact(Metadata!Q847,"not provided")),IF(Metadata!Q847="",FALSE,TRUE))</f>
        <v>0</v>
      </c>
    </row>
    <row r="848" spans="1:43">
      <c r="A848" s="4">
        <f>IF(B848=" "," ",HYPERLINK(CONCATENATE("#metadata!",ADDRESS(INDEX($W$2:$W$1001,MATCH(ROWS($U$2:U848),$U$2:$U$1001,0),0),2)),INDEX($Z$2:$Z$1001,MATCH(ROWS($U$2:U848),$U$2:$U$1001,0),0)))</f>
        <v>0</v>
      </c>
      <c r="B848" s="5">
        <f>IF(OR(INDEX($V$2:$V$1001,MATCH(ROWS($U$2:U848),$U$2:$U$1001,0),1)&gt;=100000,INDEX($AB$1005:$AQ$1005,1,MATCH(COLUMNS($AB$1006:AB1006),$AB$1006:$AQ$1006,0))&gt;=100000), " ",IF(INDEX($AB$2:$AQ$1001,MATCH(ROWS($U$2:U848),$U$2:$U$1001,0),MATCH(COLUMNS($AB$1006:AB1006),$AB$1006:$AQ$1006,0)), HYPERLINK("#",""), HYPERLINK(CONCATENATE("#Metadata!", ADDRESS(INDEX($W$2:$W$1001,MATCH(ROWS($U$2:U848),$U$2:$U$1001,0),0), INDEX($AB$1004:$AQ$1004,1,MATCH(COLUMNS($AB$1006:AB1006),$AB$1006:$AQ$1006,0)))),"Fix")))</f>
        <v>0</v>
      </c>
      <c r="C848" s="5">
        <f>IF(OR(INDEX($V$2:$V$1001,MATCH(ROWS($U$2:U848),$U$2:$U$1001,0),1)&gt;=100000,INDEX($AB$1005:$AQ$1005,1,MATCH(COLUMNS($AB$1006:AC1006),$AB$1006:$AQ$1006,0))&gt;=100000), " ",IF(INDEX($AB$2:$AQ$1001,MATCH(ROWS($U$2:U848),$U$2:$U$1001,0),MATCH(COLUMNS($AB$1006:AC1006),$AB$1006:$AQ$1006,0)), HYPERLINK("#",""), HYPERLINK(CONCATENATE("#Metadata!", ADDRESS(INDEX($W$2:$W$1001,MATCH(ROWS($U$2:U848),$U$2:$U$1001,0),0), INDEX($AB$1004:$AQ$1004,1,MATCH(COLUMNS($AB$1006:AC1006),$AB$1006:$AQ$1006,0)))),"Fix")))</f>
        <v>0</v>
      </c>
      <c r="D848" s="5">
        <f>IF(OR(INDEX($V$2:$V$1001,MATCH(ROWS($U$2:U848),$U$2:$U$1001,0),1)&gt;=100000,INDEX($AB$1005:$AQ$1005,1,MATCH(COLUMNS($AB$1006:AD1006),$AB$1006:$AQ$1006,0))&gt;=100000), " ",IF(INDEX($AB$2:$AQ$1001,MATCH(ROWS($U$2:U848),$U$2:$U$1001,0),MATCH(COLUMNS($AB$1006:AD1006),$AB$1006:$AQ$1006,0)), HYPERLINK("#",""), HYPERLINK(CONCATENATE("#Metadata!", ADDRESS(INDEX($W$2:$W$1001,MATCH(ROWS($U$2:U848),$U$2:$U$1001,0),0), INDEX($AB$1004:$AQ$1004,1,MATCH(COLUMNS($AB$1006:AD1006),$AB$1006:$AQ$1006,0)))),"Fix")))</f>
        <v>0</v>
      </c>
      <c r="E848" s="5">
        <f>IF(OR(INDEX($V$2:$V$1001,MATCH(ROWS($U$2:U848),$U$2:$U$1001,0),1)&gt;=100000,INDEX($AB$1005:$AQ$1005,1,MATCH(COLUMNS($AB$1006:AE1006),$AB$1006:$AQ$1006,0))&gt;=100000), " ",IF(INDEX($AB$2:$AQ$1001,MATCH(ROWS($U$2:U848),$U$2:$U$1001,0),MATCH(COLUMNS($AB$1006:AE1006),$AB$1006:$AQ$1006,0)), HYPERLINK("#",""), HYPERLINK(CONCATENATE("#Metadata!", ADDRESS(INDEX($W$2:$W$1001,MATCH(ROWS($U$2:U848),$U$2:$U$1001,0),0), INDEX($AB$1004:$AQ$1004,1,MATCH(COLUMNS($AB$1006:AE1006),$AB$1006:$AQ$1006,0)))),"Fix")))</f>
        <v>0</v>
      </c>
      <c r="F848" s="5">
        <f>IF(OR(INDEX($V$2:$V$1001,MATCH(ROWS($U$2:U848),$U$2:$U$1001,0),1)&gt;=100000,INDEX($AB$1005:$AQ$1005,1,MATCH(COLUMNS($AB$1006:AF1006),$AB$1006:$AQ$1006,0))&gt;=100000), " ",IF(INDEX($AB$2:$AQ$1001,MATCH(ROWS($U$2:U848),$U$2:$U$1001,0),MATCH(COLUMNS($AB$1006:AF1006),$AB$1006:$AQ$1006,0)), HYPERLINK("#",""), HYPERLINK(CONCATENATE("#Metadata!", ADDRESS(INDEX($W$2:$W$1001,MATCH(ROWS($U$2:U848),$U$2:$U$1001,0),0), INDEX($AB$1004:$AQ$1004,1,MATCH(COLUMNS($AB$1006:AF1006),$AB$1006:$AQ$1006,0)))),"Fix")))</f>
        <v>0</v>
      </c>
      <c r="G848" s="5">
        <f>IF(OR(INDEX($V$2:$V$1001,MATCH(ROWS($U$2:U848),$U$2:$U$1001,0),1)&gt;=100000,INDEX($AB$1005:$AQ$1005,1,MATCH(COLUMNS($AB$1006:AG1006),$AB$1006:$AQ$1006,0))&gt;=100000), " ",IF(INDEX($AB$2:$AQ$1001,MATCH(ROWS($U$2:U848),$U$2:$U$1001,0),MATCH(COLUMNS($AB$1006:AG1006),$AB$1006:$AQ$1006,0)), HYPERLINK("#",""), HYPERLINK(CONCATENATE("#Metadata!", ADDRESS(INDEX($W$2:$W$1001,MATCH(ROWS($U$2:U848),$U$2:$U$1001,0),0), INDEX($AB$1004:$AQ$1004,1,MATCH(COLUMNS($AB$1006:AG1006),$AB$1006:$AQ$1006,0)))),"Fix")))</f>
        <v>0</v>
      </c>
      <c r="H848" s="5">
        <f>IF(OR(INDEX($V$2:$V$1001,MATCH(ROWS($U$2:U848),$U$2:$U$1001,0),1)&gt;=100000,INDEX($AB$1005:$AQ$1005,1,MATCH(COLUMNS($AB$1006:AH1006),$AB$1006:$AQ$1006,0))&gt;=100000), " ",IF(INDEX($AB$2:$AQ$1001,MATCH(ROWS($U$2:U848),$U$2:$U$1001,0),MATCH(COLUMNS($AB$1006:AH1006),$AB$1006:$AQ$1006,0)), HYPERLINK("#",""), HYPERLINK(CONCATENATE("#Metadata!", ADDRESS(INDEX($W$2:$W$1001,MATCH(ROWS($U$2:U848),$U$2:$U$1001,0),0), INDEX($AB$1004:$AQ$1004,1,MATCH(COLUMNS($AB$1006:AH1006),$AB$1006:$AQ$1006,0)))),"Fix")))</f>
        <v>0</v>
      </c>
      <c r="I848" s="5">
        <f>IF(OR(INDEX($V$2:$V$1001,MATCH(ROWS($U$2:U848),$U$2:$U$1001,0),1)&gt;=100000,INDEX($AB$1005:$AQ$1005,1,MATCH(COLUMNS($AB$1006:AI1006),$AB$1006:$AQ$1006,0))&gt;=100000), " ",IF(INDEX($AB$2:$AQ$1001,MATCH(ROWS($U$2:U848),$U$2:$U$1001,0),MATCH(COLUMNS($AB$1006:AI1006),$AB$1006:$AQ$1006,0)), HYPERLINK("#",""), HYPERLINK(CONCATENATE("#Metadata!", ADDRESS(INDEX($W$2:$W$1001,MATCH(ROWS($U$2:U848),$U$2:$U$1001,0),0), INDEX($AB$1004:$AQ$1004,1,MATCH(COLUMNS($AB$1006:AI1006),$AB$1006:$AQ$1006,0)))),"Fix")))</f>
        <v>0</v>
      </c>
      <c r="J848" s="5">
        <f>IF(OR(INDEX($V$2:$V$1001,MATCH(ROWS($U$2:U848),$U$2:$U$1001,0),1)&gt;=100000,INDEX($AB$1005:$AQ$1005,1,MATCH(COLUMNS($AB$1006:AJ1006),$AB$1006:$AQ$1006,0))&gt;=100000), " ",IF(INDEX($AB$2:$AQ$1001,MATCH(ROWS($U$2:U848),$U$2:$U$1001,0),MATCH(COLUMNS($AB$1006:AJ1006),$AB$1006:$AQ$1006,0)), HYPERLINK("#",""), HYPERLINK(CONCATENATE("#Metadata!", ADDRESS(INDEX($W$2:$W$1001,MATCH(ROWS($U$2:U848),$U$2:$U$1001,0),0), INDEX($AB$1004:$AQ$1004,1,MATCH(COLUMNS($AB$1006:AJ1006),$AB$1006:$AQ$1006,0)))),"Fix")))</f>
        <v>0</v>
      </c>
      <c r="K848" s="5">
        <f>IF(OR(INDEX($V$2:$V$1001,MATCH(ROWS($U$2:U848),$U$2:$U$1001,0),1)&gt;=100000,INDEX($AB$1005:$AQ$1005,1,MATCH(COLUMNS($AB$1006:AK1006),$AB$1006:$AQ$1006,0))&gt;=100000), " ",IF(INDEX($AB$2:$AQ$1001,MATCH(ROWS($U$2:U848),$U$2:$U$1001,0),MATCH(COLUMNS($AB$1006:AK1006),$AB$1006:$AQ$1006,0)), HYPERLINK("#",""), HYPERLINK(CONCATENATE("#Metadata!", ADDRESS(INDEX($W$2:$W$1001,MATCH(ROWS($U$2:U848),$U$2:$U$1001,0),0), INDEX($AB$1004:$AQ$1004,1,MATCH(COLUMNS($AB$1006:AK1006),$AB$1006:$AQ$1006,0)))),"Fix")))</f>
        <v>0</v>
      </c>
      <c r="L848" s="5">
        <f>IF(OR(INDEX($V$2:$V$1001,MATCH(ROWS($U$2:U848),$U$2:$U$1001,0),1)&gt;=100000,INDEX($AB$1005:$AQ$1005,1,MATCH(COLUMNS($AB$1006:AL1006),$AB$1006:$AQ$1006,0))&gt;=100000), " ",IF(INDEX($AB$2:$AQ$1001,MATCH(ROWS($U$2:U848),$U$2:$U$1001,0),MATCH(COLUMNS($AB$1006:AL1006),$AB$1006:$AQ$1006,0)), HYPERLINK("#",""), HYPERLINK(CONCATENATE("#Metadata!", ADDRESS(INDEX($W$2:$W$1001,MATCH(ROWS($U$2:U848),$U$2:$U$1001,0),0), INDEX($AB$1004:$AQ$1004,1,MATCH(COLUMNS($AB$1006:AL1006),$AB$1006:$AQ$1006,0)))),"Fix")))</f>
        <v>0</v>
      </c>
      <c r="M848" s="5">
        <f>IF(OR(INDEX($V$2:$V$1001,MATCH(ROWS($U$2:U848),$U$2:$U$1001,0),1)&gt;=100000,INDEX($AB$1005:$AQ$1005,1,MATCH(COLUMNS($AB$1006:AM1006),$AB$1006:$AQ$1006,0))&gt;=100000), " ",IF(INDEX($AB$2:$AQ$1001,MATCH(ROWS($U$2:U848),$U$2:$U$1001,0),MATCH(COLUMNS($AB$1006:AM1006),$AB$1006:$AQ$1006,0)), HYPERLINK("#",""), HYPERLINK(CONCATENATE("#Metadata!", ADDRESS(INDEX($W$2:$W$1001,MATCH(ROWS($U$2:U848),$U$2:$U$1001,0),0), INDEX($AB$1004:$AQ$1004,1,MATCH(COLUMNS($AB$1006:AM1006),$AB$1006:$AQ$1006,0)))),"Fix")))</f>
        <v>0</v>
      </c>
      <c r="N848" s="5">
        <f>IF(OR(INDEX($V$2:$V$1001,MATCH(ROWS($U$2:U848),$U$2:$U$1001,0),1)&gt;=100000,INDEX($AB$1005:$AQ$1005,1,MATCH(COLUMNS($AB$1006:AN1006),$AB$1006:$AQ$1006,0))&gt;=100000), " ",IF(INDEX($AB$2:$AQ$1001,MATCH(ROWS($U$2:U848),$U$2:$U$1001,0),MATCH(COLUMNS($AB$1006:AN1006),$AB$1006:$AQ$1006,0)), HYPERLINK("#",""), HYPERLINK(CONCATENATE("#Metadata!", ADDRESS(INDEX($W$2:$W$1001,MATCH(ROWS($U$2:U848),$U$2:$U$1001,0),0), INDEX($AB$1004:$AQ$1004,1,MATCH(COLUMNS($AB$1006:AN1006),$AB$1006:$AQ$1006,0)))),"Fix")))</f>
        <v>0</v>
      </c>
      <c r="O848" s="5">
        <f>IF(OR(INDEX($V$2:$V$1001,MATCH(ROWS($U$2:U848),$U$2:$U$1001,0),1)&gt;=100000,INDEX($AB$1005:$AQ$1005,1,MATCH(COLUMNS($AB$1006:AO1006),$AB$1006:$AQ$1006,0))&gt;=100000), " ",IF(INDEX($AB$2:$AQ$1001,MATCH(ROWS($U$2:U848),$U$2:$U$1001,0),MATCH(COLUMNS($AB$1006:AO1006),$AB$1006:$AQ$1006,0)), HYPERLINK("#",""), HYPERLINK(CONCATENATE("#Metadata!", ADDRESS(INDEX($W$2:$W$1001,MATCH(ROWS($U$2:U848),$U$2:$U$1001,0),0), INDEX($AB$1004:$AQ$1004,1,MATCH(COLUMNS($AB$1006:AO1006),$AB$1006:$AQ$1006,0)))),"Fix")))</f>
        <v>0</v>
      </c>
      <c r="P848" s="5">
        <f>IF(OR(INDEX($V$2:$V$1001,MATCH(ROWS($U$2:U848),$U$2:$U$1001,0),1)&gt;=100000,INDEX($AB$1005:$AQ$1005,1,MATCH(COLUMNS($AB$1006:AP1006),$AB$1006:$AQ$1006,0))&gt;=100000), " ",IF(INDEX($AB$2:$AQ$1001,MATCH(ROWS($U$2:U848),$U$2:$U$1001,0),MATCH(COLUMNS($AB$1006:AP1006),$AB$1006:$AQ$1006,0)), HYPERLINK("#",""), HYPERLINK(CONCATENATE("#Metadata!", ADDRESS(INDEX($W$2:$W$1001,MATCH(ROWS($U$2:U848),$U$2:$U$1001,0),0), INDEX($AB$1004:$AQ$1004,1,MATCH(COLUMNS($AB$1006:AP1006),$AB$1006:$AQ$1006,0)))),"Fix")))</f>
        <v>0</v>
      </c>
      <c r="Q848" s="5">
        <f>IF(OR(INDEX($V$2:$V$1001,MATCH(ROWS($U$2:U848),$U$2:$U$1001,0),1)&gt;=100000,INDEX($AB$1005:$AQ$1005,1,MATCH(COLUMNS($AB$1006:AQ1006),$AB$1006:$AQ$1006,0))&gt;=100000), " ",IF(INDEX($AB$2:$AQ$1001,MATCH(ROWS($U$2:U848),$U$2:$U$1001,0),MATCH(COLUMNS($AB$1006:AQ1006),$AB$1006:$AQ$1006,0)), HYPERLINK("#",""), HYPERLINK(CONCATENATE("#Metadata!", ADDRESS(INDEX($W$2:$W$1001,MATCH(ROWS($U$2:U848),$U$2:$U$1001,0),0), INDEX($AB$1004:$AQ$1004,1,MATCH(COLUMNS($AB$1006:AQ1006),$AB$1006:$AQ$1006,0)))),"Fix")))</f>
        <v>0</v>
      </c>
      <c r="U848">
        <v>0</v>
      </c>
      <c r="V848">
        <v>0</v>
      </c>
      <c r="W848">
        <v>0</v>
      </c>
      <c r="X848">
        <f>IF(Y848,TRUE,AND(AB848:AQ848))</f>
        <v>0</v>
      </c>
      <c r="Y848">
        <f>COUNTBLANK(Metadata!B848:Q848)=COLUMNS(Metadata!B848:Q848)</f>
        <v>0</v>
      </c>
      <c r="Z848">
        <v>0</v>
      </c>
      <c r="AB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AC848">
        <f>AND(IF(Metadata!C848="",FALSE,TRUE),exact(Metadata!C848,"urban biome"))</f>
        <v>0</v>
      </c>
      <c r="AD848">
        <f>AND(IF(Metadata!D848="",FALSE,TRUE),exact(Metadata!D848,"human-associated habitat"))</f>
        <v>0</v>
      </c>
      <c r="AE848">
        <f>AND(IF(Metadata!E848="",FALSE,TRUE),OR(exact(Metadata!E848,"human-associated"),exact(Metadata!E848,"human-skin"),exact(Metadata!E848,"human-oral"),exact(Metadata!E848,"human-gut"),exact(Metadata!E848,"human-vaginal")))</f>
        <v>0</v>
      </c>
      <c r="AF848">
        <f>AND(IF(Metadata!F848="",FALSE,ISNUMBER(VALUE(Metadata!F848))),Metadata!F848&gt;0)</f>
        <v>0</v>
      </c>
      <c r="AG848">
        <f>AND(IF(Metadata!G848="",FALSE,TRUE),exact(Metadata!G848,"years"))</f>
        <v>0</v>
      </c>
      <c r="AH848">
        <f>OR(AND(IF(Metadata!H848="",FALSE,TRUE),OR(exact(Metadata!H848,"not applicable"),exact(Metadata!H848,"not collected"),exact(Metadata!H848,"not provided"),exact(Metadata!H848,"restricted access"))),AND(IF(Metadata!H848="",FALSE,ISNUMBER(VALUE(Metadata!H848))),Metadata!H848&gt;0))</f>
        <v>0</v>
      </c>
      <c r="AI848">
        <f>AND(IF(Metadata!I848="",FALSE,TRUE),exact(Metadata!I848,"human"))</f>
        <v>0</v>
      </c>
      <c r="AJ848">
        <f>AND(IF(Metadata!J848="",FALSE,ISNUMBER(VALUE(Metadata!J848))),Metadata!J848&gt;0)</f>
        <v>0</v>
      </c>
      <c r="AK848">
        <f>AND(IF(Metadata!K848="",FALSE,TRUE),exact(Metadata!K848,"cm"))</f>
        <v>0</v>
      </c>
      <c r="AL848">
        <f>AND(IF(Metadata!L848="",FALSE,TRUE),exact(Metadata!L848,"Homo sapiens"))</f>
        <v>0</v>
      </c>
      <c r="AM848">
        <f>AND(IF(Metadata!M848="",FALSE,TRUE),exact(Metadata!M848,"9606"))</f>
        <v>0</v>
      </c>
      <c r="AN848">
        <f>AND(IF(Metadata!N848="",FALSE,ISNUMBER(VALUE(Metadata!N848))),Metadata!N848&gt;0)</f>
        <v>0</v>
      </c>
      <c r="AO848">
        <f>AND(IF(Metadata!O848="",FALSE,TRUE),exact(Metadata!O848,"kg"))</f>
        <v>0</v>
      </c>
      <c r="AP848">
        <f>OR(AND(IF(Metadata!P848="",FALSE,TRUE),exact(Metadata!P848,"not provided")),IF(Metadata!P848="",FALSE,TRUE))</f>
        <v>0</v>
      </c>
      <c r="AQ848">
        <f>OR(AND(IF(Metadata!Q848="",FALSE,TRUE),exact(Metadata!Q848,"not provided")),IF(Metadata!Q848="",FALSE,TRUE))</f>
        <v>0</v>
      </c>
    </row>
    <row r="849" spans="1:43">
      <c r="A849" s="4">
        <f>IF(B849=" "," ",HYPERLINK(CONCATENATE("#metadata!",ADDRESS(INDEX($W$2:$W$1001,MATCH(ROWS($U$2:U849),$U$2:$U$1001,0),0),2)),INDEX($Z$2:$Z$1001,MATCH(ROWS($U$2:U849),$U$2:$U$1001,0),0)))</f>
        <v>0</v>
      </c>
      <c r="B849" s="5">
        <f>IF(OR(INDEX($V$2:$V$1001,MATCH(ROWS($U$2:U849),$U$2:$U$1001,0),1)&gt;=100000,INDEX($AB$1005:$AQ$1005,1,MATCH(COLUMNS($AB$1006:AB1006),$AB$1006:$AQ$1006,0))&gt;=100000), " ",IF(INDEX($AB$2:$AQ$1001,MATCH(ROWS($U$2:U849),$U$2:$U$1001,0),MATCH(COLUMNS($AB$1006:AB1006),$AB$1006:$AQ$1006,0)), HYPERLINK("#",""), HYPERLINK(CONCATENATE("#Metadata!", ADDRESS(INDEX($W$2:$W$1001,MATCH(ROWS($U$2:U849),$U$2:$U$1001,0),0), INDEX($AB$1004:$AQ$1004,1,MATCH(COLUMNS($AB$1006:AB1006),$AB$1006:$AQ$1006,0)))),"Fix")))</f>
        <v>0</v>
      </c>
      <c r="C849" s="5">
        <f>IF(OR(INDEX($V$2:$V$1001,MATCH(ROWS($U$2:U849),$U$2:$U$1001,0),1)&gt;=100000,INDEX($AB$1005:$AQ$1005,1,MATCH(COLUMNS($AB$1006:AC1006),$AB$1006:$AQ$1006,0))&gt;=100000), " ",IF(INDEX($AB$2:$AQ$1001,MATCH(ROWS($U$2:U849),$U$2:$U$1001,0),MATCH(COLUMNS($AB$1006:AC1006),$AB$1006:$AQ$1006,0)), HYPERLINK("#",""), HYPERLINK(CONCATENATE("#Metadata!", ADDRESS(INDEX($W$2:$W$1001,MATCH(ROWS($U$2:U849),$U$2:$U$1001,0),0), INDEX($AB$1004:$AQ$1004,1,MATCH(COLUMNS($AB$1006:AC1006),$AB$1006:$AQ$1006,0)))),"Fix")))</f>
        <v>0</v>
      </c>
      <c r="D849" s="5">
        <f>IF(OR(INDEX($V$2:$V$1001,MATCH(ROWS($U$2:U849),$U$2:$U$1001,0),1)&gt;=100000,INDEX($AB$1005:$AQ$1005,1,MATCH(COLUMNS($AB$1006:AD1006),$AB$1006:$AQ$1006,0))&gt;=100000), " ",IF(INDEX($AB$2:$AQ$1001,MATCH(ROWS($U$2:U849),$U$2:$U$1001,0),MATCH(COLUMNS($AB$1006:AD1006),$AB$1006:$AQ$1006,0)), HYPERLINK("#",""), HYPERLINK(CONCATENATE("#Metadata!", ADDRESS(INDEX($W$2:$W$1001,MATCH(ROWS($U$2:U849),$U$2:$U$1001,0),0), INDEX($AB$1004:$AQ$1004,1,MATCH(COLUMNS($AB$1006:AD1006),$AB$1006:$AQ$1006,0)))),"Fix")))</f>
        <v>0</v>
      </c>
      <c r="E849" s="5">
        <f>IF(OR(INDEX($V$2:$V$1001,MATCH(ROWS($U$2:U849),$U$2:$U$1001,0),1)&gt;=100000,INDEX($AB$1005:$AQ$1005,1,MATCH(COLUMNS($AB$1006:AE1006),$AB$1006:$AQ$1006,0))&gt;=100000), " ",IF(INDEX($AB$2:$AQ$1001,MATCH(ROWS($U$2:U849),$U$2:$U$1001,0),MATCH(COLUMNS($AB$1006:AE1006),$AB$1006:$AQ$1006,0)), HYPERLINK("#",""), HYPERLINK(CONCATENATE("#Metadata!", ADDRESS(INDEX($W$2:$W$1001,MATCH(ROWS($U$2:U849),$U$2:$U$1001,0),0), INDEX($AB$1004:$AQ$1004,1,MATCH(COLUMNS($AB$1006:AE1006),$AB$1006:$AQ$1006,0)))),"Fix")))</f>
        <v>0</v>
      </c>
      <c r="F849" s="5">
        <f>IF(OR(INDEX($V$2:$V$1001,MATCH(ROWS($U$2:U849),$U$2:$U$1001,0),1)&gt;=100000,INDEX($AB$1005:$AQ$1005,1,MATCH(COLUMNS($AB$1006:AF1006),$AB$1006:$AQ$1006,0))&gt;=100000), " ",IF(INDEX($AB$2:$AQ$1001,MATCH(ROWS($U$2:U849),$U$2:$U$1001,0),MATCH(COLUMNS($AB$1006:AF1006),$AB$1006:$AQ$1006,0)), HYPERLINK("#",""), HYPERLINK(CONCATENATE("#Metadata!", ADDRESS(INDEX($W$2:$W$1001,MATCH(ROWS($U$2:U849),$U$2:$U$1001,0),0), INDEX($AB$1004:$AQ$1004,1,MATCH(COLUMNS($AB$1006:AF1006),$AB$1006:$AQ$1006,0)))),"Fix")))</f>
        <v>0</v>
      </c>
      <c r="G849" s="5">
        <f>IF(OR(INDEX($V$2:$V$1001,MATCH(ROWS($U$2:U849),$U$2:$U$1001,0),1)&gt;=100000,INDEX($AB$1005:$AQ$1005,1,MATCH(COLUMNS($AB$1006:AG1006),$AB$1006:$AQ$1006,0))&gt;=100000), " ",IF(INDEX($AB$2:$AQ$1001,MATCH(ROWS($U$2:U849),$U$2:$U$1001,0),MATCH(COLUMNS($AB$1006:AG1006),$AB$1006:$AQ$1006,0)), HYPERLINK("#",""), HYPERLINK(CONCATENATE("#Metadata!", ADDRESS(INDEX($W$2:$W$1001,MATCH(ROWS($U$2:U849),$U$2:$U$1001,0),0), INDEX($AB$1004:$AQ$1004,1,MATCH(COLUMNS($AB$1006:AG1006),$AB$1006:$AQ$1006,0)))),"Fix")))</f>
        <v>0</v>
      </c>
      <c r="H849" s="5">
        <f>IF(OR(INDEX($V$2:$V$1001,MATCH(ROWS($U$2:U849),$U$2:$U$1001,0),1)&gt;=100000,INDEX($AB$1005:$AQ$1005,1,MATCH(COLUMNS($AB$1006:AH1006),$AB$1006:$AQ$1006,0))&gt;=100000), " ",IF(INDEX($AB$2:$AQ$1001,MATCH(ROWS($U$2:U849),$U$2:$U$1001,0),MATCH(COLUMNS($AB$1006:AH1006),$AB$1006:$AQ$1006,0)), HYPERLINK("#",""), HYPERLINK(CONCATENATE("#Metadata!", ADDRESS(INDEX($W$2:$W$1001,MATCH(ROWS($U$2:U849),$U$2:$U$1001,0),0), INDEX($AB$1004:$AQ$1004,1,MATCH(COLUMNS($AB$1006:AH1006),$AB$1006:$AQ$1006,0)))),"Fix")))</f>
        <v>0</v>
      </c>
      <c r="I849" s="5">
        <f>IF(OR(INDEX($V$2:$V$1001,MATCH(ROWS($U$2:U849),$U$2:$U$1001,0),1)&gt;=100000,INDEX($AB$1005:$AQ$1005,1,MATCH(COLUMNS($AB$1006:AI1006),$AB$1006:$AQ$1006,0))&gt;=100000), " ",IF(INDEX($AB$2:$AQ$1001,MATCH(ROWS($U$2:U849),$U$2:$U$1001,0),MATCH(COLUMNS($AB$1006:AI1006),$AB$1006:$AQ$1006,0)), HYPERLINK("#",""), HYPERLINK(CONCATENATE("#Metadata!", ADDRESS(INDEX($W$2:$W$1001,MATCH(ROWS($U$2:U849),$U$2:$U$1001,0),0), INDEX($AB$1004:$AQ$1004,1,MATCH(COLUMNS($AB$1006:AI1006),$AB$1006:$AQ$1006,0)))),"Fix")))</f>
        <v>0</v>
      </c>
      <c r="J849" s="5">
        <f>IF(OR(INDEX($V$2:$V$1001,MATCH(ROWS($U$2:U849),$U$2:$U$1001,0),1)&gt;=100000,INDEX($AB$1005:$AQ$1005,1,MATCH(COLUMNS($AB$1006:AJ1006),$AB$1006:$AQ$1006,0))&gt;=100000), " ",IF(INDEX($AB$2:$AQ$1001,MATCH(ROWS($U$2:U849),$U$2:$U$1001,0),MATCH(COLUMNS($AB$1006:AJ1006),$AB$1006:$AQ$1006,0)), HYPERLINK("#",""), HYPERLINK(CONCATENATE("#Metadata!", ADDRESS(INDEX($W$2:$W$1001,MATCH(ROWS($U$2:U849),$U$2:$U$1001,0),0), INDEX($AB$1004:$AQ$1004,1,MATCH(COLUMNS($AB$1006:AJ1006),$AB$1006:$AQ$1006,0)))),"Fix")))</f>
        <v>0</v>
      </c>
      <c r="K849" s="5">
        <f>IF(OR(INDEX($V$2:$V$1001,MATCH(ROWS($U$2:U849),$U$2:$U$1001,0),1)&gt;=100000,INDEX($AB$1005:$AQ$1005,1,MATCH(COLUMNS($AB$1006:AK1006),$AB$1006:$AQ$1006,0))&gt;=100000), " ",IF(INDEX($AB$2:$AQ$1001,MATCH(ROWS($U$2:U849),$U$2:$U$1001,0),MATCH(COLUMNS($AB$1006:AK1006),$AB$1006:$AQ$1006,0)), HYPERLINK("#",""), HYPERLINK(CONCATENATE("#Metadata!", ADDRESS(INDEX($W$2:$W$1001,MATCH(ROWS($U$2:U849),$U$2:$U$1001,0),0), INDEX($AB$1004:$AQ$1004,1,MATCH(COLUMNS($AB$1006:AK1006),$AB$1006:$AQ$1006,0)))),"Fix")))</f>
        <v>0</v>
      </c>
      <c r="L849" s="5">
        <f>IF(OR(INDEX($V$2:$V$1001,MATCH(ROWS($U$2:U849),$U$2:$U$1001,0),1)&gt;=100000,INDEX($AB$1005:$AQ$1005,1,MATCH(COLUMNS($AB$1006:AL1006),$AB$1006:$AQ$1006,0))&gt;=100000), " ",IF(INDEX($AB$2:$AQ$1001,MATCH(ROWS($U$2:U849),$U$2:$U$1001,0),MATCH(COLUMNS($AB$1006:AL1006),$AB$1006:$AQ$1006,0)), HYPERLINK("#",""), HYPERLINK(CONCATENATE("#Metadata!", ADDRESS(INDEX($W$2:$W$1001,MATCH(ROWS($U$2:U849),$U$2:$U$1001,0),0), INDEX($AB$1004:$AQ$1004,1,MATCH(COLUMNS($AB$1006:AL1006),$AB$1006:$AQ$1006,0)))),"Fix")))</f>
        <v>0</v>
      </c>
      <c r="M849" s="5">
        <f>IF(OR(INDEX($V$2:$V$1001,MATCH(ROWS($U$2:U849),$U$2:$U$1001,0),1)&gt;=100000,INDEX($AB$1005:$AQ$1005,1,MATCH(COLUMNS($AB$1006:AM1006),$AB$1006:$AQ$1006,0))&gt;=100000), " ",IF(INDEX($AB$2:$AQ$1001,MATCH(ROWS($U$2:U849),$U$2:$U$1001,0),MATCH(COLUMNS($AB$1006:AM1006),$AB$1006:$AQ$1006,0)), HYPERLINK("#",""), HYPERLINK(CONCATENATE("#Metadata!", ADDRESS(INDEX($W$2:$W$1001,MATCH(ROWS($U$2:U849),$U$2:$U$1001,0),0), INDEX($AB$1004:$AQ$1004,1,MATCH(COLUMNS($AB$1006:AM1006),$AB$1006:$AQ$1006,0)))),"Fix")))</f>
        <v>0</v>
      </c>
      <c r="N849" s="5">
        <f>IF(OR(INDEX($V$2:$V$1001,MATCH(ROWS($U$2:U849),$U$2:$U$1001,0),1)&gt;=100000,INDEX($AB$1005:$AQ$1005,1,MATCH(COLUMNS($AB$1006:AN1006),$AB$1006:$AQ$1006,0))&gt;=100000), " ",IF(INDEX($AB$2:$AQ$1001,MATCH(ROWS($U$2:U849),$U$2:$U$1001,0),MATCH(COLUMNS($AB$1006:AN1006),$AB$1006:$AQ$1006,0)), HYPERLINK("#",""), HYPERLINK(CONCATENATE("#Metadata!", ADDRESS(INDEX($W$2:$W$1001,MATCH(ROWS($U$2:U849),$U$2:$U$1001,0),0), INDEX($AB$1004:$AQ$1004,1,MATCH(COLUMNS($AB$1006:AN1006),$AB$1006:$AQ$1006,0)))),"Fix")))</f>
        <v>0</v>
      </c>
      <c r="O849" s="5">
        <f>IF(OR(INDEX($V$2:$V$1001,MATCH(ROWS($U$2:U849),$U$2:$U$1001,0),1)&gt;=100000,INDEX($AB$1005:$AQ$1005,1,MATCH(COLUMNS($AB$1006:AO1006),$AB$1006:$AQ$1006,0))&gt;=100000), " ",IF(INDEX($AB$2:$AQ$1001,MATCH(ROWS($U$2:U849),$U$2:$U$1001,0),MATCH(COLUMNS($AB$1006:AO1006),$AB$1006:$AQ$1006,0)), HYPERLINK("#",""), HYPERLINK(CONCATENATE("#Metadata!", ADDRESS(INDEX($W$2:$W$1001,MATCH(ROWS($U$2:U849),$U$2:$U$1001,0),0), INDEX($AB$1004:$AQ$1004,1,MATCH(COLUMNS($AB$1006:AO1006),$AB$1006:$AQ$1006,0)))),"Fix")))</f>
        <v>0</v>
      </c>
      <c r="P849" s="5">
        <f>IF(OR(INDEX($V$2:$V$1001,MATCH(ROWS($U$2:U849),$U$2:$U$1001,0),1)&gt;=100000,INDEX($AB$1005:$AQ$1005,1,MATCH(COLUMNS($AB$1006:AP1006),$AB$1006:$AQ$1006,0))&gt;=100000), " ",IF(INDEX($AB$2:$AQ$1001,MATCH(ROWS($U$2:U849),$U$2:$U$1001,0),MATCH(COLUMNS($AB$1006:AP1006),$AB$1006:$AQ$1006,0)), HYPERLINK("#",""), HYPERLINK(CONCATENATE("#Metadata!", ADDRESS(INDEX($W$2:$W$1001,MATCH(ROWS($U$2:U849),$U$2:$U$1001,0),0), INDEX($AB$1004:$AQ$1004,1,MATCH(COLUMNS($AB$1006:AP1006),$AB$1006:$AQ$1006,0)))),"Fix")))</f>
        <v>0</v>
      </c>
      <c r="Q849" s="5">
        <f>IF(OR(INDEX($V$2:$V$1001,MATCH(ROWS($U$2:U849),$U$2:$U$1001,0),1)&gt;=100000,INDEX($AB$1005:$AQ$1005,1,MATCH(COLUMNS($AB$1006:AQ1006),$AB$1006:$AQ$1006,0))&gt;=100000), " ",IF(INDEX($AB$2:$AQ$1001,MATCH(ROWS($U$2:U849),$U$2:$U$1001,0),MATCH(COLUMNS($AB$1006:AQ1006),$AB$1006:$AQ$1006,0)), HYPERLINK("#",""), HYPERLINK(CONCATENATE("#Metadata!", ADDRESS(INDEX($W$2:$W$1001,MATCH(ROWS($U$2:U849),$U$2:$U$1001,0),0), INDEX($AB$1004:$AQ$1004,1,MATCH(COLUMNS($AB$1006:AQ1006),$AB$1006:$AQ$1006,0)))),"Fix")))</f>
        <v>0</v>
      </c>
      <c r="U849">
        <v>0</v>
      </c>
      <c r="V849">
        <v>0</v>
      </c>
      <c r="W849">
        <v>0</v>
      </c>
      <c r="X849">
        <f>IF(Y849,TRUE,AND(AB849:AQ849))</f>
        <v>0</v>
      </c>
      <c r="Y849">
        <f>COUNTBLANK(Metadata!B849:Q849)=COLUMNS(Metadata!B849:Q849)</f>
        <v>0</v>
      </c>
      <c r="Z849">
        <v>0</v>
      </c>
      <c r="AB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AC849">
        <f>AND(IF(Metadata!C849="",FALSE,TRUE),exact(Metadata!C849,"urban biome"))</f>
        <v>0</v>
      </c>
      <c r="AD849">
        <f>AND(IF(Metadata!D849="",FALSE,TRUE),exact(Metadata!D849,"human-associated habitat"))</f>
        <v>0</v>
      </c>
      <c r="AE849">
        <f>AND(IF(Metadata!E849="",FALSE,TRUE),OR(exact(Metadata!E849,"human-associated"),exact(Metadata!E849,"human-skin"),exact(Metadata!E849,"human-oral"),exact(Metadata!E849,"human-gut"),exact(Metadata!E849,"human-vaginal")))</f>
        <v>0</v>
      </c>
      <c r="AF849">
        <f>AND(IF(Metadata!F849="",FALSE,ISNUMBER(VALUE(Metadata!F849))),Metadata!F849&gt;0)</f>
        <v>0</v>
      </c>
      <c r="AG849">
        <f>AND(IF(Metadata!G849="",FALSE,TRUE),exact(Metadata!G849,"years"))</f>
        <v>0</v>
      </c>
      <c r="AH849">
        <f>OR(AND(IF(Metadata!H849="",FALSE,TRUE),OR(exact(Metadata!H849,"not applicable"),exact(Metadata!H849,"not collected"),exact(Metadata!H849,"not provided"),exact(Metadata!H849,"restricted access"))),AND(IF(Metadata!H849="",FALSE,ISNUMBER(VALUE(Metadata!H849))),Metadata!H849&gt;0))</f>
        <v>0</v>
      </c>
      <c r="AI849">
        <f>AND(IF(Metadata!I849="",FALSE,TRUE),exact(Metadata!I849,"human"))</f>
        <v>0</v>
      </c>
      <c r="AJ849">
        <f>AND(IF(Metadata!J849="",FALSE,ISNUMBER(VALUE(Metadata!J849))),Metadata!J849&gt;0)</f>
        <v>0</v>
      </c>
      <c r="AK849">
        <f>AND(IF(Metadata!K849="",FALSE,TRUE),exact(Metadata!K849,"cm"))</f>
        <v>0</v>
      </c>
      <c r="AL849">
        <f>AND(IF(Metadata!L849="",FALSE,TRUE),exact(Metadata!L849,"Homo sapiens"))</f>
        <v>0</v>
      </c>
      <c r="AM849">
        <f>AND(IF(Metadata!M849="",FALSE,TRUE),exact(Metadata!M849,"9606"))</f>
        <v>0</v>
      </c>
      <c r="AN849">
        <f>AND(IF(Metadata!N849="",FALSE,ISNUMBER(VALUE(Metadata!N849))),Metadata!N849&gt;0)</f>
        <v>0</v>
      </c>
      <c r="AO849">
        <f>AND(IF(Metadata!O849="",FALSE,TRUE),exact(Metadata!O849,"kg"))</f>
        <v>0</v>
      </c>
      <c r="AP849">
        <f>OR(AND(IF(Metadata!P849="",FALSE,TRUE),exact(Metadata!P849,"not provided")),IF(Metadata!P849="",FALSE,TRUE))</f>
        <v>0</v>
      </c>
      <c r="AQ849">
        <f>OR(AND(IF(Metadata!Q849="",FALSE,TRUE),exact(Metadata!Q849,"not provided")),IF(Metadata!Q849="",FALSE,TRUE))</f>
        <v>0</v>
      </c>
    </row>
    <row r="850" spans="1:43">
      <c r="A850" s="4">
        <f>IF(B850=" "," ",HYPERLINK(CONCATENATE("#metadata!",ADDRESS(INDEX($W$2:$W$1001,MATCH(ROWS($U$2:U850),$U$2:$U$1001,0),0),2)),INDEX($Z$2:$Z$1001,MATCH(ROWS($U$2:U850),$U$2:$U$1001,0),0)))</f>
        <v>0</v>
      </c>
      <c r="B850" s="5">
        <f>IF(OR(INDEX($V$2:$V$1001,MATCH(ROWS($U$2:U850),$U$2:$U$1001,0),1)&gt;=100000,INDEX($AB$1005:$AQ$1005,1,MATCH(COLUMNS($AB$1006:AB1006),$AB$1006:$AQ$1006,0))&gt;=100000), " ",IF(INDEX($AB$2:$AQ$1001,MATCH(ROWS($U$2:U850),$U$2:$U$1001,0),MATCH(COLUMNS($AB$1006:AB1006),$AB$1006:$AQ$1006,0)), HYPERLINK("#",""), HYPERLINK(CONCATENATE("#Metadata!", ADDRESS(INDEX($W$2:$W$1001,MATCH(ROWS($U$2:U850),$U$2:$U$1001,0),0), INDEX($AB$1004:$AQ$1004,1,MATCH(COLUMNS($AB$1006:AB1006),$AB$1006:$AQ$1006,0)))),"Fix")))</f>
        <v>0</v>
      </c>
      <c r="C850" s="5">
        <f>IF(OR(INDEX($V$2:$V$1001,MATCH(ROWS($U$2:U850),$U$2:$U$1001,0),1)&gt;=100000,INDEX($AB$1005:$AQ$1005,1,MATCH(COLUMNS($AB$1006:AC1006),$AB$1006:$AQ$1006,0))&gt;=100000), " ",IF(INDEX($AB$2:$AQ$1001,MATCH(ROWS($U$2:U850),$U$2:$U$1001,0),MATCH(COLUMNS($AB$1006:AC1006),$AB$1006:$AQ$1006,0)), HYPERLINK("#",""), HYPERLINK(CONCATENATE("#Metadata!", ADDRESS(INDEX($W$2:$W$1001,MATCH(ROWS($U$2:U850),$U$2:$U$1001,0),0), INDEX($AB$1004:$AQ$1004,1,MATCH(COLUMNS($AB$1006:AC1006),$AB$1006:$AQ$1006,0)))),"Fix")))</f>
        <v>0</v>
      </c>
      <c r="D850" s="5">
        <f>IF(OR(INDEX($V$2:$V$1001,MATCH(ROWS($U$2:U850),$U$2:$U$1001,0),1)&gt;=100000,INDEX($AB$1005:$AQ$1005,1,MATCH(COLUMNS($AB$1006:AD1006),$AB$1006:$AQ$1006,0))&gt;=100000), " ",IF(INDEX($AB$2:$AQ$1001,MATCH(ROWS($U$2:U850),$U$2:$U$1001,0),MATCH(COLUMNS($AB$1006:AD1006),$AB$1006:$AQ$1006,0)), HYPERLINK("#",""), HYPERLINK(CONCATENATE("#Metadata!", ADDRESS(INDEX($W$2:$W$1001,MATCH(ROWS($U$2:U850),$U$2:$U$1001,0),0), INDEX($AB$1004:$AQ$1004,1,MATCH(COLUMNS($AB$1006:AD1006),$AB$1006:$AQ$1006,0)))),"Fix")))</f>
        <v>0</v>
      </c>
      <c r="E850" s="5">
        <f>IF(OR(INDEX($V$2:$V$1001,MATCH(ROWS($U$2:U850),$U$2:$U$1001,0),1)&gt;=100000,INDEX($AB$1005:$AQ$1005,1,MATCH(COLUMNS($AB$1006:AE1006),$AB$1006:$AQ$1006,0))&gt;=100000), " ",IF(INDEX($AB$2:$AQ$1001,MATCH(ROWS($U$2:U850),$U$2:$U$1001,0),MATCH(COLUMNS($AB$1006:AE1006),$AB$1006:$AQ$1006,0)), HYPERLINK("#",""), HYPERLINK(CONCATENATE("#Metadata!", ADDRESS(INDEX($W$2:$W$1001,MATCH(ROWS($U$2:U850),$U$2:$U$1001,0),0), INDEX($AB$1004:$AQ$1004,1,MATCH(COLUMNS($AB$1006:AE1006),$AB$1006:$AQ$1006,0)))),"Fix")))</f>
        <v>0</v>
      </c>
      <c r="F850" s="5">
        <f>IF(OR(INDEX($V$2:$V$1001,MATCH(ROWS($U$2:U850),$U$2:$U$1001,0),1)&gt;=100000,INDEX($AB$1005:$AQ$1005,1,MATCH(COLUMNS($AB$1006:AF1006),$AB$1006:$AQ$1006,0))&gt;=100000), " ",IF(INDEX($AB$2:$AQ$1001,MATCH(ROWS($U$2:U850),$U$2:$U$1001,0),MATCH(COLUMNS($AB$1006:AF1006),$AB$1006:$AQ$1006,0)), HYPERLINK("#",""), HYPERLINK(CONCATENATE("#Metadata!", ADDRESS(INDEX($W$2:$W$1001,MATCH(ROWS($U$2:U850),$U$2:$U$1001,0),0), INDEX($AB$1004:$AQ$1004,1,MATCH(COLUMNS($AB$1006:AF1006),$AB$1006:$AQ$1006,0)))),"Fix")))</f>
        <v>0</v>
      </c>
      <c r="G850" s="5">
        <f>IF(OR(INDEX($V$2:$V$1001,MATCH(ROWS($U$2:U850),$U$2:$U$1001,0),1)&gt;=100000,INDEX($AB$1005:$AQ$1005,1,MATCH(COLUMNS($AB$1006:AG1006),$AB$1006:$AQ$1006,0))&gt;=100000), " ",IF(INDEX($AB$2:$AQ$1001,MATCH(ROWS($U$2:U850),$U$2:$U$1001,0),MATCH(COLUMNS($AB$1006:AG1006),$AB$1006:$AQ$1006,0)), HYPERLINK("#",""), HYPERLINK(CONCATENATE("#Metadata!", ADDRESS(INDEX($W$2:$W$1001,MATCH(ROWS($U$2:U850),$U$2:$U$1001,0),0), INDEX($AB$1004:$AQ$1004,1,MATCH(COLUMNS($AB$1006:AG1006),$AB$1006:$AQ$1006,0)))),"Fix")))</f>
        <v>0</v>
      </c>
      <c r="H850" s="5">
        <f>IF(OR(INDEX($V$2:$V$1001,MATCH(ROWS($U$2:U850),$U$2:$U$1001,0),1)&gt;=100000,INDEX($AB$1005:$AQ$1005,1,MATCH(COLUMNS($AB$1006:AH1006),$AB$1006:$AQ$1006,0))&gt;=100000), " ",IF(INDEX($AB$2:$AQ$1001,MATCH(ROWS($U$2:U850),$U$2:$U$1001,0),MATCH(COLUMNS($AB$1006:AH1006),$AB$1006:$AQ$1006,0)), HYPERLINK("#",""), HYPERLINK(CONCATENATE("#Metadata!", ADDRESS(INDEX($W$2:$W$1001,MATCH(ROWS($U$2:U850),$U$2:$U$1001,0),0), INDEX($AB$1004:$AQ$1004,1,MATCH(COLUMNS($AB$1006:AH1006),$AB$1006:$AQ$1006,0)))),"Fix")))</f>
        <v>0</v>
      </c>
      <c r="I850" s="5">
        <f>IF(OR(INDEX($V$2:$V$1001,MATCH(ROWS($U$2:U850),$U$2:$U$1001,0),1)&gt;=100000,INDEX($AB$1005:$AQ$1005,1,MATCH(COLUMNS($AB$1006:AI1006),$AB$1006:$AQ$1006,0))&gt;=100000), " ",IF(INDEX($AB$2:$AQ$1001,MATCH(ROWS($U$2:U850),$U$2:$U$1001,0),MATCH(COLUMNS($AB$1006:AI1006),$AB$1006:$AQ$1006,0)), HYPERLINK("#",""), HYPERLINK(CONCATENATE("#Metadata!", ADDRESS(INDEX($W$2:$W$1001,MATCH(ROWS($U$2:U850),$U$2:$U$1001,0),0), INDEX($AB$1004:$AQ$1004,1,MATCH(COLUMNS($AB$1006:AI1006),$AB$1006:$AQ$1006,0)))),"Fix")))</f>
        <v>0</v>
      </c>
      <c r="J850" s="5">
        <f>IF(OR(INDEX($V$2:$V$1001,MATCH(ROWS($U$2:U850),$U$2:$U$1001,0),1)&gt;=100000,INDEX($AB$1005:$AQ$1005,1,MATCH(COLUMNS($AB$1006:AJ1006),$AB$1006:$AQ$1006,0))&gt;=100000), " ",IF(INDEX($AB$2:$AQ$1001,MATCH(ROWS($U$2:U850),$U$2:$U$1001,0),MATCH(COLUMNS($AB$1006:AJ1006),$AB$1006:$AQ$1006,0)), HYPERLINK("#",""), HYPERLINK(CONCATENATE("#Metadata!", ADDRESS(INDEX($W$2:$W$1001,MATCH(ROWS($U$2:U850),$U$2:$U$1001,0),0), INDEX($AB$1004:$AQ$1004,1,MATCH(COLUMNS($AB$1006:AJ1006),$AB$1006:$AQ$1006,0)))),"Fix")))</f>
        <v>0</v>
      </c>
      <c r="K850" s="5">
        <f>IF(OR(INDEX($V$2:$V$1001,MATCH(ROWS($U$2:U850),$U$2:$U$1001,0),1)&gt;=100000,INDEX($AB$1005:$AQ$1005,1,MATCH(COLUMNS($AB$1006:AK1006),$AB$1006:$AQ$1006,0))&gt;=100000), " ",IF(INDEX($AB$2:$AQ$1001,MATCH(ROWS($U$2:U850),$U$2:$U$1001,0),MATCH(COLUMNS($AB$1006:AK1006),$AB$1006:$AQ$1006,0)), HYPERLINK("#",""), HYPERLINK(CONCATENATE("#Metadata!", ADDRESS(INDEX($W$2:$W$1001,MATCH(ROWS($U$2:U850),$U$2:$U$1001,0),0), INDEX($AB$1004:$AQ$1004,1,MATCH(COLUMNS($AB$1006:AK1006),$AB$1006:$AQ$1006,0)))),"Fix")))</f>
        <v>0</v>
      </c>
      <c r="L850" s="5">
        <f>IF(OR(INDEX($V$2:$V$1001,MATCH(ROWS($U$2:U850),$U$2:$U$1001,0),1)&gt;=100000,INDEX($AB$1005:$AQ$1005,1,MATCH(COLUMNS($AB$1006:AL1006),$AB$1006:$AQ$1006,0))&gt;=100000), " ",IF(INDEX($AB$2:$AQ$1001,MATCH(ROWS($U$2:U850),$U$2:$U$1001,0),MATCH(COLUMNS($AB$1006:AL1006),$AB$1006:$AQ$1006,0)), HYPERLINK("#",""), HYPERLINK(CONCATENATE("#Metadata!", ADDRESS(INDEX($W$2:$W$1001,MATCH(ROWS($U$2:U850),$U$2:$U$1001,0),0), INDEX($AB$1004:$AQ$1004,1,MATCH(COLUMNS($AB$1006:AL1006),$AB$1006:$AQ$1006,0)))),"Fix")))</f>
        <v>0</v>
      </c>
      <c r="M850" s="5">
        <f>IF(OR(INDEX($V$2:$V$1001,MATCH(ROWS($U$2:U850),$U$2:$U$1001,0),1)&gt;=100000,INDEX($AB$1005:$AQ$1005,1,MATCH(COLUMNS($AB$1006:AM1006),$AB$1006:$AQ$1006,0))&gt;=100000), " ",IF(INDEX($AB$2:$AQ$1001,MATCH(ROWS($U$2:U850),$U$2:$U$1001,0),MATCH(COLUMNS($AB$1006:AM1006),$AB$1006:$AQ$1006,0)), HYPERLINK("#",""), HYPERLINK(CONCATENATE("#Metadata!", ADDRESS(INDEX($W$2:$W$1001,MATCH(ROWS($U$2:U850),$U$2:$U$1001,0),0), INDEX($AB$1004:$AQ$1004,1,MATCH(COLUMNS($AB$1006:AM1006),$AB$1006:$AQ$1006,0)))),"Fix")))</f>
        <v>0</v>
      </c>
      <c r="N850" s="5">
        <f>IF(OR(INDEX($V$2:$V$1001,MATCH(ROWS($U$2:U850),$U$2:$U$1001,0),1)&gt;=100000,INDEX($AB$1005:$AQ$1005,1,MATCH(COLUMNS($AB$1006:AN1006),$AB$1006:$AQ$1006,0))&gt;=100000), " ",IF(INDEX($AB$2:$AQ$1001,MATCH(ROWS($U$2:U850),$U$2:$U$1001,0),MATCH(COLUMNS($AB$1006:AN1006),$AB$1006:$AQ$1006,0)), HYPERLINK("#",""), HYPERLINK(CONCATENATE("#Metadata!", ADDRESS(INDEX($W$2:$W$1001,MATCH(ROWS($U$2:U850),$U$2:$U$1001,0),0), INDEX($AB$1004:$AQ$1004,1,MATCH(COLUMNS($AB$1006:AN1006),$AB$1006:$AQ$1006,0)))),"Fix")))</f>
        <v>0</v>
      </c>
      <c r="O850" s="5">
        <f>IF(OR(INDEX($V$2:$V$1001,MATCH(ROWS($U$2:U850),$U$2:$U$1001,0),1)&gt;=100000,INDEX($AB$1005:$AQ$1005,1,MATCH(COLUMNS($AB$1006:AO1006),$AB$1006:$AQ$1006,0))&gt;=100000), " ",IF(INDEX($AB$2:$AQ$1001,MATCH(ROWS($U$2:U850),$U$2:$U$1001,0),MATCH(COLUMNS($AB$1006:AO1006),$AB$1006:$AQ$1006,0)), HYPERLINK("#",""), HYPERLINK(CONCATENATE("#Metadata!", ADDRESS(INDEX($W$2:$W$1001,MATCH(ROWS($U$2:U850),$U$2:$U$1001,0),0), INDEX($AB$1004:$AQ$1004,1,MATCH(COLUMNS($AB$1006:AO1006),$AB$1006:$AQ$1006,0)))),"Fix")))</f>
        <v>0</v>
      </c>
      <c r="P850" s="5">
        <f>IF(OR(INDEX($V$2:$V$1001,MATCH(ROWS($U$2:U850),$U$2:$U$1001,0),1)&gt;=100000,INDEX($AB$1005:$AQ$1005,1,MATCH(COLUMNS($AB$1006:AP1006),$AB$1006:$AQ$1006,0))&gt;=100000), " ",IF(INDEX($AB$2:$AQ$1001,MATCH(ROWS($U$2:U850),$U$2:$U$1001,0),MATCH(COLUMNS($AB$1006:AP1006),$AB$1006:$AQ$1006,0)), HYPERLINK("#",""), HYPERLINK(CONCATENATE("#Metadata!", ADDRESS(INDEX($W$2:$W$1001,MATCH(ROWS($U$2:U850),$U$2:$U$1001,0),0), INDEX($AB$1004:$AQ$1004,1,MATCH(COLUMNS($AB$1006:AP1006),$AB$1006:$AQ$1006,0)))),"Fix")))</f>
        <v>0</v>
      </c>
      <c r="Q850" s="5">
        <f>IF(OR(INDEX($V$2:$V$1001,MATCH(ROWS($U$2:U850),$U$2:$U$1001,0),1)&gt;=100000,INDEX($AB$1005:$AQ$1005,1,MATCH(COLUMNS($AB$1006:AQ1006),$AB$1006:$AQ$1006,0))&gt;=100000), " ",IF(INDEX($AB$2:$AQ$1001,MATCH(ROWS($U$2:U850),$U$2:$U$1001,0),MATCH(COLUMNS($AB$1006:AQ1006),$AB$1006:$AQ$1006,0)), HYPERLINK("#",""), HYPERLINK(CONCATENATE("#Metadata!", ADDRESS(INDEX($W$2:$W$1001,MATCH(ROWS($U$2:U850),$U$2:$U$1001,0),0), INDEX($AB$1004:$AQ$1004,1,MATCH(COLUMNS($AB$1006:AQ1006),$AB$1006:$AQ$1006,0)))),"Fix")))</f>
        <v>0</v>
      </c>
      <c r="U850">
        <v>0</v>
      </c>
      <c r="V850">
        <v>0</v>
      </c>
      <c r="W850">
        <v>0</v>
      </c>
      <c r="X850">
        <f>IF(Y850,TRUE,AND(AB850:AQ850))</f>
        <v>0</v>
      </c>
      <c r="Y850">
        <f>COUNTBLANK(Metadata!B850:Q850)=COLUMNS(Metadata!B850:Q850)</f>
        <v>0</v>
      </c>
      <c r="Z850">
        <v>0</v>
      </c>
      <c r="AB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AC850">
        <f>AND(IF(Metadata!C850="",FALSE,TRUE),exact(Metadata!C850,"urban biome"))</f>
        <v>0</v>
      </c>
      <c r="AD850">
        <f>AND(IF(Metadata!D850="",FALSE,TRUE),exact(Metadata!D850,"human-associated habitat"))</f>
        <v>0</v>
      </c>
      <c r="AE850">
        <f>AND(IF(Metadata!E850="",FALSE,TRUE),OR(exact(Metadata!E850,"human-associated"),exact(Metadata!E850,"human-skin"),exact(Metadata!E850,"human-oral"),exact(Metadata!E850,"human-gut"),exact(Metadata!E850,"human-vaginal")))</f>
        <v>0</v>
      </c>
      <c r="AF850">
        <f>AND(IF(Metadata!F850="",FALSE,ISNUMBER(VALUE(Metadata!F850))),Metadata!F850&gt;0)</f>
        <v>0</v>
      </c>
      <c r="AG850">
        <f>AND(IF(Metadata!G850="",FALSE,TRUE),exact(Metadata!G850,"years"))</f>
        <v>0</v>
      </c>
      <c r="AH850">
        <f>OR(AND(IF(Metadata!H850="",FALSE,TRUE),OR(exact(Metadata!H850,"not applicable"),exact(Metadata!H850,"not collected"),exact(Metadata!H850,"not provided"),exact(Metadata!H850,"restricted access"))),AND(IF(Metadata!H850="",FALSE,ISNUMBER(VALUE(Metadata!H850))),Metadata!H850&gt;0))</f>
        <v>0</v>
      </c>
      <c r="AI850">
        <f>AND(IF(Metadata!I850="",FALSE,TRUE),exact(Metadata!I850,"human"))</f>
        <v>0</v>
      </c>
      <c r="AJ850">
        <f>AND(IF(Metadata!J850="",FALSE,ISNUMBER(VALUE(Metadata!J850))),Metadata!J850&gt;0)</f>
        <v>0</v>
      </c>
      <c r="AK850">
        <f>AND(IF(Metadata!K850="",FALSE,TRUE),exact(Metadata!K850,"cm"))</f>
        <v>0</v>
      </c>
      <c r="AL850">
        <f>AND(IF(Metadata!L850="",FALSE,TRUE),exact(Metadata!L850,"Homo sapiens"))</f>
        <v>0</v>
      </c>
      <c r="AM850">
        <f>AND(IF(Metadata!M850="",FALSE,TRUE),exact(Metadata!M850,"9606"))</f>
        <v>0</v>
      </c>
      <c r="AN850">
        <f>AND(IF(Metadata!N850="",FALSE,ISNUMBER(VALUE(Metadata!N850))),Metadata!N850&gt;0)</f>
        <v>0</v>
      </c>
      <c r="AO850">
        <f>AND(IF(Metadata!O850="",FALSE,TRUE),exact(Metadata!O850,"kg"))</f>
        <v>0</v>
      </c>
      <c r="AP850">
        <f>OR(AND(IF(Metadata!P850="",FALSE,TRUE),exact(Metadata!P850,"not provided")),IF(Metadata!P850="",FALSE,TRUE))</f>
        <v>0</v>
      </c>
      <c r="AQ850">
        <f>OR(AND(IF(Metadata!Q850="",FALSE,TRUE),exact(Metadata!Q850,"not provided")),IF(Metadata!Q850="",FALSE,TRUE))</f>
        <v>0</v>
      </c>
    </row>
    <row r="851" spans="1:43">
      <c r="A851" s="4">
        <f>IF(B851=" "," ",HYPERLINK(CONCATENATE("#metadata!",ADDRESS(INDEX($W$2:$W$1001,MATCH(ROWS($U$2:U851),$U$2:$U$1001,0),0),2)),INDEX($Z$2:$Z$1001,MATCH(ROWS($U$2:U851),$U$2:$U$1001,0),0)))</f>
        <v>0</v>
      </c>
      <c r="B851" s="5">
        <f>IF(OR(INDEX($V$2:$V$1001,MATCH(ROWS($U$2:U851),$U$2:$U$1001,0),1)&gt;=100000,INDEX($AB$1005:$AQ$1005,1,MATCH(COLUMNS($AB$1006:AB1006),$AB$1006:$AQ$1006,0))&gt;=100000), " ",IF(INDEX($AB$2:$AQ$1001,MATCH(ROWS($U$2:U851),$U$2:$U$1001,0),MATCH(COLUMNS($AB$1006:AB1006),$AB$1006:$AQ$1006,0)), HYPERLINK("#",""), HYPERLINK(CONCATENATE("#Metadata!", ADDRESS(INDEX($W$2:$W$1001,MATCH(ROWS($U$2:U851),$U$2:$U$1001,0),0), INDEX($AB$1004:$AQ$1004,1,MATCH(COLUMNS($AB$1006:AB1006),$AB$1006:$AQ$1006,0)))),"Fix")))</f>
        <v>0</v>
      </c>
      <c r="C851" s="5">
        <f>IF(OR(INDEX($V$2:$V$1001,MATCH(ROWS($U$2:U851),$U$2:$U$1001,0),1)&gt;=100000,INDEX($AB$1005:$AQ$1005,1,MATCH(COLUMNS($AB$1006:AC1006),$AB$1006:$AQ$1006,0))&gt;=100000), " ",IF(INDEX($AB$2:$AQ$1001,MATCH(ROWS($U$2:U851),$U$2:$U$1001,0),MATCH(COLUMNS($AB$1006:AC1006),$AB$1006:$AQ$1006,0)), HYPERLINK("#",""), HYPERLINK(CONCATENATE("#Metadata!", ADDRESS(INDEX($W$2:$W$1001,MATCH(ROWS($U$2:U851),$U$2:$U$1001,0),0), INDEX($AB$1004:$AQ$1004,1,MATCH(COLUMNS($AB$1006:AC1006),$AB$1006:$AQ$1006,0)))),"Fix")))</f>
        <v>0</v>
      </c>
      <c r="D851" s="5">
        <f>IF(OR(INDEX($V$2:$V$1001,MATCH(ROWS($U$2:U851),$U$2:$U$1001,0),1)&gt;=100000,INDEX($AB$1005:$AQ$1005,1,MATCH(COLUMNS($AB$1006:AD1006),$AB$1006:$AQ$1006,0))&gt;=100000), " ",IF(INDEX($AB$2:$AQ$1001,MATCH(ROWS($U$2:U851),$U$2:$U$1001,0),MATCH(COLUMNS($AB$1006:AD1006),$AB$1006:$AQ$1006,0)), HYPERLINK("#",""), HYPERLINK(CONCATENATE("#Metadata!", ADDRESS(INDEX($W$2:$W$1001,MATCH(ROWS($U$2:U851),$U$2:$U$1001,0),0), INDEX($AB$1004:$AQ$1004,1,MATCH(COLUMNS($AB$1006:AD1006),$AB$1006:$AQ$1006,0)))),"Fix")))</f>
        <v>0</v>
      </c>
      <c r="E851" s="5">
        <f>IF(OR(INDEX($V$2:$V$1001,MATCH(ROWS($U$2:U851),$U$2:$U$1001,0),1)&gt;=100000,INDEX($AB$1005:$AQ$1005,1,MATCH(COLUMNS($AB$1006:AE1006),$AB$1006:$AQ$1006,0))&gt;=100000), " ",IF(INDEX($AB$2:$AQ$1001,MATCH(ROWS($U$2:U851),$U$2:$U$1001,0),MATCH(COLUMNS($AB$1006:AE1006),$AB$1006:$AQ$1006,0)), HYPERLINK("#",""), HYPERLINK(CONCATENATE("#Metadata!", ADDRESS(INDEX($W$2:$W$1001,MATCH(ROWS($U$2:U851),$U$2:$U$1001,0),0), INDEX($AB$1004:$AQ$1004,1,MATCH(COLUMNS($AB$1006:AE1006),$AB$1006:$AQ$1006,0)))),"Fix")))</f>
        <v>0</v>
      </c>
      <c r="F851" s="5">
        <f>IF(OR(INDEX($V$2:$V$1001,MATCH(ROWS($U$2:U851),$U$2:$U$1001,0),1)&gt;=100000,INDEX($AB$1005:$AQ$1005,1,MATCH(COLUMNS($AB$1006:AF1006),$AB$1006:$AQ$1006,0))&gt;=100000), " ",IF(INDEX($AB$2:$AQ$1001,MATCH(ROWS($U$2:U851),$U$2:$U$1001,0),MATCH(COLUMNS($AB$1006:AF1006),$AB$1006:$AQ$1006,0)), HYPERLINK("#",""), HYPERLINK(CONCATENATE("#Metadata!", ADDRESS(INDEX($W$2:$W$1001,MATCH(ROWS($U$2:U851),$U$2:$U$1001,0),0), INDEX($AB$1004:$AQ$1004,1,MATCH(COLUMNS($AB$1006:AF1006),$AB$1006:$AQ$1006,0)))),"Fix")))</f>
        <v>0</v>
      </c>
      <c r="G851" s="5">
        <f>IF(OR(INDEX($V$2:$V$1001,MATCH(ROWS($U$2:U851),$U$2:$U$1001,0),1)&gt;=100000,INDEX($AB$1005:$AQ$1005,1,MATCH(COLUMNS($AB$1006:AG1006),$AB$1006:$AQ$1006,0))&gt;=100000), " ",IF(INDEX($AB$2:$AQ$1001,MATCH(ROWS($U$2:U851),$U$2:$U$1001,0),MATCH(COLUMNS($AB$1006:AG1006),$AB$1006:$AQ$1006,0)), HYPERLINK("#",""), HYPERLINK(CONCATENATE("#Metadata!", ADDRESS(INDEX($W$2:$W$1001,MATCH(ROWS($U$2:U851),$U$2:$U$1001,0),0), INDEX($AB$1004:$AQ$1004,1,MATCH(COLUMNS($AB$1006:AG1006),$AB$1006:$AQ$1006,0)))),"Fix")))</f>
        <v>0</v>
      </c>
      <c r="H851" s="5">
        <f>IF(OR(INDEX($V$2:$V$1001,MATCH(ROWS($U$2:U851),$U$2:$U$1001,0),1)&gt;=100000,INDEX($AB$1005:$AQ$1005,1,MATCH(COLUMNS($AB$1006:AH1006),$AB$1006:$AQ$1006,0))&gt;=100000), " ",IF(INDEX($AB$2:$AQ$1001,MATCH(ROWS($U$2:U851),$U$2:$U$1001,0),MATCH(COLUMNS($AB$1006:AH1006),$AB$1006:$AQ$1006,0)), HYPERLINK("#",""), HYPERLINK(CONCATENATE("#Metadata!", ADDRESS(INDEX($W$2:$W$1001,MATCH(ROWS($U$2:U851),$U$2:$U$1001,0),0), INDEX($AB$1004:$AQ$1004,1,MATCH(COLUMNS($AB$1006:AH1006),$AB$1006:$AQ$1006,0)))),"Fix")))</f>
        <v>0</v>
      </c>
      <c r="I851" s="5">
        <f>IF(OR(INDEX($V$2:$V$1001,MATCH(ROWS($U$2:U851),$U$2:$U$1001,0),1)&gt;=100000,INDEX($AB$1005:$AQ$1005,1,MATCH(COLUMNS($AB$1006:AI1006),$AB$1006:$AQ$1006,0))&gt;=100000), " ",IF(INDEX($AB$2:$AQ$1001,MATCH(ROWS($U$2:U851),$U$2:$U$1001,0),MATCH(COLUMNS($AB$1006:AI1006),$AB$1006:$AQ$1006,0)), HYPERLINK("#",""), HYPERLINK(CONCATENATE("#Metadata!", ADDRESS(INDEX($W$2:$W$1001,MATCH(ROWS($U$2:U851),$U$2:$U$1001,0),0), INDEX($AB$1004:$AQ$1004,1,MATCH(COLUMNS($AB$1006:AI1006),$AB$1006:$AQ$1006,0)))),"Fix")))</f>
        <v>0</v>
      </c>
      <c r="J851" s="5">
        <f>IF(OR(INDEX($V$2:$V$1001,MATCH(ROWS($U$2:U851),$U$2:$U$1001,0),1)&gt;=100000,INDEX($AB$1005:$AQ$1005,1,MATCH(COLUMNS($AB$1006:AJ1006),$AB$1006:$AQ$1006,0))&gt;=100000), " ",IF(INDEX($AB$2:$AQ$1001,MATCH(ROWS($U$2:U851),$U$2:$U$1001,0),MATCH(COLUMNS($AB$1006:AJ1006),$AB$1006:$AQ$1006,0)), HYPERLINK("#",""), HYPERLINK(CONCATENATE("#Metadata!", ADDRESS(INDEX($W$2:$W$1001,MATCH(ROWS($U$2:U851),$U$2:$U$1001,0),0), INDEX($AB$1004:$AQ$1004,1,MATCH(COLUMNS($AB$1006:AJ1006),$AB$1006:$AQ$1006,0)))),"Fix")))</f>
        <v>0</v>
      </c>
      <c r="K851" s="5">
        <f>IF(OR(INDEX($V$2:$V$1001,MATCH(ROWS($U$2:U851),$U$2:$U$1001,0),1)&gt;=100000,INDEX($AB$1005:$AQ$1005,1,MATCH(COLUMNS($AB$1006:AK1006),$AB$1006:$AQ$1006,0))&gt;=100000), " ",IF(INDEX($AB$2:$AQ$1001,MATCH(ROWS($U$2:U851),$U$2:$U$1001,0),MATCH(COLUMNS($AB$1006:AK1006),$AB$1006:$AQ$1006,0)), HYPERLINK("#",""), HYPERLINK(CONCATENATE("#Metadata!", ADDRESS(INDEX($W$2:$W$1001,MATCH(ROWS($U$2:U851),$U$2:$U$1001,0),0), INDEX($AB$1004:$AQ$1004,1,MATCH(COLUMNS($AB$1006:AK1006),$AB$1006:$AQ$1006,0)))),"Fix")))</f>
        <v>0</v>
      </c>
      <c r="L851" s="5">
        <f>IF(OR(INDEX($V$2:$V$1001,MATCH(ROWS($U$2:U851),$U$2:$U$1001,0),1)&gt;=100000,INDEX($AB$1005:$AQ$1005,1,MATCH(COLUMNS($AB$1006:AL1006),$AB$1006:$AQ$1006,0))&gt;=100000), " ",IF(INDEX($AB$2:$AQ$1001,MATCH(ROWS($U$2:U851),$U$2:$U$1001,0),MATCH(COLUMNS($AB$1006:AL1006),$AB$1006:$AQ$1006,0)), HYPERLINK("#",""), HYPERLINK(CONCATENATE("#Metadata!", ADDRESS(INDEX($W$2:$W$1001,MATCH(ROWS($U$2:U851),$U$2:$U$1001,0),0), INDEX($AB$1004:$AQ$1004,1,MATCH(COLUMNS($AB$1006:AL1006),$AB$1006:$AQ$1006,0)))),"Fix")))</f>
        <v>0</v>
      </c>
      <c r="M851" s="5">
        <f>IF(OR(INDEX($V$2:$V$1001,MATCH(ROWS($U$2:U851),$U$2:$U$1001,0),1)&gt;=100000,INDEX($AB$1005:$AQ$1005,1,MATCH(COLUMNS($AB$1006:AM1006),$AB$1006:$AQ$1006,0))&gt;=100000), " ",IF(INDEX($AB$2:$AQ$1001,MATCH(ROWS($U$2:U851),$U$2:$U$1001,0),MATCH(COLUMNS($AB$1006:AM1006),$AB$1006:$AQ$1006,0)), HYPERLINK("#",""), HYPERLINK(CONCATENATE("#Metadata!", ADDRESS(INDEX($W$2:$W$1001,MATCH(ROWS($U$2:U851),$U$2:$U$1001,0),0), INDEX($AB$1004:$AQ$1004,1,MATCH(COLUMNS($AB$1006:AM1006),$AB$1006:$AQ$1006,0)))),"Fix")))</f>
        <v>0</v>
      </c>
      <c r="N851" s="5">
        <f>IF(OR(INDEX($V$2:$V$1001,MATCH(ROWS($U$2:U851),$U$2:$U$1001,0),1)&gt;=100000,INDEX($AB$1005:$AQ$1005,1,MATCH(COLUMNS($AB$1006:AN1006),$AB$1006:$AQ$1006,0))&gt;=100000), " ",IF(INDEX($AB$2:$AQ$1001,MATCH(ROWS($U$2:U851),$U$2:$U$1001,0),MATCH(COLUMNS($AB$1006:AN1006),$AB$1006:$AQ$1006,0)), HYPERLINK("#",""), HYPERLINK(CONCATENATE("#Metadata!", ADDRESS(INDEX($W$2:$W$1001,MATCH(ROWS($U$2:U851),$U$2:$U$1001,0),0), INDEX($AB$1004:$AQ$1004,1,MATCH(COLUMNS($AB$1006:AN1006),$AB$1006:$AQ$1006,0)))),"Fix")))</f>
        <v>0</v>
      </c>
      <c r="O851" s="5">
        <f>IF(OR(INDEX($V$2:$V$1001,MATCH(ROWS($U$2:U851),$U$2:$U$1001,0),1)&gt;=100000,INDEX($AB$1005:$AQ$1005,1,MATCH(COLUMNS($AB$1006:AO1006),$AB$1006:$AQ$1006,0))&gt;=100000), " ",IF(INDEX($AB$2:$AQ$1001,MATCH(ROWS($U$2:U851),$U$2:$U$1001,0),MATCH(COLUMNS($AB$1006:AO1006),$AB$1006:$AQ$1006,0)), HYPERLINK("#",""), HYPERLINK(CONCATENATE("#Metadata!", ADDRESS(INDEX($W$2:$W$1001,MATCH(ROWS($U$2:U851),$U$2:$U$1001,0),0), INDEX($AB$1004:$AQ$1004,1,MATCH(COLUMNS($AB$1006:AO1006),$AB$1006:$AQ$1006,0)))),"Fix")))</f>
        <v>0</v>
      </c>
      <c r="P851" s="5">
        <f>IF(OR(INDEX($V$2:$V$1001,MATCH(ROWS($U$2:U851),$U$2:$U$1001,0),1)&gt;=100000,INDEX($AB$1005:$AQ$1005,1,MATCH(COLUMNS($AB$1006:AP1006),$AB$1006:$AQ$1006,0))&gt;=100000), " ",IF(INDEX($AB$2:$AQ$1001,MATCH(ROWS($U$2:U851),$U$2:$U$1001,0),MATCH(COLUMNS($AB$1006:AP1006),$AB$1006:$AQ$1006,0)), HYPERLINK("#",""), HYPERLINK(CONCATENATE("#Metadata!", ADDRESS(INDEX($W$2:$W$1001,MATCH(ROWS($U$2:U851),$U$2:$U$1001,0),0), INDEX($AB$1004:$AQ$1004,1,MATCH(COLUMNS($AB$1006:AP1006),$AB$1006:$AQ$1006,0)))),"Fix")))</f>
        <v>0</v>
      </c>
      <c r="Q851" s="5">
        <f>IF(OR(INDEX($V$2:$V$1001,MATCH(ROWS($U$2:U851),$U$2:$U$1001,0),1)&gt;=100000,INDEX($AB$1005:$AQ$1005,1,MATCH(COLUMNS($AB$1006:AQ1006),$AB$1006:$AQ$1006,0))&gt;=100000), " ",IF(INDEX($AB$2:$AQ$1001,MATCH(ROWS($U$2:U851),$U$2:$U$1001,0),MATCH(COLUMNS($AB$1006:AQ1006),$AB$1006:$AQ$1006,0)), HYPERLINK("#",""), HYPERLINK(CONCATENATE("#Metadata!", ADDRESS(INDEX($W$2:$W$1001,MATCH(ROWS($U$2:U851),$U$2:$U$1001,0),0), INDEX($AB$1004:$AQ$1004,1,MATCH(COLUMNS($AB$1006:AQ1006),$AB$1006:$AQ$1006,0)))),"Fix")))</f>
        <v>0</v>
      </c>
      <c r="U851">
        <v>0</v>
      </c>
      <c r="V851">
        <v>0</v>
      </c>
      <c r="W851">
        <v>0</v>
      </c>
      <c r="X851">
        <f>IF(Y851,TRUE,AND(AB851:AQ851))</f>
        <v>0</v>
      </c>
      <c r="Y851">
        <f>COUNTBLANK(Metadata!B851:Q851)=COLUMNS(Metadata!B851:Q851)</f>
        <v>0</v>
      </c>
      <c r="Z851">
        <v>0</v>
      </c>
      <c r="AB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AC851">
        <f>AND(IF(Metadata!C851="",FALSE,TRUE),exact(Metadata!C851,"urban biome"))</f>
        <v>0</v>
      </c>
      <c r="AD851">
        <f>AND(IF(Metadata!D851="",FALSE,TRUE),exact(Metadata!D851,"human-associated habitat"))</f>
        <v>0</v>
      </c>
      <c r="AE851">
        <f>AND(IF(Metadata!E851="",FALSE,TRUE),OR(exact(Metadata!E851,"human-associated"),exact(Metadata!E851,"human-skin"),exact(Metadata!E851,"human-oral"),exact(Metadata!E851,"human-gut"),exact(Metadata!E851,"human-vaginal")))</f>
        <v>0</v>
      </c>
      <c r="AF851">
        <f>AND(IF(Metadata!F851="",FALSE,ISNUMBER(VALUE(Metadata!F851))),Metadata!F851&gt;0)</f>
        <v>0</v>
      </c>
      <c r="AG851">
        <f>AND(IF(Metadata!G851="",FALSE,TRUE),exact(Metadata!G851,"years"))</f>
        <v>0</v>
      </c>
      <c r="AH851">
        <f>OR(AND(IF(Metadata!H851="",FALSE,TRUE),OR(exact(Metadata!H851,"not applicable"),exact(Metadata!H851,"not collected"),exact(Metadata!H851,"not provided"),exact(Metadata!H851,"restricted access"))),AND(IF(Metadata!H851="",FALSE,ISNUMBER(VALUE(Metadata!H851))),Metadata!H851&gt;0))</f>
        <v>0</v>
      </c>
      <c r="AI851">
        <f>AND(IF(Metadata!I851="",FALSE,TRUE),exact(Metadata!I851,"human"))</f>
        <v>0</v>
      </c>
      <c r="AJ851">
        <f>AND(IF(Metadata!J851="",FALSE,ISNUMBER(VALUE(Metadata!J851))),Metadata!J851&gt;0)</f>
        <v>0</v>
      </c>
      <c r="AK851">
        <f>AND(IF(Metadata!K851="",FALSE,TRUE),exact(Metadata!K851,"cm"))</f>
        <v>0</v>
      </c>
      <c r="AL851">
        <f>AND(IF(Metadata!L851="",FALSE,TRUE),exact(Metadata!L851,"Homo sapiens"))</f>
        <v>0</v>
      </c>
      <c r="AM851">
        <f>AND(IF(Metadata!M851="",FALSE,TRUE),exact(Metadata!M851,"9606"))</f>
        <v>0</v>
      </c>
      <c r="AN851">
        <f>AND(IF(Metadata!N851="",FALSE,ISNUMBER(VALUE(Metadata!N851))),Metadata!N851&gt;0)</f>
        <v>0</v>
      </c>
      <c r="AO851">
        <f>AND(IF(Metadata!O851="",FALSE,TRUE),exact(Metadata!O851,"kg"))</f>
        <v>0</v>
      </c>
      <c r="AP851">
        <f>OR(AND(IF(Metadata!P851="",FALSE,TRUE),exact(Metadata!P851,"not provided")),IF(Metadata!P851="",FALSE,TRUE))</f>
        <v>0</v>
      </c>
      <c r="AQ851">
        <f>OR(AND(IF(Metadata!Q851="",FALSE,TRUE),exact(Metadata!Q851,"not provided")),IF(Metadata!Q851="",FALSE,TRUE))</f>
        <v>0</v>
      </c>
    </row>
    <row r="852" spans="1:43">
      <c r="A852" s="4">
        <f>IF(B852=" "," ",HYPERLINK(CONCATENATE("#metadata!",ADDRESS(INDEX($W$2:$W$1001,MATCH(ROWS($U$2:U852),$U$2:$U$1001,0),0),2)),INDEX($Z$2:$Z$1001,MATCH(ROWS($U$2:U852),$U$2:$U$1001,0),0)))</f>
        <v>0</v>
      </c>
      <c r="B852" s="5">
        <f>IF(OR(INDEX($V$2:$V$1001,MATCH(ROWS($U$2:U852),$U$2:$U$1001,0),1)&gt;=100000,INDEX($AB$1005:$AQ$1005,1,MATCH(COLUMNS($AB$1006:AB1006),$AB$1006:$AQ$1006,0))&gt;=100000), " ",IF(INDEX($AB$2:$AQ$1001,MATCH(ROWS($U$2:U852),$U$2:$U$1001,0),MATCH(COLUMNS($AB$1006:AB1006),$AB$1006:$AQ$1006,0)), HYPERLINK("#",""), HYPERLINK(CONCATENATE("#Metadata!", ADDRESS(INDEX($W$2:$W$1001,MATCH(ROWS($U$2:U852),$U$2:$U$1001,0),0), INDEX($AB$1004:$AQ$1004,1,MATCH(COLUMNS($AB$1006:AB1006),$AB$1006:$AQ$1006,0)))),"Fix")))</f>
        <v>0</v>
      </c>
      <c r="C852" s="5">
        <f>IF(OR(INDEX($V$2:$V$1001,MATCH(ROWS($U$2:U852),$U$2:$U$1001,0),1)&gt;=100000,INDEX($AB$1005:$AQ$1005,1,MATCH(COLUMNS($AB$1006:AC1006),$AB$1006:$AQ$1006,0))&gt;=100000), " ",IF(INDEX($AB$2:$AQ$1001,MATCH(ROWS($U$2:U852),$U$2:$U$1001,0),MATCH(COLUMNS($AB$1006:AC1006),$AB$1006:$AQ$1006,0)), HYPERLINK("#",""), HYPERLINK(CONCATENATE("#Metadata!", ADDRESS(INDEX($W$2:$W$1001,MATCH(ROWS($U$2:U852),$U$2:$U$1001,0),0), INDEX($AB$1004:$AQ$1004,1,MATCH(COLUMNS($AB$1006:AC1006),$AB$1006:$AQ$1006,0)))),"Fix")))</f>
        <v>0</v>
      </c>
      <c r="D852" s="5">
        <f>IF(OR(INDEX($V$2:$V$1001,MATCH(ROWS($U$2:U852),$U$2:$U$1001,0),1)&gt;=100000,INDEX($AB$1005:$AQ$1005,1,MATCH(COLUMNS($AB$1006:AD1006),$AB$1006:$AQ$1006,0))&gt;=100000), " ",IF(INDEX($AB$2:$AQ$1001,MATCH(ROWS($U$2:U852),$U$2:$U$1001,0),MATCH(COLUMNS($AB$1006:AD1006),$AB$1006:$AQ$1006,0)), HYPERLINK("#",""), HYPERLINK(CONCATENATE("#Metadata!", ADDRESS(INDEX($W$2:$W$1001,MATCH(ROWS($U$2:U852),$U$2:$U$1001,0),0), INDEX($AB$1004:$AQ$1004,1,MATCH(COLUMNS($AB$1006:AD1006),$AB$1006:$AQ$1006,0)))),"Fix")))</f>
        <v>0</v>
      </c>
      <c r="E852" s="5">
        <f>IF(OR(INDEX($V$2:$V$1001,MATCH(ROWS($U$2:U852),$U$2:$U$1001,0),1)&gt;=100000,INDEX($AB$1005:$AQ$1005,1,MATCH(COLUMNS($AB$1006:AE1006),$AB$1006:$AQ$1006,0))&gt;=100000), " ",IF(INDEX($AB$2:$AQ$1001,MATCH(ROWS($U$2:U852),$U$2:$U$1001,0),MATCH(COLUMNS($AB$1006:AE1006),$AB$1006:$AQ$1006,0)), HYPERLINK("#",""), HYPERLINK(CONCATENATE("#Metadata!", ADDRESS(INDEX($W$2:$W$1001,MATCH(ROWS($U$2:U852),$U$2:$U$1001,0),0), INDEX($AB$1004:$AQ$1004,1,MATCH(COLUMNS($AB$1006:AE1006),$AB$1006:$AQ$1006,0)))),"Fix")))</f>
        <v>0</v>
      </c>
      <c r="F852" s="5">
        <f>IF(OR(INDEX($V$2:$V$1001,MATCH(ROWS($U$2:U852),$U$2:$U$1001,0),1)&gt;=100000,INDEX($AB$1005:$AQ$1005,1,MATCH(COLUMNS($AB$1006:AF1006),$AB$1006:$AQ$1006,0))&gt;=100000), " ",IF(INDEX($AB$2:$AQ$1001,MATCH(ROWS($U$2:U852),$U$2:$U$1001,0),MATCH(COLUMNS($AB$1006:AF1006),$AB$1006:$AQ$1006,0)), HYPERLINK("#",""), HYPERLINK(CONCATENATE("#Metadata!", ADDRESS(INDEX($W$2:$W$1001,MATCH(ROWS($U$2:U852),$U$2:$U$1001,0),0), INDEX($AB$1004:$AQ$1004,1,MATCH(COLUMNS($AB$1006:AF1006),$AB$1006:$AQ$1006,0)))),"Fix")))</f>
        <v>0</v>
      </c>
      <c r="G852" s="5">
        <f>IF(OR(INDEX($V$2:$V$1001,MATCH(ROWS($U$2:U852),$U$2:$U$1001,0),1)&gt;=100000,INDEX($AB$1005:$AQ$1005,1,MATCH(COLUMNS($AB$1006:AG1006),$AB$1006:$AQ$1006,0))&gt;=100000), " ",IF(INDEX($AB$2:$AQ$1001,MATCH(ROWS($U$2:U852),$U$2:$U$1001,0),MATCH(COLUMNS($AB$1006:AG1006),$AB$1006:$AQ$1006,0)), HYPERLINK("#",""), HYPERLINK(CONCATENATE("#Metadata!", ADDRESS(INDEX($W$2:$W$1001,MATCH(ROWS($U$2:U852),$U$2:$U$1001,0),0), INDEX($AB$1004:$AQ$1004,1,MATCH(COLUMNS($AB$1006:AG1006),$AB$1006:$AQ$1006,0)))),"Fix")))</f>
        <v>0</v>
      </c>
      <c r="H852" s="5">
        <f>IF(OR(INDEX($V$2:$V$1001,MATCH(ROWS($U$2:U852),$U$2:$U$1001,0),1)&gt;=100000,INDEX($AB$1005:$AQ$1005,1,MATCH(COLUMNS($AB$1006:AH1006),$AB$1006:$AQ$1006,0))&gt;=100000), " ",IF(INDEX($AB$2:$AQ$1001,MATCH(ROWS($U$2:U852),$U$2:$U$1001,0),MATCH(COLUMNS($AB$1006:AH1006),$AB$1006:$AQ$1006,0)), HYPERLINK("#",""), HYPERLINK(CONCATENATE("#Metadata!", ADDRESS(INDEX($W$2:$W$1001,MATCH(ROWS($U$2:U852),$U$2:$U$1001,0),0), INDEX($AB$1004:$AQ$1004,1,MATCH(COLUMNS($AB$1006:AH1006),$AB$1006:$AQ$1006,0)))),"Fix")))</f>
        <v>0</v>
      </c>
      <c r="I852" s="5">
        <f>IF(OR(INDEX($V$2:$V$1001,MATCH(ROWS($U$2:U852),$U$2:$U$1001,0),1)&gt;=100000,INDEX($AB$1005:$AQ$1005,1,MATCH(COLUMNS($AB$1006:AI1006),$AB$1006:$AQ$1006,0))&gt;=100000), " ",IF(INDEX($AB$2:$AQ$1001,MATCH(ROWS($U$2:U852),$U$2:$U$1001,0),MATCH(COLUMNS($AB$1006:AI1006),$AB$1006:$AQ$1006,0)), HYPERLINK("#",""), HYPERLINK(CONCATENATE("#Metadata!", ADDRESS(INDEX($W$2:$W$1001,MATCH(ROWS($U$2:U852),$U$2:$U$1001,0),0), INDEX($AB$1004:$AQ$1004,1,MATCH(COLUMNS($AB$1006:AI1006),$AB$1006:$AQ$1006,0)))),"Fix")))</f>
        <v>0</v>
      </c>
      <c r="J852" s="5">
        <f>IF(OR(INDEX($V$2:$V$1001,MATCH(ROWS($U$2:U852),$U$2:$U$1001,0),1)&gt;=100000,INDEX($AB$1005:$AQ$1005,1,MATCH(COLUMNS($AB$1006:AJ1006),$AB$1006:$AQ$1006,0))&gt;=100000), " ",IF(INDEX($AB$2:$AQ$1001,MATCH(ROWS($U$2:U852),$U$2:$U$1001,0),MATCH(COLUMNS($AB$1006:AJ1006),$AB$1006:$AQ$1006,0)), HYPERLINK("#",""), HYPERLINK(CONCATENATE("#Metadata!", ADDRESS(INDEX($W$2:$W$1001,MATCH(ROWS($U$2:U852),$U$2:$U$1001,0),0), INDEX($AB$1004:$AQ$1004,1,MATCH(COLUMNS($AB$1006:AJ1006),$AB$1006:$AQ$1006,0)))),"Fix")))</f>
        <v>0</v>
      </c>
      <c r="K852" s="5">
        <f>IF(OR(INDEX($V$2:$V$1001,MATCH(ROWS($U$2:U852),$U$2:$U$1001,0),1)&gt;=100000,INDEX($AB$1005:$AQ$1005,1,MATCH(COLUMNS($AB$1006:AK1006),$AB$1006:$AQ$1006,0))&gt;=100000), " ",IF(INDEX($AB$2:$AQ$1001,MATCH(ROWS($U$2:U852),$U$2:$U$1001,0),MATCH(COLUMNS($AB$1006:AK1006),$AB$1006:$AQ$1006,0)), HYPERLINK("#",""), HYPERLINK(CONCATENATE("#Metadata!", ADDRESS(INDEX($W$2:$W$1001,MATCH(ROWS($U$2:U852),$U$2:$U$1001,0),0), INDEX($AB$1004:$AQ$1004,1,MATCH(COLUMNS($AB$1006:AK1006),$AB$1006:$AQ$1006,0)))),"Fix")))</f>
        <v>0</v>
      </c>
      <c r="L852" s="5">
        <f>IF(OR(INDEX($V$2:$V$1001,MATCH(ROWS($U$2:U852),$U$2:$U$1001,0),1)&gt;=100000,INDEX($AB$1005:$AQ$1005,1,MATCH(COLUMNS($AB$1006:AL1006),$AB$1006:$AQ$1006,0))&gt;=100000), " ",IF(INDEX($AB$2:$AQ$1001,MATCH(ROWS($U$2:U852),$U$2:$U$1001,0),MATCH(COLUMNS($AB$1006:AL1006),$AB$1006:$AQ$1006,0)), HYPERLINK("#",""), HYPERLINK(CONCATENATE("#Metadata!", ADDRESS(INDEX($W$2:$W$1001,MATCH(ROWS($U$2:U852),$U$2:$U$1001,0),0), INDEX($AB$1004:$AQ$1004,1,MATCH(COLUMNS($AB$1006:AL1006),$AB$1006:$AQ$1006,0)))),"Fix")))</f>
        <v>0</v>
      </c>
      <c r="M852" s="5">
        <f>IF(OR(INDEX($V$2:$V$1001,MATCH(ROWS($U$2:U852),$U$2:$U$1001,0),1)&gt;=100000,INDEX($AB$1005:$AQ$1005,1,MATCH(COLUMNS($AB$1006:AM1006),$AB$1006:$AQ$1006,0))&gt;=100000), " ",IF(INDEX($AB$2:$AQ$1001,MATCH(ROWS($U$2:U852),$U$2:$U$1001,0),MATCH(COLUMNS($AB$1006:AM1006),$AB$1006:$AQ$1006,0)), HYPERLINK("#",""), HYPERLINK(CONCATENATE("#Metadata!", ADDRESS(INDEX($W$2:$W$1001,MATCH(ROWS($U$2:U852),$U$2:$U$1001,0),0), INDEX($AB$1004:$AQ$1004,1,MATCH(COLUMNS($AB$1006:AM1006),$AB$1006:$AQ$1006,0)))),"Fix")))</f>
        <v>0</v>
      </c>
      <c r="N852" s="5">
        <f>IF(OR(INDEX($V$2:$V$1001,MATCH(ROWS($U$2:U852),$U$2:$U$1001,0),1)&gt;=100000,INDEX($AB$1005:$AQ$1005,1,MATCH(COLUMNS($AB$1006:AN1006),$AB$1006:$AQ$1006,0))&gt;=100000), " ",IF(INDEX($AB$2:$AQ$1001,MATCH(ROWS($U$2:U852),$U$2:$U$1001,0),MATCH(COLUMNS($AB$1006:AN1006),$AB$1006:$AQ$1006,0)), HYPERLINK("#",""), HYPERLINK(CONCATENATE("#Metadata!", ADDRESS(INDEX($W$2:$W$1001,MATCH(ROWS($U$2:U852),$U$2:$U$1001,0),0), INDEX($AB$1004:$AQ$1004,1,MATCH(COLUMNS($AB$1006:AN1006),$AB$1006:$AQ$1006,0)))),"Fix")))</f>
        <v>0</v>
      </c>
      <c r="O852" s="5">
        <f>IF(OR(INDEX($V$2:$V$1001,MATCH(ROWS($U$2:U852),$U$2:$U$1001,0),1)&gt;=100000,INDEX($AB$1005:$AQ$1005,1,MATCH(COLUMNS($AB$1006:AO1006),$AB$1006:$AQ$1006,0))&gt;=100000), " ",IF(INDEX($AB$2:$AQ$1001,MATCH(ROWS($U$2:U852),$U$2:$U$1001,0),MATCH(COLUMNS($AB$1006:AO1006),$AB$1006:$AQ$1006,0)), HYPERLINK("#",""), HYPERLINK(CONCATENATE("#Metadata!", ADDRESS(INDEX($W$2:$W$1001,MATCH(ROWS($U$2:U852),$U$2:$U$1001,0),0), INDEX($AB$1004:$AQ$1004,1,MATCH(COLUMNS($AB$1006:AO1006),$AB$1006:$AQ$1006,0)))),"Fix")))</f>
        <v>0</v>
      </c>
      <c r="P852" s="5">
        <f>IF(OR(INDEX($V$2:$V$1001,MATCH(ROWS($U$2:U852),$U$2:$U$1001,0),1)&gt;=100000,INDEX($AB$1005:$AQ$1005,1,MATCH(COLUMNS($AB$1006:AP1006),$AB$1006:$AQ$1006,0))&gt;=100000), " ",IF(INDEX($AB$2:$AQ$1001,MATCH(ROWS($U$2:U852),$U$2:$U$1001,0),MATCH(COLUMNS($AB$1006:AP1006),$AB$1006:$AQ$1006,0)), HYPERLINK("#",""), HYPERLINK(CONCATENATE("#Metadata!", ADDRESS(INDEX($W$2:$W$1001,MATCH(ROWS($U$2:U852),$U$2:$U$1001,0),0), INDEX($AB$1004:$AQ$1004,1,MATCH(COLUMNS($AB$1006:AP1006),$AB$1006:$AQ$1006,0)))),"Fix")))</f>
        <v>0</v>
      </c>
      <c r="Q852" s="5">
        <f>IF(OR(INDEX($V$2:$V$1001,MATCH(ROWS($U$2:U852),$U$2:$U$1001,0),1)&gt;=100000,INDEX($AB$1005:$AQ$1005,1,MATCH(COLUMNS($AB$1006:AQ1006),$AB$1006:$AQ$1006,0))&gt;=100000), " ",IF(INDEX($AB$2:$AQ$1001,MATCH(ROWS($U$2:U852),$U$2:$U$1001,0),MATCH(COLUMNS($AB$1006:AQ1006),$AB$1006:$AQ$1006,0)), HYPERLINK("#",""), HYPERLINK(CONCATENATE("#Metadata!", ADDRESS(INDEX($W$2:$W$1001,MATCH(ROWS($U$2:U852),$U$2:$U$1001,0),0), INDEX($AB$1004:$AQ$1004,1,MATCH(COLUMNS($AB$1006:AQ1006),$AB$1006:$AQ$1006,0)))),"Fix")))</f>
        <v>0</v>
      </c>
      <c r="U852">
        <v>0</v>
      </c>
      <c r="V852">
        <v>0</v>
      </c>
      <c r="W852">
        <v>0</v>
      </c>
      <c r="X852">
        <f>IF(Y852,TRUE,AND(AB852:AQ852))</f>
        <v>0</v>
      </c>
      <c r="Y852">
        <f>COUNTBLANK(Metadata!B852:Q852)=COLUMNS(Metadata!B852:Q852)</f>
        <v>0</v>
      </c>
      <c r="Z852">
        <v>0</v>
      </c>
      <c r="AB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AC852">
        <f>AND(IF(Metadata!C852="",FALSE,TRUE),exact(Metadata!C852,"urban biome"))</f>
        <v>0</v>
      </c>
      <c r="AD852">
        <f>AND(IF(Metadata!D852="",FALSE,TRUE),exact(Metadata!D852,"human-associated habitat"))</f>
        <v>0</v>
      </c>
      <c r="AE852">
        <f>AND(IF(Metadata!E852="",FALSE,TRUE),OR(exact(Metadata!E852,"human-associated"),exact(Metadata!E852,"human-skin"),exact(Metadata!E852,"human-oral"),exact(Metadata!E852,"human-gut"),exact(Metadata!E852,"human-vaginal")))</f>
        <v>0</v>
      </c>
      <c r="AF852">
        <f>AND(IF(Metadata!F852="",FALSE,ISNUMBER(VALUE(Metadata!F852))),Metadata!F852&gt;0)</f>
        <v>0</v>
      </c>
      <c r="AG852">
        <f>AND(IF(Metadata!G852="",FALSE,TRUE),exact(Metadata!G852,"years"))</f>
        <v>0</v>
      </c>
      <c r="AH852">
        <f>OR(AND(IF(Metadata!H852="",FALSE,TRUE),OR(exact(Metadata!H852,"not applicable"),exact(Metadata!H852,"not collected"),exact(Metadata!H852,"not provided"),exact(Metadata!H852,"restricted access"))),AND(IF(Metadata!H852="",FALSE,ISNUMBER(VALUE(Metadata!H852))),Metadata!H852&gt;0))</f>
        <v>0</v>
      </c>
      <c r="AI852">
        <f>AND(IF(Metadata!I852="",FALSE,TRUE),exact(Metadata!I852,"human"))</f>
        <v>0</v>
      </c>
      <c r="AJ852">
        <f>AND(IF(Metadata!J852="",FALSE,ISNUMBER(VALUE(Metadata!J852))),Metadata!J852&gt;0)</f>
        <v>0</v>
      </c>
      <c r="AK852">
        <f>AND(IF(Metadata!K852="",FALSE,TRUE),exact(Metadata!K852,"cm"))</f>
        <v>0</v>
      </c>
      <c r="AL852">
        <f>AND(IF(Metadata!L852="",FALSE,TRUE),exact(Metadata!L852,"Homo sapiens"))</f>
        <v>0</v>
      </c>
      <c r="AM852">
        <f>AND(IF(Metadata!M852="",FALSE,TRUE),exact(Metadata!M852,"9606"))</f>
        <v>0</v>
      </c>
      <c r="AN852">
        <f>AND(IF(Metadata!N852="",FALSE,ISNUMBER(VALUE(Metadata!N852))),Metadata!N852&gt;0)</f>
        <v>0</v>
      </c>
      <c r="AO852">
        <f>AND(IF(Metadata!O852="",FALSE,TRUE),exact(Metadata!O852,"kg"))</f>
        <v>0</v>
      </c>
      <c r="AP852">
        <f>OR(AND(IF(Metadata!P852="",FALSE,TRUE),exact(Metadata!P852,"not provided")),IF(Metadata!P852="",FALSE,TRUE))</f>
        <v>0</v>
      </c>
      <c r="AQ852">
        <f>OR(AND(IF(Metadata!Q852="",FALSE,TRUE),exact(Metadata!Q852,"not provided")),IF(Metadata!Q852="",FALSE,TRUE))</f>
        <v>0</v>
      </c>
    </row>
    <row r="853" spans="1:43">
      <c r="A853" s="4">
        <f>IF(B853=" "," ",HYPERLINK(CONCATENATE("#metadata!",ADDRESS(INDEX($W$2:$W$1001,MATCH(ROWS($U$2:U853),$U$2:$U$1001,0),0),2)),INDEX($Z$2:$Z$1001,MATCH(ROWS($U$2:U853),$U$2:$U$1001,0),0)))</f>
        <v>0</v>
      </c>
      <c r="B853" s="5">
        <f>IF(OR(INDEX($V$2:$V$1001,MATCH(ROWS($U$2:U853),$U$2:$U$1001,0),1)&gt;=100000,INDEX($AB$1005:$AQ$1005,1,MATCH(COLUMNS($AB$1006:AB1006),$AB$1006:$AQ$1006,0))&gt;=100000), " ",IF(INDEX($AB$2:$AQ$1001,MATCH(ROWS($U$2:U853),$U$2:$U$1001,0),MATCH(COLUMNS($AB$1006:AB1006),$AB$1006:$AQ$1006,0)), HYPERLINK("#",""), HYPERLINK(CONCATENATE("#Metadata!", ADDRESS(INDEX($W$2:$W$1001,MATCH(ROWS($U$2:U853),$U$2:$U$1001,0),0), INDEX($AB$1004:$AQ$1004,1,MATCH(COLUMNS($AB$1006:AB1006),$AB$1006:$AQ$1006,0)))),"Fix")))</f>
        <v>0</v>
      </c>
      <c r="C853" s="5">
        <f>IF(OR(INDEX($V$2:$V$1001,MATCH(ROWS($U$2:U853),$U$2:$U$1001,0),1)&gt;=100000,INDEX($AB$1005:$AQ$1005,1,MATCH(COLUMNS($AB$1006:AC1006),$AB$1006:$AQ$1006,0))&gt;=100000), " ",IF(INDEX($AB$2:$AQ$1001,MATCH(ROWS($U$2:U853),$U$2:$U$1001,0),MATCH(COLUMNS($AB$1006:AC1006),$AB$1006:$AQ$1006,0)), HYPERLINK("#",""), HYPERLINK(CONCATENATE("#Metadata!", ADDRESS(INDEX($W$2:$W$1001,MATCH(ROWS($U$2:U853),$U$2:$U$1001,0),0), INDEX($AB$1004:$AQ$1004,1,MATCH(COLUMNS($AB$1006:AC1006),$AB$1006:$AQ$1006,0)))),"Fix")))</f>
        <v>0</v>
      </c>
      <c r="D853" s="5">
        <f>IF(OR(INDEX($V$2:$V$1001,MATCH(ROWS($U$2:U853),$U$2:$U$1001,0),1)&gt;=100000,INDEX($AB$1005:$AQ$1005,1,MATCH(COLUMNS($AB$1006:AD1006),$AB$1006:$AQ$1006,0))&gt;=100000), " ",IF(INDEX($AB$2:$AQ$1001,MATCH(ROWS($U$2:U853),$U$2:$U$1001,0),MATCH(COLUMNS($AB$1006:AD1006),$AB$1006:$AQ$1006,0)), HYPERLINK("#",""), HYPERLINK(CONCATENATE("#Metadata!", ADDRESS(INDEX($W$2:$W$1001,MATCH(ROWS($U$2:U853),$U$2:$U$1001,0),0), INDEX($AB$1004:$AQ$1004,1,MATCH(COLUMNS($AB$1006:AD1006),$AB$1006:$AQ$1006,0)))),"Fix")))</f>
        <v>0</v>
      </c>
      <c r="E853" s="5">
        <f>IF(OR(INDEX($V$2:$V$1001,MATCH(ROWS($U$2:U853),$U$2:$U$1001,0),1)&gt;=100000,INDEX($AB$1005:$AQ$1005,1,MATCH(COLUMNS($AB$1006:AE1006),$AB$1006:$AQ$1006,0))&gt;=100000), " ",IF(INDEX($AB$2:$AQ$1001,MATCH(ROWS($U$2:U853),$U$2:$U$1001,0),MATCH(COLUMNS($AB$1006:AE1006),$AB$1006:$AQ$1006,0)), HYPERLINK("#",""), HYPERLINK(CONCATENATE("#Metadata!", ADDRESS(INDEX($W$2:$W$1001,MATCH(ROWS($U$2:U853),$U$2:$U$1001,0),0), INDEX($AB$1004:$AQ$1004,1,MATCH(COLUMNS($AB$1006:AE1006),$AB$1006:$AQ$1006,0)))),"Fix")))</f>
        <v>0</v>
      </c>
      <c r="F853" s="5">
        <f>IF(OR(INDEX($V$2:$V$1001,MATCH(ROWS($U$2:U853),$U$2:$U$1001,0),1)&gt;=100000,INDEX($AB$1005:$AQ$1005,1,MATCH(COLUMNS($AB$1006:AF1006),$AB$1006:$AQ$1006,0))&gt;=100000), " ",IF(INDEX($AB$2:$AQ$1001,MATCH(ROWS($U$2:U853),$U$2:$U$1001,0),MATCH(COLUMNS($AB$1006:AF1006),$AB$1006:$AQ$1006,0)), HYPERLINK("#",""), HYPERLINK(CONCATENATE("#Metadata!", ADDRESS(INDEX($W$2:$W$1001,MATCH(ROWS($U$2:U853),$U$2:$U$1001,0),0), INDEX($AB$1004:$AQ$1004,1,MATCH(COLUMNS($AB$1006:AF1006),$AB$1006:$AQ$1006,0)))),"Fix")))</f>
        <v>0</v>
      </c>
      <c r="G853" s="5">
        <f>IF(OR(INDEX($V$2:$V$1001,MATCH(ROWS($U$2:U853),$U$2:$U$1001,0),1)&gt;=100000,INDEX($AB$1005:$AQ$1005,1,MATCH(COLUMNS($AB$1006:AG1006),$AB$1006:$AQ$1006,0))&gt;=100000), " ",IF(INDEX($AB$2:$AQ$1001,MATCH(ROWS($U$2:U853),$U$2:$U$1001,0),MATCH(COLUMNS($AB$1006:AG1006),$AB$1006:$AQ$1006,0)), HYPERLINK("#",""), HYPERLINK(CONCATENATE("#Metadata!", ADDRESS(INDEX($W$2:$W$1001,MATCH(ROWS($U$2:U853),$U$2:$U$1001,0),0), INDEX($AB$1004:$AQ$1004,1,MATCH(COLUMNS($AB$1006:AG1006),$AB$1006:$AQ$1006,0)))),"Fix")))</f>
        <v>0</v>
      </c>
      <c r="H853" s="5">
        <f>IF(OR(INDEX($V$2:$V$1001,MATCH(ROWS($U$2:U853),$U$2:$U$1001,0),1)&gt;=100000,INDEX($AB$1005:$AQ$1005,1,MATCH(COLUMNS($AB$1006:AH1006),$AB$1006:$AQ$1006,0))&gt;=100000), " ",IF(INDEX($AB$2:$AQ$1001,MATCH(ROWS($U$2:U853),$U$2:$U$1001,0),MATCH(COLUMNS($AB$1006:AH1006),$AB$1006:$AQ$1006,0)), HYPERLINK("#",""), HYPERLINK(CONCATENATE("#Metadata!", ADDRESS(INDEX($W$2:$W$1001,MATCH(ROWS($U$2:U853),$U$2:$U$1001,0),0), INDEX($AB$1004:$AQ$1004,1,MATCH(COLUMNS($AB$1006:AH1006),$AB$1006:$AQ$1006,0)))),"Fix")))</f>
        <v>0</v>
      </c>
      <c r="I853" s="5">
        <f>IF(OR(INDEX($V$2:$V$1001,MATCH(ROWS($U$2:U853),$U$2:$U$1001,0),1)&gt;=100000,INDEX($AB$1005:$AQ$1005,1,MATCH(COLUMNS($AB$1006:AI1006),$AB$1006:$AQ$1006,0))&gt;=100000), " ",IF(INDEX($AB$2:$AQ$1001,MATCH(ROWS($U$2:U853),$U$2:$U$1001,0),MATCH(COLUMNS($AB$1006:AI1006),$AB$1006:$AQ$1006,0)), HYPERLINK("#",""), HYPERLINK(CONCATENATE("#Metadata!", ADDRESS(INDEX($W$2:$W$1001,MATCH(ROWS($U$2:U853),$U$2:$U$1001,0),0), INDEX($AB$1004:$AQ$1004,1,MATCH(COLUMNS($AB$1006:AI1006),$AB$1006:$AQ$1006,0)))),"Fix")))</f>
        <v>0</v>
      </c>
      <c r="J853" s="5">
        <f>IF(OR(INDEX($V$2:$V$1001,MATCH(ROWS($U$2:U853),$U$2:$U$1001,0),1)&gt;=100000,INDEX($AB$1005:$AQ$1005,1,MATCH(COLUMNS($AB$1006:AJ1006),$AB$1006:$AQ$1006,0))&gt;=100000), " ",IF(INDEX($AB$2:$AQ$1001,MATCH(ROWS($U$2:U853),$U$2:$U$1001,0),MATCH(COLUMNS($AB$1006:AJ1006),$AB$1006:$AQ$1006,0)), HYPERLINK("#",""), HYPERLINK(CONCATENATE("#Metadata!", ADDRESS(INDEX($W$2:$W$1001,MATCH(ROWS($U$2:U853),$U$2:$U$1001,0),0), INDEX($AB$1004:$AQ$1004,1,MATCH(COLUMNS($AB$1006:AJ1006),$AB$1006:$AQ$1006,0)))),"Fix")))</f>
        <v>0</v>
      </c>
      <c r="K853" s="5">
        <f>IF(OR(INDEX($V$2:$V$1001,MATCH(ROWS($U$2:U853),$U$2:$U$1001,0),1)&gt;=100000,INDEX($AB$1005:$AQ$1005,1,MATCH(COLUMNS($AB$1006:AK1006),$AB$1006:$AQ$1006,0))&gt;=100000), " ",IF(INDEX($AB$2:$AQ$1001,MATCH(ROWS($U$2:U853),$U$2:$U$1001,0),MATCH(COLUMNS($AB$1006:AK1006),$AB$1006:$AQ$1006,0)), HYPERLINK("#",""), HYPERLINK(CONCATENATE("#Metadata!", ADDRESS(INDEX($W$2:$W$1001,MATCH(ROWS($U$2:U853),$U$2:$U$1001,0),0), INDEX($AB$1004:$AQ$1004,1,MATCH(COLUMNS($AB$1006:AK1006),$AB$1006:$AQ$1006,0)))),"Fix")))</f>
        <v>0</v>
      </c>
      <c r="L853" s="5">
        <f>IF(OR(INDEX($V$2:$V$1001,MATCH(ROWS($U$2:U853),$U$2:$U$1001,0),1)&gt;=100000,INDEX($AB$1005:$AQ$1005,1,MATCH(COLUMNS($AB$1006:AL1006),$AB$1006:$AQ$1006,0))&gt;=100000), " ",IF(INDEX($AB$2:$AQ$1001,MATCH(ROWS($U$2:U853),$U$2:$U$1001,0),MATCH(COLUMNS($AB$1006:AL1006),$AB$1006:$AQ$1006,0)), HYPERLINK("#",""), HYPERLINK(CONCATENATE("#Metadata!", ADDRESS(INDEX($W$2:$W$1001,MATCH(ROWS($U$2:U853),$U$2:$U$1001,0),0), INDEX($AB$1004:$AQ$1004,1,MATCH(COLUMNS($AB$1006:AL1006),$AB$1006:$AQ$1006,0)))),"Fix")))</f>
        <v>0</v>
      </c>
      <c r="M853" s="5">
        <f>IF(OR(INDEX($V$2:$V$1001,MATCH(ROWS($U$2:U853),$U$2:$U$1001,0),1)&gt;=100000,INDEX($AB$1005:$AQ$1005,1,MATCH(COLUMNS($AB$1006:AM1006),$AB$1006:$AQ$1006,0))&gt;=100000), " ",IF(INDEX($AB$2:$AQ$1001,MATCH(ROWS($U$2:U853),$U$2:$U$1001,0),MATCH(COLUMNS($AB$1006:AM1006),$AB$1006:$AQ$1006,0)), HYPERLINK("#",""), HYPERLINK(CONCATENATE("#Metadata!", ADDRESS(INDEX($W$2:$W$1001,MATCH(ROWS($U$2:U853),$U$2:$U$1001,0),0), INDEX($AB$1004:$AQ$1004,1,MATCH(COLUMNS($AB$1006:AM1006),$AB$1006:$AQ$1006,0)))),"Fix")))</f>
        <v>0</v>
      </c>
      <c r="N853" s="5">
        <f>IF(OR(INDEX($V$2:$V$1001,MATCH(ROWS($U$2:U853),$U$2:$U$1001,0),1)&gt;=100000,INDEX($AB$1005:$AQ$1005,1,MATCH(COLUMNS($AB$1006:AN1006),$AB$1006:$AQ$1006,0))&gt;=100000), " ",IF(INDEX($AB$2:$AQ$1001,MATCH(ROWS($U$2:U853),$U$2:$U$1001,0),MATCH(COLUMNS($AB$1006:AN1006),$AB$1006:$AQ$1006,0)), HYPERLINK("#",""), HYPERLINK(CONCATENATE("#Metadata!", ADDRESS(INDEX($W$2:$W$1001,MATCH(ROWS($U$2:U853),$U$2:$U$1001,0),0), INDEX($AB$1004:$AQ$1004,1,MATCH(COLUMNS($AB$1006:AN1006),$AB$1006:$AQ$1006,0)))),"Fix")))</f>
        <v>0</v>
      </c>
      <c r="O853" s="5">
        <f>IF(OR(INDEX($V$2:$V$1001,MATCH(ROWS($U$2:U853),$U$2:$U$1001,0),1)&gt;=100000,INDEX($AB$1005:$AQ$1005,1,MATCH(COLUMNS($AB$1006:AO1006),$AB$1006:$AQ$1006,0))&gt;=100000), " ",IF(INDEX($AB$2:$AQ$1001,MATCH(ROWS($U$2:U853),$U$2:$U$1001,0),MATCH(COLUMNS($AB$1006:AO1006),$AB$1006:$AQ$1006,0)), HYPERLINK("#",""), HYPERLINK(CONCATENATE("#Metadata!", ADDRESS(INDEX($W$2:$W$1001,MATCH(ROWS($U$2:U853),$U$2:$U$1001,0),0), INDEX($AB$1004:$AQ$1004,1,MATCH(COLUMNS($AB$1006:AO1006),$AB$1006:$AQ$1006,0)))),"Fix")))</f>
        <v>0</v>
      </c>
      <c r="P853" s="5">
        <f>IF(OR(INDEX($V$2:$V$1001,MATCH(ROWS($U$2:U853),$U$2:$U$1001,0),1)&gt;=100000,INDEX($AB$1005:$AQ$1005,1,MATCH(COLUMNS($AB$1006:AP1006),$AB$1006:$AQ$1006,0))&gt;=100000), " ",IF(INDEX($AB$2:$AQ$1001,MATCH(ROWS($U$2:U853),$U$2:$U$1001,0),MATCH(COLUMNS($AB$1006:AP1006),$AB$1006:$AQ$1006,0)), HYPERLINK("#",""), HYPERLINK(CONCATENATE("#Metadata!", ADDRESS(INDEX($W$2:$W$1001,MATCH(ROWS($U$2:U853),$U$2:$U$1001,0),0), INDEX($AB$1004:$AQ$1004,1,MATCH(COLUMNS($AB$1006:AP1006),$AB$1006:$AQ$1006,0)))),"Fix")))</f>
        <v>0</v>
      </c>
      <c r="Q853" s="5">
        <f>IF(OR(INDEX($V$2:$V$1001,MATCH(ROWS($U$2:U853),$U$2:$U$1001,0),1)&gt;=100000,INDEX($AB$1005:$AQ$1005,1,MATCH(COLUMNS($AB$1006:AQ1006),$AB$1006:$AQ$1006,0))&gt;=100000), " ",IF(INDEX($AB$2:$AQ$1001,MATCH(ROWS($U$2:U853),$U$2:$U$1001,0),MATCH(COLUMNS($AB$1006:AQ1006),$AB$1006:$AQ$1006,0)), HYPERLINK("#",""), HYPERLINK(CONCATENATE("#Metadata!", ADDRESS(INDEX($W$2:$W$1001,MATCH(ROWS($U$2:U853),$U$2:$U$1001,0),0), INDEX($AB$1004:$AQ$1004,1,MATCH(COLUMNS($AB$1006:AQ1006),$AB$1006:$AQ$1006,0)))),"Fix")))</f>
        <v>0</v>
      </c>
      <c r="U853">
        <v>0</v>
      </c>
      <c r="V853">
        <v>0</v>
      </c>
      <c r="W853">
        <v>0</v>
      </c>
      <c r="X853">
        <f>IF(Y853,TRUE,AND(AB853:AQ853))</f>
        <v>0</v>
      </c>
      <c r="Y853">
        <f>COUNTBLANK(Metadata!B853:Q853)=COLUMNS(Metadata!B853:Q853)</f>
        <v>0</v>
      </c>
      <c r="Z853">
        <v>0</v>
      </c>
      <c r="AB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AC853">
        <f>AND(IF(Metadata!C853="",FALSE,TRUE),exact(Metadata!C853,"urban biome"))</f>
        <v>0</v>
      </c>
      <c r="AD853">
        <f>AND(IF(Metadata!D853="",FALSE,TRUE),exact(Metadata!D853,"human-associated habitat"))</f>
        <v>0</v>
      </c>
      <c r="AE853">
        <f>AND(IF(Metadata!E853="",FALSE,TRUE),OR(exact(Metadata!E853,"human-associated"),exact(Metadata!E853,"human-skin"),exact(Metadata!E853,"human-oral"),exact(Metadata!E853,"human-gut"),exact(Metadata!E853,"human-vaginal")))</f>
        <v>0</v>
      </c>
      <c r="AF853">
        <f>AND(IF(Metadata!F853="",FALSE,ISNUMBER(VALUE(Metadata!F853))),Metadata!F853&gt;0)</f>
        <v>0</v>
      </c>
      <c r="AG853">
        <f>AND(IF(Metadata!G853="",FALSE,TRUE),exact(Metadata!G853,"years"))</f>
        <v>0</v>
      </c>
      <c r="AH853">
        <f>OR(AND(IF(Metadata!H853="",FALSE,TRUE),OR(exact(Metadata!H853,"not applicable"),exact(Metadata!H853,"not collected"),exact(Metadata!H853,"not provided"),exact(Metadata!H853,"restricted access"))),AND(IF(Metadata!H853="",FALSE,ISNUMBER(VALUE(Metadata!H853))),Metadata!H853&gt;0))</f>
        <v>0</v>
      </c>
      <c r="AI853">
        <f>AND(IF(Metadata!I853="",FALSE,TRUE),exact(Metadata!I853,"human"))</f>
        <v>0</v>
      </c>
      <c r="AJ853">
        <f>AND(IF(Metadata!J853="",FALSE,ISNUMBER(VALUE(Metadata!J853))),Metadata!J853&gt;0)</f>
        <v>0</v>
      </c>
      <c r="AK853">
        <f>AND(IF(Metadata!K853="",FALSE,TRUE),exact(Metadata!K853,"cm"))</f>
        <v>0</v>
      </c>
      <c r="AL853">
        <f>AND(IF(Metadata!L853="",FALSE,TRUE),exact(Metadata!L853,"Homo sapiens"))</f>
        <v>0</v>
      </c>
      <c r="AM853">
        <f>AND(IF(Metadata!M853="",FALSE,TRUE),exact(Metadata!M853,"9606"))</f>
        <v>0</v>
      </c>
      <c r="AN853">
        <f>AND(IF(Metadata!N853="",FALSE,ISNUMBER(VALUE(Metadata!N853))),Metadata!N853&gt;0)</f>
        <v>0</v>
      </c>
      <c r="AO853">
        <f>AND(IF(Metadata!O853="",FALSE,TRUE),exact(Metadata!O853,"kg"))</f>
        <v>0</v>
      </c>
      <c r="AP853">
        <f>OR(AND(IF(Metadata!P853="",FALSE,TRUE),exact(Metadata!P853,"not provided")),IF(Metadata!P853="",FALSE,TRUE))</f>
        <v>0</v>
      </c>
      <c r="AQ853">
        <f>OR(AND(IF(Metadata!Q853="",FALSE,TRUE),exact(Metadata!Q853,"not provided")),IF(Metadata!Q853="",FALSE,TRUE))</f>
        <v>0</v>
      </c>
    </row>
    <row r="854" spans="1:43">
      <c r="A854" s="4">
        <f>IF(B854=" "," ",HYPERLINK(CONCATENATE("#metadata!",ADDRESS(INDEX($W$2:$W$1001,MATCH(ROWS($U$2:U854),$U$2:$U$1001,0),0),2)),INDEX($Z$2:$Z$1001,MATCH(ROWS($U$2:U854),$U$2:$U$1001,0),0)))</f>
        <v>0</v>
      </c>
      <c r="B854" s="5">
        <f>IF(OR(INDEX($V$2:$V$1001,MATCH(ROWS($U$2:U854),$U$2:$U$1001,0),1)&gt;=100000,INDEX($AB$1005:$AQ$1005,1,MATCH(COLUMNS($AB$1006:AB1006),$AB$1006:$AQ$1006,0))&gt;=100000), " ",IF(INDEX($AB$2:$AQ$1001,MATCH(ROWS($U$2:U854),$U$2:$U$1001,0),MATCH(COLUMNS($AB$1006:AB1006),$AB$1006:$AQ$1006,0)), HYPERLINK("#",""), HYPERLINK(CONCATENATE("#Metadata!", ADDRESS(INDEX($W$2:$W$1001,MATCH(ROWS($U$2:U854),$U$2:$U$1001,0),0), INDEX($AB$1004:$AQ$1004,1,MATCH(COLUMNS($AB$1006:AB1006),$AB$1006:$AQ$1006,0)))),"Fix")))</f>
        <v>0</v>
      </c>
      <c r="C854" s="5">
        <f>IF(OR(INDEX($V$2:$V$1001,MATCH(ROWS($U$2:U854),$U$2:$U$1001,0),1)&gt;=100000,INDEX($AB$1005:$AQ$1005,1,MATCH(COLUMNS($AB$1006:AC1006),$AB$1006:$AQ$1006,0))&gt;=100000), " ",IF(INDEX($AB$2:$AQ$1001,MATCH(ROWS($U$2:U854),$U$2:$U$1001,0),MATCH(COLUMNS($AB$1006:AC1006),$AB$1006:$AQ$1006,0)), HYPERLINK("#",""), HYPERLINK(CONCATENATE("#Metadata!", ADDRESS(INDEX($W$2:$W$1001,MATCH(ROWS($U$2:U854),$U$2:$U$1001,0),0), INDEX($AB$1004:$AQ$1004,1,MATCH(COLUMNS($AB$1006:AC1006),$AB$1006:$AQ$1006,0)))),"Fix")))</f>
        <v>0</v>
      </c>
      <c r="D854" s="5">
        <f>IF(OR(INDEX($V$2:$V$1001,MATCH(ROWS($U$2:U854),$U$2:$U$1001,0),1)&gt;=100000,INDEX($AB$1005:$AQ$1005,1,MATCH(COLUMNS($AB$1006:AD1006),$AB$1006:$AQ$1006,0))&gt;=100000), " ",IF(INDEX($AB$2:$AQ$1001,MATCH(ROWS($U$2:U854),$U$2:$U$1001,0),MATCH(COLUMNS($AB$1006:AD1006),$AB$1006:$AQ$1006,0)), HYPERLINK("#",""), HYPERLINK(CONCATENATE("#Metadata!", ADDRESS(INDEX($W$2:$W$1001,MATCH(ROWS($U$2:U854),$U$2:$U$1001,0),0), INDEX($AB$1004:$AQ$1004,1,MATCH(COLUMNS($AB$1006:AD1006),$AB$1006:$AQ$1006,0)))),"Fix")))</f>
        <v>0</v>
      </c>
      <c r="E854" s="5">
        <f>IF(OR(INDEX($V$2:$V$1001,MATCH(ROWS($U$2:U854),$U$2:$U$1001,0),1)&gt;=100000,INDEX($AB$1005:$AQ$1005,1,MATCH(COLUMNS($AB$1006:AE1006),$AB$1006:$AQ$1006,0))&gt;=100000), " ",IF(INDEX($AB$2:$AQ$1001,MATCH(ROWS($U$2:U854),$U$2:$U$1001,0),MATCH(COLUMNS($AB$1006:AE1006),$AB$1006:$AQ$1006,0)), HYPERLINK("#",""), HYPERLINK(CONCATENATE("#Metadata!", ADDRESS(INDEX($W$2:$W$1001,MATCH(ROWS($U$2:U854),$U$2:$U$1001,0),0), INDEX($AB$1004:$AQ$1004,1,MATCH(COLUMNS($AB$1006:AE1006),$AB$1006:$AQ$1006,0)))),"Fix")))</f>
        <v>0</v>
      </c>
      <c r="F854" s="5">
        <f>IF(OR(INDEX($V$2:$V$1001,MATCH(ROWS($U$2:U854),$U$2:$U$1001,0),1)&gt;=100000,INDEX($AB$1005:$AQ$1005,1,MATCH(COLUMNS($AB$1006:AF1006),$AB$1006:$AQ$1006,0))&gt;=100000), " ",IF(INDEX($AB$2:$AQ$1001,MATCH(ROWS($U$2:U854),$U$2:$U$1001,0),MATCH(COLUMNS($AB$1006:AF1006),$AB$1006:$AQ$1006,0)), HYPERLINK("#",""), HYPERLINK(CONCATENATE("#Metadata!", ADDRESS(INDEX($W$2:$W$1001,MATCH(ROWS($U$2:U854),$U$2:$U$1001,0),0), INDEX($AB$1004:$AQ$1004,1,MATCH(COLUMNS($AB$1006:AF1006),$AB$1006:$AQ$1006,0)))),"Fix")))</f>
        <v>0</v>
      </c>
      <c r="G854" s="5">
        <f>IF(OR(INDEX($V$2:$V$1001,MATCH(ROWS($U$2:U854),$U$2:$U$1001,0),1)&gt;=100000,INDEX($AB$1005:$AQ$1005,1,MATCH(COLUMNS($AB$1006:AG1006),$AB$1006:$AQ$1006,0))&gt;=100000), " ",IF(INDEX($AB$2:$AQ$1001,MATCH(ROWS($U$2:U854),$U$2:$U$1001,0),MATCH(COLUMNS($AB$1006:AG1006),$AB$1006:$AQ$1006,0)), HYPERLINK("#",""), HYPERLINK(CONCATENATE("#Metadata!", ADDRESS(INDEX($W$2:$W$1001,MATCH(ROWS($U$2:U854),$U$2:$U$1001,0),0), INDEX($AB$1004:$AQ$1004,1,MATCH(COLUMNS($AB$1006:AG1006),$AB$1006:$AQ$1006,0)))),"Fix")))</f>
        <v>0</v>
      </c>
      <c r="H854" s="5">
        <f>IF(OR(INDEX($V$2:$V$1001,MATCH(ROWS($U$2:U854),$U$2:$U$1001,0),1)&gt;=100000,INDEX($AB$1005:$AQ$1005,1,MATCH(COLUMNS($AB$1006:AH1006),$AB$1006:$AQ$1006,0))&gt;=100000), " ",IF(INDEX($AB$2:$AQ$1001,MATCH(ROWS($U$2:U854),$U$2:$U$1001,0),MATCH(COLUMNS($AB$1006:AH1006),$AB$1006:$AQ$1006,0)), HYPERLINK("#",""), HYPERLINK(CONCATENATE("#Metadata!", ADDRESS(INDEX($W$2:$W$1001,MATCH(ROWS($U$2:U854),$U$2:$U$1001,0),0), INDEX($AB$1004:$AQ$1004,1,MATCH(COLUMNS($AB$1006:AH1006),$AB$1006:$AQ$1006,0)))),"Fix")))</f>
        <v>0</v>
      </c>
      <c r="I854" s="5">
        <f>IF(OR(INDEX($V$2:$V$1001,MATCH(ROWS($U$2:U854),$U$2:$U$1001,0),1)&gt;=100000,INDEX($AB$1005:$AQ$1005,1,MATCH(COLUMNS($AB$1006:AI1006),$AB$1006:$AQ$1006,0))&gt;=100000), " ",IF(INDEX($AB$2:$AQ$1001,MATCH(ROWS($U$2:U854),$U$2:$U$1001,0),MATCH(COLUMNS($AB$1006:AI1006),$AB$1006:$AQ$1006,0)), HYPERLINK("#",""), HYPERLINK(CONCATENATE("#Metadata!", ADDRESS(INDEX($W$2:$W$1001,MATCH(ROWS($U$2:U854),$U$2:$U$1001,0),0), INDEX($AB$1004:$AQ$1004,1,MATCH(COLUMNS($AB$1006:AI1006),$AB$1006:$AQ$1006,0)))),"Fix")))</f>
        <v>0</v>
      </c>
      <c r="J854" s="5">
        <f>IF(OR(INDEX($V$2:$V$1001,MATCH(ROWS($U$2:U854),$U$2:$U$1001,0),1)&gt;=100000,INDEX($AB$1005:$AQ$1005,1,MATCH(COLUMNS($AB$1006:AJ1006),$AB$1006:$AQ$1006,0))&gt;=100000), " ",IF(INDEX($AB$2:$AQ$1001,MATCH(ROWS($U$2:U854),$U$2:$U$1001,0),MATCH(COLUMNS($AB$1006:AJ1006),$AB$1006:$AQ$1006,0)), HYPERLINK("#",""), HYPERLINK(CONCATENATE("#Metadata!", ADDRESS(INDEX($W$2:$W$1001,MATCH(ROWS($U$2:U854),$U$2:$U$1001,0),0), INDEX($AB$1004:$AQ$1004,1,MATCH(COLUMNS($AB$1006:AJ1006),$AB$1006:$AQ$1006,0)))),"Fix")))</f>
        <v>0</v>
      </c>
      <c r="K854" s="5">
        <f>IF(OR(INDEX($V$2:$V$1001,MATCH(ROWS($U$2:U854),$U$2:$U$1001,0),1)&gt;=100000,INDEX($AB$1005:$AQ$1005,1,MATCH(COLUMNS($AB$1006:AK1006),$AB$1006:$AQ$1006,0))&gt;=100000), " ",IF(INDEX($AB$2:$AQ$1001,MATCH(ROWS($U$2:U854),$U$2:$U$1001,0),MATCH(COLUMNS($AB$1006:AK1006),$AB$1006:$AQ$1006,0)), HYPERLINK("#",""), HYPERLINK(CONCATENATE("#Metadata!", ADDRESS(INDEX($W$2:$W$1001,MATCH(ROWS($U$2:U854),$U$2:$U$1001,0),0), INDEX($AB$1004:$AQ$1004,1,MATCH(COLUMNS($AB$1006:AK1006),$AB$1006:$AQ$1006,0)))),"Fix")))</f>
        <v>0</v>
      </c>
      <c r="L854" s="5">
        <f>IF(OR(INDEX($V$2:$V$1001,MATCH(ROWS($U$2:U854),$U$2:$U$1001,0),1)&gt;=100000,INDEX($AB$1005:$AQ$1005,1,MATCH(COLUMNS($AB$1006:AL1006),$AB$1006:$AQ$1006,0))&gt;=100000), " ",IF(INDEX($AB$2:$AQ$1001,MATCH(ROWS($U$2:U854),$U$2:$U$1001,0),MATCH(COLUMNS($AB$1006:AL1006),$AB$1006:$AQ$1006,0)), HYPERLINK("#",""), HYPERLINK(CONCATENATE("#Metadata!", ADDRESS(INDEX($W$2:$W$1001,MATCH(ROWS($U$2:U854),$U$2:$U$1001,0),0), INDEX($AB$1004:$AQ$1004,1,MATCH(COLUMNS($AB$1006:AL1006),$AB$1006:$AQ$1006,0)))),"Fix")))</f>
        <v>0</v>
      </c>
      <c r="M854" s="5">
        <f>IF(OR(INDEX($V$2:$V$1001,MATCH(ROWS($U$2:U854),$U$2:$U$1001,0),1)&gt;=100000,INDEX($AB$1005:$AQ$1005,1,MATCH(COLUMNS($AB$1006:AM1006),$AB$1006:$AQ$1006,0))&gt;=100000), " ",IF(INDEX($AB$2:$AQ$1001,MATCH(ROWS($U$2:U854),$U$2:$U$1001,0),MATCH(COLUMNS($AB$1006:AM1006),$AB$1006:$AQ$1006,0)), HYPERLINK("#",""), HYPERLINK(CONCATENATE("#Metadata!", ADDRESS(INDEX($W$2:$W$1001,MATCH(ROWS($U$2:U854),$U$2:$U$1001,0),0), INDEX($AB$1004:$AQ$1004,1,MATCH(COLUMNS($AB$1006:AM1006),$AB$1006:$AQ$1006,0)))),"Fix")))</f>
        <v>0</v>
      </c>
      <c r="N854" s="5">
        <f>IF(OR(INDEX($V$2:$V$1001,MATCH(ROWS($U$2:U854),$U$2:$U$1001,0),1)&gt;=100000,INDEX($AB$1005:$AQ$1005,1,MATCH(COLUMNS($AB$1006:AN1006),$AB$1006:$AQ$1006,0))&gt;=100000), " ",IF(INDEX($AB$2:$AQ$1001,MATCH(ROWS($U$2:U854),$U$2:$U$1001,0),MATCH(COLUMNS($AB$1006:AN1006),$AB$1006:$AQ$1006,0)), HYPERLINK("#",""), HYPERLINK(CONCATENATE("#Metadata!", ADDRESS(INDEX($W$2:$W$1001,MATCH(ROWS($U$2:U854),$U$2:$U$1001,0),0), INDEX($AB$1004:$AQ$1004,1,MATCH(COLUMNS($AB$1006:AN1006),$AB$1006:$AQ$1006,0)))),"Fix")))</f>
        <v>0</v>
      </c>
      <c r="O854" s="5">
        <f>IF(OR(INDEX($V$2:$V$1001,MATCH(ROWS($U$2:U854),$U$2:$U$1001,0),1)&gt;=100000,INDEX($AB$1005:$AQ$1005,1,MATCH(COLUMNS($AB$1006:AO1006),$AB$1006:$AQ$1006,0))&gt;=100000), " ",IF(INDEX($AB$2:$AQ$1001,MATCH(ROWS($U$2:U854),$U$2:$U$1001,0),MATCH(COLUMNS($AB$1006:AO1006),$AB$1006:$AQ$1006,0)), HYPERLINK("#",""), HYPERLINK(CONCATENATE("#Metadata!", ADDRESS(INDEX($W$2:$W$1001,MATCH(ROWS($U$2:U854),$U$2:$U$1001,0),0), INDEX($AB$1004:$AQ$1004,1,MATCH(COLUMNS($AB$1006:AO1006),$AB$1006:$AQ$1006,0)))),"Fix")))</f>
        <v>0</v>
      </c>
      <c r="P854" s="5">
        <f>IF(OR(INDEX($V$2:$V$1001,MATCH(ROWS($U$2:U854),$U$2:$U$1001,0),1)&gt;=100000,INDEX($AB$1005:$AQ$1005,1,MATCH(COLUMNS($AB$1006:AP1006),$AB$1006:$AQ$1006,0))&gt;=100000), " ",IF(INDEX($AB$2:$AQ$1001,MATCH(ROWS($U$2:U854),$U$2:$U$1001,0),MATCH(COLUMNS($AB$1006:AP1006),$AB$1006:$AQ$1006,0)), HYPERLINK("#",""), HYPERLINK(CONCATENATE("#Metadata!", ADDRESS(INDEX($W$2:$W$1001,MATCH(ROWS($U$2:U854),$U$2:$U$1001,0),0), INDEX($AB$1004:$AQ$1004,1,MATCH(COLUMNS($AB$1006:AP1006),$AB$1006:$AQ$1006,0)))),"Fix")))</f>
        <v>0</v>
      </c>
      <c r="Q854" s="5">
        <f>IF(OR(INDEX($V$2:$V$1001,MATCH(ROWS($U$2:U854),$U$2:$U$1001,0),1)&gt;=100000,INDEX($AB$1005:$AQ$1005,1,MATCH(COLUMNS($AB$1006:AQ1006),$AB$1006:$AQ$1006,0))&gt;=100000), " ",IF(INDEX($AB$2:$AQ$1001,MATCH(ROWS($U$2:U854),$U$2:$U$1001,0),MATCH(COLUMNS($AB$1006:AQ1006),$AB$1006:$AQ$1006,0)), HYPERLINK("#",""), HYPERLINK(CONCATENATE("#Metadata!", ADDRESS(INDEX($W$2:$W$1001,MATCH(ROWS($U$2:U854),$U$2:$U$1001,0),0), INDEX($AB$1004:$AQ$1004,1,MATCH(COLUMNS($AB$1006:AQ1006),$AB$1006:$AQ$1006,0)))),"Fix")))</f>
        <v>0</v>
      </c>
      <c r="U854">
        <v>0</v>
      </c>
      <c r="V854">
        <v>0</v>
      </c>
      <c r="W854">
        <v>0</v>
      </c>
      <c r="X854">
        <f>IF(Y854,TRUE,AND(AB854:AQ854))</f>
        <v>0</v>
      </c>
      <c r="Y854">
        <f>COUNTBLANK(Metadata!B854:Q854)=COLUMNS(Metadata!B854:Q854)</f>
        <v>0</v>
      </c>
      <c r="Z854">
        <v>0</v>
      </c>
      <c r="AB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AC854">
        <f>AND(IF(Metadata!C854="",FALSE,TRUE),exact(Metadata!C854,"urban biome"))</f>
        <v>0</v>
      </c>
      <c r="AD854">
        <f>AND(IF(Metadata!D854="",FALSE,TRUE),exact(Metadata!D854,"human-associated habitat"))</f>
        <v>0</v>
      </c>
      <c r="AE854">
        <f>AND(IF(Metadata!E854="",FALSE,TRUE),OR(exact(Metadata!E854,"human-associated"),exact(Metadata!E854,"human-skin"),exact(Metadata!E854,"human-oral"),exact(Metadata!E854,"human-gut"),exact(Metadata!E854,"human-vaginal")))</f>
        <v>0</v>
      </c>
      <c r="AF854">
        <f>AND(IF(Metadata!F854="",FALSE,ISNUMBER(VALUE(Metadata!F854))),Metadata!F854&gt;0)</f>
        <v>0</v>
      </c>
      <c r="AG854">
        <f>AND(IF(Metadata!G854="",FALSE,TRUE),exact(Metadata!G854,"years"))</f>
        <v>0</v>
      </c>
      <c r="AH854">
        <f>OR(AND(IF(Metadata!H854="",FALSE,TRUE),OR(exact(Metadata!H854,"not applicable"),exact(Metadata!H854,"not collected"),exact(Metadata!H854,"not provided"),exact(Metadata!H854,"restricted access"))),AND(IF(Metadata!H854="",FALSE,ISNUMBER(VALUE(Metadata!H854))),Metadata!H854&gt;0))</f>
        <v>0</v>
      </c>
      <c r="AI854">
        <f>AND(IF(Metadata!I854="",FALSE,TRUE),exact(Metadata!I854,"human"))</f>
        <v>0</v>
      </c>
      <c r="AJ854">
        <f>AND(IF(Metadata!J854="",FALSE,ISNUMBER(VALUE(Metadata!J854))),Metadata!J854&gt;0)</f>
        <v>0</v>
      </c>
      <c r="AK854">
        <f>AND(IF(Metadata!K854="",FALSE,TRUE),exact(Metadata!K854,"cm"))</f>
        <v>0</v>
      </c>
      <c r="AL854">
        <f>AND(IF(Metadata!L854="",FALSE,TRUE),exact(Metadata!L854,"Homo sapiens"))</f>
        <v>0</v>
      </c>
      <c r="AM854">
        <f>AND(IF(Metadata!M854="",FALSE,TRUE),exact(Metadata!M854,"9606"))</f>
        <v>0</v>
      </c>
      <c r="AN854">
        <f>AND(IF(Metadata!N854="",FALSE,ISNUMBER(VALUE(Metadata!N854))),Metadata!N854&gt;0)</f>
        <v>0</v>
      </c>
      <c r="AO854">
        <f>AND(IF(Metadata!O854="",FALSE,TRUE),exact(Metadata!O854,"kg"))</f>
        <v>0</v>
      </c>
      <c r="AP854">
        <f>OR(AND(IF(Metadata!P854="",FALSE,TRUE),exact(Metadata!P854,"not provided")),IF(Metadata!P854="",FALSE,TRUE))</f>
        <v>0</v>
      </c>
      <c r="AQ854">
        <f>OR(AND(IF(Metadata!Q854="",FALSE,TRUE),exact(Metadata!Q854,"not provided")),IF(Metadata!Q854="",FALSE,TRUE))</f>
        <v>0</v>
      </c>
    </row>
    <row r="855" spans="1:43">
      <c r="A855" s="4">
        <f>IF(B855=" "," ",HYPERLINK(CONCATENATE("#metadata!",ADDRESS(INDEX($W$2:$W$1001,MATCH(ROWS($U$2:U855),$U$2:$U$1001,0),0),2)),INDEX($Z$2:$Z$1001,MATCH(ROWS($U$2:U855),$U$2:$U$1001,0),0)))</f>
        <v>0</v>
      </c>
      <c r="B855" s="5">
        <f>IF(OR(INDEX($V$2:$V$1001,MATCH(ROWS($U$2:U855),$U$2:$U$1001,0),1)&gt;=100000,INDEX($AB$1005:$AQ$1005,1,MATCH(COLUMNS($AB$1006:AB1006),$AB$1006:$AQ$1006,0))&gt;=100000), " ",IF(INDEX($AB$2:$AQ$1001,MATCH(ROWS($U$2:U855),$U$2:$U$1001,0),MATCH(COLUMNS($AB$1006:AB1006),$AB$1006:$AQ$1006,0)), HYPERLINK("#",""), HYPERLINK(CONCATENATE("#Metadata!", ADDRESS(INDEX($W$2:$W$1001,MATCH(ROWS($U$2:U855),$U$2:$U$1001,0),0), INDEX($AB$1004:$AQ$1004,1,MATCH(COLUMNS($AB$1006:AB1006),$AB$1006:$AQ$1006,0)))),"Fix")))</f>
        <v>0</v>
      </c>
      <c r="C855" s="5">
        <f>IF(OR(INDEX($V$2:$V$1001,MATCH(ROWS($U$2:U855),$U$2:$U$1001,0),1)&gt;=100000,INDEX($AB$1005:$AQ$1005,1,MATCH(COLUMNS($AB$1006:AC1006),$AB$1006:$AQ$1006,0))&gt;=100000), " ",IF(INDEX($AB$2:$AQ$1001,MATCH(ROWS($U$2:U855),$U$2:$U$1001,0),MATCH(COLUMNS($AB$1006:AC1006),$AB$1006:$AQ$1006,0)), HYPERLINK("#",""), HYPERLINK(CONCATENATE("#Metadata!", ADDRESS(INDEX($W$2:$W$1001,MATCH(ROWS($U$2:U855),$U$2:$U$1001,0),0), INDEX($AB$1004:$AQ$1004,1,MATCH(COLUMNS($AB$1006:AC1006),$AB$1006:$AQ$1006,0)))),"Fix")))</f>
        <v>0</v>
      </c>
      <c r="D855" s="5">
        <f>IF(OR(INDEX($V$2:$V$1001,MATCH(ROWS($U$2:U855),$U$2:$U$1001,0),1)&gt;=100000,INDEX($AB$1005:$AQ$1005,1,MATCH(COLUMNS($AB$1006:AD1006),$AB$1006:$AQ$1006,0))&gt;=100000), " ",IF(INDEX($AB$2:$AQ$1001,MATCH(ROWS($U$2:U855),$U$2:$U$1001,0),MATCH(COLUMNS($AB$1006:AD1006),$AB$1006:$AQ$1006,0)), HYPERLINK("#",""), HYPERLINK(CONCATENATE("#Metadata!", ADDRESS(INDEX($W$2:$W$1001,MATCH(ROWS($U$2:U855),$U$2:$U$1001,0),0), INDEX($AB$1004:$AQ$1004,1,MATCH(COLUMNS($AB$1006:AD1006),$AB$1006:$AQ$1006,0)))),"Fix")))</f>
        <v>0</v>
      </c>
      <c r="E855" s="5">
        <f>IF(OR(INDEX($V$2:$V$1001,MATCH(ROWS($U$2:U855),$U$2:$U$1001,0),1)&gt;=100000,INDEX($AB$1005:$AQ$1005,1,MATCH(COLUMNS($AB$1006:AE1006),$AB$1006:$AQ$1006,0))&gt;=100000), " ",IF(INDEX($AB$2:$AQ$1001,MATCH(ROWS($U$2:U855),$U$2:$U$1001,0),MATCH(COLUMNS($AB$1006:AE1006),$AB$1006:$AQ$1006,0)), HYPERLINK("#",""), HYPERLINK(CONCATENATE("#Metadata!", ADDRESS(INDEX($W$2:$W$1001,MATCH(ROWS($U$2:U855),$U$2:$U$1001,0),0), INDEX($AB$1004:$AQ$1004,1,MATCH(COLUMNS($AB$1006:AE1006),$AB$1006:$AQ$1006,0)))),"Fix")))</f>
        <v>0</v>
      </c>
      <c r="F855" s="5">
        <f>IF(OR(INDEX($V$2:$V$1001,MATCH(ROWS($U$2:U855),$U$2:$U$1001,0),1)&gt;=100000,INDEX($AB$1005:$AQ$1005,1,MATCH(COLUMNS($AB$1006:AF1006),$AB$1006:$AQ$1006,0))&gt;=100000), " ",IF(INDEX($AB$2:$AQ$1001,MATCH(ROWS($U$2:U855),$U$2:$U$1001,0),MATCH(COLUMNS($AB$1006:AF1006),$AB$1006:$AQ$1006,0)), HYPERLINK("#",""), HYPERLINK(CONCATENATE("#Metadata!", ADDRESS(INDEX($W$2:$W$1001,MATCH(ROWS($U$2:U855),$U$2:$U$1001,0),0), INDEX($AB$1004:$AQ$1004,1,MATCH(COLUMNS($AB$1006:AF1006),$AB$1006:$AQ$1006,0)))),"Fix")))</f>
        <v>0</v>
      </c>
      <c r="G855" s="5">
        <f>IF(OR(INDEX($V$2:$V$1001,MATCH(ROWS($U$2:U855),$U$2:$U$1001,0),1)&gt;=100000,INDEX($AB$1005:$AQ$1005,1,MATCH(COLUMNS($AB$1006:AG1006),$AB$1006:$AQ$1006,0))&gt;=100000), " ",IF(INDEX($AB$2:$AQ$1001,MATCH(ROWS($U$2:U855),$U$2:$U$1001,0),MATCH(COLUMNS($AB$1006:AG1006),$AB$1006:$AQ$1006,0)), HYPERLINK("#",""), HYPERLINK(CONCATENATE("#Metadata!", ADDRESS(INDEX($W$2:$W$1001,MATCH(ROWS($U$2:U855),$U$2:$U$1001,0),0), INDEX($AB$1004:$AQ$1004,1,MATCH(COLUMNS($AB$1006:AG1006),$AB$1006:$AQ$1006,0)))),"Fix")))</f>
        <v>0</v>
      </c>
      <c r="H855" s="5">
        <f>IF(OR(INDEX($V$2:$V$1001,MATCH(ROWS($U$2:U855),$U$2:$U$1001,0),1)&gt;=100000,INDEX($AB$1005:$AQ$1005,1,MATCH(COLUMNS($AB$1006:AH1006),$AB$1006:$AQ$1006,0))&gt;=100000), " ",IF(INDEX($AB$2:$AQ$1001,MATCH(ROWS($U$2:U855),$U$2:$U$1001,0),MATCH(COLUMNS($AB$1006:AH1006),$AB$1006:$AQ$1006,0)), HYPERLINK("#",""), HYPERLINK(CONCATENATE("#Metadata!", ADDRESS(INDEX($W$2:$W$1001,MATCH(ROWS($U$2:U855),$U$2:$U$1001,0),0), INDEX($AB$1004:$AQ$1004,1,MATCH(COLUMNS($AB$1006:AH1006),$AB$1006:$AQ$1006,0)))),"Fix")))</f>
        <v>0</v>
      </c>
      <c r="I855" s="5">
        <f>IF(OR(INDEX($V$2:$V$1001,MATCH(ROWS($U$2:U855),$U$2:$U$1001,0),1)&gt;=100000,INDEX($AB$1005:$AQ$1005,1,MATCH(COLUMNS($AB$1006:AI1006),$AB$1006:$AQ$1006,0))&gt;=100000), " ",IF(INDEX($AB$2:$AQ$1001,MATCH(ROWS($U$2:U855),$U$2:$U$1001,0),MATCH(COLUMNS($AB$1006:AI1006),$AB$1006:$AQ$1006,0)), HYPERLINK("#",""), HYPERLINK(CONCATENATE("#Metadata!", ADDRESS(INDEX($W$2:$W$1001,MATCH(ROWS($U$2:U855),$U$2:$U$1001,0),0), INDEX($AB$1004:$AQ$1004,1,MATCH(COLUMNS($AB$1006:AI1006),$AB$1006:$AQ$1006,0)))),"Fix")))</f>
        <v>0</v>
      </c>
      <c r="J855" s="5">
        <f>IF(OR(INDEX($V$2:$V$1001,MATCH(ROWS($U$2:U855),$U$2:$U$1001,0),1)&gt;=100000,INDEX($AB$1005:$AQ$1005,1,MATCH(COLUMNS($AB$1006:AJ1006),$AB$1006:$AQ$1006,0))&gt;=100000), " ",IF(INDEX($AB$2:$AQ$1001,MATCH(ROWS($U$2:U855),$U$2:$U$1001,0),MATCH(COLUMNS($AB$1006:AJ1006),$AB$1006:$AQ$1006,0)), HYPERLINK("#",""), HYPERLINK(CONCATENATE("#Metadata!", ADDRESS(INDEX($W$2:$W$1001,MATCH(ROWS($U$2:U855),$U$2:$U$1001,0),0), INDEX($AB$1004:$AQ$1004,1,MATCH(COLUMNS($AB$1006:AJ1006),$AB$1006:$AQ$1006,0)))),"Fix")))</f>
        <v>0</v>
      </c>
      <c r="K855" s="5">
        <f>IF(OR(INDEX($V$2:$V$1001,MATCH(ROWS($U$2:U855),$U$2:$U$1001,0),1)&gt;=100000,INDEX($AB$1005:$AQ$1005,1,MATCH(COLUMNS($AB$1006:AK1006),$AB$1006:$AQ$1006,0))&gt;=100000), " ",IF(INDEX($AB$2:$AQ$1001,MATCH(ROWS($U$2:U855),$U$2:$U$1001,0),MATCH(COLUMNS($AB$1006:AK1006),$AB$1006:$AQ$1006,0)), HYPERLINK("#",""), HYPERLINK(CONCATENATE("#Metadata!", ADDRESS(INDEX($W$2:$W$1001,MATCH(ROWS($U$2:U855),$U$2:$U$1001,0),0), INDEX($AB$1004:$AQ$1004,1,MATCH(COLUMNS($AB$1006:AK1006),$AB$1006:$AQ$1006,0)))),"Fix")))</f>
        <v>0</v>
      </c>
      <c r="L855" s="5">
        <f>IF(OR(INDEX($V$2:$V$1001,MATCH(ROWS($U$2:U855),$U$2:$U$1001,0),1)&gt;=100000,INDEX($AB$1005:$AQ$1005,1,MATCH(COLUMNS($AB$1006:AL1006),$AB$1006:$AQ$1006,0))&gt;=100000), " ",IF(INDEX($AB$2:$AQ$1001,MATCH(ROWS($U$2:U855),$U$2:$U$1001,0),MATCH(COLUMNS($AB$1006:AL1006),$AB$1006:$AQ$1006,0)), HYPERLINK("#",""), HYPERLINK(CONCATENATE("#Metadata!", ADDRESS(INDEX($W$2:$W$1001,MATCH(ROWS($U$2:U855),$U$2:$U$1001,0),0), INDEX($AB$1004:$AQ$1004,1,MATCH(COLUMNS($AB$1006:AL1006),$AB$1006:$AQ$1006,0)))),"Fix")))</f>
        <v>0</v>
      </c>
      <c r="M855" s="5">
        <f>IF(OR(INDEX($V$2:$V$1001,MATCH(ROWS($U$2:U855),$U$2:$U$1001,0),1)&gt;=100000,INDEX($AB$1005:$AQ$1005,1,MATCH(COLUMNS($AB$1006:AM1006),$AB$1006:$AQ$1006,0))&gt;=100000), " ",IF(INDEX($AB$2:$AQ$1001,MATCH(ROWS($U$2:U855),$U$2:$U$1001,0),MATCH(COLUMNS($AB$1006:AM1006),$AB$1006:$AQ$1006,0)), HYPERLINK("#",""), HYPERLINK(CONCATENATE("#Metadata!", ADDRESS(INDEX($W$2:$W$1001,MATCH(ROWS($U$2:U855),$U$2:$U$1001,0),0), INDEX($AB$1004:$AQ$1004,1,MATCH(COLUMNS($AB$1006:AM1006),$AB$1006:$AQ$1006,0)))),"Fix")))</f>
        <v>0</v>
      </c>
      <c r="N855" s="5">
        <f>IF(OR(INDEX($V$2:$V$1001,MATCH(ROWS($U$2:U855),$U$2:$U$1001,0),1)&gt;=100000,INDEX($AB$1005:$AQ$1005,1,MATCH(COLUMNS($AB$1006:AN1006),$AB$1006:$AQ$1006,0))&gt;=100000), " ",IF(INDEX($AB$2:$AQ$1001,MATCH(ROWS($U$2:U855),$U$2:$U$1001,0),MATCH(COLUMNS($AB$1006:AN1006),$AB$1006:$AQ$1006,0)), HYPERLINK("#",""), HYPERLINK(CONCATENATE("#Metadata!", ADDRESS(INDEX($W$2:$W$1001,MATCH(ROWS($U$2:U855),$U$2:$U$1001,0),0), INDEX($AB$1004:$AQ$1004,1,MATCH(COLUMNS($AB$1006:AN1006),$AB$1006:$AQ$1006,0)))),"Fix")))</f>
        <v>0</v>
      </c>
      <c r="O855" s="5">
        <f>IF(OR(INDEX($V$2:$V$1001,MATCH(ROWS($U$2:U855),$U$2:$U$1001,0),1)&gt;=100000,INDEX($AB$1005:$AQ$1005,1,MATCH(COLUMNS($AB$1006:AO1006),$AB$1006:$AQ$1006,0))&gt;=100000), " ",IF(INDEX($AB$2:$AQ$1001,MATCH(ROWS($U$2:U855),$U$2:$U$1001,0),MATCH(COLUMNS($AB$1006:AO1006),$AB$1006:$AQ$1006,0)), HYPERLINK("#",""), HYPERLINK(CONCATENATE("#Metadata!", ADDRESS(INDEX($W$2:$W$1001,MATCH(ROWS($U$2:U855),$U$2:$U$1001,0),0), INDEX($AB$1004:$AQ$1004,1,MATCH(COLUMNS($AB$1006:AO1006),$AB$1006:$AQ$1006,0)))),"Fix")))</f>
        <v>0</v>
      </c>
      <c r="P855" s="5">
        <f>IF(OR(INDEX($V$2:$V$1001,MATCH(ROWS($U$2:U855),$U$2:$U$1001,0),1)&gt;=100000,INDEX($AB$1005:$AQ$1005,1,MATCH(COLUMNS($AB$1006:AP1006),$AB$1006:$AQ$1006,0))&gt;=100000), " ",IF(INDEX($AB$2:$AQ$1001,MATCH(ROWS($U$2:U855),$U$2:$U$1001,0),MATCH(COLUMNS($AB$1006:AP1006),$AB$1006:$AQ$1006,0)), HYPERLINK("#",""), HYPERLINK(CONCATENATE("#Metadata!", ADDRESS(INDEX($W$2:$W$1001,MATCH(ROWS($U$2:U855),$U$2:$U$1001,0),0), INDEX($AB$1004:$AQ$1004,1,MATCH(COLUMNS($AB$1006:AP1006),$AB$1006:$AQ$1006,0)))),"Fix")))</f>
        <v>0</v>
      </c>
      <c r="Q855" s="5">
        <f>IF(OR(INDEX($V$2:$V$1001,MATCH(ROWS($U$2:U855),$U$2:$U$1001,0),1)&gt;=100000,INDEX($AB$1005:$AQ$1005,1,MATCH(COLUMNS($AB$1006:AQ1006),$AB$1006:$AQ$1006,0))&gt;=100000), " ",IF(INDEX($AB$2:$AQ$1001,MATCH(ROWS($U$2:U855),$U$2:$U$1001,0),MATCH(COLUMNS($AB$1006:AQ1006),$AB$1006:$AQ$1006,0)), HYPERLINK("#",""), HYPERLINK(CONCATENATE("#Metadata!", ADDRESS(INDEX($W$2:$W$1001,MATCH(ROWS($U$2:U855),$U$2:$U$1001,0),0), INDEX($AB$1004:$AQ$1004,1,MATCH(COLUMNS($AB$1006:AQ1006),$AB$1006:$AQ$1006,0)))),"Fix")))</f>
        <v>0</v>
      </c>
      <c r="U855">
        <v>0</v>
      </c>
      <c r="V855">
        <v>0</v>
      </c>
      <c r="W855">
        <v>0</v>
      </c>
      <c r="X855">
        <f>IF(Y855,TRUE,AND(AB855:AQ855))</f>
        <v>0</v>
      </c>
      <c r="Y855">
        <f>COUNTBLANK(Metadata!B855:Q855)=COLUMNS(Metadata!B855:Q855)</f>
        <v>0</v>
      </c>
      <c r="Z855">
        <v>0</v>
      </c>
      <c r="AB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AC855">
        <f>AND(IF(Metadata!C855="",FALSE,TRUE),exact(Metadata!C855,"urban biome"))</f>
        <v>0</v>
      </c>
      <c r="AD855">
        <f>AND(IF(Metadata!D855="",FALSE,TRUE),exact(Metadata!D855,"human-associated habitat"))</f>
        <v>0</v>
      </c>
      <c r="AE855">
        <f>AND(IF(Metadata!E855="",FALSE,TRUE),OR(exact(Metadata!E855,"human-associated"),exact(Metadata!E855,"human-skin"),exact(Metadata!E855,"human-oral"),exact(Metadata!E855,"human-gut"),exact(Metadata!E855,"human-vaginal")))</f>
        <v>0</v>
      </c>
      <c r="AF855">
        <f>AND(IF(Metadata!F855="",FALSE,ISNUMBER(VALUE(Metadata!F855))),Metadata!F855&gt;0)</f>
        <v>0</v>
      </c>
      <c r="AG855">
        <f>AND(IF(Metadata!G855="",FALSE,TRUE),exact(Metadata!G855,"years"))</f>
        <v>0</v>
      </c>
      <c r="AH855">
        <f>OR(AND(IF(Metadata!H855="",FALSE,TRUE),OR(exact(Metadata!H855,"not applicable"),exact(Metadata!H855,"not collected"),exact(Metadata!H855,"not provided"),exact(Metadata!H855,"restricted access"))),AND(IF(Metadata!H855="",FALSE,ISNUMBER(VALUE(Metadata!H855))),Metadata!H855&gt;0))</f>
        <v>0</v>
      </c>
      <c r="AI855">
        <f>AND(IF(Metadata!I855="",FALSE,TRUE),exact(Metadata!I855,"human"))</f>
        <v>0</v>
      </c>
      <c r="AJ855">
        <f>AND(IF(Metadata!J855="",FALSE,ISNUMBER(VALUE(Metadata!J855))),Metadata!J855&gt;0)</f>
        <v>0</v>
      </c>
      <c r="AK855">
        <f>AND(IF(Metadata!K855="",FALSE,TRUE),exact(Metadata!K855,"cm"))</f>
        <v>0</v>
      </c>
      <c r="AL855">
        <f>AND(IF(Metadata!L855="",FALSE,TRUE),exact(Metadata!L855,"Homo sapiens"))</f>
        <v>0</v>
      </c>
      <c r="AM855">
        <f>AND(IF(Metadata!M855="",FALSE,TRUE),exact(Metadata!M855,"9606"))</f>
        <v>0</v>
      </c>
      <c r="AN855">
        <f>AND(IF(Metadata!N855="",FALSE,ISNUMBER(VALUE(Metadata!N855))),Metadata!N855&gt;0)</f>
        <v>0</v>
      </c>
      <c r="AO855">
        <f>AND(IF(Metadata!O855="",FALSE,TRUE),exact(Metadata!O855,"kg"))</f>
        <v>0</v>
      </c>
      <c r="AP855">
        <f>OR(AND(IF(Metadata!P855="",FALSE,TRUE),exact(Metadata!P855,"not provided")),IF(Metadata!P855="",FALSE,TRUE))</f>
        <v>0</v>
      </c>
      <c r="AQ855">
        <f>OR(AND(IF(Metadata!Q855="",FALSE,TRUE),exact(Metadata!Q855,"not provided")),IF(Metadata!Q855="",FALSE,TRUE))</f>
        <v>0</v>
      </c>
    </row>
    <row r="856" spans="1:43">
      <c r="A856" s="4">
        <f>IF(B856=" "," ",HYPERLINK(CONCATENATE("#metadata!",ADDRESS(INDEX($W$2:$W$1001,MATCH(ROWS($U$2:U856),$U$2:$U$1001,0),0),2)),INDEX($Z$2:$Z$1001,MATCH(ROWS($U$2:U856),$U$2:$U$1001,0),0)))</f>
        <v>0</v>
      </c>
      <c r="B856" s="5">
        <f>IF(OR(INDEX($V$2:$V$1001,MATCH(ROWS($U$2:U856),$U$2:$U$1001,0),1)&gt;=100000,INDEX($AB$1005:$AQ$1005,1,MATCH(COLUMNS($AB$1006:AB1006),$AB$1006:$AQ$1006,0))&gt;=100000), " ",IF(INDEX($AB$2:$AQ$1001,MATCH(ROWS($U$2:U856),$U$2:$U$1001,0),MATCH(COLUMNS($AB$1006:AB1006),$AB$1006:$AQ$1006,0)), HYPERLINK("#",""), HYPERLINK(CONCATENATE("#Metadata!", ADDRESS(INDEX($W$2:$W$1001,MATCH(ROWS($U$2:U856),$U$2:$U$1001,0),0), INDEX($AB$1004:$AQ$1004,1,MATCH(COLUMNS($AB$1006:AB1006),$AB$1006:$AQ$1006,0)))),"Fix")))</f>
        <v>0</v>
      </c>
      <c r="C856" s="5">
        <f>IF(OR(INDEX($V$2:$V$1001,MATCH(ROWS($U$2:U856),$U$2:$U$1001,0),1)&gt;=100000,INDEX($AB$1005:$AQ$1005,1,MATCH(COLUMNS($AB$1006:AC1006),$AB$1006:$AQ$1006,0))&gt;=100000), " ",IF(INDEX($AB$2:$AQ$1001,MATCH(ROWS($U$2:U856),$U$2:$U$1001,0),MATCH(COLUMNS($AB$1006:AC1006),$AB$1006:$AQ$1006,0)), HYPERLINK("#",""), HYPERLINK(CONCATENATE("#Metadata!", ADDRESS(INDEX($W$2:$W$1001,MATCH(ROWS($U$2:U856),$U$2:$U$1001,0),0), INDEX($AB$1004:$AQ$1004,1,MATCH(COLUMNS($AB$1006:AC1006),$AB$1006:$AQ$1006,0)))),"Fix")))</f>
        <v>0</v>
      </c>
      <c r="D856" s="5">
        <f>IF(OR(INDEX($V$2:$V$1001,MATCH(ROWS($U$2:U856),$U$2:$U$1001,0),1)&gt;=100000,INDEX($AB$1005:$AQ$1005,1,MATCH(COLUMNS($AB$1006:AD1006),$AB$1006:$AQ$1006,0))&gt;=100000), " ",IF(INDEX($AB$2:$AQ$1001,MATCH(ROWS($U$2:U856),$U$2:$U$1001,0),MATCH(COLUMNS($AB$1006:AD1006),$AB$1006:$AQ$1006,0)), HYPERLINK("#",""), HYPERLINK(CONCATENATE("#Metadata!", ADDRESS(INDEX($W$2:$W$1001,MATCH(ROWS($U$2:U856),$U$2:$U$1001,0),0), INDEX($AB$1004:$AQ$1004,1,MATCH(COLUMNS($AB$1006:AD1006),$AB$1006:$AQ$1006,0)))),"Fix")))</f>
        <v>0</v>
      </c>
      <c r="E856" s="5">
        <f>IF(OR(INDEX($V$2:$V$1001,MATCH(ROWS($U$2:U856),$U$2:$U$1001,0),1)&gt;=100000,INDEX($AB$1005:$AQ$1005,1,MATCH(COLUMNS($AB$1006:AE1006),$AB$1006:$AQ$1006,0))&gt;=100000), " ",IF(INDEX($AB$2:$AQ$1001,MATCH(ROWS($U$2:U856),$U$2:$U$1001,0),MATCH(COLUMNS($AB$1006:AE1006),$AB$1006:$AQ$1006,0)), HYPERLINK("#",""), HYPERLINK(CONCATENATE("#Metadata!", ADDRESS(INDEX($W$2:$W$1001,MATCH(ROWS($U$2:U856),$U$2:$U$1001,0),0), INDEX($AB$1004:$AQ$1004,1,MATCH(COLUMNS($AB$1006:AE1006),$AB$1006:$AQ$1006,0)))),"Fix")))</f>
        <v>0</v>
      </c>
      <c r="F856" s="5">
        <f>IF(OR(INDEX($V$2:$V$1001,MATCH(ROWS($U$2:U856),$U$2:$U$1001,0),1)&gt;=100000,INDEX($AB$1005:$AQ$1005,1,MATCH(COLUMNS($AB$1006:AF1006),$AB$1006:$AQ$1006,0))&gt;=100000), " ",IF(INDEX($AB$2:$AQ$1001,MATCH(ROWS($U$2:U856),$U$2:$U$1001,0),MATCH(COLUMNS($AB$1006:AF1006),$AB$1006:$AQ$1006,0)), HYPERLINK("#",""), HYPERLINK(CONCATENATE("#Metadata!", ADDRESS(INDEX($W$2:$W$1001,MATCH(ROWS($U$2:U856),$U$2:$U$1001,0),0), INDEX($AB$1004:$AQ$1004,1,MATCH(COLUMNS($AB$1006:AF1006),$AB$1006:$AQ$1006,0)))),"Fix")))</f>
        <v>0</v>
      </c>
      <c r="G856" s="5">
        <f>IF(OR(INDEX($V$2:$V$1001,MATCH(ROWS($U$2:U856),$U$2:$U$1001,0),1)&gt;=100000,INDEX($AB$1005:$AQ$1005,1,MATCH(COLUMNS($AB$1006:AG1006),$AB$1006:$AQ$1006,0))&gt;=100000), " ",IF(INDEX($AB$2:$AQ$1001,MATCH(ROWS($U$2:U856),$U$2:$U$1001,0),MATCH(COLUMNS($AB$1006:AG1006),$AB$1006:$AQ$1006,0)), HYPERLINK("#",""), HYPERLINK(CONCATENATE("#Metadata!", ADDRESS(INDEX($W$2:$W$1001,MATCH(ROWS($U$2:U856),$U$2:$U$1001,0),0), INDEX($AB$1004:$AQ$1004,1,MATCH(COLUMNS($AB$1006:AG1006),$AB$1006:$AQ$1006,0)))),"Fix")))</f>
        <v>0</v>
      </c>
      <c r="H856" s="5">
        <f>IF(OR(INDEX($V$2:$V$1001,MATCH(ROWS($U$2:U856),$U$2:$U$1001,0),1)&gt;=100000,INDEX($AB$1005:$AQ$1005,1,MATCH(COLUMNS($AB$1006:AH1006),$AB$1006:$AQ$1006,0))&gt;=100000), " ",IF(INDEX($AB$2:$AQ$1001,MATCH(ROWS($U$2:U856),$U$2:$U$1001,0),MATCH(COLUMNS($AB$1006:AH1006),$AB$1006:$AQ$1006,0)), HYPERLINK("#",""), HYPERLINK(CONCATENATE("#Metadata!", ADDRESS(INDEX($W$2:$W$1001,MATCH(ROWS($U$2:U856),$U$2:$U$1001,0),0), INDEX($AB$1004:$AQ$1004,1,MATCH(COLUMNS($AB$1006:AH1006),$AB$1006:$AQ$1006,0)))),"Fix")))</f>
        <v>0</v>
      </c>
      <c r="I856" s="5">
        <f>IF(OR(INDEX($V$2:$V$1001,MATCH(ROWS($U$2:U856),$U$2:$U$1001,0),1)&gt;=100000,INDEX($AB$1005:$AQ$1005,1,MATCH(COLUMNS($AB$1006:AI1006),$AB$1006:$AQ$1006,0))&gt;=100000), " ",IF(INDEX($AB$2:$AQ$1001,MATCH(ROWS($U$2:U856),$U$2:$U$1001,0),MATCH(COLUMNS($AB$1006:AI1006),$AB$1006:$AQ$1006,0)), HYPERLINK("#",""), HYPERLINK(CONCATENATE("#Metadata!", ADDRESS(INDEX($W$2:$W$1001,MATCH(ROWS($U$2:U856),$U$2:$U$1001,0),0), INDEX($AB$1004:$AQ$1004,1,MATCH(COLUMNS($AB$1006:AI1006),$AB$1006:$AQ$1006,0)))),"Fix")))</f>
        <v>0</v>
      </c>
      <c r="J856" s="5">
        <f>IF(OR(INDEX($V$2:$V$1001,MATCH(ROWS($U$2:U856),$U$2:$U$1001,0),1)&gt;=100000,INDEX($AB$1005:$AQ$1005,1,MATCH(COLUMNS($AB$1006:AJ1006),$AB$1006:$AQ$1006,0))&gt;=100000), " ",IF(INDEX($AB$2:$AQ$1001,MATCH(ROWS($U$2:U856),$U$2:$U$1001,0),MATCH(COLUMNS($AB$1006:AJ1006),$AB$1006:$AQ$1006,0)), HYPERLINK("#",""), HYPERLINK(CONCATENATE("#Metadata!", ADDRESS(INDEX($W$2:$W$1001,MATCH(ROWS($U$2:U856),$U$2:$U$1001,0),0), INDEX($AB$1004:$AQ$1004,1,MATCH(COLUMNS($AB$1006:AJ1006),$AB$1006:$AQ$1006,0)))),"Fix")))</f>
        <v>0</v>
      </c>
      <c r="K856" s="5">
        <f>IF(OR(INDEX($V$2:$V$1001,MATCH(ROWS($U$2:U856),$U$2:$U$1001,0),1)&gt;=100000,INDEX($AB$1005:$AQ$1005,1,MATCH(COLUMNS($AB$1006:AK1006),$AB$1006:$AQ$1006,0))&gt;=100000), " ",IF(INDEX($AB$2:$AQ$1001,MATCH(ROWS($U$2:U856),$U$2:$U$1001,0),MATCH(COLUMNS($AB$1006:AK1006),$AB$1006:$AQ$1006,0)), HYPERLINK("#",""), HYPERLINK(CONCATENATE("#Metadata!", ADDRESS(INDEX($W$2:$W$1001,MATCH(ROWS($U$2:U856),$U$2:$U$1001,0),0), INDEX($AB$1004:$AQ$1004,1,MATCH(COLUMNS($AB$1006:AK1006),$AB$1006:$AQ$1006,0)))),"Fix")))</f>
        <v>0</v>
      </c>
      <c r="L856" s="5">
        <f>IF(OR(INDEX($V$2:$V$1001,MATCH(ROWS($U$2:U856),$U$2:$U$1001,0),1)&gt;=100000,INDEX($AB$1005:$AQ$1005,1,MATCH(COLUMNS($AB$1006:AL1006),$AB$1006:$AQ$1006,0))&gt;=100000), " ",IF(INDEX($AB$2:$AQ$1001,MATCH(ROWS($U$2:U856),$U$2:$U$1001,0),MATCH(COLUMNS($AB$1006:AL1006),$AB$1006:$AQ$1006,0)), HYPERLINK("#",""), HYPERLINK(CONCATENATE("#Metadata!", ADDRESS(INDEX($W$2:$W$1001,MATCH(ROWS($U$2:U856),$U$2:$U$1001,0),0), INDEX($AB$1004:$AQ$1004,1,MATCH(COLUMNS($AB$1006:AL1006),$AB$1006:$AQ$1006,0)))),"Fix")))</f>
        <v>0</v>
      </c>
      <c r="M856" s="5">
        <f>IF(OR(INDEX($V$2:$V$1001,MATCH(ROWS($U$2:U856),$U$2:$U$1001,0),1)&gt;=100000,INDEX($AB$1005:$AQ$1005,1,MATCH(COLUMNS($AB$1006:AM1006),$AB$1006:$AQ$1006,0))&gt;=100000), " ",IF(INDEX($AB$2:$AQ$1001,MATCH(ROWS($U$2:U856),$U$2:$U$1001,0),MATCH(COLUMNS($AB$1006:AM1006),$AB$1006:$AQ$1006,0)), HYPERLINK("#",""), HYPERLINK(CONCATENATE("#Metadata!", ADDRESS(INDEX($W$2:$W$1001,MATCH(ROWS($U$2:U856),$U$2:$U$1001,0),0), INDEX($AB$1004:$AQ$1004,1,MATCH(COLUMNS($AB$1006:AM1006),$AB$1006:$AQ$1006,0)))),"Fix")))</f>
        <v>0</v>
      </c>
      <c r="N856" s="5">
        <f>IF(OR(INDEX($V$2:$V$1001,MATCH(ROWS($U$2:U856),$U$2:$U$1001,0),1)&gt;=100000,INDEX($AB$1005:$AQ$1005,1,MATCH(COLUMNS($AB$1006:AN1006),$AB$1006:$AQ$1006,0))&gt;=100000), " ",IF(INDEX($AB$2:$AQ$1001,MATCH(ROWS($U$2:U856),$U$2:$U$1001,0),MATCH(COLUMNS($AB$1006:AN1006),$AB$1006:$AQ$1006,0)), HYPERLINK("#",""), HYPERLINK(CONCATENATE("#Metadata!", ADDRESS(INDEX($W$2:$W$1001,MATCH(ROWS($U$2:U856),$U$2:$U$1001,0),0), INDEX($AB$1004:$AQ$1004,1,MATCH(COLUMNS($AB$1006:AN1006),$AB$1006:$AQ$1006,0)))),"Fix")))</f>
        <v>0</v>
      </c>
      <c r="O856" s="5">
        <f>IF(OR(INDEX($V$2:$V$1001,MATCH(ROWS($U$2:U856),$U$2:$U$1001,0),1)&gt;=100000,INDEX($AB$1005:$AQ$1005,1,MATCH(COLUMNS($AB$1006:AO1006),$AB$1006:$AQ$1006,0))&gt;=100000), " ",IF(INDEX($AB$2:$AQ$1001,MATCH(ROWS($U$2:U856),$U$2:$U$1001,0),MATCH(COLUMNS($AB$1006:AO1006),$AB$1006:$AQ$1006,0)), HYPERLINK("#",""), HYPERLINK(CONCATENATE("#Metadata!", ADDRESS(INDEX($W$2:$W$1001,MATCH(ROWS($U$2:U856),$U$2:$U$1001,0),0), INDEX($AB$1004:$AQ$1004,1,MATCH(COLUMNS($AB$1006:AO1006),$AB$1006:$AQ$1006,0)))),"Fix")))</f>
        <v>0</v>
      </c>
      <c r="P856" s="5">
        <f>IF(OR(INDEX($V$2:$V$1001,MATCH(ROWS($U$2:U856),$U$2:$U$1001,0),1)&gt;=100000,INDEX($AB$1005:$AQ$1005,1,MATCH(COLUMNS($AB$1006:AP1006),$AB$1006:$AQ$1006,0))&gt;=100000), " ",IF(INDEX($AB$2:$AQ$1001,MATCH(ROWS($U$2:U856),$U$2:$U$1001,0),MATCH(COLUMNS($AB$1006:AP1006),$AB$1006:$AQ$1006,0)), HYPERLINK("#",""), HYPERLINK(CONCATENATE("#Metadata!", ADDRESS(INDEX($W$2:$W$1001,MATCH(ROWS($U$2:U856),$U$2:$U$1001,0),0), INDEX($AB$1004:$AQ$1004,1,MATCH(COLUMNS($AB$1006:AP1006),$AB$1006:$AQ$1006,0)))),"Fix")))</f>
        <v>0</v>
      </c>
      <c r="Q856" s="5">
        <f>IF(OR(INDEX($V$2:$V$1001,MATCH(ROWS($U$2:U856),$U$2:$U$1001,0),1)&gt;=100000,INDEX($AB$1005:$AQ$1005,1,MATCH(COLUMNS($AB$1006:AQ1006),$AB$1006:$AQ$1006,0))&gt;=100000), " ",IF(INDEX($AB$2:$AQ$1001,MATCH(ROWS($U$2:U856),$U$2:$U$1001,0),MATCH(COLUMNS($AB$1006:AQ1006),$AB$1006:$AQ$1006,0)), HYPERLINK("#",""), HYPERLINK(CONCATENATE("#Metadata!", ADDRESS(INDEX($W$2:$W$1001,MATCH(ROWS($U$2:U856),$U$2:$U$1001,0),0), INDEX($AB$1004:$AQ$1004,1,MATCH(COLUMNS($AB$1006:AQ1006),$AB$1006:$AQ$1006,0)))),"Fix")))</f>
        <v>0</v>
      </c>
      <c r="U856">
        <v>0</v>
      </c>
      <c r="V856">
        <v>0</v>
      </c>
      <c r="W856">
        <v>0</v>
      </c>
      <c r="X856">
        <f>IF(Y856,TRUE,AND(AB856:AQ856))</f>
        <v>0</v>
      </c>
      <c r="Y856">
        <f>COUNTBLANK(Metadata!B856:Q856)=COLUMNS(Metadata!B856:Q856)</f>
        <v>0</v>
      </c>
      <c r="Z856">
        <v>0</v>
      </c>
      <c r="AB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AC856">
        <f>AND(IF(Metadata!C856="",FALSE,TRUE),exact(Metadata!C856,"urban biome"))</f>
        <v>0</v>
      </c>
      <c r="AD856">
        <f>AND(IF(Metadata!D856="",FALSE,TRUE),exact(Metadata!D856,"human-associated habitat"))</f>
        <v>0</v>
      </c>
      <c r="AE856">
        <f>AND(IF(Metadata!E856="",FALSE,TRUE),OR(exact(Metadata!E856,"human-associated"),exact(Metadata!E856,"human-skin"),exact(Metadata!E856,"human-oral"),exact(Metadata!E856,"human-gut"),exact(Metadata!E856,"human-vaginal")))</f>
        <v>0</v>
      </c>
      <c r="AF856">
        <f>AND(IF(Metadata!F856="",FALSE,ISNUMBER(VALUE(Metadata!F856))),Metadata!F856&gt;0)</f>
        <v>0</v>
      </c>
      <c r="AG856">
        <f>AND(IF(Metadata!G856="",FALSE,TRUE),exact(Metadata!G856,"years"))</f>
        <v>0</v>
      </c>
      <c r="AH856">
        <f>OR(AND(IF(Metadata!H856="",FALSE,TRUE),OR(exact(Metadata!H856,"not applicable"),exact(Metadata!H856,"not collected"),exact(Metadata!H856,"not provided"),exact(Metadata!H856,"restricted access"))),AND(IF(Metadata!H856="",FALSE,ISNUMBER(VALUE(Metadata!H856))),Metadata!H856&gt;0))</f>
        <v>0</v>
      </c>
      <c r="AI856">
        <f>AND(IF(Metadata!I856="",FALSE,TRUE),exact(Metadata!I856,"human"))</f>
        <v>0</v>
      </c>
      <c r="AJ856">
        <f>AND(IF(Metadata!J856="",FALSE,ISNUMBER(VALUE(Metadata!J856))),Metadata!J856&gt;0)</f>
        <v>0</v>
      </c>
      <c r="AK856">
        <f>AND(IF(Metadata!K856="",FALSE,TRUE),exact(Metadata!K856,"cm"))</f>
        <v>0</v>
      </c>
      <c r="AL856">
        <f>AND(IF(Metadata!L856="",FALSE,TRUE),exact(Metadata!L856,"Homo sapiens"))</f>
        <v>0</v>
      </c>
      <c r="AM856">
        <f>AND(IF(Metadata!M856="",FALSE,TRUE),exact(Metadata!M856,"9606"))</f>
        <v>0</v>
      </c>
      <c r="AN856">
        <f>AND(IF(Metadata!N856="",FALSE,ISNUMBER(VALUE(Metadata!N856))),Metadata!N856&gt;0)</f>
        <v>0</v>
      </c>
      <c r="AO856">
        <f>AND(IF(Metadata!O856="",FALSE,TRUE),exact(Metadata!O856,"kg"))</f>
        <v>0</v>
      </c>
      <c r="AP856">
        <f>OR(AND(IF(Metadata!P856="",FALSE,TRUE),exact(Metadata!P856,"not provided")),IF(Metadata!P856="",FALSE,TRUE))</f>
        <v>0</v>
      </c>
      <c r="AQ856">
        <f>OR(AND(IF(Metadata!Q856="",FALSE,TRUE),exact(Metadata!Q856,"not provided")),IF(Metadata!Q856="",FALSE,TRUE))</f>
        <v>0</v>
      </c>
    </row>
    <row r="857" spans="1:43">
      <c r="A857" s="4">
        <f>IF(B857=" "," ",HYPERLINK(CONCATENATE("#metadata!",ADDRESS(INDEX($W$2:$W$1001,MATCH(ROWS($U$2:U857),$U$2:$U$1001,0),0),2)),INDEX($Z$2:$Z$1001,MATCH(ROWS($U$2:U857),$U$2:$U$1001,0),0)))</f>
        <v>0</v>
      </c>
      <c r="B857" s="5">
        <f>IF(OR(INDEX($V$2:$V$1001,MATCH(ROWS($U$2:U857),$U$2:$U$1001,0),1)&gt;=100000,INDEX($AB$1005:$AQ$1005,1,MATCH(COLUMNS($AB$1006:AB1006),$AB$1006:$AQ$1006,0))&gt;=100000), " ",IF(INDEX($AB$2:$AQ$1001,MATCH(ROWS($U$2:U857),$U$2:$U$1001,0),MATCH(COLUMNS($AB$1006:AB1006),$AB$1006:$AQ$1006,0)), HYPERLINK("#",""), HYPERLINK(CONCATENATE("#Metadata!", ADDRESS(INDEX($W$2:$W$1001,MATCH(ROWS($U$2:U857),$U$2:$U$1001,0),0), INDEX($AB$1004:$AQ$1004,1,MATCH(COLUMNS($AB$1006:AB1006),$AB$1006:$AQ$1006,0)))),"Fix")))</f>
        <v>0</v>
      </c>
      <c r="C857" s="5">
        <f>IF(OR(INDEX($V$2:$V$1001,MATCH(ROWS($U$2:U857),$U$2:$U$1001,0),1)&gt;=100000,INDEX($AB$1005:$AQ$1005,1,MATCH(COLUMNS($AB$1006:AC1006),$AB$1006:$AQ$1006,0))&gt;=100000), " ",IF(INDEX($AB$2:$AQ$1001,MATCH(ROWS($U$2:U857),$U$2:$U$1001,0),MATCH(COLUMNS($AB$1006:AC1006),$AB$1006:$AQ$1006,0)), HYPERLINK("#",""), HYPERLINK(CONCATENATE("#Metadata!", ADDRESS(INDEX($W$2:$W$1001,MATCH(ROWS($U$2:U857),$U$2:$U$1001,0),0), INDEX($AB$1004:$AQ$1004,1,MATCH(COLUMNS($AB$1006:AC1006),$AB$1006:$AQ$1006,0)))),"Fix")))</f>
        <v>0</v>
      </c>
      <c r="D857" s="5">
        <f>IF(OR(INDEX($V$2:$V$1001,MATCH(ROWS($U$2:U857),$U$2:$U$1001,0),1)&gt;=100000,INDEX($AB$1005:$AQ$1005,1,MATCH(COLUMNS($AB$1006:AD1006),$AB$1006:$AQ$1006,0))&gt;=100000), " ",IF(INDEX($AB$2:$AQ$1001,MATCH(ROWS($U$2:U857),$U$2:$U$1001,0),MATCH(COLUMNS($AB$1006:AD1006),$AB$1006:$AQ$1006,0)), HYPERLINK("#",""), HYPERLINK(CONCATENATE("#Metadata!", ADDRESS(INDEX($W$2:$W$1001,MATCH(ROWS($U$2:U857),$U$2:$U$1001,0),0), INDEX($AB$1004:$AQ$1004,1,MATCH(COLUMNS($AB$1006:AD1006),$AB$1006:$AQ$1006,0)))),"Fix")))</f>
        <v>0</v>
      </c>
      <c r="E857" s="5">
        <f>IF(OR(INDEX($V$2:$V$1001,MATCH(ROWS($U$2:U857),$U$2:$U$1001,0),1)&gt;=100000,INDEX($AB$1005:$AQ$1005,1,MATCH(COLUMNS($AB$1006:AE1006),$AB$1006:$AQ$1006,0))&gt;=100000), " ",IF(INDEX($AB$2:$AQ$1001,MATCH(ROWS($U$2:U857),$U$2:$U$1001,0),MATCH(COLUMNS($AB$1006:AE1006),$AB$1006:$AQ$1006,0)), HYPERLINK("#",""), HYPERLINK(CONCATENATE("#Metadata!", ADDRESS(INDEX($W$2:$W$1001,MATCH(ROWS($U$2:U857),$U$2:$U$1001,0),0), INDEX($AB$1004:$AQ$1004,1,MATCH(COLUMNS($AB$1006:AE1006),$AB$1006:$AQ$1006,0)))),"Fix")))</f>
        <v>0</v>
      </c>
      <c r="F857" s="5">
        <f>IF(OR(INDEX($V$2:$V$1001,MATCH(ROWS($U$2:U857),$U$2:$U$1001,0),1)&gt;=100000,INDEX($AB$1005:$AQ$1005,1,MATCH(COLUMNS($AB$1006:AF1006),$AB$1006:$AQ$1006,0))&gt;=100000), " ",IF(INDEX($AB$2:$AQ$1001,MATCH(ROWS($U$2:U857),$U$2:$U$1001,0),MATCH(COLUMNS($AB$1006:AF1006),$AB$1006:$AQ$1006,0)), HYPERLINK("#",""), HYPERLINK(CONCATENATE("#Metadata!", ADDRESS(INDEX($W$2:$W$1001,MATCH(ROWS($U$2:U857),$U$2:$U$1001,0),0), INDEX($AB$1004:$AQ$1004,1,MATCH(COLUMNS($AB$1006:AF1006),$AB$1006:$AQ$1006,0)))),"Fix")))</f>
        <v>0</v>
      </c>
      <c r="G857" s="5">
        <f>IF(OR(INDEX($V$2:$V$1001,MATCH(ROWS($U$2:U857),$U$2:$U$1001,0),1)&gt;=100000,INDEX($AB$1005:$AQ$1005,1,MATCH(COLUMNS($AB$1006:AG1006),$AB$1006:$AQ$1006,0))&gt;=100000), " ",IF(INDEX($AB$2:$AQ$1001,MATCH(ROWS($U$2:U857),$U$2:$U$1001,0),MATCH(COLUMNS($AB$1006:AG1006),$AB$1006:$AQ$1006,0)), HYPERLINK("#",""), HYPERLINK(CONCATENATE("#Metadata!", ADDRESS(INDEX($W$2:$W$1001,MATCH(ROWS($U$2:U857),$U$2:$U$1001,0),0), INDEX($AB$1004:$AQ$1004,1,MATCH(COLUMNS($AB$1006:AG1006),$AB$1006:$AQ$1006,0)))),"Fix")))</f>
        <v>0</v>
      </c>
      <c r="H857" s="5">
        <f>IF(OR(INDEX($V$2:$V$1001,MATCH(ROWS($U$2:U857),$U$2:$U$1001,0),1)&gt;=100000,INDEX($AB$1005:$AQ$1005,1,MATCH(COLUMNS($AB$1006:AH1006),$AB$1006:$AQ$1006,0))&gt;=100000), " ",IF(INDEX($AB$2:$AQ$1001,MATCH(ROWS($U$2:U857),$U$2:$U$1001,0),MATCH(COLUMNS($AB$1006:AH1006),$AB$1006:$AQ$1006,0)), HYPERLINK("#",""), HYPERLINK(CONCATENATE("#Metadata!", ADDRESS(INDEX($W$2:$W$1001,MATCH(ROWS($U$2:U857),$U$2:$U$1001,0),0), INDEX($AB$1004:$AQ$1004,1,MATCH(COLUMNS($AB$1006:AH1006),$AB$1006:$AQ$1006,0)))),"Fix")))</f>
        <v>0</v>
      </c>
      <c r="I857" s="5">
        <f>IF(OR(INDEX($V$2:$V$1001,MATCH(ROWS($U$2:U857),$U$2:$U$1001,0),1)&gt;=100000,INDEX($AB$1005:$AQ$1005,1,MATCH(COLUMNS($AB$1006:AI1006),$AB$1006:$AQ$1006,0))&gt;=100000), " ",IF(INDEX($AB$2:$AQ$1001,MATCH(ROWS($U$2:U857),$U$2:$U$1001,0),MATCH(COLUMNS($AB$1006:AI1006),$AB$1006:$AQ$1006,0)), HYPERLINK("#",""), HYPERLINK(CONCATENATE("#Metadata!", ADDRESS(INDEX($W$2:$W$1001,MATCH(ROWS($U$2:U857),$U$2:$U$1001,0),0), INDEX($AB$1004:$AQ$1004,1,MATCH(COLUMNS($AB$1006:AI1006),$AB$1006:$AQ$1006,0)))),"Fix")))</f>
        <v>0</v>
      </c>
      <c r="J857" s="5">
        <f>IF(OR(INDEX($V$2:$V$1001,MATCH(ROWS($U$2:U857),$U$2:$U$1001,0),1)&gt;=100000,INDEX($AB$1005:$AQ$1005,1,MATCH(COLUMNS($AB$1006:AJ1006),$AB$1006:$AQ$1006,0))&gt;=100000), " ",IF(INDEX($AB$2:$AQ$1001,MATCH(ROWS($U$2:U857),$U$2:$U$1001,0),MATCH(COLUMNS($AB$1006:AJ1006),$AB$1006:$AQ$1006,0)), HYPERLINK("#",""), HYPERLINK(CONCATENATE("#Metadata!", ADDRESS(INDEX($W$2:$W$1001,MATCH(ROWS($U$2:U857),$U$2:$U$1001,0),0), INDEX($AB$1004:$AQ$1004,1,MATCH(COLUMNS($AB$1006:AJ1006),$AB$1006:$AQ$1006,0)))),"Fix")))</f>
        <v>0</v>
      </c>
      <c r="K857" s="5">
        <f>IF(OR(INDEX($V$2:$V$1001,MATCH(ROWS($U$2:U857),$U$2:$U$1001,0),1)&gt;=100000,INDEX($AB$1005:$AQ$1005,1,MATCH(COLUMNS($AB$1006:AK1006),$AB$1006:$AQ$1006,0))&gt;=100000), " ",IF(INDEX($AB$2:$AQ$1001,MATCH(ROWS($U$2:U857),$U$2:$U$1001,0),MATCH(COLUMNS($AB$1006:AK1006),$AB$1006:$AQ$1006,0)), HYPERLINK("#",""), HYPERLINK(CONCATENATE("#Metadata!", ADDRESS(INDEX($W$2:$W$1001,MATCH(ROWS($U$2:U857),$U$2:$U$1001,0),0), INDEX($AB$1004:$AQ$1004,1,MATCH(COLUMNS($AB$1006:AK1006),$AB$1006:$AQ$1006,0)))),"Fix")))</f>
        <v>0</v>
      </c>
      <c r="L857" s="5">
        <f>IF(OR(INDEX($V$2:$V$1001,MATCH(ROWS($U$2:U857),$U$2:$U$1001,0),1)&gt;=100000,INDEX($AB$1005:$AQ$1005,1,MATCH(COLUMNS($AB$1006:AL1006),$AB$1006:$AQ$1006,0))&gt;=100000), " ",IF(INDEX($AB$2:$AQ$1001,MATCH(ROWS($U$2:U857),$U$2:$U$1001,0),MATCH(COLUMNS($AB$1006:AL1006),$AB$1006:$AQ$1006,0)), HYPERLINK("#",""), HYPERLINK(CONCATENATE("#Metadata!", ADDRESS(INDEX($W$2:$W$1001,MATCH(ROWS($U$2:U857),$U$2:$U$1001,0),0), INDEX($AB$1004:$AQ$1004,1,MATCH(COLUMNS($AB$1006:AL1006),$AB$1006:$AQ$1006,0)))),"Fix")))</f>
        <v>0</v>
      </c>
      <c r="M857" s="5">
        <f>IF(OR(INDEX($V$2:$V$1001,MATCH(ROWS($U$2:U857),$U$2:$U$1001,0),1)&gt;=100000,INDEX($AB$1005:$AQ$1005,1,MATCH(COLUMNS($AB$1006:AM1006),$AB$1006:$AQ$1006,0))&gt;=100000), " ",IF(INDEX($AB$2:$AQ$1001,MATCH(ROWS($U$2:U857),$U$2:$U$1001,0),MATCH(COLUMNS($AB$1006:AM1006),$AB$1006:$AQ$1006,0)), HYPERLINK("#",""), HYPERLINK(CONCATENATE("#Metadata!", ADDRESS(INDEX($W$2:$W$1001,MATCH(ROWS($U$2:U857),$U$2:$U$1001,0),0), INDEX($AB$1004:$AQ$1004,1,MATCH(COLUMNS($AB$1006:AM1006),$AB$1006:$AQ$1006,0)))),"Fix")))</f>
        <v>0</v>
      </c>
      <c r="N857" s="5">
        <f>IF(OR(INDEX($V$2:$V$1001,MATCH(ROWS($U$2:U857),$U$2:$U$1001,0),1)&gt;=100000,INDEX($AB$1005:$AQ$1005,1,MATCH(COLUMNS($AB$1006:AN1006),$AB$1006:$AQ$1006,0))&gt;=100000), " ",IF(INDEX($AB$2:$AQ$1001,MATCH(ROWS($U$2:U857),$U$2:$U$1001,0),MATCH(COLUMNS($AB$1006:AN1006),$AB$1006:$AQ$1006,0)), HYPERLINK("#",""), HYPERLINK(CONCATENATE("#Metadata!", ADDRESS(INDEX($W$2:$W$1001,MATCH(ROWS($U$2:U857),$U$2:$U$1001,0),0), INDEX($AB$1004:$AQ$1004,1,MATCH(COLUMNS($AB$1006:AN1006),$AB$1006:$AQ$1006,0)))),"Fix")))</f>
        <v>0</v>
      </c>
      <c r="O857" s="5">
        <f>IF(OR(INDEX($V$2:$V$1001,MATCH(ROWS($U$2:U857),$U$2:$U$1001,0),1)&gt;=100000,INDEX($AB$1005:$AQ$1005,1,MATCH(COLUMNS($AB$1006:AO1006),$AB$1006:$AQ$1006,0))&gt;=100000), " ",IF(INDEX($AB$2:$AQ$1001,MATCH(ROWS($U$2:U857),$U$2:$U$1001,0),MATCH(COLUMNS($AB$1006:AO1006),$AB$1006:$AQ$1006,0)), HYPERLINK("#",""), HYPERLINK(CONCATENATE("#Metadata!", ADDRESS(INDEX($W$2:$W$1001,MATCH(ROWS($U$2:U857),$U$2:$U$1001,0),0), INDEX($AB$1004:$AQ$1004,1,MATCH(COLUMNS($AB$1006:AO1006),$AB$1006:$AQ$1006,0)))),"Fix")))</f>
        <v>0</v>
      </c>
      <c r="P857" s="5">
        <f>IF(OR(INDEX($V$2:$V$1001,MATCH(ROWS($U$2:U857),$U$2:$U$1001,0),1)&gt;=100000,INDEX($AB$1005:$AQ$1005,1,MATCH(COLUMNS($AB$1006:AP1006),$AB$1006:$AQ$1006,0))&gt;=100000), " ",IF(INDEX($AB$2:$AQ$1001,MATCH(ROWS($U$2:U857),$U$2:$U$1001,0),MATCH(COLUMNS($AB$1006:AP1006),$AB$1006:$AQ$1006,0)), HYPERLINK("#",""), HYPERLINK(CONCATENATE("#Metadata!", ADDRESS(INDEX($W$2:$W$1001,MATCH(ROWS($U$2:U857),$U$2:$U$1001,0),0), INDEX($AB$1004:$AQ$1004,1,MATCH(COLUMNS($AB$1006:AP1006),$AB$1006:$AQ$1006,0)))),"Fix")))</f>
        <v>0</v>
      </c>
      <c r="Q857" s="5">
        <f>IF(OR(INDEX($V$2:$V$1001,MATCH(ROWS($U$2:U857),$U$2:$U$1001,0),1)&gt;=100000,INDEX($AB$1005:$AQ$1005,1,MATCH(COLUMNS($AB$1006:AQ1006),$AB$1006:$AQ$1006,0))&gt;=100000), " ",IF(INDEX($AB$2:$AQ$1001,MATCH(ROWS($U$2:U857),$U$2:$U$1001,0),MATCH(COLUMNS($AB$1006:AQ1006),$AB$1006:$AQ$1006,0)), HYPERLINK("#",""), HYPERLINK(CONCATENATE("#Metadata!", ADDRESS(INDEX($W$2:$W$1001,MATCH(ROWS($U$2:U857),$U$2:$U$1001,0),0), INDEX($AB$1004:$AQ$1004,1,MATCH(COLUMNS($AB$1006:AQ1006),$AB$1006:$AQ$1006,0)))),"Fix")))</f>
        <v>0</v>
      </c>
      <c r="U857">
        <v>0</v>
      </c>
      <c r="V857">
        <v>0</v>
      </c>
      <c r="W857">
        <v>0</v>
      </c>
      <c r="X857">
        <f>IF(Y857,TRUE,AND(AB857:AQ857))</f>
        <v>0</v>
      </c>
      <c r="Y857">
        <f>COUNTBLANK(Metadata!B857:Q857)=COLUMNS(Metadata!B857:Q857)</f>
        <v>0</v>
      </c>
      <c r="Z857">
        <v>0</v>
      </c>
      <c r="AB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AC857">
        <f>AND(IF(Metadata!C857="",FALSE,TRUE),exact(Metadata!C857,"urban biome"))</f>
        <v>0</v>
      </c>
      <c r="AD857">
        <f>AND(IF(Metadata!D857="",FALSE,TRUE),exact(Metadata!D857,"human-associated habitat"))</f>
        <v>0</v>
      </c>
      <c r="AE857">
        <f>AND(IF(Metadata!E857="",FALSE,TRUE),OR(exact(Metadata!E857,"human-associated"),exact(Metadata!E857,"human-skin"),exact(Metadata!E857,"human-oral"),exact(Metadata!E857,"human-gut"),exact(Metadata!E857,"human-vaginal")))</f>
        <v>0</v>
      </c>
      <c r="AF857">
        <f>AND(IF(Metadata!F857="",FALSE,ISNUMBER(VALUE(Metadata!F857))),Metadata!F857&gt;0)</f>
        <v>0</v>
      </c>
      <c r="AG857">
        <f>AND(IF(Metadata!G857="",FALSE,TRUE),exact(Metadata!G857,"years"))</f>
        <v>0</v>
      </c>
      <c r="AH857">
        <f>OR(AND(IF(Metadata!H857="",FALSE,TRUE),OR(exact(Metadata!H857,"not applicable"),exact(Metadata!H857,"not collected"),exact(Metadata!H857,"not provided"),exact(Metadata!H857,"restricted access"))),AND(IF(Metadata!H857="",FALSE,ISNUMBER(VALUE(Metadata!H857))),Metadata!H857&gt;0))</f>
        <v>0</v>
      </c>
      <c r="AI857">
        <f>AND(IF(Metadata!I857="",FALSE,TRUE),exact(Metadata!I857,"human"))</f>
        <v>0</v>
      </c>
      <c r="AJ857">
        <f>AND(IF(Metadata!J857="",FALSE,ISNUMBER(VALUE(Metadata!J857))),Metadata!J857&gt;0)</f>
        <v>0</v>
      </c>
      <c r="AK857">
        <f>AND(IF(Metadata!K857="",FALSE,TRUE),exact(Metadata!K857,"cm"))</f>
        <v>0</v>
      </c>
      <c r="AL857">
        <f>AND(IF(Metadata!L857="",FALSE,TRUE),exact(Metadata!L857,"Homo sapiens"))</f>
        <v>0</v>
      </c>
      <c r="AM857">
        <f>AND(IF(Metadata!M857="",FALSE,TRUE),exact(Metadata!M857,"9606"))</f>
        <v>0</v>
      </c>
      <c r="AN857">
        <f>AND(IF(Metadata!N857="",FALSE,ISNUMBER(VALUE(Metadata!N857))),Metadata!N857&gt;0)</f>
        <v>0</v>
      </c>
      <c r="AO857">
        <f>AND(IF(Metadata!O857="",FALSE,TRUE),exact(Metadata!O857,"kg"))</f>
        <v>0</v>
      </c>
      <c r="AP857">
        <f>OR(AND(IF(Metadata!P857="",FALSE,TRUE),exact(Metadata!P857,"not provided")),IF(Metadata!P857="",FALSE,TRUE))</f>
        <v>0</v>
      </c>
      <c r="AQ857">
        <f>OR(AND(IF(Metadata!Q857="",FALSE,TRUE),exact(Metadata!Q857,"not provided")),IF(Metadata!Q857="",FALSE,TRUE))</f>
        <v>0</v>
      </c>
    </row>
    <row r="858" spans="1:43">
      <c r="A858" s="4">
        <f>IF(B858=" "," ",HYPERLINK(CONCATENATE("#metadata!",ADDRESS(INDEX($W$2:$W$1001,MATCH(ROWS($U$2:U858),$U$2:$U$1001,0),0),2)),INDEX($Z$2:$Z$1001,MATCH(ROWS($U$2:U858),$U$2:$U$1001,0),0)))</f>
        <v>0</v>
      </c>
      <c r="B858" s="5">
        <f>IF(OR(INDEX($V$2:$V$1001,MATCH(ROWS($U$2:U858),$U$2:$U$1001,0),1)&gt;=100000,INDEX($AB$1005:$AQ$1005,1,MATCH(COLUMNS($AB$1006:AB1006),$AB$1006:$AQ$1006,0))&gt;=100000), " ",IF(INDEX($AB$2:$AQ$1001,MATCH(ROWS($U$2:U858),$U$2:$U$1001,0),MATCH(COLUMNS($AB$1006:AB1006),$AB$1006:$AQ$1006,0)), HYPERLINK("#",""), HYPERLINK(CONCATENATE("#Metadata!", ADDRESS(INDEX($W$2:$W$1001,MATCH(ROWS($U$2:U858),$U$2:$U$1001,0),0), INDEX($AB$1004:$AQ$1004,1,MATCH(COLUMNS($AB$1006:AB1006),$AB$1006:$AQ$1006,0)))),"Fix")))</f>
        <v>0</v>
      </c>
      <c r="C858" s="5">
        <f>IF(OR(INDEX($V$2:$V$1001,MATCH(ROWS($U$2:U858),$U$2:$U$1001,0),1)&gt;=100000,INDEX($AB$1005:$AQ$1005,1,MATCH(COLUMNS($AB$1006:AC1006),$AB$1006:$AQ$1006,0))&gt;=100000), " ",IF(INDEX($AB$2:$AQ$1001,MATCH(ROWS($U$2:U858),$U$2:$U$1001,0),MATCH(COLUMNS($AB$1006:AC1006),$AB$1006:$AQ$1006,0)), HYPERLINK("#",""), HYPERLINK(CONCATENATE("#Metadata!", ADDRESS(INDEX($W$2:$W$1001,MATCH(ROWS($U$2:U858),$U$2:$U$1001,0),0), INDEX($AB$1004:$AQ$1004,1,MATCH(COLUMNS($AB$1006:AC1006),$AB$1006:$AQ$1006,0)))),"Fix")))</f>
        <v>0</v>
      </c>
      <c r="D858" s="5">
        <f>IF(OR(INDEX($V$2:$V$1001,MATCH(ROWS($U$2:U858),$U$2:$U$1001,0),1)&gt;=100000,INDEX($AB$1005:$AQ$1005,1,MATCH(COLUMNS($AB$1006:AD1006),$AB$1006:$AQ$1006,0))&gt;=100000), " ",IF(INDEX($AB$2:$AQ$1001,MATCH(ROWS($U$2:U858),$U$2:$U$1001,0),MATCH(COLUMNS($AB$1006:AD1006),$AB$1006:$AQ$1006,0)), HYPERLINK("#",""), HYPERLINK(CONCATENATE("#Metadata!", ADDRESS(INDEX($W$2:$W$1001,MATCH(ROWS($U$2:U858),$U$2:$U$1001,0),0), INDEX($AB$1004:$AQ$1004,1,MATCH(COLUMNS($AB$1006:AD1006),$AB$1006:$AQ$1006,0)))),"Fix")))</f>
        <v>0</v>
      </c>
      <c r="E858" s="5">
        <f>IF(OR(INDEX($V$2:$V$1001,MATCH(ROWS($U$2:U858),$U$2:$U$1001,0),1)&gt;=100000,INDEX($AB$1005:$AQ$1005,1,MATCH(COLUMNS($AB$1006:AE1006),$AB$1006:$AQ$1006,0))&gt;=100000), " ",IF(INDEX($AB$2:$AQ$1001,MATCH(ROWS($U$2:U858),$U$2:$U$1001,0),MATCH(COLUMNS($AB$1006:AE1006),$AB$1006:$AQ$1006,0)), HYPERLINK("#",""), HYPERLINK(CONCATENATE("#Metadata!", ADDRESS(INDEX($W$2:$W$1001,MATCH(ROWS($U$2:U858),$U$2:$U$1001,0),0), INDEX($AB$1004:$AQ$1004,1,MATCH(COLUMNS($AB$1006:AE1006),$AB$1006:$AQ$1006,0)))),"Fix")))</f>
        <v>0</v>
      </c>
      <c r="F858" s="5">
        <f>IF(OR(INDEX($V$2:$V$1001,MATCH(ROWS($U$2:U858),$U$2:$U$1001,0),1)&gt;=100000,INDEX($AB$1005:$AQ$1005,1,MATCH(COLUMNS($AB$1006:AF1006),$AB$1006:$AQ$1006,0))&gt;=100000), " ",IF(INDEX($AB$2:$AQ$1001,MATCH(ROWS($U$2:U858),$U$2:$U$1001,0),MATCH(COLUMNS($AB$1006:AF1006),$AB$1006:$AQ$1006,0)), HYPERLINK("#",""), HYPERLINK(CONCATENATE("#Metadata!", ADDRESS(INDEX($W$2:$W$1001,MATCH(ROWS($U$2:U858),$U$2:$U$1001,0),0), INDEX($AB$1004:$AQ$1004,1,MATCH(COLUMNS($AB$1006:AF1006),$AB$1006:$AQ$1006,0)))),"Fix")))</f>
        <v>0</v>
      </c>
      <c r="G858" s="5">
        <f>IF(OR(INDEX($V$2:$V$1001,MATCH(ROWS($U$2:U858),$U$2:$U$1001,0),1)&gt;=100000,INDEX($AB$1005:$AQ$1005,1,MATCH(COLUMNS($AB$1006:AG1006),$AB$1006:$AQ$1006,0))&gt;=100000), " ",IF(INDEX($AB$2:$AQ$1001,MATCH(ROWS($U$2:U858),$U$2:$U$1001,0),MATCH(COLUMNS($AB$1006:AG1006),$AB$1006:$AQ$1006,0)), HYPERLINK("#",""), HYPERLINK(CONCATENATE("#Metadata!", ADDRESS(INDEX($W$2:$W$1001,MATCH(ROWS($U$2:U858),$U$2:$U$1001,0),0), INDEX($AB$1004:$AQ$1004,1,MATCH(COLUMNS($AB$1006:AG1006),$AB$1006:$AQ$1006,0)))),"Fix")))</f>
        <v>0</v>
      </c>
      <c r="H858" s="5">
        <f>IF(OR(INDEX($V$2:$V$1001,MATCH(ROWS($U$2:U858),$U$2:$U$1001,0),1)&gt;=100000,INDEX($AB$1005:$AQ$1005,1,MATCH(COLUMNS($AB$1006:AH1006),$AB$1006:$AQ$1006,0))&gt;=100000), " ",IF(INDEX($AB$2:$AQ$1001,MATCH(ROWS($U$2:U858),$U$2:$U$1001,0),MATCH(COLUMNS($AB$1006:AH1006),$AB$1006:$AQ$1006,0)), HYPERLINK("#",""), HYPERLINK(CONCATENATE("#Metadata!", ADDRESS(INDEX($W$2:$W$1001,MATCH(ROWS($U$2:U858),$U$2:$U$1001,0),0), INDEX($AB$1004:$AQ$1004,1,MATCH(COLUMNS($AB$1006:AH1006),$AB$1006:$AQ$1006,0)))),"Fix")))</f>
        <v>0</v>
      </c>
      <c r="I858" s="5">
        <f>IF(OR(INDEX($V$2:$V$1001,MATCH(ROWS($U$2:U858),$U$2:$U$1001,0),1)&gt;=100000,INDEX($AB$1005:$AQ$1005,1,MATCH(COLUMNS($AB$1006:AI1006),$AB$1006:$AQ$1006,0))&gt;=100000), " ",IF(INDEX($AB$2:$AQ$1001,MATCH(ROWS($U$2:U858),$U$2:$U$1001,0),MATCH(COLUMNS($AB$1006:AI1006),$AB$1006:$AQ$1006,0)), HYPERLINK("#",""), HYPERLINK(CONCATENATE("#Metadata!", ADDRESS(INDEX($W$2:$W$1001,MATCH(ROWS($U$2:U858),$U$2:$U$1001,0),0), INDEX($AB$1004:$AQ$1004,1,MATCH(COLUMNS($AB$1006:AI1006),$AB$1006:$AQ$1006,0)))),"Fix")))</f>
        <v>0</v>
      </c>
      <c r="J858" s="5">
        <f>IF(OR(INDEX($V$2:$V$1001,MATCH(ROWS($U$2:U858),$U$2:$U$1001,0),1)&gt;=100000,INDEX($AB$1005:$AQ$1005,1,MATCH(COLUMNS($AB$1006:AJ1006),$AB$1006:$AQ$1006,0))&gt;=100000), " ",IF(INDEX($AB$2:$AQ$1001,MATCH(ROWS($U$2:U858),$U$2:$U$1001,0),MATCH(COLUMNS($AB$1006:AJ1006),$AB$1006:$AQ$1006,0)), HYPERLINK("#",""), HYPERLINK(CONCATENATE("#Metadata!", ADDRESS(INDEX($W$2:$W$1001,MATCH(ROWS($U$2:U858),$U$2:$U$1001,0),0), INDEX($AB$1004:$AQ$1004,1,MATCH(COLUMNS($AB$1006:AJ1006),$AB$1006:$AQ$1006,0)))),"Fix")))</f>
        <v>0</v>
      </c>
      <c r="K858" s="5">
        <f>IF(OR(INDEX($V$2:$V$1001,MATCH(ROWS($U$2:U858),$U$2:$U$1001,0),1)&gt;=100000,INDEX($AB$1005:$AQ$1005,1,MATCH(COLUMNS($AB$1006:AK1006),$AB$1006:$AQ$1006,0))&gt;=100000), " ",IF(INDEX($AB$2:$AQ$1001,MATCH(ROWS($U$2:U858),$U$2:$U$1001,0),MATCH(COLUMNS($AB$1006:AK1006),$AB$1006:$AQ$1006,0)), HYPERLINK("#",""), HYPERLINK(CONCATENATE("#Metadata!", ADDRESS(INDEX($W$2:$W$1001,MATCH(ROWS($U$2:U858),$U$2:$U$1001,0),0), INDEX($AB$1004:$AQ$1004,1,MATCH(COLUMNS($AB$1006:AK1006),$AB$1006:$AQ$1006,0)))),"Fix")))</f>
        <v>0</v>
      </c>
      <c r="L858" s="5">
        <f>IF(OR(INDEX($V$2:$V$1001,MATCH(ROWS($U$2:U858),$U$2:$U$1001,0),1)&gt;=100000,INDEX($AB$1005:$AQ$1005,1,MATCH(COLUMNS($AB$1006:AL1006),$AB$1006:$AQ$1006,0))&gt;=100000), " ",IF(INDEX($AB$2:$AQ$1001,MATCH(ROWS($U$2:U858),$U$2:$U$1001,0),MATCH(COLUMNS($AB$1006:AL1006),$AB$1006:$AQ$1006,0)), HYPERLINK("#",""), HYPERLINK(CONCATENATE("#Metadata!", ADDRESS(INDEX($W$2:$W$1001,MATCH(ROWS($U$2:U858),$U$2:$U$1001,0),0), INDEX($AB$1004:$AQ$1004,1,MATCH(COLUMNS($AB$1006:AL1006),$AB$1006:$AQ$1006,0)))),"Fix")))</f>
        <v>0</v>
      </c>
      <c r="M858" s="5">
        <f>IF(OR(INDEX($V$2:$V$1001,MATCH(ROWS($U$2:U858),$U$2:$U$1001,0),1)&gt;=100000,INDEX($AB$1005:$AQ$1005,1,MATCH(COLUMNS($AB$1006:AM1006),$AB$1006:$AQ$1006,0))&gt;=100000), " ",IF(INDEX($AB$2:$AQ$1001,MATCH(ROWS($U$2:U858),$U$2:$U$1001,0),MATCH(COLUMNS($AB$1006:AM1006),$AB$1006:$AQ$1006,0)), HYPERLINK("#",""), HYPERLINK(CONCATENATE("#Metadata!", ADDRESS(INDEX($W$2:$W$1001,MATCH(ROWS($U$2:U858),$U$2:$U$1001,0),0), INDEX($AB$1004:$AQ$1004,1,MATCH(COLUMNS($AB$1006:AM1006),$AB$1006:$AQ$1006,0)))),"Fix")))</f>
        <v>0</v>
      </c>
      <c r="N858" s="5">
        <f>IF(OR(INDEX($V$2:$V$1001,MATCH(ROWS($U$2:U858),$U$2:$U$1001,0),1)&gt;=100000,INDEX($AB$1005:$AQ$1005,1,MATCH(COLUMNS($AB$1006:AN1006),$AB$1006:$AQ$1006,0))&gt;=100000), " ",IF(INDEX($AB$2:$AQ$1001,MATCH(ROWS($U$2:U858),$U$2:$U$1001,0),MATCH(COLUMNS($AB$1006:AN1006),$AB$1006:$AQ$1006,0)), HYPERLINK("#",""), HYPERLINK(CONCATENATE("#Metadata!", ADDRESS(INDEX($W$2:$W$1001,MATCH(ROWS($U$2:U858),$U$2:$U$1001,0),0), INDEX($AB$1004:$AQ$1004,1,MATCH(COLUMNS($AB$1006:AN1006),$AB$1006:$AQ$1006,0)))),"Fix")))</f>
        <v>0</v>
      </c>
      <c r="O858" s="5">
        <f>IF(OR(INDEX($V$2:$V$1001,MATCH(ROWS($U$2:U858),$U$2:$U$1001,0),1)&gt;=100000,INDEX($AB$1005:$AQ$1005,1,MATCH(COLUMNS($AB$1006:AO1006),$AB$1006:$AQ$1006,0))&gt;=100000), " ",IF(INDEX($AB$2:$AQ$1001,MATCH(ROWS($U$2:U858),$U$2:$U$1001,0),MATCH(COLUMNS($AB$1006:AO1006),$AB$1006:$AQ$1006,0)), HYPERLINK("#",""), HYPERLINK(CONCATENATE("#Metadata!", ADDRESS(INDEX($W$2:$W$1001,MATCH(ROWS($U$2:U858),$U$2:$U$1001,0),0), INDEX($AB$1004:$AQ$1004,1,MATCH(COLUMNS($AB$1006:AO1006),$AB$1006:$AQ$1006,0)))),"Fix")))</f>
        <v>0</v>
      </c>
      <c r="P858" s="5">
        <f>IF(OR(INDEX($V$2:$V$1001,MATCH(ROWS($U$2:U858),$U$2:$U$1001,0),1)&gt;=100000,INDEX($AB$1005:$AQ$1005,1,MATCH(COLUMNS($AB$1006:AP1006),$AB$1006:$AQ$1006,0))&gt;=100000), " ",IF(INDEX($AB$2:$AQ$1001,MATCH(ROWS($U$2:U858),$U$2:$U$1001,0),MATCH(COLUMNS($AB$1006:AP1006),$AB$1006:$AQ$1006,0)), HYPERLINK("#",""), HYPERLINK(CONCATENATE("#Metadata!", ADDRESS(INDEX($W$2:$W$1001,MATCH(ROWS($U$2:U858),$U$2:$U$1001,0),0), INDEX($AB$1004:$AQ$1004,1,MATCH(COLUMNS($AB$1006:AP1006),$AB$1006:$AQ$1006,0)))),"Fix")))</f>
        <v>0</v>
      </c>
      <c r="Q858" s="5">
        <f>IF(OR(INDEX($V$2:$V$1001,MATCH(ROWS($U$2:U858),$U$2:$U$1001,0),1)&gt;=100000,INDEX($AB$1005:$AQ$1005,1,MATCH(COLUMNS($AB$1006:AQ1006),$AB$1006:$AQ$1006,0))&gt;=100000), " ",IF(INDEX($AB$2:$AQ$1001,MATCH(ROWS($U$2:U858),$U$2:$U$1001,0),MATCH(COLUMNS($AB$1006:AQ1006),$AB$1006:$AQ$1006,0)), HYPERLINK("#",""), HYPERLINK(CONCATENATE("#Metadata!", ADDRESS(INDEX($W$2:$W$1001,MATCH(ROWS($U$2:U858),$U$2:$U$1001,0),0), INDEX($AB$1004:$AQ$1004,1,MATCH(COLUMNS($AB$1006:AQ1006),$AB$1006:$AQ$1006,0)))),"Fix")))</f>
        <v>0</v>
      </c>
      <c r="U858">
        <v>0</v>
      </c>
      <c r="V858">
        <v>0</v>
      </c>
      <c r="W858">
        <v>0</v>
      </c>
      <c r="X858">
        <f>IF(Y858,TRUE,AND(AB858:AQ858))</f>
        <v>0</v>
      </c>
      <c r="Y858">
        <f>COUNTBLANK(Metadata!B858:Q858)=COLUMNS(Metadata!B858:Q858)</f>
        <v>0</v>
      </c>
      <c r="Z858">
        <v>0</v>
      </c>
      <c r="AB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AC858">
        <f>AND(IF(Metadata!C858="",FALSE,TRUE),exact(Metadata!C858,"urban biome"))</f>
        <v>0</v>
      </c>
      <c r="AD858">
        <f>AND(IF(Metadata!D858="",FALSE,TRUE),exact(Metadata!D858,"human-associated habitat"))</f>
        <v>0</v>
      </c>
      <c r="AE858">
        <f>AND(IF(Metadata!E858="",FALSE,TRUE),OR(exact(Metadata!E858,"human-associated"),exact(Metadata!E858,"human-skin"),exact(Metadata!E858,"human-oral"),exact(Metadata!E858,"human-gut"),exact(Metadata!E858,"human-vaginal")))</f>
        <v>0</v>
      </c>
      <c r="AF858">
        <f>AND(IF(Metadata!F858="",FALSE,ISNUMBER(VALUE(Metadata!F858))),Metadata!F858&gt;0)</f>
        <v>0</v>
      </c>
      <c r="AG858">
        <f>AND(IF(Metadata!G858="",FALSE,TRUE),exact(Metadata!G858,"years"))</f>
        <v>0</v>
      </c>
      <c r="AH858">
        <f>OR(AND(IF(Metadata!H858="",FALSE,TRUE),OR(exact(Metadata!H858,"not applicable"),exact(Metadata!H858,"not collected"),exact(Metadata!H858,"not provided"),exact(Metadata!H858,"restricted access"))),AND(IF(Metadata!H858="",FALSE,ISNUMBER(VALUE(Metadata!H858))),Metadata!H858&gt;0))</f>
        <v>0</v>
      </c>
      <c r="AI858">
        <f>AND(IF(Metadata!I858="",FALSE,TRUE),exact(Metadata!I858,"human"))</f>
        <v>0</v>
      </c>
      <c r="AJ858">
        <f>AND(IF(Metadata!J858="",FALSE,ISNUMBER(VALUE(Metadata!J858))),Metadata!J858&gt;0)</f>
        <v>0</v>
      </c>
      <c r="AK858">
        <f>AND(IF(Metadata!K858="",FALSE,TRUE),exact(Metadata!K858,"cm"))</f>
        <v>0</v>
      </c>
      <c r="AL858">
        <f>AND(IF(Metadata!L858="",FALSE,TRUE),exact(Metadata!L858,"Homo sapiens"))</f>
        <v>0</v>
      </c>
      <c r="AM858">
        <f>AND(IF(Metadata!M858="",FALSE,TRUE),exact(Metadata!M858,"9606"))</f>
        <v>0</v>
      </c>
      <c r="AN858">
        <f>AND(IF(Metadata!N858="",FALSE,ISNUMBER(VALUE(Metadata!N858))),Metadata!N858&gt;0)</f>
        <v>0</v>
      </c>
      <c r="AO858">
        <f>AND(IF(Metadata!O858="",FALSE,TRUE),exact(Metadata!O858,"kg"))</f>
        <v>0</v>
      </c>
      <c r="AP858">
        <f>OR(AND(IF(Metadata!P858="",FALSE,TRUE),exact(Metadata!P858,"not provided")),IF(Metadata!P858="",FALSE,TRUE))</f>
        <v>0</v>
      </c>
      <c r="AQ858">
        <f>OR(AND(IF(Metadata!Q858="",FALSE,TRUE),exact(Metadata!Q858,"not provided")),IF(Metadata!Q858="",FALSE,TRUE))</f>
        <v>0</v>
      </c>
    </row>
    <row r="859" spans="1:43">
      <c r="A859" s="4">
        <f>IF(B859=" "," ",HYPERLINK(CONCATENATE("#metadata!",ADDRESS(INDEX($W$2:$W$1001,MATCH(ROWS($U$2:U859),$U$2:$U$1001,0),0),2)),INDEX($Z$2:$Z$1001,MATCH(ROWS($U$2:U859),$U$2:$U$1001,0),0)))</f>
        <v>0</v>
      </c>
      <c r="B859" s="5">
        <f>IF(OR(INDEX($V$2:$V$1001,MATCH(ROWS($U$2:U859),$U$2:$U$1001,0),1)&gt;=100000,INDEX($AB$1005:$AQ$1005,1,MATCH(COLUMNS($AB$1006:AB1006),$AB$1006:$AQ$1006,0))&gt;=100000), " ",IF(INDEX($AB$2:$AQ$1001,MATCH(ROWS($U$2:U859),$U$2:$U$1001,0),MATCH(COLUMNS($AB$1006:AB1006),$AB$1006:$AQ$1006,0)), HYPERLINK("#",""), HYPERLINK(CONCATENATE("#Metadata!", ADDRESS(INDEX($W$2:$W$1001,MATCH(ROWS($U$2:U859),$U$2:$U$1001,0),0), INDEX($AB$1004:$AQ$1004,1,MATCH(COLUMNS($AB$1006:AB1006),$AB$1006:$AQ$1006,0)))),"Fix")))</f>
        <v>0</v>
      </c>
      <c r="C859" s="5">
        <f>IF(OR(INDEX($V$2:$V$1001,MATCH(ROWS($U$2:U859),$U$2:$U$1001,0),1)&gt;=100000,INDEX($AB$1005:$AQ$1005,1,MATCH(COLUMNS($AB$1006:AC1006),$AB$1006:$AQ$1006,0))&gt;=100000), " ",IF(INDEX($AB$2:$AQ$1001,MATCH(ROWS($U$2:U859),$U$2:$U$1001,0),MATCH(COLUMNS($AB$1006:AC1006),$AB$1006:$AQ$1006,0)), HYPERLINK("#",""), HYPERLINK(CONCATENATE("#Metadata!", ADDRESS(INDEX($W$2:$W$1001,MATCH(ROWS($U$2:U859),$U$2:$U$1001,0),0), INDEX($AB$1004:$AQ$1004,1,MATCH(COLUMNS($AB$1006:AC1006),$AB$1006:$AQ$1006,0)))),"Fix")))</f>
        <v>0</v>
      </c>
      <c r="D859" s="5">
        <f>IF(OR(INDEX($V$2:$V$1001,MATCH(ROWS($U$2:U859),$U$2:$U$1001,0),1)&gt;=100000,INDEX($AB$1005:$AQ$1005,1,MATCH(COLUMNS($AB$1006:AD1006),$AB$1006:$AQ$1006,0))&gt;=100000), " ",IF(INDEX($AB$2:$AQ$1001,MATCH(ROWS($U$2:U859),$U$2:$U$1001,0),MATCH(COLUMNS($AB$1006:AD1006),$AB$1006:$AQ$1006,0)), HYPERLINK("#",""), HYPERLINK(CONCATENATE("#Metadata!", ADDRESS(INDEX($W$2:$W$1001,MATCH(ROWS($U$2:U859),$U$2:$U$1001,0),0), INDEX($AB$1004:$AQ$1004,1,MATCH(COLUMNS($AB$1006:AD1006),$AB$1006:$AQ$1006,0)))),"Fix")))</f>
        <v>0</v>
      </c>
      <c r="E859" s="5">
        <f>IF(OR(INDEX($V$2:$V$1001,MATCH(ROWS($U$2:U859),$U$2:$U$1001,0),1)&gt;=100000,INDEX($AB$1005:$AQ$1005,1,MATCH(COLUMNS($AB$1006:AE1006),$AB$1006:$AQ$1006,0))&gt;=100000), " ",IF(INDEX($AB$2:$AQ$1001,MATCH(ROWS($U$2:U859),$U$2:$U$1001,0),MATCH(COLUMNS($AB$1006:AE1006),$AB$1006:$AQ$1006,0)), HYPERLINK("#",""), HYPERLINK(CONCATENATE("#Metadata!", ADDRESS(INDEX($W$2:$W$1001,MATCH(ROWS($U$2:U859),$U$2:$U$1001,0),0), INDEX($AB$1004:$AQ$1004,1,MATCH(COLUMNS($AB$1006:AE1006),$AB$1006:$AQ$1006,0)))),"Fix")))</f>
        <v>0</v>
      </c>
      <c r="F859" s="5">
        <f>IF(OR(INDEX($V$2:$V$1001,MATCH(ROWS($U$2:U859),$U$2:$U$1001,0),1)&gt;=100000,INDEX($AB$1005:$AQ$1005,1,MATCH(COLUMNS($AB$1006:AF1006),$AB$1006:$AQ$1006,0))&gt;=100000), " ",IF(INDEX($AB$2:$AQ$1001,MATCH(ROWS($U$2:U859),$U$2:$U$1001,0),MATCH(COLUMNS($AB$1006:AF1006),$AB$1006:$AQ$1006,0)), HYPERLINK("#",""), HYPERLINK(CONCATENATE("#Metadata!", ADDRESS(INDEX($W$2:$W$1001,MATCH(ROWS($U$2:U859),$U$2:$U$1001,0),0), INDEX($AB$1004:$AQ$1004,1,MATCH(COLUMNS($AB$1006:AF1006),$AB$1006:$AQ$1006,0)))),"Fix")))</f>
        <v>0</v>
      </c>
      <c r="G859" s="5">
        <f>IF(OR(INDEX($V$2:$V$1001,MATCH(ROWS($U$2:U859),$U$2:$U$1001,0),1)&gt;=100000,INDEX($AB$1005:$AQ$1005,1,MATCH(COLUMNS($AB$1006:AG1006),$AB$1006:$AQ$1006,0))&gt;=100000), " ",IF(INDEX($AB$2:$AQ$1001,MATCH(ROWS($U$2:U859),$U$2:$U$1001,0),MATCH(COLUMNS($AB$1006:AG1006),$AB$1006:$AQ$1006,0)), HYPERLINK("#",""), HYPERLINK(CONCATENATE("#Metadata!", ADDRESS(INDEX($W$2:$W$1001,MATCH(ROWS($U$2:U859),$U$2:$U$1001,0),0), INDEX($AB$1004:$AQ$1004,1,MATCH(COLUMNS($AB$1006:AG1006),$AB$1006:$AQ$1006,0)))),"Fix")))</f>
        <v>0</v>
      </c>
      <c r="H859" s="5">
        <f>IF(OR(INDEX($V$2:$V$1001,MATCH(ROWS($U$2:U859),$U$2:$U$1001,0),1)&gt;=100000,INDEX($AB$1005:$AQ$1005,1,MATCH(COLUMNS($AB$1006:AH1006),$AB$1006:$AQ$1006,0))&gt;=100000), " ",IF(INDEX($AB$2:$AQ$1001,MATCH(ROWS($U$2:U859),$U$2:$U$1001,0),MATCH(COLUMNS($AB$1006:AH1006),$AB$1006:$AQ$1006,0)), HYPERLINK("#",""), HYPERLINK(CONCATENATE("#Metadata!", ADDRESS(INDEX($W$2:$W$1001,MATCH(ROWS($U$2:U859),$U$2:$U$1001,0),0), INDEX($AB$1004:$AQ$1004,1,MATCH(COLUMNS($AB$1006:AH1006),$AB$1006:$AQ$1006,0)))),"Fix")))</f>
        <v>0</v>
      </c>
      <c r="I859" s="5">
        <f>IF(OR(INDEX($V$2:$V$1001,MATCH(ROWS($U$2:U859),$U$2:$U$1001,0),1)&gt;=100000,INDEX($AB$1005:$AQ$1005,1,MATCH(COLUMNS($AB$1006:AI1006),$AB$1006:$AQ$1006,0))&gt;=100000), " ",IF(INDEX($AB$2:$AQ$1001,MATCH(ROWS($U$2:U859),$U$2:$U$1001,0),MATCH(COLUMNS($AB$1006:AI1006),$AB$1006:$AQ$1006,0)), HYPERLINK("#",""), HYPERLINK(CONCATENATE("#Metadata!", ADDRESS(INDEX($W$2:$W$1001,MATCH(ROWS($U$2:U859),$U$2:$U$1001,0),0), INDEX($AB$1004:$AQ$1004,1,MATCH(COLUMNS($AB$1006:AI1006),$AB$1006:$AQ$1006,0)))),"Fix")))</f>
        <v>0</v>
      </c>
      <c r="J859" s="5">
        <f>IF(OR(INDEX($V$2:$V$1001,MATCH(ROWS($U$2:U859),$U$2:$U$1001,0),1)&gt;=100000,INDEX($AB$1005:$AQ$1005,1,MATCH(COLUMNS($AB$1006:AJ1006),$AB$1006:$AQ$1006,0))&gt;=100000), " ",IF(INDEX($AB$2:$AQ$1001,MATCH(ROWS($U$2:U859),$U$2:$U$1001,0),MATCH(COLUMNS($AB$1006:AJ1006),$AB$1006:$AQ$1006,0)), HYPERLINK("#",""), HYPERLINK(CONCATENATE("#Metadata!", ADDRESS(INDEX($W$2:$W$1001,MATCH(ROWS($U$2:U859),$U$2:$U$1001,0),0), INDEX($AB$1004:$AQ$1004,1,MATCH(COLUMNS($AB$1006:AJ1006),$AB$1006:$AQ$1006,0)))),"Fix")))</f>
        <v>0</v>
      </c>
      <c r="K859" s="5">
        <f>IF(OR(INDEX($V$2:$V$1001,MATCH(ROWS($U$2:U859),$U$2:$U$1001,0),1)&gt;=100000,INDEX($AB$1005:$AQ$1005,1,MATCH(COLUMNS($AB$1006:AK1006),$AB$1006:$AQ$1006,0))&gt;=100000), " ",IF(INDEX($AB$2:$AQ$1001,MATCH(ROWS($U$2:U859),$U$2:$U$1001,0),MATCH(COLUMNS($AB$1006:AK1006),$AB$1006:$AQ$1006,0)), HYPERLINK("#",""), HYPERLINK(CONCATENATE("#Metadata!", ADDRESS(INDEX($W$2:$W$1001,MATCH(ROWS($U$2:U859),$U$2:$U$1001,0),0), INDEX($AB$1004:$AQ$1004,1,MATCH(COLUMNS($AB$1006:AK1006),$AB$1006:$AQ$1006,0)))),"Fix")))</f>
        <v>0</v>
      </c>
      <c r="L859" s="5">
        <f>IF(OR(INDEX($V$2:$V$1001,MATCH(ROWS($U$2:U859),$U$2:$U$1001,0),1)&gt;=100000,INDEX($AB$1005:$AQ$1005,1,MATCH(COLUMNS($AB$1006:AL1006),$AB$1006:$AQ$1006,0))&gt;=100000), " ",IF(INDEX($AB$2:$AQ$1001,MATCH(ROWS($U$2:U859),$U$2:$U$1001,0),MATCH(COLUMNS($AB$1006:AL1006),$AB$1006:$AQ$1006,0)), HYPERLINK("#",""), HYPERLINK(CONCATENATE("#Metadata!", ADDRESS(INDEX($W$2:$W$1001,MATCH(ROWS($U$2:U859),$U$2:$U$1001,0),0), INDEX($AB$1004:$AQ$1004,1,MATCH(COLUMNS($AB$1006:AL1006),$AB$1006:$AQ$1006,0)))),"Fix")))</f>
        <v>0</v>
      </c>
      <c r="M859" s="5">
        <f>IF(OR(INDEX($V$2:$V$1001,MATCH(ROWS($U$2:U859),$U$2:$U$1001,0),1)&gt;=100000,INDEX($AB$1005:$AQ$1005,1,MATCH(COLUMNS($AB$1006:AM1006),$AB$1006:$AQ$1006,0))&gt;=100000), " ",IF(INDEX($AB$2:$AQ$1001,MATCH(ROWS($U$2:U859),$U$2:$U$1001,0),MATCH(COLUMNS($AB$1006:AM1006),$AB$1006:$AQ$1006,0)), HYPERLINK("#",""), HYPERLINK(CONCATENATE("#Metadata!", ADDRESS(INDEX($W$2:$W$1001,MATCH(ROWS($U$2:U859),$U$2:$U$1001,0),0), INDEX($AB$1004:$AQ$1004,1,MATCH(COLUMNS($AB$1006:AM1006),$AB$1006:$AQ$1006,0)))),"Fix")))</f>
        <v>0</v>
      </c>
      <c r="N859" s="5">
        <f>IF(OR(INDEX($V$2:$V$1001,MATCH(ROWS($U$2:U859),$U$2:$U$1001,0),1)&gt;=100000,INDEX($AB$1005:$AQ$1005,1,MATCH(COLUMNS($AB$1006:AN1006),$AB$1006:$AQ$1006,0))&gt;=100000), " ",IF(INDEX($AB$2:$AQ$1001,MATCH(ROWS($U$2:U859),$U$2:$U$1001,0),MATCH(COLUMNS($AB$1006:AN1006),$AB$1006:$AQ$1006,0)), HYPERLINK("#",""), HYPERLINK(CONCATENATE("#Metadata!", ADDRESS(INDEX($W$2:$W$1001,MATCH(ROWS($U$2:U859),$U$2:$U$1001,0),0), INDEX($AB$1004:$AQ$1004,1,MATCH(COLUMNS($AB$1006:AN1006),$AB$1006:$AQ$1006,0)))),"Fix")))</f>
        <v>0</v>
      </c>
      <c r="O859" s="5">
        <f>IF(OR(INDEX($V$2:$V$1001,MATCH(ROWS($U$2:U859),$U$2:$U$1001,0),1)&gt;=100000,INDEX($AB$1005:$AQ$1005,1,MATCH(COLUMNS($AB$1006:AO1006),$AB$1006:$AQ$1006,0))&gt;=100000), " ",IF(INDEX($AB$2:$AQ$1001,MATCH(ROWS($U$2:U859),$U$2:$U$1001,0),MATCH(COLUMNS($AB$1006:AO1006),$AB$1006:$AQ$1006,0)), HYPERLINK("#",""), HYPERLINK(CONCATENATE("#Metadata!", ADDRESS(INDEX($W$2:$W$1001,MATCH(ROWS($U$2:U859),$U$2:$U$1001,0),0), INDEX($AB$1004:$AQ$1004,1,MATCH(COLUMNS($AB$1006:AO1006),$AB$1006:$AQ$1006,0)))),"Fix")))</f>
        <v>0</v>
      </c>
      <c r="P859" s="5">
        <f>IF(OR(INDEX($V$2:$V$1001,MATCH(ROWS($U$2:U859),$U$2:$U$1001,0),1)&gt;=100000,INDEX($AB$1005:$AQ$1005,1,MATCH(COLUMNS($AB$1006:AP1006),$AB$1006:$AQ$1006,0))&gt;=100000), " ",IF(INDEX($AB$2:$AQ$1001,MATCH(ROWS($U$2:U859),$U$2:$U$1001,0),MATCH(COLUMNS($AB$1006:AP1006),$AB$1006:$AQ$1006,0)), HYPERLINK("#",""), HYPERLINK(CONCATENATE("#Metadata!", ADDRESS(INDEX($W$2:$W$1001,MATCH(ROWS($U$2:U859),$U$2:$U$1001,0),0), INDEX($AB$1004:$AQ$1004,1,MATCH(COLUMNS($AB$1006:AP1006),$AB$1006:$AQ$1006,0)))),"Fix")))</f>
        <v>0</v>
      </c>
      <c r="Q859" s="5">
        <f>IF(OR(INDEX($V$2:$V$1001,MATCH(ROWS($U$2:U859),$U$2:$U$1001,0),1)&gt;=100000,INDEX($AB$1005:$AQ$1005,1,MATCH(COLUMNS($AB$1006:AQ1006),$AB$1006:$AQ$1006,0))&gt;=100000), " ",IF(INDEX($AB$2:$AQ$1001,MATCH(ROWS($U$2:U859),$U$2:$U$1001,0),MATCH(COLUMNS($AB$1006:AQ1006),$AB$1006:$AQ$1006,0)), HYPERLINK("#",""), HYPERLINK(CONCATENATE("#Metadata!", ADDRESS(INDEX($W$2:$W$1001,MATCH(ROWS($U$2:U859),$U$2:$U$1001,0),0), INDEX($AB$1004:$AQ$1004,1,MATCH(COLUMNS($AB$1006:AQ1006),$AB$1006:$AQ$1006,0)))),"Fix")))</f>
        <v>0</v>
      </c>
      <c r="U859">
        <v>0</v>
      </c>
      <c r="V859">
        <v>0</v>
      </c>
      <c r="W859">
        <v>0</v>
      </c>
      <c r="X859">
        <f>IF(Y859,TRUE,AND(AB859:AQ859))</f>
        <v>0</v>
      </c>
      <c r="Y859">
        <f>COUNTBLANK(Metadata!B859:Q859)=COLUMNS(Metadata!B859:Q859)</f>
        <v>0</v>
      </c>
      <c r="Z859">
        <v>0</v>
      </c>
      <c r="AB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AC859">
        <f>AND(IF(Metadata!C859="",FALSE,TRUE),exact(Metadata!C859,"urban biome"))</f>
        <v>0</v>
      </c>
      <c r="AD859">
        <f>AND(IF(Metadata!D859="",FALSE,TRUE),exact(Metadata!D859,"human-associated habitat"))</f>
        <v>0</v>
      </c>
      <c r="AE859">
        <f>AND(IF(Metadata!E859="",FALSE,TRUE),OR(exact(Metadata!E859,"human-associated"),exact(Metadata!E859,"human-skin"),exact(Metadata!E859,"human-oral"),exact(Metadata!E859,"human-gut"),exact(Metadata!E859,"human-vaginal")))</f>
        <v>0</v>
      </c>
      <c r="AF859">
        <f>AND(IF(Metadata!F859="",FALSE,ISNUMBER(VALUE(Metadata!F859))),Metadata!F859&gt;0)</f>
        <v>0</v>
      </c>
      <c r="AG859">
        <f>AND(IF(Metadata!G859="",FALSE,TRUE),exact(Metadata!G859,"years"))</f>
        <v>0</v>
      </c>
      <c r="AH859">
        <f>OR(AND(IF(Metadata!H859="",FALSE,TRUE),OR(exact(Metadata!H859,"not applicable"),exact(Metadata!H859,"not collected"),exact(Metadata!H859,"not provided"),exact(Metadata!H859,"restricted access"))),AND(IF(Metadata!H859="",FALSE,ISNUMBER(VALUE(Metadata!H859))),Metadata!H859&gt;0))</f>
        <v>0</v>
      </c>
      <c r="AI859">
        <f>AND(IF(Metadata!I859="",FALSE,TRUE),exact(Metadata!I859,"human"))</f>
        <v>0</v>
      </c>
      <c r="AJ859">
        <f>AND(IF(Metadata!J859="",FALSE,ISNUMBER(VALUE(Metadata!J859))),Metadata!J859&gt;0)</f>
        <v>0</v>
      </c>
      <c r="AK859">
        <f>AND(IF(Metadata!K859="",FALSE,TRUE),exact(Metadata!K859,"cm"))</f>
        <v>0</v>
      </c>
      <c r="AL859">
        <f>AND(IF(Metadata!L859="",FALSE,TRUE),exact(Metadata!L859,"Homo sapiens"))</f>
        <v>0</v>
      </c>
      <c r="AM859">
        <f>AND(IF(Metadata!M859="",FALSE,TRUE),exact(Metadata!M859,"9606"))</f>
        <v>0</v>
      </c>
      <c r="AN859">
        <f>AND(IF(Metadata!N859="",FALSE,ISNUMBER(VALUE(Metadata!N859))),Metadata!N859&gt;0)</f>
        <v>0</v>
      </c>
      <c r="AO859">
        <f>AND(IF(Metadata!O859="",FALSE,TRUE),exact(Metadata!O859,"kg"))</f>
        <v>0</v>
      </c>
      <c r="AP859">
        <f>OR(AND(IF(Metadata!P859="",FALSE,TRUE),exact(Metadata!P859,"not provided")),IF(Metadata!P859="",FALSE,TRUE))</f>
        <v>0</v>
      </c>
      <c r="AQ859">
        <f>OR(AND(IF(Metadata!Q859="",FALSE,TRUE),exact(Metadata!Q859,"not provided")),IF(Metadata!Q859="",FALSE,TRUE))</f>
        <v>0</v>
      </c>
    </row>
    <row r="860" spans="1:43">
      <c r="A860" s="4">
        <f>IF(B860=" "," ",HYPERLINK(CONCATENATE("#metadata!",ADDRESS(INDEX($W$2:$W$1001,MATCH(ROWS($U$2:U860),$U$2:$U$1001,0),0),2)),INDEX($Z$2:$Z$1001,MATCH(ROWS($U$2:U860),$U$2:$U$1001,0),0)))</f>
        <v>0</v>
      </c>
      <c r="B860" s="5">
        <f>IF(OR(INDEX($V$2:$V$1001,MATCH(ROWS($U$2:U860),$U$2:$U$1001,0),1)&gt;=100000,INDEX($AB$1005:$AQ$1005,1,MATCH(COLUMNS($AB$1006:AB1006),$AB$1006:$AQ$1006,0))&gt;=100000), " ",IF(INDEX($AB$2:$AQ$1001,MATCH(ROWS($U$2:U860),$U$2:$U$1001,0),MATCH(COLUMNS($AB$1006:AB1006),$AB$1006:$AQ$1006,0)), HYPERLINK("#",""), HYPERLINK(CONCATENATE("#Metadata!", ADDRESS(INDEX($W$2:$W$1001,MATCH(ROWS($U$2:U860),$U$2:$U$1001,0),0), INDEX($AB$1004:$AQ$1004,1,MATCH(COLUMNS($AB$1006:AB1006),$AB$1006:$AQ$1006,0)))),"Fix")))</f>
        <v>0</v>
      </c>
      <c r="C860" s="5">
        <f>IF(OR(INDEX($V$2:$V$1001,MATCH(ROWS($U$2:U860),$U$2:$U$1001,0),1)&gt;=100000,INDEX($AB$1005:$AQ$1005,1,MATCH(COLUMNS($AB$1006:AC1006),$AB$1006:$AQ$1006,0))&gt;=100000), " ",IF(INDEX($AB$2:$AQ$1001,MATCH(ROWS($U$2:U860),$U$2:$U$1001,0),MATCH(COLUMNS($AB$1006:AC1006),$AB$1006:$AQ$1006,0)), HYPERLINK("#",""), HYPERLINK(CONCATENATE("#Metadata!", ADDRESS(INDEX($W$2:$W$1001,MATCH(ROWS($U$2:U860),$U$2:$U$1001,0),0), INDEX($AB$1004:$AQ$1004,1,MATCH(COLUMNS($AB$1006:AC1006),$AB$1006:$AQ$1006,0)))),"Fix")))</f>
        <v>0</v>
      </c>
      <c r="D860" s="5">
        <f>IF(OR(INDEX($V$2:$V$1001,MATCH(ROWS($U$2:U860),$U$2:$U$1001,0),1)&gt;=100000,INDEX($AB$1005:$AQ$1005,1,MATCH(COLUMNS($AB$1006:AD1006),$AB$1006:$AQ$1006,0))&gt;=100000), " ",IF(INDEX($AB$2:$AQ$1001,MATCH(ROWS($U$2:U860),$U$2:$U$1001,0),MATCH(COLUMNS($AB$1006:AD1006),$AB$1006:$AQ$1006,0)), HYPERLINK("#",""), HYPERLINK(CONCATENATE("#Metadata!", ADDRESS(INDEX($W$2:$W$1001,MATCH(ROWS($U$2:U860),$U$2:$U$1001,0),0), INDEX($AB$1004:$AQ$1004,1,MATCH(COLUMNS($AB$1006:AD1006),$AB$1006:$AQ$1006,0)))),"Fix")))</f>
        <v>0</v>
      </c>
      <c r="E860" s="5">
        <f>IF(OR(INDEX($V$2:$V$1001,MATCH(ROWS($U$2:U860),$U$2:$U$1001,0),1)&gt;=100000,INDEX($AB$1005:$AQ$1005,1,MATCH(COLUMNS($AB$1006:AE1006),$AB$1006:$AQ$1006,0))&gt;=100000), " ",IF(INDEX($AB$2:$AQ$1001,MATCH(ROWS($U$2:U860),$U$2:$U$1001,0),MATCH(COLUMNS($AB$1006:AE1006),$AB$1006:$AQ$1006,0)), HYPERLINK("#",""), HYPERLINK(CONCATENATE("#Metadata!", ADDRESS(INDEX($W$2:$W$1001,MATCH(ROWS($U$2:U860),$U$2:$U$1001,0),0), INDEX($AB$1004:$AQ$1004,1,MATCH(COLUMNS($AB$1006:AE1006),$AB$1006:$AQ$1006,0)))),"Fix")))</f>
        <v>0</v>
      </c>
      <c r="F860" s="5">
        <f>IF(OR(INDEX($V$2:$V$1001,MATCH(ROWS($U$2:U860),$U$2:$U$1001,0),1)&gt;=100000,INDEX($AB$1005:$AQ$1005,1,MATCH(COLUMNS($AB$1006:AF1006),$AB$1006:$AQ$1006,0))&gt;=100000), " ",IF(INDEX($AB$2:$AQ$1001,MATCH(ROWS($U$2:U860),$U$2:$U$1001,0),MATCH(COLUMNS($AB$1006:AF1006),$AB$1006:$AQ$1006,0)), HYPERLINK("#",""), HYPERLINK(CONCATENATE("#Metadata!", ADDRESS(INDEX($W$2:$W$1001,MATCH(ROWS($U$2:U860),$U$2:$U$1001,0),0), INDEX($AB$1004:$AQ$1004,1,MATCH(COLUMNS($AB$1006:AF1006),$AB$1006:$AQ$1006,0)))),"Fix")))</f>
        <v>0</v>
      </c>
      <c r="G860" s="5">
        <f>IF(OR(INDEX($V$2:$V$1001,MATCH(ROWS($U$2:U860),$U$2:$U$1001,0),1)&gt;=100000,INDEX($AB$1005:$AQ$1005,1,MATCH(COLUMNS($AB$1006:AG1006),$AB$1006:$AQ$1006,0))&gt;=100000), " ",IF(INDEX($AB$2:$AQ$1001,MATCH(ROWS($U$2:U860),$U$2:$U$1001,0),MATCH(COLUMNS($AB$1006:AG1006),$AB$1006:$AQ$1006,0)), HYPERLINK("#",""), HYPERLINK(CONCATENATE("#Metadata!", ADDRESS(INDEX($W$2:$W$1001,MATCH(ROWS($U$2:U860),$U$2:$U$1001,0),0), INDEX($AB$1004:$AQ$1004,1,MATCH(COLUMNS($AB$1006:AG1006),$AB$1006:$AQ$1006,0)))),"Fix")))</f>
        <v>0</v>
      </c>
      <c r="H860" s="5">
        <f>IF(OR(INDEX($V$2:$V$1001,MATCH(ROWS($U$2:U860),$U$2:$U$1001,0),1)&gt;=100000,INDEX($AB$1005:$AQ$1005,1,MATCH(COLUMNS($AB$1006:AH1006),$AB$1006:$AQ$1006,0))&gt;=100000), " ",IF(INDEX($AB$2:$AQ$1001,MATCH(ROWS($U$2:U860),$U$2:$U$1001,0),MATCH(COLUMNS($AB$1006:AH1006),$AB$1006:$AQ$1006,0)), HYPERLINK("#",""), HYPERLINK(CONCATENATE("#Metadata!", ADDRESS(INDEX($W$2:$W$1001,MATCH(ROWS($U$2:U860),$U$2:$U$1001,0),0), INDEX($AB$1004:$AQ$1004,1,MATCH(COLUMNS($AB$1006:AH1006),$AB$1006:$AQ$1006,0)))),"Fix")))</f>
        <v>0</v>
      </c>
      <c r="I860" s="5">
        <f>IF(OR(INDEX($V$2:$V$1001,MATCH(ROWS($U$2:U860),$U$2:$U$1001,0),1)&gt;=100000,INDEX($AB$1005:$AQ$1005,1,MATCH(COLUMNS($AB$1006:AI1006),$AB$1006:$AQ$1006,0))&gt;=100000), " ",IF(INDEX($AB$2:$AQ$1001,MATCH(ROWS($U$2:U860),$U$2:$U$1001,0),MATCH(COLUMNS($AB$1006:AI1006),$AB$1006:$AQ$1006,0)), HYPERLINK("#",""), HYPERLINK(CONCATENATE("#Metadata!", ADDRESS(INDEX($W$2:$W$1001,MATCH(ROWS($U$2:U860),$U$2:$U$1001,0),0), INDEX($AB$1004:$AQ$1004,1,MATCH(COLUMNS($AB$1006:AI1006),$AB$1006:$AQ$1006,0)))),"Fix")))</f>
        <v>0</v>
      </c>
      <c r="J860" s="5">
        <f>IF(OR(INDEX($V$2:$V$1001,MATCH(ROWS($U$2:U860),$U$2:$U$1001,0),1)&gt;=100000,INDEX($AB$1005:$AQ$1005,1,MATCH(COLUMNS($AB$1006:AJ1006),$AB$1006:$AQ$1006,0))&gt;=100000), " ",IF(INDEX($AB$2:$AQ$1001,MATCH(ROWS($U$2:U860),$U$2:$U$1001,0),MATCH(COLUMNS($AB$1006:AJ1006),$AB$1006:$AQ$1006,0)), HYPERLINK("#",""), HYPERLINK(CONCATENATE("#Metadata!", ADDRESS(INDEX($W$2:$W$1001,MATCH(ROWS($U$2:U860),$U$2:$U$1001,0),0), INDEX($AB$1004:$AQ$1004,1,MATCH(COLUMNS($AB$1006:AJ1006),$AB$1006:$AQ$1006,0)))),"Fix")))</f>
        <v>0</v>
      </c>
      <c r="K860" s="5">
        <f>IF(OR(INDEX($V$2:$V$1001,MATCH(ROWS($U$2:U860),$U$2:$U$1001,0),1)&gt;=100000,INDEX($AB$1005:$AQ$1005,1,MATCH(COLUMNS($AB$1006:AK1006),$AB$1006:$AQ$1006,0))&gt;=100000), " ",IF(INDEX($AB$2:$AQ$1001,MATCH(ROWS($U$2:U860),$U$2:$U$1001,0),MATCH(COLUMNS($AB$1006:AK1006),$AB$1006:$AQ$1006,0)), HYPERLINK("#",""), HYPERLINK(CONCATENATE("#Metadata!", ADDRESS(INDEX($W$2:$W$1001,MATCH(ROWS($U$2:U860),$U$2:$U$1001,0),0), INDEX($AB$1004:$AQ$1004,1,MATCH(COLUMNS($AB$1006:AK1006),$AB$1006:$AQ$1006,0)))),"Fix")))</f>
        <v>0</v>
      </c>
      <c r="L860" s="5">
        <f>IF(OR(INDEX($V$2:$V$1001,MATCH(ROWS($U$2:U860),$U$2:$U$1001,0),1)&gt;=100000,INDEX($AB$1005:$AQ$1005,1,MATCH(COLUMNS($AB$1006:AL1006),$AB$1006:$AQ$1006,0))&gt;=100000), " ",IF(INDEX($AB$2:$AQ$1001,MATCH(ROWS($U$2:U860),$U$2:$U$1001,0),MATCH(COLUMNS($AB$1006:AL1006),$AB$1006:$AQ$1006,0)), HYPERLINK("#",""), HYPERLINK(CONCATENATE("#Metadata!", ADDRESS(INDEX($W$2:$W$1001,MATCH(ROWS($U$2:U860),$U$2:$U$1001,0),0), INDEX($AB$1004:$AQ$1004,1,MATCH(COLUMNS($AB$1006:AL1006),$AB$1006:$AQ$1006,0)))),"Fix")))</f>
        <v>0</v>
      </c>
      <c r="M860" s="5">
        <f>IF(OR(INDEX($V$2:$V$1001,MATCH(ROWS($U$2:U860),$U$2:$U$1001,0),1)&gt;=100000,INDEX($AB$1005:$AQ$1005,1,MATCH(COLUMNS($AB$1006:AM1006),$AB$1006:$AQ$1006,0))&gt;=100000), " ",IF(INDEX($AB$2:$AQ$1001,MATCH(ROWS($U$2:U860),$U$2:$U$1001,0),MATCH(COLUMNS($AB$1006:AM1006),$AB$1006:$AQ$1006,0)), HYPERLINK("#",""), HYPERLINK(CONCATENATE("#Metadata!", ADDRESS(INDEX($W$2:$W$1001,MATCH(ROWS($U$2:U860),$U$2:$U$1001,0),0), INDEX($AB$1004:$AQ$1004,1,MATCH(COLUMNS($AB$1006:AM1006),$AB$1006:$AQ$1006,0)))),"Fix")))</f>
        <v>0</v>
      </c>
      <c r="N860" s="5">
        <f>IF(OR(INDEX($V$2:$V$1001,MATCH(ROWS($U$2:U860),$U$2:$U$1001,0),1)&gt;=100000,INDEX($AB$1005:$AQ$1005,1,MATCH(COLUMNS($AB$1006:AN1006),$AB$1006:$AQ$1006,0))&gt;=100000), " ",IF(INDEX($AB$2:$AQ$1001,MATCH(ROWS($U$2:U860),$U$2:$U$1001,0),MATCH(COLUMNS($AB$1006:AN1006),$AB$1006:$AQ$1006,0)), HYPERLINK("#",""), HYPERLINK(CONCATENATE("#Metadata!", ADDRESS(INDEX($W$2:$W$1001,MATCH(ROWS($U$2:U860),$U$2:$U$1001,0),0), INDEX($AB$1004:$AQ$1004,1,MATCH(COLUMNS($AB$1006:AN1006),$AB$1006:$AQ$1006,0)))),"Fix")))</f>
        <v>0</v>
      </c>
      <c r="O860" s="5">
        <f>IF(OR(INDEX($V$2:$V$1001,MATCH(ROWS($U$2:U860),$U$2:$U$1001,0),1)&gt;=100000,INDEX($AB$1005:$AQ$1005,1,MATCH(COLUMNS($AB$1006:AO1006),$AB$1006:$AQ$1006,0))&gt;=100000), " ",IF(INDEX($AB$2:$AQ$1001,MATCH(ROWS($U$2:U860),$U$2:$U$1001,0),MATCH(COLUMNS($AB$1006:AO1006),$AB$1006:$AQ$1006,0)), HYPERLINK("#",""), HYPERLINK(CONCATENATE("#Metadata!", ADDRESS(INDEX($W$2:$W$1001,MATCH(ROWS($U$2:U860),$U$2:$U$1001,0),0), INDEX($AB$1004:$AQ$1004,1,MATCH(COLUMNS($AB$1006:AO1006),$AB$1006:$AQ$1006,0)))),"Fix")))</f>
        <v>0</v>
      </c>
      <c r="P860" s="5">
        <f>IF(OR(INDEX($V$2:$V$1001,MATCH(ROWS($U$2:U860),$U$2:$U$1001,0),1)&gt;=100000,INDEX($AB$1005:$AQ$1005,1,MATCH(COLUMNS($AB$1006:AP1006),$AB$1006:$AQ$1006,0))&gt;=100000), " ",IF(INDEX($AB$2:$AQ$1001,MATCH(ROWS($U$2:U860),$U$2:$U$1001,0),MATCH(COLUMNS($AB$1006:AP1006),$AB$1006:$AQ$1006,0)), HYPERLINK("#",""), HYPERLINK(CONCATENATE("#Metadata!", ADDRESS(INDEX($W$2:$W$1001,MATCH(ROWS($U$2:U860),$U$2:$U$1001,0),0), INDEX($AB$1004:$AQ$1004,1,MATCH(COLUMNS($AB$1006:AP1006),$AB$1006:$AQ$1006,0)))),"Fix")))</f>
        <v>0</v>
      </c>
      <c r="Q860" s="5">
        <f>IF(OR(INDEX($V$2:$V$1001,MATCH(ROWS($U$2:U860),$U$2:$U$1001,0),1)&gt;=100000,INDEX($AB$1005:$AQ$1005,1,MATCH(COLUMNS($AB$1006:AQ1006),$AB$1006:$AQ$1006,0))&gt;=100000), " ",IF(INDEX($AB$2:$AQ$1001,MATCH(ROWS($U$2:U860),$U$2:$U$1001,0),MATCH(COLUMNS($AB$1006:AQ1006),$AB$1006:$AQ$1006,0)), HYPERLINK("#",""), HYPERLINK(CONCATENATE("#Metadata!", ADDRESS(INDEX($W$2:$W$1001,MATCH(ROWS($U$2:U860),$U$2:$U$1001,0),0), INDEX($AB$1004:$AQ$1004,1,MATCH(COLUMNS($AB$1006:AQ1006),$AB$1006:$AQ$1006,0)))),"Fix")))</f>
        <v>0</v>
      </c>
      <c r="U860">
        <v>0</v>
      </c>
      <c r="V860">
        <v>0</v>
      </c>
      <c r="W860">
        <v>0</v>
      </c>
      <c r="X860">
        <f>IF(Y860,TRUE,AND(AB860:AQ860))</f>
        <v>0</v>
      </c>
      <c r="Y860">
        <f>COUNTBLANK(Metadata!B860:Q860)=COLUMNS(Metadata!B860:Q860)</f>
        <v>0</v>
      </c>
      <c r="Z860">
        <v>0</v>
      </c>
      <c r="AB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AC860">
        <f>AND(IF(Metadata!C860="",FALSE,TRUE),exact(Metadata!C860,"urban biome"))</f>
        <v>0</v>
      </c>
      <c r="AD860">
        <f>AND(IF(Metadata!D860="",FALSE,TRUE),exact(Metadata!D860,"human-associated habitat"))</f>
        <v>0</v>
      </c>
      <c r="AE860">
        <f>AND(IF(Metadata!E860="",FALSE,TRUE),OR(exact(Metadata!E860,"human-associated"),exact(Metadata!E860,"human-skin"),exact(Metadata!E860,"human-oral"),exact(Metadata!E860,"human-gut"),exact(Metadata!E860,"human-vaginal")))</f>
        <v>0</v>
      </c>
      <c r="AF860">
        <f>AND(IF(Metadata!F860="",FALSE,ISNUMBER(VALUE(Metadata!F860))),Metadata!F860&gt;0)</f>
        <v>0</v>
      </c>
      <c r="AG860">
        <f>AND(IF(Metadata!G860="",FALSE,TRUE),exact(Metadata!G860,"years"))</f>
        <v>0</v>
      </c>
      <c r="AH860">
        <f>OR(AND(IF(Metadata!H860="",FALSE,TRUE),OR(exact(Metadata!H860,"not applicable"),exact(Metadata!H860,"not collected"),exact(Metadata!H860,"not provided"),exact(Metadata!H860,"restricted access"))),AND(IF(Metadata!H860="",FALSE,ISNUMBER(VALUE(Metadata!H860))),Metadata!H860&gt;0))</f>
        <v>0</v>
      </c>
      <c r="AI860">
        <f>AND(IF(Metadata!I860="",FALSE,TRUE),exact(Metadata!I860,"human"))</f>
        <v>0</v>
      </c>
      <c r="AJ860">
        <f>AND(IF(Metadata!J860="",FALSE,ISNUMBER(VALUE(Metadata!J860))),Metadata!J860&gt;0)</f>
        <v>0</v>
      </c>
      <c r="AK860">
        <f>AND(IF(Metadata!K860="",FALSE,TRUE),exact(Metadata!K860,"cm"))</f>
        <v>0</v>
      </c>
      <c r="AL860">
        <f>AND(IF(Metadata!L860="",FALSE,TRUE),exact(Metadata!L860,"Homo sapiens"))</f>
        <v>0</v>
      </c>
      <c r="AM860">
        <f>AND(IF(Metadata!M860="",FALSE,TRUE),exact(Metadata!M860,"9606"))</f>
        <v>0</v>
      </c>
      <c r="AN860">
        <f>AND(IF(Metadata!N860="",FALSE,ISNUMBER(VALUE(Metadata!N860))),Metadata!N860&gt;0)</f>
        <v>0</v>
      </c>
      <c r="AO860">
        <f>AND(IF(Metadata!O860="",FALSE,TRUE),exact(Metadata!O860,"kg"))</f>
        <v>0</v>
      </c>
      <c r="AP860">
        <f>OR(AND(IF(Metadata!P860="",FALSE,TRUE),exact(Metadata!P860,"not provided")),IF(Metadata!P860="",FALSE,TRUE))</f>
        <v>0</v>
      </c>
      <c r="AQ860">
        <f>OR(AND(IF(Metadata!Q860="",FALSE,TRUE),exact(Metadata!Q860,"not provided")),IF(Metadata!Q860="",FALSE,TRUE))</f>
        <v>0</v>
      </c>
    </row>
    <row r="861" spans="1:43">
      <c r="A861" s="4">
        <f>IF(B861=" "," ",HYPERLINK(CONCATENATE("#metadata!",ADDRESS(INDEX($W$2:$W$1001,MATCH(ROWS($U$2:U861),$U$2:$U$1001,0),0),2)),INDEX($Z$2:$Z$1001,MATCH(ROWS($U$2:U861),$U$2:$U$1001,0),0)))</f>
        <v>0</v>
      </c>
      <c r="B861" s="5">
        <f>IF(OR(INDEX($V$2:$V$1001,MATCH(ROWS($U$2:U861),$U$2:$U$1001,0),1)&gt;=100000,INDEX($AB$1005:$AQ$1005,1,MATCH(COLUMNS($AB$1006:AB1006),$AB$1006:$AQ$1006,0))&gt;=100000), " ",IF(INDEX($AB$2:$AQ$1001,MATCH(ROWS($U$2:U861),$U$2:$U$1001,0),MATCH(COLUMNS($AB$1006:AB1006),$AB$1006:$AQ$1006,0)), HYPERLINK("#",""), HYPERLINK(CONCATENATE("#Metadata!", ADDRESS(INDEX($W$2:$W$1001,MATCH(ROWS($U$2:U861),$U$2:$U$1001,0),0), INDEX($AB$1004:$AQ$1004,1,MATCH(COLUMNS($AB$1006:AB1006),$AB$1006:$AQ$1006,0)))),"Fix")))</f>
        <v>0</v>
      </c>
      <c r="C861" s="5">
        <f>IF(OR(INDEX($V$2:$V$1001,MATCH(ROWS($U$2:U861),$U$2:$U$1001,0),1)&gt;=100000,INDEX($AB$1005:$AQ$1005,1,MATCH(COLUMNS($AB$1006:AC1006),$AB$1006:$AQ$1006,0))&gt;=100000), " ",IF(INDEX($AB$2:$AQ$1001,MATCH(ROWS($U$2:U861),$U$2:$U$1001,0),MATCH(COLUMNS($AB$1006:AC1006),$AB$1006:$AQ$1006,0)), HYPERLINK("#",""), HYPERLINK(CONCATENATE("#Metadata!", ADDRESS(INDEX($W$2:$W$1001,MATCH(ROWS($U$2:U861),$U$2:$U$1001,0),0), INDEX($AB$1004:$AQ$1004,1,MATCH(COLUMNS($AB$1006:AC1006),$AB$1006:$AQ$1006,0)))),"Fix")))</f>
        <v>0</v>
      </c>
      <c r="D861" s="5">
        <f>IF(OR(INDEX($V$2:$V$1001,MATCH(ROWS($U$2:U861),$U$2:$U$1001,0),1)&gt;=100000,INDEX($AB$1005:$AQ$1005,1,MATCH(COLUMNS($AB$1006:AD1006),$AB$1006:$AQ$1006,0))&gt;=100000), " ",IF(INDEX($AB$2:$AQ$1001,MATCH(ROWS($U$2:U861),$U$2:$U$1001,0),MATCH(COLUMNS($AB$1006:AD1006),$AB$1006:$AQ$1006,0)), HYPERLINK("#",""), HYPERLINK(CONCATENATE("#Metadata!", ADDRESS(INDEX($W$2:$W$1001,MATCH(ROWS($U$2:U861),$U$2:$U$1001,0),0), INDEX($AB$1004:$AQ$1004,1,MATCH(COLUMNS($AB$1006:AD1006),$AB$1006:$AQ$1006,0)))),"Fix")))</f>
        <v>0</v>
      </c>
      <c r="E861" s="5">
        <f>IF(OR(INDEX($V$2:$V$1001,MATCH(ROWS($U$2:U861),$U$2:$U$1001,0),1)&gt;=100000,INDEX($AB$1005:$AQ$1005,1,MATCH(COLUMNS($AB$1006:AE1006),$AB$1006:$AQ$1006,0))&gt;=100000), " ",IF(INDEX($AB$2:$AQ$1001,MATCH(ROWS($U$2:U861),$U$2:$U$1001,0),MATCH(COLUMNS($AB$1006:AE1006),$AB$1006:$AQ$1006,0)), HYPERLINK("#",""), HYPERLINK(CONCATENATE("#Metadata!", ADDRESS(INDEX($W$2:$W$1001,MATCH(ROWS($U$2:U861),$U$2:$U$1001,0),0), INDEX($AB$1004:$AQ$1004,1,MATCH(COLUMNS($AB$1006:AE1006),$AB$1006:$AQ$1006,0)))),"Fix")))</f>
        <v>0</v>
      </c>
      <c r="F861" s="5">
        <f>IF(OR(INDEX($V$2:$V$1001,MATCH(ROWS($U$2:U861),$U$2:$U$1001,0),1)&gt;=100000,INDEX($AB$1005:$AQ$1005,1,MATCH(COLUMNS($AB$1006:AF1006),$AB$1006:$AQ$1006,0))&gt;=100000), " ",IF(INDEX($AB$2:$AQ$1001,MATCH(ROWS($U$2:U861),$U$2:$U$1001,0),MATCH(COLUMNS($AB$1006:AF1006),$AB$1006:$AQ$1006,0)), HYPERLINK("#",""), HYPERLINK(CONCATENATE("#Metadata!", ADDRESS(INDEX($W$2:$W$1001,MATCH(ROWS($U$2:U861),$U$2:$U$1001,0),0), INDEX($AB$1004:$AQ$1004,1,MATCH(COLUMNS($AB$1006:AF1006),$AB$1006:$AQ$1006,0)))),"Fix")))</f>
        <v>0</v>
      </c>
      <c r="G861" s="5">
        <f>IF(OR(INDEX($V$2:$V$1001,MATCH(ROWS($U$2:U861),$U$2:$U$1001,0),1)&gt;=100000,INDEX($AB$1005:$AQ$1005,1,MATCH(COLUMNS($AB$1006:AG1006),$AB$1006:$AQ$1006,0))&gt;=100000), " ",IF(INDEX($AB$2:$AQ$1001,MATCH(ROWS($U$2:U861),$U$2:$U$1001,0),MATCH(COLUMNS($AB$1006:AG1006),$AB$1006:$AQ$1006,0)), HYPERLINK("#",""), HYPERLINK(CONCATENATE("#Metadata!", ADDRESS(INDEX($W$2:$W$1001,MATCH(ROWS($U$2:U861),$U$2:$U$1001,0),0), INDEX($AB$1004:$AQ$1004,1,MATCH(COLUMNS($AB$1006:AG1006),$AB$1006:$AQ$1006,0)))),"Fix")))</f>
        <v>0</v>
      </c>
      <c r="H861" s="5">
        <f>IF(OR(INDEX($V$2:$V$1001,MATCH(ROWS($U$2:U861),$U$2:$U$1001,0),1)&gt;=100000,INDEX($AB$1005:$AQ$1005,1,MATCH(COLUMNS($AB$1006:AH1006),$AB$1006:$AQ$1006,0))&gt;=100000), " ",IF(INDEX($AB$2:$AQ$1001,MATCH(ROWS($U$2:U861),$U$2:$U$1001,0),MATCH(COLUMNS($AB$1006:AH1006),$AB$1006:$AQ$1006,0)), HYPERLINK("#",""), HYPERLINK(CONCATENATE("#Metadata!", ADDRESS(INDEX($W$2:$W$1001,MATCH(ROWS($U$2:U861),$U$2:$U$1001,0),0), INDEX($AB$1004:$AQ$1004,1,MATCH(COLUMNS($AB$1006:AH1006),$AB$1006:$AQ$1006,0)))),"Fix")))</f>
        <v>0</v>
      </c>
      <c r="I861" s="5">
        <f>IF(OR(INDEX($V$2:$V$1001,MATCH(ROWS($U$2:U861),$U$2:$U$1001,0),1)&gt;=100000,INDEX($AB$1005:$AQ$1005,1,MATCH(COLUMNS($AB$1006:AI1006),$AB$1006:$AQ$1006,0))&gt;=100000), " ",IF(INDEX($AB$2:$AQ$1001,MATCH(ROWS($U$2:U861),$U$2:$U$1001,0),MATCH(COLUMNS($AB$1006:AI1006),$AB$1006:$AQ$1006,0)), HYPERLINK("#",""), HYPERLINK(CONCATENATE("#Metadata!", ADDRESS(INDEX($W$2:$W$1001,MATCH(ROWS($U$2:U861),$U$2:$U$1001,0),0), INDEX($AB$1004:$AQ$1004,1,MATCH(COLUMNS($AB$1006:AI1006),$AB$1006:$AQ$1006,0)))),"Fix")))</f>
        <v>0</v>
      </c>
      <c r="J861" s="5">
        <f>IF(OR(INDEX($V$2:$V$1001,MATCH(ROWS($U$2:U861),$U$2:$U$1001,0),1)&gt;=100000,INDEX($AB$1005:$AQ$1005,1,MATCH(COLUMNS($AB$1006:AJ1006),$AB$1006:$AQ$1006,0))&gt;=100000), " ",IF(INDEX($AB$2:$AQ$1001,MATCH(ROWS($U$2:U861),$U$2:$U$1001,0),MATCH(COLUMNS($AB$1006:AJ1006),$AB$1006:$AQ$1006,0)), HYPERLINK("#",""), HYPERLINK(CONCATENATE("#Metadata!", ADDRESS(INDEX($W$2:$W$1001,MATCH(ROWS($U$2:U861),$U$2:$U$1001,0),0), INDEX($AB$1004:$AQ$1004,1,MATCH(COLUMNS($AB$1006:AJ1006),$AB$1006:$AQ$1006,0)))),"Fix")))</f>
        <v>0</v>
      </c>
      <c r="K861" s="5">
        <f>IF(OR(INDEX($V$2:$V$1001,MATCH(ROWS($U$2:U861),$U$2:$U$1001,0),1)&gt;=100000,INDEX($AB$1005:$AQ$1005,1,MATCH(COLUMNS($AB$1006:AK1006),$AB$1006:$AQ$1006,0))&gt;=100000), " ",IF(INDEX($AB$2:$AQ$1001,MATCH(ROWS($U$2:U861),$U$2:$U$1001,0),MATCH(COLUMNS($AB$1006:AK1006),$AB$1006:$AQ$1006,0)), HYPERLINK("#",""), HYPERLINK(CONCATENATE("#Metadata!", ADDRESS(INDEX($W$2:$W$1001,MATCH(ROWS($U$2:U861),$U$2:$U$1001,0),0), INDEX($AB$1004:$AQ$1004,1,MATCH(COLUMNS($AB$1006:AK1006),$AB$1006:$AQ$1006,0)))),"Fix")))</f>
        <v>0</v>
      </c>
      <c r="L861" s="5">
        <f>IF(OR(INDEX($V$2:$V$1001,MATCH(ROWS($U$2:U861),$U$2:$U$1001,0),1)&gt;=100000,INDEX($AB$1005:$AQ$1005,1,MATCH(COLUMNS($AB$1006:AL1006),$AB$1006:$AQ$1006,0))&gt;=100000), " ",IF(INDEX($AB$2:$AQ$1001,MATCH(ROWS($U$2:U861),$U$2:$U$1001,0),MATCH(COLUMNS($AB$1006:AL1006),$AB$1006:$AQ$1006,0)), HYPERLINK("#",""), HYPERLINK(CONCATENATE("#Metadata!", ADDRESS(INDEX($W$2:$W$1001,MATCH(ROWS($U$2:U861),$U$2:$U$1001,0),0), INDEX($AB$1004:$AQ$1004,1,MATCH(COLUMNS($AB$1006:AL1006),$AB$1006:$AQ$1006,0)))),"Fix")))</f>
        <v>0</v>
      </c>
      <c r="M861" s="5">
        <f>IF(OR(INDEX($V$2:$V$1001,MATCH(ROWS($U$2:U861),$U$2:$U$1001,0),1)&gt;=100000,INDEX($AB$1005:$AQ$1005,1,MATCH(COLUMNS($AB$1006:AM1006),$AB$1006:$AQ$1006,0))&gt;=100000), " ",IF(INDEX($AB$2:$AQ$1001,MATCH(ROWS($U$2:U861),$U$2:$U$1001,0),MATCH(COLUMNS($AB$1006:AM1006),$AB$1006:$AQ$1006,0)), HYPERLINK("#",""), HYPERLINK(CONCATENATE("#Metadata!", ADDRESS(INDEX($W$2:$W$1001,MATCH(ROWS($U$2:U861),$U$2:$U$1001,0),0), INDEX($AB$1004:$AQ$1004,1,MATCH(COLUMNS($AB$1006:AM1006),$AB$1006:$AQ$1006,0)))),"Fix")))</f>
        <v>0</v>
      </c>
      <c r="N861" s="5">
        <f>IF(OR(INDEX($V$2:$V$1001,MATCH(ROWS($U$2:U861),$U$2:$U$1001,0),1)&gt;=100000,INDEX($AB$1005:$AQ$1005,1,MATCH(COLUMNS($AB$1006:AN1006),$AB$1006:$AQ$1006,0))&gt;=100000), " ",IF(INDEX($AB$2:$AQ$1001,MATCH(ROWS($U$2:U861),$U$2:$U$1001,0),MATCH(COLUMNS($AB$1006:AN1006),$AB$1006:$AQ$1006,0)), HYPERLINK("#",""), HYPERLINK(CONCATENATE("#Metadata!", ADDRESS(INDEX($W$2:$W$1001,MATCH(ROWS($U$2:U861),$U$2:$U$1001,0),0), INDEX($AB$1004:$AQ$1004,1,MATCH(COLUMNS($AB$1006:AN1006),$AB$1006:$AQ$1006,0)))),"Fix")))</f>
        <v>0</v>
      </c>
      <c r="O861" s="5">
        <f>IF(OR(INDEX($V$2:$V$1001,MATCH(ROWS($U$2:U861),$U$2:$U$1001,0),1)&gt;=100000,INDEX($AB$1005:$AQ$1005,1,MATCH(COLUMNS($AB$1006:AO1006),$AB$1006:$AQ$1006,0))&gt;=100000), " ",IF(INDEX($AB$2:$AQ$1001,MATCH(ROWS($U$2:U861),$U$2:$U$1001,0),MATCH(COLUMNS($AB$1006:AO1006),$AB$1006:$AQ$1006,0)), HYPERLINK("#",""), HYPERLINK(CONCATENATE("#Metadata!", ADDRESS(INDEX($W$2:$W$1001,MATCH(ROWS($U$2:U861),$U$2:$U$1001,0),0), INDEX($AB$1004:$AQ$1004,1,MATCH(COLUMNS($AB$1006:AO1006),$AB$1006:$AQ$1006,0)))),"Fix")))</f>
        <v>0</v>
      </c>
      <c r="P861" s="5">
        <f>IF(OR(INDEX($V$2:$V$1001,MATCH(ROWS($U$2:U861),$U$2:$U$1001,0),1)&gt;=100000,INDEX($AB$1005:$AQ$1005,1,MATCH(COLUMNS($AB$1006:AP1006),$AB$1006:$AQ$1006,0))&gt;=100000), " ",IF(INDEX($AB$2:$AQ$1001,MATCH(ROWS($U$2:U861),$U$2:$U$1001,0),MATCH(COLUMNS($AB$1006:AP1006),$AB$1006:$AQ$1006,0)), HYPERLINK("#",""), HYPERLINK(CONCATENATE("#Metadata!", ADDRESS(INDEX($W$2:$W$1001,MATCH(ROWS($U$2:U861),$U$2:$U$1001,0),0), INDEX($AB$1004:$AQ$1004,1,MATCH(COLUMNS($AB$1006:AP1006),$AB$1006:$AQ$1006,0)))),"Fix")))</f>
        <v>0</v>
      </c>
      <c r="Q861" s="5">
        <f>IF(OR(INDEX($V$2:$V$1001,MATCH(ROWS($U$2:U861),$U$2:$U$1001,0),1)&gt;=100000,INDEX($AB$1005:$AQ$1005,1,MATCH(COLUMNS($AB$1006:AQ1006),$AB$1006:$AQ$1006,0))&gt;=100000), " ",IF(INDEX($AB$2:$AQ$1001,MATCH(ROWS($U$2:U861),$U$2:$U$1001,0),MATCH(COLUMNS($AB$1006:AQ1006),$AB$1006:$AQ$1006,0)), HYPERLINK("#",""), HYPERLINK(CONCATENATE("#Metadata!", ADDRESS(INDEX($W$2:$W$1001,MATCH(ROWS($U$2:U861),$U$2:$U$1001,0),0), INDEX($AB$1004:$AQ$1004,1,MATCH(COLUMNS($AB$1006:AQ1006),$AB$1006:$AQ$1006,0)))),"Fix")))</f>
        <v>0</v>
      </c>
      <c r="U861">
        <v>0</v>
      </c>
      <c r="V861">
        <v>0</v>
      </c>
      <c r="W861">
        <v>0</v>
      </c>
      <c r="X861">
        <f>IF(Y861,TRUE,AND(AB861:AQ861))</f>
        <v>0</v>
      </c>
      <c r="Y861">
        <f>COUNTBLANK(Metadata!B861:Q861)=COLUMNS(Metadata!B861:Q861)</f>
        <v>0</v>
      </c>
      <c r="Z861">
        <v>0</v>
      </c>
      <c r="AB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AC861">
        <f>AND(IF(Metadata!C861="",FALSE,TRUE),exact(Metadata!C861,"urban biome"))</f>
        <v>0</v>
      </c>
      <c r="AD861">
        <f>AND(IF(Metadata!D861="",FALSE,TRUE),exact(Metadata!D861,"human-associated habitat"))</f>
        <v>0</v>
      </c>
      <c r="AE861">
        <f>AND(IF(Metadata!E861="",FALSE,TRUE),OR(exact(Metadata!E861,"human-associated"),exact(Metadata!E861,"human-skin"),exact(Metadata!E861,"human-oral"),exact(Metadata!E861,"human-gut"),exact(Metadata!E861,"human-vaginal")))</f>
        <v>0</v>
      </c>
      <c r="AF861">
        <f>AND(IF(Metadata!F861="",FALSE,ISNUMBER(VALUE(Metadata!F861))),Metadata!F861&gt;0)</f>
        <v>0</v>
      </c>
      <c r="AG861">
        <f>AND(IF(Metadata!G861="",FALSE,TRUE),exact(Metadata!G861,"years"))</f>
        <v>0</v>
      </c>
      <c r="AH861">
        <f>OR(AND(IF(Metadata!H861="",FALSE,TRUE),OR(exact(Metadata!H861,"not applicable"),exact(Metadata!H861,"not collected"),exact(Metadata!H861,"not provided"),exact(Metadata!H861,"restricted access"))),AND(IF(Metadata!H861="",FALSE,ISNUMBER(VALUE(Metadata!H861))),Metadata!H861&gt;0))</f>
        <v>0</v>
      </c>
      <c r="AI861">
        <f>AND(IF(Metadata!I861="",FALSE,TRUE),exact(Metadata!I861,"human"))</f>
        <v>0</v>
      </c>
      <c r="AJ861">
        <f>AND(IF(Metadata!J861="",FALSE,ISNUMBER(VALUE(Metadata!J861))),Metadata!J861&gt;0)</f>
        <v>0</v>
      </c>
      <c r="AK861">
        <f>AND(IF(Metadata!K861="",FALSE,TRUE),exact(Metadata!K861,"cm"))</f>
        <v>0</v>
      </c>
      <c r="AL861">
        <f>AND(IF(Metadata!L861="",FALSE,TRUE),exact(Metadata!L861,"Homo sapiens"))</f>
        <v>0</v>
      </c>
      <c r="AM861">
        <f>AND(IF(Metadata!M861="",FALSE,TRUE),exact(Metadata!M861,"9606"))</f>
        <v>0</v>
      </c>
      <c r="AN861">
        <f>AND(IF(Metadata!N861="",FALSE,ISNUMBER(VALUE(Metadata!N861))),Metadata!N861&gt;0)</f>
        <v>0</v>
      </c>
      <c r="AO861">
        <f>AND(IF(Metadata!O861="",FALSE,TRUE),exact(Metadata!O861,"kg"))</f>
        <v>0</v>
      </c>
      <c r="AP861">
        <f>OR(AND(IF(Metadata!P861="",FALSE,TRUE),exact(Metadata!P861,"not provided")),IF(Metadata!P861="",FALSE,TRUE))</f>
        <v>0</v>
      </c>
      <c r="AQ861">
        <f>OR(AND(IF(Metadata!Q861="",FALSE,TRUE),exact(Metadata!Q861,"not provided")),IF(Metadata!Q861="",FALSE,TRUE))</f>
        <v>0</v>
      </c>
    </row>
    <row r="862" spans="1:43">
      <c r="A862" s="4">
        <f>IF(B862=" "," ",HYPERLINK(CONCATENATE("#metadata!",ADDRESS(INDEX($W$2:$W$1001,MATCH(ROWS($U$2:U862),$U$2:$U$1001,0),0),2)),INDEX($Z$2:$Z$1001,MATCH(ROWS($U$2:U862),$U$2:$U$1001,0),0)))</f>
        <v>0</v>
      </c>
      <c r="B862" s="5">
        <f>IF(OR(INDEX($V$2:$V$1001,MATCH(ROWS($U$2:U862),$U$2:$U$1001,0),1)&gt;=100000,INDEX($AB$1005:$AQ$1005,1,MATCH(COLUMNS($AB$1006:AB1006),$AB$1006:$AQ$1006,0))&gt;=100000), " ",IF(INDEX($AB$2:$AQ$1001,MATCH(ROWS($U$2:U862),$U$2:$U$1001,0),MATCH(COLUMNS($AB$1006:AB1006),$AB$1006:$AQ$1006,0)), HYPERLINK("#",""), HYPERLINK(CONCATENATE("#Metadata!", ADDRESS(INDEX($W$2:$W$1001,MATCH(ROWS($U$2:U862),$U$2:$U$1001,0),0), INDEX($AB$1004:$AQ$1004,1,MATCH(COLUMNS($AB$1006:AB1006),$AB$1006:$AQ$1006,0)))),"Fix")))</f>
        <v>0</v>
      </c>
      <c r="C862" s="5">
        <f>IF(OR(INDEX($V$2:$V$1001,MATCH(ROWS($U$2:U862),$U$2:$U$1001,0),1)&gt;=100000,INDEX($AB$1005:$AQ$1005,1,MATCH(COLUMNS($AB$1006:AC1006),$AB$1006:$AQ$1006,0))&gt;=100000), " ",IF(INDEX($AB$2:$AQ$1001,MATCH(ROWS($U$2:U862),$U$2:$U$1001,0),MATCH(COLUMNS($AB$1006:AC1006),$AB$1006:$AQ$1006,0)), HYPERLINK("#",""), HYPERLINK(CONCATENATE("#Metadata!", ADDRESS(INDEX($W$2:$W$1001,MATCH(ROWS($U$2:U862),$U$2:$U$1001,0),0), INDEX($AB$1004:$AQ$1004,1,MATCH(COLUMNS($AB$1006:AC1006),$AB$1006:$AQ$1006,0)))),"Fix")))</f>
        <v>0</v>
      </c>
      <c r="D862" s="5">
        <f>IF(OR(INDEX($V$2:$V$1001,MATCH(ROWS($U$2:U862),$U$2:$U$1001,0),1)&gt;=100000,INDEX($AB$1005:$AQ$1005,1,MATCH(COLUMNS($AB$1006:AD1006),$AB$1006:$AQ$1006,0))&gt;=100000), " ",IF(INDEX($AB$2:$AQ$1001,MATCH(ROWS($U$2:U862),$U$2:$U$1001,0),MATCH(COLUMNS($AB$1006:AD1006),$AB$1006:$AQ$1006,0)), HYPERLINK("#",""), HYPERLINK(CONCATENATE("#Metadata!", ADDRESS(INDEX($W$2:$W$1001,MATCH(ROWS($U$2:U862),$U$2:$U$1001,0),0), INDEX($AB$1004:$AQ$1004,1,MATCH(COLUMNS($AB$1006:AD1006),$AB$1006:$AQ$1006,0)))),"Fix")))</f>
        <v>0</v>
      </c>
      <c r="E862" s="5">
        <f>IF(OR(INDEX($V$2:$V$1001,MATCH(ROWS($U$2:U862),$U$2:$U$1001,0),1)&gt;=100000,INDEX($AB$1005:$AQ$1005,1,MATCH(COLUMNS($AB$1006:AE1006),$AB$1006:$AQ$1006,0))&gt;=100000), " ",IF(INDEX($AB$2:$AQ$1001,MATCH(ROWS($U$2:U862),$U$2:$U$1001,0),MATCH(COLUMNS($AB$1006:AE1006),$AB$1006:$AQ$1006,0)), HYPERLINK("#",""), HYPERLINK(CONCATENATE("#Metadata!", ADDRESS(INDEX($W$2:$W$1001,MATCH(ROWS($U$2:U862),$U$2:$U$1001,0),0), INDEX($AB$1004:$AQ$1004,1,MATCH(COLUMNS($AB$1006:AE1006),$AB$1006:$AQ$1006,0)))),"Fix")))</f>
        <v>0</v>
      </c>
      <c r="F862" s="5">
        <f>IF(OR(INDEX($V$2:$V$1001,MATCH(ROWS($U$2:U862),$U$2:$U$1001,0),1)&gt;=100000,INDEX($AB$1005:$AQ$1005,1,MATCH(COLUMNS($AB$1006:AF1006),$AB$1006:$AQ$1006,0))&gt;=100000), " ",IF(INDEX($AB$2:$AQ$1001,MATCH(ROWS($U$2:U862),$U$2:$U$1001,0),MATCH(COLUMNS($AB$1006:AF1006),$AB$1006:$AQ$1006,0)), HYPERLINK("#",""), HYPERLINK(CONCATENATE("#Metadata!", ADDRESS(INDEX($W$2:$W$1001,MATCH(ROWS($U$2:U862),$U$2:$U$1001,0),0), INDEX($AB$1004:$AQ$1004,1,MATCH(COLUMNS($AB$1006:AF1006),$AB$1006:$AQ$1006,0)))),"Fix")))</f>
        <v>0</v>
      </c>
      <c r="G862" s="5">
        <f>IF(OR(INDEX($V$2:$V$1001,MATCH(ROWS($U$2:U862),$U$2:$U$1001,0),1)&gt;=100000,INDEX($AB$1005:$AQ$1005,1,MATCH(COLUMNS($AB$1006:AG1006),$AB$1006:$AQ$1006,0))&gt;=100000), " ",IF(INDEX($AB$2:$AQ$1001,MATCH(ROWS($U$2:U862),$U$2:$U$1001,0),MATCH(COLUMNS($AB$1006:AG1006),$AB$1006:$AQ$1006,0)), HYPERLINK("#",""), HYPERLINK(CONCATENATE("#Metadata!", ADDRESS(INDEX($W$2:$W$1001,MATCH(ROWS($U$2:U862),$U$2:$U$1001,0),0), INDEX($AB$1004:$AQ$1004,1,MATCH(COLUMNS($AB$1006:AG1006),$AB$1006:$AQ$1006,0)))),"Fix")))</f>
        <v>0</v>
      </c>
      <c r="H862" s="5">
        <f>IF(OR(INDEX($V$2:$V$1001,MATCH(ROWS($U$2:U862),$U$2:$U$1001,0),1)&gt;=100000,INDEX($AB$1005:$AQ$1005,1,MATCH(COLUMNS($AB$1006:AH1006),$AB$1006:$AQ$1006,0))&gt;=100000), " ",IF(INDEX($AB$2:$AQ$1001,MATCH(ROWS($U$2:U862),$U$2:$U$1001,0),MATCH(COLUMNS($AB$1006:AH1006),$AB$1006:$AQ$1006,0)), HYPERLINK("#",""), HYPERLINK(CONCATENATE("#Metadata!", ADDRESS(INDEX($W$2:$W$1001,MATCH(ROWS($U$2:U862),$U$2:$U$1001,0),0), INDEX($AB$1004:$AQ$1004,1,MATCH(COLUMNS($AB$1006:AH1006),$AB$1006:$AQ$1006,0)))),"Fix")))</f>
        <v>0</v>
      </c>
      <c r="I862" s="5">
        <f>IF(OR(INDEX($V$2:$V$1001,MATCH(ROWS($U$2:U862),$U$2:$U$1001,0),1)&gt;=100000,INDEX($AB$1005:$AQ$1005,1,MATCH(COLUMNS($AB$1006:AI1006),$AB$1006:$AQ$1006,0))&gt;=100000), " ",IF(INDEX($AB$2:$AQ$1001,MATCH(ROWS($U$2:U862),$U$2:$U$1001,0),MATCH(COLUMNS($AB$1006:AI1006),$AB$1006:$AQ$1006,0)), HYPERLINK("#",""), HYPERLINK(CONCATENATE("#Metadata!", ADDRESS(INDEX($W$2:$W$1001,MATCH(ROWS($U$2:U862),$U$2:$U$1001,0),0), INDEX($AB$1004:$AQ$1004,1,MATCH(COLUMNS($AB$1006:AI1006),$AB$1006:$AQ$1006,0)))),"Fix")))</f>
        <v>0</v>
      </c>
      <c r="J862" s="5">
        <f>IF(OR(INDEX($V$2:$V$1001,MATCH(ROWS($U$2:U862),$U$2:$U$1001,0),1)&gt;=100000,INDEX($AB$1005:$AQ$1005,1,MATCH(COLUMNS($AB$1006:AJ1006),$AB$1006:$AQ$1006,0))&gt;=100000), " ",IF(INDEX($AB$2:$AQ$1001,MATCH(ROWS($U$2:U862),$U$2:$U$1001,0),MATCH(COLUMNS($AB$1006:AJ1006),$AB$1006:$AQ$1006,0)), HYPERLINK("#",""), HYPERLINK(CONCATENATE("#Metadata!", ADDRESS(INDEX($W$2:$W$1001,MATCH(ROWS($U$2:U862),$U$2:$U$1001,0),0), INDEX($AB$1004:$AQ$1004,1,MATCH(COLUMNS($AB$1006:AJ1006),$AB$1006:$AQ$1006,0)))),"Fix")))</f>
        <v>0</v>
      </c>
      <c r="K862" s="5">
        <f>IF(OR(INDEX($V$2:$V$1001,MATCH(ROWS($U$2:U862),$U$2:$U$1001,0),1)&gt;=100000,INDEX($AB$1005:$AQ$1005,1,MATCH(COLUMNS($AB$1006:AK1006),$AB$1006:$AQ$1006,0))&gt;=100000), " ",IF(INDEX($AB$2:$AQ$1001,MATCH(ROWS($U$2:U862),$U$2:$U$1001,0),MATCH(COLUMNS($AB$1006:AK1006),$AB$1006:$AQ$1006,0)), HYPERLINK("#",""), HYPERLINK(CONCATENATE("#Metadata!", ADDRESS(INDEX($W$2:$W$1001,MATCH(ROWS($U$2:U862),$U$2:$U$1001,0),0), INDEX($AB$1004:$AQ$1004,1,MATCH(COLUMNS($AB$1006:AK1006),$AB$1006:$AQ$1006,0)))),"Fix")))</f>
        <v>0</v>
      </c>
      <c r="L862" s="5">
        <f>IF(OR(INDEX($V$2:$V$1001,MATCH(ROWS($U$2:U862),$U$2:$U$1001,0),1)&gt;=100000,INDEX($AB$1005:$AQ$1005,1,MATCH(COLUMNS($AB$1006:AL1006),$AB$1006:$AQ$1006,0))&gt;=100000), " ",IF(INDEX($AB$2:$AQ$1001,MATCH(ROWS($U$2:U862),$U$2:$U$1001,0),MATCH(COLUMNS($AB$1006:AL1006),$AB$1006:$AQ$1006,0)), HYPERLINK("#",""), HYPERLINK(CONCATENATE("#Metadata!", ADDRESS(INDEX($W$2:$W$1001,MATCH(ROWS($U$2:U862),$U$2:$U$1001,0),0), INDEX($AB$1004:$AQ$1004,1,MATCH(COLUMNS($AB$1006:AL1006),$AB$1006:$AQ$1006,0)))),"Fix")))</f>
        <v>0</v>
      </c>
      <c r="M862" s="5">
        <f>IF(OR(INDEX($V$2:$V$1001,MATCH(ROWS($U$2:U862),$U$2:$U$1001,0),1)&gt;=100000,INDEX($AB$1005:$AQ$1005,1,MATCH(COLUMNS($AB$1006:AM1006),$AB$1006:$AQ$1006,0))&gt;=100000), " ",IF(INDEX($AB$2:$AQ$1001,MATCH(ROWS($U$2:U862),$U$2:$U$1001,0),MATCH(COLUMNS($AB$1006:AM1006),$AB$1006:$AQ$1006,0)), HYPERLINK("#",""), HYPERLINK(CONCATENATE("#Metadata!", ADDRESS(INDEX($W$2:$W$1001,MATCH(ROWS($U$2:U862),$U$2:$U$1001,0),0), INDEX($AB$1004:$AQ$1004,1,MATCH(COLUMNS($AB$1006:AM1006),$AB$1006:$AQ$1006,0)))),"Fix")))</f>
        <v>0</v>
      </c>
      <c r="N862" s="5">
        <f>IF(OR(INDEX($V$2:$V$1001,MATCH(ROWS($U$2:U862),$U$2:$U$1001,0),1)&gt;=100000,INDEX($AB$1005:$AQ$1005,1,MATCH(COLUMNS($AB$1006:AN1006),$AB$1006:$AQ$1006,0))&gt;=100000), " ",IF(INDEX($AB$2:$AQ$1001,MATCH(ROWS($U$2:U862),$U$2:$U$1001,0),MATCH(COLUMNS($AB$1006:AN1006),$AB$1006:$AQ$1006,0)), HYPERLINK("#",""), HYPERLINK(CONCATENATE("#Metadata!", ADDRESS(INDEX($W$2:$W$1001,MATCH(ROWS($U$2:U862),$U$2:$U$1001,0),0), INDEX($AB$1004:$AQ$1004,1,MATCH(COLUMNS($AB$1006:AN1006),$AB$1006:$AQ$1006,0)))),"Fix")))</f>
        <v>0</v>
      </c>
      <c r="O862" s="5">
        <f>IF(OR(INDEX($V$2:$V$1001,MATCH(ROWS($U$2:U862),$U$2:$U$1001,0),1)&gt;=100000,INDEX($AB$1005:$AQ$1005,1,MATCH(COLUMNS($AB$1006:AO1006),$AB$1006:$AQ$1006,0))&gt;=100000), " ",IF(INDEX($AB$2:$AQ$1001,MATCH(ROWS($U$2:U862),$U$2:$U$1001,0),MATCH(COLUMNS($AB$1006:AO1006),$AB$1006:$AQ$1006,0)), HYPERLINK("#",""), HYPERLINK(CONCATENATE("#Metadata!", ADDRESS(INDEX($W$2:$W$1001,MATCH(ROWS($U$2:U862),$U$2:$U$1001,0),0), INDEX($AB$1004:$AQ$1004,1,MATCH(COLUMNS($AB$1006:AO1006),$AB$1006:$AQ$1006,0)))),"Fix")))</f>
        <v>0</v>
      </c>
      <c r="P862" s="5">
        <f>IF(OR(INDEX($V$2:$V$1001,MATCH(ROWS($U$2:U862),$U$2:$U$1001,0),1)&gt;=100000,INDEX($AB$1005:$AQ$1005,1,MATCH(COLUMNS($AB$1006:AP1006),$AB$1006:$AQ$1006,0))&gt;=100000), " ",IF(INDEX($AB$2:$AQ$1001,MATCH(ROWS($U$2:U862),$U$2:$U$1001,0),MATCH(COLUMNS($AB$1006:AP1006),$AB$1006:$AQ$1006,0)), HYPERLINK("#",""), HYPERLINK(CONCATENATE("#Metadata!", ADDRESS(INDEX($W$2:$W$1001,MATCH(ROWS($U$2:U862),$U$2:$U$1001,0),0), INDEX($AB$1004:$AQ$1004,1,MATCH(COLUMNS($AB$1006:AP1006),$AB$1006:$AQ$1006,0)))),"Fix")))</f>
        <v>0</v>
      </c>
      <c r="Q862" s="5">
        <f>IF(OR(INDEX($V$2:$V$1001,MATCH(ROWS($U$2:U862),$U$2:$U$1001,0),1)&gt;=100000,INDEX($AB$1005:$AQ$1005,1,MATCH(COLUMNS($AB$1006:AQ1006),$AB$1006:$AQ$1006,0))&gt;=100000), " ",IF(INDEX($AB$2:$AQ$1001,MATCH(ROWS($U$2:U862),$U$2:$U$1001,0),MATCH(COLUMNS($AB$1006:AQ1006),$AB$1006:$AQ$1006,0)), HYPERLINK("#",""), HYPERLINK(CONCATENATE("#Metadata!", ADDRESS(INDEX($W$2:$W$1001,MATCH(ROWS($U$2:U862),$U$2:$U$1001,0),0), INDEX($AB$1004:$AQ$1004,1,MATCH(COLUMNS($AB$1006:AQ1006),$AB$1006:$AQ$1006,0)))),"Fix")))</f>
        <v>0</v>
      </c>
      <c r="U862">
        <v>0</v>
      </c>
      <c r="V862">
        <v>0</v>
      </c>
      <c r="W862">
        <v>0</v>
      </c>
      <c r="X862">
        <f>IF(Y862,TRUE,AND(AB862:AQ862))</f>
        <v>0</v>
      </c>
      <c r="Y862">
        <f>COUNTBLANK(Metadata!B862:Q862)=COLUMNS(Metadata!B862:Q862)</f>
        <v>0</v>
      </c>
      <c r="Z862">
        <v>0</v>
      </c>
      <c r="AB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AC862">
        <f>AND(IF(Metadata!C862="",FALSE,TRUE),exact(Metadata!C862,"urban biome"))</f>
        <v>0</v>
      </c>
      <c r="AD862">
        <f>AND(IF(Metadata!D862="",FALSE,TRUE),exact(Metadata!D862,"human-associated habitat"))</f>
        <v>0</v>
      </c>
      <c r="AE862">
        <f>AND(IF(Metadata!E862="",FALSE,TRUE),OR(exact(Metadata!E862,"human-associated"),exact(Metadata!E862,"human-skin"),exact(Metadata!E862,"human-oral"),exact(Metadata!E862,"human-gut"),exact(Metadata!E862,"human-vaginal")))</f>
        <v>0</v>
      </c>
      <c r="AF862">
        <f>AND(IF(Metadata!F862="",FALSE,ISNUMBER(VALUE(Metadata!F862))),Metadata!F862&gt;0)</f>
        <v>0</v>
      </c>
      <c r="AG862">
        <f>AND(IF(Metadata!G862="",FALSE,TRUE),exact(Metadata!G862,"years"))</f>
        <v>0</v>
      </c>
      <c r="AH862">
        <f>OR(AND(IF(Metadata!H862="",FALSE,TRUE),OR(exact(Metadata!H862,"not applicable"),exact(Metadata!H862,"not collected"),exact(Metadata!H862,"not provided"),exact(Metadata!H862,"restricted access"))),AND(IF(Metadata!H862="",FALSE,ISNUMBER(VALUE(Metadata!H862))),Metadata!H862&gt;0))</f>
        <v>0</v>
      </c>
      <c r="AI862">
        <f>AND(IF(Metadata!I862="",FALSE,TRUE),exact(Metadata!I862,"human"))</f>
        <v>0</v>
      </c>
      <c r="AJ862">
        <f>AND(IF(Metadata!J862="",FALSE,ISNUMBER(VALUE(Metadata!J862))),Metadata!J862&gt;0)</f>
        <v>0</v>
      </c>
      <c r="AK862">
        <f>AND(IF(Metadata!K862="",FALSE,TRUE),exact(Metadata!K862,"cm"))</f>
        <v>0</v>
      </c>
      <c r="AL862">
        <f>AND(IF(Metadata!L862="",FALSE,TRUE),exact(Metadata!L862,"Homo sapiens"))</f>
        <v>0</v>
      </c>
      <c r="AM862">
        <f>AND(IF(Metadata!M862="",FALSE,TRUE),exact(Metadata!M862,"9606"))</f>
        <v>0</v>
      </c>
      <c r="AN862">
        <f>AND(IF(Metadata!N862="",FALSE,ISNUMBER(VALUE(Metadata!N862))),Metadata!N862&gt;0)</f>
        <v>0</v>
      </c>
      <c r="AO862">
        <f>AND(IF(Metadata!O862="",FALSE,TRUE),exact(Metadata!O862,"kg"))</f>
        <v>0</v>
      </c>
      <c r="AP862">
        <f>OR(AND(IF(Metadata!P862="",FALSE,TRUE),exact(Metadata!P862,"not provided")),IF(Metadata!P862="",FALSE,TRUE))</f>
        <v>0</v>
      </c>
      <c r="AQ862">
        <f>OR(AND(IF(Metadata!Q862="",FALSE,TRUE),exact(Metadata!Q862,"not provided")),IF(Metadata!Q862="",FALSE,TRUE))</f>
        <v>0</v>
      </c>
    </row>
    <row r="863" spans="1:43">
      <c r="A863" s="4">
        <f>IF(B863=" "," ",HYPERLINK(CONCATENATE("#metadata!",ADDRESS(INDEX($W$2:$W$1001,MATCH(ROWS($U$2:U863),$U$2:$U$1001,0),0),2)),INDEX($Z$2:$Z$1001,MATCH(ROWS($U$2:U863),$U$2:$U$1001,0),0)))</f>
        <v>0</v>
      </c>
      <c r="B863" s="5">
        <f>IF(OR(INDEX($V$2:$V$1001,MATCH(ROWS($U$2:U863),$U$2:$U$1001,0),1)&gt;=100000,INDEX($AB$1005:$AQ$1005,1,MATCH(COLUMNS($AB$1006:AB1006),$AB$1006:$AQ$1006,0))&gt;=100000), " ",IF(INDEX($AB$2:$AQ$1001,MATCH(ROWS($U$2:U863),$U$2:$U$1001,0),MATCH(COLUMNS($AB$1006:AB1006),$AB$1006:$AQ$1006,0)), HYPERLINK("#",""), HYPERLINK(CONCATENATE("#Metadata!", ADDRESS(INDEX($W$2:$W$1001,MATCH(ROWS($U$2:U863),$U$2:$U$1001,0),0), INDEX($AB$1004:$AQ$1004,1,MATCH(COLUMNS($AB$1006:AB1006),$AB$1006:$AQ$1006,0)))),"Fix")))</f>
        <v>0</v>
      </c>
      <c r="C863" s="5">
        <f>IF(OR(INDEX($V$2:$V$1001,MATCH(ROWS($U$2:U863),$U$2:$U$1001,0),1)&gt;=100000,INDEX($AB$1005:$AQ$1005,1,MATCH(COLUMNS($AB$1006:AC1006),$AB$1006:$AQ$1006,0))&gt;=100000), " ",IF(INDEX($AB$2:$AQ$1001,MATCH(ROWS($U$2:U863),$U$2:$U$1001,0),MATCH(COLUMNS($AB$1006:AC1006),$AB$1006:$AQ$1006,0)), HYPERLINK("#",""), HYPERLINK(CONCATENATE("#Metadata!", ADDRESS(INDEX($W$2:$W$1001,MATCH(ROWS($U$2:U863),$U$2:$U$1001,0),0), INDEX($AB$1004:$AQ$1004,1,MATCH(COLUMNS($AB$1006:AC1006),$AB$1006:$AQ$1006,0)))),"Fix")))</f>
        <v>0</v>
      </c>
      <c r="D863" s="5">
        <f>IF(OR(INDEX($V$2:$V$1001,MATCH(ROWS($U$2:U863),$U$2:$U$1001,0),1)&gt;=100000,INDEX($AB$1005:$AQ$1005,1,MATCH(COLUMNS($AB$1006:AD1006),$AB$1006:$AQ$1006,0))&gt;=100000), " ",IF(INDEX($AB$2:$AQ$1001,MATCH(ROWS($U$2:U863),$U$2:$U$1001,0),MATCH(COLUMNS($AB$1006:AD1006),$AB$1006:$AQ$1006,0)), HYPERLINK("#",""), HYPERLINK(CONCATENATE("#Metadata!", ADDRESS(INDEX($W$2:$W$1001,MATCH(ROWS($U$2:U863),$U$2:$U$1001,0),0), INDEX($AB$1004:$AQ$1004,1,MATCH(COLUMNS($AB$1006:AD1006),$AB$1006:$AQ$1006,0)))),"Fix")))</f>
        <v>0</v>
      </c>
      <c r="E863" s="5">
        <f>IF(OR(INDEX($V$2:$V$1001,MATCH(ROWS($U$2:U863),$U$2:$U$1001,0),1)&gt;=100000,INDEX($AB$1005:$AQ$1005,1,MATCH(COLUMNS($AB$1006:AE1006),$AB$1006:$AQ$1006,0))&gt;=100000), " ",IF(INDEX($AB$2:$AQ$1001,MATCH(ROWS($U$2:U863),$U$2:$U$1001,0),MATCH(COLUMNS($AB$1006:AE1006),$AB$1006:$AQ$1006,0)), HYPERLINK("#",""), HYPERLINK(CONCATENATE("#Metadata!", ADDRESS(INDEX($W$2:$W$1001,MATCH(ROWS($U$2:U863),$U$2:$U$1001,0),0), INDEX($AB$1004:$AQ$1004,1,MATCH(COLUMNS($AB$1006:AE1006),$AB$1006:$AQ$1006,0)))),"Fix")))</f>
        <v>0</v>
      </c>
      <c r="F863" s="5">
        <f>IF(OR(INDEX($V$2:$V$1001,MATCH(ROWS($U$2:U863),$U$2:$U$1001,0),1)&gt;=100000,INDEX($AB$1005:$AQ$1005,1,MATCH(COLUMNS($AB$1006:AF1006),$AB$1006:$AQ$1006,0))&gt;=100000), " ",IF(INDEX($AB$2:$AQ$1001,MATCH(ROWS($U$2:U863),$U$2:$U$1001,0),MATCH(COLUMNS($AB$1006:AF1006),$AB$1006:$AQ$1006,0)), HYPERLINK("#",""), HYPERLINK(CONCATENATE("#Metadata!", ADDRESS(INDEX($W$2:$W$1001,MATCH(ROWS($U$2:U863),$U$2:$U$1001,0),0), INDEX($AB$1004:$AQ$1004,1,MATCH(COLUMNS($AB$1006:AF1006),$AB$1006:$AQ$1006,0)))),"Fix")))</f>
        <v>0</v>
      </c>
      <c r="G863" s="5">
        <f>IF(OR(INDEX($V$2:$V$1001,MATCH(ROWS($U$2:U863),$U$2:$U$1001,0),1)&gt;=100000,INDEX($AB$1005:$AQ$1005,1,MATCH(COLUMNS($AB$1006:AG1006),$AB$1006:$AQ$1006,0))&gt;=100000), " ",IF(INDEX($AB$2:$AQ$1001,MATCH(ROWS($U$2:U863),$U$2:$U$1001,0),MATCH(COLUMNS($AB$1006:AG1006),$AB$1006:$AQ$1006,0)), HYPERLINK("#",""), HYPERLINK(CONCATENATE("#Metadata!", ADDRESS(INDEX($W$2:$W$1001,MATCH(ROWS($U$2:U863),$U$2:$U$1001,0),0), INDEX($AB$1004:$AQ$1004,1,MATCH(COLUMNS($AB$1006:AG1006),$AB$1006:$AQ$1006,0)))),"Fix")))</f>
        <v>0</v>
      </c>
      <c r="H863" s="5">
        <f>IF(OR(INDEX($V$2:$V$1001,MATCH(ROWS($U$2:U863),$U$2:$U$1001,0),1)&gt;=100000,INDEX($AB$1005:$AQ$1005,1,MATCH(COLUMNS($AB$1006:AH1006),$AB$1006:$AQ$1006,0))&gt;=100000), " ",IF(INDEX($AB$2:$AQ$1001,MATCH(ROWS($U$2:U863),$U$2:$U$1001,0),MATCH(COLUMNS($AB$1006:AH1006),$AB$1006:$AQ$1006,0)), HYPERLINK("#",""), HYPERLINK(CONCATENATE("#Metadata!", ADDRESS(INDEX($W$2:$W$1001,MATCH(ROWS($U$2:U863),$U$2:$U$1001,0),0), INDEX($AB$1004:$AQ$1004,1,MATCH(COLUMNS($AB$1006:AH1006),$AB$1006:$AQ$1006,0)))),"Fix")))</f>
        <v>0</v>
      </c>
      <c r="I863" s="5">
        <f>IF(OR(INDEX($V$2:$V$1001,MATCH(ROWS($U$2:U863),$U$2:$U$1001,0),1)&gt;=100000,INDEX($AB$1005:$AQ$1005,1,MATCH(COLUMNS($AB$1006:AI1006),$AB$1006:$AQ$1006,0))&gt;=100000), " ",IF(INDEX($AB$2:$AQ$1001,MATCH(ROWS($U$2:U863),$U$2:$U$1001,0),MATCH(COLUMNS($AB$1006:AI1006),$AB$1006:$AQ$1006,0)), HYPERLINK("#",""), HYPERLINK(CONCATENATE("#Metadata!", ADDRESS(INDEX($W$2:$W$1001,MATCH(ROWS($U$2:U863),$U$2:$U$1001,0),0), INDEX($AB$1004:$AQ$1004,1,MATCH(COLUMNS($AB$1006:AI1006),$AB$1006:$AQ$1006,0)))),"Fix")))</f>
        <v>0</v>
      </c>
      <c r="J863" s="5">
        <f>IF(OR(INDEX($V$2:$V$1001,MATCH(ROWS($U$2:U863),$U$2:$U$1001,0),1)&gt;=100000,INDEX($AB$1005:$AQ$1005,1,MATCH(COLUMNS($AB$1006:AJ1006),$AB$1006:$AQ$1006,0))&gt;=100000), " ",IF(INDEX($AB$2:$AQ$1001,MATCH(ROWS($U$2:U863),$U$2:$U$1001,0),MATCH(COLUMNS($AB$1006:AJ1006),$AB$1006:$AQ$1006,0)), HYPERLINK("#",""), HYPERLINK(CONCATENATE("#Metadata!", ADDRESS(INDEX($W$2:$W$1001,MATCH(ROWS($U$2:U863),$U$2:$U$1001,0),0), INDEX($AB$1004:$AQ$1004,1,MATCH(COLUMNS($AB$1006:AJ1006),$AB$1006:$AQ$1006,0)))),"Fix")))</f>
        <v>0</v>
      </c>
      <c r="K863" s="5">
        <f>IF(OR(INDEX($V$2:$V$1001,MATCH(ROWS($U$2:U863),$U$2:$U$1001,0),1)&gt;=100000,INDEX($AB$1005:$AQ$1005,1,MATCH(COLUMNS($AB$1006:AK1006),$AB$1006:$AQ$1006,0))&gt;=100000), " ",IF(INDEX($AB$2:$AQ$1001,MATCH(ROWS($U$2:U863),$U$2:$U$1001,0),MATCH(COLUMNS($AB$1006:AK1006),$AB$1006:$AQ$1006,0)), HYPERLINK("#",""), HYPERLINK(CONCATENATE("#Metadata!", ADDRESS(INDEX($W$2:$W$1001,MATCH(ROWS($U$2:U863),$U$2:$U$1001,0),0), INDEX($AB$1004:$AQ$1004,1,MATCH(COLUMNS($AB$1006:AK1006),$AB$1006:$AQ$1006,0)))),"Fix")))</f>
        <v>0</v>
      </c>
      <c r="L863" s="5">
        <f>IF(OR(INDEX($V$2:$V$1001,MATCH(ROWS($U$2:U863),$U$2:$U$1001,0),1)&gt;=100000,INDEX($AB$1005:$AQ$1005,1,MATCH(COLUMNS($AB$1006:AL1006),$AB$1006:$AQ$1006,0))&gt;=100000), " ",IF(INDEX($AB$2:$AQ$1001,MATCH(ROWS($U$2:U863),$U$2:$U$1001,0),MATCH(COLUMNS($AB$1006:AL1006),$AB$1006:$AQ$1006,0)), HYPERLINK("#",""), HYPERLINK(CONCATENATE("#Metadata!", ADDRESS(INDEX($W$2:$W$1001,MATCH(ROWS($U$2:U863),$U$2:$U$1001,0),0), INDEX($AB$1004:$AQ$1004,1,MATCH(COLUMNS($AB$1006:AL1006),$AB$1006:$AQ$1006,0)))),"Fix")))</f>
        <v>0</v>
      </c>
      <c r="M863" s="5">
        <f>IF(OR(INDEX($V$2:$V$1001,MATCH(ROWS($U$2:U863),$U$2:$U$1001,0),1)&gt;=100000,INDEX($AB$1005:$AQ$1005,1,MATCH(COLUMNS($AB$1006:AM1006),$AB$1006:$AQ$1006,0))&gt;=100000), " ",IF(INDEX($AB$2:$AQ$1001,MATCH(ROWS($U$2:U863),$U$2:$U$1001,0),MATCH(COLUMNS($AB$1006:AM1006),$AB$1006:$AQ$1006,0)), HYPERLINK("#",""), HYPERLINK(CONCATENATE("#Metadata!", ADDRESS(INDEX($W$2:$W$1001,MATCH(ROWS($U$2:U863),$U$2:$U$1001,0),0), INDEX($AB$1004:$AQ$1004,1,MATCH(COLUMNS($AB$1006:AM1006),$AB$1006:$AQ$1006,0)))),"Fix")))</f>
        <v>0</v>
      </c>
      <c r="N863" s="5">
        <f>IF(OR(INDEX($V$2:$V$1001,MATCH(ROWS($U$2:U863),$U$2:$U$1001,0),1)&gt;=100000,INDEX($AB$1005:$AQ$1005,1,MATCH(COLUMNS($AB$1006:AN1006),$AB$1006:$AQ$1006,0))&gt;=100000), " ",IF(INDEX($AB$2:$AQ$1001,MATCH(ROWS($U$2:U863),$U$2:$U$1001,0),MATCH(COLUMNS($AB$1006:AN1006),$AB$1006:$AQ$1006,0)), HYPERLINK("#",""), HYPERLINK(CONCATENATE("#Metadata!", ADDRESS(INDEX($W$2:$W$1001,MATCH(ROWS($U$2:U863),$U$2:$U$1001,0),0), INDEX($AB$1004:$AQ$1004,1,MATCH(COLUMNS($AB$1006:AN1006),$AB$1006:$AQ$1006,0)))),"Fix")))</f>
        <v>0</v>
      </c>
      <c r="O863" s="5">
        <f>IF(OR(INDEX($V$2:$V$1001,MATCH(ROWS($U$2:U863),$U$2:$U$1001,0),1)&gt;=100000,INDEX($AB$1005:$AQ$1005,1,MATCH(COLUMNS($AB$1006:AO1006),$AB$1006:$AQ$1006,0))&gt;=100000), " ",IF(INDEX($AB$2:$AQ$1001,MATCH(ROWS($U$2:U863),$U$2:$U$1001,0),MATCH(COLUMNS($AB$1006:AO1006),$AB$1006:$AQ$1006,0)), HYPERLINK("#",""), HYPERLINK(CONCATENATE("#Metadata!", ADDRESS(INDEX($W$2:$W$1001,MATCH(ROWS($U$2:U863),$U$2:$U$1001,0),0), INDEX($AB$1004:$AQ$1004,1,MATCH(COLUMNS($AB$1006:AO1006),$AB$1006:$AQ$1006,0)))),"Fix")))</f>
        <v>0</v>
      </c>
      <c r="P863" s="5">
        <f>IF(OR(INDEX($V$2:$V$1001,MATCH(ROWS($U$2:U863),$U$2:$U$1001,0),1)&gt;=100000,INDEX($AB$1005:$AQ$1005,1,MATCH(COLUMNS($AB$1006:AP1006),$AB$1006:$AQ$1006,0))&gt;=100000), " ",IF(INDEX($AB$2:$AQ$1001,MATCH(ROWS($U$2:U863),$U$2:$U$1001,0),MATCH(COLUMNS($AB$1006:AP1006),$AB$1006:$AQ$1006,0)), HYPERLINK("#",""), HYPERLINK(CONCATENATE("#Metadata!", ADDRESS(INDEX($W$2:$W$1001,MATCH(ROWS($U$2:U863),$U$2:$U$1001,0),0), INDEX($AB$1004:$AQ$1004,1,MATCH(COLUMNS($AB$1006:AP1006),$AB$1006:$AQ$1006,0)))),"Fix")))</f>
        <v>0</v>
      </c>
      <c r="Q863" s="5">
        <f>IF(OR(INDEX($V$2:$V$1001,MATCH(ROWS($U$2:U863),$U$2:$U$1001,0),1)&gt;=100000,INDEX($AB$1005:$AQ$1005,1,MATCH(COLUMNS($AB$1006:AQ1006),$AB$1006:$AQ$1006,0))&gt;=100000), " ",IF(INDEX($AB$2:$AQ$1001,MATCH(ROWS($U$2:U863),$U$2:$U$1001,0),MATCH(COLUMNS($AB$1006:AQ1006),$AB$1006:$AQ$1006,0)), HYPERLINK("#",""), HYPERLINK(CONCATENATE("#Metadata!", ADDRESS(INDEX($W$2:$W$1001,MATCH(ROWS($U$2:U863),$U$2:$U$1001,0),0), INDEX($AB$1004:$AQ$1004,1,MATCH(COLUMNS($AB$1006:AQ1006),$AB$1006:$AQ$1006,0)))),"Fix")))</f>
        <v>0</v>
      </c>
      <c r="U863">
        <v>0</v>
      </c>
      <c r="V863">
        <v>0</v>
      </c>
      <c r="W863">
        <v>0</v>
      </c>
      <c r="X863">
        <f>IF(Y863,TRUE,AND(AB863:AQ863))</f>
        <v>0</v>
      </c>
      <c r="Y863">
        <f>COUNTBLANK(Metadata!B863:Q863)=COLUMNS(Metadata!B863:Q863)</f>
        <v>0</v>
      </c>
      <c r="Z863">
        <v>0</v>
      </c>
      <c r="AB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AC863">
        <f>AND(IF(Metadata!C863="",FALSE,TRUE),exact(Metadata!C863,"urban biome"))</f>
        <v>0</v>
      </c>
      <c r="AD863">
        <f>AND(IF(Metadata!D863="",FALSE,TRUE),exact(Metadata!D863,"human-associated habitat"))</f>
        <v>0</v>
      </c>
      <c r="AE863">
        <f>AND(IF(Metadata!E863="",FALSE,TRUE),OR(exact(Metadata!E863,"human-associated"),exact(Metadata!E863,"human-skin"),exact(Metadata!E863,"human-oral"),exact(Metadata!E863,"human-gut"),exact(Metadata!E863,"human-vaginal")))</f>
        <v>0</v>
      </c>
      <c r="AF863">
        <f>AND(IF(Metadata!F863="",FALSE,ISNUMBER(VALUE(Metadata!F863))),Metadata!F863&gt;0)</f>
        <v>0</v>
      </c>
      <c r="AG863">
        <f>AND(IF(Metadata!G863="",FALSE,TRUE),exact(Metadata!G863,"years"))</f>
        <v>0</v>
      </c>
      <c r="AH863">
        <f>OR(AND(IF(Metadata!H863="",FALSE,TRUE),OR(exact(Metadata!H863,"not applicable"),exact(Metadata!H863,"not collected"),exact(Metadata!H863,"not provided"),exact(Metadata!H863,"restricted access"))),AND(IF(Metadata!H863="",FALSE,ISNUMBER(VALUE(Metadata!H863))),Metadata!H863&gt;0))</f>
        <v>0</v>
      </c>
      <c r="AI863">
        <f>AND(IF(Metadata!I863="",FALSE,TRUE),exact(Metadata!I863,"human"))</f>
        <v>0</v>
      </c>
      <c r="AJ863">
        <f>AND(IF(Metadata!J863="",FALSE,ISNUMBER(VALUE(Metadata!J863))),Metadata!J863&gt;0)</f>
        <v>0</v>
      </c>
      <c r="AK863">
        <f>AND(IF(Metadata!K863="",FALSE,TRUE),exact(Metadata!K863,"cm"))</f>
        <v>0</v>
      </c>
      <c r="AL863">
        <f>AND(IF(Metadata!L863="",FALSE,TRUE),exact(Metadata!L863,"Homo sapiens"))</f>
        <v>0</v>
      </c>
      <c r="AM863">
        <f>AND(IF(Metadata!M863="",FALSE,TRUE),exact(Metadata!M863,"9606"))</f>
        <v>0</v>
      </c>
      <c r="AN863">
        <f>AND(IF(Metadata!N863="",FALSE,ISNUMBER(VALUE(Metadata!N863))),Metadata!N863&gt;0)</f>
        <v>0</v>
      </c>
      <c r="AO863">
        <f>AND(IF(Metadata!O863="",FALSE,TRUE),exact(Metadata!O863,"kg"))</f>
        <v>0</v>
      </c>
      <c r="AP863">
        <f>OR(AND(IF(Metadata!P863="",FALSE,TRUE),exact(Metadata!P863,"not provided")),IF(Metadata!P863="",FALSE,TRUE))</f>
        <v>0</v>
      </c>
      <c r="AQ863">
        <f>OR(AND(IF(Metadata!Q863="",FALSE,TRUE),exact(Metadata!Q863,"not provided")),IF(Metadata!Q863="",FALSE,TRUE))</f>
        <v>0</v>
      </c>
    </row>
    <row r="864" spans="1:43">
      <c r="A864" s="4">
        <f>IF(B864=" "," ",HYPERLINK(CONCATENATE("#metadata!",ADDRESS(INDEX($W$2:$W$1001,MATCH(ROWS($U$2:U864),$U$2:$U$1001,0),0),2)),INDEX($Z$2:$Z$1001,MATCH(ROWS($U$2:U864),$U$2:$U$1001,0),0)))</f>
        <v>0</v>
      </c>
      <c r="B864" s="5">
        <f>IF(OR(INDEX($V$2:$V$1001,MATCH(ROWS($U$2:U864),$U$2:$U$1001,0),1)&gt;=100000,INDEX($AB$1005:$AQ$1005,1,MATCH(COLUMNS($AB$1006:AB1006),$AB$1006:$AQ$1006,0))&gt;=100000), " ",IF(INDEX($AB$2:$AQ$1001,MATCH(ROWS($U$2:U864),$U$2:$U$1001,0),MATCH(COLUMNS($AB$1006:AB1006),$AB$1006:$AQ$1006,0)), HYPERLINK("#",""), HYPERLINK(CONCATENATE("#Metadata!", ADDRESS(INDEX($W$2:$W$1001,MATCH(ROWS($U$2:U864),$U$2:$U$1001,0),0), INDEX($AB$1004:$AQ$1004,1,MATCH(COLUMNS($AB$1006:AB1006),$AB$1006:$AQ$1006,0)))),"Fix")))</f>
        <v>0</v>
      </c>
      <c r="C864" s="5">
        <f>IF(OR(INDEX($V$2:$V$1001,MATCH(ROWS($U$2:U864),$U$2:$U$1001,0),1)&gt;=100000,INDEX($AB$1005:$AQ$1005,1,MATCH(COLUMNS($AB$1006:AC1006),$AB$1006:$AQ$1006,0))&gt;=100000), " ",IF(INDEX($AB$2:$AQ$1001,MATCH(ROWS($U$2:U864),$U$2:$U$1001,0),MATCH(COLUMNS($AB$1006:AC1006),$AB$1006:$AQ$1006,0)), HYPERLINK("#",""), HYPERLINK(CONCATENATE("#Metadata!", ADDRESS(INDEX($W$2:$W$1001,MATCH(ROWS($U$2:U864),$U$2:$U$1001,0),0), INDEX($AB$1004:$AQ$1004,1,MATCH(COLUMNS($AB$1006:AC1006),$AB$1006:$AQ$1006,0)))),"Fix")))</f>
        <v>0</v>
      </c>
      <c r="D864" s="5">
        <f>IF(OR(INDEX($V$2:$V$1001,MATCH(ROWS($U$2:U864),$U$2:$U$1001,0),1)&gt;=100000,INDEX($AB$1005:$AQ$1005,1,MATCH(COLUMNS($AB$1006:AD1006),$AB$1006:$AQ$1006,0))&gt;=100000), " ",IF(INDEX($AB$2:$AQ$1001,MATCH(ROWS($U$2:U864),$U$2:$U$1001,0),MATCH(COLUMNS($AB$1006:AD1006),$AB$1006:$AQ$1006,0)), HYPERLINK("#",""), HYPERLINK(CONCATENATE("#Metadata!", ADDRESS(INDEX($W$2:$W$1001,MATCH(ROWS($U$2:U864),$U$2:$U$1001,0),0), INDEX($AB$1004:$AQ$1004,1,MATCH(COLUMNS($AB$1006:AD1006),$AB$1006:$AQ$1006,0)))),"Fix")))</f>
        <v>0</v>
      </c>
      <c r="E864" s="5">
        <f>IF(OR(INDEX($V$2:$V$1001,MATCH(ROWS($U$2:U864),$U$2:$U$1001,0),1)&gt;=100000,INDEX($AB$1005:$AQ$1005,1,MATCH(COLUMNS($AB$1006:AE1006),$AB$1006:$AQ$1006,0))&gt;=100000), " ",IF(INDEX($AB$2:$AQ$1001,MATCH(ROWS($U$2:U864),$U$2:$U$1001,0),MATCH(COLUMNS($AB$1006:AE1006),$AB$1006:$AQ$1006,0)), HYPERLINK("#",""), HYPERLINK(CONCATENATE("#Metadata!", ADDRESS(INDEX($W$2:$W$1001,MATCH(ROWS($U$2:U864),$U$2:$U$1001,0),0), INDEX($AB$1004:$AQ$1004,1,MATCH(COLUMNS($AB$1006:AE1006),$AB$1006:$AQ$1006,0)))),"Fix")))</f>
        <v>0</v>
      </c>
      <c r="F864" s="5">
        <f>IF(OR(INDEX($V$2:$V$1001,MATCH(ROWS($U$2:U864),$U$2:$U$1001,0),1)&gt;=100000,INDEX($AB$1005:$AQ$1005,1,MATCH(COLUMNS($AB$1006:AF1006),$AB$1006:$AQ$1006,0))&gt;=100000), " ",IF(INDEX($AB$2:$AQ$1001,MATCH(ROWS($U$2:U864),$U$2:$U$1001,0),MATCH(COLUMNS($AB$1006:AF1006),$AB$1006:$AQ$1006,0)), HYPERLINK("#",""), HYPERLINK(CONCATENATE("#Metadata!", ADDRESS(INDEX($W$2:$W$1001,MATCH(ROWS($U$2:U864),$U$2:$U$1001,0),0), INDEX($AB$1004:$AQ$1004,1,MATCH(COLUMNS($AB$1006:AF1006),$AB$1006:$AQ$1006,0)))),"Fix")))</f>
        <v>0</v>
      </c>
      <c r="G864" s="5">
        <f>IF(OR(INDEX($V$2:$V$1001,MATCH(ROWS($U$2:U864),$U$2:$U$1001,0),1)&gt;=100000,INDEX($AB$1005:$AQ$1005,1,MATCH(COLUMNS($AB$1006:AG1006),$AB$1006:$AQ$1006,0))&gt;=100000), " ",IF(INDEX($AB$2:$AQ$1001,MATCH(ROWS($U$2:U864),$U$2:$U$1001,0),MATCH(COLUMNS($AB$1006:AG1006),$AB$1006:$AQ$1006,0)), HYPERLINK("#",""), HYPERLINK(CONCATENATE("#Metadata!", ADDRESS(INDEX($W$2:$W$1001,MATCH(ROWS($U$2:U864),$U$2:$U$1001,0),0), INDEX($AB$1004:$AQ$1004,1,MATCH(COLUMNS($AB$1006:AG1006),$AB$1006:$AQ$1006,0)))),"Fix")))</f>
        <v>0</v>
      </c>
      <c r="H864" s="5">
        <f>IF(OR(INDEX($V$2:$V$1001,MATCH(ROWS($U$2:U864),$U$2:$U$1001,0),1)&gt;=100000,INDEX($AB$1005:$AQ$1005,1,MATCH(COLUMNS($AB$1006:AH1006),$AB$1006:$AQ$1006,0))&gt;=100000), " ",IF(INDEX($AB$2:$AQ$1001,MATCH(ROWS($U$2:U864),$U$2:$U$1001,0),MATCH(COLUMNS($AB$1006:AH1006),$AB$1006:$AQ$1006,0)), HYPERLINK("#",""), HYPERLINK(CONCATENATE("#Metadata!", ADDRESS(INDEX($W$2:$W$1001,MATCH(ROWS($U$2:U864),$U$2:$U$1001,0),0), INDEX($AB$1004:$AQ$1004,1,MATCH(COLUMNS($AB$1006:AH1006),$AB$1006:$AQ$1006,0)))),"Fix")))</f>
        <v>0</v>
      </c>
      <c r="I864" s="5">
        <f>IF(OR(INDEX($V$2:$V$1001,MATCH(ROWS($U$2:U864),$U$2:$U$1001,0),1)&gt;=100000,INDEX($AB$1005:$AQ$1005,1,MATCH(COLUMNS($AB$1006:AI1006),$AB$1006:$AQ$1006,0))&gt;=100000), " ",IF(INDEX($AB$2:$AQ$1001,MATCH(ROWS($U$2:U864),$U$2:$U$1001,0),MATCH(COLUMNS($AB$1006:AI1006),$AB$1006:$AQ$1006,0)), HYPERLINK("#",""), HYPERLINK(CONCATENATE("#Metadata!", ADDRESS(INDEX($W$2:$W$1001,MATCH(ROWS($U$2:U864),$U$2:$U$1001,0),0), INDEX($AB$1004:$AQ$1004,1,MATCH(COLUMNS($AB$1006:AI1006),$AB$1006:$AQ$1006,0)))),"Fix")))</f>
        <v>0</v>
      </c>
      <c r="J864" s="5">
        <f>IF(OR(INDEX($V$2:$V$1001,MATCH(ROWS($U$2:U864),$U$2:$U$1001,0),1)&gt;=100000,INDEX($AB$1005:$AQ$1005,1,MATCH(COLUMNS($AB$1006:AJ1006),$AB$1006:$AQ$1006,0))&gt;=100000), " ",IF(INDEX($AB$2:$AQ$1001,MATCH(ROWS($U$2:U864),$U$2:$U$1001,0),MATCH(COLUMNS($AB$1006:AJ1006),$AB$1006:$AQ$1006,0)), HYPERLINK("#",""), HYPERLINK(CONCATENATE("#Metadata!", ADDRESS(INDEX($W$2:$W$1001,MATCH(ROWS($U$2:U864),$U$2:$U$1001,0),0), INDEX($AB$1004:$AQ$1004,1,MATCH(COLUMNS($AB$1006:AJ1006),$AB$1006:$AQ$1006,0)))),"Fix")))</f>
        <v>0</v>
      </c>
      <c r="K864" s="5">
        <f>IF(OR(INDEX($V$2:$V$1001,MATCH(ROWS($U$2:U864),$U$2:$U$1001,0),1)&gt;=100000,INDEX($AB$1005:$AQ$1005,1,MATCH(COLUMNS($AB$1006:AK1006),$AB$1006:$AQ$1006,0))&gt;=100000), " ",IF(INDEX($AB$2:$AQ$1001,MATCH(ROWS($U$2:U864),$U$2:$U$1001,0),MATCH(COLUMNS($AB$1006:AK1006),$AB$1006:$AQ$1006,0)), HYPERLINK("#",""), HYPERLINK(CONCATENATE("#Metadata!", ADDRESS(INDEX($W$2:$W$1001,MATCH(ROWS($U$2:U864),$U$2:$U$1001,0),0), INDEX($AB$1004:$AQ$1004,1,MATCH(COLUMNS($AB$1006:AK1006),$AB$1006:$AQ$1006,0)))),"Fix")))</f>
        <v>0</v>
      </c>
      <c r="L864" s="5">
        <f>IF(OR(INDEX($V$2:$V$1001,MATCH(ROWS($U$2:U864),$U$2:$U$1001,0),1)&gt;=100000,INDEX($AB$1005:$AQ$1005,1,MATCH(COLUMNS($AB$1006:AL1006),$AB$1006:$AQ$1006,0))&gt;=100000), " ",IF(INDEX($AB$2:$AQ$1001,MATCH(ROWS($U$2:U864),$U$2:$U$1001,0),MATCH(COLUMNS($AB$1006:AL1006),$AB$1006:$AQ$1006,0)), HYPERLINK("#",""), HYPERLINK(CONCATENATE("#Metadata!", ADDRESS(INDEX($W$2:$W$1001,MATCH(ROWS($U$2:U864),$U$2:$U$1001,0),0), INDEX($AB$1004:$AQ$1004,1,MATCH(COLUMNS($AB$1006:AL1006),$AB$1006:$AQ$1006,0)))),"Fix")))</f>
        <v>0</v>
      </c>
      <c r="M864" s="5">
        <f>IF(OR(INDEX($V$2:$V$1001,MATCH(ROWS($U$2:U864),$U$2:$U$1001,0),1)&gt;=100000,INDEX($AB$1005:$AQ$1005,1,MATCH(COLUMNS($AB$1006:AM1006),$AB$1006:$AQ$1006,0))&gt;=100000), " ",IF(INDEX($AB$2:$AQ$1001,MATCH(ROWS($U$2:U864),$U$2:$U$1001,0),MATCH(COLUMNS($AB$1006:AM1006),$AB$1006:$AQ$1006,0)), HYPERLINK("#",""), HYPERLINK(CONCATENATE("#Metadata!", ADDRESS(INDEX($W$2:$W$1001,MATCH(ROWS($U$2:U864),$U$2:$U$1001,0),0), INDEX($AB$1004:$AQ$1004,1,MATCH(COLUMNS($AB$1006:AM1006),$AB$1006:$AQ$1006,0)))),"Fix")))</f>
        <v>0</v>
      </c>
      <c r="N864" s="5">
        <f>IF(OR(INDEX($V$2:$V$1001,MATCH(ROWS($U$2:U864),$U$2:$U$1001,0),1)&gt;=100000,INDEX($AB$1005:$AQ$1005,1,MATCH(COLUMNS($AB$1006:AN1006),$AB$1006:$AQ$1006,0))&gt;=100000), " ",IF(INDEX($AB$2:$AQ$1001,MATCH(ROWS($U$2:U864),$U$2:$U$1001,0),MATCH(COLUMNS($AB$1006:AN1006),$AB$1006:$AQ$1006,0)), HYPERLINK("#",""), HYPERLINK(CONCATENATE("#Metadata!", ADDRESS(INDEX($W$2:$W$1001,MATCH(ROWS($U$2:U864),$U$2:$U$1001,0),0), INDEX($AB$1004:$AQ$1004,1,MATCH(COLUMNS($AB$1006:AN1006),$AB$1006:$AQ$1006,0)))),"Fix")))</f>
        <v>0</v>
      </c>
      <c r="O864" s="5">
        <f>IF(OR(INDEX($V$2:$V$1001,MATCH(ROWS($U$2:U864),$U$2:$U$1001,0),1)&gt;=100000,INDEX($AB$1005:$AQ$1005,1,MATCH(COLUMNS($AB$1006:AO1006),$AB$1006:$AQ$1006,0))&gt;=100000), " ",IF(INDEX($AB$2:$AQ$1001,MATCH(ROWS($U$2:U864),$U$2:$U$1001,0),MATCH(COLUMNS($AB$1006:AO1006),$AB$1006:$AQ$1006,0)), HYPERLINK("#",""), HYPERLINK(CONCATENATE("#Metadata!", ADDRESS(INDEX($W$2:$W$1001,MATCH(ROWS($U$2:U864),$U$2:$U$1001,0),0), INDEX($AB$1004:$AQ$1004,1,MATCH(COLUMNS($AB$1006:AO1006),$AB$1006:$AQ$1006,0)))),"Fix")))</f>
        <v>0</v>
      </c>
      <c r="P864" s="5">
        <f>IF(OR(INDEX($V$2:$V$1001,MATCH(ROWS($U$2:U864),$U$2:$U$1001,0),1)&gt;=100000,INDEX($AB$1005:$AQ$1005,1,MATCH(COLUMNS($AB$1006:AP1006),$AB$1006:$AQ$1006,0))&gt;=100000), " ",IF(INDEX($AB$2:$AQ$1001,MATCH(ROWS($U$2:U864),$U$2:$U$1001,0),MATCH(COLUMNS($AB$1006:AP1006),$AB$1006:$AQ$1006,0)), HYPERLINK("#",""), HYPERLINK(CONCATENATE("#Metadata!", ADDRESS(INDEX($W$2:$W$1001,MATCH(ROWS($U$2:U864),$U$2:$U$1001,0),0), INDEX($AB$1004:$AQ$1004,1,MATCH(COLUMNS($AB$1006:AP1006),$AB$1006:$AQ$1006,0)))),"Fix")))</f>
        <v>0</v>
      </c>
      <c r="Q864" s="5">
        <f>IF(OR(INDEX($V$2:$V$1001,MATCH(ROWS($U$2:U864),$U$2:$U$1001,0),1)&gt;=100000,INDEX($AB$1005:$AQ$1005,1,MATCH(COLUMNS($AB$1006:AQ1006),$AB$1006:$AQ$1006,0))&gt;=100000), " ",IF(INDEX($AB$2:$AQ$1001,MATCH(ROWS($U$2:U864),$U$2:$U$1001,0),MATCH(COLUMNS($AB$1006:AQ1006),$AB$1006:$AQ$1006,0)), HYPERLINK("#",""), HYPERLINK(CONCATENATE("#Metadata!", ADDRESS(INDEX($W$2:$W$1001,MATCH(ROWS($U$2:U864),$U$2:$U$1001,0),0), INDEX($AB$1004:$AQ$1004,1,MATCH(COLUMNS($AB$1006:AQ1006),$AB$1006:$AQ$1006,0)))),"Fix")))</f>
        <v>0</v>
      </c>
      <c r="U864">
        <v>0</v>
      </c>
      <c r="V864">
        <v>0</v>
      </c>
      <c r="W864">
        <v>0</v>
      </c>
      <c r="X864">
        <f>IF(Y864,TRUE,AND(AB864:AQ864))</f>
        <v>0</v>
      </c>
      <c r="Y864">
        <f>COUNTBLANK(Metadata!B864:Q864)=COLUMNS(Metadata!B864:Q864)</f>
        <v>0</v>
      </c>
      <c r="Z864">
        <v>0</v>
      </c>
      <c r="AB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AC864">
        <f>AND(IF(Metadata!C864="",FALSE,TRUE),exact(Metadata!C864,"urban biome"))</f>
        <v>0</v>
      </c>
      <c r="AD864">
        <f>AND(IF(Metadata!D864="",FALSE,TRUE),exact(Metadata!D864,"human-associated habitat"))</f>
        <v>0</v>
      </c>
      <c r="AE864">
        <f>AND(IF(Metadata!E864="",FALSE,TRUE),OR(exact(Metadata!E864,"human-associated"),exact(Metadata!E864,"human-skin"),exact(Metadata!E864,"human-oral"),exact(Metadata!E864,"human-gut"),exact(Metadata!E864,"human-vaginal")))</f>
        <v>0</v>
      </c>
      <c r="AF864">
        <f>AND(IF(Metadata!F864="",FALSE,ISNUMBER(VALUE(Metadata!F864))),Metadata!F864&gt;0)</f>
        <v>0</v>
      </c>
      <c r="AG864">
        <f>AND(IF(Metadata!G864="",FALSE,TRUE),exact(Metadata!G864,"years"))</f>
        <v>0</v>
      </c>
      <c r="AH864">
        <f>OR(AND(IF(Metadata!H864="",FALSE,TRUE),OR(exact(Metadata!H864,"not applicable"),exact(Metadata!H864,"not collected"),exact(Metadata!H864,"not provided"),exact(Metadata!H864,"restricted access"))),AND(IF(Metadata!H864="",FALSE,ISNUMBER(VALUE(Metadata!H864))),Metadata!H864&gt;0))</f>
        <v>0</v>
      </c>
      <c r="AI864">
        <f>AND(IF(Metadata!I864="",FALSE,TRUE),exact(Metadata!I864,"human"))</f>
        <v>0</v>
      </c>
      <c r="AJ864">
        <f>AND(IF(Metadata!J864="",FALSE,ISNUMBER(VALUE(Metadata!J864))),Metadata!J864&gt;0)</f>
        <v>0</v>
      </c>
      <c r="AK864">
        <f>AND(IF(Metadata!K864="",FALSE,TRUE),exact(Metadata!K864,"cm"))</f>
        <v>0</v>
      </c>
      <c r="AL864">
        <f>AND(IF(Metadata!L864="",FALSE,TRUE),exact(Metadata!L864,"Homo sapiens"))</f>
        <v>0</v>
      </c>
      <c r="AM864">
        <f>AND(IF(Metadata!M864="",FALSE,TRUE),exact(Metadata!M864,"9606"))</f>
        <v>0</v>
      </c>
      <c r="AN864">
        <f>AND(IF(Metadata!N864="",FALSE,ISNUMBER(VALUE(Metadata!N864))),Metadata!N864&gt;0)</f>
        <v>0</v>
      </c>
      <c r="AO864">
        <f>AND(IF(Metadata!O864="",FALSE,TRUE),exact(Metadata!O864,"kg"))</f>
        <v>0</v>
      </c>
      <c r="AP864">
        <f>OR(AND(IF(Metadata!P864="",FALSE,TRUE),exact(Metadata!P864,"not provided")),IF(Metadata!P864="",FALSE,TRUE))</f>
        <v>0</v>
      </c>
      <c r="AQ864">
        <f>OR(AND(IF(Metadata!Q864="",FALSE,TRUE),exact(Metadata!Q864,"not provided")),IF(Metadata!Q864="",FALSE,TRUE))</f>
        <v>0</v>
      </c>
    </row>
    <row r="865" spans="1:43">
      <c r="A865" s="4">
        <f>IF(B865=" "," ",HYPERLINK(CONCATENATE("#metadata!",ADDRESS(INDEX($W$2:$W$1001,MATCH(ROWS($U$2:U865),$U$2:$U$1001,0),0),2)),INDEX($Z$2:$Z$1001,MATCH(ROWS($U$2:U865),$U$2:$U$1001,0),0)))</f>
        <v>0</v>
      </c>
      <c r="B865" s="5">
        <f>IF(OR(INDEX($V$2:$V$1001,MATCH(ROWS($U$2:U865),$U$2:$U$1001,0),1)&gt;=100000,INDEX($AB$1005:$AQ$1005,1,MATCH(COLUMNS($AB$1006:AB1006),$AB$1006:$AQ$1006,0))&gt;=100000), " ",IF(INDEX($AB$2:$AQ$1001,MATCH(ROWS($U$2:U865),$U$2:$U$1001,0),MATCH(COLUMNS($AB$1006:AB1006),$AB$1006:$AQ$1006,0)), HYPERLINK("#",""), HYPERLINK(CONCATENATE("#Metadata!", ADDRESS(INDEX($W$2:$W$1001,MATCH(ROWS($U$2:U865),$U$2:$U$1001,0),0), INDEX($AB$1004:$AQ$1004,1,MATCH(COLUMNS($AB$1006:AB1006),$AB$1006:$AQ$1006,0)))),"Fix")))</f>
        <v>0</v>
      </c>
      <c r="C865" s="5">
        <f>IF(OR(INDEX($V$2:$V$1001,MATCH(ROWS($U$2:U865),$U$2:$U$1001,0),1)&gt;=100000,INDEX($AB$1005:$AQ$1005,1,MATCH(COLUMNS($AB$1006:AC1006),$AB$1006:$AQ$1006,0))&gt;=100000), " ",IF(INDEX($AB$2:$AQ$1001,MATCH(ROWS($U$2:U865),$U$2:$U$1001,0),MATCH(COLUMNS($AB$1006:AC1006),$AB$1006:$AQ$1006,0)), HYPERLINK("#",""), HYPERLINK(CONCATENATE("#Metadata!", ADDRESS(INDEX($W$2:$W$1001,MATCH(ROWS($U$2:U865),$U$2:$U$1001,0),0), INDEX($AB$1004:$AQ$1004,1,MATCH(COLUMNS($AB$1006:AC1006),$AB$1006:$AQ$1006,0)))),"Fix")))</f>
        <v>0</v>
      </c>
      <c r="D865" s="5">
        <f>IF(OR(INDEX($V$2:$V$1001,MATCH(ROWS($U$2:U865),$U$2:$U$1001,0),1)&gt;=100000,INDEX($AB$1005:$AQ$1005,1,MATCH(COLUMNS($AB$1006:AD1006),$AB$1006:$AQ$1006,0))&gt;=100000), " ",IF(INDEX($AB$2:$AQ$1001,MATCH(ROWS($U$2:U865),$U$2:$U$1001,0),MATCH(COLUMNS($AB$1006:AD1006),$AB$1006:$AQ$1006,0)), HYPERLINK("#",""), HYPERLINK(CONCATENATE("#Metadata!", ADDRESS(INDEX($W$2:$W$1001,MATCH(ROWS($U$2:U865),$U$2:$U$1001,0),0), INDEX($AB$1004:$AQ$1004,1,MATCH(COLUMNS($AB$1006:AD1006),$AB$1006:$AQ$1006,0)))),"Fix")))</f>
        <v>0</v>
      </c>
      <c r="E865" s="5">
        <f>IF(OR(INDEX($V$2:$V$1001,MATCH(ROWS($U$2:U865),$U$2:$U$1001,0),1)&gt;=100000,INDEX($AB$1005:$AQ$1005,1,MATCH(COLUMNS($AB$1006:AE1006),$AB$1006:$AQ$1006,0))&gt;=100000), " ",IF(INDEX($AB$2:$AQ$1001,MATCH(ROWS($U$2:U865),$U$2:$U$1001,0),MATCH(COLUMNS($AB$1006:AE1006),$AB$1006:$AQ$1006,0)), HYPERLINK("#",""), HYPERLINK(CONCATENATE("#Metadata!", ADDRESS(INDEX($W$2:$W$1001,MATCH(ROWS($U$2:U865),$U$2:$U$1001,0),0), INDEX($AB$1004:$AQ$1004,1,MATCH(COLUMNS($AB$1006:AE1006),$AB$1006:$AQ$1006,0)))),"Fix")))</f>
        <v>0</v>
      </c>
      <c r="F865" s="5">
        <f>IF(OR(INDEX($V$2:$V$1001,MATCH(ROWS($U$2:U865),$U$2:$U$1001,0),1)&gt;=100000,INDEX($AB$1005:$AQ$1005,1,MATCH(COLUMNS($AB$1006:AF1006),$AB$1006:$AQ$1006,0))&gt;=100000), " ",IF(INDEX($AB$2:$AQ$1001,MATCH(ROWS($U$2:U865),$U$2:$U$1001,0),MATCH(COLUMNS($AB$1006:AF1006),$AB$1006:$AQ$1006,0)), HYPERLINK("#",""), HYPERLINK(CONCATENATE("#Metadata!", ADDRESS(INDEX($W$2:$W$1001,MATCH(ROWS($U$2:U865),$U$2:$U$1001,0),0), INDEX($AB$1004:$AQ$1004,1,MATCH(COLUMNS($AB$1006:AF1006),$AB$1006:$AQ$1006,0)))),"Fix")))</f>
        <v>0</v>
      </c>
      <c r="G865" s="5">
        <f>IF(OR(INDEX($V$2:$V$1001,MATCH(ROWS($U$2:U865),$U$2:$U$1001,0),1)&gt;=100000,INDEX($AB$1005:$AQ$1005,1,MATCH(COLUMNS($AB$1006:AG1006),$AB$1006:$AQ$1006,0))&gt;=100000), " ",IF(INDEX($AB$2:$AQ$1001,MATCH(ROWS($U$2:U865),$U$2:$U$1001,0),MATCH(COLUMNS($AB$1006:AG1006),$AB$1006:$AQ$1006,0)), HYPERLINK("#",""), HYPERLINK(CONCATENATE("#Metadata!", ADDRESS(INDEX($W$2:$W$1001,MATCH(ROWS($U$2:U865),$U$2:$U$1001,0),0), INDEX($AB$1004:$AQ$1004,1,MATCH(COLUMNS($AB$1006:AG1006),$AB$1006:$AQ$1006,0)))),"Fix")))</f>
        <v>0</v>
      </c>
      <c r="H865" s="5">
        <f>IF(OR(INDEX($V$2:$V$1001,MATCH(ROWS($U$2:U865),$U$2:$U$1001,0),1)&gt;=100000,INDEX($AB$1005:$AQ$1005,1,MATCH(COLUMNS($AB$1006:AH1006),$AB$1006:$AQ$1006,0))&gt;=100000), " ",IF(INDEX($AB$2:$AQ$1001,MATCH(ROWS($U$2:U865),$U$2:$U$1001,0),MATCH(COLUMNS($AB$1006:AH1006),$AB$1006:$AQ$1006,0)), HYPERLINK("#",""), HYPERLINK(CONCATENATE("#Metadata!", ADDRESS(INDEX($W$2:$W$1001,MATCH(ROWS($U$2:U865),$U$2:$U$1001,0),0), INDEX($AB$1004:$AQ$1004,1,MATCH(COLUMNS($AB$1006:AH1006),$AB$1006:$AQ$1006,0)))),"Fix")))</f>
        <v>0</v>
      </c>
      <c r="I865" s="5">
        <f>IF(OR(INDEX($V$2:$V$1001,MATCH(ROWS($U$2:U865),$U$2:$U$1001,0),1)&gt;=100000,INDEX($AB$1005:$AQ$1005,1,MATCH(COLUMNS($AB$1006:AI1006),$AB$1006:$AQ$1006,0))&gt;=100000), " ",IF(INDEX($AB$2:$AQ$1001,MATCH(ROWS($U$2:U865),$U$2:$U$1001,0),MATCH(COLUMNS($AB$1006:AI1006),$AB$1006:$AQ$1006,0)), HYPERLINK("#",""), HYPERLINK(CONCATENATE("#Metadata!", ADDRESS(INDEX($W$2:$W$1001,MATCH(ROWS($U$2:U865),$U$2:$U$1001,0),0), INDEX($AB$1004:$AQ$1004,1,MATCH(COLUMNS($AB$1006:AI1006),$AB$1006:$AQ$1006,0)))),"Fix")))</f>
        <v>0</v>
      </c>
      <c r="J865" s="5">
        <f>IF(OR(INDEX($V$2:$V$1001,MATCH(ROWS($U$2:U865),$U$2:$U$1001,0),1)&gt;=100000,INDEX($AB$1005:$AQ$1005,1,MATCH(COLUMNS($AB$1006:AJ1006),$AB$1006:$AQ$1006,0))&gt;=100000), " ",IF(INDEX($AB$2:$AQ$1001,MATCH(ROWS($U$2:U865),$U$2:$U$1001,0),MATCH(COLUMNS($AB$1006:AJ1006),$AB$1006:$AQ$1006,0)), HYPERLINK("#",""), HYPERLINK(CONCATENATE("#Metadata!", ADDRESS(INDEX($W$2:$W$1001,MATCH(ROWS($U$2:U865),$U$2:$U$1001,0),0), INDEX($AB$1004:$AQ$1004,1,MATCH(COLUMNS($AB$1006:AJ1006),$AB$1006:$AQ$1006,0)))),"Fix")))</f>
        <v>0</v>
      </c>
      <c r="K865" s="5">
        <f>IF(OR(INDEX($V$2:$V$1001,MATCH(ROWS($U$2:U865),$U$2:$U$1001,0),1)&gt;=100000,INDEX($AB$1005:$AQ$1005,1,MATCH(COLUMNS($AB$1006:AK1006),$AB$1006:$AQ$1006,0))&gt;=100000), " ",IF(INDEX($AB$2:$AQ$1001,MATCH(ROWS($U$2:U865),$U$2:$U$1001,0),MATCH(COLUMNS($AB$1006:AK1006),$AB$1006:$AQ$1006,0)), HYPERLINK("#",""), HYPERLINK(CONCATENATE("#Metadata!", ADDRESS(INDEX($W$2:$W$1001,MATCH(ROWS($U$2:U865),$U$2:$U$1001,0),0), INDEX($AB$1004:$AQ$1004,1,MATCH(COLUMNS($AB$1006:AK1006),$AB$1006:$AQ$1006,0)))),"Fix")))</f>
        <v>0</v>
      </c>
      <c r="L865" s="5">
        <f>IF(OR(INDEX($V$2:$V$1001,MATCH(ROWS($U$2:U865),$U$2:$U$1001,0),1)&gt;=100000,INDEX($AB$1005:$AQ$1005,1,MATCH(COLUMNS($AB$1006:AL1006),$AB$1006:$AQ$1006,0))&gt;=100000), " ",IF(INDEX($AB$2:$AQ$1001,MATCH(ROWS($U$2:U865),$U$2:$U$1001,0),MATCH(COLUMNS($AB$1006:AL1006),$AB$1006:$AQ$1006,0)), HYPERLINK("#",""), HYPERLINK(CONCATENATE("#Metadata!", ADDRESS(INDEX($W$2:$W$1001,MATCH(ROWS($U$2:U865),$U$2:$U$1001,0),0), INDEX($AB$1004:$AQ$1004,1,MATCH(COLUMNS($AB$1006:AL1006),$AB$1006:$AQ$1006,0)))),"Fix")))</f>
        <v>0</v>
      </c>
      <c r="M865" s="5">
        <f>IF(OR(INDEX($V$2:$V$1001,MATCH(ROWS($U$2:U865),$U$2:$U$1001,0),1)&gt;=100000,INDEX($AB$1005:$AQ$1005,1,MATCH(COLUMNS($AB$1006:AM1006),$AB$1006:$AQ$1006,0))&gt;=100000), " ",IF(INDEX($AB$2:$AQ$1001,MATCH(ROWS($U$2:U865),$U$2:$U$1001,0),MATCH(COLUMNS($AB$1006:AM1006),$AB$1006:$AQ$1006,0)), HYPERLINK("#",""), HYPERLINK(CONCATENATE("#Metadata!", ADDRESS(INDEX($W$2:$W$1001,MATCH(ROWS($U$2:U865),$U$2:$U$1001,0),0), INDEX($AB$1004:$AQ$1004,1,MATCH(COLUMNS($AB$1006:AM1006),$AB$1006:$AQ$1006,0)))),"Fix")))</f>
        <v>0</v>
      </c>
      <c r="N865" s="5">
        <f>IF(OR(INDEX($V$2:$V$1001,MATCH(ROWS($U$2:U865),$U$2:$U$1001,0),1)&gt;=100000,INDEX($AB$1005:$AQ$1005,1,MATCH(COLUMNS($AB$1006:AN1006),$AB$1006:$AQ$1006,0))&gt;=100000), " ",IF(INDEX($AB$2:$AQ$1001,MATCH(ROWS($U$2:U865),$U$2:$U$1001,0),MATCH(COLUMNS($AB$1006:AN1006),$AB$1006:$AQ$1006,0)), HYPERLINK("#",""), HYPERLINK(CONCATENATE("#Metadata!", ADDRESS(INDEX($W$2:$W$1001,MATCH(ROWS($U$2:U865),$U$2:$U$1001,0),0), INDEX($AB$1004:$AQ$1004,1,MATCH(COLUMNS($AB$1006:AN1006),$AB$1006:$AQ$1006,0)))),"Fix")))</f>
        <v>0</v>
      </c>
      <c r="O865" s="5">
        <f>IF(OR(INDEX($V$2:$V$1001,MATCH(ROWS($U$2:U865),$U$2:$U$1001,0),1)&gt;=100000,INDEX($AB$1005:$AQ$1005,1,MATCH(COLUMNS($AB$1006:AO1006),$AB$1006:$AQ$1006,0))&gt;=100000), " ",IF(INDEX($AB$2:$AQ$1001,MATCH(ROWS($U$2:U865),$U$2:$U$1001,0),MATCH(COLUMNS($AB$1006:AO1006),$AB$1006:$AQ$1006,0)), HYPERLINK("#",""), HYPERLINK(CONCATENATE("#Metadata!", ADDRESS(INDEX($W$2:$W$1001,MATCH(ROWS($U$2:U865),$U$2:$U$1001,0),0), INDEX($AB$1004:$AQ$1004,1,MATCH(COLUMNS($AB$1006:AO1006),$AB$1006:$AQ$1006,0)))),"Fix")))</f>
        <v>0</v>
      </c>
      <c r="P865" s="5">
        <f>IF(OR(INDEX($V$2:$V$1001,MATCH(ROWS($U$2:U865),$U$2:$U$1001,0),1)&gt;=100000,INDEX($AB$1005:$AQ$1005,1,MATCH(COLUMNS($AB$1006:AP1006),$AB$1006:$AQ$1006,0))&gt;=100000), " ",IF(INDEX($AB$2:$AQ$1001,MATCH(ROWS($U$2:U865),$U$2:$U$1001,0),MATCH(COLUMNS($AB$1006:AP1006),$AB$1006:$AQ$1006,0)), HYPERLINK("#",""), HYPERLINK(CONCATENATE("#Metadata!", ADDRESS(INDEX($W$2:$W$1001,MATCH(ROWS($U$2:U865),$U$2:$U$1001,0),0), INDEX($AB$1004:$AQ$1004,1,MATCH(COLUMNS($AB$1006:AP1006),$AB$1006:$AQ$1006,0)))),"Fix")))</f>
        <v>0</v>
      </c>
      <c r="Q865" s="5">
        <f>IF(OR(INDEX($V$2:$V$1001,MATCH(ROWS($U$2:U865),$U$2:$U$1001,0),1)&gt;=100000,INDEX($AB$1005:$AQ$1005,1,MATCH(COLUMNS($AB$1006:AQ1006),$AB$1006:$AQ$1006,0))&gt;=100000), " ",IF(INDEX($AB$2:$AQ$1001,MATCH(ROWS($U$2:U865),$U$2:$U$1001,0),MATCH(COLUMNS($AB$1006:AQ1006),$AB$1006:$AQ$1006,0)), HYPERLINK("#",""), HYPERLINK(CONCATENATE("#Metadata!", ADDRESS(INDEX($W$2:$W$1001,MATCH(ROWS($U$2:U865),$U$2:$U$1001,0),0), INDEX($AB$1004:$AQ$1004,1,MATCH(COLUMNS($AB$1006:AQ1006),$AB$1006:$AQ$1006,0)))),"Fix")))</f>
        <v>0</v>
      </c>
      <c r="U865">
        <v>0</v>
      </c>
      <c r="V865">
        <v>0</v>
      </c>
      <c r="W865">
        <v>0</v>
      </c>
      <c r="X865">
        <f>IF(Y865,TRUE,AND(AB865:AQ865))</f>
        <v>0</v>
      </c>
      <c r="Y865">
        <f>COUNTBLANK(Metadata!B865:Q865)=COLUMNS(Metadata!B865:Q865)</f>
        <v>0</v>
      </c>
      <c r="Z865">
        <v>0</v>
      </c>
      <c r="AB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AC865">
        <f>AND(IF(Metadata!C865="",FALSE,TRUE),exact(Metadata!C865,"urban biome"))</f>
        <v>0</v>
      </c>
      <c r="AD865">
        <f>AND(IF(Metadata!D865="",FALSE,TRUE),exact(Metadata!D865,"human-associated habitat"))</f>
        <v>0</v>
      </c>
      <c r="AE865">
        <f>AND(IF(Metadata!E865="",FALSE,TRUE),OR(exact(Metadata!E865,"human-associated"),exact(Metadata!E865,"human-skin"),exact(Metadata!E865,"human-oral"),exact(Metadata!E865,"human-gut"),exact(Metadata!E865,"human-vaginal")))</f>
        <v>0</v>
      </c>
      <c r="AF865">
        <f>AND(IF(Metadata!F865="",FALSE,ISNUMBER(VALUE(Metadata!F865))),Metadata!F865&gt;0)</f>
        <v>0</v>
      </c>
      <c r="AG865">
        <f>AND(IF(Metadata!G865="",FALSE,TRUE),exact(Metadata!G865,"years"))</f>
        <v>0</v>
      </c>
      <c r="AH865">
        <f>OR(AND(IF(Metadata!H865="",FALSE,TRUE),OR(exact(Metadata!H865,"not applicable"),exact(Metadata!H865,"not collected"),exact(Metadata!H865,"not provided"),exact(Metadata!H865,"restricted access"))),AND(IF(Metadata!H865="",FALSE,ISNUMBER(VALUE(Metadata!H865))),Metadata!H865&gt;0))</f>
        <v>0</v>
      </c>
      <c r="AI865">
        <f>AND(IF(Metadata!I865="",FALSE,TRUE),exact(Metadata!I865,"human"))</f>
        <v>0</v>
      </c>
      <c r="AJ865">
        <f>AND(IF(Metadata!J865="",FALSE,ISNUMBER(VALUE(Metadata!J865))),Metadata!J865&gt;0)</f>
        <v>0</v>
      </c>
      <c r="AK865">
        <f>AND(IF(Metadata!K865="",FALSE,TRUE),exact(Metadata!K865,"cm"))</f>
        <v>0</v>
      </c>
      <c r="AL865">
        <f>AND(IF(Metadata!L865="",FALSE,TRUE),exact(Metadata!L865,"Homo sapiens"))</f>
        <v>0</v>
      </c>
      <c r="AM865">
        <f>AND(IF(Metadata!M865="",FALSE,TRUE),exact(Metadata!M865,"9606"))</f>
        <v>0</v>
      </c>
      <c r="AN865">
        <f>AND(IF(Metadata!N865="",FALSE,ISNUMBER(VALUE(Metadata!N865))),Metadata!N865&gt;0)</f>
        <v>0</v>
      </c>
      <c r="AO865">
        <f>AND(IF(Metadata!O865="",FALSE,TRUE),exact(Metadata!O865,"kg"))</f>
        <v>0</v>
      </c>
      <c r="AP865">
        <f>OR(AND(IF(Metadata!P865="",FALSE,TRUE),exact(Metadata!P865,"not provided")),IF(Metadata!P865="",FALSE,TRUE))</f>
        <v>0</v>
      </c>
      <c r="AQ865">
        <f>OR(AND(IF(Metadata!Q865="",FALSE,TRUE),exact(Metadata!Q865,"not provided")),IF(Metadata!Q865="",FALSE,TRUE))</f>
        <v>0</v>
      </c>
    </row>
    <row r="866" spans="1:43">
      <c r="A866" s="4">
        <f>IF(B866=" "," ",HYPERLINK(CONCATENATE("#metadata!",ADDRESS(INDEX($W$2:$W$1001,MATCH(ROWS($U$2:U866),$U$2:$U$1001,0),0),2)),INDEX($Z$2:$Z$1001,MATCH(ROWS($U$2:U866),$U$2:$U$1001,0),0)))</f>
        <v>0</v>
      </c>
      <c r="B866" s="5">
        <f>IF(OR(INDEX($V$2:$V$1001,MATCH(ROWS($U$2:U866),$U$2:$U$1001,0),1)&gt;=100000,INDEX($AB$1005:$AQ$1005,1,MATCH(COLUMNS($AB$1006:AB1006),$AB$1006:$AQ$1006,0))&gt;=100000), " ",IF(INDEX($AB$2:$AQ$1001,MATCH(ROWS($U$2:U866),$U$2:$U$1001,0),MATCH(COLUMNS($AB$1006:AB1006),$AB$1006:$AQ$1006,0)), HYPERLINK("#",""), HYPERLINK(CONCATENATE("#Metadata!", ADDRESS(INDEX($W$2:$W$1001,MATCH(ROWS($U$2:U866),$U$2:$U$1001,0),0), INDEX($AB$1004:$AQ$1004,1,MATCH(COLUMNS($AB$1006:AB1006),$AB$1006:$AQ$1006,0)))),"Fix")))</f>
        <v>0</v>
      </c>
      <c r="C866" s="5">
        <f>IF(OR(INDEX($V$2:$V$1001,MATCH(ROWS($U$2:U866),$U$2:$U$1001,0),1)&gt;=100000,INDEX($AB$1005:$AQ$1005,1,MATCH(COLUMNS($AB$1006:AC1006),$AB$1006:$AQ$1006,0))&gt;=100000), " ",IF(INDEX($AB$2:$AQ$1001,MATCH(ROWS($U$2:U866),$U$2:$U$1001,0),MATCH(COLUMNS($AB$1006:AC1006),$AB$1006:$AQ$1006,0)), HYPERLINK("#",""), HYPERLINK(CONCATENATE("#Metadata!", ADDRESS(INDEX($W$2:$W$1001,MATCH(ROWS($U$2:U866),$U$2:$U$1001,0),0), INDEX($AB$1004:$AQ$1004,1,MATCH(COLUMNS($AB$1006:AC1006),$AB$1006:$AQ$1006,0)))),"Fix")))</f>
        <v>0</v>
      </c>
      <c r="D866" s="5">
        <f>IF(OR(INDEX($V$2:$V$1001,MATCH(ROWS($U$2:U866),$U$2:$U$1001,0),1)&gt;=100000,INDEX($AB$1005:$AQ$1005,1,MATCH(COLUMNS($AB$1006:AD1006),$AB$1006:$AQ$1006,0))&gt;=100000), " ",IF(INDEX($AB$2:$AQ$1001,MATCH(ROWS($U$2:U866),$U$2:$U$1001,0),MATCH(COLUMNS($AB$1006:AD1006),$AB$1006:$AQ$1006,0)), HYPERLINK("#",""), HYPERLINK(CONCATENATE("#Metadata!", ADDRESS(INDEX($W$2:$W$1001,MATCH(ROWS($U$2:U866),$U$2:$U$1001,0),0), INDEX($AB$1004:$AQ$1004,1,MATCH(COLUMNS($AB$1006:AD1006),$AB$1006:$AQ$1006,0)))),"Fix")))</f>
        <v>0</v>
      </c>
      <c r="E866" s="5">
        <f>IF(OR(INDEX($V$2:$V$1001,MATCH(ROWS($U$2:U866),$U$2:$U$1001,0),1)&gt;=100000,INDEX($AB$1005:$AQ$1005,1,MATCH(COLUMNS($AB$1006:AE1006),$AB$1006:$AQ$1006,0))&gt;=100000), " ",IF(INDEX($AB$2:$AQ$1001,MATCH(ROWS($U$2:U866),$U$2:$U$1001,0),MATCH(COLUMNS($AB$1006:AE1006),$AB$1006:$AQ$1006,0)), HYPERLINK("#",""), HYPERLINK(CONCATENATE("#Metadata!", ADDRESS(INDEX($W$2:$W$1001,MATCH(ROWS($U$2:U866),$U$2:$U$1001,0),0), INDEX($AB$1004:$AQ$1004,1,MATCH(COLUMNS($AB$1006:AE1006),$AB$1006:$AQ$1006,0)))),"Fix")))</f>
        <v>0</v>
      </c>
      <c r="F866" s="5">
        <f>IF(OR(INDEX($V$2:$V$1001,MATCH(ROWS($U$2:U866),$U$2:$U$1001,0),1)&gt;=100000,INDEX($AB$1005:$AQ$1005,1,MATCH(COLUMNS($AB$1006:AF1006),$AB$1006:$AQ$1006,0))&gt;=100000), " ",IF(INDEX($AB$2:$AQ$1001,MATCH(ROWS($U$2:U866),$U$2:$U$1001,0),MATCH(COLUMNS($AB$1006:AF1006),$AB$1006:$AQ$1006,0)), HYPERLINK("#",""), HYPERLINK(CONCATENATE("#Metadata!", ADDRESS(INDEX($W$2:$W$1001,MATCH(ROWS($U$2:U866),$U$2:$U$1001,0),0), INDEX($AB$1004:$AQ$1004,1,MATCH(COLUMNS($AB$1006:AF1006),$AB$1006:$AQ$1006,0)))),"Fix")))</f>
        <v>0</v>
      </c>
      <c r="G866" s="5">
        <f>IF(OR(INDEX($V$2:$V$1001,MATCH(ROWS($U$2:U866),$U$2:$U$1001,0),1)&gt;=100000,INDEX($AB$1005:$AQ$1005,1,MATCH(COLUMNS($AB$1006:AG1006),$AB$1006:$AQ$1006,0))&gt;=100000), " ",IF(INDEX($AB$2:$AQ$1001,MATCH(ROWS($U$2:U866),$U$2:$U$1001,0),MATCH(COLUMNS($AB$1006:AG1006),$AB$1006:$AQ$1006,0)), HYPERLINK("#",""), HYPERLINK(CONCATENATE("#Metadata!", ADDRESS(INDEX($W$2:$W$1001,MATCH(ROWS($U$2:U866),$U$2:$U$1001,0),0), INDEX($AB$1004:$AQ$1004,1,MATCH(COLUMNS($AB$1006:AG1006),$AB$1006:$AQ$1006,0)))),"Fix")))</f>
        <v>0</v>
      </c>
      <c r="H866" s="5">
        <f>IF(OR(INDEX($V$2:$V$1001,MATCH(ROWS($U$2:U866),$U$2:$U$1001,0),1)&gt;=100000,INDEX($AB$1005:$AQ$1005,1,MATCH(COLUMNS($AB$1006:AH1006),$AB$1006:$AQ$1006,0))&gt;=100000), " ",IF(INDEX($AB$2:$AQ$1001,MATCH(ROWS($U$2:U866),$U$2:$U$1001,0),MATCH(COLUMNS($AB$1006:AH1006),$AB$1006:$AQ$1006,0)), HYPERLINK("#",""), HYPERLINK(CONCATENATE("#Metadata!", ADDRESS(INDEX($W$2:$W$1001,MATCH(ROWS($U$2:U866),$U$2:$U$1001,0),0), INDEX($AB$1004:$AQ$1004,1,MATCH(COLUMNS($AB$1006:AH1006),$AB$1006:$AQ$1006,0)))),"Fix")))</f>
        <v>0</v>
      </c>
      <c r="I866" s="5">
        <f>IF(OR(INDEX($V$2:$V$1001,MATCH(ROWS($U$2:U866),$U$2:$U$1001,0),1)&gt;=100000,INDEX($AB$1005:$AQ$1005,1,MATCH(COLUMNS($AB$1006:AI1006),$AB$1006:$AQ$1006,0))&gt;=100000), " ",IF(INDEX($AB$2:$AQ$1001,MATCH(ROWS($U$2:U866),$U$2:$U$1001,0),MATCH(COLUMNS($AB$1006:AI1006),$AB$1006:$AQ$1006,0)), HYPERLINK("#",""), HYPERLINK(CONCATENATE("#Metadata!", ADDRESS(INDEX($W$2:$W$1001,MATCH(ROWS($U$2:U866),$U$2:$U$1001,0),0), INDEX($AB$1004:$AQ$1004,1,MATCH(COLUMNS($AB$1006:AI1006),$AB$1006:$AQ$1006,0)))),"Fix")))</f>
        <v>0</v>
      </c>
      <c r="J866" s="5">
        <f>IF(OR(INDEX($V$2:$V$1001,MATCH(ROWS($U$2:U866),$U$2:$U$1001,0),1)&gt;=100000,INDEX($AB$1005:$AQ$1005,1,MATCH(COLUMNS($AB$1006:AJ1006),$AB$1006:$AQ$1006,0))&gt;=100000), " ",IF(INDEX($AB$2:$AQ$1001,MATCH(ROWS($U$2:U866),$U$2:$U$1001,0),MATCH(COLUMNS($AB$1006:AJ1006),$AB$1006:$AQ$1006,0)), HYPERLINK("#",""), HYPERLINK(CONCATENATE("#Metadata!", ADDRESS(INDEX($W$2:$W$1001,MATCH(ROWS($U$2:U866),$U$2:$U$1001,0),0), INDEX($AB$1004:$AQ$1004,1,MATCH(COLUMNS($AB$1006:AJ1006),$AB$1006:$AQ$1006,0)))),"Fix")))</f>
        <v>0</v>
      </c>
      <c r="K866" s="5">
        <f>IF(OR(INDEX($V$2:$V$1001,MATCH(ROWS($U$2:U866),$U$2:$U$1001,0),1)&gt;=100000,INDEX($AB$1005:$AQ$1005,1,MATCH(COLUMNS($AB$1006:AK1006),$AB$1006:$AQ$1006,0))&gt;=100000), " ",IF(INDEX($AB$2:$AQ$1001,MATCH(ROWS($U$2:U866),$U$2:$U$1001,0),MATCH(COLUMNS($AB$1006:AK1006),$AB$1006:$AQ$1006,0)), HYPERLINK("#",""), HYPERLINK(CONCATENATE("#Metadata!", ADDRESS(INDEX($W$2:$W$1001,MATCH(ROWS($U$2:U866),$U$2:$U$1001,0),0), INDEX($AB$1004:$AQ$1004,1,MATCH(COLUMNS($AB$1006:AK1006),$AB$1006:$AQ$1006,0)))),"Fix")))</f>
        <v>0</v>
      </c>
      <c r="L866" s="5">
        <f>IF(OR(INDEX($V$2:$V$1001,MATCH(ROWS($U$2:U866),$U$2:$U$1001,0),1)&gt;=100000,INDEX($AB$1005:$AQ$1005,1,MATCH(COLUMNS($AB$1006:AL1006),$AB$1006:$AQ$1006,0))&gt;=100000), " ",IF(INDEX($AB$2:$AQ$1001,MATCH(ROWS($U$2:U866),$U$2:$U$1001,0),MATCH(COLUMNS($AB$1006:AL1006),$AB$1006:$AQ$1006,0)), HYPERLINK("#",""), HYPERLINK(CONCATENATE("#Metadata!", ADDRESS(INDEX($W$2:$W$1001,MATCH(ROWS($U$2:U866),$U$2:$U$1001,0),0), INDEX($AB$1004:$AQ$1004,1,MATCH(COLUMNS($AB$1006:AL1006),$AB$1006:$AQ$1006,0)))),"Fix")))</f>
        <v>0</v>
      </c>
      <c r="M866" s="5">
        <f>IF(OR(INDEX($V$2:$V$1001,MATCH(ROWS($U$2:U866),$U$2:$U$1001,0),1)&gt;=100000,INDEX($AB$1005:$AQ$1005,1,MATCH(COLUMNS($AB$1006:AM1006),$AB$1006:$AQ$1006,0))&gt;=100000), " ",IF(INDEX($AB$2:$AQ$1001,MATCH(ROWS($U$2:U866),$U$2:$U$1001,0),MATCH(COLUMNS($AB$1006:AM1006),$AB$1006:$AQ$1006,0)), HYPERLINK("#",""), HYPERLINK(CONCATENATE("#Metadata!", ADDRESS(INDEX($W$2:$W$1001,MATCH(ROWS($U$2:U866),$U$2:$U$1001,0),0), INDEX($AB$1004:$AQ$1004,1,MATCH(COLUMNS($AB$1006:AM1006),$AB$1006:$AQ$1006,0)))),"Fix")))</f>
        <v>0</v>
      </c>
      <c r="N866" s="5">
        <f>IF(OR(INDEX($V$2:$V$1001,MATCH(ROWS($U$2:U866),$U$2:$U$1001,0),1)&gt;=100000,INDEX($AB$1005:$AQ$1005,1,MATCH(COLUMNS($AB$1006:AN1006),$AB$1006:$AQ$1006,0))&gt;=100000), " ",IF(INDEX($AB$2:$AQ$1001,MATCH(ROWS($U$2:U866),$U$2:$U$1001,0),MATCH(COLUMNS($AB$1006:AN1006),$AB$1006:$AQ$1006,0)), HYPERLINK("#",""), HYPERLINK(CONCATENATE("#Metadata!", ADDRESS(INDEX($W$2:$W$1001,MATCH(ROWS($U$2:U866),$U$2:$U$1001,0),0), INDEX($AB$1004:$AQ$1004,1,MATCH(COLUMNS($AB$1006:AN1006),$AB$1006:$AQ$1006,0)))),"Fix")))</f>
        <v>0</v>
      </c>
      <c r="O866" s="5">
        <f>IF(OR(INDEX($V$2:$V$1001,MATCH(ROWS($U$2:U866),$U$2:$U$1001,0),1)&gt;=100000,INDEX($AB$1005:$AQ$1005,1,MATCH(COLUMNS($AB$1006:AO1006),$AB$1006:$AQ$1006,0))&gt;=100000), " ",IF(INDEX($AB$2:$AQ$1001,MATCH(ROWS($U$2:U866),$U$2:$U$1001,0),MATCH(COLUMNS($AB$1006:AO1006),$AB$1006:$AQ$1006,0)), HYPERLINK("#",""), HYPERLINK(CONCATENATE("#Metadata!", ADDRESS(INDEX($W$2:$W$1001,MATCH(ROWS($U$2:U866),$U$2:$U$1001,0),0), INDEX($AB$1004:$AQ$1004,1,MATCH(COLUMNS($AB$1006:AO1006),$AB$1006:$AQ$1006,0)))),"Fix")))</f>
        <v>0</v>
      </c>
      <c r="P866" s="5">
        <f>IF(OR(INDEX($V$2:$V$1001,MATCH(ROWS($U$2:U866),$U$2:$U$1001,0),1)&gt;=100000,INDEX($AB$1005:$AQ$1005,1,MATCH(COLUMNS($AB$1006:AP1006),$AB$1006:$AQ$1006,0))&gt;=100000), " ",IF(INDEX($AB$2:$AQ$1001,MATCH(ROWS($U$2:U866),$U$2:$U$1001,0),MATCH(COLUMNS($AB$1006:AP1006),$AB$1006:$AQ$1006,0)), HYPERLINK("#",""), HYPERLINK(CONCATENATE("#Metadata!", ADDRESS(INDEX($W$2:$W$1001,MATCH(ROWS($U$2:U866),$U$2:$U$1001,0),0), INDEX($AB$1004:$AQ$1004,1,MATCH(COLUMNS($AB$1006:AP1006),$AB$1006:$AQ$1006,0)))),"Fix")))</f>
        <v>0</v>
      </c>
      <c r="Q866" s="5">
        <f>IF(OR(INDEX($V$2:$V$1001,MATCH(ROWS($U$2:U866),$U$2:$U$1001,0),1)&gt;=100000,INDEX($AB$1005:$AQ$1005,1,MATCH(COLUMNS($AB$1006:AQ1006),$AB$1006:$AQ$1006,0))&gt;=100000), " ",IF(INDEX($AB$2:$AQ$1001,MATCH(ROWS($U$2:U866),$U$2:$U$1001,0),MATCH(COLUMNS($AB$1006:AQ1006),$AB$1006:$AQ$1006,0)), HYPERLINK("#",""), HYPERLINK(CONCATENATE("#Metadata!", ADDRESS(INDEX($W$2:$W$1001,MATCH(ROWS($U$2:U866),$U$2:$U$1001,0),0), INDEX($AB$1004:$AQ$1004,1,MATCH(COLUMNS($AB$1006:AQ1006),$AB$1006:$AQ$1006,0)))),"Fix")))</f>
        <v>0</v>
      </c>
      <c r="U866">
        <v>0</v>
      </c>
      <c r="V866">
        <v>0</v>
      </c>
      <c r="W866">
        <v>0</v>
      </c>
      <c r="X866">
        <f>IF(Y866,TRUE,AND(AB866:AQ866))</f>
        <v>0</v>
      </c>
      <c r="Y866">
        <f>COUNTBLANK(Metadata!B866:Q866)=COLUMNS(Metadata!B866:Q866)</f>
        <v>0</v>
      </c>
      <c r="Z866">
        <v>0</v>
      </c>
      <c r="AB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AC866">
        <f>AND(IF(Metadata!C866="",FALSE,TRUE),exact(Metadata!C866,"urban biome"))</f>
        <v>0</v>
      </c>
      <c r="AD866">
        <f>AND(IF(Metadata!D866="",FALSE,TRUE),exact(Metadata!D866,"human-associated habitat"))</f>
        <v>0</v>
      </c>
      <c r="AE866">
        <f>AND(IF(Metadata!E866="",FALSE,TRUE),OR(exact(Metadata!E866,"human-associated"),exact(Metadata!E866,"human-skin"),exact(Metadata!E866,"human-oral"),exact(Metadata!E866,"human-gut"),exact(Metadata!E866,"human-vaginal")))</f>
        <v>0</v>
      </c>
      <c r="AF866">
        <f>AND(IF(Metadata!F866="",FALSE,ISNUMBER(VALUE(Metadata!F866))),Metadata!F866&gt;0)</f>
        <v>0</v>
      </c>
      <c r="AG866">
        <f>AND(IF(Metadata!G866="",FALSE,TRUE),exact(Metadata!G866,"years"))</f>
        <v>0</v>
      </c>
      <c r="AH866">
        <f>OR(AND(IF(Metadata!H866="",FALSE,TRUE),OR(exact(Metadata!H866,"not applicable"),exact(Metadata!H866,"not collected"),exact(Metadata!H866,"not provided"),exact(Metadata!H866,"restricted access"))),AND(IF(Metadata!H866="",FALSE,ISNUMBER(VALUE(Metadata!H866))),Metadata!H866&gt;0))</f>
        <v>0</v>
      </c>
      <c r="AI866">
        <f>AND(IF(Metadata!I866="",FALSE,TRUE),exact(Metadata!I866,"human"))</f>
        <v>0</v>
      </c>
      <c r="AJ866">
        <f>AND(IF(Metadata!J866="",FALSE,ISNUMBER(VALUE(Metadata!J866))),Metadata!J866&gt;0)</f>
        <v>0</v>
      </c>
      <c r="AK866">
        <f>AND(IF(Metadata!K866="",FALSE,TRUE),exact(Metadata!K866,"cm"))</f>
        <v>0</v>
      </c>
      <c r="AL866">
        <f>AND(IF(Metadata!L866="",FALSE,TRUE),exact(Metadata!L866,"Homo sapiens"))</f>
        <v>0</v>
      </c>
      <c r="AM866">
        <f>AND(IF(Metadata!M866="",FALSE,TRUE),exact(Metadata!M866,"9606"))</f>
        <v>0</v>
      </c>
      <c r="AN866">
        <f>AND(IF(Metadata!N866="",FALSE,ISNUMBER(VALUE(Metadata!N866))),Metadata!N866&gt;0)</f>
        <v>0</v>
      </c>
      <c r="AO866">
        <f>AND(IF(Metadata!O866="",FALSE,TRUE),exact(Metadata!O866,"kg"))</f>
        <v>0</v>
      </c>
      <c r="AP866">
        <f>OR(AND(IF(Metadata!P866="",FALSE,TRUE),exact(Metadata!P866,"not provided")),IF(Metadata!P866="",FALSE,TRUE))</f>
        <v>0</v>
      </c>
      <c r="AQ866">
        <f>OR(AND(IF(Metadata!Q866="",FALSE,TRUE),exact(Metadata!Q866,"not provided")),IF(Metadata!Q866="",FALSE,TRUE))</f>
        <v>0</v>
      </c>
    </row>
    <row r="867" spans="1:43">
      <c r="A867" s="4">
        <f>IF(B867=" "," ",HYPERLINK(CONCATENATE("#metadata!",ADDRESS(INDEX($W$2:$W$1001,MATCH(ROWS($U$2:U867),$U$2:$U$1001,0),0),2)),INDEX($Z$2:$Z$1001,MATCH(ROWS($U$2:U867),$U$2:$U$1001,0),0)))</f>
        <v>0</v>
      </c>
      <c r="B867" s="5">
        <f>IF(OR(INDEX($V$2:$V$1001,MATCH(ROWS($U$2:U867),$U$2:$U$1001,0),1)&gt;=100000,INDEX($AB$1005:$AQ$1005,1,MATCH(COLUMNS($AB$1006:AB1006),$AB$1006:$AQ$1006,0))&gt;=100000), " ",IF(INDEX($AB$2:$AQ$1001,MATCH(ROWS($U$2:U867),$U$2:$U$1001,0),MATCH(COLUMNS($AB$1006:AB1006),$AB$1006:$AQ$1006,0)), HYPERLINK("#",""), HYPERLINK(CONCATENATE("#Metadata!", ADDRESS(INDEX($W$2:$W$1001,MATCH(ROWS($U$2:U867),$U$2:$U$1001,0),0), INDEX($AB$1004:$AQ$1004,1,MATCH(COLUMNS($AB$1006:AB1006),$AB$1006:$AQ$1006,0)))),"Fix")))</f>
        <v>0</v>
      </c>
      <c r="C867" s="5">
        <f>IF(OR(INDEX($V$2:$V$1001,MATCH(ROWS($U$2:U867),$U$2:$U$1001,0),1)&gt;=100000,INDEX($AB$1005:$AQ$1005,1,MATCH(COLUMNS($AB$1006:AC1006),$AB$1006:$AQ$1006,0))&gt;=100000), " ",IF(INDEX($AB$2:$AQ$1001,MATCH(ROWS($U$2:U867),$U$2:$U$1001,0),MATCH(COLUMNS($AB$1006:AC1006),$AB$1006:$AQ$1006,0)), HYPERLINK("#",""), HYPERLINK(CONCATENATE("#Metadata!", ADDRESS(INDEX($W$2:$W$1001,MATCH(ROWS($U$2:U867),$U$2:$U$1001,0),0), INDEX($AB$1004:$AQ$1004,1,MATCH(COLUMNS($AB$1006:AC1006),$AB$1006:$AQ$1006,0)))),"Fix")))</f>
        <v>0</v>
      </c>
      <c r="D867" s="5">
        <f>IF(OR(INDEX($V$2:$V$1001,MATCH(ROWS($U$2:U867),$U$2:$U$1001,0),1)&gt;=100000,INDEX($AB$1005:$AQ$1005,1,MATCH(COLUMNS($AB$1006:AD1006),$AB$1006:$AQ$1006,0))&gt;=100000), " ",IF(INDEX($AB$2:$AQ$1001,MATCH(ROWS($U$2:U867),$U$2:$U$1001,0),MATCH(COLUMNS($AB$1006:AD1006),$AB$1006:$AQ$1006,0)), HYPERLINK("#",""), HYPERLINK(CONCATENATE("#Metadata!", ADDRESS(INDEX($W$2:$W$1001,MATCH(ROWS($U$2:U867),$U$2:$U$1001,0),0), INDEX($AB$1004:$AQ$1004,1,MATCH(COLUMNS($AB$1006:AD1006),$AB$1006:$AQ$1006,0)))),"Fix")))</f>
        <v>0</v>
      </c>
      <c r="E867" s="5">
        <f>IF(OR(INDEX($V$2:$V$1001,MATCH(ROWS($U$2:U867),$U$2:$U$1001,0),1)&gt;=100000,INDEX($AB$1005:$AQ$1005,1,MATCH(COLUMNS($AB$1006:AE1006),$AB$1006:$AQ$1006,0))&gt;=100000), " ",IF(INDEX($AB$2:$AQ$1001,MATCH(ROWS($U$2:U867),$U$2:$U$1001,0),MATCH(COLUMNS($AB$1006:AE1006),$AB$1006:$AQ$1006,0)), HYPERLINK("#",""), HYPERLINK(CONCATENATE("#Metadata!", ADDRESS(INDEX($W$2:$W$1001,MATCH(ROWS($U$2:U867),$U$2:$U$1001,0),0), INDEX($AB$1004:$AQ$1004,1,MATCH(COLUMNS($AB$1006:AE1006),$AB$1006:$AQ$1006,0)))),"Fix")))</f>
        <v>0</v>
      </c>
      <c r="F867" s="5">
        <f>IF(OR(INDEX($V$2:$V$1001,MATCH(ROWS($U$2:U867),$U$2:$U$1001,0),1)&gt;=100000,INDEX($AB$1005:$AQ$1005,1,MATCH(COLUMNS($AB$1006:AF1006),$AB$1006:$AQ$1006,0))&gt;=100000), " ",IF(INDEX($AB$2:$AQ$1001,MATCH(ROWS($U$2:U867),$U$2:$U$1001,0),MATCH(COLUMNS($AB$1006:AF1006),$AB$1006:$AQ$1006,0)), HYPERLINK("#",""), HYPERLINK(CONCATENATE("#Metadata!", ADDRESS(INDEX($W$2:$W$1001,MATCH(ROWS($U$2:U867),$U$2:$U$1001,0),0), INDEX($AB$1004:$AQ$1004,1,MATCH(COLUMNS($AB$1006:AF1006),$AB$1006:$AQ$1006,0)))),"Fix")))</f>
        <v>0</v>
      </c>
      <c r="G867" s="5">
        <f>IF(OR(INDEX($V$2:$V$1001,MATCH(ROWS($U$2:U867),$U$2:$U$1001,0),1)&gt;=100000,INDEX($AB$1005:$AQ$1005,1,MATCH(COLUMNS($AB$1006:AG1006),$AB$1006:$AQ$1006,0))&gt;=100000), " ",IF(INDEX($AB$2:$AQ$1001,MATCH(ROWS($U$2:U867),$U$2:$U$1001,0),MATCH(COLUMNS($AB$1006:AG1006),$AB$1006:$AQ$1006,0)), HYPERLINK("#",""), HYPERLINK(CONCATENATE("#Metadata!", ADDRESS(INDEX($W$2:$W$1001,MATCH(ROWS($U$2:U867),$U$2:$U$1001,0),0), INDEX($AB$1004:$AQ$1004,1,MATCH(COLUMNS($AB$1006:AG1006),$AB$1006:$AQ$1006,0)))),"Fix")))</f>
        <v>0</v>
      </c>
      <c r="H867" s="5">
        <f>IF(OR(INDEX($V$2:$V$1001,MATCH(ROWS($U$2:U867),$U$2:$U$1001,0),1)&gt;=100000,INDEX($AB$1005:$AQ$1005,1,MATCH(COLUMNS($AB$1006:AH1006),$AB$1006:$AQ$1006,0))&gt;=100000), " ",IF(INDEX($AB$2:$AQ$1001,MATCH(ROWS($U$2:U867),$U$2:$U$1001,0),MATCH(COLUMNS($AB$1006:AH1006),$AB$1006:$AQ$1006,0)), HYPERLINK("#",""), HYPERLINK(CONCATENATE("#Metadata!", ADDRESS(INDEX($W$2:$W$1001,MATCH(ROWS($U$2:U867),$U$2:$U$1001,0),0), INDEX($AB$1004:$AQ$1004,1,MATCH(COLUMNS($AB$1006:AH1006),$AB$1006:$AQ$1006,0)))),"Fix")))</f>
        <v>0</v>
      </c>
      <c r="I867" s="5">
        <f>IF(OR(INDEX($V$2:$V$1001,MATCH(ROWS($U$2:U867),$U$2:$U$1001,0),1)&gt;=100000,INDEX($AB$1005:$AQ$1005,1,MATCH(COLUMNS($AB$1006:AI1006),$AB$1006:$AQ$1006,0))&gt;=100000), " ",IF(INDEX($AB$2:$AQ$1001,MATCH(ROWS($U$2:U867),$U$2:$U$1001,0),MATCH(COLUMNS($AB$1006:AI1006),$AB$1006:$AQ$1006,0)), HYPERLINK("#",""), HYPERLINK(CONCATENATE("#Metadata!", ADDRESS(INDEX($W$2:$W$1001,MATCH(ROWS($U$2:U867),$U$2:$U$1001,0),0), INDEX($AB$1004:$AQ$1004,1,MATCH(COLUMNS($AB$1006:AI1006),$AB$1006:$AQ$1006,0)))),"Fix")))</f>
        <v>0</v>
      </c>
      <c r="J867" s="5">
        <f>IF(OR(INDEX($V$2:$V$1001,MATCH(ROWS($U$2:U867),$U$2:$U$1001,0),1)&gt;=100000,INDEX($AB$1005:$AQ$1005,1,MATCH(COLUMNS($AB$1006:AJ1006),$AB$1006:$AQ$1006,0))&gt;=100000), " ",IF(INDEX($AB$2:$AQ$1001,MATCH(ROWS($U$2:U867),$U$2:$U$1001,0),MATCH(COLUMNS($AB$1006:AJ1006),$AB$1006:$AQ$1006,0)), HYPERLINK("#",""), HYPERLINK(CONCATENATE("#Metadata!", ADDRESS(INDEX($W$2:$W$1001,MATCH(ROWS($U$2:U867),$U$2:$U$1001,0),0), INDEX($AB$1004:$AQ$1004,1,MATCH(COLUMNS($AB$1006:AJ1006),$AB$1006:$AQ$1006,0)))),"Fix")))</f>
        <v>0</v>
      </c>
      <c r="K867" s="5">
        <f>IF(OR(INDEX($V$2:$V$1001,MATCH(ROWS($U$2:U867),$U$2:$U$1001,0),1)&gt;=100000,INDEX($AB$1005:$AQ$1005,1,MATCH(COLUMNS($AB$1006:AK1006),$AB$1006:$AQ$1006,0))&gt;=100000), " ",IF(INDEX($AB$2:$AQ$1001,MATCH(ROWS($U$2:U867),$U$2:$U$1001,0),MATCH(COLUMNS($AB$1006:AK1006),$AB$1006:$AQ$1006,0)), HYPERLINK("#",""), HYPERLINK(CONCATENATE("#Metadata!", ADDRESS(INDEX($W$2:$W$1001,MATCH(ROWS($U$2:U867),$U$2:$U$1001,0),0), INDEX($AB$1004:$AQ$1004,1,MATCH(COLUMNS($AB$1006:AK1006),$AB$1006:$AQ$1006,0)))),"Fix")))</f>
        <v>0</v>
      </c>
      <c r="L867" s="5">
        <f>IF(OR(INDEX($V$2:$V$1001,MATCH(ROWS($U$2:U867),$U$2:$U$1001,0),1)&gt;=100000,INDEX($AB$1005:$AQ$1005,1,MATCH(COLUMNS($AB$1006:AL1006),$AB$1006:$AQ$1006,0))&gt;=100000), " ",IF(INDEX($AB$2:$AQ$1001,MATCH(ROWS($U$2:U867),$U$2:$U$1001,0),MATCH(COLUMNS($AB$1006:AL1006),$AB$1006:$AQ$1006,0)), HYPERLINK("#",""), HYPERLINK(CONCATENATE("#Metadata!", ADDRESS(INDEX($W$2:$W$1001,MATCH(ROWS($U$2:U867),$U$2:$U$1001,0),0), INDEX($AB$1004:$AQ$1004,1,MATCH(COLUMNS($AB$1006:AL1006),$AB$1006:$AQ$1006,0)))),"Fix")))</f>
        <v>0</v>
      </c>
      <c r="M867" s="5">
        <f>IF(OR(INDEX($V$2:$V$1001,MATCH(ROWS($U$2:U867),$U$2:$U$1001,0),1)&gt;=100000,INDEX($AB$1005:$AQ$1005,1,MATCH(COLUMNS($AB$1006:AM1006),$AB$1006:$AQ$1006,0))&gt;=100000), " ",IF(INDEX($AB$2:$AQ$1001,MATCH(ROWS($U$2:U867),$U$2:$U$1001,0),MATCH(COLUMNS($AB$1006:AM1006),$AB$1006:$AQ$1006,0)), HYPERLINK("#",""), HYPERLINK(CONCATENATE("#Metadata!", ADDRESS(INDEX($W$2:$W$1001,MATCH(ROWS($U$2:U867),$U$2:$U$1001,0),0), INDEX($AB$1004:$AQ$1004,1,MATCH(COLUMNS($AB$1006:AM1006),$AB$1006:$AQ$1006,0)))),"Fix")))</f>
        <v>0</v>
      </c>
      <c r="N867" s="5">
        <f>IF(OR(INDEX($V$2:$V$1001,MATCH(ROWS($U$2:U867),$U$2:$U$1001,0),1)&gt;=100000,INDEX($AB$1005:$AQ$1005,1,MATCH(COLUMNS($AB$1006:AN1006),$AB$1006:$AQ$1006,0))&gt;=100000), " ",IF(INDEX($AB$2:$AQ$1001,MATCH(ROWS($U$2:U867),$U$2:$U$1001,0),MATCH(COLUMNS($AB$1006:AN1006),$AB$1006:$AQ$1006,0)), HYPERLINK("#",""), HYPERLINK(CONCATENATE("#Metadata!", ADDRESS(INDEX($W$2:$W$1001,MATCH(ROWS($U$2:U867),$U$2:$U$1001,0),0), INDEX($AB$1004:$AQ$1004,1,MATCH(COLUMNS($AB$1006:AN1006),$AB$1006:$AQ$1006,0)))),"Fix")))</f>
        <v>0</v>
      </c>
      <c r="O867" s="5">
        <f>IF(OR(INDEX($V$2:$V$1001,MATCH(ROWS($U$2:U867),$U$2:$U$1001,0),1)&gt;=100000,INDEX($AB$1005:$AQ$1005,1,MATCH(COLUMNS($AB$1006:AO1006),$AB$1006:$AQ$1006,0))&gt;=100000), " ",IF(INDEX($AB$2:$AQ$1001,MATCH(ROWS($U$2:U867),$U$2:$U$1001,0),MATCH(COLUMNS($AB$1006:AO1006),$AB$1006:$AQ$1006,0)), HYPERLINK("#",""), HYPERLINK(CONCATENATE("#Metadata!", ADDRESS(INDEX($W$2:$W$1001,MATCH(ROWS($U$2:U867),$U$2:$U$1001,0),0), INDEX($AB$1004:$AQ$1004,1,MATCH(COLUMNS($AB$1006:AO1006),$AB$1006:$AQ$1006,0)))),"Fix")))</f>
        <v>0</v>
      </c>
      <c r="P867" s="5">
        <f>IF(OR(INDEX($V$2:$V$1001,MATCH(ROWS($U$2:U867),$U$2:$U$1001,0),1)&gt;=100000,INDEX($AB$1005:$AQ$1005,1,MATCH(COLUMNS($AB$1006:AP1006),$AB$1006:$AQ$1006,0))&gt;=100000), " ",IF(INDEX($AB$2:$AQ$1001,MATCH(ROWS($U$2:U867),$U$2:$U$1001,0),MATCH(COLUMNS($AB$1006:AP1006),$AB$1006:$AQ$1006,0)), HYPERLINK("#",""), HYPERLINK(CONCATENATE("#Metadata!", ADDRESS(INDEX($W$2:$W$1001,MATCH(ROWS($U$2:U867),$U$2:$U$1001,0),0), INDEX($AB$1004:$AQ$1004,1,MATCH(COLUMNS($AB$1006:AP1006),$AB$1006:$AQ$1006,0)))),"Fix")))</f>
        <v>0</v>
      </c>
      <c r="Q867" s="5">
        <f>IF(OR(INDEX($V$2:$V$1001,MATCH(ROWS($U$2:U867),$U$2:$U$1001,0),1)&gt;=100000,INDEX($AB$1005:$AQ$1005,1,MATCH(COLUMNS($AB$1006:AQ1006),$AB$1006:$AQ$1006,0))&gt;=100000), " ",IF(INDEX($AB$2:$AQ$1001,MATCH(ROWS($U$2:U867),$U$2:$U$1001,0),MATCH(COLUMNS($AB$1006:AQ1006),$AB$1006:$AQ$1006,0)), HYPERLINK("#",""), HYPERLINK(CONCATENATE("#Metadata!", ADDRESS(INDEX($W$2:$W$1001,MATCH(ROWS($U$2:U867),$U$2:$U$1001,0),0), INDEX($AB$1004:$AQ$1004,1,MATCH(COLUMNS($AB$1006:AQ1006),$AB$1006:$AQ$1006,0)))),"Fix")))</f>
        <v>0</v>
      </c>
      <c r="U867">
        <v>0</v>
      </c>
      <c r="V867">
        <v>0</v>
      </c>
      <c r="W867">
        <v>0</v>
      </c>
      <c r="X867">
        <f>IF(Y867,TRUE,AND(AB867:AQ867))</f>
        <v>0</v>
      </c>
      <c r="Y867">
        <f>COUNTBLANK(Metadata!B867:Q867)=COLUMNS(Metadata!B867:Q867)</f>
        <v>0</v>
      </c>
      <c r="Z867">
        <v>0</v>
      </c>
      <c r="AB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AC867">
        <f>AND(IF(Metadata!C867="",FALSE,TRUE),exact(Metadata!C867,"urban biome"))</f>
        <v>0</v>
      </c>
      <c r="AD867">
        <f>AND(IF(Metadata!D867="",FALSE,TRUE),exact(Metadata!D867,"human-associated habitat"))</f>
        <v>0</v>
      </c>
      <c r="AE867">
        <f>AND(IF(Metadata!E867="",FALSE,TRUE),OR(exact(Metadata!E867,"human-associated"),exact(Metadata!E867,"human-skin"),exact(Metadata!E867,"human-oral"),exact(Metadata!E867,"human-gut"),exact(Metadata!E867,"human-vaginal")))</f>
        <v>0</v>
      </c>
      <c r="AF867">
        <f>AND(IF(Metadata!F867="",FALSE,ISNUMBER(VALUE(Metadata!F867))),Metadata!F867&gt;0)</f>
        <v>0</v>
      </c>
      <c r="AG867">
        <f>AND(IF(Metadata!G867="",FALSE,TRUE),exact(Metadata!G867,"years"))</f>
        <v>0</v>
      </c>
      <c r="AH867">
        <f>OR(AND(IF(Metadata!H867="",FALSE,TRUE),OR(exact(Metadata!H867,"not applicable"),exact(Metadata!H867,"not collected"),exact(Metadata!H867,"not provided"),exact(Metadata!H867,"restricted access"))),AND(IF(Metadata!H867="",FALSE,ISNUMBER(VALUE(Metadata!H867))),Metadata!H867&gt;0))</f>
        <v>0</v>
      </c>
      <c r="AI867">
        <f>AND(IF(Metadata!I867="",FALSE,TRUE),exact(Metadata!I867,"human"))</f>
        <v>0</v>
      </c>
      <c r="AJ867">
        <f>AND(IF(Metadata!J867="",FALSE,ISNUMBER(VALUE(Metadata!J867))),Metadata!J867&gt;0)</f>
        <v>0</v>
      </c>
      <c r="AK867">
        <f>AND(IF(Metadata!K867="",FALSE,TRUE),exact(Metadata!K867,"cm"))</f>
        <v>0</v>
      </c>
      <c r="AL867">
        <f>AND(IF(Metadata!L867="",FALSE,TRUE),exact(Metadata!L867,"Homo sapiens"))</f>
        <v>0</v>
      </c>
      <c r="AM867">
        <f>AND(IF(Metadata!M867="",FALSE,TRUE),exact(Metadata!M867,"9606"))</f>
        <v>0</v>
      </c>
      <c r="AN867">
        <f>AND(IF(Metadata!N867="",FALSE,ISNUMBER(VALUE(Metadata!N867))),Metadata!N867&gt;0)</f>
        <v>0</v>
      </c>
      <c r="AO867">
        <f>AND(IF(Metadata!O867="",FALSE,TRUE),exact(Metadata!O867,"kg"))</f>
        <v>0</v>
      </c>
      <c r="AP867">
        <f>OR(AND(IF(Metadata!P867="",FALSE,TRUE),exact(Metadata!P867,"not provided")),IF(Metadata!P867="",FALSE,TRUE))</f>
        <v>0</v>
      </c>
      <c r="AQ867">
        <f>OR(AND(IF(Metadata!Q867="",FALSE,TRUE),exact(Metadata!Q867,"not provided")),IF(Metadata!Q867="",FALSE,TRUE))</f>
        <v>0</v>
      </c>
    </row>
    <row r="868" spans="1:43">
      <c r="A868" s="4">
        <f>IF(B868=" "," ",HYPERLINK(CONCATENATE("#metadata!",ADDRESS(INDEX($W$2:$W$1001,MATCH(ROWS($U$2:U868),$U$2:$U$1001,0),0),2)),INDEX($Z$2:$Z$1001,MATCH(ROWS($U$2:U868),$U$2:$U$1001,0),0)))</f>
        <v>0</v>
      </c>
      <c r="B868" s="5">
        <f>IF(OR(INDEX($V$2:$V$1001,MATCH(ROWS($U$2:U868),$U$2:$U$1001,0),1)&gt;=100000,INDEX($AB$1005:$AQ$1005,1,MATCH(COLUMNS($AB$1006:AB1006),$AB$1006:$AQ$1006,0))&gt;=100000), " ",IF(INDEX($AB$2:$AQ$1001,MATCH(ROWS($U$2:U868),$U$2:$U$1001,0),MATCH(COLUMNS($AB$1006:AB1006),$AB$1006:$AQ$1006,0)), HYPERLINK("#",""), HYPERLINK(CONCATENATE("#Metadata!", ADDRESS(INDEX($W$2:$W$1001,MATCH(ROWS($U$2:U868),$U$2:$U$1001,0),0), INDEX($AB$1004:$AQ$1004,1,MATCH(COLUMNS($AB$1006:AB1006),$AB$1006:$AQ$1006,0)))),"Fix")))</f>
        <v>0</v>
      </c>
      <c r="C868" s="5">
        <f>IF(OR(INDEX($V$2:$V$1001,MATCH(ROWS($U$2:U868),$U$2:$U$1001,0),1)&gt;=100000,INDEX($AB$1005:$AQ$1005,1,MATCH(COLUMNS($AB$1006:AC1006),$AB$1006:$AQ$1006,0))&gt;=100000), " ",IF(INDEX($AB$2:$AQ$1001,MATCH(ROWS($U$2:U868),$U$2:$U$1001,0),MATCH(COLUMNS($AB$1006:AC1006),$AB$1006:$AQ$1006,0)), HYPERLINK("#",""), HYPERLINK(CONCATENATE("#Metadata!", ADDRESS(INDEX($W$2:$W$1001,MATCH(ROWS($U$2:U868),$U$2:$U$1001,0),0), INDEX($AB$1004:$AQ$1004,1,MATCH(COLUMNS($AB$1006:AC1006),$AB$1006:$AQ$1006,0)))),"Fix")))</f>
        <v>0</v>
      </c>
      <c r="D868" s="5">
        <f>IF(OR(INDEX($V$2:$V$1001,MATCH(ROWS($U$2:U868),$U$2:$U$1001,0),1)&gt;=100000,INDEX($AB$1005:$AQ$1005,1,MATCH(COLUMNS($AB$1006:AD1006),$AB$1006:$AQ$1006,0))&gt;=100000), " ",IF(INDEX($AB$2:$AQ$1001,MATCH(ROWS($U$2:U868),$U$2:$U$1001,0),MATCH(COLUMNS($AB$1006:AD1006),$AB$1006:$AQ$1006,0)), HYPERLINK("#",""), HYPERLINK(CONCATENATE("#Metadata!", ADDRESS(INDEX($W$2:$W$1001,MATCH(ROWS($U$2:U868),$U$2:$U$1001,0),0), INDEX($AB$1004:$AQ$1004,1,MATCH(COLUMNS($AB$1006:AD1006),$AB$1006:$AQ$1006,0)))),"Fix")))</f>
        <v>0</v>
      </c>
      <c r="E868" s="5">
        <f>IF(OR(INDEX($V$2:$V$1001,MATCH(ROWS($U$2:U868),$U$2:$U$1001,0),1)&gt;=100000,INDEX($AB$1005:$AQ$1005,1,MATCH(COLUMNS($AB$1006:AE1006),$AB$1006:$AQ$1006,0))&gt;=100000), " ",IF(INDEX($AB$2:$AQ$1001,MATCH(ROWS($U$2:U868),$U$2:$U$1001,0),MATCH(COLUMNS($AB$1006:AE1006),$AB$1006:$AQ$1006,0)), HYPERLINK("#",""), HYPERLINK(CONCATENATE("#Metadata!", ADDRESS(INDEX($W$2:$W$1001,MATCH(ROWS($U$2:U868),$U$2:$U$1001,0),0), INDEX($AB$1004:$AQ$1004,1,MATCH(COLUMNS($AB$1006:AE1006),$AB$1006:$AQ$1006,0)))),"Fix")))</f>
        <v>0</v>
      </c>
      <c r="F868" s="5">
        <f>IF(OR(INDEX($V$2:$V$1001,MATCH(ROWS($U$2:U868),$U$2:$U$1001,0),1)&gt;=100000,INDEX($AB$1005:$AQ$1005,1,MATCH(COLUMNS($AB$1006:AF1006),$AB$1006:$AQ$1006,0))&gt;=100000), " ",IF(INDEX($AB$2:$AQ$1001,MATCH(ROWS($U$2:U868),$U$2:$U$1001,0),MATCH(COLUMNS($AB$1006:AF1006),$AB$1006:$AQ$1006,0)), HYPERLINK("#",""), HYPERLINK(CONCATENATE("#Metadata!", ADDRESS(INDEX($W$2:$W$1001,MATCH(ROWS($U$2:U868),$U$2:$U$1001,0),0), INDEX($AB$1004:$AQ$1004,1,MATCH(COLUMNS($AB$1006:AF1006),$AB$1006:$AQ$1006,0)))),"Fix")))</f>
        <v>0</v>
      </c>
      <c r="G868" s="5">
        <f>IF(OR(INDEX($V$2:$V$1001,MATCH(ROWS($U$2:U868),$U$2:$U$1001,0),1)&gt;=100000,INDEX($AB$1005:$AQ$1005,1,MATCH(COLUMNS($AB$1006:AG1006),$AB$1006:$AQ$1006,0))&gt;=100000), " ",IF(INDEX($AB$2:$AQ$1001,MATCH(ROWS($U$2:U868),$U$2:$U$1001,0),MATCH(COLUMNS($AB$1006:AG1006),$AB$1006:$AQ$1006,0)), HYPERLINK("#",""), HYPERLINK(CONCATENATE("#Metadata!", ADDRESS(INDEX($W$2:$W$1001,MATCH(ROWS($U$2:U868),$U$2:$U$1001,0),0), INDEX($AB$1004:$AQ$1004,1,MATCH(COLUMNS($AB$1006:AG1006),$AB$1006:$AQ$1006,0)))),"Fix")))</f>
        <v>0</v>
      </c>
      <c r="H868" s="5">
        <f>IF(OR(INDEX($V$2:$V$1001,MATCH(ROWS($U$2:U868),$U$2:$U$1001,0),1)&gt;=100000,INDEX($AB$1005:$AQ$1005,1,MATCH(COLUMNS($AB$1006:AH1006),$AB$1006:$AQ$1006,0))&gt;=100000), " ",IF(INDEX($AB$2:$AQ$1001,MATCH(ROWS($U$2:U868),$U$2:$U$1001,0),MATCH(COLUMNS($AB$1006:AH1006),$AB$1006:$AQ$1006,0)), HYPERLINK("#",""), HYPERLINK(CONCATENATE("#Metadata!", ADDRESS(INDEX($W$2:$W$1001,MATCH(ROWS($U$2:U868),$U$2:$U$1001,0),0), INDEX($AB$1004:$AQ$1004,1,MATCH(COLUMNS($AB$1006:AH1006),$AB$1006:$AQ$1006,0)))),"Fix")))</f>
        <v>0</v>
      </c>
      <c r="I868" s="5">
        <f>IF(OR(INDEX($V$2:$V$1001,MATCH(ROWS($U$2:U868),$U$2:$U$1001,0),1)&gt;=100000,INDEX($AB$1005:$AQ$1005,1,MATCH(COLUMNS($AB$1006:AI1006),$AB$1006:$AQ$1006,0))&gt;=100000), " ",IF(INDEX($AB$2:$AQ$1001,MATCH(ROWS($U$2:U868),$U$2:$U$1001,0),MATCH(COLUMNS($AB$1006:AI1006),$AB$1006:$AQ$1006,0)), HYPERLINK("#",""), HYPERLINK(CONCATENATE("#Metadata!", ADDRESS(INDEX($W$2:$W$1001,MATCH(ROWS($U$2:U868),$U$2:$U$1001,0),0), INDEX($AB$1004:$AQ$1004,1,MATCH(COLUMNS($AB$1006:AI1006),$AB$1006:$AQ$1006,0)))),"Fix")))</f>
        <v>0</v>
      </c>
      <c r="J868" s="5">
        <f>IF(OR(INDEX($V$2:$V$1001,MATCH(ROWS($U$2:U868),$U$2:$U$1001,0),1)&gt;=100000,INDEX($AB$1005:$AQ$1005,1,MATCH(COLUMNS($AB$1006:AJ1006),$AB$1006:$AQ$1006,0))&gt;=100000), " ",IF(INDEX($AB$2:$AQ$1001,MATCH(ROWS($U$2:U868),$U$2:$U$1001,0),MATCH(COLUMNS($AB$1006:AJ1006),$AB$1006:$AQ$1006,0)), HYPERLINK("#",""), HYPERLINK(CONCATENATE("#Metadata!", ADDRESS(INDEX($W$2:$W$1001,MATCH(ROWS($U$2:U868),$U$2:$U$1001,0),0), INDEX($AB$1004:$AQ$1004,1,MATCH(COLUMNS($AB$1006:AJ1006),$AB$1006:$AQ$1006,0)))),"Fix")))</f>
        <v>0</v>
      </c>
      <c r="K868" s="5">
        <f>IF(OR(INDEX($V$2:$V$1001,MATCH(ROWS($U$2:U868),$U$2:$U$1001,0),1)&gt;=100000,INDEX($AB$1005:$AQ$1005,1,MATCH(COLUMNS($AB$1006:AK1006),$AB$1006:$AQ$1006,0))&gt;=100000), " ",IF(INDEX($AB$2:$AQ$1001,MATCH(ROWS($U$2:U868),$U$2:$U$1001,0),MATCH(COLUMNS($AB$1006:AK1006),$AB$1006:$AQ$1006,0)), HYPERLINK("#",""), HYPERLINK(CONCATENATE("#Metadata!", ADDRESS(INDEX($W$2:$W$1001,MATCH(ROWS($U$2:U868),$U$2:$U$1001,0),0), INDEX($AB$1004:$AQ$1004,1,MATCH(COLUMNS($AB$1006:AK1006),$AB$1006:$AQ$1006,0)))),"Fix")))</f>
        <v>0</v>
      </c>
      <c r="L868" s="5">
        <f>IF(OR(INDEX($V$2:$V$1001,MATCH(ROWS($U$2:U868),$U$2:$U$1001,0),1)&gt;=100000,INDEX($AB$1005:$AQ$1005,1,MATCH(COLUMNS($AB$1006:AL1006),$AB$1006:$AQ$1006,0))&gt;=100000), " ",IF(INDEX($AB$2:$AQ$1001,MATCH(ROWS($U$2:U868),$U$2:$U$1001,0),MATCH(COLUMNS($AB$1006:AL1006),$AB$1006:$AQ$1006,0)), HYPERLINK("#",""), HYPERLINK(CONCATENATE("#Metadata!", ADDRESS(INDEX($W$2:$W$1001,MATCH(ROWS($U$2:U868),$U$2:$U$1001,0),0), INDEX($AB$1004:$AQ$1004,1,MATCH(COLUMNS($AB$1006:AL1006),$AB$1006:$AQ$1006,0)))),"Fix")))</f>
        <v>0</v>
      </c>
      <c r="M868" s="5">
        <f>IF(OR(INDEX($V$2:$V$1001,MATCH(ROWS($U$2:U868),$U$2:$U$1001,0),1)&gt;=100000,INDEX($AB$1005:$AQ$1005,1,MATCH(COLUMNS($AB$1006:AM1006),$AB$1006:$AQ$1006,0))&gt;=100000), " ",IF(INDEX($AB$2:$AQ$1001,MATCH(ROWS($U$2:U868),$U$2:$U$1001,0),MATCH(COLUMNS($AB$1006:AM1006),$AB$1006:$AQ$1006,0)), HYPERLINK("#",""), HYPERLINK(CONCATENATE("#Metadata!", ADDRESS(INDEX($W$2:$W$1001,MATCH(ROWS($U$2:U868),$U$2:$U$1001,0),0), INDEX($AB$1004:$AQ$1004,1,MATCH(COLUMNS($AB$1006:AM1006),$AB$1006:$AQ$1006,0)))),"Fix")))</f>
        <v>0</v>
      </c>
      <c r="N868" s="5">
        <f>IF(OR(INDEX($V$2:$V$1001,MATCH(ROWS($U$2:U868),$U$2:$U$1001,0),1)&gt;=100000,INDEX($AB$1005:$AQ$1005,1,MATCH(COLUMNS($AB$1006:AN1006),$AB$1006:$AQ$1006,0))&gt;=100000), " ",IF(INDEX($AB$2:$AQ$1001,MATCH(ROWS($U$2:U868),$U$2:$U$1001,0),MATCH(COLUMNS($AB$1006:AN1006),$AB$1006:$AQ$1006,0)), HYPERLINK("#",""), HYPERLINK(CONCATENATE("#Metadata!", ADDRESS(INDEX($W$2:$W$1001,MATCH(ROWS($U$2:U868),$U$2:$U$1001,0),0), INDEX($AB$1004:$AQ$1004,1,MATCH(COLUMNS($AB$1006:AN1006),$AB$1006:$AQ$1006,0)))),"Fix")))</f>
        <v>0</v>
      </c>
      <c r="O868" s="5">
        <f>IF(OR(INDEX($V$2:$V$1001,MATCH(ROWS($U$2:U868),$U$2:$U$1001,0),1)&gt;=100000,INDEX($AB$1005:$AQ$1005,1,MATCH(COLUMNS($AB$1006:AO1006),$AB$1006:$AQ$1006,0))&gt;=100000), " ",IF(INDEX($AB$2:$AQ$1001,MATCH(ROWS($U$2:U868),$U$2:$U$1001,0),MATCH(COLUMNS($AB$1006:AO1006),$AB$1006:$AQ$1006,0)), HYPERLINK("#",""), HYPERLINK(CONCATENATE("#Metadata!", ADDRESS(INDEX($W$2:$W$1001,MATCH(ROWS($U$2:U868),$U$2:$U$1001,0),0), INDEX($AB$1004:$AQ$1004,1,MATCH(COLUMNS($AB$1006:AO1006),$AB$1006:$AQ$1006,0)))),"Fix")))</f>
        <v>0</v>
      </c>
      <c r="P868" s="5">
        <f>IF(OR(INDEX($V$2:$V$1001,MATCH(ROWS($U$2:U868),$U$2:$U$1001,0),1)&gt;=100000,INDEX($AB$1005:$AQ$1005,1,MATCH(COLUMNS($AB$1006:AP1006),$AB$1006:$AQ$1006,0))&gt;=100000), " ",IF(INDEX($AB$2:$AQ$1001,MATCH(ROWS($U$2:U868),$U$2:$U$1001,0),MATCH(COLUMNS($AB$1006:AP1006),$AB$1006:$AQ$1006,0)), HYPERLINK("#",""), HYPERLINK(CONCATENATE("#Metadata!", ADDRESS(INDEX($W$2:$W$1001,MATCH(ROWS($U$2:U868),$U$2:$U$1001,0),0), INDEX($AB$1004:$AQ$1004,1,MATCH(COLUMNS($AB$1006:AP1006),$AB$1006:$AQ$1006,0)))),"Fix")))</f>
        <v>0</v>
      </c>
      <c r="Q868" s="5">
        <f>IF(OR(INDEX($V$2:$V$1001,MATCH(ROWS($U$2:U868),$U$2:$U$1001,0),1)&gt;=100000,INDEX($AB$1005:$AQ$1005,1,MATCH(COLUMNS($AB$1006:AQ1006),$AB$1006:$AQ$1006,0))&gt;=100000), " ",IF(INDEX($AB$2:$AQ$1001,MATCH(ROWS($U$2:U868),$U$2:$U$1001,0),MATCH(COLUMNS($AB$1006:AQ1006),$AB$1006:$AQ$1006,0)), HYPERLINK("#",""), HYPERLINK(CONCATENATE("#Metadata!", ADDRESS(INDEX($W$2:$W$1001,MATCH(ROWS($U$2:U868),$U$2:$U$1001,0),0), INDEX($AB$1004:$AQ$1004,1,MATCH(COLUMNS($AB$1006:AQ1006),$AB$1006:$AQ$1006,0)))),"Fix")))</f>
        <v>0</v>
      </c>
      <c r="U868">
        <v>0</v>
      </c>
      <c r="V868">
        <v>0</v>
      </c>
      <c r="W868">
        <v>0</v>
      </c>
      <c r="X868">
        <f>IF(Y868,TRUE,AND(AB868:AQ868))</f>
        <v>0</v>
      </c>
      <c r="Y868">
        <f>COUNTBLANK(Metadata!B868:Q868)=COLUMNS(Metadata!B868:Q868)</f>
        <v>0</v>
      </c>
      <c r="Z868">
        <v>0</v>
      </c>
      <c r="AB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AC868">
        <f>AND(IF(Metadata!C868="",FALSE,TRUE),exact(Metadata!C868,"urban biome"))</f>
        <v>0</v>
      </c>
      <c r="AD868">
        <f>AND(IF(Metadata!D868="",FALSE,TRUE),exact(Metadata!D868,"human-associated habitat"))</f>
        <v>0</v>
      </c>
      <c r="AE868">
        <f>AND(IF(Metadata!E868="",FALSE,TRUE),OR(exact(Metadata!E868,"human-associated"),exact(Metadata!E868,"human-skin"),exact(Metadata!E868,"human-oral"),exact(Metadata!E868,"human-gut"),exact(Metadata!E868,"human-vaginal")))</f>
        <v>0</v>
      </c>
      <c r="AF868">
        <f>AND(IF(Metadata!F868="",FALSE,ISNUMBER(VALUE(Metadata!F868))),Metadata!F868&gt;0)</f>
        <v>0</v>
      </c>
      <c r="AG868">
        <f>AND(IF(Metadata!G868="",FALSE,TRUE),exact(Metadata!G868,"years"))</f>
        <v>0</v>
      </c>
      <c r="AH868">
        <f>OR(AND(IF(Metadata!H868="",FALSE,TRUE),OR(exact(Metadata!H868,"not applicable"),exact(Metadata!H868,"not collected"),exact(Metadata!H868,"not provided"),exact(Metadata!H868,"restricted access"))),AND(IF(Metadata!H868="",FALSE,ISNUMBER(VALUE(Metadata!H868))),Metadata!H868&gt;0))</f>
        <v>0</v>
      </c>
      <c r="AI868">
        <f>AND(IF(Metadata!I868="",FALSE,TRUE),exact(Metadata!I868,"human"))</f>
        <v>0</v>
      </c>
      <c r="AJ868">
        <f>AND(IF(Metadata!J868="",FALSE,ISNUMBER(VALUE(Metadata!J868))),Metadata!J868&gt;0)</f>
        <v>0</v>
      </c>
      <c r="AK868">
        <f>AND(IF(Metadata!K868="",FALSE,TRUE),exact(Metadata!K868,"cm"))</f>
        <v>0</v>
      </c>
      <c r="AL868">
        <f>AND(IF(Metadata!L868="",FALSE,TRUE),exact(Metadata!L868,"Homo sapiens"))</f>
        <v>0</v>
      </c>
      <c r="AM868">
        <f>AND(IF(Metadata!M868="",FALSE,TRUE),exact(Metadata!M868,"9606"))</f>
        <v>0</v>
      </c>
      <c r="AN868">
        <f>AND(IF(Metadata!N868="",FALSE,ISNUMBER(VALUE(Metadata!N868))),Metadata!N868&gt;0)</f>
        <v>0</v>
      </c>
      <c r="AO868">
        <f>AND(IF(Metadata!O868="",FALSE,TRUE),exact(Metadata!O868,"kg"))</f>
        <v>0</v>
      </c>
      <c r="AP868">
        <f>OR(AND(IF(Metadata!P868="",FALSE,TRUE),exact(Metadata!P868,"not provided")),IF(Metadata!P868="",FALSE,TRUE))</f>
        <v>0</v>
      </c>
      <c r="AQ868">
        <f>OR(AND(IF(Metadata!Q868="",FALSE,TRUE),exact(Metadata!Q868,"not provided")),IF(Metadata!Q868="",FALSE,TRUE))</f>
        <v>0</v>
      </c>
    </row>
    <row r="869" spans="1:43">
      <c r="A869" s="4">
        <f>IF(B869=" "," ",HYPERLINK(CONCATENATE("#metadata!",ADDRESS(INDEX($W$2:$W$1001,MATCH(ROWS($U$2:U869),$U$2:$U$1001,0),0),2)),INDEX($Z$2:$Z$1001,MATCH(ROWS($U$2:U869),$U$2:$U$1001,0),0)))</f>
        <v>0</v>
      </c>
      <c r="B869" s="5">
        <f>IF(OR(INDEX($V$2:$V$1001,MATCH(ROWS($U$2:U869),$U$2:$U$1001,0),1)&gt;=100000,INDEX($AB$1005:$AQ$1005,1,MATCH(COLUMNS($AB$1006:AB1006),$AB$1006:$AQ$1006,0))&gt;=100000), " ",IF(INDEX($AB$2:$AQ$1001,MATCH(ROWS($U$2:U869),$U$2:$U$1001,0),MATCH(COLUMNS($AB$1006:AB1006),$AB$1006:$AQ$1006,0)), HYPERLINK("#",""), HYPERLINK(CONCATENATE("#Metadata!", ADDRESS(INDEX($W$2:$W$1001,MATCH(ROWS($U$2:U869),$U$2:$U$1001,0),0), INDEX($AB$1004:$AQ$1004,1,MATCH(COLUMNS($AB$1006:AB1006),$AB$1006:$AQ$1006,0)))),"Fix")))</f>
        <v>0</v>
      </c>
      <c r="C869" s="5">
        <f>IF(OR(INDEX($V$2:$V$1001,MATCH(ROWS($U$2:U869),$U$2:$U$1001,0),1)&gt;=100000,INDEX($AB$1005:$AQ$1005,1,MATCH(COLUMNS($AB$1006:AC1006),$AB$1006:$AQ$1006,0))&gt;=100000), " ",IF(INDEX($AB$2:$AQ$1001,MATCH(ROWS($U$2:U869),$U$2:$U$1001,0),MATCH(COLUMNS($AB$1006:AC1006),$AB$1006:$AQ$1006,0)), HYPERLINK("#",""), HYPERLINK(CONCATENATE("#Metadata!", ADDRESS(INDEX($W$2:$W$1001,MATCH(ROWS($U$2:U869),$U$2:$U$1001,0),0), INDEX($AB$1004:$AQ$1004,1,MATCH(COLUMNS($AB$1006:AC1006),$AB$1006:$AQ$1006,0)))),"Fix")))</f>
        <v>0</v>
      </c>
      <c r="D869" s="5">
        <f>IF(OR(INDEX($V$2:$V$1001,MATCH(ROWS($U$2:U869),$U$2:$U$1001,0),1)&gt;=100000,INDEX($AB$1005:$AQ$1005,1,MATCH(COLUMNS($AB$1006:AD1006),$AB$1006:$AQ$1006,0))&gt;=100000), " ",IF(INDEX($AB$2:$AQ$1001,MATCH(ROWS($U$2:U869),$U$2:$U$1001,0),MATCH(COLUMNS($AB$1006:AD1006),$AB$1006:$AQ$1006,0)), HYPERLINK("#",""), HYPERLINK(CONCATENATE("#Metadata!", ADDRESS(INDEX($W$2:$W$1001,MATCH(ROWS($U$2:U869),$U$2:$U$1001,0),0), INDEX($AB$1004:$AQ$1004,1,MATCH(COLUMNS($AB$1006:AD1006),$AB$1006:$AQ$1006,0)))),"Fix")))</f>
        <v>0</v>
      </c>
      <c r="E869" s="5">
        <f>IF(OR(INDEX($V$2:$V$1001,MATCH(ROWS($U$2:U869),$U$2:$U$1001,0),1)&gt;=100000,INDEX($AB$1005:$AQ$1005,1,MATCH(COLUMNS($AB$1006:AE1006),$AB$1006:$AQ$1006,0))&gt;=100000), " ",IF(INDEX($AB$2:$AQ$1001,MATCH(ROWS($U$2:U869),$U$2:$U$1001,0),MATCH(COLUMNS($AB$1006:AE1006),$AB$1006:$AQ$1006,0)), HYPERLINK("#",""), HYPERLINK(CONCATENATE("#Metadata!", ADDRESS(INDEX($W$2:$W$1001,MATCH(ROWS($U$2:U869),$U$2:$U$1001,0),0), INDEX($AB$1004:$AQ$1004,1,MATCH(COLUMNS($AB$1006:AE1006),$AB$1006:$AQ$1006,0)))),"Fix")))</f>
        <v>0</v>
      </c>
      <c r="F869" s="5">
        <f>IF(OR(INDEX($V$2:$V$1001,MATCH(ROWS($U$2:U869),$U$2:$U$1001,0),1)&gt;=100000,INDEX($AB$1005:$AQ$1005,1,MATCH(COLUMNS($AB$1006:AF1006),$AB$1006:$AQ$1006,0))&gt;=100000), " ",IF(INDEX($AB$2:$AQ$1001,MATCH(ROWS($U$2:U869),$U$2:$U$1001,0),MATCH(COLUMNS($AB$1006:AF1006),$AB$1006:$AQ$1006,0)), HYPERLINK("#",""), HYPERLINK(CONCATENATE("#Metadata!", ADDRESS(INDEX($W$2:$W$1001,MATCH(ROWS($U$2:U869),$U$2:$U$1001,0),0), INDEX($AB$1004:$AQ$1004,1,MATCH(COLUMNS($AB$1006:AF1006),$AB$1006:$AQ$1006,0)))),"Fix")))</f>
        <v>0</v>
      </c>
      <c r="G869" s="5">
        <f>IF(OR(INDEX($V$2:$V$1001,MATCH(ROWS($U$2:U869),$U$2:$U$1001,0),1)&gt;=100000,INDEX($AB$1005:$AQ$1005,1,MATCH(COLUMNS($AB$1006:AG1006),$AB$1006:$AQ$1006,0))&gt;=100000), " ",IF(INDEX($AB$2:$AQ$1001,MATCH(ROWS($U$2:U869),$U$2:$U$1001,0),MATCH(COLUMNS($AB$1006:AG1006),$AB$1006:$AQ$1006,0)), HYPERLINK("#",""), HYPERLINK(CONCATENATE("#Metadata!", ADDRESS(INDEX($W$2:$W$1001,MATCH(ROWS($U$2:U869),$U$2:$U$1001,0),0), INDEX($AB$1004:$AQ$1004,1,MATCH(COLUMNS($AB$1006:AG1006),$AB$1006:$AQ$1006,0)))),"Fix")))</f>
        <v>0</v>
      </c>
      <c r="H869" s="5">
        <f>IF(OR(INDEX($V$2:$V$1001,MATCH(ROWS($U$2:U869),$U$2:$U$1001,0),1)&gt;=100000,INDEX($AB$1005:$AQ$1005,1,MATCH(COLUMNS($AB$1006:AH1006),$AB$1006:$AQ$1006,0))&gt;=100000), " ",IF(INDEX($AB$2:$AQ$1001,MATCH(ROWS($U$2:U869),$U$2:$U$1001,0),MATCH(COLUMNS($AB$1006:AH1006),$AB$1006:$AQ$1006,0)), HYPERLINK("#",""), HYPERLINK(CONCATENATE("#Metadata!", ADDRESS(INDEX($W$2:$W$1001,MATCH(ROWS($U$2:U869),$U$2:$U$1001,0),0), INDEX($AB$1004:$AQ$1004,1,MATCH(COLUMNS($AB$1006:AH1006),$AB$1006:$AQ$1006,0)))),"Fix")))</f>
        <v>0</v>
      </c>
      <c r="I869" s="5">
        <f>IF(OR(INDEX($V$2:$V$1001,MATCH(ROWS($U$2:U869),$U$2:$U$1001,0),1)&gt;=100000,INDEX($AB$1005:$AQ$1005,1,MATCH(COLUMNS($AB$1006:AI1006),$AB$1006:$AQ$1006,0))&gt;=100000), " ",IF(INDEX($AB$2:$AQ$1001,MATCH(ROWS($U$2:U869),$U$2:$U$1001,0),MATCH(COLUMNS($AB$1006:AI1006),$AB$1006:$AQ$1006,0)), HYPERLINK("#",""), HYPERLINK(CONCATENATE("#Metadata!", ADDRESS(INDEX($W$2:$W$1001,MATCH(ROWS($U$2:U869),$U$2:$U$1001,0),0), INDEX($AB$1004:$AQ$1004,1,MATCH(COLUMNS($AB$1006:AI1006),$AB$1006:$AQ$1006,0)))),"Fix")))</f>
        <v>0</v>
      </c>
      <c r="J869" s="5">
        <f>IF(OR(INDEX($V$2:$V$1001,MATCH(ROWS($U$2:U869),$U$2:$U$1001,0),1)&gt;=100000,INDEX($AB$1005:$AQ$1005,1,MATCH(COLUMNS($AB$1006:AJ1006),$AB$1006:$AQ$1006,0))&gt;=100000), " ",IF(INDEX($AB$2:$AQ$1001,MATCH(ROWS($U$2:U869),$U$2:$U$1001,0),MATCH(COLUMNS($AB$1006:AJ1006),$AB$1006:$AQ$1006,0)), HYPERLINK("#",""), HYPERLINK(CONCATENATE("#Metadata!", ADDRESS(INDEX($W$2:$W$1001,MATCH(ROWS($U$2:U869),$U$2:$U$1001,0),0), INDEX($AB$1004:$AQ$1004,1,MATCH(COLUMNS($AB$1006:AJ1006),$AB$1006:$AQ$1006,0)))),"Fix")))</f>
        <v>0</v>
      </c>
      <c r="K869" s="5">
        <f>IF(OR(INDEX($V$2:$V$1001,MATCH(ROWS($U$2:U869),$U$2:$U$1001,0),1)&gt;=100000,INDEX($AB$1005:$AQ$1005,1,MATCH(COLUMNS($AB$1006:AK1006),$AB$1006:$AQ$1006,0))&gt;=100000), " ",IF(INDEX($AB$2:$AQ$1001,MATCH(ROWS($U$2:U869),$U$2:$U$1001,0),MATCH(COLUMNS($AB$1006:AK1006),$AB$1006:$AQ$1006,0)), HYPERLINK("#",""), HYPERLINK(CONCATENATE("#Metadata!", ADDRESS(INDEX($W$2:$W$1001,MATCH(ROWS($U$2:U869),$U$2:$U$1001,0),0), INDEX($AB$1004:$AQ$1004,1,MATCH(COLUMNS($AB$1006:AK1006),$AB$1006:$AQ$1006,0)))),"Fix")))</f>
        <v>0</v>
      </c>
      <c r="L869" s="5">
        <f>IF(OR(INDEX($V$2:$V$1001,MATCH(ROWS($U$2:U869),$U$2:$U$1001,0),1)&gt;=100000,INDEX($AB$1005:$AQ$1005,1,MATCH(COLUMNS($AB$1006:AL1006),$AB$1006:$AQ$1006,0))&gt;=100000), " ",IF(INDEX($AB$2:$AQ$1001,MATCH(ROWS($U$2:U869),$U$2:$U$1001,0),MATCH(COLUMNS($AB$1006:AL1006),$AB$1006:$AQ$1006,0)), HYPERLINK("#",""), HYPERLINK(CONCATENATE("#Metadata!", ADDRESS(INDEX($W$2:$W$1001,MATCH(ROWS($U$2:U869),$U$2:$U$1001,0),0), INDEX($AB$1004:$AQ$1004,1,MATCH(COLUMNS($AB$1006:AL1006),$AB$1006:$AQ$1006,0)))),"Fix")))</f>
        <v>0</v>
      </c>
      <c r="M869" s="5">
        <f>IF(OR(INDEX($V$2:$V$1001,MATCH(ROWS($U$2:U869),$U$2:$U$1001,0),1)&gt;=100000,INDEX($AB$1005:$AQ$1005,1,MATCH(COLUMNS($AB$1006:AM1006),$AB$1006:$AQ$1006,0))&gt;=100000), " ",IF(INDEX($AB$2:$AQ$1001,MATCH(ROWS($U$2:U869),$U$2:$U$1001,0),MATCH(COLUMNS($AB$1006:AM1006),$AB$1006:$AQ$1006,0)), HYPERLINK("#",""), HYPERLINK(CONCATENATE("#Metadata!", ADDRESS(INDEX($W$2:$W$1001,MATCH(ROWS($U$2:U869),$U$2:$U$1001,0),0), INDEX($AB$1004:$AQ$1004,1,MATCH(COLUMNS($AB$1006:AM1006),$AB$1006:$AQ$1006,0)))),"Fix")))</f>
        <v>0</v>
      </c>
      <c r="N869" s="5">
        <f>IF(OR(INDEX($V$2:$V$1001,MATCH(ROWS($U$2:U869),$U$2:$U$1001,0),1)&gt;=100000,INDEX($AB$1005:$AQ$1005,1,MATCH(COLUMNS($AB$1006:AN1006),$AB$1006:$AQ$1006,0))&gt;=100000), " ",IF(INDEX($AB$2:$AQ$1001,MATCH(ROWS($U$2:U869),$U$2:$U$1001,0),MATCH(COLUMNS($AB$1006:AN1006),$AB$1006:$AQ$1006,0)), HYPERLINK("#",""), HYPERLINK(CONCATENATE("#Metadata!", ADDRESS(INDEX($W$2:$W$1001,MATCH(ROWS($U$2:U869),$U$2:$U$1001,0),0), INDEX($AB$1004:$AQ$1004,1,MATCH(COLUMNS($AB$1006:AN1006),$AB$1006:$AQ$1006,0)))),"Fix")))</f>
        <v>0</v>
      </c>
      <c r="O869" s="5">
        <f>IF(OR(INDEX($V$2:$V$1001,MATCH(ROWS($U$2:U869),$U$2:$U$1001,0),1)&gt;=100000,INDEX($AB$1005:$AQ$1005,1,MATCH(COLUMNS($AB$1006:AO1006),$AB$1006:$AQ$1006,0))&gt;=100000), " ",IF(INDEX($AB$2:$AQ$1001,MATCH(ROWS($U$2:U869),$U$2:$U$1001,0),MATCH(COLUMNS($AB$1006:AO1006),$AB$1006:$AQ$1006,0)), HYPERLINK("#",""), HYPERLINK(CONCATENATE("#Metadata!", ADDRESS(INDEX($W$2:$W$1001,MATCH(ROWS($U$2:U869),$U$2:$U$1001,0),0), INDEX($AB$1004:$AQ$1004,1,MATCH(COLUMNS($AB$1006:AO1006),$AB$1006:$AQ$1006,0)))),"Fix")))</f>
        <v>0</v>
      </c>
      <c r="P869" s="5">
        <f>IF(OR(INDEX($V$2:$V$1001,MATCH(ROWS($U$2:U869),$U$2:$U$1001,0),1)&gt;=100000,INDEX($AB$1005:$AQ$1005,1,MATCH(COLUMNS($AB$1006:AP1006),$AB$1006:$AQ$1006,0))&gt;=100000), " ",IF(INDEX($AB$2:$AQ$1001,MATCH(ROWS($U$2:U869),$U$2:$U$1001,0),MATCH(COLUMNS($AB$1006:AP1006),$AB$1006:$AQ$1006,0)), HYPERLINK("#",""), HYPERLINK(CONCATENATE("#Metadata!", ADDRESS(INDEX($W$2:$W$1001,MATCH(ROWS($U$2:U869),$U$2:$U$1001,0),0), INDEX($AB$1004:$AQ$1004,1,MATCH(COLUMNS($AB$1006:AP1006),$AB$1006:$AQ$1006,0)))),"Fix")))</f>
        <v>0</v>
      </c>
      <c r="Q869" s="5">
        <f>IF(OR(INDEX($V$2:$V$1001,MATCH(ROWS($U$2:U869),$U$2:$U$1001,0),1)&gt;=100000,INDEX($AB$1005:$AQ$1005,1,MATCH(COLUMNS($AB$1006:AQ1006),$AB$1006:$AQ$1006,0))&gt;=100000), " ",IF(INDEX($AB$2:$AQ$1001,MATCH(ROWS($U$2:U869),$U$2:$U$1001,0),MATCH(COLUMNS($AB$1006:AQ1006),$AB$1006:$AQ$1006,0)), HYPERLINK("#",""), HYPERLINK(CONCATENATE("#Metadata!", ADDRESS(INDEX($W$2:$W$1001,MATCH(ROWS($U$2:U869),$U$2:$U$1001,0),0), INDEX($AB$1004:$AQ$1004,1,MATCH(COLUMNS($AB$1006:AQ1006),$AB$1006:$AQ$1006,0)))),"Fix")))</f>
        <v>0</v>
      </c>
      <c r="U869">
        <v>0</v>
      </c>
      <c r="V869">
        <v>0</v>
      </c>
      <c r="W869">
        <v>0</v>
      </c>
      <c r="X869">
        <f>IF(Y869,TRUE,AND(AB869:AQ869))</f>
        <v>0</v>
      </c>
      <c r="Y869">
        <f>COUNTBLANK(Metadata!B869:Q869)=COLUMNS(Metadata!B869:Q869)</f>
        <v>0</v>
      </c>
      <c r="Z869">
        <v>0</v>
      </c>
      <c r="AB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AC869">
        <f>AND(IF(Metadata!C869="",FALSE,TRUE),exact(Metadata!C869,"urban biome"))</f>
        <v>0</v>
      </c>
      <c r="AD869">
        <f>AND(IF(Metadata!D869="",FALSE,TRUE),exact(Metadata!D869,"human-associated habitat"))</f>
        <v>0</v>
      </c>
      <c r="AE869">
        <f>AND(IF(Metadata!E869="",FALSE,TRUE),OR(exact(Metadata!E869,"human-associated"),exact(Metadata!E869,"human-skin"),exact(Metadata!E869,"human-oral"),exact(Metadata!E869,"human-gut"),exact(Metadata!E869,"human-vaginal")))</f>
        <v>0</v>
      </c>
      <c r="AF869">
        <f>AND(IF(Metadata!F869="",FALSE,ISNUMBER(VALUE(Metadata!F869))),Metadata!F869&gt;0)</f>
        <v>0</v>
      </c>
      <c r="AG869">
        <f>AND(IF(Metadata!G869="",FALSE,TRUE),exact(Metadata!G869,"years"))</f>
        <v>0</v>
      </c>
      <c r="AH869">
        <f>OR(AND(IF(Metadata!H869="",FALSE,TRUE),OR(exact(Metadata!H869,"not applicable"),exact(Metadata!H869,"not collected"),exact(Metadata!H869,"not provided"),exact(Metadata!H869,"restricted access"))),AND(IF(Metadata!H869="",FALSE,ISNUMBER(VALUE(Metadata!H869))),Metadata!H869&gt;0))</f>
        <v>0</v>
      </c>
      <c r="AI869">
        <f>AND(IF(Metadata!I869="",FALSE,TRUE),exact(Metadata!I869,"human"))</f>
        <v>0</v>
      </c>
      <c r="AJ869">
        <f>AND(IF(Metadata!J869="",FALSE,ISNUMBER(VALUE(Metadata!J869))),Metadata!J869&gt;0)</f>
        <v>0</v>
      </c>
      <c r="AK869">
        <f>AND(IF(Metadata!K869="",FALSE,TRUE),exact(Metadata!K869,"cm"))</f>
        <v>0</v>
      </c>
      <c r="AL869">
        <f>AND(IF(Metadata!L869="",FALSE,TRUE),exact(Metadata!L869,"Homo sapiens"))</f>
        <v>0</v>
      </c>
      <c r="AM869">
        <f>AND(IF(Metadata!M869="",FALSE,TRUE),exact(Metadata!M869,"9606"))</f>
        <v>0</v>
      </c>
      <c r="AN869">
        <f>AND(IF(Metadata!N869="",FALSE,ISNUMBER(VALUE(Metadata!N869))),Metadata!N869&gt;0)</f>
        <v>0</v>
      </c>
      <c r="AO869">
        <f>AND(IF(Metadata!O869="",FALSE,TRUE),exact(Metadata!O869,"kg"))</f>
        <v>0</v>
      </c>
      <c r="AP869">
        <f>OR(AND(IF(Metadata!P869="",FALSE,TRUE),exact(Metadata!P869,"not provided")),IF(Metadata!P869="",FALSE,TRUE))</f>
        <v>0</v>
      </c>
      <c r="AQ869">
        <f>OR(AND(IF(Metadata!Q869="",FALSE,TRUE),exact(Metadata!Q869,"not provided")),IF(Metadata!Q869="",FALSE,TRUE))</f>
        <v>0</v>
      </c>
    </row>
    <row r="870" spans="1:43">
      <c r="A870" s="4">
        <f>IF(B870=" "," ",HYPERLINK(CONCATENATE("#metadata!",ADDRESS(INDEX($W$2:$W$1001,MATCH(ROWS($U$2:U870),$U$2:$U$1001,0),0),2)),INDEX($Z$2:$Z$1001,MATCH(ROWS($U$2:U870),$U$2:$U$1001,0),0)))</f>
        <v>0</v>
      </c>
      <c r="B870" s="5">
        <f>IF(OR(INDEX($V$2:$V$1001,MATCH(ROWS($U$2:U870),$U$2:$U$1001,0),1)&gt;=100000,INDEX($AB$1005:$AQ$1005,1,MATCH(COLUMNS($AB$1006:AB1006),$AB$1006:$AQ$1006,0))&gt;=100000), " ",IF(INDEX($AB$2:$AQ$1001,MATCH(ROWS($U$2:U870),$U$2:$U$1001,0),MATCH(COLUMNS($AB$1006:AB1006),$AB$1006:$AQ$1006,0)), HYPERLINK("#",""), HYPERLINK(CONCATENATE("#Metadata!", ADDRESS(INDEX($W$2:$W$1001,MATCH(ROWS($U$2:U870),$U$2:$U$1001,0),0), INDEX($AB$1004:$AQ$1004,1,MATCH(COLUMNS($AB$1006:AB1006),$AB$1006:$AQ$1006,0)))),"Fix")))</f>
        <v>0</v>
      </c>
      <c r="C870" s="5">
        <f>IF(OR(INDEX($V$2:$V$1001,MATCH(ROWS($U$2:U870),$U$2:$U$1001,0),1)&gt;=100000,INDEX($AB$1005:$AQ$1005,1,MATCH(COLUMNS($AB$1006:AC1006),$AB$1006:$AQ$1006,0))&gt;=100000), " ",IF(INDEX($AB$2:$AQ$1001,MATCH(ROWS($U$2:U870),$U$2:$U$1001,0),MATCH(COLUMNS($AB$1006:AC1006),$AB$1006:$AQ$1006,0)), HYPERLINK("#",""), HYPERLINK(CONCATENATE("#Metadata!", ADDRESS(INDEX($W$2:$W$1001,MATCH(ROWS($U$2:U870),$U$2:$U$1001,0),0), INDEX($AB$1004:$AQ$1004,1,MATCH(COLUMNS($AB$1006:AC1006),$AB$1006:$AQ$1006,0)))),"Fix")))</f>
        <v>0</v>
      </c>
      <c r="D870" s="5">
        <f>IF(OR(INDEX($V$2:$V$1001,MATCH(ROWS($U$2:U870),$U$2:$U$1001,0),1)&gt;=100000,INDEX($AB$1005:$AQ$1005,1,MATCH(COLUMNS($AB$1006:AD1006),$AB$1006:$AQ$1006,0))&gt;=100000), " ",IF(INDEX($AB$2:$AQ$1001,MATCH(ROWS($U$2:U870),$U$2:$U$1001,0),MATCH(COLUMNS($AB$1006:AD1006),$AB$1006:$AQ$1006,0)), HYPERLINK("#",""), HYPERLINK(CONCATENATE("#Metadata!", ADDRESS(INDEX($W$2:$W$1001,MATCH(ROWS($U$2:U870),$U$2:$U$1001,0),0), INDEX($AB$1004:$AQ$1004,1,MATCH(COLUMNS($AB$1006:AD1006),$AB$1006:$AQ$1006,0)))),"Fix")))</f>
        <v>0</v>
      </c>
      <c r="E870" s="5">
        <f>IF(OR(INDEX($V$2:$V$1001,MATCH(ROWS($U$2:U870),$U$2:$U$1001,0),1)&gt;=100000,INDEX($AB$1005:$AQ$1005,1,MATCH(COLUMNS($AB$1006:AE1006),$AB$1006:$AQ$1006,0))&gt;=100000), " ",IF(INDEX($AB$2:$AQ$1001,MATCH(ROWS($U$2:U870),$U$2:$U$1001,0),MATCH(COLUMNS($AB$1006:AE1006),$AB$1006:$AQ$1006,0)), HYPERLINK("#",""), HYPERLINK(CONCATENATE("#Metadata!", ADDRESS(INDEX($W$2:$W$1001,MATCH(ROWS($U$2:U870),$U$2:$U$1001,0),0), INDEX($AB$1004:$AQ$1004,1,MATCH(COLUMNS($AB$1006:AE1006),$AB$1006:$AQ$1006,0)))),"Fix")))</f>
        <v>0</v>
      </c>
      <c r="F870" s="5">
        <f>IF(OR(INDEX($V$2:$V$1001,MATCH(ROWS($U$2:U870),$U$2:$U$1001,0),1)&gt;=100000,INDEX($AB$1005:$AQ$1005,1,MATCH(COLUMNS($AB$1006:AF1006),$AB$1006:$AQ$1006,0))&gt;=100000), " ",IF(INDEX($AB$2:$AQ$1001,MATCH(ROWS($U$2:U870),$U$2:$U$1001,0),MATCH(COLUMNS($AB$1006:AF1006),$AB$1006:$AQ$1006,0)), HYPERLINK("#",""), HYPERLINK(CONCATENATE("#Metadata!", ADDRESS(INDEX($W$2:$W$1001,MATCH(ROWS($U$2:U870),$U$2:$U$1001,0),0), INDEX($AB$1004:$AQ$1004,1,MATCH(COLUMNS($AB$1006:AF1006),$AB$1006:$AQ$1006,0)))),"Fix")))</f>
        <v>0</v>
      </c>
      <c r="G870" s="5">
        <f>IF(OR(INDEX($V$2:$V$1001,MATCH(ROWS($U$2:U870),$U$2:$U$1001,0),1)&gt;=100000,INDEX($AB$1005:$AQ$1005,1,MATCH(COLUMNS($AB$1006:AG1006),$AB$1006:$AQ$1006,0))&gt;=100000), " ",IF(INDEX($AB$2:$AQ$1001,MATCH(ROWS($U$2:U870),$U$2:$U$1001,0),MATCH(COLUMNS($AB$1006:AG1006),$AB$1006:$AQ$1006,0)), HYPERLINK("#",""), HYPERLINK(CONCATENATE("#Metadata!", ADDRESS(INDEX($W$2:$W$1001,MATCH(ROWS($U$2:U870),$U$2:$U$1001,0),0), INDEX($AB$1004:$AQ$1004,1,MATCH(COLUMNS($AB$1006:AG1006),$AB$1006:$AQ$1006,0)))),"Fix")))</f>
        <v>0</v>
      </c>
      <c r="H870" s="5">
        <f>IF(OR(INDEX($V$2:$V$1001,MATCH(ROWS($U$2:U870),$U$2:$U$1001,0),1)&gt;=100000,INDEX($AB$1005:$AQ$1005,1,MATCH(COLUMNS($AB$1006:AH1006),$AB$1006:$AQ$1006,0))&gt;=100000), " ",IF(INDEX($AB$2:$AQ$1001,MATCH(ROWS($U$2:U870),$U$2:$U$1001,0),MATCH(COLUMNS($AB$1006:AH1006),$AB$1006:$AQ$1006,0)), HYPERLINK("#",""), HYPERLINK(CONCATENATE("#Metadata!", ADDRESS(INDEX($W$2:$W$1001,MATCH(ROWS($U$2:U870),$U$2:$U$1001,0),0), INDEX($AB$1004:$AQ$1004,1,MATCH(COLUMNS($AB$1006:AH1006),$AB$1006:$AQ$1006,0)))),"Fix")))</f>
        <v>0</v>
      </c>
      <c r="I870" s="5">
        <f>IF(OR(INDEX($V$2:$V$1001,MATCH(ROWS($U$2:U870),$U$2:$U$1001,0),1)&gt;=100000,INDEX($AB$1005:$AQ$1005,1,MATCH(COLUMNS($AB$1006:AI1006),$AB$1006:$AQ$1006,0))&gt;=100000), " ",IF(INDEX($AB$2:$AQ$1001,MATCH(ROWS($U$2:U870),$U$2:$U$1001,0),MATCH(COLUMNS($AB$1006:AI1006),$AB$1006:$AQ$1006,0)), HYPERLINK("#",""), HYPERLINK(CONCATENATE("#Metadata!", ADDRESS(INDEX($W$2:$W$1001,MATCH(ROWS($U$2:U870),$U$2:$U$1001,0),0), INDEX($AB$1004:$AQ$1004,1,MATCH(COLUMNS($AB$1006:AI1006),$AB$1006:$AQ$1006,0)))),"Fix")))</f>
        <v>0</v>
      </c>
      <c r="J870" s="5">
        <f>IF(OR(INDEX($V$2:$V$1001,MATCH(ROWS($U$2:U870),$U$2:$U$1001,0),1)&gt;=100000,INDEX($AB$1005:$AQ$1005,1,MATCH(COLUMNS($AB$1006:AJ1006),$AB$1006:$AQ$1006,0))&gt;=100000), " ",IF(INDEX($AB$2:$AQ$1001,MATCH(ROWS($U$2:U870),$U$2:$U$1001,0),MATCH(COLUMNS($AB$1006:AJ1006),$AB$1006:$AQ$1006,0)), HYPERLINK("#",""), HYPERLINK(CONCATENATE("#Metadata!", ADDRESS(INDEX($W$2:$W$1001,MATCH(ROWS($U$2:U870),$U$2:$U$1001,0),0), INDEX($AB$1004:$AQ$1004,1,MATCH(COLUMNS($AB$1006:AJ1006),$AB$1006:$AQ$1006,0)))),"Fix")))</f>
        <v>0</v>
      </c>
      <c r="K870" s="5">
        <f>IF(OR(INDEX($V$2:$V$1001,MATCH(ROWS($U$2:U870),$U$2:$U$1001,0),1)&gt;=100000,INDEX($AB$1005:$AQ$1005,1,MATCH(COLUMNS($AB$1006:AK1006),$AB$1006:$AQ$1006,0))&gt;=100000), " ",IF(INDEX($AB$2:$AQ$1001,MATCH(ROWS($U$2:U870),$U$2:$U$1001,0),MATCH(COLUMNS($AB$1006:AK1006),$AB$1006:$AQ$1006,0)), HYPERLINK("#",""), HYPERLINK(CONCATENATE("#Metadata!", ADDRESS(INDEX($W$2:$W$1001,MATCH(ROWS($U$2:U870),$U$2:$U$1001,0),0), INDEX($AB$1004:$AQ$1004,1,MATCH(COLUMNS($AB$1006:AK1006),$AB$1006:$AQ$1006,0)))),"Fix")))</f>
        <v>0</v>
      </c>
      <c r="L870" s="5">
        <f>IF(OR(INDEX($V$2:$V$1001,MATCH(ROWS($U$2:U870),$U$2:$U$1001,0),1)&gt;=100000,INDEX($AB$1005:$AQ$1005,1,MATCH(COLUMNS($AB$1006:AL1006),$AB$1006:$AQ$1006,0))&gt;=100000), " ",IF(INDEX($AB$2:$AQ$1001,MATCH(ROWS($U$2:U870),$U$2:$U$1001,0),MATCH(COLUMNS($AB$1006:AL1006),$AB$1006:$AQ$1006,0)), HYPERLINK("#",""), HYPERLINK(CONCATENATE("#Metadata!", ADDRESS(INDEX($W$2:$W$1001,MATCH(ROWS($U$2:U870),$U$2:$U$1001,0),0), INDEX($AB$1004:$AQ$1004,1,MATCH(COLUMNS($AB$1006:AL1006),$AB$1006:$AQ$1006,0)))),"Fix")))</f>
        <v>0</v>
      </c>
      <c r="M870" s="5">
        <f>IF(OR(INDEX($V$2:$V$1001,MATCH(ROWS($U$2:U870),$U$2:$U$1001,0),1)&gt;=100000,INDEX($AB$1005:$AQ$1005,1,MATCH(COLUMNS($AB$1006:AM1006),$AB$1006:$AQ$1006,0))&gt;=100000), " ",IF(INDEX($AB$2:$AQ$1001,MATCH(ROWS($U$2:U870),$U$2:$U$1001,0),MATCH(COLUMNS($AB$1006:AM1006),$AB$1006:$AQ$1006,0)), HYPERLINK("#",""), HYPERLINK(CONCATENATE("#Metadata!", ADDRESS(INDEX($W$2:$W$1001,MATCH(ROWS($U$2:U870),$U$2:$U$1001,0),0), INDEX($AB$1004:$AQ$1004,1,MATCH(COLUMNS($AB$1006:AM1006),$AB$1006:$AQ$1006,0)))),"Fix")))</f>
        <v>0</v>
      </c>
      <c r="N870" s="5">
        <f>IF(OR(INDEX($V$2:$V$1001,MATCH(ROWS($U$2:U870),$U$2:$U$1001,0),1)&gt;=100000,INDEX($AB$1005:$AQ$1005,1,MATCH(COLUMNS($AB$1006:AN1006),$AB$1006:$AQ$1006,0))&gt;=100000), " ",IF(INDEX($AB$2:$AQ$1001,MATCH(ROWS($U$2:U870),$U$2:$U$1001,0),MATCH(COLUMNS($AB$1006:AN1006),$AB$1006:$AQ$1006,0)), HYPERLINK("#",""), HYPERLINK(CONCATENATE("#Metadata!", ADDRESS(INDEX($W$2:$W$1001,MATCH(ROWS($U$2:U870),$U$2:$U$1001,0),0), INDEX($AB$1004:$AQ$1004,1,MATCH(COLUMNS($AB$1006:AN1006),$AB$1006:$AQ$1006,0)))),"Fix")))</f>
        <v>0</v>
      </c>
      <c r="O870" s="5">
        <f>IF(OR(INDEX($V$2:$V$1001,MATCH(ROWS($U$2:U870),$U$2:$U$1001,0),1)&gt;=100000,INDEX($AB$1005:$AQ$1005,1,MATCH(COLUMNS($AB$1006:AO1006),$AB$1006:$AQ$1006,0))&gt;=100000), " ",IF(INDEX($AB$2:$AQ$1001,MATCH(ROWS($U$2:U870),$U$2:$U$1001,0),MATCH(COLUMNS($AB$1006:AO1006),$AB$1006:$AQ$1006,0)), HYPERLINK("#",""), HYPERLINK(CONCATENATE("#Metadata!", ADDRESS(INDEX($W$2:$W$1001,MATCH(ROWS($U$2:U870),$U$2:$U$1001,0),0), INDEX($AB$1004:$AQ$1004,1,MATCH(COLUMNS($AB$1006:AO1006),$AB$1006:$AQ$1006,0)))),"Fix")))</f>
        <v>0</v>
      </c>
      <c r="P870" s="5">
        <f>IF(OR(INDEX($V$2:$V$1001,MATCH(ROWS($U$2:U870),$U$2:$U$1001,0),1)&gt;=100000,INDEX($AB$1005:$AQ$1005,1,MATCH(COLUMNS($AB$1006:AP1006),$AB$1006:$AQ$1006,0))&gt;=100000), " ",IF(INDEX($AB$2:$AQ$1001,MATCH(ROWS($U$2:U870),$U$2:$U$1001,0),MATCH(COLUMNS($AB$1006:AP1006),$AB$1006:$AQ$1006,0)), HYPERLINK("#",""), HYPERLINK(CONCATENATE("#Metadata!", ADDRESS(INDEX($W$2:$W$1001,MATCH(ROWS($U$2:U870),$U$2:$U$1001,0),0), INDEX($AB$1004:$AQ$1004,1,MATCH(COLUMNS($AB$1006:AP1006),$AB$1006:$AQ$1006,0)))),"Fix")))</f>
        <v>0</v>
      </c>
      <c r="Q870" s="5">
        <f>IF(OR(INDEX($V$2:$V$1001,MATCH(ROWS($U$2:U870),$U$2:$U$1001,0),1)&gt;=100000,INDEX($AB$1005:$AQ$1005,1,MATCH(COLUMNS($AB$1006:AQ1006),$AB$1006:$AQ$1006,0))&gt;=100000), " ",IF(INDEX($AB$2:$AQ$1001,MATCH(ROWS($U$2:U870),$U$2:$U$1001,0),MATCH(COLUMNS($AB$1006:AQ1006),$AB$1006:$AQ$1006,0)), HYPERLINK("#",""), HYPERLINK(CONCATENATE("#Metadata!", ADDRESS(INDEX($W$2:$W$1001,MATCH(ROWS($U$2:U870),$U$2:$U$1001,0),0), INDEX($AB$1004:$AQ$1004,1,MATCH(COLUMNS($AB$1006:AQ1006),$AB$1006:$AQ$1006,0)))),"Fix")))</f>
        <v>0</v>
      </c>
      <c r="U870">
        <v>0</v>
      </c>
      <c r="V870">
        <v>0</v>
      </c>
      <c r="W870">
        <v>0</v>
      </c>
      <c r="X870">
        <f>IF(Y870,TRUE,AND(AB870:AQ870))</f>
        <v>0</v>
      </c>
      <c r="Y870">
        <f>COUNTBLANK(Metadata!B870:Q870)=COLUMNS(Metadata!B870:Q870)</f>
        <v>0</v>
      </c>
      <c r="Z870">
        <v>0</v>
      </c>
      <c r="AB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AC870">
        <f>AND(IF(Metadata!C870="",FALSE,TRUE),exact(Metadata!C870,"urban biome"))</f>
        <v>0</v>
      </c>
      <c r="AD870">
        <f>AND(IF(Metadata!D870="",FALSE,TRUE),exact(Metadata!D870,"human-associated habitat"))</f>
        <v>0</v>
      </c>
      <c r="AE870">
        <f>AND(IF(Metadata!E870="",FALSE,TRUE),OR(exact(Metadata!E870,"human-associated"),exact(Metadata!E870,"human-skin"),exact(Metadata!E870,"human-oral"),exact(Metadata!E870,"human-gut"),exact(Metadata!E870,"human-vaginal")))</f>
        <v>0</v>
      </c>
      <c r="AF870">
        <f>AND(IF(Metadata!F870="",FALSE,ISNUMBER(VALUE(Metadata!F870))),Metadata!F870&gt;0)</f>
        <v>0</v>
      </c>
      <c r="AG870">
        <f>AND(IF(Metadata!G870="",FALSE,TRUE),exact(Metadata!G870,"years"))</f>
        <v>0</v>
      </c>
      <c r="AH870">
        <f>OR(AND(IF(Metadata!H870="",FALSE,TRUE),OR(exact(Metadata!H870,"not applicable"),exact(Metadata!H870,"not collected"),exact(Metadata!H870,"not provided"),exact(Metadata!H870,"restricted access"))),AND(IF(Metadata!H870="",FALSE,ISNUMBER(VALUE(Metadata!H870))),Metadata!H870&gt;0))</f>
        <v>0</v>
      </c>
      <c r="AI870">
        <f>AND(IF(Metadata!I870="",FALSE,TRUE),exact(Metadata!I870,"human"))</f>
        <v>0</v>
      </c>
      <c r="AJ870">
        <f>AND(IF(Metadata!J870="",FALSE,ISNUMBER(VALUE(Metadata!J870))),Metadata!J870&gt;0)</f>
        <v>0</v>
      </c>
      <c r="AK870">
        <f>AND(IF(Metadata!K870="",FALSE,TRUE),exact(Metadata!K870,"cm"))</f>
        <v>0</v>
      </c>
      <c r="AL870">
        <f>AND(IF(Metadata!L870="",FALSE,TRUE),exact(Metadata!L870,"Homo sapiens"))</f>
        <v>0</v>
      </c>
      <c r="AM870">
        <f>AND(IF(Metadata!M870="",FALSE,TRUE),exact(Metadata!M870,"9606"))</f>
        <v>0</v>
      </c>
      <c r="AN870">
        <f>AND(IF(Metadata!N870="",FALSE,ISNUMBER(VALUE(Metadata!N870))),Metadata!N870&gt;0)</f>
        <v>0</v>
      </c>
      <c r="AO870">
        <f>AND(IF(Metadata!O870="",FALSE,TRUE),exact(Metadata!O870,"kg"))</f>
        <v>0</v>
      </c>
      <c r="AP870">
        <f>OR(AND(IF(Metadata!P870="",FALSE,TRUE),exact(Metadata!P870,"not provided")),IF(Metadata!P870="",FALSE,TRUE))</f>
        <v>0</v>
      </c>
      <c r="AQ870">
        <f>OR(AND(IF(Metadata!Q870="",FALSE,TRUE),exact(Metadata!Q870,"not provided")),IF(Metadata!Q870="",FALSE,TRUE))</f>
        <v>0</v>
      </c>
    </row>
    <row r="871" spans="1:43">
      <c r="A871" s="4">
        <f>IF(B871=" "," ",HYPERLINK(CONCATENATE("#metadata!",ADDRESS(INDEX($W$2:$W$1001,MATCH(ROWS($U$2:U871),$U$2:$U$1001,0),0),2)),INDEX($Z$2:$Z$1001,MATCH(ROWS($U$2:U871),$U$2:$U$1001,0),0)))</f>
        <v>0</v>
      </c>
      <c r="B871" s="5">
        <f>IF(OR(INDEX($V$2:$V$1001,MATCH(ROWS($U$2:U871),$U$2:$U$1001,0),1)&gt;=100000,INDEX($AB$1005:$AQ$1005,1,MATCH(COLUMNS($AB$1006:AB1006),$AB$1006:$AQ$1006,0))&gt;=100000), " ",IF(INDEX($AB$2:$AQ$1001,MATCH(ROWS($U$2:U871),$U$2:$U$1001,0),MATCH(COLUMNS($AB$1006:AB1006),$AB$1006:$AQ$1006,0)), HYPERLINK("#",""), HYPERLINK(CONCATENATE("#Metadata!", ADDRESS(INDEX($W$2:$W$1001,MATCH(ROWS($U$2:U871),$U$2:$U$1001,0),0), INDEX($AB$1004:$AQ$1004,1,MATCH(COLUMNS($AB$1006:AB1006),$AB$1006:$AQ$1006,0)))),"Fix")))</f>
        <v>0</v>
      </c>
      <c r="C871" s="5">
        <f>IF(OR(INDEX($V$2:$V$1001,MATCH(ROWS($U$2:U871),$U$2:$U$1001,0),1)&gt;=100000,INDEX($AB$1005:$AQ$1005,1,MATCH(COLUMNS($AB$1006:AC1006),$AB$1006:$AQ$1006,0))&gt;=100000), " ",IF(INDEX($AB$2:$AQ$1001,MATCH(ROWS($U$2:U871),$U$2:$U$1001,0),MATCH(COLUMNS($AB$1006:AC1006),$AB$1006:$AQ$1006,0)), HYPERLINK("#",""), HYPERLINK(CONCATENATE("#Metadata!", ADDRESS(INDEX($W$2:$W$1001,MATCH(ROWS($U$2:U871),$U$2:$U$1001,0),0), INDEX($AB$1004:$AQ$1004,1,MATCH(COLUMNS($AB$1006:AC1006),$AB$1006:$AQ$1006,0)))),"Fix")))</f>
        <v>0</v>
      </c>
      <c r="D871" s="5">
        <f>IF(OR(INDEX($V$2:$V$1001,MATCH(ROWS($U$2:U871),$U$2:$U$1001,0),1)&gt;=100000,INDEX($AB$1005:$AQ$1005,1,MATCH(COLUMNS($AB$1006:AD1006),$AB$1006:$AQ$1006,0))&gt;=100000), " ",IF(INDEX($AB$2:$AQ$1001,MATCH(ROWS($U$2:U871),$U$2:$U$1001,0),MATCH(COLUMNS($AB$1006:AD1006),$AB$1006:$AQ$1006,0)), HYPERLINK("#",""), HYPERLINK(CONCATENATE("#Metadata!", ADDRESS(INDEX($W$2:$W$1001,MATCH(ROWS($U$2:U871),$U$2:$U$1001,0),0), INDEX($AB$1004:$AQ$1004,1,MATCH(COLUMNS($AB$1006:AD1006),$AB$1006:$AQ$1006,0)))),"Fix")))</f>
        <v>0</v>
      </c>
      <c r="E871" s="5">
        <f>IF(OR(INDEX($V$2:$V$1001,MATCH(ROWS($U$2:U871),$U$2:$U$1001,0),1)&gt;=100000,INDEX($AB$1005:$AQ$1005,1,MATCH(COLUMNS($AB$1006:AE1006),$AB$1006:$AQ$1006,0))&gt;=100000), " ",IF(INDEX($AB$2:$AQ$1001,MATCH(ROWS($U$2:U871),$U$2:$U$1001,0),MATCH(COLUMNS($AB$1006:AE1006),$AB$1006:$AQ$1006,0)), HYPERLINK("#",""), HYPERLINK(CONCATENATE("#Metadata!", ADDRESS(INDEX($W$2:$W$1001,MATCH(ROWS($U$2:U871),$U$2:$U$1001,0),0), INDEX($AB$1004:$AQ$1004,1,MATCH(COLUMNS($AB$1006:AE1006),$AB$1006:$AQ$1006,0)))),"Fix")))</f>
        <v>0</v>
      </c>
      <c r="F871" s="5">
        <f>IF(OR(INDEX($V$2:$V$1001,MATCH(ROWS($U$2:U871),$U$2:$U$1001,0),1)&gt;=100000,INDEX($AB$1005:$AQ$1005,1,MATCH(COLUMNS($AB$1006:AF1006),$AB$1006:$AQ$1006,0))&gt;=100000), " ",IF(INDEX($AB$2:$AQ$1001,MATCH(ROWS($U$2:U871),$U$2:$U$1001,0),MATCH(COLUMNS($AB$1006:AF1006),$AB$1006:$AQ$1006,0)), HYPERLINK("#",""), HYPERLINK(CONCATENATE("#Metadata!", ADDRESS(INDEX($W$2:$W$1001,MATCH(ROWS($U$2:U871),$U$2:$U$1001,0),0), INDEX($AB$1004:$AQ$1004,1,MATCH(COLUMNS($AB$1006:AF1006),$AB$1006:$AQ$1006,0)))),"Fix")))</f>
        <v>0</v>
      </c>
      <c r="G871" s="5">
        <f>IF(OR(INDEX($V$2:$V$1001,MATCH(ROWS($U$2:U871),$U$2:$U$1001,0),1)&gt;=100000,INDEX($AB$1005:$AQ$1005,1,MATCH(COLUMNS($AB$1006:AG1006),$AB$1006:$AQ$1006,0))&gt;=100000), " ",IF(INDEX($AB$2:$AQ$1001,MATCH(ROWS($U$2:U871),$U$2:$U$1001,0),MATCH(COLUMNS($AB$1006:AG1006),$AB$1006:$AQ$1006,0)), HYPERLINK("#",""), HYPERLINK(CONCATENATE("#Metadata!", ADDRESS(INDEX($W$2:$W$1001,MATCH(ROWS($U$2:U871),$U$2:$U$1001,0),0), INDEX($AB$1004:$AQ$1004,1,MATCH(COLUMNS($AB$1006:AG1006),$AB$1006:$AQ$1006,0)))),"Fix")))</f>
        <v>0</v>
      </c>
      <c r="H871" s="5">
        <f>IF(OR(INDEX($V$2:$V$1001,MATCH(ROWS($U$2:U871),$U$2:$U$1001,0),1)&gt;=100000,INDEX($AB$1005:$AQ$1005,1,MATCH(COLUMNS($AB$1006:AH1006),$AB$1006:$AQ$1006,0))&gt;=100000), " ",IF(INDEX($AB$2:$AQ$1001,MATCH(ROWS($U$2:U871),$U$2:$U$1001,0),MATCH(COLUMNS($AB$1006:AH1006),$AB$1006:$AQ$1006,0)), HYPERLINK("#",""), HYPERLINK(CONCATENATE("#Metadata!", ADDRESS(INDEX($W$2:$W$1001,MATCH(ROWS($U$2:U871),$U$2:$U$1001,0),0), INDEX($AB$1004:$AQ$1004,1,MATCH(COLUMNS($AB$1006:AH1006),$AB$1006:$AQ$1006,0)))),"Fix")))</f>
        <v>0</v>
      </c>
      <c r="I871" s="5">
        <f>IF(OR(INDEX($V$2:$V$1001,MATCH(ROWS($U$2:U871),$U$2:$U$1001,0),1)&gt;=100000,INDEX($AB$1005:$AQ$1005,1,MATCH(COLUMNS($AB$1006:AI1006),$AB$1006:$AQ$1006,0))&gt;=100000), " ",IF(INDEX($AB$2:$AQ$1001,MATCH(ROWS($U$2:U871),$U$2:$U$1001,0),MATCH(COLUMNS($AB$1006:AI1006),$AB$1006:$AQ$1006,0)), HYPERLINK("#",""), HYPERLINK(CONCATENATE("#Metadata!", ADDRESS(INDEX($W$2:$W$1001,MATCH(ROWS($U$2:U871),$U$2:$U$1001,0),0), INDEX($AB$1004:$AQ$1004,1,MATCH(COLUMNS($AB$1006:AI1006),$AB$1006:$AQ$1006,0)))),"Fix")))</f>
        <v>0</v>
      </c>
      <c r="J871" s="5">
        <f>IF(OR(INDEX($V$2:$V$1001,MATCH(ROWS($U$2:U871),$U$2:$U$1001,0),1)&gt;=100000,INDEX($AB$1005:$AQ$1005,1,MATCH(COLUMNS($AB$1006:AJ1006),$AB$1006:$AQ$1006,0))&gt;=100000), " ",IF(INDEX($AB$2:$AQ$1001,MATCH(ROWS($U$2:U871),$U$2:$U$1001,0),MATCH(COLUMNS($AB$1006:AJ1006),$AB$1006:$AQ$1006,0)), HYPERLINK("#",""), HYPERLINK(CONCATENATE("#Metadata!", ADDRESS(INDEX($W$2:$W$1001,MATCH(ROWS($U$2:U871),$U$2:$U$1001,0),0), INDEX($AB$1004:$AQ$1004,1,MATCH(COLUMNS($AB$1006:AJ1006),$AB$1006:$AQ$1006,0)))),"Fix")))</f>
        <v>0</v>
      </c>
      <c r="K871" s="5">
        <f>IF(OR(INDEX($V$2:$V$1001,MATCH(ROWS($U$2:U871),$U$2:$U$1001,0),1)&gt;=100000,INDEX($AB$1005:$AQ$1005,1,MATCH(COLUMNS($AB$1006:AK1006),$AB$1006:$AQ$1006,0))&gt;=100000), " ",IF(INDEX($AB$2:$AQ$1001,MATCH(ROWS($U$2:U871),$U$2:$U$1001,0),MATCH(COLUMNS($AB$1006:AK1006),$AB$1006:$AQ$1006,0)), HYPERLINK("#",""), HYPERLINK(CONCATENATE("#Metadata!", ADDRESS(INDEX($W$2:$W$1001,MATCH(ROWS($U$2:U871),$U$2:$U$1001,0),0), INDEX($AB$1004:$AQ$1004,1,MATCH(COLUMNS($AB$1006:AK1006),$AB$1006:$AQ$1006,0)))),"Fix")))</f>
        <v>0</v>
      </c>
      <c r="L871" s="5">
        <f>IF(OR(INDEX($V$2:$V$1001,MATCH(ROWS($U$2:U871),$U$2:$U$1001,0),1)&gt;=100000,INDEX($AB$1005:$AQ$1005,1,MATCH(COLUMNS($AB$1006:AL1006),$AB$1006:$AQ$1006,0))&gt;=100000), " ",IF(INDEX($AB$2:$AQ$1001,MATCH(ROWS($U$2:U871),$U$2:$U$1001,0),MATCH(COLUMNS($AB$1006:AL1006),$AB$1006:$AQ$1006,0)), HYPERLINK("#",""), HYPERLINK(CONCATENATE("#Metadata!", ADDRESS(INDEX($W$2:$W$1001,MATCH(ROWS($U$2:U871),$U$2:$U$1001,0),0), INDEX($AB$1004:$AQ$1004,1,MATCH(COLUMNS($AB$1006:AL1006),$AB$1006:$AQ$1006,0)))),"Fix")))</f>
        <v>0</v>
      </c>
      <c r="M871" s="5">
        <f>IF(OR(INDEX($V$2:$V$1001,MATCH(ROWS($U$2:U871),$U$2:$U$1001,0),1)&gt;=100000,INDEX($AB$1005:$AQ$1005,1,MATCH(COLUMNS($AB$1006:AM1006),$AB$1006:$AQ$1006,0))&gt;=100000), " ",IF(INDEX($AB$2:$AQ$1001,MATCH(ROWS($U$2:U871),$U$2:$U$1001,0),MATCH(COLUMNS($AB$1006:AM1006),$AB$1006:$AQ$1006,0)), HYPERLINK("#",""), HYPERLINK(CONCATENATE("#Metadata!", ADDRESS(INDEX($W$2:$W$1001,MATCH(ROWS($U$2:U871),$U$2:$U$1001,0),0), INDEX($AB$1004:$AQ$1004,1,MATCH(COLUMNS($AB$1006:AM1006),$AB$1006:$AQ$1006,0)))),"Fix")))</f>
        <v>0</v>
      </c>
      <c r="N871" s="5">
        <f>IF(OR(INDEX($V$2:$V$1001,MATCH(ROWS($U$2:U871),$U$2:$U$1001,0),1)&gt;=100000,INDEX($AB$1005:$AQ$1005,1,MATCH(COLUMNS($AB$1006:AN1006),$AB$1006:$AQ$1006,0))&gt;=100000), " ",IF(INDEX($AB$2:$AQ$1001,MATCH(ROWS($U$2:U871),$U$2:$U$1001,0),MATCH(COLUMNS($AB$1006:AN1006),$AB$1006:$AQ$1006,0)), HYPERLINK("#",""), HYPERLINK(CONCATENATE("#Metadata!", ADDRESS(INDEX($W$2:$W$1001,MATCH(ROWS($U$2:U871),$U$2:$U$1001,0),0), INDEX($AB$1004:$AQ$1004,1,MATCH(COLUMNS($AB$1006:AN1006),$AB$1006:$AQ$1006,0)))),"Fix")))</f>
        <v>0</v>
      </c>
      <c r="O871" s="5">
        <f>IF(OR(INDEX($V$2:$V$1001,MATCH(ROWS($U$2:U871),$U$2:$U$1001,0),1)&gt;=100000,INDEX($AB$1005:$AQ$1005,1,MATCH(COLUMNS($AB$1006:AO1006),$AB$1006:$AQ$1006,0))&gt;=100000), " ",IF(INDEX($AB$2:$AQ$1001,MATCH(ROWS($U$2:U871),$U$2:$U$1001,0),MATCH(COLUMNS($AB$1006:AO1006),$AB$1006:$AQ$1006,0)), HYPERLINK("#",""), HYPERLINK(CONCATENATE("#Metadata!", ADDRESS(INDEX($W$2:$W$1001,MATCH(ROWS($U$2:U871),$U$2:$U$1001,0),0), INDEX($AB$1004:$AQ$1004,1,MATCH(COLUMNS($AB$1006:AO1006),$AB$1006:$AQ$1006,0)))),"Fix")))</f>
        <v>0</v>
      </c>
      <c r="P871" s="5">
        <f>IF(OR(INDEX($V$2:$V$1001,MATCH(ROWS($U$2:U871),$U$2:$U$1001,0),1)&gt;=100000,INDEX($AB$1005:$AQ$1005,1,MATCH(COLUMNS($AB$1006:AP1006),$AB$1006:$AQ$1006,0))&gt;=100000), " ",IF(INDEX($AB$2:$AQ$1001,MATCH(ROWS($U$2:U871),$U$2:$U$1001,0),MATCH(COLUMNS($AB$1006:AP1006),$AB$1006:$AQ$1006,0)), HYPERLINK("#",""), HYPERLINK(CONCATENATE("#Metadata!", ADDRESS(INDEX($W$2:$W$1001,MATCH(ROWS($U$2:U871),$U$2:$U$1001,0),0), INDEX($AB$1004:$AQ$1004,1,MATCH(COLUMNS($AB$1006:AP1006),$AB$1006:$AQ$1006,0)))),"Fix")))</f>
        <v>0</v>
      </c>
      <c r="Q871" s="5">
        <f>IF(OR(INDEX($V$2:$V$1001,MATCH(ROWS($U$2:U871),$U$2:$U$1001,0),1)&gt;=100000,INDEX($AB$1005:$AQ$1005,1,MATCH(COLUMNS($AB$1006:AQ1006),$AB$1006:$AQ$1006,0))&gt;=100000), " ",IF(INDEX($AB$2:$AQ$1001,MATCH(ROWS($U$2:U871),$U$2:$U$1001,0),MATCH(COLUMNS($AB$1006:AQ1006),$AB$1006:$AQ$1006,0)), HYPERLINK("#",""), HYPERLINK(CONCATENATE("#Metadata!", ADDRESS(INDEX($W$2:$W$1001,MATCH(ROWS($U$2:U871),$U$2:$U$1001,0),0), INDEX($AB$1004:$AQ$1004,1,MATCH(COLUMNS($AB$1006:AQ1006),$AB$1006:$AQ$1006,0)))),"Fix")))</f>
        <v>0</v>
      </c>
      <c r="U871">
        <v>0</v>
      </c>
      <c r="V871">
        <v>0</v>
      </c>
      <c r="W871">
        <v>0</v>
      </c>
      <c r="X871">
        <f>IF(Y871,TRUE,AND(AB871:AQ871))</f>
        <v>0</v>
      </c>
      <c r="Y871">
        <f>COUNTBLANK(Metadata!B871:Q871)=COLUMNS(Metadata!B871:Q871)</f>
        <v>0</v>
      </c>
      <c r="Z871">
        <v>0</v>
      </c>
      <c r="AB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AC871">
        <f>AND(IF(Metadata!C871="",FALSE,TRUE),exact(Metadata!C871,"urban biome"))</f>
        <v>0</v>
      </c>
      <c r="AD871">
        <f>AND(IF(Metadata!D871="",FALSE,TRUE),exact(Metadata!D871,"human-associated habitat"))</f>
        <v>0</v>
      </c>
      <c r="AE871">
        <f>AND(IF(Metadata!E871="",FALSE,TRUE),OR(exact(Metadata!E871,"human-associated"),exact(Metadata!E871,"human-skin"),exact(Metadata!E871,"human-oral"),exact(Metadata!E871,"human-gut"),exact(Metadata!E871,"human-vaginal")))</f>
        <v>0</v>
      </c>
      <c r="AF871">
        <f>AND(IF(Metadata!F871="",FALSE,ISNUMBER(VALUE(Metadata!F871))),Metadata!F871&gt;0)</f>
        <v>0</v>
      </c>
      <c r="AG871">
        <f>AND(IF(Metadata!G871="",FALSE,TRUE),exact(Metadata!G871,"years"))</f>
        <v>0</v>
      </c>
      <c r="AH871">
        <f>OR(AND(IF(Metadata!H871="",FALSE,TRUE),OR(exact(Metadata!H871,"not applicable"),exact(Metadata!H871,"not collected"),exact(Metadata!H871,"not provided"),exact(Metadata!H871,"restricted access"))),AND(IF(Metadata!H871="",FALSE,ISNUMBER(VALUE(Metadata!H871))),Metadata!H871&gt;0))</f>
        <v>0</v>
      </c>
      <c r="AI871">
        <f>AND(IF(Metadata!I871="",FALSE,TRUE),exact(Metadata!I871,"human"))</f>
        <v>0</v>
      </c>
      <c r="AJ871">
        <f>AND(IF(Metadata!J871="",FALSE,ISNUMBER(VALUE(Metadata!J871))),Metadata!J871&gt;0)</f>
        <v>0</v>
      </c>
      <c r="AK871">
        <f>AND(IF(Metadata!K871="",FALSE,TRUE),exact(Metadata!K871,"cm"))</f>
        <v>0</v>
      </c>
      <c r="AL871">
        <f>AND(IF(Metadata!L871="",FALSE,TRUE),exact(Metadata!L871,"Homo sapiens"))</f>
        <v>0</v>
      </c>
      <c r="AM871">
        <f>AND(IF(Metadata!M871="",FALSE,TRUE),exact(Metadata!M871,"9606"))</f>
        <v>0</v>
      </c>
      <c r="AN871">
        <f>AND(IF(Metadata!N871="",FALSE,ISNUMBER(VALUE(Metadata!N871))),Metadata!N871&gt;0)</f>
        <v>0</v>
      </c>
      <c r="AO871">
        <f>AND(IF(Metadata!O871="",FALSE,TRUE),exact(Metadata!O871,"kg"))</f>
        <v>0</v>
      </c>
      <c r="AP871">
        <f>OR(AND(IF(Metadata!P871="",FALSE,TRUE),exact(Metadata!P871,"not provided")),IF(Metadata!P871="",FALSE,TRUE))</f>
        <v>0</v>
      </c>
      <c r="AQ871">
        <f>OR(AND(IF(Metadata!Q871="",FALSE,TRUE),exact(Metadata!Q871,"not provided")),IF(Metadata!Q871="",FALSE,TRUE))</f>
        <v>0</v>
      </c>
    </row>
    <row r="872" spans="1:43">
      <c r="A872" s="4">
        <f>IF(B872=" "," ",HYPERLINK(CONCATENATE("#metadata!",ADDRESS(INDEX($W$2:$W$1001,MATCH(ROWS($U$2:U872),$U$2:$U$1001,0),0),2)),INDEX($Z$2:$Z$1001,MATCH(ROWS($U$2:U872),$U$2:$U$1001,0),0)))</f>
        <v>0</v>
      </c>
      <c r="B872" s="5">
        <f>IF(OR(INDEX($V$2:$V$1001,MATCH(ROWS($U$2:U872),$U$2:$U$1001,0),1)&gt;=100000,INDEX($AB$1005:$AQ$1005,1,MATCH(COLUMNS($AB$1006:AB1006),$AB$1006:$AQ$1006,0))&gt;=100000), " ",IF(INDEX($AB$2:$AQ$1001,MATCH(ROWS($U$2:U872),$U$2:$U$1001,0),MATCH(COLUMNS($AB$1006:AB1006),$AB$1006:$AQ$1006,0)), HYPERLINK("#",""), HYPERLINK(CONCATENATE("#Metadata!", ADDRESS(INDEX($W$2:$W$1001,MATCH(ROWS($U$2:U872),$U$2:$U$1001,0),0), INDEX($AB$1004:$AQ$1004,1,MATCH(COLUMNS($AB$1006:AB1006),$AB$1006:$AQ$1006,0)))),"Fix")))</f>
        <v>0</v>
      </c>
      <c r="C872" s="5">
        <f>IF(OR(INDEX($V$2:$V$1001,MATCH(ROWS($U$2:U872),$U$2:$U$1001,0),1)&gt;=100000,INDEX($AB$1005:$AQ$1005,1,MATCH(COLUMNS($AB$1006:AC1006),$AB$1006:$AQ$1006,0))&gt;=100000), " ",IF(INDEX($AB$2:$AQ$1001,MATCH(ROWS($U$2:U872),$U$2:$U$1001,0),MATCH(COLUMNS($AB$1006:AC1006),$AB$1006:$AQ$1006,0)), HYPERLINK("#",""), HYPERLINK(CONCATENATE("#Metadata!", ADDRESS(INDEX($W$2:$W$1001,MATCH(ROWS($U$2:U872),$U$2:$U$1001,0),0), INDEX($AB$1004:$AQ$1004,1,MATCH(COLUMNS($AB$1006:AC1006),$AB$1006:$AQ$1006,0)))),"Fix")))</f>
        <v>0</v>
      </c>
      <c r="D872" s="5">
        <f>IF(OR(INDEX($V$2:$V$1001,MATCH(ROWS($U$2:U872),$U$2:$U$1001,0),1)&gt;=100000,INDEX($AB$1005:$AQ$1005,1,MATCH(COLUMNS($AB$1006:AD1006),$AB$1006:$AQ$1006,0))&gt;=100000), " ",IF(INDEX($AB$2:$AQ$1001,MATCH(ROWS($U$2:U872),$U$2:$U$1001,0),MATCH(COLUMNS($AB$1006:AD1006),$AB$1006:$AQ$1006,0)), HYPERLINK("#",""), HYPERLINK(CONCATENATE("#Metadata!", ADDRESS(INDEX($W$2:$W$1001,MATCH(ROWS($U$2:U872),$U$2:$U$1001,0),0), INDEX($AB$1004:$AQ$1004,1,MATCH(COLUMNS($AB$1006:AD1006),$AB$1006:$AQ$1006,0)))),"Fix")))</f>
        <v>0</v>
      </c>
      <c r="E872" s="5">
        <f>IF(OR(INDEX($V$2:$V$1001,MATCH(ROWS($U$2:U872),$U$2:$U$1001,0),1)&gt;=100000,INDEX($AB$1005:$AQ$1005,1,MATCH(COLUMNS($AB$1006:AE1006),$AB$1006:$AQ$1006,0))&gt;=100000), " ",IF(INDEX($AB$2:$AQ$1001,MATCH(ROWS($U$2:U872),$U$2:$U$1001,0),MATCH(COLUMNS($AB$1006:AE1006),$AB$1006:$AQ$1006,0)), HYPERLINK("#",""), HYPERLINK(CONCATENATE("#Metadata!", ADDRESS(INDEX($W$2:$W$1001,MATCH(ROWS($U$2:U872),$U$2:$U$1001,0),0), INDEX($AB$1004:$AQ$1004,1,MATCH(COLUMNS($AB$1006:AE1006),$AB$1006:$AQ$1006,0)))),"Fix")))</f>
        <v>0</v>
      </c>
      <c r="F872" s="5">
        <f>IF(OR(INDEX($V$2:$V$1001,MATCH(ROWS($U$2:U872),$U$2:$U$1001,0),1)&gt;=100000,INDEX($AB$1005:$AQ$1005,1,MATCH(COLUMNS($AB$1006:AF1006),$AB$1006:$AQ$1006,0))&gt;=100000), " ",IF(INDEX($AB$2:$AQ$1001,MATCH(ROWS($U$2:U872),$U$2:$U$1001,0),MATCH(COLUMNS($AB$1006:AF1006),$AB$1006:$AQ$1006,0)), HYPERLINK("#",""), HYPERLINK(CONCATENATE("#Metadata!", ADDRESS(INDEX($W$2:$W$1001,MATCH(ROWS($U$2:U872),$U$2:$U$1001,0),0), INDEX($AB$1004:$AQ$1004,1,MATCH(COLUMNS($AB$1006:AF1006),$AB$1006:$AQ$1006,0)))),"Fix")))</f>
        <v>0</v>
      </c>
      <c r="G872" s="5">
        <f>IF(OR(INDEX($V$2:$V$1001,MATCH(ROWS($U$2:U872),$U$2:$U$1001,0),1)&gt;=100000,INDEX($AB$1005:$AQ$1005,1,MATCH(COLUMNS($AB$1006:AG1006),$AB$1006:$AQ$1006,0))&gt;=100000), " ",IF(INDEX($AB$2:$AQ$1001,MATCH(ROWS($U$2:U872),$U$2:$U$1001,0),MATCH(COLUMNS($AB$1006:AG1006),$AB$1006:$AQ$1006,0)), HYPERLINK("#",""), HYPERLINK(CONCATENATE("#Metadata!", ADDRESS(INDEX($W$2:$W$1001,MATCH(ROWS($U$2:U872),$U$2:$U$1001,0),0), INDEX($AB$1004:$AQ$1004,1,MATCH(COLUMNS($AB$1006:AG1006),$AB$1006:$AQ$1006,0)))),"Fix")))</f>
        <v>0</v>
      </c>
      <c r="H872" s="5">
        <f>IF(OR(INDEX($V$2:$V$1001,MATCH(ROWS($U$2:U872),$U$2:$U$1001,0),1)&gt;=100000,INDEX($AB$1005:$AQ$1005,1,MATCH(COLUMNS($AB$1006:AH1006),$AB$1006:$AQ$1006,0))&gt;=100000), " ",IF(INDEX($AB$2:$AQ$1001,MATCH(ROWS($U$2:U872),$U$2:$U$1001,0),MATCH(COLUMNS($AB$1006:AH1006),$AB$1006:$AQ$1006,0)), HYPERLINK("#",""), HYPERLINK(CONCATENATE("#Metadata!", ADDRESS(INDEX($W$2:$W$1001,MATCH(ROWS($U$2:U872),$U$2:$U$1001,0),0), INDEX($AB$1004:$AQ$1004,1,MATCH(COLUMNS($AB$1006:AH1006),$AB$1006:$AQ$1006,0)))),"Fix")))</f>
        <v>0</v>
      </c>
      <c r="I872" s="5">
        <f>IF(OR(INDEX($V$2:$V$1001,MATCH(ROWS($U$2:U872),$U$2:$U$1001,0),1)&gt;=100000,INDEX($AB$1005:$AQ$1005,1,MATCH(COLUMNS($AB$1006:AI1006),$AB$1006:$AQ$1006,0))&gt;=100000), " ",IF(INDEX($AB$2:$AQ$1001,MATCH(ROWS($U$2:U872),$U$2:$U$1001,0),MATCH(COLUMNS($AB$1006:AI1006),$AB$1006:$AQ$1006,0)), HYPERLINK("#",""), HYPERLINK(CONCATENATE("#Metadata!", ADDRESS(INDEX($W$2:$W$1001,MATCH(ROWS($U$2:U872),$U$2:$U$1001,0),0), INDEX($AB$1004:$AQ$1004,1,MATCH(COLUMNS($AB$1006:AI1006),$AB$1006:$AQ$1006,0)))),"Fix")))</f>
        <v>0</v>
      </c>
      <c r="J872" s="5">
        <f>IF(OR(INDEX($V$2:$V$1001,MATCH(ROWS($U$2:U872),$U$2:$U$1001,0),1)&gt;=100000,INDEX($AB$1005:$AQ$1005,1,MATCH(COLUMNS($AB$1006:AJ1006),$AB$1006:$AQ$1006,0))&gt;=100000), " ",IF(INDEX($AB$2:$AQ$1001,MATCH(ROWS($U$2:U872),$U$2:$U$1001,0),MATCH(COLUMNS($AB$1006:AJ1006),$AB$1006:$AQ$1006,0)), HYPERLINK("#",""), HYPERLINK(CONCATENATE("#Metadata!", ADDRESS(INDEX($W$2:$W$1001,MATCH(ROWS($U$2:U872),$U$2:$U$1001,0),0), INDEX($AB$1004:$AQ$1004,1,MATCH(COLUMNS($AB$1006:AJ1006),$AB$1006:$AQ$1006,0)))),"Fix")))</f>
        <v>0</v>
      </c>
      <c r="K872" s="5">
        <f>IF(OR(INDEX($V$2:$V$1001,MATCH(ROWS($U$2:U872),$U$2:$U$1001,0),1)&gt;=100000,INDEX($AB$1005:$AQ$1005,1,MATCH(COLUMNS($AB$1006:AK1006),$AB$1006:$AQ$1006,0))&gt;=100000), " ",IF(INDEX($AB$2:$AQ$1001,MATCH(ROWS($U$2:U872),$U$2:$U$1001,0),MATCH(COLUMNS($AB$1006:AK1006),$AB$1006:$AQ$1006,0)), HYPERLINK("#",""), HYPERLINK(CONCATENATE("#Metadata!", ADDRESS(INDEX($W$2:$W$1001,MATCH(ROWS($U$2:U872),$U$2:$U$1001,0),0), INDEX($AB$1004:$AQ$1004,1,MATCH(COLUMNS($AB$1006:AK1006),$AB$1006:$AQ$1006,0)))),"Fix")))</f>
        <v>0</v>
      </c>
      <c r="L872" s="5">
        <f>IF(OR(INDEX($V$2:$V$1001,MATCH(ROWS($U$2:U872),$U$2:$U$1001,0),1)&gt;=100000,INDEX($AB$1005:$AQ$1005,1,MATCH(COLUMNS($AB$1006:AL1006),$AB$1006:$AQ$1006,0))&gt;=100000), " ",IF(INDEX($AB$2:$AQ$1001,MATCH(ROWS($U$2:U872),$U$2:$U$1001,0),MATCH(COLUMNS($AB$1006:AL1006),$AB$1006:$AQ$1006,0)), HYPERLINK("#",""), HYPERLINK(CONCATENATE("#Metadata!", ADDRESS(INDEX($W$2:$W$1001,MATCH(ROWS($U$2:U872),$U$2:$U$1001,0),0), INDEX($AB$1004:$AQ$1004,1,MATCH(COLUMNS($AB$1006:AL1006),$AB$1006:$AQ$1006,0)))),"Fix")))</f>
        <v>0</v>
      </c>
      <c r="M872" s="5">
        <f>IF(OR(INDEX($V$2:$V$1001,MATCH(ROWS($U$2:U872),$U$2:$U$1001,0),1)&gt;=100000,INDEX($AB$1005:$AQ$1005,1,MATCH(COLUMNS($AB$1006:AM1006),$AB$1006:$AQ$1006,0))&gt;=100000), " ",IF(INDEX($AB$2:$AQ$1001,MATCH(ROWS($U$2:U872),$U$2:$U$1001,0),MATCH(COLUMNS($AB$1006:AM1006),$AB$1006:$AQ$1006,0)), HYPERLINK("#",""), HYPERLINK(CONCATENATE("#Metadata!", ADDRESS(INDEX($W$2:$W$1001,MATCH(ROWS($U$2:U872),$U$2:$U$1001,0),0), INDEX($AB$1004:$AQ$1004,1,MATCH(COLUMNS($AB$1006:AM1006),$AB$1006:$AQ$1006,0)))),"Fix")))</f>
        <v>0</v>
      </c>
      <c r="N872" s="5">
        <f>IF(OR(INDEX($V$2:$V$1001,MATCH(ROWS($U$2:U872),$U$2:$U$1001,0),1)&gt;=100000,INDEX($AB$1005:$AQ$1005,1,MATCH(COLUMNS($AB$1006:AN1006),$AB$1006:$AQ$1006,0))&gt;=100000), " ",IF(INDEX($AB$2:$AQ$1001,MATCH(ROWS($U$2:U872),$U$2:$U$1001,0),MATCH(COLUMNS($AB$1006:AN1006),$AB$1006:$AQ$1006,0)), HYPERLINK("#",""), HYPERLINK(CONCATENATE("#Metadata!", ADDRESS(INDEX($W$2:$W$1001,MATCH(ROWS($U$2:U872),$U$2:$U$1001,0),0), INDEX($AB$1004:$AQ$1004,1,MATCH(COLUMNS($AB$1006:AN1006),$AB$1006:$AQ$1006,0)))),"Fix")))</f>
        <v>0</v>
      </c>
      <c r="O872" s="5">
        <f>IF(OR(INDEX($V$2:$V$1001,MATCH(ROWS($U$2:U872),$U$2:$U$1001,0),1)&gt;=100000,INDEX($AB$1005:$AQ$1005,1,MATCH(COLUMNS($AB$1006:AO1006),$AB$1006:$AQ$1006,0))&gt;=100000), " ",IF(INDEX($AB$2:$AQ$1001,MATCH(ROWS($U$2:U872),$U$2:$U$1001,0),MATCH(COLUMNS($AB$1006:AO1006),$AB$1006:$AQ$1006,0)), HYPERLINK("#",""), HYPERLINK(CONCATENATE("#Metadata!", ADDRESS(INDEX($W$2:$W$1001,MATCH(ROWS($U$2:U872),$U$2:$U$1001,0),0), INDEX($AB$1004:$AQ$1004,1,MATCH(COLUMNS($AB$1006:AO1006),$AB$1006:$AQ$1006,0)))),"Fix")))</f>
        <v>0</v>
      </c>
      <c r="P872" s="5">
        <f>IF(OR(INDEX($V$2:$V$1001,MATCH(ROWS($U$2:U872),$U$2:$U$1001,0),1)&gt;=100000,INDEX($AB$1005:$AQ$1005,1,MATCH(COLUMNS($AB$1006:AP1006),$AB$1006:$AQ$1006,0))&gt;=100000), " ",IF(INDEX($AB$2:$AQ$1001,MATCH(ROWS($U$2:U872),$U$2:$U$1001,0),MATCH(COLUMNS($AB$1006:AP1006),$AB$1006:$AQ$1006,0)), HYPERLINK("#",""), HYPERLINK(CONCATENATE("#Metadata!", ADDRESS(INDEX($W$2:$W$1001,MATCH(ROWS($U$2:U872),$U$2:$U$1001,0),0), INDEX($AB$1004:$AQ$1004,1,MATCH(COLUMNS($AB$1006:AP1006),$AB$1006:$AQ$1006,0)))),"Fix")))</f>
        <v>0</v>
      </c>
      <c r="Q872" s="5">
        <f>IF(OR(INDEX($V$2:$V$1001,MATCH(ROWS($U$2:U872),$U$2:$U$1001,0),1)&gt;=100000,INDEX($AB$1005:$AQ$1005,1,MATCH(COLUMNS($AB$1006:AQ1006),$AB$1006:$AQ$1006,0))&gt;=100000), " ",IF(INDEX($AB$2:$AQ$1001,MATCH(ROWS($U$2:U872),$U$2:$U$1001,0),MATCH(COLUMNS($AB$1006:AQ1006),$AB$1006:$AQ$1006,0)), HYPERLINK("#",""), HYPERLINK(CONCATENATE("#Metadata!", ADDRESS(INDEX($W$2:$W$1001,MATCH(ROWS($U$2:U872),$U$2:$U$1001,0),0), INDEX($AB$1004:$AQ$1004,1,MATCH(COLUMNS($AB$1006:AQ1006),$AB$1006:$AQ$1006,0)))),"Fix")))</f>
        <v>0</v>
      </c>
      <c r="U872">
        <v>0</v>
      </c>
      <c r="V872">
        <v>0</v>
      </c>
      <c r="W872">
        <v>0</v>
      </c>
      <c r="X872">
        <f>IF(Y872,TRUE,AND(AB872:AQ872))</f>
        <v>0</v>
      </c>
      <c r="Y872">
        <f>COUNTBLANK(Metadata!B872:Q872)=COLUMNS(Metadata!B872:Q872)</f>
        <v>0</v>
      </c>
      <c r="Z872">
        <v>0</v>
      </c>
      <c r="AB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AC872">
        <f>AND(IF(Metadata!C872="",FALSE,TRUE),exact(Metadata!C872,"urban biome"))</f>
        <v>0</v>
      </c>
      <c r="AD872">
        <f>AND(IF(Metadata!D872="",FALSE,TRUE),exact(Metadata!D872,"human-associated habitat"))</f>
        <v>0</v>
      </c>
      <c r="AE872">
        <f>AND(IF(Metadata!E872="",FALSE,TRUE),OR(exact(Metadata!E872,"human-associated"),exact(Metadata!E872,"human-skin"),exact(Metadata!E872,"human-oral"),exact(Metadata!E872,"human-gut"),exact(Metadata!E872,"human-vaginal")))</f>
        <v>0</v>
      </c>
      <c r="AF872">
        <f>AND(IF(Metadata!F872="",FALSE,ISNUMBER(VALUE(Metadata!F872))),Metadata!F872&gt;0)</f>
        <v>0</v>
      </c>
      <c r="AG872">
        <f>AND(IF(Metadata!G872="",FALSE,TRUE),exact(Metadata!G872,"years"))</f>
        <v>0</v>
      </c>
      <c r="AH872">
        <f>OR(AND(IF(Metadata!H872="",FALSE,TRUE),OR(exact(Metadata!H872,"not applicable"),exact(Metadata!H872,"not collected"),exact(Metadata!H872,"not provided"),exact(Metadata!H872,"restricted access"))),AND(IF(Metadata!H872="",FALSE,ISNUMBER(VALUE(Metadata!H872))),Metadata!H872&gt;0))</f>
        <v>0</v>
      </c>
      <c r="AI872">
        <f>AND(IF(Metadata!I872="",FALSE,TRUE),exact(Metadata!I872,"human"))</f>
        <v>0</v>
      </c>
      <c r="AJ872">
        <f>AND(IF(Metadata!J872="",FALSE,ISNUMBER(VALUE(Metadata!J872))),Metadata!J872&gt;0)</f>
        <v>0</v>
      </c>
      <c r="AK872">
        <f>AND(IF(Metadata!K872="",FALSE,TRUE),exact(Metadata!K872,"cm"))</f>
        <v>0</v>
      </c>
      <c r="AL872">
        <f>AND(IF(Metadata!L872="",FALSE,TRUE),exact(Metadata!L872,"Homo sapiens"))</f>
        <v>0</v>
      </c>
      <c r="AM872">
        <f>AND(IF(Metadata!M872="",FALSE,TRUE),exact(Metadata!M872,"9606"))</f>
        <v>0</v>
      </c>
      <c r="AN872">
        <f>AND(IF(Metadata!N872="",FALSE,ISNUMBER(VALUE(Metadata!N872))),Metadata!N872&gt;0)</f>
        <v>0</v>
      </c>
      <c r="AO872">
        <f>AND(IF(Metadata!O872="",FALSE,TRUE),exact(Metadata!O872,"kg"))</f>
        <v>0</v>
      </c>
      <c r="AP872">
        <f>OR(AND(IF(Metadata!P872="",FALSE,TRUE),exact(Metadata!P872,"not provided")),IF(Metadata!P872="",FALSE,TRUE))</f>
        <v>0</v>
      </c>
      <c r="AQ872">
        <f>OR(AND(IF(Metadata!Q872="",FALSE,TRUE),exact(Metadata!Q872,"not provided")),IF(Metadata!Q872="",FALSE,TRUE))</f>
        <v>0</v>
      </c>
    </row>
    <row r="873" spans="1:43">
      <c r="A873" s="4">
        <f>IF(B873=" "," ",HYPERLINK(CONCATENATE("#metadata!",ADDRESS(INDEX($W$2:$W$1001,MATCH(ROWS($U$2:U873),$U$2:$U$1001,0),0),2)),INDEX($Z$2:$Z$1001,MATCH(ROWS($U$2:U873),$U$2:$U$1001,0),0)))</f>
        <v>0</v>
      </c>
      <c r="B873" s="5">
        <f>IF(OR(INDEX($V$2:$V$1001,MATCH(ROWS($U$2:U873),$U$2:$U$1001,0),1)&gt;=100000,INDEX($AB$1005:$AQ$1005,1,MATCH(COLUMNS($AB$1006:AB1006),$AB$1006:$AQ$1006,0))&gt;=100000), " ",IF(INDEX($AB$2:$AQ$1001,MATCH(ROWS($U$2:U873),$U$2:$U$1001,0),MATCH(COLUMNS($AB$1006:AB1006),$AB$1006:$AQ$1006,0)), HYPERLINK("#",""), HYPERLINK(CONCATENATE("#Metadata!", ADDRESS(INDEX($W$2:$W$1001,MATCH(ROWS($U$2:U873),$U$2:$U$1001,0),0), INDEX($AB$1004:$AQ$1004,1,MATCH(COLUMNS($AB$1006:AB1006),$AB$1006:$AQ$1006,0)))),"Fix")))</f>
        <v>0</v>
      </c>
      <c r="C873" s="5">
        <f>IF(OR(INDEX($V$2:$V$1001,MATCH(ROWS($U$2:U873),$U$2:$U$1001,0),1)&gt;=100000,INDEX($AB$1005:$AQ$1005,1,MATCH(COLUMNS($AB$1006:AC1006),$AB$1006:$AQ$1006,0))&gt;=100000), " ",IF(INDEX($AB$2:$AQ$1001,MATCH(ROWS($U$2:U873),$U$2:$U$1001,0),MATCH(COLUMNS($AB$1006:AC1006),$AB$1006:$AQ$1006,0)), HYPERLINK("#",""), HYPERLINK(CONCATENATE("#Metadata!", ADDRESS(INDEX($W$2:$W$1001,MATCH(ROWS($U$2:U873),$U$2:$U$1001,0),0), INDEX($AB$1004:$AQ$1004,1,MATCH(COLUMNS($AB$1006:AC1006),$AB$1006:$AQ$1006,0)))),"Fix")))</f>
        <v>0</v>
      </c>
      <c r="D873" s="5">
        <f>IF(OR(INDEX($V$2:$V$1001,MATCH(ROWS($U$2:U873),$U$2:$U$1001,0),1)&gt;=100000,INDEX($AB$1005:$AQ$1005,1,MATCH(COLUMNS($AB$1006:AD1006),$AB$1006:$AQ$1006,0))&gt;=100000), " ",IF(INDEX($AB$2:$AQ$1001,MATCH(ROWS($U$2:U873),$U$2:$U$1001,0),MATCH(COLUMNS($AB$1006:AD1006),$AB$1006:$AQ$1006,0)), HYPERLINK("#",""), HYPERLINK(CONCATENATE("#Metadata!", ADDRESS(INDEX($W$2:$W$1001,MATCH(ROWS($U$2:U873),$U$2:$U$1001,0),0), INDEX($AB$1004:$AQ$1004,1,MATCH(COLUMNS($AB$1006:AD1006),$AB$1006:$AQ$1006,0)))),"Fix")))</f>
        <v>0</v>
      </c>
      <c r="E873" s="5">
        <f>IF(OR(INDEX($V$2:$V$1001,MATCH(ROWS($U$2:U873),$U$2:$U$1001,0),1)&gt;=100000,INDEX($AB$1005:$AQ$1005,1,MATCH(COLUMNS($AB$1006:AE1006),$AB$1006:$AQ$1006,0))&gt;=100000), " ",IF(INDEX($AB$2:$AQ$1001,MATCH(ROWS($U$2:U873),$U$2:$U$1001,0),MATCH(COLUMNS($AB$1006:AE1006),$AB$1006:$AQ$1006,0)), HYPERLINK("#",""), HYPERLINK(CONCATENATE("#Metadata!", ADDRESS(INDEX($W$2:$W$1001,MATCH(ROWS($U$2:U873),$U$2:$U$1001,0),0), INDEX($AB$1004:$AQ$1004,1,MATCH(COLUMNS($AB$1006:AE1006),$AB$1006:$AQ$1006,0)))),"Fix")))</f>
        <v>0</v>
      </c>
      <c r="F873" s="5">
        <f>IF(OR(INDEX($V$2:$V$1001,MATCH(ROWS($U$2:U873),$U$2:$U$1001,0),1)&gt;=100000,INDEX($AB$1005:$AQ$1005,1,MATCH(COLUMNS($AB$1006:AF1006),$AB$1006:$AQ$1006,0))&gt;=100000), " ",IF(INDEX($AB$2:$AQ$1001,MATCH(ROWS($U$2:U873),$U$2:$U$1001,0),MATCH(COLUMNS($AB$1006:AF1006),$AB$1006:$AQ$1006,0)), HYPERLINK("#",""), HYPERLINK(CONCATENATE("#Metadata!", ADDRESS(INDEX($W$2:$W$1001,MATCH(ROWS($U$2:U873),$U$2:$U$1001,0),0), INDEX($AB$1004:$AQ$1004,1,MATCH(COLUMNS($AB$1006:AF1006),$AB$1006:$AQ$1006,0)))),"Fix")))</f>
        <v>0</v>
      </c>
      <c r="G873" s="5">
        <f>IF(OR(INDEX($V$2:$V$1001,MATCH(ROWS($U$2:U873),$U$2:$U$1001,0),1)&gt;=100000,INDEX($AB$1005:$AQ$1005,1,MATCH(COLUMNS($AB$1006:AG1006),$AB$1006:$AQ$1006,0))&gt;=100000), " ",IF(INDEX($AB$2:$AQ$1001,MATCH(ROWS($U$2:U873),$U$2:$U$1001,0),MATCH(COLUMNS($AB$1006:AG1006),$AB$1006:$AQ$1006,0)), HYPERLINK("#",""), HYPERLINK(CONCATENATE("#Metadata!", ADDRESS(INDEX($W$2:$W$1001,MATCH(ROWS($U$2:U873),$U$2:$U$1001,0),0), INDEX($AB$1004:$AQ$1004,1,MATCH(COLUMNS($AB$1006:AG1006),$AB$1006:$AQ$1006,0)))),"Fix")))</f>
        <v>0</v>
      </c>
      <c r="H873" s="5">
        <f>IF(OR(INDEX($V$2:$V$1001,MATCH(ROWS($U$2:U873),$U$2:$U$1001,0),1)&gt;=100000,INDEX($AB$1005:$AQ$1005,1,MATCH(COLUMNS($AB$1006:AH1006),$AB$1006:$AQ$1006,0))&gt;=100000), " ",IF(INDEX($AB$2:$AQ$1001,MATCH(ROWS($U$2:U873),$U$2:$U$1001,0),MATCH(COLUMNS($AB$1006:AH1006),$AB$1006:$AQ$1006,0)), HYPERLINK("#",""), HYPERLINK(CONCATENATE("#Metadata!", ADDRESS(INDEX($W$2:$W$1001,MATCH(ROWS($U$2:U873),$U$2:$U$1001,0),0), INDEX($AB$1004:$AQ$1004,1,MATCH(COLUMNS($AB$1006:AH1006),$AB$1006:$AQ$1006,0)))),"Fix")))</f>
        <v>0</v>
      </c>
      <c r="I873" s="5">
        <f>IF(OR(INDEX($V$2:$V$1001,MATCH(ROWS($U$2:U873),$U$2:$U$1001,0),1)&gt;=100000,INDEX($AB$1005:$AQ$1005,1,MATCH(COLUMNS($AB$1006:AI1006),$AB$1006:$AQ$1006,0))&gt;=100000), " ",IF(INDEX($AB$2:$AQ$1001,MATCH(ROWS($U$2:U873),$U$2:$U$1001,0),MATCH(COLUMNS($AB$1006:AI1006),$AB$1006:$AQ$1006,0)), HYPERLINK("#",""), HYPERLINK(CONCATENATE("#Metadata!", ADDRESS(INDEX($W$2:$W$1001,MATCH(ROWS($U$2:U873),$U$2:$U$1001,0),0), INDEX($AB$1004:$AQ$1004,1,MATCH(COLUMNS($AB$1006:AI1006),$AB$1006:$AQ$1006,0)))),"Fix")))</f>
        <v>0</v>
      </c>
      <c r="J873" s="5">
        <f>IF(OR(INDEX($V$2:$V$1001,MATCH(ROWS($U$2:U873),$U$2:$U$1001,0),1)&gt;=100000,INDEX($AB$1005:$AQ$1005,1,MATCH(COLUMNS($AB$1006:AJ1006),$AB$1006:$AQ$1006,0))&gt;=100000), " ",IF(INDEX($AB$2:$AQ$1001,MATCH(ROWS($U$2:U873),$U$2:$U$1001,0),MATCH(COLUMNS($AB$1006:AJ1006),$AB$1006:$AQ$1006,0)), HYPERLINK("#",""), HYPERLINK(CONCATENATE("#Metadata!", ADDRESS(INDEX($W$2:$W$1001,MATCH(ROWS($U$2:U873),$U$2:$U$1001,0),0), INDEX($AB$1004:$AQ$1004,1,MATCH(COLUMNS($AB$1006:AJ1006),$AB$1006:$AQ$1006,0)))),"Fix")))</f>
        <v>0</v>
      </c>
      <c r="K873" s="5">
        <f>IF(OR(INDEX($V$2:$V$1001,MATCH(ROWS($U$2:U873),$U$2:$U$1001,0),1)&gt;=100000,INDEX($AB$1005:$AQ$1005,1,MATCH(COLUMNS($AB$1006:AK1006),$AB$1006:$AQ$1006,0))&gt;=100000), " ",IF(INDEX($AB$2:$AQ$1001,MATCH(ROWS($U$2:U873),$U$2:$U$1001,0),MATCH(COLUMNS($AB$1006:AK1006),$AB$1006:$AQ$1006,0)), HYPERLINK("#",""), HYPERLINK(CONCATENATE("#Metadata!", ADDRESS(INDEX($W$2:$W$1001,MATCH(ROWS($U$2:U873),$U$2:$U$1001,0),0), INDEX($AB$1004:$AQ$1004,1,MATCH(COLUMNS($AB$1006:AK1006),$AB$1006:$AQ$1006,0)))),"Fix")))</f>
        <v>0</v>
      </c>
      <c r="L873" s="5">
        <f>IF(OR(INDEX($V$2:$V$1001,MATCH(ROWS($U$2:U873),$U$2:$U$1001,0),1)&gt;=100000,INDEX($AB$1005:$AQ$1005,1,MATCH(COLUMNS($AB$1006:AL1006),$AB$1006:$AQ$1006,0))&gt;=100000), " ",IF(INDEX($AB$2:$AQ$1001,MATCH(ROWS($U$2:U873),$U$2:$U$1001,0),MATCH(COLUMNS($AB$1006:AL1006),$AB$1006:$AQ$1006,0)), HYPERLINK("#",""), HYPERLINK(CONCATENATE("#Metadata!", ADDRESS(INDEX($W$2:$W$1001,MATCH(ROWS($U$2:U873),$U$2:$U$1001,0),0), INDEX($AB$1004:$AQ$1004,1,MATCH(COLUMNS($AB$1006:AL1006),$AB$1006:$AQ$1006,0)))),"Fix")))</f>
        <v>0</v>
      </c>
      <c r="M873" s="5">
        <f>IF(OR(INDEX($V$2:$V$1001,MATCH(ROWS($U$2:U873),$U$2:$U$1001,0),1)&gt;=100000,INDEX($AB$1005:$AQ$1005,1,MATCH(COLUMNS($AB$1006:AM1006),$AB$1006:$AQ$1006,0))&gt;=100000), " ",IF(INDEX($AB$2:$AQ$1001,MATCH(ROWS($U$2:U873),$U$2:$U$1001,0),MATCH(COLUMNS($AB$1006:AM1006),$AB$1006:$AQ$1006,0)), HYPERLINK("#",""), HYPERLINK(CONCATENATE("#Metadata!", ADDRESS(INDEX($W$2:$W$1001,MATCH(ROWS($U$2:U873),$U$2:$U$1001,0),0), INDEX($AB$1004:$AQ$1004,1,MATCH(COLUMNS($AB$1006:AM1006),$AB$1006:$AQ$1006,0)))),"Fix")))</f>
        <v>0</v>
      </c>
      <c r="N873" s="5">
        <f>IF(OR(INDEX($V$2:$V$1001,MATCH(ROWS($U$2:U873),$U$2:$U$1001,0),1)&gt;=100000,INDEX($AB$1005:$AQ$1005,1,MATCH(COLUMNS($AB$1006:AN1006),$AB$1006:$AQ$1006,0))&gt;=100000), " ",IF(INDEX($AB$2:$AQ$1001,MATCH(ROWS($U$2:U873),$U$2:$U$1001,0),MATCH(COLUMNS($AB$1006:AN1006),$AB$1006:$AQ$1006,0)), HYPERLINK("#",""), HYPERLINK(CONCATENATE("#Metadata!", ADDRESS(INDEX($W$2:$W$1001,MATCH(ROWS($U$2:U873),$U$2:$U$1001,0),0), INDEX($AB$1004:$AQ$1004,1,MATCH(COLUMNS($AB$1006:AN1006),$AB$1006:$AQ$1006,0)))),"Fix")))</f>
        <v>0</v>
      </c>
      <c r="O873" s="5">
        <f>IF(OR(INDEX($V$2:$V$1001,MATCH(ROWS($U$2:U873),$U$2:$U$1001,0),1)&gt;=100000,INDEX($AB$1005:$AQ$1005,1,MATCH(COLUMNS($AB$1006:AO1006),$AB$1006:$AQ$1006,0))&gt;=100000), " ",IF(INDEX($AB$2:$AQ$1001,MATCH(ROWS($U$2:U873),$U$2:$U$1001,0),MATCH(COLUMNS($AB$1006:AO1006),$AB$1006:$AQ$1006,0)), HYPERLINK("#",""), HYPERLINK(CONCATENATE("#Metadata!", ADDRESS(INDEX($W$2:$W$1001,MATCH(ROWS($U$2:U873),$U$2:$U$1001,0),0), INDEX($AB$1004:$AQ$1004,1,MATCH(COLUMNS($AB$1006:AO1006),$AB$1006:$AQ$1006,0)))),"Fix")))</f>
        <v>0</v>
      </c>
      <c r="P873" s="5">
        <f>IF(OR(INDEX($V$2:$V$1001,MATCH(ROWS($U$2:U873),$U$2:$U$1001,0),1)&gt;=100000,INDEX($AB$1005:$AQ$1005,1,MATCH(COLUMNS($AB$1006:AP1006),$AB$1006:$AQ$1006,0))&gt;=100000), " ",IF(INDEX($AB$2:$AQ$1001,MATCH(ROWS($U$2:U873),$U$2:$U$1001,0),MATCH(COLUMNS($AB$1006:AP1006),$AB$1006:$AQ$1006,0)), HYPERLINK("#",""), HYPERLINK(CONCATENATE("#Metadata!", ADDRESS(INDEX($W$2:$W$1001,MATCH(ROWS($U$2:U873),$U$2:$U$1001,0),0), INDEX($AB$1004:$AQ$1004,1,MATCH(COLUMNS($AB$1006:AP1006),$AB$1006:$AQ$1006,0)))),"Fix")))</f>
        <v>0</v>
      </c>
      <c r="Q873" s="5">
        <f>IF(OR(INDEX($V$2:$V$1001,MATCH(ROWS($U$2:U873),$U$2:$U$1001,0),1)&gt;=100000,INDEX($AB$1005:$AQ$1005,1,MATCH(COLUMNS($AB$1006:AQ1006),$AB$1006:$AQ$1006,0))&gt;=100000), " ",IF(INDEX($AB$2:$AQ$1001,MATCH(ROWS($U$2:U873),$U$2:$U$1001,0),MATCH(COLUMNS($AB$1006:AQ1006),$AB$1006:$AQ$1006,0)), HYPERLINK("#",""), HYPERLINK(CONCATENATE("#Metadata!", ADDRESS(INDEX($W$2:$W$1001,MATCH(ROWS($U$2:U873),$U$2:$U$1001,0),0), INDEX($AB$1004:$AQ$1004,1,MATCH(COLUMNS($AB$1006:AQ1006),$AB$1006:$AQ$1006,0)))),"Fix")))</f>
        <v>0</v>
      </c>
      <c r="U873">
        <v>0</v>
      </c>
      <c r="V873">
        <v>0</v>
      </c>
      <c r="W873">
        <v>0</v>
      </c>
      <c r="X873">
        <f>IF(Y873,TRUE,AND(AB873:AQ873))</f>
        <v>0</v>
      </c>
      <c r="Y873">
        <f>COUNTBLANK(Metadata!B873:Q873)=COLUMNS(Metadata!B873:Q873)</f>
        <v>0</v>
      </c>
      <c r="Z873">
        <v>0</v>
      </c>
      <c r="AB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AC873">
        <f>AND(IF(Metadata!C873="",FALSE,TRUE),exact(Metadata!C873,"urban biome"))</f>
        <v>0</v>
      </c>
      <c r="AD873">
        <f>AND(IF(Metadata!D873="",FALSE,TRUE),exact(Metadata!D873,"human-associated habitat"))</f>
        <v>0</v>
      </c>
      <c r="AE873">
        <f>AND(IF(Metadata!E873="",FALSE,TRUE),OR(exact(Metadata!E873,"human-associated"),exact(Metadata!E873,"human-skin"),exact(Metadata!E873,"human-oral"),exact(Metadata!E873,"human-gut"),exact(Metadata!E873,"human-vaginal")))</f>
        <v>0</v>
      </c>
      <c r="AF873">
        <f>AND(IF(Metadata!F873="",FALSE,ISNUMBER(VALUE(Metadata!F873))),Metadata!F873&gt;0)</f>
        <v>0</v>
      </c>
      <c r="AG873">
        <f>AND(IF(Metadata!G873="",FALSE,TRUE),exact(Metadata!G873,"years"))</f>
        <v>0</v>
      </c>
      <c r="AH873">
        <f>OR(AND(IF(Metadata!H873="",FALSE,TRUE),OR(exact(Metadata!H873,"not applicable"),exact(Metadata!H873,"not collected"),exact(Metadata!H873,"not provided"),exact(Metadata!H873,"restricted access"))),AND(IF(Metadata!H873="",FALSE,ISNUMBER(VALUE(Metadata!H873))),Metadata!H873&gt;0))</f>
        <v>0</v>
      </c>
      <c r="AI873">
        <f>AND(IF(Metadata!I873="",FALSE,TRUE),exact(Metadata!I873,"human"))</f>
        <v>0</v>
      </c>
      <c r="AJ873">
        <f>AND(IF(Metadata!J873="",FALSE,ISNUMBER(VALUE(Metadata!J873))),Metadata!J873&gt;0)</f>
        <v>0</v>
      </c>
      <c r="AK873">
        <f>AND(IF(Metadata!K873="",FALSE,TRUE),exact(Metadata!K873,"cm"))</f>
        <v>0</v>
      </c>
      <c r="AL873">
        <f>AND(IF(Metadata!L873="",FALSE,TRUE),exact(Metadata!L873,"Homo sapiens"))</f>
        <v>0</v>
      </c>
      <c r="AM873">
        <f>AND(IF(Metadata!M873="",FALSE,TRUE),exact(Metadata!M873,"9606"))</f>
        <v>0</v>
      </c>
      <c r="AN873">
        <f>AND(IF(Metadata!N873="",FALSE,ISNUMBER(VALUE(Metadata!N873))),Metadata!N873&gt;0)</f>
        <v>0</v>
      </c>
      <c r="AO873">
        <f>AND(IF(Metadata!O873="",FALSE,TRUE),exact(Metadata!O873,"kg"))</f>
        <v>0</v>
      </c>
      <c r="AP873">
        <f>OR(AND(IF(Metadata!P873="",FALSE,TRUE),exact(Metadata!P873,"not provided")),IF(Metadata!P873="",FALSE,TRUE))</f>
        <v>0</v>
      </c>
      <c r="AQ873">
        <f>OR(AND(IF(Metadata!Q873="",FALSE,TRUE),exact(Metadata!Q873,"not provided")),IF(Metadata!Q873="",FALSE,TRUE))</f>
        <v>0</v>
      </c>
    </row>
    <row r="874" spans="1:43">
      <c r="A874" s="4">
        <f>IF(B874=" "," ",HYPERLINK(CONCATENATE("#metadata!",ADDRESS(INDEX($W$2:$W$1001,MATCH(ROWS($U$2:U874),$U$2:$U$1001,0),0),2)),INDEX($Z$2:$Z$1001,MATCH(ROWS($U$2:U874),$U$2:$U$1001,0),0)))</f>
        <v>0</v>
      </c>
      <c r="B874" s="5">
        <f>IF(OR(INDEX($V$2:$V$1001,MATCH(ROWS($U$2:U874),$U$2:$U$1001,0),1)&gt;=100000,INDEX($AB$1005:$AQ$1005,1,MATCH(COLUMNS($AB$1006:AB1006),$AB$1006:$AQ$1006,0))&gt;=100000), " ",IF(INDEX($AB$2:$AQ$1001,MATCH(ROWS($U$2:U874),$U$2:$U$1001,0),MATCH(COLUMNS($AB$1006:AB1006),$AB$1006:$AQ$1006,0)), HYPERLINK("#",""), HYPERLINK(CONCATENATE("#Metadata!", ADDRESS(INDEX($W$2:$W$1001,MATCH(ROWS($U$2:U874),$U$2:$U$1001,0),0), INDEX($AB$1004:$AQ$1004,1,MATCH(COLUMNS($AB$1006:AB1006),$AB$1006:$AQ$1006,0)))),"Fix")))</f>
        <v>0</v>
      </c>
      <c r="C874" s="5">
        <f>IF(OR(INDEX($V$2:$V$1001,MATCH(ROWS($U$2:U874),$U$2:$U$1001,0),1)&gt;=100000,INDEX($AB$1005:$AQ$1005,1,MATCH(COLUMNS($AB$1006:AC1006),$AB$1006:$AQ$1006,0))&gt;=100000), " ",IF(INDEX($AB$2:$AQ$1001,MATCH(ROWS($U$2:U874),$U$2:$U$1001,0),MATCH(COLUMNS($AB$1006:AC1006),$AB$1006:$AQ$1006,0)), HYPERLINK("#",""), HYPERLINK(CONCATENATE("#Metadata!", ADDRESS(INDEX($W$2:$W$1001,MATCH(ROWS($U$2:U874),$U$2:$U$1001,0),0), INDEX($AB$1004:$AQ$1004,1,MATCH(COLUMNS($AB$1006:AC1006),$AB$1006:$AQ$1006,0)))),"Fix")))</f>
        <v>0</v>
      </c>
      <c r="D874" s="5">
        <f>IF(OR(INDEX($V$2:$V$1001,MATCH(ROWS($U$2:U874),$U$2:$U$1001,0),1)&gt;=100000,INDEX($AB$1005:$AQ$1005,1,MATCH(COLUMNS($AB$1006:AD1006),$AB$1006:$AQ$1006,0))&gt;=100000), " ",IF(INDEX($AB$2:$AQ$1001,MATCH(ROWS($U$2:U874),$U$2:$U$1001,0),MATCH(COLUMNS($AB$1006:AD1006),$AB$1006:$AQ$1006,0)), HYPERLINK("#",""), HYPERLINK(CONCATENATE("#Metadata!", ADDRESS(INDEX($W$2:$W$1001,MATCH(ROWS($U$2:U874),$U$2:$U$1001,0),0), INDEX($AB$1004:$AQ$1004,1,MATCH(COLUMNS($AB$1006:AD1006),$AB$1006:$AQ$1006,0)))),"Fix")))</f>
        <v>0</v>
      </c>
      <c r="E874" s="5">
        <f>IF(OR(INDEX($V$2:$V$1001,MATCH(ROWS($U$2:U874),$U$2:$U$1001,0),1)&gt;=100000,INDEX($AB$1005:$AQ$1005,1,MATCH(COLUMNS($AB$1006:AE1006),$AB$1006:$AQ$1006,0))&gt;=100000), " ",IF(INDEX($AB$2:$AQ$1001,MATCH(ROWS($U$2:U874),$U$2:$U$1001,0),MATCH(COLUMNS($AB$1006:AE1006),$AB$1006:$AQ$1006,0)), HYPERLINK("#",""), HYPERLINK(CONCATENATE("#Metadata!", ADDRESS(INDEX($W$2:$W$1001,MATCH(ROWS($U$2:U874),$U$2:$U$1001,0),0), INDEX($AB$1004:$AQ$1004,1,MATCH(COLUMNS($AB$1006:AE1006),$AB$1006:$AQ$1006,0)))),"Fix")))</f>
        <v>0</v>
      </c>
      <c r="F874" s="5">
        <f>IF(OR(INDEX($V$2:$V$1001,MATCH(ROWS($U$2:U874),$U$2:$U$1001,0),1)&gt;=100000,INDEX($AB$1005:$AQ$1005,1,MATCH(COLUMNS($AB$1006:AF1006),$AB$1006:$AQ$1006,0))&gt;=100000), " ",IF(INDEX($AB$2:$AQ$1001,MATCH(ROWS($U$2:U874),$U$2:$U$1001,0),MATCH(COLUMNS($AB$1006:AF1006),$AB$1006:$AQ$1006,0)), HYPERLINK("#",""), HYPERLINK(CONCATENATE("#Metadata!", ADDRESS(INDEX($W$2:$W$1001,MATCH(ROWS($U$2:U874),$U$2:$U$1001,0),0), INDEX($AB$1004:$AQ$1004,1,MATCH(COLUMNS($AB$1006:AF1006),$AB$1006:$AQ$1006,0)))),"Fix")))</f>
        <v>0</v>
      </c>
      <c r="G874" s="5">
        <f>IF(OR(INDEX($V$2:$V$1001,MATCH(ROWS($U$2:U874),$U$2:$U$1001,0),1)&gt;=100000,INDEX($AB$1005:$AQ$1005,1,MATCH(COLUMNS($AB$1006:AG1006),$AB$1006:$AQ$1006,0))&gt;=100000), " ",IF(INDEX($AB$2:$AQ$1001,MATCH(ROWS($U$2:U874),$U$2:$U$1001,0),MATCH(COLUMNS($AB$1006:AG1006),$AB$1006:$AQ$1006,0)), HYPERLINK("#",""), HYPERLINK(CONCATENATE("#Metadata!", ADDRESS(INDEX($W$2:$W$1001,MATCH(ROWS($U$2:U874),$U$2:$U$1001,0),0), INDEX($AB$1004:$AQ$1004,1,MATCH(COLUMNS($AB$1006:AG1006),$AB$1006:$AQ$1006,0)))),"Fix")))</f>
        <v>0</v>
      </c>
      <c r="H874" s="5">
        <f>IF(OR(INDEX($V$2:$V$1001,MATCH(ROWS($U$2:U874),$U$2:$U$1001,0),1)&gt;=100000,INDEX($AB$1005:$AQ$1005,1,MATCH(COLUMNS($AB$1006:AH1006),$AB$1006:$AQ$1006,0))&gt;=100000), " ",IF(INDEX($AB$2:$AQ$1001,MATCH(ROWS($U$2:U874),$U$2:$U$1001,0),MATCH(COLUMNS($AB$1006:AH1006),$AB$1006:$AQ$1006,0)), HYPERLINK("#",""), HYPERLINK(CONCATENATE("#Metadata!", ADDRESS(INDEX($W$2:$W$1001,MATCH(ROWS($U$2:U874),$U$2:$U$1001,0),0), INDEX($AB$1004:$AQ$1004,1,MATCH(COLUMNS($AB$1006:AH1006),$AB$1006:$AQ$1006,0)))),"Fix")))</f>
        <v>0</v>
      </c>
      <c r="I874" s="5">
        <f>IF(OR(INDEX($V$2:$V$1001,MATCH(ROWS($U$2:U874),$U$2:$U$1001,0),1)&gt;=100000,INDEX($AB$1005:$AQ$1005,1,MATCH(COLUMNS($AB$1006:AI1006),$AB$1006:$AQ$1006,0))&gt;=100000), " ",IF(INDEX($AB$2:$AQ$1001,MATCH(ROWS($U$2:U874),$U$2:$U$1001,0),MATCH(COLUMNS($AB$1006:AI1006),$AB$1006:$AQ$1006,0)), HYPERLINK("#",""), HYPERLINK(CONCATENATE("#Metadata!", ADDRESS(INDEX($W$2:$W$1001,MATCH(ROWS($U$2:U874),$U$2:$U$1001,0),0), INDEX($AB$1004:$AQ$1004,1,MATCH(COLUMNS($AB$1006:AI1006),$AB$1006:$AQ$1006,0)))),"Fix")))</f>
        <v>0</v>
      </c>
      <c r="J874" s="5">
        <f>IF(OR(INDEX($V$2:$V$1001,MATCH(ROWS($U$2:U874),$U$2:$U$1001,0),1)&gt;=100000,INDEX($AB$1005:$AQ$1005,1,MATCH(COLUMNS($AB$1006:AJ1006),$AB$1006:$AQ$1006,0))&gt;=100000), " ",IF(INDEX($AB$2:$AQ$1001,MATCH(ROWS($U$2:U874),$U$2:$U$1001,0),MATCH(COLUMNS($AB$1006:AJ1006),$AB$1006:$AQ$1006,0)), HYPERLINK("#",""), HYPERLINK(CONCATENATE("#Metadata!", ADDRESS(INDEX($W$2:$W$1001,MATCH(ROWS($U$2:U874),$U$2:$U$1001,0),0), INDEX($AB$1004:$AQ$1004,1,MATCH(COLUMNS($AB$1006:AJ1006),$AB$1006:$AQ$1006,0)))),"Fix")))</f>
        <v>0</v>
      </c>
      <c r="K874" s="5">
        <f>IF(OR(INDEX($V$2:$V$1001,MATCH(ROWS($U$2:U874),$U$2:$U$1001,0),1)&gt;=100000,INDEX($AB$1005:$AQ$1005,1,MATCH(COLUMNS($AB$1006:AK1006),$AB$1006:$AQ$1006,0))&gt;=100000), " ",IF(INDEX($AB$2:$AQ$1001,MATCH(ROWS($U$2:U874),$U$2:$U$1001,0),MATCH(COLUMNS($AB$1006:AK1006),$AB$1006:$AQ$1006,0)), HYPERLINK("#",""), HYPERLINK(CONCATENATE("#Metadata!", ADDRESS(INDEX($W$2:$W$1001,MATCH(ROWS($U$2:U874),$U$2:$U$1001,0),0), INDEX($AB$1004:$AQ$1004,1,MATCH(COLUMNS($AB$1006:AK1006),$AB$1006:$AQ$1006,0)))),"Fix")))</f>
        <v>0</v>
      </c>
      <c r="L874" s="5">
        <f>IF(OR(INDEX($V$2:$V$1001,MATCH(ROWS($U$2:U874),$U$2:$U$1001,0),1)&gt;=100000,INDEX($AB$1005:$AQ$1005,1,MATCH(COLUMNS($AB$1006:AL1006),$AB$1006:$AQ$1006,0))&gt;=100000), " ",IF(INDEX($AB$2:$AQ$1001,MATCH(ROWS($U$2:U874),$U$2:$U$1001,0),MATCH(COLUMNS($AB$1006:AL1006),$AB$1006:$AQ$1006,0)), HYPERLINK("#",""), HYPERLINK(CONCATENATE("#Metadata!", ADDRESS(INDEX($W$2:$W$1001,MATCH(ROWS($U$2:U874),$U$2:$U$1001,0),0), INDEX($AB$1004:$AQ$1004,1,MATCH(COLUMNS($AB$1006:AL1006),$AB$1006:$AQ$1006,0)))),"Fix")))</f>
        <v>0</v>
      </c>
      <c r="M874" s="5">
        <f>IF(OR(INDEX($V$2:$V$1001,MATCH(ROWS($U$2:U874),$U$2:$U$1001,0),1)&gt;=100000,INDEX($AB$1005:$AQ$1005,1,MATCH(COLUMNS($AB$1006:AM1006),$AB$1006:$AQ$1006,0))&gt;=100000), " ",IF(INDEX($AB$2:$AQ$1001,MATCH(ROWS($U$2:U874),$U$2:$U$1001,0),MATCH(COLUMNS($AB$1006:AM1006),$AB$1006:$AQ$1006,0)), HYPERLINK("#",""), HYPERLINK(CONCATENATE("#Metadata!", ADDRESS(INDEX($W$2:$W$1001,MATCH(ROWS($U$2:U874),$U$2:$U$1001,0),0), INDEX($AB$1004:$AQ$1004,1,MATCH(COLUMNS($AB$1006:AM1006),$AB$1006:$AQ$1006,0)))),"Fix")))</f>
        <v>0</v>
      </c>
      <c r="N874" s="5">
        <f>IF(OR(INDEX($V$2:$V$1001,MATCH(ROWS($U$2:U874),$U$2:$U$1001,0),1)&gt;=100000,INDEX($AB$1005:$AQ$1005,1,MATCH(COLUMNS($AB$1006:AN1006),$AB$1006:$AQ$1006,0))&gt;=100000), " ",IF(INDEX($AB$2:$AQ$1001,MATCH(ROWS($U$2:U874),$U$2:$U$1001,0),MATCH(COLUMNS($AB$1006:AN1006),$AB$1006:$AQ$1006,0)), HYPERLINK("#",""), HYPERLINK(CONCATENATE("#Metadata!", ADDRESS(INDEX($W$2:$W$1001,MATCH(ROWS($U$2:U874),$U$2:$U$1001,0),0), INDEX($AB$1004:$AQ$1004,1,MATCH(COLUMNS($AB$1006:AN1006),$AB$1006:$AQ$1006,0)))),"Fix")))</f>
        <v>0</v>
      </c>
      <c r="O874" s="5">
        <f>IF(OR(INDEX($V$2:$V$1001,MATCH(ROWS($U$2:U874),$U$2:$U$1001,0),1)&gt;=100000,INDEX($AB$1005:$AQ$1005,1,MATCH(COLUMNS($AB$1006:AO1006),$AB$1006:$AQ$1006,0))&gt;=100000), " ",IF(INDEX($AB$2:$AQ$1001,MATCH(ROWS($U$2:U874),$U$2:$U$1001,0),MATCH(COLUMNS($AB$1006:AO1006),$AB$1006:$AQ$1006,0)), HYPERLINK("#",""), HYPERLINK(CONCATENATE("#Metadata!", ADDRESS(INDEX($W$2:$W$1001,MATCH(ROWS($U$2:U874),$U$2:$U$1001,0),0), INDEX($AB$1004:$AQ$1004,1,MATCH(COLUMNS($AB$1006:AO1006),$AB$1006:$AQ$1006,0)))),"Fix")))</f>
        <v>0</v>
      </c>
      <c r="P874" s="5">
        <f>IF(OR(INDEX($V$2:$V$1001,MATCH(ROWS($U$2:U874),$U$2:$U$1001,0),1)&gt;=100000,INDEX($AB$1005:$AQ$1005,1,MATCH(COLUMNS($AB$1006:AP1006),$AB$1006:$AQ$1006,0))&gt;=100000), " ",IF(INDEX($AB$2:$AQ$1001,MATCH(ROWS($U$2:U874),$U$2:$U$1001,0),MATCH(COLUMNS($AB$1006:AP1006),$AB$1006:$AQ$1006,0)), HYPERLINK("#",""), HYPERLINK(CONCATENATE("#Metadata!", ADDRESS(INDEX($W$2:$W$1001,MATCH(ROWS($U$2:U874),$U$2:$U$1001,0),0), INDEX($AB$1004:$AQ$1004,1,MATCH(COLUMNS($AB$1006:AP1006),$AB$1006:$AQ$1006,0)))),"Fix")))</f>
        <v>0</v>
      </c>
      <c r="Q874" s="5">
        <f>IF(OR(INDEX($V$2:$V$1001,MATCH(ROWS($U$2:U874),$U$2:$U$1001,0),1)&gt;=100000,INDEX($AB$1005:$AQ$1005,1,MATCH(COLUMNS($AB$1006:AQ1006),$AB$1006:$AQ$1006,0))&gt;=100000), " ",IF(INDEX($AB$2:$AQ$1001,MATCH(ROWS($U$2:U874),$U$2:$U$1001,0),MATCH(COLUMNS($AB$1006:AQ1006),$AB$1006:$AQ$1006,0)), HYPERLINK("#",""), HYPERLINK(CONCATENATE("#Metadata!", ADDRESS(INDEX($W$2:$W$1001,MATCH(ROWS($U$2:U874),$U$2:$U$1001,0),0), INDEX($AB$1004:$AQ$1004,1,MATCH(COLUMNS($AB$1006:AQ1006),$AB$1006:$AQ$1006,0)))),"Fix")))</f>
        <v>0</v>
      </c>
      <c r="U874">
        <v>0</v>
      </c>
      <c r="V874">
        <v>0</v>
      </c>
      <c r="W874">
        <v>0</v>
      </c>
      <c r="X874">
        <f>IF(Y874,TRUE,AND(AB874:AQ874))</f>
        <v>0</v>
      </c>
      <c r="Y874">
        <f>COUNTBLANK(Metadata!B874:Q874)=COLUMNS(Metadata!B874:Q874)</f>
        <v>0</v>
      </c>
      <c r="Z874">
        <v>0</v>
      </c>
      <c r="AB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AC874">
        <f>AND(IF(Metadata!C874="",FALSE,TRUE),exact(Metadata!C874,"urban biome"))</f>
        <v>0</v>
      </c>
      <c r="AD874">
        <f>AND(IF(Metadata!D874="",FALSE,TRUE),exact(Metadata!D874,"human-associated habitat"))</f>
        <v>0</v>
      </c>
      <c r="AE874">
        <f>AND(IF(Metadata!E874="",FALSE,TRUE),OR(exact(Metadata!E874,"human-associated"),exact(Metadata!E874,"human-skin"),exact(Metadata!E874,"human-oral"),exact(Metadata!E874,"human-gut"),exact(Metadata!E874,"human-vaginal")))</f>
        <v>0</v>
      </c>
      <c r="AF874">
        <f>AND(IF(Metadata!F874="",FALSE,ISNUMBER(VALUE(Metadata!F874))),Metadata!F874&gt;0)</f>
        <v>0</v>
      </c>
      <c r="AG874">
        <f>AND(IF(Metadata!G874="",FALSE,TRUE),exact(Metadata!G874,"years"))</f>
        <v>0</v>
      </c>
      <c r="AH874">
        <f>OR(AND(IF(Metadata!H874="",FALSE,TRUE),OR(exact(Metadata!H874,"not applicable"),exact(Metadata!H874,"not collected"),exact(Metadata!H874,"not provided"),exact(Metadata!H874,"restricted access"))),AND(IF(Metadata!H874="",FALSE,ISNUMBER(VALUE(Metadata!H874))),Metadata!H874&gt;0))</f>
        <v>0</v>
      </c>
      <c r="AI874">
        <f>AND(IF(Metadata!I874="",FALSE,TRUE),exact(Metadata!I874,"human"))</f>
        <v>0</v>
      </c>
      <c r="AJ874">
        <f>AND(IF(Metadata!J874="",FALSE,ISNUMBER(VALUE(Metadata!J874))),Metadata!J874&gt;0)</f>
        <v>0</v>
      </c>
      <c r="AK874">
        <f>AND(IF(Metadata!K874="",FALSE,TRUE),exact(Metadata!K874,"cm"))</f>
        <v>0</v>
      </c>
      <c r="AL874">
        <f>AND(IF(Metadata!L874="",FALSE,TRUE),exact(Metadata!L874,"Homo sapiens"))</f>
        <v>0</v>
      </c>
      <c r="AM874">
        <f>AND(IF(Metadata!M874="",FALSE,TRUE),exact(Metadata!M874,"9606"))</f>
        <v>0</v>
      </c>
      <c r="AN874">
        <f>AND(IF(Metadata!N874="",FALSE,ISNUMBER(VALUE(Metadata!N874))),Metadata!N874&gt;0)</f>
        <v>0</v>
      </c>
      <c r="AO874">
        <f>AND(IF(Metadata!O874="",FALSE,TRUE),exact(Metadata!O874,"kg"))</f>
        <v>0</v>
      </c>
      <c r="AP874">
        <f>OR(AND(IF(Metadata!P874="",FALSE,TRUE),exact(Metadata!P874,"not provided")),IF(Metadata!P874="",FALSE,TRUE))</f>
        <v>0</v>
      </c>
      <c r="AQ874">
        <f>OR(AND(IF(Metadata!Q874="",FALSE,TRUE),exact(Metadata!Q874,"not provided")),IF(Metadata!Q874="",FALSE,TRUE))</f>
        <v>0</v>
      </c>
    </row>
    <row r="875" spans="1:43">
      <c r="A875" s="4">
        <f>IF(B875=" "," ",HYPERLINK(CONCATENATE("#metadata!",ADDRESS(INDEX($W$2:$W$1001,MATCH(ROWS($U$2:U875),$U$2:$U$1001,0),0),2)),INDEX($Z$2:$Z$1001,MATCH(ROWS($U$2:U875),$U$2:$U$1001,0),0)))</f>
        <v>0</v>
      </c>
      <c r="B875" s="5">
        <f>IF(OR(INDEX($V$2:$V$1001,MATCH(ROWS($U$2:U875),$U$2:$U$1001,0),1)&gt;=100000,INDEX($AB$1005:$AQ$1005,1,MATCH(COLUMNS($AB$1006:AB1006),$AB$1006:$AQ$1006,0))&gt;=100000), " ",IF(INDEX($AB$2:$AQ$1001,MATCH(ROWS($U$2:U875),$U$2:$U$1001,0),MATCH(COLUMNS($AB$1006:AB1006),$AB$1006:$AQ$1006,0)), HYPERLINK("#",""), HYPERLINK(CONCATENATE("#Metadata!", ADDRESS(INDEX($W$2:$W$1001,MATCH(ROWS($U$2:U875),$U$2:$U$1001,0),0), INDEX($AB$1004:$AQ$1004,1,MATCH(COLUMNS($AB$1006:AB1006),$AB$1006:$AQ$1006,0)))),"Fix")))</f>
        <v>0</v>
      </c>
      <c r="C875" s="5">
        <f>IF(OR(INDEX($V$2:$V$1001,MATCH(ROWS($U$2:U875),$U$2:$U$1001,0),1)&gt;=100000,INDEX($AB$1005:$AQ$1005,1,MATCH(COLUMNS($AB$1006:AC1006),$AB$1006:$AQ$1006,0))&gt;=100000), " ",IF(INDEX($AB$2:$AQ$1001,MATCH(ROWS($U$2:U875),$U$2:$U$1001,0),MATCH(COLUMNS($AB$1006:AC1006),$AB$1006:$AQ$1006,0)), HYPERLINK("#",""), HYPERLINK(CONCATENATE("#Metadata!", ADDRESS(INDEX($W$2:$W$1001,MATCH(ROWS($U$2:U875),$U$2:$U$1001,0),0), INDEX($AB$1004:$AQ$1004,1,MATCH(COLUMNS($AB$1006:AC1006),$AB$1006:$AQ$1006,0)))),"Fix")))</f>
        <v>0</v>
      </c>
      <c r="D875" s="5">
        <f>IF(OR(INDEX($V$2:$V$1001,MATCH(ROWS($U$2:U875),$U$2:$U$1001,0),1)&gt;=100000,INDEX($AB$1005:$AQ$1005,1,MATCH(COLUMNS($AB$1006:AD1006),$AB$1006:$AQ$1006,0))&gt;=100000), " ",IF(INDEX($AB$2:$AQ$1001,MATCH(ROWS($U$2:U875),$U$2:$U$1001,0),MATCH(COLUMNS($AB$1006:AD1006),$AB$1006:$AQ$1006,0)), HYPERLINK("#",""), HYPERLINK(CONCATENATE("#Metadata!", ADDRESS(INDEX($W$2:$W$1001,MATCH(ROWS($U$2:U875),$U$2:$U$1001,0),0), INDEX($AB$1004:$AQ$1004,1,MATCH(COLUMNS($AB$1006:AD1006),$AB$1006:$AQ$1006,0)))),"Fix")))</f>
        <v>0</v>
      </c>
      <c r="E875" s="5">
        <f>IF(OR(INDEX($V$2:$V$1001,MATCH(ROWS($U$2:U875),$U$2:$U$1001,0),1)&gt;=100000,INDEX($AB$1005:$AQ$1005,1,MATCH(COLUMNS($AB$1006:AE1006),$AB$1006:$AQ$1006,0))&gt;=100000), " ",IF(INDEX($AB$2:$AQ$1001,MATCH(ROWS($U$2:U875),$U$2:$U$1001,0),MATCH(COLUMNS($AB$1006:AE1006),$AB$1006:$AQ$1006,0)), HYPERLINK("#",""), HYPERLINK(CONCATENATE("#Metadata!", ADDRESS(INDEX($W$2:$W$1001,MATCH(ROWS($U$2:U875),$U$2:$U$1001,0),0), INDEX($AB$1004:$AQ$1004,1,MATCH(COLUMNS($AB$1006:AE1006),$AB$1006:$AQ$1006,0)))),"Fix")))</f>
        <v>0</v>
      </c>
      <c r="F875" s="5">
        <f>IF(OR(INDEX($V$2:$V$1001,MATCH(ROWS($U$2:U875),$U$2:$U$1001,0),1)&gt;=100000,INDEX($AB$1005:$AQ$1005,1,MATCH(COLUMNS($AB$1006:AF1006),$AB$1006:$AQ$1006,0))&gt;=100000), " ",IF(INDEX($AB$2:$AQ$1001,MATCH(ROWS($U$2:U875),$U$2:$U$1001,0),MATCH(COLUMNS($AB$1006:AF1006),$AB$1006:$AQ$1006,0)), HYPERLINK("#",""), HYPERLINK(CONCATENATE("#Metadata!", ADDRESS(INDEX($W$2:$W$1001,MATCH(ROWS($U$2:U875),$U$2:$U$1001,0),0), INDEX($AB$1004:$AQ$1004,1,MATCH(COLUMNS($AB$1006:AF1006),$AB$1006:$AQ$1006,0)))),"Fix")))</f>
        <v>0</v>
      </c>
      <c r="G875" s="5">
        <f>IF(OR(INDEX($V$2:$V$1001,MATCH(ROWS($U$2:U875),$U$2:$U$1001,0),1)&gt;=100000,INDEX($AB$1005:$AQ$1005,1,MATCH(COLUMNS($AB$1006:AG1006),$AB$1006:$AQ$1006,0))&gt;=100000), " ",IF(INDEX($AB$2:$AQ$1001,MATCH(ROWS($U$2:U875),$U$2:$U$1001,0),MATCH(COLUMNS($AB$1006:AG1006),$AB$1006:$AQ$1006,0)), HYPERLINK("#",""), HYPERLINK(CONCATENATE("#Metadata!", ADDRESS(INDEX($W$2:$W$1001,MATCH(ROWS($U$2:U875),$U$2:$U$1001,0),0), INDEX($AB$1004:$AQ$1004,1,MATCH(COLUMNS($AB$1006:AG1006),$AB$1006:$AQ$1006,0)))),"Fix")))</f>
        <v>0</v>
      </c>
      <c r="H875" s="5">
        <f>IF(OR(INDEX($V$2:$V$1001,MATCH(ROWS($U$2:U875),$U$2:$U$1001,0),1)&gt;=100000,INDEX($AB$1005:$AQ$1005,1,MATCH(COLUMNS($AB$1006:AH1006),$AB$1006:$AQ$1006,0))&gt;=100000), " ",IF(INDEX($AB$2:$AQ$1001,MATCH(ROWS($U$2:U875),$U$2:$U$1001,0),MATCH(COLUMNS($AB$1006:AH1006),$AB$1006:$AQ$1006,0)), HYPERLINK("#",""), HYPERLINK(CONCATENATE("#Metadata!", ADDRESS(INDEX($W$2:$W$1001,MATCH(ROWS($U$2:U875),$U$2:$U$1001,0),0), INDEX($AB$1004:$AQ$1004,1,MATCH(COLUMNS($AB$1006:AH1006),$AB$1006:$AQ$1006,0)))),"Fix")))</f>
        <v>0</v>
      </c>
      <c r="I875" s="5">
        <f>IF(OR(INDEX($V$2:$V$1001,MATCH(ROWS($U$2:U875),$U$2:$U$1001,0),1)&gt;=100000,INDEX($AB$1005:$AQ$1005,1,MATCH(COLUMNS($AB$1006:AI1006),$AB$1006:$AQ$1006,0))&gt;=100000), " ",IF(INDEX($AB$2:$AQ$1001,MATCH(ROWS($U$2:U875),$U$2:$U$1001,0),MATCH(COLUMNS($AB$1006:AI1006),$AB$1006:$AQ$1006,0)), HYPERLINK("#",""), HYPERLINK(CONCATENATE("#Metadata!", ADDRESS(INDEX($W$2:$W$1001,MATCH(ROWS($U$2:U875),$U$2:$U$1001,0),0), INDEX($AB$1004:$AQ$1004,1,MATCH(COLUMNS($AB$1006:AI1006),$AB$1006:$AQ$1006,0)))),"Fix")))</f>
        <v>0</v>
      </c>
      <c r="J875" s="5">
        <f>IF(OR(INDEX($V$2:$V$1001,MATCH(ROWS($U$2:U875),$U$2:$U$1001,0),1)&gt;=100000,INDEX($AB$1005:$AQ$1005,1,MATCH(COLUMNS($AB$1006:AJ1006),$AB$1006:$AQ$1006,0))&gt;=100000), " ",IF(INDEX($AB$2:$AQ$1001,MATCH(ROWS($U$2:U875),$U$2:$U$1001,0),MATCH(COLUMNS($AB$1006:AJ1006),$AB$1006:$AQ$1006,0)), HYPERLINK("#",""), HYPERLINK(CONCATENATE("#Metadata!", ADDRESS(INDEX($W$2:$W$1001,MATCH(ROWS($U$2:U875),$U$2:$U$1001,0),0), INDEX($AB$1004:$AQ$1004,1,MATCH(COLUMNS($AB$1006:AJ1006),$AB$1006:$AQ$1006,0)))),"Fix")))</f>
        <v>0</v>
      </c>
      <c r="K875" s="5">
        <f>IF(OR(INDEX($V$2:$V$1001,MATCH(ROWS($U$2:U875),$U$2:$U$1001,0),1)&gt;=100000,INDEX($AB$1005:$AQ$1005,1,MATCH(COLUMNS($AB$1006:AK1006),$AB$1006:$AQ$1006,0))&gt;=100000), " ",IF(INDEX($AB$2:$AQ$1001,MATCH(ROWS($U$2:U875),$U$2:$U$1001,0),MATCH(COLUMNS($AB$1006:AK1006),$AB$1006:$AQ$1006,0)), HYPERLINK("#",""), HYPERLINK(CONCATENATE("#Metadata!", ADDRESS(INDEX($W$2:$W$1001,MATCH(ROWS($U$2:U875),$U$2:$U$1001,0),0), INDEX($AB$1004:$AQ$1004,1,MATCH(COLUMNS($AB$1006:AK1006),$AB$1006:$AQ$1006,0)))),"Fix")))</f>
        <v>0</v>
      </c>
      <c r="L875" s="5">
        <f>IF(OR(INDEX($V$2:$V$1001,MATCH(ROWS($U$2:U875),$U$2:$U$1001,0),1)&gt;=100000,INDEX($AB$1005:$AQ$1005,1,MATCH(COLUMNS($AB$1006:AL1006),$AB$1006:$AQ$1006,0))&gt;=100000), " ",IF(INDEX($AB$2:$AQ$1001,MATCH(ROWS($U$2:U875),$U$2:$U$1001,0),MATCH(COLUMNS($AB$1006:AL1006),$AB$1006:$AQ$1006,0)), HYPERLINK("#",""), HYPERLINK(CONCATENATE("#Metadata!", ADDRESS(INDEX($W$2:$W$1001,MATCH(ROWS($U$2:U875),$U$2:$U$1001,0),0), INDEX($AB$1004:$AQ$1004,1,MATCH(COLUMNS($AB$1006:AL1006),$AB$1006:$AQ$1006,0)))),"Fix")))</f>
        <v>0</v>
      </c>
      <c r="M875" s="5">
        <f>IF(OR(INDEX($V$2:$V$1001,MATCH(ROWS($U$2:U875),$U$2:$U$1001,0),1)&gt;=100000,INDEX($AB$1005:$AQ$1005,1,MATCH(COLUMNS($AB$1006:AM1006),$AB$1006:$AQ$1006,0))&gt;=100000), " ",IF(INDEX($AB$2:$AQ$1001,MATCH(ROWS($U$2:U875),$U$2:$U$1001,0),MATCH(COLUMNS($AB$1006:AM1006),$AB$1006:$AQ$1006,0)), HYPERLINK("#",""), HYPERLINK(CONCATENATE("#Metadata!", ADDRESS(INDEX($W$2:$W$1001,MATCH(ROWS($U$2:U875),$U$2:$U$1001,0),0), INDEX($AB$1004:$AQ$1004,1,MATCH(COLUMNS($AB$1006:AM1006),$AB$1006:$AQ$1006,0)))),"Fix")))</f>
        <v>0</v>
      </c>
      <c r="N875" s="5">
        <f>IF(OR(INDEX($V$2:$V$1001,MATCH(ROWS($U$2:U875),$U$2:$U$1001,0),1)&gt;=100000,INDEX($AB$1005:$AQ$1005,1,MATCH(COLUMNS($AB$1006:AN1006),$AB$1006:$AQ$1006,0))&gt;=100000), " ",IF(INDEX($AB$2:$AQ$1001,MATCH(ROWS($U$2:U875),$U$2:$U$1001,0),MATCH(COLUMNS($AB$1006:AN1006),$AB$1006:$AQ$1006,0)), HYPERLINK("#",""), HYPERLINK(CONCATENATE("#Metadata!", ADDRESS(INDEX($W$2:$W$1001,MATCH(ROWS($U$2:U875),$U$2:$U$1001,0),0), INDEX($AB$1004:$AQ$1004,1,MATCH(COLUMNS($AB$1006:AN1006),$AB$1006:$AQ$1006,0)))),"Fix")))</f>
        <v>0</v>
      </c>
      <c r="O875" s="5">
        <f>IF(OR(INDEX($V$2:$V$1001,MATCH(ROWS($U$2:U875),$U$2:$U$1001,0),1)&gt;=100000,INDEX($AB$1005:$AQ$1005,1,MATCH(COLUMNS($AB$1006:AO1006),$AB$1006:$AQ$1006,0))&gt;=100000), " ",IF(INDEX($AB$2:$AQ$1001,MATCH(ROWS($U$2:U875),$U$2:$U$1001,0),MATCH(COLUMNS($AB$1006:AO1006),$AB$1006:$AQ$1006,0)), HYPERLINK("#",""), HYPERLINK(CONCATENATE("#Metadata!", ADDRESS(INDEX($W$2:$W$1001,MATCH(ROWS($U$2:U875),$U$2:$U$1001,0),0), INDEX($AB$1004:$AQ$1004,1,MATCH(COLUMNS($AB$1006:AO1006),$AB$1006:$AQ$1006,0)))),"Fix")))</f>
        <v>0</v>
      </c>
      <c r="P875" s="5">
        <f>IF(OR(INDEX($V$2:$V$1001,MATCH(ROWS($U$2:U875),$U$2:$U$1001,0),1)&gt;=100000,INDEX($AB$1005:$AQ$1005,1,MATCH(COLUMNS($AB$1006:AP1006),$AB$1006:$AQ$1006,0))&gt;=100000), " ",IF(INDEX($AB$2:$AQ$1001,MATCH(ROWS($U$2:U875),$U$2:$U$1001,0),MATCH(COLUMNS($AB$1006:AP1006),$AB$1006:$AQ$1006,0)), HYPERLINK("#",""), HYPERLINK(CONCATENATE("#Metadata!", ADDRESS(INDEX($W$2:$W$1001,MATCH(ROWS($U$2:U875),$U$2:$U$1001,0),0), INDEX($AB$1004:$AQ$1004,1,MATCH(COLUMNS($AB$1006:AP1006),$AB$1006:$AQ$1006,0)))),"Fix")))</f>
        <v>0</v>
      </c>
      <c r="Q875" s="5">
        <f>IF(OR(INDEX($V$2:$V$1001,MATCH(ROWS($U$2:U875),$U$2:$U$1001,0),1)&gt;=100000,INDEX($AB$1005:$AQ$1005,1,MATCH(COLUMNS($AB$1006:AQ1006),$AB$1006:$AQ$1006,0))&gt;=100000), " ",IF(INDEX($AB$2:$AQ$1001,MATCH(ROWS($U$2:U875),$U$2:$U$1001,0),MATCH(COLUMNS($AB$1006:AQ1006),$AB$1006:$AQ$1006,0)), HYPERLINK("#",""), HYPERLINK(CONCATENATE("#Metadata!", ADDRESS(INDEX($W$2:$W$1001,MATCH(ROWS($U$2:U875),$U$2:$U$1001,0),0), INDEX($AB$1004:$AQ$1004,1,MATCH(COLUMNS($AB$1006:AQ1006),$AB$1006:$AQ$1006,0)))),"Fix")))</f>
        <v>0</v>
      </c>
      <c r="U875">
        <v>0</v>
      </c>
      <c r="V875">
        <v>0</v>
      </c>
      <c r="W875">
        <v>0</v>
      </c>
      <c r="X875">
        <f>IF(Y875,TRUE,AND(AB875:AQ875))</f>
        <v>0</v>
      </c>
      <c r="Y875">
        <f>COUNTBLANK(Metadata!B875:Q875)=COLUMNS(Metadata!B875:Q875)</f>
        <v>0</v>
      </c>
      <c r="Z875">
        <v>0</v>
      </c>
      <c r="AB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AC875">
        <f>AND(IF(Metadata!C875="",FALSE,TRUE),exact(Metadata!C875,"urban biome"))</f>
        <v>0</v>
      </c>
      <c r="AD875">
        <f>AND(IF(Metadata!D875="",FALSE,TRUE),exact(Metadata!D875,"human-associated habitat"))</f>
        <v>0</v>
      </c>
      <c r="AE875">
        <f>AND(IF(Metadata!E875="",FALSE,TRUE),OR(exact(Metadata!E875,"human-associated"),exact(Metadata!E875,"human-skin"),exact(Metadata!E875,"human-oral"),exact(Metadata!E875,"human-gut"),exact(Metadata!E875,"human-vaginal")))</f>
        <v>0</v>
      </c>
      <c r="AF875">
        <f>AND(IF(Metadata!F875="",FALSE,ISNUMBER(VALUE(Metadata!F875))),Metadata!F875&gt;0)</f>
        <v>0</v>
      </c>
      <c r="AG875">
        <f>AND(IF(Metadata!G875="",FALSE,TRUE),exact(Metadata!G875,"years"))</f>
        <v>0</v>
      </c>
      <c r="AH875">
        <f>OR(AND(IF(Metadata!H875="",FALSE,TRUE),OR(exact(Metadata!H875,"not applicable"),exact(Metadata!H875,"not collected"),exact(Metadata!H875,"not provided"),exact(Metadata!H875,"restricted access"))),AND(IF(Metadata!H875="",FALSE,ISNUMBER(VALUE(Metadata!H875))),Metadata!H875&gt;0))</f>
        <v>0</v>
      </c>
      <c r="AI875">
        <f>AND(IF(Metadata!I875="",FALSE,TRUE),exact(Metadata!I875,"human"))</f>
        <v>0</v>
      </c>
      <c r="AJ875">
        <f>AND(IF(Metadata!J875="",FALSE,ISNUMBER(VALUE(Metadata!J875))),Metadata!J875&gt;0)</f>
        <v>0</v>
      </c>
      <c r="AK875">
        <f>AND(IF(Metadata!K875="",FALSE,TRUE),exact(Metadata!K875,"cm"))</f>
        <v>0</v>
      </c>
      <c r="AL875">
        <f>AND(IF(Metadata!L875="",FALSE,TRUE),exact(Metadata!L875,"Homo sapiens"))</f>
        <v>0</v>
      </c>
      <c r="AM875">
        <f>AND(IF(Metadata!M875="",FALSE,TRUE),exact(Metadata!M875,"9606"))</f>
        <v>0</v>
      </c>
      <c r="AN875">
        <f>AND(IF(Metadata!N875="",FALSE,ISNUMBER(VALUE(Metadata!N875))),Metadata!N875&gt;0)</f>
        <v>0</v>
      </c>
      <c r="AO875">
        <f>AND(IF(Metadata!O875="",FALSE,TRUE),exact(Metadata!O875,"kg"))</f>
        <v>0</v>
      </c>
      <c r="AP875">
        <f>OR(AND(IF(Metadata!P875="",FALSE,TRUE),exact(Metadata!P875,"not provided")),IF(Metadata!P875="",FALSE,TRUE))</f>
        <v>0</v>
      </c>
      <c r="AQ875">
        <f>OR(AND(IF(Metadata!Q875="",FALSE,TRUE),exact(Metadata!Q875,"not provided")),IF(Metadata!Q875="",FALSE,TRUE))</f>
        <v>0</v>
      </c>
    </row>
    <row r="876" spans="1:43">
      <c r="A876" s="4">
        <f>IF(B876=" "," ",HYPERLINK(CONCATENATE("#metadata!",ADDRESS(INDEX($W$2:$W$1001,MATCH(ROWS($U$2:U876),$U$2:$U$1001,0),0),2)),INDEX($Z$2:$Z$1001,MATCH(ROWS($U$2:U876),$U$2:$U$1001,0),0)))</f>
        <v>0</v>
      </c>
      <c r="B876" s="5">
        <f>IF(OR(INDEX($V$2:$V$1001,MATCH(ROWS($U$2:U876),$U$2:$U$1001,0),1)&gt;=100000,INDEX($AB$1005:$AQ$1005,1,MATCH(COLUMNS($AB$1006:AB1006),$AB$1006:$AQ$1006,0))&gt;=100000), " ",IF(INDEX($AB$2:$AQ$1001,MATCH(ROWS($U$2:U876),$U$2:$U$1001,0),MATCH(COLUMNS($AB$1006:AB1006),$AB$1006:$AQ$1006,0)), HYPERLINK("#",""), HYPERLINK(CONCATENATE("#Metadata!", ADDRESS(INDEX($W$2:$W$1001,MATCH(ROWS($U$2:U876),$U$2:$U$1001,0),0), INDEX($AB$1004:$AQ$1004,1,MATCH(COLUMNS($AB$1006:AB1006),$AB$1006:$AQ$1006,0)))),"Fix")))</f>
        <v>0</v>
      </c>
      <c r="C876" s="5">
        <f>IF(OR(INDEX($V$2:$V$1001,MATCH(ROWS($U$2:U876),$U$2:$U$1001,0),1)&gt;=100000,INDEX($AB$1005:$AQ$1005,1,MATCH(COLUMNS($AB$1006:AC1006),$AB$1006:$AQ$1006,0))&gt;=100000), " ",IF(INDEX($AB$2:$AQ$1001,MATCH(ROWS($U$2:U876),$U$2:$U$1001,0),MATCH(COLUMNS($AB$1006:AC1006),$AB$1006:$AQ$1006,0)), HYPERLINK("#",""), HYPERLINK(CONCATENATE("#Metadata!", ADDRESS(INDEX($W$2:$W$1001,MATCH(ROWS($U$2:U876),$U$2:$U$1001,0),0), INDEX($AB$1004:$AQ$1004,1,MATCH(COLUMNS($AB$1006:AC1006),$AB$1006:$AQ$1006,0)))),"Fix")))</f>
        <v>0</v>
      </c>
      <c r="D876" s="5">
        <f>IF(OR(INDEX($V$2:$V$1001,MATCH(ROWS($U$2:U876),$U$2:$U$1001,0),1)&gt;=100000,INDEX($AB$1005:$AQ$1005,1,MATCH(COLUMNS($AB$1006:AD1006),$AB$1006:$AQ$1006,0))&gt;=100000), " ",IF(INDEX($AB$2:$AQ$1001,MATCH(ROWS($U$2:U876),$U$2:$U$1001,0),MATCH(COLUMNS($AB$1006:AD1006),$AB$1006:$AQ$1006,0)), HYPERLINK("#",""), HYPERLINK(CONCATENATE("#Metadata!", ADDRESS(INDEX($W$2:$W$1001,MATCH(ROWS($U$2:U876),$U$2:$U$1001,0),0), INDEX($AB$1004:$AQ$1004,1,MATCH(COLUMNS($AB$1006:AD1006),$AB$1006:$AQ$1006,0)))),"Fix")))</f>
        <v>0</v>
      </c>
      <c r="E876" s="5">
        <f>IF(OR(INDEX($V$2:$V$1001,MATCH(ROWS($U$2:U876),$U$2:$U$1001,0),1)&gt;=100000,INDEX($AB$1005:$AQ$1005,1,MATCH(COLUMNS($AB$1006:AE1006),$AB$1006:$AQ$1006,0))&gt;=100000), " ",IF(INDEX($AB$2:$AQ$1001,MATCH(ROWS($U$2:U876),$U$2:$U$1001,0),MATCH(COLUMNS($AB$1006:AE1006),$AB$1006:$AQ$1006,0)), HYPERLINK("#",""), HYPERLINK(CONCATENATE("#Metadata!", ADDRESS(INDEX($W$2:$W$1001,MATCH(ROWS($U$2:U876),$U$2:$U$1001,0),0), INDEX($AB$1004:$AQ$1004,1,MATCH(COLUMNS($AB$1006:AE1006),$AB$1006:$AQ$1006,0)))),"Fix")))</f>
        <v>0</v>
      </c>
      <c r="F876" s="5">
        <f>IF(OR(INDEX($V$2:$V$1001,MATCH(ROWS($U$2:U876),$U$2:$U$1001,0),1)&gt;=100000,INDEX($AB$1005:$AQ$1005,1,MATCH(COLUMNS($AB$1006:AF1006),$AB$1006:$AQ$1006,0))&gt;=100000), " ",IF(INDEX($AB$2:$AQ$1001,MATCH(ROWS($U$2:U876),$U$2:$U$1001,0),MATCH(COLUMNS($AB$1006:AF1006),$AB$1006:$AQ$1006,0)), HYPERLINK("#",""), HYPERLINK(CONCATENATE("#Metadata!", ADDRESS(INDEX($W$2:$W$1001,MATCH(ROWS($U$2:U876),$U$2:$U$1001,0),0), INDEX($AB$1004:$AQ$1004,1,MATCH(COLUMNS($AB$1006:AF1006),$AB$1006:$AQ$1006,0)))),"Fix")))</f>
        <v>0</v>
      </c>
      <c r="G876" s="5">
        <f>IF(OR(INDEX($V$2:$V$1001,MATCH(ROWS($U$2:U876),$U$2:$U$1001,0),1)&gt;=100000,INDEX($AB$1005:$AQ$1005,1,MATCH(COLUMNS($AB$1006:AG1006),$AB$1006:$AQ$1006,0))&gt;=100000), " ",IF(INDEX($AB$2:$AQ$1001,MATCH(ROWS($U$2:U876),$U$2:$U$1001,0),MATCH(COLUMNS($AB$1006:AG1006),$AB$1006:$AQ$1006,0)), HYPERLINK("#",""), HYPERLINK(CONCATENATE("#Metadata!", ADDRESS(INDEX($W$2:$W$1001,MATCH(ROWS($U$2:U876),$U$2:$U$1001,0),0), INDEX($AB$1004:$AQ$1004,1,MATCH(COLUMNS($AB$1006:AG1006),$AB$1006:$AQ$1006,0)))),"Fix")))</f>
        <v>0</v>
      </c>
      <c r="H876" s="5">
        <f>IF(OR(INDEX($V$2:$V$1001,MATCH(ROWS($U$2:U876),$U$2:$U$1001,0),1)&gt;=100000,INDEX($AB$1005:$AQ$1005,1,MATCH(COLUMNS($AB$1006:AH1006),$AB$1006:$AQ$1006,0))&gt;=100000), " ",IF(INDEX($AB$2:$AQ$1001,MATCH(ROWS($U$2:U876),$U$2:$U$1001,0),MATCH(COLUMNS($AB$1006:AH1006),$AB$1006:$AQ$1006,0)), HYPERLINK("#",""), HYPERLINK(CONCATENATE("#Metadata!", ADDRESS(INDEX($W$2:$W$1001,MATCH(ROWS($U$2:U876),$U$2:$U$1001,0),0), INDEX($AB$1004:$AQ$1004,1,MATCH(COLUMNS($AB$1006:AH1006),$AB$1006:$AQ$1006,0)))),"Fix")))</f>
        <v>0</v>
      </c>
      <c r="I876" s="5">
        <f>IF(OR(INDEX($V$2:$V$1001,MATCH(ROWS($U$2:U876),$U$2:$U$1001,0),1)&gt;=100000,INDEX($AB$1005:$AQ$1005,1,MATCH(COLUMNS($AB$1006:AI1006),$AB$1006:$AQ$1006,0))&gt;=100000), " ",IF(INDEX($AB$2:$AQ$1001,MATCH(ROWS($U$2:U876),$U$2:$U$1001,0),MATCH(COLUMNS($AB$1006:AI1006),$AB$1006:$AQ$1006,0)), HYPERLINK("#",""), HYPERLINK(CONCATENATE("#Metadata!", ADDRESS(INDEX($W$2:$W$1001,MATCH(ROWS($U$2:U876),$U$2:$U$1001,0),0), INDEX($AB$1004:$AQ$1004,1,MATCH(COLUMNS($AB$1006:AI1006),$AB$1006:$AQ$1006,0)))),"Fix")))</f>
        <v>0</v>
      </c>
      <c r="J876" s="5">
        <f>IF(OR(INDEX($V$2:$V$1001,MATCH(ROWS($U$2:U876),$U$2:$U$1001,0),1)&gt;=100000,INDEX($AB$1005:$AQ$1005,1,MATCH(COLUMNS($AB$1006:AJ1006),$AB$1006:$AQ$1006,0))&gt;=100000), " ",IF(INDEX($AB$2:$AQ$1001,MATCH(ROWS($U$2:U876),$U$2:$U$1001,0),MATCH(COLUMNS($AB$1006:AJ1006),$AB$1006:$AQ$1006,0)), HYPERLINK("#",""), HYPERLINK(CONCATENATE("#Metadata!", ADDRESS(INDEX($W$2:$W$1001,MATCH(ROWS($U$2:U876),$U$2:$U$1001,0),0), INDEX($AB$1004:$AQ$1004,1,MATCH(COLUMNS($AB$1006:AJ1006),$AB$1006:$AQ$1006,0)))),"Fix")))</f>
        <v>0</v>
      </c>
      <c r="K876" s="5">
        <f>IF(OR(INDEX($V$2:$V$1001,MATCH(ROWS($U$2:U876),$U$2:$U$1001,0),1)&gt;=100000,INDEX($AB$1005:$AQ$1005,1,MATCH(COLUMNS($AB$1006:AK1006),$AB$1006:$AQ$1006,0))&gt;=100000), " ",IF(INDEX($AB$2:$AQ$1001,MATCH(ROWS($U$2:U876),$U$2:$U$1001,0),MATCH(COLUMNS($AB$1006:AK1006),$AB$1006:$AQ$1006,0)), HYPERLINK("#",""), HYPERLINK(CONCATENATE("#Metadata!", ADDRESS(INDEX($W$2:$W$1001,MATCH(ROWS($U$2:U876),$U$2:$U$1001,0),0), INDEX($AB$1004:$AQ$1004,1,MATCH(COLUMNS($AB$1006:AK1006),$AB$1006:$AQ$1006,0)))),"Fix")))</f>
        <v>0</v>
      </c>
      <c r="L876" s="5">
        <f>IF(OR(INDEX($V$2:$V$1001,MATCH(ROWS($U$2:U876),$U$2:$U$1001,0),1)&gt;=100000,INDEX($AB$1005:$AQ$1005,1,MATCH(COLUMNS($AB$1006:AL1006),$AB$1006:$AQ$1006,0))&gt;=100000), " ",IF(INDEX($AB$2:$AQ$1001,MATCH(ROWS($U$2:U876),$U$2:$U$1001,0),MATCH(COLUMNS($AB$1006:AL1006),$AB$1006:$AQ$1006,0)), HYPERLINK("#",""), HYPERLINK(CONCATENATE("#Metadata!", ADDRESS(INDEX($W$2:$W$1001,MATCH(ROWS($U$2:U876),$U$2:$U$1001,0),0), INDEX($AB$1004:$AQ$1004,1,MATCH(COLUMNS($AB$1006:AL1006),$AB$1006:$AQ$1006,0)))),"Fix")))</f>
        <v>0</v>
      </c>
      <c r="M876" s="5">
        <f>IF(OR(INDEX($V$2:$V$1001,MATCH(ROWS($U$2:U876),$U$2:$U$1001,0),1)&gt;=100000,INDEX($AB$1005:$AQ$1005,1,MATCH(COLUMNS($AB$1006:AM1006),$AB$1006:$AQ$1006,0))&gt;=100000), " ",IF(INDEX($AB$2:$AQ$1001,MATCH(ROWS($U$2:U876),$U$2:$U$1001,0),MATCH(COLUMNS($AB$1006:AM1006),$AB$1006:$AQ$1006,0)), HYPERLINK("#",""), HYPERLINK(CONCATENATE("#Metadata!", ADDRESS(INDEX($W$2:$W$1001,MATCH(ROWS($U$2:U876),$U$2:$U$1001,0),0), INDEX($AB$1004:$AQ$1004,1,MATCH(COLUMNS($AB$1006:AM1006),$AB$1006:$AQ$1006,0)))),"Fix")))</f>
        <v>0</v>
      </c>
      <c r="N876" s="5">
        <f>IF(OR(INDEX($V$2:$V$1001,MATCH(ROWS($U$2:U876),$U$2:$U$1001,0),1)&gt;=100000,INDEX($AB$1005:$AQ$1005,1,MATCH(COLUMNS($AB$1006:AN1006),$AB$1006:$AQ$1006,0))&gt;=100000), " ",IF(INDEX($AB$2:$AQ$1001,MATCH(ROWS($U$2:U876),$U$2:$U$1001,0),MATCH(COLUMNS($AB$1006:AN1006),$AB$1006:$AQ$1006,0)), HYPERLINK("#",""), HYPERLINK(CONCATENATE("#Metadata!", ADDRESS(INDEX($W$2:$W$1001,MATCH(ROWS($U$2:U876),$U$2:$U$1001,0),0), INDEX($AB$1004:$AQ$1004,1,MATCH(COLUMNS($AB$1006:AN1006),$AB$1006:$AQ$1006,0)))),"Fix")))</f>
        <v>0</v>
      </c>
      <c r="O876" s="5">
        <f>IF(OR(INDEX($V$2:$V$1001,MATCH(ROWS($U$2:U876),$U$2:$U$1001,0),1)&gt;=100000,INDEX($AB$1005:$AQ$1005,1,MATCH(COLUMNS($AB$1006:AO1006),$AB$1006:$AQ$1006,0))&gt;=100000), " ",IF(INDEX($AB$2:$AQ$1001,MATCH(ROWS($U$2:U876),$U$2:$U$1001,0),MATCH(COLUMNS($AB$1006:AO1006),$AB$1006:$AQ$1006,0)), HYPERLINK("#",""), HYPERLINK(CONCATENATE("#Metadata!", ADDRESS(INDEX($W$2:$W$1001,MATCH(ROWS($U$2:U876),$U$2:$U$1001,0),0), INDEX($AB$1004:$AQ$1004,1,MATCH(COLUMNS($AB$1006:AO1006),$AB$1006:$AQ$1006,0)))),"Fix")))</f>
        <v>0</v>
      </c>
      <c r="P876" s="5">
        <f>IF(OR(INDEX($V$2:$V$1001,MATCH(ROWS($U$2:U876),$U$2:$U$1001,0),1)&gt;=100000,INDEX($AB$1005:$AQ$1005,1,MATCH(COLUMNS($AB$1006:AP1006),$AB$1006:$AQ$1006,0))&gt;=100000), " ",IF(INDEX($AB$2:$AQ$1001,MATCH(ROWS($U$2:U876),$U$2:$U$1001,0),MATCH(COLUMNS($AB$1006:AP1006),$AB$1006:$AQ$1006,0)), HYPERLINK("#",""), HYPERLINK(CONCATENATE("#Metadata!", ADDRESS(INDEX($W$2:$W$1001,MATCH(ROWS($U$2:U876),$U$2:$U$1001,0),0), INDEX($AB$1004:$AQ$1004,1,MATCH(COLUMNS($AB$1006:AP1006),$AB$1006:$AQ$1006,0)))),"Fix")))</f>
        <v>0</v>
      </c>
      <c r="Q876" s="5">
        <f>IF(OR(INDEX($V$2:$V$1001,MATCH(ROWS($U$2:U876),$U$2:$U$1001,0),1)&gt;=100000,INDEX($AB$1005:$AQ$1005,1,MATCH(COLUMNS($AB$1006:AQ1006),$AB$1006:$AQ$1006,0))&gt;=100000), " ",IF(INDEX($AB$2:$AQ$1001,MATCH(ROWS($U$2:U876),$U$2:$U$1001,0),MATCH(COLUMNS($AB$1006:AQ1006),$AB$1006:$AQ$1006,0)), HYPERLINK("#",""), HYPERLINK(CONCATENATE("#Metadata!", ADDRESS(INDEX($W$2:$W$1001,MATCH(ROWS($U$2:U876),$U$2:$U$1001,0),0), INDEX($AB$1004:$AQ$1004,1,MATCH(COLUMNS($AB$1006:AQ1006),$AB$1006:$AQ$1006,0)))),"Fix")))</f>
        <v>0</v>
      </c>
      <c r="U876">
        <v>0</v>
      </c>
      <c r="V876">
        <v>0</v>
      </c>
      <c r="W876">
        <v>0</v>
      </c>
      <c r="X876">
        <f>IF(Y876,TRUE,AND(AB876:AQ876))</f>
        <v>0</v>
      </c>
      <c r="Y876">
        <f>COUNTBLANK(Metadata!B876:Q876)=COLUMNS(Metadata!B876:Q876)</f>
        <v>0</v>
      </c>
      <c r="Z876">
        <v>0</v>
      </c>
      <c r="AB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AC876">
        <f>AND(IF(Metadata!C876="",FALSE,TRUE),exact(Metadata!C876,"urban biome"))</f>
        <v>0</v>
      </c>
      <c r="AD876">
        <f>AND(IF(Metadata!D876="",FALSE,TRUE),exact(Metadata!D876,"human-associated habitat"))</f>
        <v>0</v>
      </c>
      <c r="AE876">
        <f>AND(IF(Metadata!E876="",FALSE,TRUE),OR(exact(Metadata!E876,"human-associated"),exact(Metadata!E876,"human-skin"),exact(Metadata!E876,"human-oral"),exact(Metadata!E876,"human-gut"),exact(Metadata!E876,"human-vaginal")))</f>
        <v>0</v>
      </c>
      <c r="AF876">
        <f>AND(IF(Metadata!F876="",FALSE,ISNUMBER(VALUE(Metadata!F876))),Metadata!F876&gt;0)</f>
        <v>0</v>
      </c>
      <c r="AG876">
        <f>AND(IF(Metadata!G876="",FALSE,TRUE),exact(Metadata!G876,"years"))</f>
        <v>0</v>
      </c>
      <c r="AH876">
        <f>OR(AND(IF(Metadata!H876="",FALSE,TRUE),OR(exact(Metadata!H876,"not applicable"),exact(Metadata!H876,"not collected"),exact(Metadata!H876,"not provided"),exact(Metadata!H876,"restricted access"))),AND(IF(Metadata!H876="",FALSE,ISNUMBER(VALUE(Metadata!H876))),Metadata!H876&gt;0))</f>
        <v>0</v>
      </c>
      <c r="AI876">
        <f>AND(IF(Metadata!I876="",FALSE,TRUE),exact(Metadata!I876,"human"))</f>
        <v>0</v>
      </c>
      <c r="AJ876">
        <f>AND(IF(Metadata!J876="",FALSE,ISNUMBER(VALUE(Metadata!J876))),Metadata!J876&gt;0)</f>
        <v>0</v>
      </c>
      <c r="AK876">
        <f>AND(IF(Metadata!K876="",FALSE,TRUE),exact(Metadata!K876,"cm"))</f>
        <v>0</v>
      </c>
      <c r="AL876">
        <f>AND(IF(Metadata!L876="",FALSE,TRUE),exact(Metadata!L876,"Homo sapiens"))</f>
        <v>0</v>
      </c>
      <c r="AM876">
        <f>AND(IF(Metadata!M876="",FALSE,TRUE),exact(Metadata!M876,"9606"))</f>
        <v>0</v>
      </c>
      <c r="AN876">
        <f>AND(IF(Metadata!N876="",FALSE,ISNUMBER(VALUE(Metadata!N876))),Metadata!N876&gt;0)</f>
        <v>0</v>
      </c>
      <c r="AO876">
        <f>AND(IF(Metadata!O876="",FALSE,TRUE),exact(Metadata!O876,"kg"))</f>
        <v>0</v>
      </c>
      <c r="AP876">
        <f>OR(AND(IF(Metadata!P876="",FALSE,TRUE),exact(Metadata!P876,"not provided")),IF(Metadata!P876="",FALSE,TRUE))</f>
        <v>0</v>
      </c>
      <c r="AQ876">
        <f>OR(AND(IF(Metadata!Q876="",FALSE,TRUE),exact(Metadata!Q876,"not provided")),IF(Metadata!Q876="",FALSE,TRUE))</f>
        <v>0</v>
      </c>
    </row>
    <row r="877" spans="1:43">
      <c r="A877" s="4">
        <f>IF(B877=" "," ",HYPERLINK(CONCATENATE("#metadata!",ADDRESS(INDEX($W$2:$W$1001,MATCH(ROWS($U$2:U877),$U$2:$U$1001,0),0),2)),INDEX($Z$2:$Z$1001,MATCH(ROWS($U$2:U877),$U$2:$U$1001,0),0)))</f>
        <v>0</v>
      </c>
      <c r="B877" s="5">
        <f>IF(OR(INDEX($V$2:$V$1001,MATCH(ROWS($U$2:U877),$U$2:$U$1001,0),1)&gt;=100000,INDEX($AB$1005:$AQ$1005,1,MATCH(COLUMNS($AB$1006:AB1006),$AB$1006:$AQ$1006,0))&gt;=100000), " ",IF(INDEX($AB$2:$AQ$1001,MATCH(ROWS($U$2:U877),$U$2:$U$1001,0),MATCH(COLUMNS($AB$1006:AB1006),$AB$1006:$AQ$1006,0)), HYPERLINK("#",""), HYPERLINK(CONCATENATE("#Metadata!", ADDRESS(INDEX($W$2:$W$1001,MATCH(ROWS($U$2:U877),$U$2:$U$1001,0),0), INDEX($AB$1004:$AQ$1004,1,MATCH(COLUMNS($AB$1006:AB1006),$AB$1006:$AQ$1006,0)))),"Fix")))</f>
        <v>0</v>
      </c>
      <c r="C877" s="5">
        <f>IF(OR(INDEX($V$2:$V$1001,MATCH(ROWS($U$2:U877),$U$2:$U$1001,0),1)&gt;=100000,INDEX($AB$1005:$AQ$1005,1,MATCH(COLUMNS($AB$1006:AC1006),$AB$1006:$AQ$1006,0))&gt;=100000), " ",IF(INDEX($AB$2:$AQ$1001,MATCH(ROWS($U$2:U877),$U$2:$U$1001,0),MATCH(COLUMNS($AB$1006:AC1006),$AB$1006:$AQ$1006,0)), HYPERLINK("#",""), HYPERLINK(CONCATENATE("#Metadata!", ADDRESS(INDEX($W$2:$W$1001,MATCH(ROWS($U$2:U877),$U$2:$U$1001,0),0), INDEX($AB$1004:$AQ$1004,1,MATCH(COLUMNS($AB$1006:AC1006),$AB$1006:$AQ$1006,0)))),"Fix")))</f>
        <v>0</v>
      </c>
      <c r="D877" s="5">
        <f>IF(OR(INDEX($V$2:$V$1001,MATCH(ROWS($U$2:U877),$U$2:$U$1001,0),1)&gt;=100000,INDEX($AB$1005:$AQ$1005,1,MATCH(COLUMNS($AB$1006:AD1006),$AB$1006:$AQ$1006,0))&gt;=100000), " ",IF(INDEX($AB$2:$AQ$1001,MATCH(ROWS($U$2:U877),$U$2:$U$1001,0),MATCH(COLUMNS($AB$1006:AD1006),$AB$1006:$AQ$1006,0)), HYPERLINK("#",""), HYPERLINK(CONCATENATE("#Metadata!", ADDRESS(INDEX($W$2:$W$1001,MATCH(ROWS($U$2:U877),$U$2:$U$1001,0),0), INDEX($AB$1004:$AQ$1004,1,MATCH(COLUMNS($AB$1006:AD1006),$AB$1006:$AQ$1006,0)))),"Fix")))</f>
        <v>0</v>
      </c>
      <c r="E877" s="5">
        <f>IF(OR(INDEX($V$2:$V$1001,MATCH(ROWS($U$2:U877),$U$2:$U$1001,0),1)&gt;=100000,INDEX($AB$1005:$AQ$1005,1,MATCH(COLUMNS($AB$1006:AE1006),$AB$1006:$AQ$1006,0))&gt;=100000), " ",IF(INDEX($AB$2:$AQ$1001,MATCH(ROWS($U$2:U877),$U$2:$U$1001,0),MATCH(COLUMNS($AB$1006:AE1006),$AB$1006:$AQ$1006,0)), HYPERLINK("#",""), HYPERLINK(CONCATENATE("#Metadata!", ADDRESS(INDEX($W$2:$W$1001,MATCH(ROWS($U$2:U877),$U$2:$U$1001,0),0), INDEX($AB$1004:$AQ$1004,1,MATCH(COLUMNS($AB$1006:AE1006),$AB$1006:$AQ$1006,0)))),"Fix")))</f>
        <v>0</v>
      </c>
      <c r="F877" s="5">
        <f>IF(OR(INDEX($V$2:$V$1001,MATCH(ROWS($U$2:U877),$U$2:$U$1001,0),1)&gt;=100000,INDEX($AB$1005:$AQ$1005,1,MATCH(COLUMNS($AB$1006:AF1006),$AB$1006:$AQ$1006,0))&gt;=100000), " ",IF(INDEX($AB$2:$AQ$1001,MATCH(ROWS($U$2:U877),$U$2:$U$1001,0),MATCH(COLUMNS($AB$1006:AF1006),$AB$1006:$AQ$1006,0)), HYPERLINK("#",""), HYPERLINK(CONCATENATE("#Metadata!", ADDRESS(INDEX($W$2:$W$1001,MATCH(ROWS($U$2:U877),$U$2:$U$1001,0),0), INDEX($AB$1004:$AQ$1004,1,MATCH(COLUMNS($AB$1006:AF1006),$AB$1006:$AQ$1006,0)))),"Fix")))</f>
        <v>0</v>
      </c>
      <c r="G877" s="5">
        <f>IF(OR(INDEX($V$2:$V$1001,MATCH(ROWS($U$2:U877),$U$2:$U$1001,0),1)&gt;=100000,INDEX($AB$1005:$AQ$1005,1,MATCH(COLUMNS($AB$1006:AG1006),$AB$1006:$AQ$1006,0))&gt;=100000), " ",IF(INDEX($AB$2:$AQ$1001,MATCH(ROWS($U$2:U877),$U$2:$U$1001,0),MATCH(COLUMNS($AB$1006:AG1006),$AB$1006:$AQ$1006,0)), HYPERLINK("#",""), HYPERLINK(CONCATENATE("#Metadata!", ADDRESS(INDEX($W$2:$W$1001,MATCH(ROWS($U$2:U877),$U$2:$U$1001,0),0), INDEX($AB$1004:$AQ$1004,1,MATCH(COLUMNS($AB$1006:AG1006),$AB$1006:$AQ$1006,0)))),"Fix")))</f>
        <v>0</v>
      </c>
      <c r="H877" s="5">
        <f>IF(OR(INDEX($V$2:$V$1001,MATCH(ROWS($U$2:U877),$U$2:$U$1001,0),1)&gt;=100000,INDEX($AB$1005:$AQ$1005,1,MATCH(COLUMNS($AB$1006:AH1006),$AB$1006:$AQ$1006,0))&gt;=100000), " ",IF(INDEX($AB$2:$AQ$1001,MATCH(ROWS($U$2:U877),$U$2:$U$1001,0),MATCH(COLUMNS($AB$1006:AH1006),$AB$1006:$AQ$1006,0)), HYPERLINK("#",""), HYPERLINK(CONCATENATE("#Metadata!", ADDRESS(INDEX($W$2:$W$1001,MATCH(ROWS($U$2:U877),$U$2:$U$1001,0),0), INDEX($AB$1004:$AQ$1004,1,MATCH(COLUMNS($AB$1006:AH1006),$AB$1006:$AQ$1006,0)))),"Fix")))</f>
        <v>0</v>
      </c>
      <c r="I877" s="5">
        <f>IF(OR(INDEX($V$2:$V$1001,MATCH(ROWS($U$2:U877),$U$2:$U$1001,0),1)&gt;=100000,INDEX($AB$1005:$AQ$1005,1,MATCH(COLUMNS($AB$1006:AI1006),$AB$1006:$AQ$1006,0))&gt;=100000), " ",IF(INDEX($AB$2:$AQ$1001,MATCH(ROWS($U$2:U877),$U$2:$U$1001,0),MATCH(COLUMNS($AB$1006:AI1006),$AB$1006:$AQ$1006,0)), HYPERLINK("#",""), HYPERLINK(CONCATENATE("#Metadata!", ADDRESS(INDEX($W$2:$W$1001,MATCH(ROWS($U$2:U877),$U$2:$U$1001,0),0), INDEX($AB$1004:$AQ$1004,1,MATCH(COLUMNS($AB$1006:AI1006),$AB$1006:$AQ$1006,0)))),"Fix")))</f>
        <v>0</v>
      </c>
      <c r="J877" s="5">
        <f>IF(OR(INDEX($V$2:$V$1001,MATCH(ROWS($U$2:U877),$U$2:$U$1001,0),1)&gt;=100000,INDEX($AB$1005:$AQ$1005,1,MATCH(COLUMNS($AB$1006:AJ1006),$AB$1006:$AQ$1006,0))&gt;=100000), " ",IF(INDEX($AB$2:$AQ$1001,MATCH(ROWS($U$2:U877),$U$2:$U$1001,0),MATCH(COLUMNS($AB$1006:AJ1006),$AB$1006:$AQ$1006,0)), HYPERLINK("#",""), HYPERLINK(CONCATENATE("#Metadata!", ADDRESS(INDEX($W$2:$W$1001,MATCH(ROWS($U$2:U877),$U$2:$U$1001,0),0), INDEX($AB$1004:$AQ$1004,1,MATCH(COLUMNS($AB$1006:AJ1006),$AB$1006:$AQ$1006,0)))),"Fix")))</f>
        <v>0</v>
      </c>
      <c r="K877" s="5">
        <f>IF(OR(INDEX($V$2:$V$1001,MATCH(ROWS($U$2:U877),$U$2:$U$1001,0),1)&gt;=100000,INDEX($AB$1005:$AQ$1005,1,MATCH(COLUMNS($AB$1006:AK1006),$AB$1006:$AQ$1006,0))&gt;=100000), " ",IF(INDEX($AB$2:$AQ$1001,MATCH(ROWS($U$2:U877),$U$2:$U$1001,0),MATCH(COLUMNS($AB$1006:AK1006),$AB$1006:$AQ$1006,0)), HYPERLINK("#",""), HYPERLINK(CONCATENATE("#Metadata!", ADDRESS(INDEX($W$2:$W$1001,MATCH(ROWS($U$2:U877),$U$2:$U$1001,0),0), INDEX($AB$1004:$AQ$1004,1,MATCH(COLUMNS($AB$1006:AK1006),$AB$1006:$AQ$1006,0)))),"Fix")))</f>
        <v>0</v>
      </c>
      <c r="L877" s="5">
        <f>IF(OR(INDEX($V$2:$V$1001,MATCH(ROWS($U$2:U877),$U$2:$U$1001,0),1)&gt;=100000,INDEX($AB$1005:$AQ$1005,1,MATCH(COLUMNS($AB$1006:AL1006),$AB$1006:$AQ$1006,0))&gt;=100000), " ",IF(INDEX($AB$2:$AQ$1001,MATCH(ROWS($U$2:U877),$U$2:$U$1001,0),MATCH(COLUMNS($AB$1006:AL1006),$AB$1006:$AQ$1006,0)), HYPERLINK("#",""), HYPERLINK(CONCATENATE("#Metadata!", ADDRESS(INDEX($W$2:$W$1001,MATCH(ROWS($U$2:U877),$U$2:$U$1001,0),0), INDEX($AB$1004:$AQ$1004,1,MATCH(COLUMNS($AB$1006:AL1006),$AB$1006:$AQ$1006,0)))),"Fix")))</f>
        <v>0</v>
      </c>
      <c r="M877" s="5">
        <f>IF(OR(INDEX($V$2:$V$1001,MATCH(ROWS($U$2:U877),$U$2:$U$1001,0),1)&gt;=100000,INDEX($AB$1005:$AQ$1005,1,MATCH(COLUMNS($AB$1006:AM1006),$AB$1006:$AQ$1006,0))&gt;=100000), " ",IF(INDEX($AB$2:$AQ$1001,MATCH(ROWS($U$2:U877),$U$2:$U$1001,0),MATCH(COLUMNS($AB$1006:AM1006),$AB$1006:$AQ$1006,0)), HYPERLINK("#",""), HYPERLINK(CONCATENATE("#Metadata!", ADDRESS(INDEX($W$2:$W$1001,MATCH(ROWS($U$2:U877),$U$2:$U$1001,0),0), INDEX($AB$1004:$AQ$1004,1,MATCH(COLUMNS($AB$1006:AM1006),$AB$1006:$AQ$1006,0)))),"Fix")))</f>
        <v>0</v>
      </c>
      <c r="N877" s="5">
        <f>IF(OR(INDEX($V$2:$V$1001,MATCH(ROWS($U$2:U877),$U$2:$U$1001,0),1)&gt;=100000,INDEX($AB$1005:$AQ$1005,1,MATCH(COLUMNS($AB$1006:AN1006),$AB$1006:$AQ$1006,0))&gt;=100000), " ",IF(INDEX($AB$2:$AQ$1001,MATCH(ROWS($U$2:U877),$U$2:$U$1001,0),MATCH(COLUMNS($AB$1006:AN1006),$AB$1006:$AQ$1006,0)), HYPERLINK("#",""), HYPERLINK(CONCATENATE("#Metadata!", ADDRESS(INDEX($W$2:$W$1001,MATCH(ROWS($U$2:U877),$U$2:$U$1001,0),0), INDEX($AB$1004:$AQ$1004,1,MATCH(COLUMNS($AB$1006:AN1006),$AB$1006:$AQ$1006,0)))),"Fix")))</f>
        <v>0</v>
      </c>
      <c r="O877" s="5">
        <f>IF(OR(INDEX($V$2:$V$1001,MATCH(ROWS($U$2:U877),$U$2:$U$1001,0),1)&gt;=100000,INDEX($AB$1005:$AQ$1005,1,MATCH(COLUMNS($AB$1006:AO1006),$AB$1006:$AQ$1006,0))&gt;=100000), " ",IF(INDEX($AB$2:$AQ$1001,MATCH(ROWS($U$2:U877),$U$2:$U$1001,0),MATCH(COLUMNS($AB$1006:AO1006),$AB$1006:$AQ$1006,0)), HYPERLINK("#",""), HYPERLINK(CONCATENATE("#Metadata!", ADDRESS(INDEX($W$2:$W$1001,MATCH(ROWS($U$2:U877),$U$2:$U$1001,0),0), INDEX($AB$1004:$AQ$1004,1,MATCH(COLUMNS($AB$1006:AO1006),$AB$1006:$AQ$1006,0)))),"Fix")))</f>
        <v>0</v>
      </c>
      <c r="P877" s="5">
        <f>IF(OR(INDEX($V$2:$V$1001,MATCH(ROWS($U$2:U877),$U$2:$U$1001,0),1)&gt;=100000,INDEX($AB$1005:$AQ$1005,1,MATCH(COLUMNS($AB$1006:AP1006),$AB$1006:$AQ$1006,0))&gt;=100000), " ",IF(INDEX($AB$2:$AQ$1001,MATCH(ROWS($U$2:U877),$U$2:$U$1001,0),MATCH(COLUMNS($AB$1006:AP1006),$AB$1006:$AQ$1006,0)), HYPERLINK("#",""), HYPERLINK(CONCATENATE("#Metadata!", ADDRESS(INDEX($W$2:$W$1001,MATCH(ROWS($U$2:U877),$U$2:$U$1001,0),0), INDEX($AB$1004:$AQ$1004,1,MATCH(COLUMNS($AB$1006:AP1006),$AB$1006:$AQ$1006,0)))),"Fix")))</f>
        <v>0</v>
      </c>
      <c r="Q877" s="5">
        <f>IF(OR(INDEX($V$2:$V$1001,MATCH(ROWS($U$2:U877),$U$2:$U$1001,0),1)&gt;=100000,INDEX($AB$1005:$AQ$1005,1,MATCH(COLUMNS($AB$1006:AQ1006),$AB$1006:$AQ$1006,0))&gt;=100000), " ",IF(INDEX($AB$2:$AQ$1001,MATCH(ROWS($U$2:U877),$U$2:$U$1001,0),MATCH(COLUMNS($AB$1006:AQ1006),$AB$1006:$AQ$1006,0)), HYPERLINK("#",""), HYPERLINK(CONCATENATE("#Metadata!", ADDRESS(INDEX($W$2:$W$1001,MATCH(ROWS($U$2:U877),$U$2:$U$1001,0),0), INDEX($AB$1004:$AQ$1004,1,MATCH(COLUMNS($AB$1006:AQ1006),$AB$1006:$AQ$1006,0)))),"Fix")))</f>
        <v>0</v>
      </c>
      <c r="U877">
        <v>0</v>
      </c>
      <c r="V877">
        <v>0</v>
      </c>
      <c r="W877">
        <v>0</v>
      </c>
      <c r="X877">
        <f>IF(Y877,TRUE,AND(AB877:AQ877))</f>
        <v>0</v>
      </c>
      <c r="Y877">
        <f>COUNTBLANK(Metadata!B877:Q877)=COLUMNS(Metadata!B877:Q877)</f>
        <v>0</v>
      </c>
      <c r="Z877">
        <v>0</v>
      </c>
      <c r="AB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AC877">
        <f>AND(IF(Metadata!C877="",FALSE,TRUE),exact(Metadata!C877,"urban biome"))</f>
        <v>0</v>
      </c>
      <c r="AD877">
        <f>AND(IF(Metadata!D877="",FALSE,TRUE),exact(Metadata!D877,"human-associated habitat"))</f>
        <v>0</v>
      </c>
      <c r="AE877">
        <f>AND(IF(Metadata!E877="",FALSE,TRUE),OR(exact(Metadata!E877,"human-associated"),exact(Metadata!E877,"human-skin"),exact(Metadata!E877,"human-oral"),exact(Metadata!E877,"human-gut"),exact(Metadata!E877,"human-vaginal")))</f>
        <v>0</v>
      </c>
      <c r="AF877">
        <f>AND(IF(Metadata!F877="",FALSE,ISNUMBER(VALUE(Metadata!F877))),Metadata!F877&gt;0)</f>
        <v>0</v>
      </c>
      <c r="AG877">
        <f>AND(IF(Metadata!G877="",FALSE,TRUE),exact(Metadata!G877,"years"))</f>
        <v>0</v>
      </c>
      <c r="AH877">
        <f>OR(AND(IF(Metadata!H877="",FALSE,TRUE),OR(exact(Metadata!H877,"not applicable"),exact(Metadata!H877,"not collected"),exact(Metadata!H877,"not provided"),exact(Metadata!H877,"restricted access"))),AND(IF(Metadata!H877="",FALSE,ISNUMBER(VALUE(Metadata!H877))),Metadata!H877&gt;0))</f>
        <v>0</v>
      </c>
      <c r="AI877">
        <f>AND(IF(Metadata!I877="",FALSE,TRUE),exact(Metadata!I877,"human"))</f>
        <v>0</v>
      </c>
      <c r="AJ877">
        <f>AND(IF(Metadata!J877="",FALSE,ISNUMBER(VALUE(Metadata!J877))),Metadata!J877&gt;0)</f>
        <v>0</v>
      </c>
      <c r="AK877">
        <f>AND(IF(Metadata!K877="",FALSE,TRUE),exact(Metadata!K877,"cm"))</f>
        <v>0</v>
      </c>
      <c r="AL877">
        <f>AND(IF(Metadata!L877="",FALSE,TRUE),exact(Metadata!L877,"Homo sapiens"))</f>
        <v>0</v>
      </c>
      <c r="AM877">
        <f>AND(IF(Metadata!M877="",FALSE,TRUE),exact(Metadata!M877,"9606"))</f>
        <v>0</v>
      </c>
      <c r="AN877">
        <f>AND(IF(Metadata!N877="",FALSE,ISNUMBER(VALUE(Metadata!N877))),Metadata!N877&gt;0)</f>
        <v>0</v>
      </c>
      <c r="AO877">
        <f>AND(IF(Metadata!O877="",FALSE,TRUE),exact(Metadata!O877,"kg"))</f>
        <v>0</v>
      </c>
      <c r="AP877">
        <f>OR(AND(IF(Metadata!P877="",FALSE,TRUE),exact(Metadata!P877,"not provided")),IF(Metadata!P877="",FALSE,TRUE))</f>
        <v>0</v>
      </c>
      <c r="AQ877">
        <f>OR(AND(IF(Metadata!Q877="",FALSE,TRUE),exact(Metadata!Q877,"not provided")),IF(Metadata!Q877="",FALSE,TRUE))</f>
        <v>0</v>
      </c>
    </row>
    <row r="878" spans="1:43">
      <c r="A878" s="4">
        <f>IF(B878=" "," ",HYPERLINK(CONCATENATE("#metadata!",ADDRESS(INDEX($W$2:$W$1001,MATCH(ROWS($U$2:U878),$U$2:$U$1001,0),0),2)),INDEX($Z$2:$Z$1001,MATCH(ROWS($U$2:U878),$U$2:$U$1001,0),0)))</f>
        <v>0</v>
      </c>
      <c r="B878" s="5">
        <f>IF(OR(INDEX($V$2:$V$1001,MATCH(ROWS($U$2:U878),$U$2:$U$1001,0),1)&gt;=100000,INDEX($AB$1005:$AQ$1005,1,MATCH(COLUMNS($AB$1006:AB1006),$AB$1006:$AQ$1006,0))&gt;=100000), " ",IF(INDEX($AB$2:$AQ$1001,MATCH(ROWS($U$2:U878),$U$2:$U$1001,0),MATCH(COLUMNS($AB$1006:AB1006),$AB$1006:$AQ$1006,0)), HYPERLINK("#",""), HYPERLINK(CONCATENATE("#Metadata!", ADDRESS(INDEX($W$2:$W$1001,MATCH(ROWS($U$2:U878),$U$2:$U$1001,0),0), INDEX($AB$1004:$AQ$1004,1,MATCH(COLUMNS($AB$1006:AB1006),$AB$1006:$AQ$1006,0)))),"Fix")))</f>
        <v>0</v>
      </c>
      <c r="C878" s="5">
        <f>IF(OR(INDEX($V$2:$V$1001,MATCH(ROWS($U$2:U878),$U$2:$U$1001,0),1)&gt;=100000,INDEX($AB$1005:$AQ$1005,1,MATCH(COLUMNS($AB$1006:AC1006),$AB$1006:$AQ$1006,0))&gt;=100000), " ",IF(INDEX($AB$2:$AQ$1001,MATCH(ROWS($U$2:U878),$U$2:$U$1001,0),MATCH(COLUMNS($AB$1006:AC1006),$AB$1006:$AQ$1006,0)), HYPERLINK("#",""), HYPERLINK(CONCATENATE("#Metadata!", ADDRESS(INDEX($W$2:$W$1001,MATCH(ROWS($U$2:U878),$U$2:$U$1001,0),0), INDEX($AB$1004:$AQ$1004,1,MATCH(COLUMNS($AB$1006:AC1006),$AB$1006:$AQ$1006,0)))),"Fix")))</f>
        <v>0</v>
      </c>
      <c r="D878" s="5">
        <f>IF(OR(INDEX($V$2:$V$1001,MATCH(ROWS($U$2:U878),$U$2:$U$1001,0),1)&gt;=100000,INDEX($AB$1005:$AQ$1005,1,MATCH(COLUMNS($AB$1006:AD1006),$AB$1006:$AQ$1006,0))&gt;=100000), " ",IF(INDEX($AB$2:$AQ$1001,MATCH(ROWS($U$2:U878),$U$2:$U$1001,0),MATCH(COLUMNS($AB$1006:AD1006),$AB$1006:$AQ$1006,0)), HYPERLINK("#",""), HYPERLINK(CONCATENATE("#Metadata!", ADDRESS(INDEX($W$2:$W$1001,MATCH(ROWS($U$2:U878),$U$2:$U$1001,0),0), INDEX($AB$1004:$AQ$1004,1,MATCH(COLUMNS($AB$1006:AD1006),$AB$1006:$AQ$1006,0)))),"Fix")))</f>
        <v>0</v>
      </c>
      <c r="E878" s="5">
        <f>IF(OR(INDEX($V$2:$V$1001,MATCH(ROWS($U$2:U878),$U$2:$U$1001,0),1)&gt;=100000,INDEX($AB$1005:$AQ$1005,1,MATCH(COLUMNS($AB$1006:AE1006),$AB$1006:$AQ$1006,0))&gt;=100000), " ",IF(INDEX($AB$2:$AQ$1001,MATCH(ROWS($U$2:U878),$U$2:$U$1001,0),MATCH(COLUMNS($AB$1006:AE1006),$AB$1006:$AQ$1006,0)), HYPERLINK("#",""), HYPERLINK(CONCATENATE("#Metadata!", ADDRESS(INDEX($W$2:$W$1001,MATCH(ROWS($U$2:U878),$U$2:$U$1001,0),0), INDEX($AB$1004:$AQ$1004,1,MATCH(COLUMNS($AB$1006:AE1006),$AB$1006:$AQ$1006,0)))),"Fix")))</f>
        <v>0</v>
      </c>
      <c r="F878" s="5">
        <f>IF(OR(INDEX($V$2:$V$1001,MATCH(ROWS($U$2:U878),$U$2:$U$1001,0),1)&gt;=100000,INDEX($AB$1005:$AQ$1005,1,MATCH(COLUMNS($AB$1006:AF1006),$AB$1006:$AQ$1006,0))&gt;=100000), " ",IF(INDEX($AB$2:$AQ$1001,MATCH(ROWS($U$2:U878),$U$2:$U$1001,0),MATCH(COLUMNS($AB$1006:AF1006),$AB$1006:$AQ$1006,0)), HYPERLINK("#",""), HYPERLINK(CONCATENATE("#Metadata!", ADDRESS(INDEX($W$2:$W$1001,MATCH(ROWS($U$2:U878),$U$2:$U$1001,0),0), INDEX($AB$1004:$AQ$1004,1,MATCH(COLUMNS($AB$1006:AF1006),$AB$1006:$AQ$1006,0)))),"Fix")))</f>
        <v>0</v>
      </c>
      <c r="G878" s="5">
        <f>IF(OR(INDEX($V$2:$V$1001,MATCH(ROWS($U$2:U878),$U$2:$U$1001,0),1)&gt;=100000,INDEX($AB$1005:$AQ$1005,1,MATCH(COLUMNS($AB$1006:AG1006),$AB$1006:$AQ$1006,0))&gt;=100000), " ",IF(INDEX($AB$2:$AQ$1001,MATCH(ROWS($U$2:U878),$U$2:$U$1001,0),MATCH(COLUMNS($AB$1006:AG1006),$AB$1006:$AQ$1006,0)), HYPERLINK("#",""), HYPERLINK(CONCATENATE("#Metadata!", ADDRESS(INDEX($W$2:$W$1001,MATCH(ROWS($U$2:U878),$U$2:$U$1001,0),0), INDEX($AB$1004:$AQ$1004,1,MATCH(COLUMNS($AB$1006:AG1006),$AB$1006:$AQ$1006,0)))),"Fix")))</f>
        <v>0</v>
      </c>
      <c r="H878" s="5">
        <f>IF(OR(INDEX($V$2:$V$1001,MATCH(ROWS($U$2:U878),$U$2:$U$1001,0),1)&gt;=100000,INDEX($AB$1005:$AQ$1005,1,MATCH(COLUMNS($AB$1006:AH1006),$AB$1006:$AQ$1006,0))&gt;=100000), " ",IF(INDEX($AB$2:$AQ$1001,MATCH(ROWS($U$2:U878),$U$2:$U$1001,0),MATCH(COLUMNS($AB$1006:AH1006),$AB$1006:$AQ$1006,0)), HYPERLINK("#",""), HYPERLINK(CONCATENATE("#Metadata!", ADDRESS(INDEX($W$2:$W$1001,MATCH(ROWS($U$2:U878),$U$2:$U$1001,0),0), INDEX($AB$1004:$AQ$1004,1,MATCH(COLUMNS($AB$1006:AH1006),$AB$1006:$AQ$1006,0)))),"Fix")))</f>
        <v>0</v>
      </c>
      <c r="I878" s="5">
        <f>IF(OR(INDEX($V$2:$V$1001,MATCH(ROWS($U$2:U878),$U$2:$U$1001,0),1)&gt;=100000,INDEX($AB$1005:$AQ$1005,1,MATCH(COLUMNS($AB$1006:AI1006),$AB$1006:$AQ$1006,0))&gt;=100000), " ",IF(INDEX($AB$2:$AQ$1001,MATCH(ROWS($U$2:U878),$U$2:$U$1001,0),MATCH(COLUMNS($AB$1006:AI1006),$AB$1006:$AQ$1006,0)), HYPERLINK("#",""), HYPERLINK(CONCATENATE("#Metadata!", ADDRESS(INDEX($W$2:$W$1001,MATCH(ROWS($U$2:U878),$U$2:$U$1001,0),0), INDEX($AB$1004:$AQ$1004,1,MATCH(COLUMNS($AB$1006:AI1006),$AB$1006:$AQ$1006,0)))),"Fix")))</f>
        <v>0</v>
      </c>
      <c r="J878" s="5">
        <f>IF(OR(INDEX($V$2:$V$1001,MATCH(ROWS($U$2:U878),$U$2:$U$1001,0),1)&gt;=100000,INDEX($AB$1005:$AQ$1005,1,MATCH(COLUMNS($AB$1006:AJ1006),$AB$1006:$AQ$1006,0))&gt;=100000), " ",IF(INDEX($AB$2:$AQ$1001,MATCH(ROWS($U$2:U878),$U$2:$U$1001,0),MATCH(COLUMNS($AB$1006:AJ1006),$AB$1006:$AQ$1006,0)), HYPERLINK("#",""), HYPERLINK(CONCATENATE("#Metadata!", ADDRESS(INDEX($W$2:$W$1001,MATCH(ROWS($U$2:U878),$U$2:$U$1001,0),0), INDEX($AB$1004:$AQ$1004,1,MATCH(COLUMNS($AB$1006:AJ1006),$AB$1006:$AQ$1006,0)))),"Fix")))</f>
        <v>0</v>
      </c>
      <c r="K878" s="5">
        <f>IF(OR(INDEX($V$2:$V$1001,MATCH(ROWS($U$2:U878),$U$2:$U$1001,0),1)&gt;=100000,INDEX($AB$1005:$AQ$1005,1,MATCH(COLUMNS($AB$1006:AK1006),$AB$1006:$AQ$1006,0))&gt;=100000), " ",IF(INDEX($AB$2:$AQ$1001,MATCH(ROWS($U$2:U878),$U$2:$U$1001,0),MATCH(COLUMNS($AB$1006:AK1006),$AB$1006:$AQ$1006,0)), HYPERLINK("#",""), HYPERLINK(CONCATENATE("#Metadata!", ADDRESS(INDEX($W$2:$W$1001,MATCH(ROWS($U$2:U878),$U$2:$U$1001,0),0), INDEX($AB$1004:$AQ$1004,1,MATCH(COLUMNS($AB$1006:AK1006),$AB$1006:$AQ$1006,0)))),"Fix")))</f>
        <v>0</v>
      </c>
      <c r="L878" s="5">
        <f>IF(OR(INDEX($V$2:$V$1001,MATCH(ROWS($U$2:U878),$U$2:$U$1001,0),1)&gt;=100000,INDEX($AB$1005:$AQ$1005,1,MATCH(COLUMNS($AB$1006:AL1006),$AB$1006:$AQ$1006,0))&gt;=100000), " ",IF(INDEX($AB$2:$AQ$1001,MATCH(ROWS($U$2:U878),$U$2:$U$1001,0),MATCH(COLUMNS($AB$1006:AL1006),$AB$1006:$AQ$1006,0)), HYPERLINK("#",""), HYPERLINK(CONCATENATE("#Metadata!", ADDRESS(INDEX($W$2:$W$1001,MATCH(ROWS($U$2:U878),$U$2:$U$1001,0),0), INDEX($AB$1004:$AQ$1004,1,MATCH(COLUMNS($AB$1006:AL1006),$AB$1006:$AQ$1006,0)))),"Fix")))</f>
        <v>0</v>
      </c>
      <c r="M878" s="5">
        <f>IF(OR(INDEX($V$2:$V$1001,MATCH(ROWS($U$2:U878),$U$2:$U$1001,0),1)&gt;=100000,INDEX($AB$1005:$AQ$1005,1,MATCH(COLUMNS($AB$1006:AM1006),$AB$1006:$AQ$1006,0))&gt;=100000), " ",IF(INDEX($AB$2:$AQ$1001,MATCH(ROWS($U$2:U878),$U$2:$U$1001,0),MATCH(COLUMNS($AB$1006:AM1006),$AB$1006:$AQ$1006,0)), HYPERLINK("#",""), HYPERLINK(CONCATENATE("#Metadata!", ADDRESS(INDEX($W$2:$W$1001,MATCH(ROWS($U$2:U878),$U$2:$U$1001,0),0), INDEX($AB$1004:$AQ$1004,1,MATCH(COLUMNS($AB$1006:AM1006),$AB$1006:$AQ$1006,0)))),"Fix")))</f>
        <v>0</v>
      </c>
      <c r="N878" s="5">
        <f>IF(OR(INDEX($V$2:$V$1001,MATCH(ROWS($U$2:U878),$U$2:$U$1001,0),1)&gt;=100000,INDEX($AB$1005:$AQ$1005,1,MATCH(COLUMNS($AB$1006:AN1006),$AB$1006:$AQ$1006,0))&gt;=100000), " ",IF(INDEX($AB$2:$AQ$1001,MATCH(ROWS($U$2:U878),$U$2:$U$1001,0),MATCH(COLUMNS($AB$1006:AN1006),$AB$1006:$AQ$1006,0)), HYPERLINK("#",""), HYPERLINK(CONCATENATE("#Metadata!", ADDRESS(INDEX($W$2:$W$1001,MATCH(ROWS($U$2:U878),$U$2:$U$1001,0),0), INDEX($AB$1004:$AQ$1004,1,MATCH(COLUMNS($AB$1006:AN1006),$AB$1006:$AQ$1006,0)))),"Fix")))</f>
        <v>0</v>
      </c>
      <c r="O878" s="5">
        <f>IF(OR(INDEX($V$2:$V$1001,MATCH(ROWS($U$2:U878),$U$2:$U$1001,0),1)&gt;=100000,INDEX($AB$1005:$AQ$1005,1,MATCH(COLUMNS($AB$1006:AO1006),$AB$1006:$AQ$1006,0))&gt;=100000), " ",IF(INDEX($AB$2:$AQ$1001,MATCH(ROWS($U$2:U878),$U$2:$U$1001,0),MATCH(COLUMNS($AB$1006:AO1006),$AB$1006:$AQ$1006,0)), HYPERLINK("#",""), HYPERLINK(CONCATENATE("#Metadata!", ADDRESS(INDEX($W$2:$W$1001,MATCH(ROWS($U$2:U878),$U$2:$U$1001,0),0), INDEX($AB$1004:$AQ$1004,1,MATCH(COLUMNS($AB$1006:AO1006),$AB$1006:$AQ$1006,0)))),"Fix")))</f>
        <v>0</v>
      </c>
      <c r="P878" s="5">
        <f>IF(OR(INDEX($V$2:$V$1001,MATCH(ROWS($U$2:U878),$U$2:$U$1001,0),1)&gt;=100000,INDEX($AB$1005:$AQ$1005,1,MATCH(COLUMNS($AB$1006:AP1006),$AB$1006:$AQ$1006,0))&gt;=100000), " ",IF(INDEX($AB$2:$AQ$1001,MATCH(ROWS($U$2:U878),$U$2:$U$1001,0),MATCH(COLUMNS($AB$1006:AP1006),$AB$1006:$AQ$1006,0)), HYPERLINK("#",""), HYPERLINK(CONCATENATE("#Metadata!", ADDRESS(INDEX($W$2:$W$1001,MATCH(ROWS($U$2:U878),$U$2:$U$1001,0),0), INDEX($AB$1004:$AQ$1004,1,MATCH(COLUMNS($AB$1006:AP1006),$AB$1006:$AQ$1006,0)))),"Fix")))</f>
        <v>0</v>
      </c>
      <c r="Q878" s="5">
        <f>IF(OR(INDEX($V$2:$V$1001,MATCH(ROWS($U$2:U878),$U$2:$U$1001,0),1)&gt;=100000,INDEX($AB$1005:$AQ$1005,1,MATCH(COLUMNS($AB$1006:AQ1006),$AB$1006:$AQ$1006,0))&gt;=100000), " ",IF(INDEX($AB$2:$AQ$1001,MATCH(ROWS($U$2:U878),$U$2:$U$1001,0),MATCH(COLUMNS($AB$1006:AQ1006),$AB$1006:$AQ$1006,0)), HYPERLINK("#",""), HYPERLINK(CONCATENATE("#Metadata!", ADDRESS(INDEX($W$2:$W$1001,MATCH(ROWS($U$2:U878),$U$2:$U$1001,0),0), INDEX($AB$1004:$AQ$1004,1,MATCH(COLUMNS($AB$1006:AQ1006),$AB$1006:$AQ$1006,0)))),"Fix")))</f>
        <v>0</v>
      </c>
      <c r="U878">
        <v>0</v>
      </c>
      <c r="V878">
        <v>0</v>
      </c>
      <c r="W878">
        <v>0</v>
      </c>
      <c r="X878">
        <f>IF(Y878,TRUE,AND(AB878:AQ878))</f>
        <v>0</v>
      </c>
      <c r="Y878">
        <f>COUNTBLANK(Metadata!B878:Q878)=COLUMNS(Metadata!B878:Q878)</f>
        <v>0</v>
      </c>
      <c r="Z878">
        <v>0</v>
      </c>
      <c r="AB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AC878">
        <f>AND(IF(Metadata!C878="",FALSE,TRUE),exact(Metadata!C878,"urban biome"))</f>
        <v>0</v>
      </c>
      <c r="AD878">
        <f>AND(IF(Metadata!D878="",FALSE,TRUE),exact(Metadata!D878,"human-associated habitat"))</f>
        <v>0</v>
      </c>
      <c r="AE878">
        <f>AND(IF(Metadata!E878="",FALSE,TRUE),OR(exact(Metadata!E878,"human-associated"),exact(Metadata!E878,"human-skin"),exact(Metadata!E878,"human-oral"),exact(Metadata!E878,"human-gut"),exact(Metadata!E878,"human-vaginal")))</f>
        <v>0</v>
      </c>
      <c r="AF878">
        <f>AND(IF(Metadata!F878="",FALSE,ISNUMBER(VALUE(Metadata!F878))),Metadata!F878&gt;0)</f>
        <v>0</v>
      </c>
      <c r="AG878">
        <f>AND(IF(Metadata!G878="",FALSE,TRUE),exact(Metadata!G878,"years"))</f>
        <v>0</v>
      </c>
      <c r="AH878">
        <f>OR(AND(IF(Metadata!H878="",FALSE,TRUE),OR(exact(Metadata!H878,"not applicable"),exact(Metadata!H878,"not collected"),exact(Metadata!H878,"not provided"),exact(Metadata!H878,"restricted access"))),AND(IF(Metadata!H878="",FALSE,ISNUMBER(VALUE(Metadata!H878))),Metadata!H878&gt;0))</f>
        <v>0</v>
      </c>
      <c r="AI878">
        <f>AND(IF(Metadata!I878="",FALSE,TRUE),exact(Metadata!I878,"human"))</f>
        <v>0</v>
      </c>
      <c r="AJ878">
        <f>AND(IF(Metadata!J878="",FALSE,ISNUMBER(VALUE(Metadata!J878))),Metadata!J878&gt;0)</f>
        <v>0</v>
      </c>
      <c r="AK878">
        <f>AND(IF(Metadata!K878="",FALSE,TRUE),exact(Metadata!K878,"cm"))</f>
        <v>0</v>
      </c>
      <c r="AL878">
        <f>AND(IF(Metadata!L878="",FALSE,TRUE),exact(Metadata!L878,"Homo sapiens"))</f>
        <v>0</v>
      </c>
      <c r="AM878">
        <f>AND(IF(Metadata!M878="",FALSE,TRUE),exact(Metadata!M878,"9606"))</f>
        <v>0</v>
      </c>
      <c r="AN878">
        <f>AND(IF(Metadata!N878="",FALSE,ISNUMBER(VALUE(Metadata!N878))),Metadata!N878&gt;0)</f>
        <v>0</v>
      </c>
      <c r="AO878">
        <f>AND(IF(Metadata!O878="",FALSE,TRUE),exact(Metadata!O878,"kg"))</f>
        <v>0</v>
      </c>
      <c r="AP878">
        <f>OR(AND(IF(Metadata!P878="",FALSE,TRUE),exact(Metadata!P878,"not provided")),IF(Metadata!P878="",FALSE,TRUE))</f>
        <v>0</v>
      </c>
      <c r="AQ878">
        <f>OR(AND(IF(Metadata!Q878="",FALSE,TRUE),exact(Metadata!Q878,"not provided")),IF(Metadata!Q878="",FALSE,TRUE))</f>
        <v>0</v>
      </c>
    </row>
    <row r="879" spans="1:43">
      <c r="A879" s="4">
        <f>IF(B879=" "," ",HYPERLINK(CONCATENATE("#metadata!",ADDRESS(INDEX($W$2:$W$1001,MATCH(ROWS($U$2:U879),$U$2:$U$1001,0),0),2)),INDEX($Z$2:$Z$1001,MATCH(ROWS($U$2:U879),$U$2:$U$1001,0),0)))</f>
        <v>0</v>
      </c>
      <c r="B879" s="5">
        <f>IF(OR(INDEX($V$2:$V$1001,MATCH(ROWS($U$2:U879),$U$2:$U$1001,0),1)&gt;=100000,INDEX($AB$1005:$AQ$1005,1,MATCH(COLUMNS($AB$1006:AB1006),$AB$1006:$AQ$1006,0))&gt;=100000), " ",IF(INDEX($AB$2:$AQ$1001,MATCH(ROWS($U$2:U879),$U$2:$U$1001,0),MATCH(COLUMNS($AB$1006:AB1006),$AB$1006:$AQ$1006,0)), HYPERLINK("#",""), HYPERLINK(CONCATENATE("#Metadata!", ADDRESS(INDEX($W$2:$W$1001,MATCH(ROWS($U$2:U879),$U$2:$U$1001,0),0), INDEX($AB$1004:$AQ$1004,1,MATCH(COLUMNS($AB$1006:AB1006),$AB$1006:$AQ$1006,0)))),"Fix")))</f>
        <v>0</v>
      </c>
      <c r="C879" s="5">
        <f>IF(OR(INDEX($V$2:$V$1001,MATCH(ROWS($U$2:U879),$U$2:$U$1001,0),1)&gt;=100000,INDEX($AB$1005:$AQ$1005,1,MATCH(COLUMNS($AB$1006:AC1006),$AB$1006:$AQ$1006,0))&gt;=100000), " ",IF(INDEX($AB$2:$AQ$1001,MATCH(ROWS($U$2:U879),$U$2:$U$1001,0),MATCH(COLUMNS($AB$1006:AC1006),$AB$1006:$AQ$1006,0)), HYPERLINK("#",""), HYPERLINK(CONCATENATE("#Metadata!", ADDRESS(INDEX($W$2:$W$1001,MATCH(ROWS($U$2:U879),$U$2:$U$1001,0),0), INDEX($AB$1004:$AQ$1004,1,MATCH(COLUMNS($AB$1006:AC1006),$AB$1006:$AQ$1006,0)))),"Fix")))</f>
        <v>0</v>
      </c>
      <c r="D879" s="5">
        <f>IF(OR(INDEX($V$2:$V$1001,MATCH(ROWS($U$2:U879),$U$2:$U$1001,0),1)&gt;=100000,INDEX($AB$1005:$AQ$1005,1,MATCH(COLUMNS($AB$1006:AD1006),$AB$1006:$AQ$1006,0))&gt;=100000), " ",IF(INDEX($AB$2:$AQ$1001,MATCH(ROWS($U$2:U879),$U$2:$U$1001,0),MATCH(COLUMNS($AB$1006:AD1006),$AB$1006:$AQ$1006,0)), HYPERLINK("#",""), HYPERLINK(CONCATENATE("#Metadata!", ADDRESS(INDEX($W$2:$W$1001,MATCH(ROWS($U$2:U879),$U$2:$U$1001,0),0), INDEX($AB$1004:$AQ$1004,1,MATCH(COLUMNS($AB$1006:AD1006),$AB$1006:$AQ$1006,0)))),"Fix")))</f>
        <v>0</v>
      </c>
      <c r="E879" s="5">
        <f>IF(OR(INDEX($V$2:$V$1001,MATCH(ROWS($U$2:U879),$U$2:$U$1001,0),1)&gt;=100000,INDEX($AB$1005:$AQ$1005,1,MATCH(COLUMNS($AB$1006:AE1006),$AB$1006:$AQ$1006,0))&gt;=100000), " ",IF(INDEX($AB$2:$AQ$1001,MATCH(ROWS($U$2:U879),$U$2:$U$1001,0),MATCH(COLUMNS($AB$1006:AE1006),$AB$1006:$AQ$1006,0)), HYPERLINK("#",""), HYPERLINK(CONCATENATE("#Metadata!", ADDRESS(INDEX($W$2:$W$1001,MATCH(ROWS($U$2:U879),$U$2:$U$1001,0),0), INDEX($AB$1004:$AQ$1004,1,MATCH(COLUMNS($AB$1006:AE1006),$AB$1006:$AQ$1006,0)))),"Fix")))</f>
        <v>0</v>
      </c>
      <c r="F879" s="5">
        <f>IF(OR(INDEX($V$2:$V$1001,MATCH(ROWS($U$2:U879),$U$2:$U$1001,0),1)&gt;=100000,INDEX($AB$1005:$AQ$1005,1,MATCH(COLUMNS($AB$1006:AF1006),$AB$1006:$AQ$1006,0))&gt;=100000), " ",IF(INDEX($AB$2:$AQ$1001,MATCH(ROWS($U$2:U879),$U$2:$U$1001,0),MATCH(COLUMNS($AB$1006:AF1006),$AB$1006:$AQ$1006,0)), HYPERLINK("#",""), HYPERLINK(CONCATENATE("#Metadata!", ADDRESS(INDEX($W$2:$W$1001,MATCH(ROWS($U$2:U879),$U$2:$U$1001,0),0), INDEX($AB$1004:$AQ$1004,1,MATCH(COLUMNS($AB$1006:AF1006),$AB$1006:$AQ$1006,0)))),"Fix")))</f>
        <v>0</v>
      </c>
      <c r="G879" s="5">
        <f>IF(OR(INDEX($V$2:$V$1001,MATCH(ROWS($U$2:U879),$U$2:$U$1001,0),1)&gt;=100000,INDEX($AB$1005:$AQ$1005,1,MATCH(COLUMNS($AB$1006:AG1006),$AB$1006:$AQ$1006,0))&gt;=100000), " ",IF(INDEX($AB$2:$AQ$1001,MATCH(ROWS($U$2:U879),$U$2:$U$1001,0),MATCH(COLUMNS($AB$1006:AG1006),$AB$1006:$AQ$1006,0)), HYPERLINK("#",""), HYPERLINK(CONCATENATE("#Metadata!", ADDRESS(INDEX($W$2:$W$1001,MATCH(ROWS($U$2:U879),$U$2:$U$1001,0),0), INDEX($AB$1004:$AQ$1004,1,MATCH(COLUMNS($AB$1006:AG1006),$AB$1006:$AQ$1006,0)))),"Fix")))</f>
        <v>0</v>
      </c>
      <c r="H879" s="5">
        <f>IF(OR(INDEX($V$2:$V$1001,MATCH(ROWS($U$2:U879),$U$2:$U$1001,0),1)&gt;=100000,INDEX($AB$1005:$AQ$1005,1,MATCH(COLUMNS($AB$1006:AH1006),$AB$1006:$AQ$1006,0))&gt;=100000), " ",IF(INDEX($AB$2:$AQ$1001,MATCH(ROWS($U$2:U879),$U$2:$U$1001,0),MATCH(COLUMNS($AB$1006:AH1006),$AB$1006:$AQ$1006,0)), HYPERLINK("#",""), HYPERLINK(CONCATENATE("#Metadata!", ADDRESS(INDEX($W$2:$W$1001,MATCH(ROWS($U$2:U879),$U$2:$U$1001,0),0), INDEX($AB$1004:$AQ$1004,1,MATCH(COLUMNS($AB$1006:AH1006),$AB$1006:$AQ$1006,0)))),"Fix")))</f>
        <v>0</v>
      </c>
      <c r="I879" s="5">
        <f>IF(OR(INDEX($V$2:$V$1001,MATCH(ROWS($U$2:U879),$U$2:$U$1001,0),1)&gt;=100000,INDEX($AB$1005:$AQ$1005,1,MATCH(COLUMNS($AB$1006:AI1006),$AB$1006:$AQ$1006,0))&gt;=100000), " ",IF(INDEX($AB$2:$AQ$1001,MATCH(ROWS($U$2:U879),$U$2:$U$1001,0),MATCH(COLUMNS($AB$1006:AI1006),$AB$1006:$AQ$1006,0)), HYPERLINK("#",""), HYPERLINK(CONCATENATE("#Metadata!", ADDRESS(INDEX($W$2:$W$1001,MATCH(ROWS($U$2:U879),$U$2:$U$1001,0),0), INDEX($AB$1004:$AQ$1004,1,MATCH(COLUMNS($AB$1006:AI1006),$AB$1006:$AQ$1006,0)))),"Fix")))</f>
        <v>0</v>
      </c>
      <c r="J879" s="5">
        <f>IF(OR(INDEX($V$2:$V$1001,MATCH(ROWS($U$2:U879),$U$2:$U$1001,0),1)&gt;=100000,INDEX($AB$1005:$AQ$1005,1,MATCH(COLUMNS($AB$1006:AJ1006),$AB$1006:$AQ$1006,0))&gt;=100000), " ",IF(INDEX($AB$2:$AQ$1001,MATCH(ROWS($U$2:U879),$U$2:$U$1001,0),MATCH(COLUMNS($AB$1006:AJ1006),$AB$1006:$AQ$1006,0)), HYPERLINK("#",""), HYPERLINK(CONCATENATE("#Metadata!", ADDRESS(INDEX($W$2:$W$1001,MATCH(ROWS($U$2:U879),$U$2:$U$1001,0),0), INDEX($AB$1004:$AQ$1004,1,MATCH(COLUMNS($AB$1006:AJ1006),$AB$1006:$AQ$1006,0)))),"Fix")))</f>
        <v>0</v>
      </c>
      <c r="K879" s="5">
        <f>IF(OR(INDEX($V$2:$V$1001,MATCH(ROWS($U$2:U879),$U$2:$U$1001,0),1)&gt;=100000,INDEX($AB$1005:$AQ$1005,1,MATCH(COLUMNS($AB$1006:AK1006),$AB$1006:$AQ$1006,0))&gt;=100000), " ",IF(INDEX($AB$2:$AQ$1001,MATCH(ROWS($U$2:U879),$U$2:$U$1001,0),MATCH(COLUMNS($AB$1006:AK1006),$AB$1006:$AQ$1006,0)), HYPERLINK("#",""), HYPERLINK(CONCATENATE("#Metadata!", ADDRESS(INDEX($W$2:$W$1001,MATCH(ROWS($U$2:U879),$U$2:$U$1001,0),0), INDEX($AB$1004:$AQ$1004,1,MATCH(COLUMNS($AB$1006:AK1006),$AB$1006:$AQ$1006,0)))),"Fix")))</f>
        <v>0</v>
      </c>
      <c r="L879" s="5">
        <f>IF(OR(INDEX($V$2:$V$1001,MATCH(ROWS($U$2:U879),$U$2:$U$1001,0),1)&gt;=100000,INDEX($AB$1005:$AQ$1005,1,MATCH(COLUMNS($AB$1006:AL1006),$AB$1006:$AQ$1006,0))&gt;=100000), " ",IF(INDEX($AB$2:$AQ$1001,MATCH(ROWS($U$2:U879),$U$2:$U$1001,0),MATCH(COLUMNS($AB$1006:AL1006),$AB$1006:$AQ$1006,0)), HYPERLINK("#",""), HYPERLINK(CONCATENATE("#Metadata!", ADDRESS(INDEX($W$2:$W$1001,MATCH(ROWS($U$2:U879),$U$2:$U$1001,0),0), INDEX($AB$1004:$AQ$1004,1,MATCH(COLUMNS($AB$1006:AL1006),$AB$1006:$AQ$1006,0)))),"Fix")))</f>
        <v>0</v>
      </c>
      <c r="M879" s="5">
        <f>IF(OR(INDEX($V$2:$V$1001,MATCH(ROWS($U$2:U879),$U$2:$U$1001,0),1)&gt;=100000,INDEX($AB$1005:$AQ$1005,1,MATCH(COLUMNS($AB$1006:AM1006),$AB$1006:$AQ$1006,0))&gt;=100000), " ",IF(INDEX($AB$2:$AQ$1001,MATCH(ROWS($U$2:U879),$U$2:$U$1001,0),MATCH(COLUMNS($AB$1006:AM1006),$AB$1006:$AQ$1006,0)), HYPERLINK("#",""), HYPERLINK(CONCATENATE("#Metadata!", ADDRESS(INDEX($W$2:$W$1001,MATCH(ROWS($U$2:U879),$U$2:$U$1001,0),0), INDEX($AB$1004:$AQ$1004,1,MATCH(COLUMNS($AB$1006:AM1006),$AB$1006:$AQ$1006,0)))),"Fix")))</f>
        <v>0</v>
      </c>
      <c r="N879" s="5">
        <f>IF(OR(INDEX($V$2:$V$1001,MATCH(ROWS($U$2:U879),$U$2:$U$1001,0),1)&gt;=100000,INDEX($AB$1005:$AQ$1005,1,MATCH(COLUMNS($AB$1006:AN1006),$AB$1006:$AQ$1006,0))&gt;=100000), " ",IF(INDEX($AB$2:$AQ$1001,MATCH(ROWS($U$2:U879),$U$2:$U$1001,0),MATCH(COLUMNS($AB$1006:AN1006),$AB$1006:$AQ$1006,0)), HYPERLINK("#",""), HYPERLINK(CONCATENATE("#Metadata!", ADDRESS(INDEX($W$2:$W$1001,MATCH(ROWS($U$2:U879),$U$2:$U$1001,0),0), INDEX($AB$1004:$AQ$1004,1,MATCH(COLUMNS($AB$1006:AN1006),$AB$1006:$AQ$1006,0)))),"Fix")))</f>
        <v>0</v>
      </c>
      <c r="O879" s="5">
        <f>IF(OR(INDEX($V$2:$V$1001,MATCH(ROWS($U$2:U879),$U$2:$U$1001,0),1)&gt;=100000,INDEX($AB$1005:$AQ$1005,1,MATCH(COLUMNS($AB$1006:AO1006),$AB$1006:$AQ$1006,0))&gt;=100000), " ",IF(INDEX($AB$2:$AQ$1001,MATCH(ROWS($U$2:U879),$U$2:$U$1001,0),MATCH(COLUMNS($AB$1006:AO1006),$AB$1006:$AQ$1006,0)), HYPERLINK("#",""), HYPERLINK(CONCATENATE("#Metadata!", ADDRESS(INDEX($W$2:$W$1001,MATCH(ROWS($U$2:U879),$U$2:$U$1001,0),0), INDEX($AB$1004:$AQ$1004,1,MATCH(COLUMNS($AB$1006:AO1006),$AB$1006:$AQ$1006,0)))),"Fix")))</f>
        <v>0</v>
      </c>
      <c r="P879" s="5">
        <f>IF(OR(INDEX($V$2:$V$1001,MATCH(ROWS($U$2:U879),$U$2:$U$1001,0),1)&gt;=100000,INDEX($AB$1005:$AQ$1005,1,MATCH(COLUMNS($AB$1006:AP1006),$AB$1006:$AQ$1006,0))&gt;=100000), " ",IF(INDEX($AB$2:$AQ$1001,MATCH(ROWS($U$2:U879),$U$2:$U$1001,0),MATCH(COLUMNS($AB$1006:AP1006),$AB$1006:$AQ$1006,0)), HYPERLINK("#",""), HYPERLINK(CONCATENATE("#Metadata!", ADDRESS(INDEX($W$2:$W$1001,MATCH(ROWS($U$2:U879),$U$2:$U$1001,0),0), INDEX($AB$1004:$AQ$1004,1,MATCH(COLUMNS($AB$1006:AP1006),$AB$1006:$AQ$1006,0)))),"Fix")))</f>
        <v>0</v>
      </c>
      <c r="Q879" s="5">
        <f>IF(OR(INDEX($V$2:$V$1001,MATCH(ROWS($U$2:U879),$U$2:$U$1001,0),1)&gt;=100000,INDEX($AB$1005:$AQ$1005,1,MATCH(COLUMNS($AB$1006:AQ1006),$AB$1006:$AQ$1006,0))&gt;=100000), " ",IF(INDEX($AB$2:$AQ$1001,MATCH(ROWS($U$2:U879),$U$2:$U$1001,0),MATCH(COLUMNS($AB$1006:AQ1006),$AB$1006:$AQ$1006,0)), HYPERLINK("#",""), HYPERLINK(CONCATENATE("#Metadata!", ADDRESS(INDEX($W$2:$W$1001,MATCH(ROWS($U$2:U879),$U$2:$U$1001,0),0), INDEX($AB$1004:$AQ$1004,1,MATCH(COLUMNS($AB$1006:AQ1006),$AB$1006:$AQ$1006,0)))),"Fix")))</f>
        <v>0</v>
      </c>
      <c r="U879">
        <v>0</v>
      </c>
      <c r="V879">
        <v>0</v>
      </c>
      <c r="W879">
        <v>0</v>
      </c>
      <c r="X879">
        <f>IF(Y879,TRUE,AND(AB879:AQ879))</f>
        <v>0</v>
      </c>
      <c r="Y879">
        <f>COUNTBLANK(Metadata!B879:Q879)=COLUMNS(Metadata!B879:Q879)</f>
        <v>0</v>
      </c>
      <c r="Z879">
        <v>0</v>
      </c>
      <c r="AB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AC879">
        <f>AND(IF(Metadata!C879="",FALSE,TRUE),exact(Metadata!C879,"urban biome"))</f>
        <v>0</v>
      </c>
      <c r="AD879">
        <f>AND(IF(Metadata!D879="",FALSE,TRUE),exact(Metadata!D879,"human-associated habitat"))</f>
        <v>0</v>
      </c>
      <c r="AE879">
        <f>AND(IF(Metadata!E879="",FALSE,TRUE),OR(exact(Metadata!E879,"human-associated"),exact(Metadata!E879,"human-skin"),exact(Metadata!E879,"human-oral"),exact(Metadata!E879,"human-gut"),exact(Metadata!E879,"human-vaginal")))</f>
        <v>0</v>
      </c>
      <c r="AF879">
        <f>AND(IF(Metadata!F879="",FALSE,ISNUMBER(VALUE(Metadata!F879))),Metadata!F879&gt;0)</f>
        <v>0</v>
      </c>
      <c r="AG879">
        <f>AND(IF(Metadata!G879="",FALSE,TRUE),exact(Metadata!G879,"years"))</f>
        <v>0</v>
      </c>
      <c r="AH879">
        <f>OR(AND(IF(Metadata!H879="",FALSE,TRUE),OR(exact(Metadata!H879,"not applicable"),exact(Metadata!H879,"not collected"),exact(Metadata!H879,"not provided"),exact(Metadata!H879,"restricted access"))),AND(IF(Metadata!H879="",FALSE,ISNUMBER(VALUE(Metadata!H879))),Metadata!H879&gt;0))</f>
        <v>0</v>
      </c>
      <c r="AI879">
        <f>AND(IF(Metadata!I879="",FALSE,TRUE),exact(Metadata!I879,"human"))</f>
        <v>0</v>
      </c>
      <c r="AJ879">
        <f>AND(IF(Metadata!J879="",FALSE,ISNUMBER(VALUE(Metadata!J879))),Metadata!J879&gt;0)</f>
        <v>0</v>
      </c>
      <c r="AK879">
        <f>AND(IF(Metadata!K879="",FALSE,TRUE),exact(Metadata!K879,"cm"))</f>
        <v>0</v>
      </c>
      <c r="AL879">
        <f>AND(IF(Metadata!L879="",FALSE,TRUE),exact(Metadata!L879,"Homo sapiens"))</f>
        <v>0</v>
      </c>
      <c r="AM879">
        <f>AND(IF(Metadata!M879="",FALSE,TRUE),exact(Metadata!M879,"9606"))</f>
        <v>0</v>
      </c>
      <c r="AN879">
        <f>AND(IF(Metadata!N879="",FALSE,ISNUMBER(VALUE(Metadata!N879))),Metadata!N879&gt;0)</f>
        <v>0</v>
      </c>
      <c r="AO879">
        <f>AND(IF(Metadata!O879="",FALSE,TRUE),exact(Metadata!O879,"kg"))</f>
        <v>0</v>
      </c>
      <c r="AP879">
        <f>OR(AND(IF(Metadata!P879="",FALSE,TRUE),exact(Metadata!P879,"not provided")),IF(Metadata!P879="",FALSE,TRUE))</f>
        <v>0</v>
      </c>
      <c r="AQ879">
        <f>OR(AND(IF(Metadata!Q879="",FALSE,TRUE),exact(Metadata!Q879,"not provided")),IF(Metadata!Q879="",FALSE,TRUE))</f>
        <v>0</v>
      </c>
    </row>
    <row r="880" spans="1:43">
      <c r="A880" s="4">
        <f>IF(B880=" "," ",HYPERLINK(CONCATENATE("#metadata!",ADDRESS(INDEX($W$2:$W$1001,MATCH(ROWS($U$2:U880),$U$2:$U$1001,0),0),2)),INDEX($Z$2:$Z$1001,MATCH(ROWS($U$2:U880),$U$2:$U$1001,0),0)))</f>
        <v>0</v>
      </c>
      <c r="B880" s="5">
        <f>IF(OR(INDEX($V$2:$V$1001,MATCH(ROWS($U$2:U880),$U$2:$U$1001,0),1)&gt;=100000,INDEX($AB$1005:$AQ$1005,1,MATCH(COLUMNS($AB$1006:AB1006),$AB$1006:$AQ$1006,0))&gt;=100000), " ",IF(INDEX($AB$2:$AQ$1001,MATCH(ROWS($U$2:U880),$U$2:$U$1001,0),MATCH(COLUMNS($AB$1006:AB1006),$AB$1006:$AQ$1006,0)), HYPERLINK("#",""), HYPERLINK(CONCATENATE("#Metadata!", ADDRESS(INDEX($W$2:$W$1001,MATCH(ROWS($U$2:U880),$U$2:$U$1001,0),0), INDEX($AB$1004:$AQ$1004,1,MATCH(COLUMNS($AB$1006:AB1006),$AB$1006:$AQ$1006,0)))),"Fix")))</f>
        <v>0</v>
      </c>
      <c r="C880" s="5">
        <f>IF(OR(INDEX($V$2:$V$1001,MATCH(ROWS($U$2:U880),$U$2:$U$1001,0),1)&gt;=100000,INDEX($AB$1005:$AQ$1005,1,MATCH(COLUMNS($AB$1006:AC1006),$AB$1006:$AQ$1006,0))&gt;=100000), " ",IF(INDEX($AB$2:$AQ$1001,MATCH(ROWS($U$2:U880),$U$2:$U$1001,0),MATCH(COLUMNS($AB$1006:AC1006),$AB$1006:$AQ$1006,0)), HYPERLINK("#",""), HYPERLINK(CONCATENATE("#Metadata!", ADDRESS(INDEX($W$2:$W$1001,MATCH(ROWS($U$2:U880),$U$2:$U$1001,0),0), INDEX($AB$1004:$AQ$1004,1,MATCH(COLUMNS($AB$1006:AC1006),$AB$1006:$AQ$1006,0)))),"Fix")))</f>
        <v>0</v>
      </c>
      <c r="D880" s="5">
        <f>IF(OR(INDEX($V$2:$V$1001,MATCH(ROWS($U$2:U880),$U$2:$U$1001,0),1)&gt;=100000,INDEX($AB$1005:$AQ$1005,1,MATCH(COLUMNS($AB$1006:AD1006),$AB$1006:$AQ$1006,0))&gt;=100000), " ",IF(INDEX($AB$2:$AQ$1001,MATCH(ROWS($U$2:U880),$U$2:$U$1001,0),MATCH(COLUMNS($AB$1006:AD1006),$AB$1006:$AQ$1006,0)), HYPERLINK("#",""), HYPERLINK(CONCATENATE("#Metadata!", ADDRESS(INDEX($W$2:$W$1001,MATCH(ROWS($U$2:U880),$U$2:$U$1001,0),0), INDEX($AB$1004:$AQ$1004,1,MATCH(COLUMNS($AB$1006:AD1006),$AB$1006:$AQ$1006,0)))),"Fix")))</f>
        <v>0</v>
      </c>
      <c r="E880" s="5">
        <f>IF(OR(INDEX($V$2:$V$1001,MATCH(ROWS($U$2:U880),$U$2:$U$1001,0),1)&gt;=100000,INDEX($AB$1005:$AQ$1005,1,MATCH(COLUMNS($AB$1006:AE1006),$AB$1006:$AQ$1006,0))&gt;=100000), " ",IF(INDEX($AB$2:$AQ$1001,MATCH(ROWS($U$2:U880),$U$2:$U$1001,0),MATCH(COLUMNS($AB$1006:AE1006),$AB$1006:$AQ$1006,0)), HYPERLINK("#",""), HYPERLINK(CONCATENATE("#Metadata!", ADDRESS(INDEX($W$2:$W$1001,MATCH(ROWS($U$2:U880),$U$2:$U$1001,0),0), INDEX($AB$1004:$AQ$1004,1,MATCH(COLUMNS($AB$1006:AE1006),$AB$1006:$AQ$1006,0)))),"Fix")))</f>
        <v>0</v>
      </c>
      <c r="F880" s="5">
        <f>IF(OR(INDEX($V$2:$V$1001,MATCH(ROWS($U$2:U880),$U$2:$U$1001,0),1)&gt;=100000,INDEX($AB$1005:$AQ$1005,1,MATCH(COLUMNS($AB$1006:AF1006),$AB$1006:$AQ$1006,0))&gt;=100000), " ",IF(INDEX($AB$2:$AQ$1001,MATCH(ROWS($U$2:U880),$U$2:$U$1001,0),MATCH(COLUMNS($AB$1006:AF1006),$AB$1006:$AQ$1006,0)), HYPERLINK("#",""), HYPERLINK(CONCATENATE("#Metadata!", ADDRESS(INDEX($W$2:$W$1001,MATCH(ROWS($U$2:U880),$U$2:$U$1001,0),0), INDEX($AB$1004:$AQ$1004,1,MATCH(COLUMNS($AB$1006:AF1006),$AB$1006:$AQ$1006,0)))),"Fix")))</f>
        <v>0</v>
      </c>
      <c r="G880" s="5">
        <f>IF(OR(INDEX($V$2:$V$1001,MATCH(ROWS($U$2:U880),$U$2:$U$1001,0),1)&gt;=100000,INDEX($AB$1005:$AQ$1005,1,MATCH(COLUMNS($AB$1006:AG1006),$AB$1006:$AQ$1006,0))&gt;=100000), " ",IF(INDEX($AB$2:$AQ$1001,MATCH(ROWS($U$2:U880),$U$2:$U$1001,0),MATCH(COLUMNS($AB$1006:AG1006),$AB$1006:$AQ$1006,0)), HYPERLINK("#",""), HYPERLINK(CONCATENATE("#Metadata!", ADDRESS(INDEX($W$2:$W$1001,MATCH(ROWS($U$2:U880),$U$2:$U$1001,0),0), INDEX($AB$1004:$AQ$1004,1,MATCH(COLUMNS($AB$1006:AG1006),$AB$1006:$AQ$1006,0)))),"Fix")))</f>
        <v>0</v>
      </c>
      <c r="H880" s="5">
        <f>IF(OR(INDEX($V$2:$V$1001,MATCH(ROWS($U$2:U880),$U$2:$U$1001,0),1)&gt;=100000,INDEX($AB$1005:$AQ$1005,1,MATCH(COLUMNS($AB$1006:AH1006),$AB$1006:$AQ$1006,0))&gt;=100000), " ",IF(INDEX($AB$2:$AQ$1001,MATCH(ROWS($U$2:U880),$U$2:$U$1001,0),MATCH(COLUMNS($AB$1006:AH1006),$AB$1006:$AQ$1006,0)), HYPERLINK("#",""), HYPERLINK(CONCATENATE("#Metadata!", ADDRESS(INDEX($W$2:$W$1001,MATCH(ROWS($U$2:U880),$U$2:$U$1001,0),0), INDEX($AB$1004:$AQ$1004,1,MATCH(COLUMNS($AB$1006:AH1006),$AB$1006:$AQ$1006,0)))),"Fix")))</f>
        <v>0</v>
      </c>
      <c r="I880" s="5">
        <f>IF(OR(INDEX($V$2:$V$1001,MATCH(ROWS($U$2:U880),$U$2:$U$1001,0),1)&gt;=100000,INDEX($AB$1005:$AQ$1005,1,MATCH(COLUMNS($AB$1006:AI1006),$AB$1006:$AQ$1006,0))&gt;=100000), " ",IF(INDEX($AB$2:$AQ$1001,MATCH(ROWS($U$2:U880),$U$2:$U$1001,0),MATCH(COLUMNS($AB$1006:AI1006),$AB$1006:$AQ$1006,0)), HYPERLINK("#",""), HYPERLINK(CONCATENATE("#Metadata!", ADDRESS(INDEX($W$2:$W$1001,MATCH(ROWS($U$2:U880),$U$2:$U$1001,0),0), INDEX($AB$1004:$AQ$1004,1,MATCH(COLUMNS($AB$1006:AI1006),$AB$1006:$AQ$1006,0)))),"Fix")))</f>
        <v>0</v>
      </c>
      <c r="J880" s="5">
        <f>IF(OR(INDEX($V$2:$V$1001,MATCH(ROWS($U$2:U880),$U$2:$U$1001,0),1)&gt;=100000,INDEX($AB$1005:$AQ$1005,1,MATCH(COLUMNS($AB$1006:AJ1006),$AB$1006:$AQ$1006,0))&gt;=100000), " ",IF(INDEX($AB$2:$AQ$1001,MATCH(ROWS($U$2:U880),$U$2:$U$1001,0),MATCH(COLUMNS($AB$1006:AJ1006),$AB$1006:$AQ$1006,0)), HYPERLINK("#",""), HYPERLINK(CONCATENATE("#Metadata!", ADDRESS(INDEX($W$2:$W$1001,MATCH(ROWS($U$2:U880),$U$2:$U$1001,0),0), INDEX($AB$1004:$AQ$1004,1,MATCH(COLUMNS($AB$1006:AJ1006),$AB$1006:$AQ$1006,0)))),"Fix")))</f>
        <v>0</v>
      </c>
      <c r="K880" s="5">
        <f>IF(OR(INDEX($V$2:$V$1001,MATCH(ROWS($U$2:U880),$U$2:$U$1001,0),1)&gt;=100000,INDEX($AB$1005:$AQ$1005,1,MATCH(COLUMNS($AB$1006:AK1006),$AB$1006:$AQ$1006,0))&gt;=100000), " ",IF(INDEX($AB$2:$AQ$1001,MATCH(ROWS($U$2:U880),$U$2:$U$1001,0),MATCH(COLUMNS($AB$1006:AK1006),$AB$1006:$AQ$1006,0)), HYPERLINK("#",""), HYPERLINK(CONCATENATE("#Metadata!", ADDRESS(INDEX($W$2:$W$1001,MATCH(ROWS($U$2:U880),$U$2:$U$1001,0),0), INDEX($AB$1004:$AQ$1004,1,MATCH(COLUMNS($AB$1006:AK1006),$AB$1006:$AQ$1006,0)))),"Fix")))</f>
        <v>0</v>
      </c>
      <c r="L880" s="5">
        <f>IF(OR(INDEX($V$2:$V$1001,MATCH(ROWS($U$2:U880),$U$2:$U$1001,0),1)&gt;=100000,INDEX($AB$1005:$AQ$1005,1,MATCH(COLUMNS($AB$1006:AL1006),$AB$1006:$AQ$1006,0))&gt;=100000), " ",IF(INDEX($AB$2:$AQ$1001,MATCH(ROWS($U$2:U880),$U$2:$U$1001,0),MATCH(COLUMNS($AB$1006:AL1006),$AB$1006:$AQ$1006,0)), HYPERLINK("#",""), HYPERLINK(CONCATENATE("#Metadata!", ADDRESS(INDEX($W$2:$W$1001,MATCH(ROWS($U$2:U880),$U$2:$U$1001,0),0), INDEX($AB$1004:$AQ$1004,1,MATCH(COLUMNS($AB$1006:AL1006),$AB$1006:$AQ$1006,0)))),"Fix")))</f>
        <v>0</v>
      </c>
      <c r="M880" s="5">
        <f>IF(OR(INDEX($V$2:$V$1001,MATCH(ROWS($U$2:U880),$U$2:$U$1001,0),1)&gt;=100000,INDEX($AB$1005:$AQ$1005,1,MATCH(COLUMNS($AB$1006:AM1006),$AB$1006:$AQ$1006,0))&gt;=100000), " ",IF(INDEX($AB$2:$AQ$1001,MATCH(ROWS($U$2:U880),$U$2:$U$1001,0),MATCH(COLUMNS($AB$1006:AM1006),$AB$1006:$AQ$1006,0)), HYPERLINK("#",""), HYPERLINK(CONCATENATE("#Metadata!", ADDRESS(INDEX($W$2:$W$1001,MATCH(ROWS($U$2:U880),$U$2:$U$1001,0),0), INDEX($AB$1004:$AQ$1004,1,MATCH(COLUMNS($AB$1006:AM1006),$AB$1006:$AQ$1006,0)))),"Fix")))</f>
        <v>0</v>
      </c>
      <c r="N880" s="5">
        <f>IF(OR(INDEX($V$2:$V$1001,MATCH(ROWS($U$2:U880),$U$2:$U$1001,0),1)&gt;=100000,INDEX($AB$1005:$AQ$1005,1,MATCH(COLUMNS($AB$1006:AN1006),$AB$1006:$AQ$1006,0))&gt;=100000), " ",IF(INDEX($AB$2:$AQ$1001,MATCH(ROWS($U$2:U880),$U$2:$U$1001,0),MATCH(COLUMNS($AB$1006:AN1006),$AB$1006:$AQ$1006,0)), HYPERLINK("#",""), HYPERLINK(CONCATENATE("#Metadata!", ADDRESS(INDEX($W$2:$W$1001,MATCH(ROWS($U$2:U880),$U$2:$U$1001,0),0), INDEX($AB$1004:$AQ$1004,1,MATCH(COLUMNS($AB$1006:AN1006),$AB$1006:$AQ$1006,0)))),"Fix")))</f>
        <v>0</v>
      </c>
      <c r="O880" s="5">
        <f>IF(OR(INDEX($V$2:$V$1001,MATCH(ROWS($U$2:U880),$U$2:$U$1001,0),1)&gt;=100000,INDEX($AB$1005:$AQ$1005,1,MATCH(COLUMNS($AB$1006:AO1006),$AB$1006:$AQ$1006,0))&gt;=100000), " ",IF(INDEX($AB$2:$AQ$1001,MATCH(ROWS($U$2:U880),$U$2:$U$1001,0),MATCH(COLUMNS($AB$1006:AO1006),$AB$1006:$AQ$1006,0)), HYPERLINK("#",""), HYPERLINK(CONCATENATE("#Metadata!", ADDRESS(INDEX($W$2:$W$1001,MATCH(ROWS($U$2:U880),$U$2:$U$1001,0),0), INDEX($AB$1004:$AQ$1004,1,MATCH(COLUMNS($AB$1006:AO1006),$AB$1006:$AQ$1006,0)))),"Fix")))</f>
        <v>0</v>
      </c>
      <c r="P880" s="5">
        <f>IF(OR(INDEX($V$2:$V$1001,MATCH(ROWS($U$2:U880),$U$2:$U$1001,0),1)&gt;=100000,INDEX($AB$1005:$AQ$1005,1,MATCH(COLUMNS($AB$1006:AP1006),$AB$1006:$AQ$1006,0))&gt;=100000), " ",IF(INDEX($AB$2:$AQ$1001,MATCH(ROWS($U$2:U880),$U$2:$U$1001,0),MATCH(COLUMNS($AB$1006:AP1006),$AB$1006:$AQ$1006,0)), HYPERLINK("#",""), HYPERLINK(CONCATENATE("#Metadata!", ADDRESS(INDEX($W$2:$W$1001,MATCH(ROWS($U$2:U880),$U$2:$U$1001,0),0), INDEX($AB$1004:$AQ$1004,1,MATCH(COLUMNS($AB$1006:AP1006),$AB$1006:$AQ$1006,0)))),"Fix")))</f>
        <v>0</v>
      </c>
      <c r="Q880" s="5">
        <f>IF(OR(INDEX($V$2:$V$1001,MATCH(ROWS($U$2:U880),$U$2:$U$1001,0),1)&gt;=100000,INDEX($AB$1005:$AQ$1005,1,MATCH(COLUMNS($AB$1006:AQ1006),$AB$1006:$AQ$1006,0))&gt;=100000), " ",IF(INDEX($AB$2:$AQ$1001,MATCH(ROWS($U$2:U880),$U$2:$U$1001,0),MATCH(COLUMNS($AB$1006:AQ1006),$AB$1006:$AQ$1006,0)), HYPERLINK("#",""), HYPERLINK(CONCATENATE("#Metadata!", ADDRESS(INDEX($W$2:$W$1001,MATCH(ROWS($U$2:U880),$U$2:$U$1001,0),0), INDEX($AB$1004:$AQ$1004,1,MATCH(COLUMNS($AB$1006:AQ1006),$AB$1006:$AQ$1006,0)))),"Fix")))</f>
        <v>0</v>
      </c>
      <c r="U880">
        <v>0</v>
      </c>
      <c r="V880">
        <v>0</v>
      </c>
      <c r="W880">
        <v>0</v>
      </c>
      <c r="X880">
        <f>IF(Y880,TRUE,AND(AB880:AQ880))</f>
        <v>0</v>
      </c>
      <c r="Y880">
        <f>COUNTBLANK(Metadata!B880:Q880)=COLUMNS(Metadata!B880:Q880)</f>
        <v>0</v>
      </c>
      <c r="Z880">
        <v>0</v>
      </c>
      <c r="AB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AC880">
        <f>AND(IF(Metadata!C880="",FALSE,TRUE),exact(Metadata!C880,"urban biome"))</f>
        <v>0</v>
      </c>
      <c r="AD880">
        <f>AND(IF(Metadata!D880="",FALSE,TRUE),exact(Metadata!D880,"human-associated habitat"))</f>
        <v>0</v>
      </c>
      <c r="AE880">
        <f>AND(IF(Metadata!E880="",FALSE,TRUE),OR(exact(Metadata!E880,"human-associated"),exact(Metadata!E880,"human-skin"),exact(Metadata!E880,"human-oral"),exact(Metadata!E880,"human-gut"),exact(Metadata!E880,"human-vaginal")))</f>
        <v>0</v>
      </c>
      <c r="AF880">
        <f>AND(IF(Metadata!F880="",FALSE,ISNUMBER(VALUE(Metadata!F880))),Metadata!F880&gt;0)</f>
        <v>0</v>
      </c>
      <c r="AG880">
        <f>AND(IF(Metadata!G880="",FALSE,TRUE),exact(Metadata!G880,"years"))</f>
        <v>0</v>
      </c>
      <c r="AH880">
        <f>OR(AND(IF(Metadata!H880="",FALSE,TRUE),OR(exact(Metadata!H880,"not applicable"),exact(Metadata!H880,"not collected"),exact(Metadata!H880,"not provided"),exact(Metadata!H880,"restricted access"))),AND(IF(Metadata!H880="",FALSE,ISNUMBER(VALUE(Metadata!H880))),Metadata!H880&gt;0))</f>
        <v>0</v>
      </c>
      <c r="AI880">
        <f>AND(IF(Metadata!I880="",FALSE,TRUE),exact(Metadata!I880,"human"))</f>
        <v>0</v>
      </c>
      <c r="AJ880">
        <f>AND(IF(Metadata!J880="",FALSE,ISNUMBER(VALUE(Metadata!J880))),Metadata!J880&gt;0)</f>
        <v>0</v>
      </c>
      <c r="AK880">
        <f>AND(IF(Metadata!K880="",FALSE,TRUE),exact(Metadata!K880,"cm"))</f>
        <v>0</v>
      </c>
      <c r="AL880">
        <f>AND(IF(Metadata!L880="",FALSE,TRUE),exact(Metadata!L880,"Homo sapiens"))</f>
        <v>0</v>
      </c>
      <c r="AM880">
        <f>AND(IF(Metadata!M880="",FALSE,TRUE),exact(Metadata!M880,"9606"))</f>
        <v>0</v>
      </c>
      <c r="AN880">
        <f>AND(IF(Metadata!N880="",FALSE,ISNUMBER(VALUE(Metadata!N880))),Metadata!N880&gt;0)</f>
        <v>0</v>
      </c>
      <c r="AO880">
        <f>AND(IF(Metadata!O880="",FALSE,TRUE),exact(Metadata!O880,"kg"))</f>
        <v>0</v>
      </c>
      <c r="AP880">
        <f>OR(AND(IF(Metadata!P880="",FALSE,TRUE),exact(Metadata!P880,"not provided")),IF(Metadata!P880="",FALSE,TRUE))</f>
        <v>0</v>
      </c>
      <c r="AQ880">
        <f>OR(AND(IF(Metadata!Q880="",FALSE,TRUE),exact(Metadata!Q880,"not provided")),IF(Metadata!Q880="",FALSE,TRUE))</f>
        <v>0</v>
      </c>
    </row>
    <row r="881" spans="1:43">
      <c r="A881" s="4">
        <f>IF(B881=" "," ",HYPERLINK(CONCATENATE("#metadata!",ADDRESS(INDEX($W$2:$W$1001,MATCH(ROWS($U$2:U881),$U$2:$U$1001,0),0),2)),INDEX($Z$2:$Z$1001,MATCH(ROWS($U$2:U881),$U$2:$U$1001,0),0)))</f>
        <v>0</v>
      </c>
      <c r="B881" s="5">
        <f>IF(OR(INDEX($V$2:$V$1001,MATCH(ROWS($U$2:U881),$U$2:$U$1001,0),1)&gt;=100000,INDEX($AB$1005:$AQ$1005,1,MATCH(COLUMNS($AB$1006:AB1006),$AB$1006:$AQ$1006,0))&gt;=100000), " ",IF(INDEX($AB$2:$AQ$1001,MATCH(ROWS($U$2:U881),$U$2:$U$1001,0),MATCH(COLUMNS($AB$1006:AB1006),$AB$1006:$AQ$1006,0)), HYPERLINK("#",""), HYPERLINK(CONCATENATE("#Metadata!", ADDRESS(INDEX($W$2:$W$1001,MATCH(ROWS($U$2:U881),$U$2:$U$1001,0),0), INDEX($AB$1004:$AQ$1004,1,MATCH(COLUMNS($AB$1006:AB1006),$AB$1006:$AQ$1006,0)))),"Fix")))</f>
        <v>0</v>
      </c>
      <c r="C881" s="5">
        <f>IF(OR(INDEX($V$2:$V$1001,MATCH(ROWS($U$2:U881),$U$2:$U$1001,0),1)&gt;=100000,INDEX($AB$1005:$AQ$1005,1,MATCH(COLUMNS($AB$1006:AC1006),$AB$1006:$AQ$1006,0))&gt;=100000), " ",IF(INDEX($AB$2:$AQ$1001,MATCH(ROWS($U$2:U881),$U$2:$U$1001,0),MATCH(COLUMNS($AB$1006:AC1006),$AB$1006:$AQ$1006,0)), HYPERLINK("#",""), HYPERLINK(CONCATENATE("#Metadata!", ADDRESS(INDEX($W$2:$W$1001,MATCH(ROWS($U$2:U881),$U$2:$U$1001,0),0), INDEX($AB$1004:$AQ$1004,1,MATCH(COLUMNS($AB$1006:AC1006),$AB$1006:$AQ$1006,0)))),"Fix")))</f>
        <v>0</v>
      </c>
      <c r="D881" s="5">
        <f>IF(OR(INDEX($V$2:$V$1001,MATCH(ROWS($U$2:U881),$U$2:$U$1001,0),1)&gt;=100000,INDEX($AB$1005:$AQ$1005,1,MATCH(COLUMNS($AB$1006:AD1006),$AB$1006:$AQ$1006,0))&gt;=100000), " ",IF(INDEX($AB$2:$AQ$1001,MATCH(ROWS($U$2:U881),$U$2:$U$1001,0),MATCH(COLUMNS($AB$1006:AD1006),$AB$1006:$AQ$1006,0)), HYPERLINK("#",""), HYPERLINK(CONCATENATE("#Metadata!", ADDRESS(INDEX($W$2:$W$1001,MATCH(ROWS($U$2:U881),$U$2:$U$1001,0),0), INDEX($AB$1004:$AQ$1004,1,MATCH(COLUMNS($AB$1006:AD1006),$AB$1006:$AQ$1006,0)))),"Fix")))</f>
        <v>0</v>
      </c>
      <c r="E881" s="5">
        <f>IF(OR(INDEX($V$2:$V$1001,MATCH(ROWS($U$2:U881),$U$2:$U$1001,0),1)&gt;=100000,INDEX($AB$1005:$AQ$1005,1,MATCH(COLUMNS($AB$1006:AE1006),$AB$1006:$AQ$1006,0))&gt;=100000), " ",IF(INDEX($AB$2:$AQ$1001,MATCH(ROWS($U$2:U881),$U$2:$U$1001,0),MATCH(COLUMNS($AB$1006:AE1006),$AB$1006:$AQ$1006,0)), HYPERLINK("#",""), HYPERLINK(CONCATENATE("#Metadata!", ADDRESS(INDEX($W$2:$W$1001,MATCH(ROWS($U$2:U881),$U$2:$U$1001,0),0), INDEX($AB$1004:$AQ$1004,1,MATCH(COLUMNS($AB$1006:AE1006),$AB$1006:$AQ$1006,0)))),"Fix")))</f>
        <v>0</v>
      </c>
      <c r="F881" s="5">
        <f>IF(OR(INDEX($V$2:$V$1001,MATCH(ROWS($U$2:U881),$U$2:$U$1001,0),1)&gt;=100000,INDEX($AB$1005:$AQ$1005,1,MATCH(COLUMNS($AB$1006:AF1006),$AB$1006:$AQ$1006,0))&gt;=100000), " ",IF(INDEX($AB$2:$AQ$1001,MATCH(ROWS($U$2:U881),$U$2:$U$1001,0),MATCH(COLUMNS($AB$1006:AF1006),$AB$1006:$AQ$1006,0)), HYPERLINK("#",""), HYPERLINK(CONCATENATE("#Metadata!", ADDRESS(INDEX($W$2:$W$1001,MATCH(ROWS($U$2:U881),$U$2:$U$1001,0),0), INDEX($AB$1004:$AQ$1004,1,MATCH(COLUMNS($AB$1006:AF1006),$AB$1006:$AQ$1006,0)))),"Fix")))</f>
        <v>0</v>
      </c>
      <c r="G881" s="5">
        <f>IF(OR(INDEX($V$2:$V$1001,MATCH(ROWS($U$2:U881),$U$2:$U$1001,0),1)&gt;=100000,INDEX($AB$1005:$AQ$1005,1,MATCH(COLUMNS($AB$1006:AG1006),$AB$1006:$AQ$1006,0))&gt;=100000), " ",IF(INDEX($AB$2:$AQ$1001,MATCH(ROWS($U$2:U881),$U$2:$U$1001,0),MATCH(COLUMNS($AB$1006:AG1006),$AB$1006:$AQ$1006,0)), HYPERLINK("#",""), HYPERLINK(CONCATENATE("#Metadata!", ADDRESS(INDEX($W$2:$W$1001,MATCH(ROWS($U$2:U881),$U$2:$U$1001,0),0), INDEX($AB$1004:$AQ$1004,1,MATCH(COLUMNS($AB$1006:AG1006),$AB$1006:$AQ$1006,0)))),"Fix")))</f>
        <v>0</v>
      </c>
      <c r="H881" s="5">
        <f>IF(OR(INDEX($V$2:$V$1001,MATCH(ROWS($U$2:U881),$U$2:$U$1001,0),1)&gt;=100000,INDEX($AB$1005:$AQ$1005,1,MATCH(COLUMNS($AB$1006:AH1006),$AB$1006:$AQ$1006,0))&gt;=100000), " ",IF(INDEX($AB$2:$AQ$1001,MATCH(ROWS($U$2:U881),$U$2:$U$1001,0),MATCH(COLUMNS($AB$1006:AH1006),$AB$1006:$AQ$1006,0)), HYPERLINK("#",""), HYPERLINK(CONCATENATE("#Metadata!", ADDRESS(INDEX($W$2:$W$1001,MATCH(ROWS($U$2:U881),$U$2:$U$1001,0),0), INDEX($AB$1004:$AQ$1004,1,MATCH(COLUMNS($AB$1006:AH1006),$AB$1006:$AQ$1006,0)))),"Fix")))</f>
        <v>0</v>
      </c>
      <c r="I881" s="5">
        <f>IF(OR(INDEX($V$2:$V$1001,MATCH(ROWS($U$2:U881),$U$2:$U$1001,0),1)&gt;=100000,INDEX($AB$1005:$AQ$1005,1,MATCH(COLUMNS($AB$1006:AI1006),$AB$1006:$AQ$1006,0))&gt;=100000), " ",IF(INDEX($AB$2:$AQ$1001,MATCH(ROWS($U$2:U881),$U$2:$U$1001,0),MATCH(COLUMNS($AB$1006:AI1006),$AB$1006:$AQ$1006,0)), HYPERLINK("#",""), HYPERLINK(CONCATENATE("#Metadata!", ADDRESS(INDEX($W$2:$W$1001,MATCH(ROWS($U$2:U881),$U$2:$U$1001,0),0), INDEX($AB$1004:$AQ$1004,1,MATCH(COLUMNS($AB$1006:AI1006),$AB$1006:$AQ$1006,0)))),"Fix")))</f>
        <v>0</v>
      </c>
      <c r="J881" s="5">
        <f>IF(OR(INDEX($V$2:$V$1001,MATCH(ROWS($U$2:U881),$U$2:$U$1001,0),1)&gt;=100000,INDEX($AB$1005:$AQ$1005,1,MATCH(COLUMNS($AB$1006:AJ1006),$AB$1006:$AQ$1006,0))&gt;=100000), " ",IF(INDEX($AB$2:$AQ$1001,MATCH(ROWS($U$2:U881),$U$2:$U$1001,0),MATCH(COLUMNS($AB$1006:AJ1006),$AB$1006:$AQ$1006,0)), HYPERLINK("#",""), HYPERLINK(CONCATENATE("#Metadata!", ADDRESS(INDEX($W$2:$W$1001,MATCH(ROWS($U$2:U881),$U$2:$U$1001,0),0), INDEX($AB$1004:$AQ$1004,1,MATCH(COLUMNS($AB$1006:AJ1006),$AB$1006:$AQ$1006,0)))),"Fix")))</f>
        <v>0</v>
      </c>
      <c r="K881" s="5">
        <f>IF(OR(INDEX($V$2:$V$1001,MATCH(ROWS($U$2:U881),$U$2:$U$1001,0),1)&gt;=100000,INDEX($AB$1005:$AQ$1005,1,MATCH(COLUMNS($AB$1006:AK1006),$AB$1006:$AQ$1006,0))&gt;=100000), " ",IF(INDEX($AB$2:$AQ$1001,MATCH(ROWS($U$2:U881),$U$2:$U$1001,0),MATCH(COLUMNS($AB$1006:AK1006),$AB$1006:$AQ$1006,0)), HYPERLINK("#",""), HYPERLINK(CONCATENATE("#Metadata!", ADDRESS(INDEX($W$2:$W$1001,MATCH(ROWS($U$2:U881),$U$2:$U$1001,0),0), INDEX($AB$1004:$AQ$1004,1,MATCH(COLUMNS($AB$1006:AK1006),$AB$1006:$AQ$1006,0)))),"Fix")))</f>
        <v>0</v>
      </c>
      <c r="L881" s="5">
        <f>IF(OR(INDEX($V$2:$V$1001,MATCH(ROWS($U$2:U881),$U$2:$U$1001,0),1)&gt;=100000,INDEX($AB$1005:$AQ$1005,1,MATCH(COLUMNS($AB$1006:AL1006),$AB$1006:$AQ$1006,0))&gt;=100000), " ",IF(INDEX($AB$2:$AQ$1001,MATCH(ROWS($U$2:U881),$U$2:$U$1001,0),MATCH(COLUMNS($AB$1006:AL1006),$AB$1006:$AQ$1006,0)), HYPERLINK("#",""), HYPERLINK(CONCATENATE("#Metadata!", ADDRESS(INDEX($W$2:$W$1001,MATCH(ROWS($U$2:U881),$U$2:$U$1001,0),0), INDEX($AB$1004:$AQ$1004,1,MATCH(COLUMNS($AB$1006:AL1006),$AB$1006:$AQ$1006,0)))),"Fix")))</f>
        <v>0</v>
      </c>
      <c r="M881" s="5">
        <f>IF(OR(INDEX($V$2:$V$1001,MATCH(ROWS($U$2:U881),$U$2:$U$1001,0),1)&gt;=100000,INDEX($AB$1005:$AQ$1005,1,MATCH(COLUMNS($AB$1006:AM1006),$AB$1006:$AQ$1006,0))&gt;=100000), " ",IF(INDEX($AB$2:$AQ$1001,MATCH(ROWS($U$2:U881),$U$2:$U$1001,0),MATCH(COLUMNS($AB$1006:AM1006),$AB$1006:$AQ$1006,0)), HYPERLINK("#",""), HYPERLINK(CONCATENATE("#Metadata!", ADDRESS(INDEX($W$2:$W$1001,MATCH(ROWS($U$2:U881),$U$2:$U$1001,0),0), INDEX($AB$1004:$AQ$1004,1,MATCH(COLUMNS($AB$1006:AM1006),$AB$1006:$AQ$1006,0)))),"Fix")))</f>
        <v>0</v>
      </c>
      <c r="N881" s="5">
        <f>IF(OR(INDEX($V$2:$V$1001,MATCH(ROWS($U$2:U881),$U$2:$U$1001,0),1)&gt;=100000,INDEX($AB$1005:$AQ$1005,1,MATCH(COLUMNS($AB$1006:AN1006),$AB$1006:$AQ$1006,0))&gt;=100000), " ",IF(INDEX($AB$2:$AQ$1001,MATCH(ROWS($U$2:U881),$U$2:$U$1001,0),MATCH(COLUMNS($AB$1006:AN1006),$AB$1006:$AQ$1006,0)), HYPERLINK("#",""), HYPERLINK(CONCATENATE("#Metadata!", ADDRESS(INDEX($W$2:$W$1001,MATCH(ROWS($U$2:U881),$U$2:$U$1001,0),0), INDEX($AB$1004:$AQ$1004,1,MATCH(COLUMNS($AB$1006:AN1006),$AB$1006:$AQ$1006,0)))),"Fix")))</f>
        <v>0</v>
      </c>
      <c r="O881" s="5">
        <f>IF(OR(INDEX($V$2:$V$1001,MATCH(ROWS($U$2:U881),$U$2:$U$1001,0),1)&gt;=100000,INDEX($AB$1005:$AQ$1005,1,MATCH(COLUMNS($AB$1006:AO1006),$AB$1006:$AQ$1006,0))&gt;=100000), " ",IF(INDEX($AB$2:$AQ$1001,MATCH(ROWS($U$2:U881),$U$2:$U$1001,0),MATCH(COLUMNS($AB$1006:AO1006),$AB$1006:$AQ$1006,0)), HYPERLINK("#",""), HYPERLINK(CONCATENATE("#Metadata!", ADDRESS(INDEX($W$2:$W$1001,MATCH(ROWS($U$2:U881),$U$2:$U$1001,0),0), INDEX($AB$1004:$AQ$1004,1,MATCH(COLUMNS($AB$1006:AO1006),$AB$1006:$AQ$1006,0)))),"Fix")))</f>
        <v>0</v>
      </c>
      <c r="P881" s="5">
        <f>IF(OR(INDEX($V$2:$V$1001,MATCH(ROWS($U$2:U881),$U$2:$U$1001,0),1)&gt;=100000,INDEX($AB$1005:$AQ$1005,1,MATCH(COLUMNS($AB$1006:AP1006),$AB$1006:$AQ$1006,0))&gt;=100000), " ",IF(INDEX($AB$2:$AQ$1001,MATCH(ROWS($U$2:U881),$U$2:$U$1001,0),MATCH(COLUMNS($AB$1006:AP1006),$AB$1006:$AQ$1006,0)), HYPERLINK("#",""), HYPERLINK(CONCATENATE("#Metadata!", ADDRESS(INDEX($W$2:$W$1001,MATCH(ROWS($U$2:U881),$U$2:$U$1001,0),0), INDEX($AB$1004:$AQ$1004,1,MATCH(COLUMNS($AB$1006:AP1006),$AB$1006:$AQ$1006,0)))),"Fix")))</f>
        <v>0</v>
      </c>
      <c r="Q881" s="5">
        <f>IF(OR(INDEX($V$2:$V$1001,MATCH(ROWS($U$2:U881),$U$2:$U$1001,0),1)&gt;=100000,INDEX($AB$1005:$AQ$1005,1,MATCH(COLUMNS($AB$1006:AQ1006),$AB$1006:$AQ$1006,0))&gt;=100000), " ",IF(INDEX($AB$2:$AQ$1001,MATCH(ROWS($U$2:U881),$U$2:$U$1001,0),MATCH(COLUMNS($AB$1006:AQ1006),$AB$1006:$AQ$1006,0)), HYPERLINK("#",""), HYPERLINK(CONCATENATE("#Metadata!", ADDRESS(INDEX($W$2:$W$1001,MATCH(ROWS($U$2:U881),$U$2:$U$1001,0),0), INDEX($AB$1004:$AQ$1004,1,MATCH(COLUMNS($AB$1006:AQ1006),$AB$1006:$AQ$1006,0)))),"Fix")))</f>
        <v>0</v>
      </c>
      <c r="U881">
        <v>0</v>
      </c>
      <c r="V881">
        <v>0</v>
      </c>
      <c r="W881">
        <v>0</v>
      </c>
      <c r="X881">
        <f>IF(Y881,TRUE,AND(AB881:AQ881))</f>
        <v>0</v>
      </c>
      <c r="Y881">
        <f>COUNTBLANK(Metadata!B881:Q881)=COLUMNS(Metadata!B881:Q881)</f>
        <v>0</v>
      </c>
      <c r="Z881">
        <v>0</v>
      </c>
      <c r="AB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AC881">
        <f>AND(IF(Metadata!C881="",FALSE,TRUE),exact(Metadata!C881,"urban biome"))</f>
        <v>0</v>
      </c>
      <c r="AD881">
        <f>AND(IF(Metadata!D881="",FALSE,TRUE),exact(Metadata!D881,"human-associated habitat"))</f>
        <v>0</v>
      </c>
      <c r="AE881">
        <f>AND(IF(Metadata!E881="",FALSE,TRUE),OR(exact(Metadata!E881,"human-associated"),exact(Metadata!E881,"human-skin"),exact(Metadata!E881,"human-oral"),exact(Metadata!E881,"human-gut"),exact(Metadata!E881,"human-vaginal")))</f>
        <v>0</v>
      </c>
      <c r="AF881">
        <f>AND(IF(Metadata!F881="",FALSE,ISNUMBER(VALUE(Metadata!F881))),Metadata!F881&gt;0)</f>
        <v>0</v>
      </c>
      <c r="AG881">
        <f>AND(IF(Metadata!G881="",FALSE,TRUE),exact(Metadata!G881,"years"))</f>
        <v>0</v>
      </c>
      <c r="AH881">
        <f>OR(AND(IF(Metadata!H881="",FALSE,TRUE),OR(exact(Metadata!H881,"not applicable"),exact(Metadata!H881,"not collected"),exact(Metadata!H881,"not provided"),exact(Metadata!H881,"restricted access"))),AND(IF(Metadata!H881="",FALSE,ISNUMBER(VALUE(Metadata!H881))),Metadata!H881&gt;0))</f>
        <v>0</v>
      </c>
      <c r="AI881">
        <f>AND(IF(Metadata!I881="",FALSE,TRUE),exact(Metadata!I881,"human"))</f>
        <v>0</v>
      </c>
      <c r="AJ881">
        <f>AND(IF(Metadata!J881="",FALSE,ISNUMBER(VALUE(Metadata!J881))),Metadata!J881&gt;0)</f>
        <v>0</v>
      </c>
      <c r="AK881">
        <f>AND(IF(Metadata!K881="",FALSE,TRUE),exact(Metadata!K881,"cm"))</f>
        <v>0</v>
      </c>
      <c r="AL881">
        <f>AND(IF(Metadata!L881="",FALSE,TRUE),exact(Metadata!L881,"Homo sapiens"))</f>
        <v>0</v>
      </c>
      <c r="AM881">
        <f>AND(IF(Metadata!M881="",FALSE,TRUE),exact(Metadata!M881,"9606"))</f>
        <v>0</v>
      </c>
      <c r="AN881">
        <f>AND(IF(Metadata!N881="",FALSE,ISNUMBER(VALUE(Metadata!N881))),Metadata!N881&gt;0)</f>
        <v>0</v>
      </c>
      <c r="AO881">
        <f>AND(IF(Metadata!O881="",FALSE,TRUE),exact(Metadata!O881,"kg"))</f>
        <v>0</v>
      </c>
      <c r="AP881">
        <f>OR(AND(IF(Metadata!P881="",FALSE,TRUE),exact(Metadata!P881,"not provided")),IF(Metadata!P881="",FALSE,TRUE))</f>
        <v>0</v>
      </c>
      <c r="AQ881">
        <f>OR(AND(IF(Metadata!Q881="",FALSE,TRUE),exact(Metadata!Q881,"not provided")),IF(Metadata!Q881="",FALSE,TRUE))</f>
        <v>0</v>
      </c>
    </row>
    <row r="882" spans="1:43">
      <c r="A882" s="4">
        <f>IF(B882=" "," ",HYPERLINK(CONCATENATE("#metadata!",ADDRESS(INDEX($W$2:$W$1001,MATCH(ROWS($U$2:U882),$U$2:$U$1001,0),0),2)),INDEX($Z$2:$Z$1001,MATCH(ROWS($U$2:U882),$U$2:$U$1001,0),0)))</f>
        <v>0</v>
      </c>
      <c r="B882" s="5">
        <f>IF(OR(INDEX($V$2:$V$1001,MATCH(ROWS($U$2:U882),$U$2:$U$1001,0),1)&gt;=100000,INDEX($AB$1005:$AQ$1005,1,MATCH(COLUMNS($AB$1006:AB1006),$AB$1006:$AQ$1006,0))&gt;=100000), " ",IF(INDEX($AB$2:$AQ$1001,MATCH(ROWS($U$2:U882),$U$2:$U$1001,0),MATCH(COLUMNS($AB$1006:AB1006),$AB$1006:$AQ$1006,0)), HYPERLINK("#",""), HYPERLINK(CONCATENATE("#Metadata!", ADDRESS(INDEX($W$2:$W$1001,MATCH(ROWS($U$2:U882),$U$2:$U$1001,0),0), INDEX($AB$1004:$AQ$1004,1,MATCH(COLUMNS($AB$1006:AB1006),$AB$1006:$AQ$1006,0)))),"Fix")))</f>
        <v>0</v>
      </c>
      <c r="C882" s="5">
        <f>IF(OR(INDEX($V$2:$V$1001,MATCH(ROWS($U$2:U882),$U$2:$U$1001,0),1)&gt;=100000,INDEX($AB$1005:$AQ$1005,1,MATCH(COLUMNS($AB$1006:AC1006),$AB$1006:$AQ$1006,0))&gt;=100000), " ",IF(INDEX($AB$2:$AQ$1001,MATCH(ROWS($U$2:U882),$U$2:$U$1001,0),MATCH(COLUMNS($AB$1006:AC1006),$AB$1006:$AQ$1006,0)), HYPERLINK("#",""), HYPERLINK(CONCATENATE("#Metadata!", ADDRESS(INDEX($W$2:$W$1001,MATCH(ROWS($U$2:U882),$U$2:$U$1001,0),0), INDEX($AB$1004:$AQ$1004,1,MATCH(COLUMNS($AB$1006:AC1006),$AB$1006:$AQ$1006,0)))),"Fix")))</f>
        <v>0</v>
      </c>
      <c r="D882" s="5">
        <f>IF(OR(INDEX($V$2:$V$1001,MATCH(ROWS($U$2:U882),$U$2:$U$1001,0),1)&gt;=100000,INDEX($AB$1005:$AQ$1005,1,MATCH(COLUMNS($AB$1006:AD1006),$AB$1006:$AQ$1006,0))&gt;=100000), " ",IF(INDEX($AB$2:$AQ$1001,MATCH(ROWS($U$2:U882),$U$2:$U$1001,0),MATCH(COLUMNS($AB$1006:AD1006),$AB$1006:$AQ$1006,0)), HYPERLINK("#",""), HYPERLINK(CONCATENATE("#Metadata!", ADDRESS(INDEX($W$2:$W$1001,MATCH(ROWS($U$2:U882),$U$2:$U$1001,0),0), INDEX($AB$1004:$AQ$1004,1,MATCH(COLUMNS($AB$1006:AD1006),$AB$1006:$AQ$1006,0)))),"Fix")))</f>
        <v>0</v>
      </c>
      <c r="E882" s="5">
        <f>IF(OR(INDEX($V$2:$V$1001,MATCH(ROWS($U$2:U882),$U$2:$U$1001,0),1)&gt;=100000,INDEX($AB$1005:$AQ$1005,1,MATCH(COLUMNS($AB$1006:AE1006),$AB$1006:$AQ$1006,0))&gt;=100000), " ",IF(INDEX($AB$2:$AQ$1001,MATCH(ROWS($U$2:U882),$U$2:$U$1001,0),MATCH(COLUMNS($AB$1006:AE1006),$AB$1006:$AQ$1006,0)), HYPERLINK("#",""), HYPERLINK(CONCATENATE("#Metadata!", ADDRESS(INDEX($W$2:$W$1001,MATCH(ROWS($U$2:U882),$U$2:$U$1001,0),0), INDEX($AB$1004:$AQ$1004,1,MATCH(COLUMNS($AB$1006:AE1006),$AB$1006:$AQ$1006,0)))),"Fix")))</f>
        <v>0</v>
      </c>
      <c r="F882" s="5">
        <f>IF(OR(INDEX($V$2:$V$1001,MATCH(ROWS($U$2:U882),$U$2:$U$1001,0),1)&gt;=100000,INDEX($AB$1005:$AQ$1005,1,MATCH(COLUMNS($AB$1006:AF1006),$AB$1006:$AQ$1006,0))&gt;=100000), " ",IF(INDEX($AB$2:$AQ$1001,MATCH(ROWS($U$2:U882),$U$2:$U$1001,0),MATCH(COLUMNS($AB$1006:AF1006),$AB$1006:$AQ$1006,0)), HYPERLINK("#",""), HYPERLINK(CONCATENATE("#Metadata!", ADDRESS(INDEX($W$2:$W$1001,MATCH(ROWS($U$2:U882),$U$2:$U$1001,0),0), INDEX($AB$1004:$AQ$1004,1,MATCH(COLUMNS($AB$1006:AF1006),$AB$1006:$AQ$1006,0)))),"Fix")))</f>
        <v>0</v>
      </c>
      <c r="G882" s="5">
        <f>IF(OR(INDEX($V$2:$V$1001,MATCH(ROWS($U$2:U882),$U$2:$U$1001,0),1)&gt;=100000,INDEX($AB$1005:$AQ$1005,1,MATCH(COLUMNS($AB$1006:AG1006),$AB$1006:$AQ$1006,0))&gt;=100000), " ",IF(INDEX($AB$2:$AQ$1001,MATCH(ROWS($U$2:U882),$U$2:$U$1001,0),MATCH(COLUMNS($AB$1006:AG1006),$AB$1006:$AQ$1006,0)), HYPERLINK("#",""), HYPERLINK(CONCATENATE("#Metadata!", ADDRESS(INDEX($W$2:$W$1001,MATCH(ROWS($U$2:U882),$U$2:$U$1001,0),0), INDEX($AB$1004:$AQ$1004,1,MATCH(COLUMNS($AB$1006:AG1006),$AB$1006:$AQ$1006,0)))),"Fix")))</f>
        <v>0</v>
      </c>
      <c r="H882" s="5">
        <f>IF(OR(INDEX($V$2:$V$1001,MATCH(ROWS($U$2:U882),$U$2:$U$1001,0),1)&gt;=100000,INDEX($AB$1005:$AQ$1005,1,MATCH(COLUMNS($AB$1006:AH1006),$AB$1006:$AQ$1006,0))&gt;=100000), " ",IF(INDEX($AB$2:$AQ$1001,MATCH(ROWS($U$2:U882),$U$2:$U$1001,0),MATCH(COLUMNS($AB$1006:AH1006),$AB$1006:$AQ$1006,0)), HYPERLINK("#",""), HYPERLINK(CONCATENATE("#Metadata!", ADDRESS(INDEX($W$2:$W$1001,MATCH(ROWS($U$2:U882),$U$2:$U$1001,0),0), INDEX($AB$1004:$AQ$1004,1,MATCH(COLUMNS($AB$1006:AH1006),$AB$1006:$AQ$1006,0)))),"Fix")))</f>
        <v>0</v>
      </c>
      <c r="I882" s="5">
        <f>IF(OR(INDEX($V$2:$V$1001,MATCH(ROWS($U$2:U882),$U$2:$U$1001,0),1)&gt;=100000,INDEX($AB$1005:$AQ$1005,1,MATCH(COLUMNS($AB$1006:AI1006),$AB$1006:$AQ$1006,0))&gt;=100000), " ",IF(INDEX($AB$2:$AQ$1001,MATCH(ROWS($U$2:U882),$U$2:$U$1001,0),MATCH(COLUMNS($AB$1006:AI1006),$AB$1006:$AQ$1006,0)), HYPERLINK("#",""), HYPERLINK(CONCATENATE("#Metadata!", ADDRESS(INDEX($W$2:$W$1001,MATCH(ROWS($U$2:U882),$U$2:$U$1001,0),0), INDEX($AB$1004:$AQ$1004,1,MATCH(COLUMNS($AB$1006:AI1006),$AB$1006:$AQ$1006,0)))),"Fix")))</f>
        <v>0</v>
      </c>
      <c r="J882" s="5">
        <f>IF(OR(INDEX($V$2:$V$1001,MATCH(ROWS($U$2:U882),$U$2:$U$1001,0),1)&gt;=100000,INDEX($AB$1005:$AQ$1005,1,MATCH(COLUMNS($AB$1006:AJ1006),$AB$1006:$AQ$1006,0))&gt;=100000), " ",IF(INDEX($AB$2:$AQ$1001,MATCH(ROWS($U$2:U882),$U$2:$U$1001,0),MATCH(COLUMNS($AB$1006:AJ1006),$AB$1006:$AQ$1006,0)), HYPERLINK("#",""), HYPERLINK(CONCATENATE("#Metadata!", ADDRESS(INDEX($W$2:$W$1001,MATCH(ROWS($U$2:U882),$U$2:$U$1001,0),0), INDEX($AB$1004:$AQ$1004,1,MATCH(COLUMNS($AB$1006:AJ1006),$AB$1006:$AQ$1006,0)))),"Fix")))</f>
        <v>0</v>
      </c>
      <c r="K882" s="5">
        <f>IF(OR(INDEX($V$2:$V$1001,MATCH(ROWS($U$2:U882),$U$2:$U$1001,0),1)&gt;=100000,INDEX($AB$1005:$AQ$1005,1,MATCH(COLUMNS($AB$1006:AK1006),$AB$1006:$AQ$1006,0))&gt;=100000), " ",IF(INDEX($AB$2:$AQ$1001,MATCH(ROWS($U$2:U882),$U$2:$U$1001,0),MATCH(COLUMNS($AB$1006:AK1006),$AB$1006:$AQ$1006,0)), HYPERLINK("#",""), HYPERLINK(CONCATENATE("#Metadata!", ADDRESS(INDEX($W$2:$W$1001,MATCH(ROWS($U$2:U882),$U$2:$U$1001,0),0), INDEX($AB$1004:$AQ$1004,1,MATCH(COLUMNS($AB$1006:AK1006),$AB$1006:$AQ$1006,0)))),"Fix")))</f>
        <v>0</v>
      </c>
      <c r="L882" s="5">
        <f>IF(OR(INDEX($V$2:$V$1001,MATCH(ROWS($U$2:U882),$U$2:$U$1001,0),1)&gt;=100000,INDEX($AB$1005:$AQ$1005,1,MATCH(COLUMNS($AB$1006:AL1006),$AB$1006:$AQ$1006,0))&gt;=100000), " ",IF(INDEX($AB$2:$AQ$1001,MATCH(ROWS($U$2:U882),$U$2:$U$1001,0),MATCH(COLUMNS($AB$1006:AL1006),$AB$1006:$AQ$1006,0)), HYPERLINK("#",""), HYPERLINK(CONCATENATE("#Metadata!", ADDRESS(INDEX($W$2:$W$1001,MATCH(ROWS($U$2:U882),$U$2:$U$1001,0),0), INDEX($AB$1004:$AQ$1004,1,MATCH(COLUMNS($AB$1006:AL1006),$AB$1006:$AQ$1006,0)))),"Fix")))</f>
        <v>0</v>
      </c>
      <c r="M882" s="5">
        <f>IF(OR(INDEX($V$2:$V$1001,MATCH(ROWS($U$2:U882),$U$2:$U$1001,0),1)&gt;=100000,INDEX($AB$1005:$AQ$1005,1,MATCH(COLUMNS($AB$1006:AM1006),$AB$1006:$AQ$1006,0))&gt;=100000), " ",IF(INDEX($AB$2:$AQ$1001,MATCH(ROWS($U$2:U882),$U$2:$U$1001,0),MATCH(COLUMNS($AB$1006:AM1006),$AB$1006:$AQ$1006,0)), HYPERLINK("#",""), HYPERLINK(CONCATENATE("#Metadata!", ADDRESS(INDEX($W$2:$W$1001,MATCH(ROWS($U$2:U882),$U$2:$U$1001,0),0), INDEX($AB$1004:$AQ$1004,1,MATCH(COLUMNS($AB$1006:AM1006),$AB$1006:$AQ$1006,0)))),"Fix")))</f>
        <v>0</v>
      </c>
      <c r="N882" s="5">
        <f>IF(OR(INDEX($V$2:$V$1001,MATCH(ROWS($U$2:U882),$U$2:$U$1001,0),1)&gt;=100000,INDEX($AB$1005:$AQ$1005,1,MATCH(COLUMNS($AB$1006:AN1006),$AB$1006:$AQ$1006,0))&gt;=100000), " ",IF(INDEX($AB$2:$AQ$1001,MATCH(ROWS($U$2:U882),$U$2:$U$1001,0),MATCH(COLUMNS($AB$1006:AN1006),$AB$1006:$AQ$1006,0)), HYPERLINK("#",""), HYPERLINK(CONCATENATE("#Metadata!", ADDRESS(INDEX($W$2:$W$1001,MATCH(ROWS($U$2:U882),$U$2:$U$1001,0),0), INDEX($AB$1004:$AQ$1004,1,MATCH(COLUMNS($AB$1006:AN1006),$AB$1006:$AQ$1006,0)))),"Fix")))</f>
        <v>0</v>
      </c>
      <c r="O882" s="5">
        <f>IF(OR(INDEX($V$2:$V$1001,MATCH(ROWS($U$2:U882),$U$2:$U$1001,0),1)&gt;=100000,INDEX($AB$1005:$AQ$1005,1,MATCH(COLUMNS($AB$1006:AO1006),$AB$1006:$AQ$1006,0))&gt;=100000), " ",IF(INDEX($AB$2:$AQ$1001,MATCH(ROWS($U$2:U882),$U$2:$U$1001,0),MATCH(COLUMNS($AB$1006:AO1006),$AB$1006:$AQ$1006,0)), HYPERLINK("#",""), HYPERLINK(CONCATENATE("#Metadata!", ADDRESS(INDEX($W$2:$W$1001,MATCH(ROWS($U$2:U882),$U$2:$U$1001,0),0), INDEX($AB$1004:$AQ$1004,1,MATCH(COLUMNS($AB$1006:AO1006),$AB$1006:$AQ$1006,0)))),"Fix")))</f>
        <v>0</v>
      </c>
      <c r="P882" s="5">
        <f>IF(OR(INDEX($V$2:$V$1001,MATCH(ROWS($U$2:U882),$U$2:$U$1001,0),1)&gt;=100000,INDEX($AB$1005:$AQ$1005,1,MATCH(COLUMNS($AB$1006:AP1006),$AB$1006:$AQ$1006,0))&gt;=100000), " ",IF(INDEX($AB$2:$AQ$1001,MATCH(ROWS($U$2:U882),$U$2:$U$1001,0),MATCH(COLUMNS($AB$1006:AP1006),$AB$1006:$AQ$1006,0)), HYPERLINK("#",""), HYPERLINK(CONCATENATE("#Metadata!", ADDRESS(INDEX($W$2:$W$1001,MATCH(ROWS($U$2:U882),$U$2:$U$1001,0),0), INDEX($AB$1004:$AQ$1004,1,MATCH(COLUMNS($AB$1006:AP1006),$AB$1006:$AQ$1006,0)))),"Fix")))</f>
        <v>0</v>
      </c>
      <c r="Q882" s="5">
        <f>IF(OR(INDEX($V$2:$V$1001,MATCH(ROWS($U$2:U882),$U$2:$U$1001,0),1)&gt;=100000,INDEX($AB$1005:$AQ$1005,1,MATCH(COLUMNS($AB$1006:AQ1006),$AB$1006:$AQ$1006,0))&gt;=100000), " ",IF(INDEX($AB$2:$AQ$1001,MATCH(ROWS($U$2:U882),$U$2:$U$1001,0),MATCH(COLUMNS($AB$1006:AQ1006),$AB$1006:$AQ$1006,0)), HYPERLINK("#",""), HYPERLINK(CONCATENATE("#Metadata!", ADDRESS(INDEX($W$2:$W$1001,MATCH(ROWS($U$2:U882),$U$2:$U$1001,0),0), INDEX($AB$1004:$AQ$1004,1,MATCH(COLUMNS($AB$1006:AQ1006),$AB$1006:$AQ$1006,0)))),"Fix")))</f>
        <v>0</v>
      </c>
      <c r="U882">
        <v>0</v>
      </c>
      <c r="V882">
        <v>0</v>
      </c>
      <c r="W882">
        <v>0</v>
      </c>
      <c r="X882">
        <f>IF(Y882,TRUE,AND(AB882:AQ882))</f>
        <v>0</v>
      </c>
      <c r="Y882">
        <f>COUNTBLANK(Metadata!B882:Q882)=COLUMNS(Metadata!B882:Q882)</f>
        <v>0</v>
      </c>
      <c r="Z882">
        <v>0</v>
      </c>
      <c r="AB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AC882">
        <f>AND(IF(Metadata!C882="",FALSE,TRUE),exact(Metadata!C882,"urban biome"))</f>
        <v>0</v>
      </c>
      <c r="AD882">
        <f>AND(IF(Metadata!D882="",FALSE,TRUE),exact(Metadata!D882,"human-associated habitat"))</f>
        <v>0</v>
      </c>
      <c r="AE882">
        <f>AND(IF(Metadata!E882="",FALSE,TRUE),OR(exact(Metadata!E882,"human-associated"),exact(Metadata!E882,"human-skin"),exact(Metadata!E882,"human-oral"),exact(Metadata!E882,"human-gut"),exact(Metadata!E882,"human-vaginal")))</f>
        <v>0</v>
      </c>
      <c r="AF882">
        <f>AND(IF(Metadata!F882="",FALSE,ISNUMBER(VALUE(Metadata!F882))),Metadata!F882&gt;0)</f>
        <v>0</v>
      </c>
      <c r="AG882">
        <f>AND(IF(Metadata!G882="",FALSE,TRUE),exact(Metadata!G882,"years"))</f>
        <v>0</v>
      </c>
      <c r="AH882">
        <f>OR(AND(IF(Metadata!H882="",FALSE,TRUE),OR(exact(Metadata!H882,"not applicable"),exact(Metadata!H882,"not collected"),exact(Metadata!H882,"not provided"),exact(Metadata!H882,"restricted access"))),AND(IF(Metadata!H882="",FALSE,ISNUMBER(VALUE(Metadata!H882))),Metadata!H882&gt;0))</f>
        <v>0</v>
      </c>
      <c r="AI882">
        <f>AND(IF(Metadata!I882="",FALSE,TRUE),exact(Metadata!I882,"human"))</f>
        <v>0</v>
      </c>
      <c r="AJ882">
        <f>AND(IF(Metadata!J882="",FALSE,ISNUMBER(VALUE(Metadata!J882))),Metadata!J882&gt;0)</f>
        <v>0</v>
      </c>
      <c r="AK882">
        <f>AND(IF(Metadata!K882="",FALSE,TRUE),exact(Metadata!K882,"cm"))</f>
        <v>0</v>
      </c>
      <c r="AL882">
        <f>AND(IF(Metadata!L882="",FALSE,TRUE),exact(Metadata!L882,"Homo sapiens"))</f>
        <v>0</v>
      </c>
      <c r="AM882">
        <f>AND(IF(Metadata!M882="",FALSE,TRUE),exact(Metadata!M882,"9606"))</f>
        <v>0</v>
      </c>
      <c r="AN882">
        <f>AND(IF(Metadata!N882="",FALSE,ISNUMBER(VALUE(Metadata!N882))),Metadata!N882&gt;0)</f>
        <v>0</v>
      </c>
      <c r="AO882">
        <f>AND(IF(Metadata!O882="",FALSE,TRUE),exact(Metadata!O882,"kg"))</f>
        <v>0</v>
      </c>
      <c r="AP882">
        <f>OR(AND(IF(Metadata!P882="",FALSE,TRUE),exact(Metadata!P882,"not provided")),IF(Metadata!P882="",FALSE,TRUE))</f>
        <v>0</v>
      </c>
      <c r="AQ882">
        <f>OR(AND(IF(Metadata!Q882="",FALSE,TRUE),exact(Metadata!Q882,"not provided")),IF(Metadata!Q882="",FALSE,TRUE))</f>
        <v>0</v>
      </c>
    </row>
    <row r="883" spans="1:43">
      <c r="A883" s="4">
        <f>IF(B883=" "," ",HYPERLINK(CONCATENATE("#metadata!",ADDRESS(INDEX($W$2:$W$1001,MATCH(ROWS($U$2:U883),$U$2:$U$1001,0),0),2)),INDEX($Z$2:$Z$1001,MATCH(ROWS($U$2:U883),$U$2:$U$1001,0),0)))</f>
        <v>0</v>
      </c>
      <c r="B883" s="5">
        <f>IF(OR(INDEX($V$2:$V$1001,MATCH(ROWS($U$2:U883),$U$2:$U$1001,0),1)&gt;=100000,INDEX($AB$1005:$AQ$1005,1,MATCH(COLUMNS($AB$1006:AB1006),$AB$1006:$AQ$1006,0))&gt;=100000), " ",IF(INDEX($AB$2:$AQ$1001,MATCH(ROWS($U$2:U883),$U$2:$U$1001,0),MATCH(COLUMNS($AB$1006:AB1006),$AB$1006:$AQ$1006,0)), HYPERLINK("#",""), HYPERLINK(CONCATENATE("#Metadata!", ADDRESS(INDEX($W$2:$W$1001,MATCH(ROWS($U$2:U883),$U$2:$U$1001,0),0), INDEX($AB$1004:$AQ$1004,1,MATCH(COLUMNS($AB$1006:AB1006),$AB$1006:$AQ$1006,0)))),"Fix")))</f>
        <v>0</v>
      </c>
      <c r="C883" s="5">
        <f>IF(OR(INDEX($V$2:$V$1001,MATCH(ROWS($U$2:U883),$U$2:$U$1001,0),1)&gt;=100000,INDEX($AB$1005:$AQ$1005,1,MATCH(COLUMNS($AB$1006:AC1006),$AB$1006:$AQ$1006,0))&gt;=100000), " ",IF(INDEX($AB$2:$AQ$1001,MATCH(ROWS($U$2:U883),$U$2:$U$1001,0),MATCH(COLUMNS($AB$1006:AC1006),$AB$1006:$AQ$1006,0)), HYPERLINK("#",""), HYPERLINK(CONCATENATE("#Metadata!", ADDRESS(INDEX($W$2:$W$1001,MATCH(ROWS($U$2:U883),$U$2:$U$1001,0),0), INDEX($AB$1004:$AQ$1004,1,MATCH(COLUMNS($AB$1006:AC1006),$AB$1006:$AQ$1006,0)))),"Fix")))</f>
        <v>0</v>
      </c>
      <c r="D883" s="5">
        <f>IF(OR(INDEX($V$2:$V$1001,MATCH(ROWS($U$2:U883),$U$2:$U$1001,0),1)&gt;=100000,INDEX($AB$1005:$AQ$1005,1,MATCH(COLUMNS($AB$1006:AD1006),$AB$1006:$AQ$1006,0))&gt;=100000), " ",IF(INDEX($AB$2:$AQ$1001,MATCH(ROWS($U$2:U883),$U$2:$U$1001,0),MATCH(COLUMNS($AB$1006:AD1006),$AB$1006:$AQ$1006,0)), HYPERLINK("#",""), HYPERLINK(CONCATENATE("#Metadata!", ADDRESS(INDEX($W$2:$W$1001,MATCH(ROWS($U$2:U883),$U$2:$U$1001,0),0), INDEX($AB$1004:$AQ$1004,1,MATCH(COLUMNS($AB$1006:AD1006),$AB$1006:$AQ$1006,0)))),"Fix")))</f>
        <v>0</v>
      </c>
      <c r="E883" s="5">
        <f>IF(OR(INDEX($V$2:$V$1001,MATCH(ROWS($U$2:U883),$U$2:$U$1001,0),1)&gt;=100000,INDEX($AB$1005:$AQ$1005,1,MATCH(COLUMNS($AB$1006:AE1006),$AB$1006:$AQ$1006,0))&gt;=100000), " ",IF(INDEX($AB$2:$AQ$1001,MATCH(ROWS($U$2:U883),$U$2:$U$1001,0),MATCH(COLUMNS($AB$1006:AE1006),$AB$1006:$AQ$1006,0)), HYPERLINK("#",""), HYPERLINK(CONCATENATE("#Metadata!", ADDRESS(INDEX($W$2:$W$1001,MATCH(ROWS($U$2:U883),$U$2:$U$1001,0),0), INDEX($AB$1004:$AQ$1004,1,MATCH(COLUMNS($AB$1006:AE1006),$AB$1006:$AQ$1006,0)))),"Fix")))</f>
        <v>0</v>
      </c>
      <c r="F883" s="5">
        <f>IF(OR(INDEX($V$2:$V$1001,MATCH(ROWS($U$2:U883),$U$2:$U$1001,0),1)&gt;=100000,INDEX($AB$1005:$AQ$1005,1,MATCH(COLUMNS($AB$1006:AF1006),$AB$1006:$AQ$1006,0))&gt;=100000), " ",IF(INDEX($AB$2:$AQ$1001,MATCH(ROWS($U$2:U883),$U$2:$U$1001,0),MATCH(COLUMNS($AB$1006:AF1006),$AB$1006:$AQ$1006,0)), HYPERLINK("#",""), HYPERLINK(CONCATENATE("#Metadata!", ADDRESS(INDEX($W$2:$W$1001,MATCH(ROWS($U$2:U883),$U$2:$U$1001,0),0), INDEX($AB$1004:$AQ$1004,1,MATCH(COLUMNS($AB$1006:AF1006),$AB$1006:$AQ$1006,0)))),"Fix")))</f>
        <v>0</v>
      </c>
      <c r="G883" s="5">
        <f>IF(OR(INDEX($V$2:$V$1001,MATCH(ROWS($U$2:U883),$U$2:$U$1001,0),1)&gt;=100000,INDEX($AB$1005:$AQ$1005,1,MATCH(COLUMNS($AB$1006:AG1006),$AB$1006:$AQ$1006,0))&gt;=100000), " ",IF(INDEX($AB$2:$AQ$1001,MATCH(ROWS($U$2:U883),$U$2:$U$1001,0),MATCH(COLUMNS($AB$1006:AG1006),$AB$1006:$AQ$1006,0)), HYPERLINK("#",""), HYPERLINK(CONCATENATE("#Metadata!", ADDRESS(INDEX($W$2:$W$1001,MATCH(ROWS($U$2:U883),$U$2:$U$1001,0),0), INDEX($AB$1004:$AQ$1004,1,MATCH(COLUMNS($AB$1006:AG1006),$AB$1006:$AQ$1006,0)))),"Fix")))</f>
        <v>0</v>
      </c>
      <c r="H883" s="5">
        <f>IF(OR(INDEX($V$2:$V$1001,MATCH(ROWS($U$2:U883),$U$2:$U$1001,0),1)&gt;=100000,INDEX($AB$1005:$AQ$1005,1,MATCH(COLUMNS($AB$1006:AH1006),$AB$1006:$AQ$1006,0))&gt;=100000), " ",IF(INDEX($AB$2:$AQ$1001,MATCH(ROWS($U$2:U883),$U$2:$U$1001,0),MATCH(COLUMNS($AB$1006:AH1006),$AB$1006:$AQ$1006,0)), HYPERLINK("#",""), HYPERLINK(CONCATENATE("#Metadata!", ADDRESS(INDEX($W$2:$W$1001,MATCH(ROWS($U$2:U883),$U$2:$U$1001,0),0), INDEX($AB$1004:$AQ$1004,1,MATCH(COLUMNS($AB$1006:AH1006),$AB$1006:$AQ$1006,0)))),"Fix")))</f>
        <v>0</v>
      </c>
      <c r="I883" s="5">
        <f>IF(OR(INDEX($V$2:$V$1001,MATCH(ROWS($U$2:U883),$U$2:$U$1001,0),1)&gt;=100000,INDEX($AB$1005:$AQ$1005,1,MATCH(COLUMNS($AB$1006:AI1006),$AB$1006:$AQ$1006,0))&gt;=100000), " ",IF(INDEX($AB$2:$AQ$1001,MATCH(ROWS($U$2:U883),$U$2:$U$1001,0),MATCH(COLUMNS($AB$1006:AI1006),$AB$1006:$AQ$1006,0)), HYPERLINK("#",""), HYPERLINK(CONCATENATE("#Metadata!", ADDRESS(INDEX($W$2:$W$1001,MATCH(ROWS($U$2:U883),$U$2:$U$1001,0),0), INDEX($AB$1004:$AQ$1004,1,MATCH(COLUMNS($AB$1006:AI1006),$AB$1006:$AQ$1006,0)))),"Fix")))</f>
        <v>0</v>
      </c>
      <c r="J883" s="5">
        <f>IF(OR(INDEX($V$2:$V$1001,MATCH(ROWS($U$2:U883),$U$2:$U$1001,0),1)&gt;=100000,INDEX($AB$1005:$AQ$1005,1,MATCH(COLUMNS($AB$1006:AJ1006),$AB$1006:$AQ$1006,0))&gt;=100000), " ",IF(INDEX($AB$2:$AQ$1001,MATCH(ROWS($U$2:U883),$U$2:$U$1001,0),MATCH(COLUMNS($AB$1006:AJ1006),$AB$1006:$AQ$1006,0)), HYPERLINK("#",""), HYPERLINK(CONCATENATE("#Metadata!", ADDRESS(INDEX($W$2:$W$1001,MATCH(ROWS($U$2:U883),$U$2:$U$1001,0),0), INDEX($AB$1004:$AQ$1004,1,MATCH(COLUMNS($AB$1006:AJ1006),$AB$1006:$AQ$1006,0)))),"Fix")))</f>
        <v>0</v>
      </c>
      <c r="K883" s="5">
        <f>IF(OR(INDEX($V$2:$V$1001,MATCH(ROWS($U$2:U883),$U$2:$U$1001,0),1)&gt;=100000,INDEX($AB$1005:$AQ$1005,1,MATCH(COLUMNS($AB$1006:AK1006),$AB$1006:$AQ$1006,0))&gt;=100000), " ",IF(INDEX($AB$2:$AQ$1001,MATCH(ROWS($U$2:U883),$U$2:$U$1001,0),MATCH(COLUMNS($AB$1006:AK1006),$AB$1006:$AQ$1006,0)), HYPERLINK("#",""), HYPERLINK(CONCATENATE("#Metadata!", ADDRESS(INDEX($W$2:$W$1001,MATCH(ROWS($U$2:U883),$U$2:$U$1001,0),0), INDEX($AB$1004:$AQ$1004,1,MATCH(COLUMNS($AB$1006:AK1006),$AB$1006:$AQ$1006,0)))),"Fix")))</f>
        <v>0</v>
      </c>
      <c r="L883" s="5">
        <f>IF(OR(INDEX($V$2:$V$1001,MATCH(ROWS($U$2:U883),$U$2:$U$1001,0),1)&gt;=100000,INDEX($AB$1005:$AQ$1005,1,MATCH(COLUMNS($AB$1006:AL1006),$AB$1006:$AQ$1006,0))&gt;=100000), " ",IF(INDEX($AB$2:$AQ$1001,MATCH(ROWS($U$2:U883),$U$2:$U$1001,0),MATCH(COLUMNS($AB$1006:AL1006),$AB$1006:$AQ$1006,0)), HYPERLINK("#",""), HYPERLINK(CONCATENATE("#Metadata!", ADDRESS(INDEX($W$2:$W$1001,MATCH(ROWS($U$2:U883),$U$2:$U$1001,0),0), INDEX($AB$1004:$AQ$1004,1,MATCH(COLUMNS($AB$1006:AL1006),$AB$1006:$AQ$1006,0)))),"Fix")))</f>
        <v>0</v>
      </c>
      <c r="M883" s="5">
        <f>IF(OR(INDEX($V$2:$V$1001,MATCH(ROWS($U$2:U883),$U$2:$U$1001,0),1)&gt;=100000,INDEX($AB$1005:$AQ$1005,1,MATCH(COLUMNS($AB$1006:AM1006),$AB$1006:$AQ$1006,0))&gt;=100000), " ",IF(INDEX($AB$2:$AQ$1001,MATCH(ROWS($U$2:U883),$U$2:$U$1001,0),MATCH(COLUMNS($AB$1006:AM1006),$AB$1006:$AQ$1006,0)), HYPERLINK("#",""), HYPERLINK(CONCATENATE("#Metadata!", ADDRESS(INDEX($W$2:$W$1001,MATCH(ROWS($U$2:U883),$U$2:$U$1001,0),0), INDEX($AB$1004:$AQ$1004,1,MATCH(COLUMNS($AB$1006:AM1006),$AB$1006:$AQ$1006,0)))),"Fix")))</f>
        <v>0</v>
      </c>
      <c r="N883" s="5">
        <f>IF(OR(INDEX($V$2:$V$1001,MATCH(ROWS($U$2:U883),$U$2:$U$1001,0),1)&gt;=100000,INDEX($AB$1005:$AQ$1005,1,MATCH(COLUMNS($AB$1006:AN1006),$AB$1006:$AQ$1006,0))&gt;=100000), " ",IF(INDEX($AB$2:$AQ$1001,MATCH(ROWS($U$2:U883),$U$2:$U$1001,0),MATCH(COLUMNS($AB$1006:AN1006),$AB$1006:$AQ$1006,0)), HYPERLINK("#",""), HYPERLINK(CONCATENATE("#Metadata!", ADDRESS(INDEX($W$2:$W$1001,MATCH(ROWS($U$2:U883),$U$2:$U$1001,0),0), INDEX($AB$1004:$AQ$1004,1,MATCH(COLUMNS($AB$1006:AN1006),$AB$1006:$AQ$1006,0)))),"Fix")))</f>
        <v>0</v>
      </c>
      <c r="O883" s="5">
        <f>IF(OR(INDEX($V$2:$V$1001,MATCH(ROWS($U$2:U883),$U$2:$U$1001,0),1)&gt;=100000,INDEX($AB$1005:$AQ$1005,1,MATCH(COLUMNS($AB$1006:AO1006),$AB$1006:$AQ$1006,0))&gt;=100000), " ",IF(INDEX($AB$2:$AQ$1001,MATCH(ROWS($U$2:U883),$U$2:$U$1001,0),MATCH(COLUMNS($AB$1006:AO1006),$AB$1006:$AQ$1006,0)), HYPERLINK("#",""), HYPERLINK(CONCATENATE("#Metadata!", ADDRESS(INDEX($W$2:$W$1001,MATCH(ROWS($U$2:U883),$U$2:$U$1001,0),0), INDEX($AB$1004:$AQ$1004,1,MATCH(COLUMNS($AB$1006:AO1006),$AB$1006:$AQ$1006,0)))),"Fix")))</f>
        <v>0</v>
      </c>
      <c r="P883" s="5">
        <f>IF(OR(INDEX($V$2:$V$1001,MATCH(ROWS($U$2:U883),$U$2:$U$1001,0),1)&gt;=100000,INDEX($AB$1005:$AQ$1005,1,MATCH(COLUMNS($AB$1006:AP1006),$AB$1006:$AQ$1006,0))&gt;=100000), " ",IF(INDEX($AB$2:$AQ$1001,MATCH(ROWS($U$2:U883),$U$2:$U$1001,0),MATCH(COLUMNS($AB$1006:AP1006),$AB$1006:$AQ$1006,0)), HYPERLINK("#",""), HYPERLINK(CONCATENATE("#Metadata!", ADDRESS(INDEX($W$2:$W$1001,MATCH(ROWS($U$2:U883),$U$2:$U$1001,0),0), INDEX($AB$1004:$AQ$1004,1,MATCH(COLUMNS($AB$1006:AP1006),$AB$1006:$AQ$1006,0)))),"Fix")))</f>
        <v>0</v>
      </c>
      <c r="Q883" s="5">
        <f>IF(OR(INDEX($V$2:$V$1001,MATCH(ROWS($U$2:U883),$U$2:$U$1001,0),1)&gt;=100000,INDEX($AB$1005:$AQ$1005,1,MATCH(COLUMNS($AB$1006:AQ1006),$AB$1006:$AQ$1006,0))&gt;=100000), " ",IF(INDEX($AB$2:$AQ$1001,MATCH(ROWS($U$2:U883),$U$2:$U$1001,0),MATCH(COLUMNS($AB$1006:AQ1006),$AB$1006:$AQ$1006,0)), HYPERLINK("#",""), HYPERLINK(CONCATENATE("#Metadata!", ADDRESS(INDEX($W$2:$W$1001,MATCH(ROWS($U$2:U883),$U$2:$U$1001,0),0), INDEX($AB$1004:$AQ$1004,1,MATCH(COLUMNS($AB$1006:AQ1006),$AB$1006:$AQ$1006,0)))),"Fix")))</f>
        <v>0</v>
      </c>
      <c r="U883">
        <v>0</v>
      </c>
      <c r="V883">
        <v>0</v>
      </c>
      <c r="W883">
        <v>0</v>
      </c>
      <c r="X883">
        <f>IF(Y883,TRUE,AND(AB883:AQ883))</f>
        <v>0</v>
      </c>
      <c r="Y883">
        <f>COUNTBLANK(Metadata!B883:Q883)=COLUMNS(Metadata!B883:Q883)</f>
        <v>0</v>
      </c>
      <c r="Z883">
        <v>0</v>
      </c>
      <c r="AB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AC883">
        <f>AND(IF(Metadata!C883="",FALSE,TRUE),exact(Metadata!C883,"urban biome"))</f>
        <v>0</v>
      </c>
      <c r="AD883">
        <f>AND(IF(Metadata!D883="",FALSE,TRUE),exact(Metadata!D883,"human-associated habitat"))</f>
        <v>0</v>
      </c>
      <c r="AE883">
        <f>AND(IF(Metadata!E883="",FALSE,TRUE),OR(exact(Metadata!E883,"human-associated"),exact(Metadata!E883,"human-skin"),exact(Metadata!E883,"human-oral"),exact(Metadata!E883,"human-gut"),exact(Metadata!E883,"human-vaginal")))</f>
        <v>0</v>
      </c>
      <c r="AF883">
        <f>AND(IF(Metadata!F883="",FALSE,ISNUMBER(VALUE(Metadata!F883))),Metadata!F883&gt;0)</f>
        <v>0</v>
      </c>
      <c r="AG883">
        <f>AND(IF(Metadata!G883="",FALSE,TRUE),exact(Metadata!G883,"years"))</f>
        <v>0</v>
      </c>
      <c r="AH883">
        <f>OR(AND(IF(Metadata!H883="",FALSE,TRUE),OR(exact(Metadata!H883,"not applicable"),exact(Metadata!H883,"not collected"),exact(Metadata!H883,"not provided"),exact(Metadata!H883,"restricted access"))),AND(IF(Metadata!H883="",FALSE,ISNUMBER(VALUE(Metadata!H883))),Metadata!H883&gt;0))</f>
        <v>0</v>
      </c>
      <c r="AI883">
        <f>AND(IF(Metadata!I883="",FALSE,TRUE),exact(Metadata!I883,"human"))</f>
        <v>0</v>
      </c>
      <c r="AJ883">
        <f>AND(IF(Metadata!J883="",FALSE,ISNUMBER(VALUE(Metadata!J883))),Metadata!J883&gt;0)</f>
        <v>0</v>
      </c>
      <c r="AK883">
        <f>AND(IF(Metadata!K883="",FALSE,TRUE),exact(Metadata!K883,"cm"))</f>
        <v>0</v>
      </c>
      <c r="AL883">
        <f>AND(IF(Metadata!L883="",FALSE,TRUE),exact(Metadata!L883,"Homo sapiens"))</f>
        <v>0</v>
      </c>
      <c r="AM883">
        <f>AND(IF(Metadata!M883="",FALSE,TRUE),exact(Metadata!M883,"9606"))</f>
        <v>0</v>
      </c>
      <c r="AN883">
        <f>AND(IF(Metadata!N883="",FALSE,ISNUMBER(VALUE(Metadata!N883))),Metadata!N883&gt;0)</f>
        <v>0</v>
      </c>
      <c r="AO883">
        <f>AND(IF(Metadata!O883="",FALSE,TRUE),exact(Metadata!O883,"kg"))</f>
        <v>0</v>
      </c>
      <c r="AP883">
        <f>OR(AND(IF(Metadata!P883="",FALSE,TRUE),exact(Metadata!P883,"not provided")),IF(Metadata!P883="",FALSE,TRUE))</f>
        <v>0</v>
      </c>
      <c r="AQ883">
        <f>OR(AND(IF(Metadata!Q883="",FALSE,TRUE),exact(Metadata!Q883,"not provided")),IF(Metadata!Q883="",FALSE,TRUE))</f>
        <v>0</v>
      </c>
    </row>
    <row r="884" spans="1:43">
      <c r="A884" s="4">
        <f>IF(B884=" "," ",HYPERLINK(CONCATENATE("#metadata!",ADDRESS(INDEX($W$2:$W$1001,MATCH(ROWS($U$2:U884),$U$2:$U$1001,0),0),2)),INDEX($Z$2:$Z$1001,MATCH(ROWS($U$2:U884),$U$2:$U$1001,0),0)))</f>
        <v>0</v>
      </c>
      <c r="B884" s="5">
        <f>IF(OR(INDEX($V$2:$V$1001,MATCH(ROWS($U$2:U884),$U$2:$U$1001,0),1)&gt;=100000,INDEX($AB$1005:$AQ$1005,1,MATCH(COLUMNS($AB$1006:AB1006),$AB$1006:$AQ$1006,0))&gt;=100000), " ",IF(INDEX($AB$2:$AQ$1001,MATCH(ROWS($U$2:U884),$U$2:$U$1001,0),MATCH(COLUMNS($AB$1006:AB1006),$AB$1006:$AQ$1006,0)), HYPERLINK("#",""), HYPERLINK(CONCATENATE("#Metadata!", ADDRESS(INDEX($W$2:$W$1001,MATCH(ROWS($U$2:U884),$U$2:$U$1001,0),0), INDEX($AB$1004:$AQ$1004,1,MATCH(COLUMNS($AB$1006:AB1006),$AB$1006:$AQ$1006,0)))),"Fix")))</f>
        <v>0</v>
      </c>
      <c r="C884" s="5">
        <f>IF(OR(INDEX($V$2:$V$1001,MATCH(ROWS($U$2:U884),$U$2:$U$1001,0),1)&gt;=100000,INDEX($AB$1005:$AQ$1005,1,MATCH(COLUMNS($AB$1006:AC1006),$AB$1006:$AQ$1006,0))&gt;=100000), " ",IF(INDEX($AB$2:$AQ$1001,MATCH(ROWS($U$2:U884),$U$2:$U$1001,0),MATCH(COLUMNS($AB$1006:AC1006),$AB$1006:$AQ$1006,0)), HYPERLINK("#",""), HYPERLINK(CONCATENATE("#Metadata!", ADDRESS(INDEX($W$2:$W$1001,MATCH(ROWS($U$2:U884),$U$2:$U$1001,0),0), INDEX($AB$1004:$AQ$1004,1,MATCH(COLUMNS($AB$1006:AC1006),$AB$1006:$AQ$1006,0)))),"Fix")))</f>
        <v>0</v>
      </c>
      <c r="D884" s="5">
        <f>IF(OR(INDEX($V$2:$V$1001,MATCH(ROWS($U$2:U884),$U$2:$U$1001,0),1)&gt;=100000,INDEX($AB$1005:$AQ$1005,1,MATCH(COLUMNS($AB$1006:AD1006),$AB$1006:$AQ$1006,0))&gt;=100000), " ",IF(INDEX($AB$2:$AQ$1001,MATCH(ROWS($U$2:U884),$U$2:$U$1001,0),MATCH(COLUMNS($AB$1006:AD1006),$AB$1006:$AQ$1006,0)), HYPERLINK("#",""), HYPERLINK(CONCATENATE("#Metadata!", ADDRESS(INDEX($W$2:$W$1001,MATCH(ROWS($U$2:U884),$U$2:$U$1001,0),0), INDEX($AB$1004:$AQ$1004,1,MATCH(COLUMNS($AB$1006:AD1006),$AB$1006:$AQ$1006,0)))),"Fix")))</f>
        <v>0</v>
      </c>
      <c r="E884" s="5">
        <f>IF(OR(INDEX($V$2:$V$1001,MATCH(ROWS($U$2:U884),$U$2:$U$1001,0),1)&gt;=100000,INDEX($AB$1005:$AQ$1005,1,MATCH(COLUMNS($AB$1006:AE1006),$AB$1006:$AQ$1006,0))&gt;=100000), " ",IF(INDEX($AB$2:$AQ$1001,MATCH(ROWS($U$2:U884),$U$2:$U$1001,0),MATCH(COLUMNS($AB$1006:AE1006),$AB$1006:$AQ$1006,0)), HYPERLINK("#",""), HYPERLINK(CONCATENATE("#Metadata!", ADDRESS(INDEX($W$2:$W$1001,MATCH(ROWS($U$2:U884),$U$2:$U$1001,0),0), INDEX($AB$1004:$AQ$1004,1,MATCH(COLUMNS($AB$1006:AE1006),$AB$1006:$AQ$1006,0)))),"Fix")))</f>
        <v>0</v>
      </c>
      <c r="F884" s="5">
        <f>IF(OR(INDEX($V$2:$V$1001,MATCH(ROWS($U$2:U884),$U$2:$U$1001,0),1)&gt;=100000,INDEX($AB$1005:$AQ$1005,1,MATCH(COLUMNS($AB$1006:AF1006),$AB$1006:$AQ$1006,0))&gt;=100000), " ",IF(INDEX($AB$2:$AQ$1001,MATCH(ROWS($U$2:U884),$U$2:$U$1001,0),MATCH(COLUMNS($AB$1006:AF1006),$AB$1006:$AQ$1006,0)), HYPERLINK("#",""), HYPERLINK(CONCATENATE("#Metadata!", ADDRESS(INDEX($W$2:$W$1001,MATCH(ROWS($U$2:U884),$U$2:$U$1001,0),0), INDEX($AB$1004:$AQ$1004,1,MATCH(COLUMNS($AB$1006:AF1006),$AB$1006:$AQ$1006,0)))),"Fix")))</f>
        <v>0</v>
      </c>
      <c r="G884" s="5">
        <f>IF(OR(INDEX($V$2:$V$1001,MATCH(ROWS($U$2:U884),$U$2:$U$1001,0),1)&gt;=100000,INDEX($AB$1005:$AQ$1005,1,MATCH(COLUMNS($AB$1006:AG1006),$AB$1006:$AQ$1006,0))&gt;=100000), " ",IF(INDEX($AB$2:$AQ$1001,MATCH(ROWS($U$2:U884),$U$2:$U$1001,0),MATCH(COLUMNS($AB$1006:AG1006),$AB$1006:$AQ$1006,0)), HYPERLINK("#",""), HYPERLINK(CONCATENATE("#Metadata!", ADDRESS(INDEX($W$2:$W$1001,MATCH(ROWS($U$2:U884),$U$2:$U$1001,0),0), INDEX($AB$1004:$AQ$1004,1,MATCH(COLUMNS($AB$1006:AG1006),$AB$1006:$AQ$1006,0)))),"Fix")))</f>
        <v>0</v>
      </c>
      <c r="H884" s="5">
        <f>IF(OR(INDEX($V$2:$V$1001,MATCH(ROWS($U$2:U884),$U$2:$U$1001,0),1)&gt;=100000,INDEX($AB$1005:$AQ$1005,1,MATCH(COLUMNS($AB$1006:AH1006),$AB$1006:$AQ$1006,0))&gt;=100000), " ",IF(INDEX($AB$2:$AQ$1001,MATCH(ROWS($U$2:U884),$U$2:$U$1001,0),MATCH(COLUMNS($AB$1006:AH1006),$AB$1006:$AQ$1006,0)), HYPERLINK("#",""), HYPERLINK(CONCATENATE("#Metadata!", ADDRESS(INDEX($W$2:$W$1001,MATCH(ROWS($U$2:U884),$U$2:$U$1001,0),0), INDEX($AB$1004:$AQ$1004,1,MATCH(COLUMNS($AB$1006:AH1006),$AB$1006:$AQ$1006,0)))),"Fix")))</f>
        <v>0</v>
      </c>
      <c r="I884" s="5">
        <f>IF(OR(INDEX($V$2:$V$1001,MATCH(ROWS($U$2:U884),$U$2:$U$1001,0),1)&gt;=100000,INDEX($AB$1005:$AQ$1005,1,MATCH(COLUMNS($AB$1006:AI1006),$AB$1006:$AQ$1006,0))&gt;=100000), " ",IF(INDEX($AB$2:$AQ$1001,MATCH(ROWS($U$2:U884),$U$2:$U$1001,0),MATCH(COLUMNS($AB$1006:AI1006),$AB$1006:$AQ$1006,0)), HYPERLINK("#",""), HYPERLINK(CONCATENATE("#Metadata!", ADDRESS(INDEX($W$2:$W$1001,MATCH(ROWS($U$2:U884),$U$2:$U$1001,0),0), INDEX($AB$1004:$AQ$1004,1,MATCH(COLUMNS($AB$1006:AI1006),$AB$1006:$AQ$1006,0)))),"Fix")))</f>
        <v>0</v>
      </c>
      <c r="J884" s="5">
        <f>IF(OR(INDEX($V$2:$V$1001,MATCH(ROWS($U$2:U884),$U$2:$U$1001,0),1)&gt;=100000,INDEX($AB$1005:$AQ$1005,1,MATCH(COLUMNS($AB$1006:AJ1006),$AB$1006:$AQ$1006,0))&gt;=100000), " ",IF(INDEX($AB$2:$AQ$1001,MATCH(ROWS($U$2:U884),$U$2:$U$1001,0),MATCH(COLUMNS($AB$1006:AJ1006),$AB$1006:$AQ$1006,0)), HYPERLINK("#",""), HYPERLINK(CONCATENATE("#Metadata!", ADDRESS(INDEX($W$2:$W$1001,MATCH(ROWS($U$2:U884),$U$2:$U$1001,0),0), INDEX($AB$1004:$AQ$1004,1,MATCH(COLUMNS($AB$1006:AJ1006),$AB$1006:$AQ$1006,0)))),"Fix")))</f>
        <v>0</v>
      </c>
      <c r="K884" s="5">
        <f>IF(OR(INDEX($V$2:$V$1001,MATCH(ROWS($U$2:U884),$U$2:$U$1001,0),1)&gt;=100000,INDEX($AB$1005:$AQ$1005,1,MATCH(COLUMNS($AB$1006:AK1006),$AB$1006:$AQ$1006,0))&gt;=100000), " ",IF(INDEX($AB$2:$AQ$1001,MATCH(ROWS($U$2:U884),$U$2:$U$1001,0),MATCH(COLUMNS($AB$1006:AK1006),$AB$1006:$AQ$1006,0)), HYPERLINK("#",""), HYPERLINK(CONCATENATE("#Metadata!", ADDRESS(INDEX($W$2:$W$1001,MATCH(ROWS($U$2:U884),$U$2:$U$1001,0),0), INDEX($AB$1004:$AQ$1004,1,MATCH(COLUMNS($AB$1006:AK1006),$AB$1006:$AQ$1006,0)))),"Fix")))</f>
        <v>0</v>
      </c>
      <c r="L884" s="5">
        <f>IF(OR(INDEX($V$2:$V$1001,MATCH(ROWS($U$2:U884),$U$2:$U$1001,0),1)&gt;=100000,INDEX($AB$1005:$AQ$1005,1,MATCH(COLUMNS($AB$1006:AL1006),$AB$1006:$AQ$1006,0))&gt;=100000), " ",IF(INDEX($AB$2:$AQ$1001,MATCH(ROWS($U$2:U884),$U$2:$U$1001,0),MATCH(COLUMNS($AB$1006:AL1006),$AB$1006:$AQ$1006,0)), HYPERLINK("#",""), HYPERLINK(CONCATENATE("#Metadata!", ADDRESS(INDEX($W$2:$W$1001,MATCH(ROWS($U$2:U884),$U$2:$U$1001,0),0), INDEX($AB$1004:$AQ$1004,1,MATCH(COLUMNS($AB$1006:AL1006),$AB$1006:$AQ$1006,0)))),"Fix")))</f>
        <v>0</v>
      </c>
      <c r="M884" s="5">
        <f>IF(OR(INDEX($V$2:$V$1001,MATCH(ROWS($U$2:U884),$U$2:$U$1001,0),1)&gt;=100000,INDEX($AB$1005:$AQ$1005,1,MATCH(COLUMNS($AB$1006:AM1006),$AB$1006:$AQ$1006,0))&gt;=100000), " ",IF(INDEX($AB$2:$AQ$1001,MATCH(ROWS($U$2:U884),$U$2:$U$1001,0),MATCH(COLUMNS($AB$1006:AM1006),$AB$1006:$AQ$1006,0)), HYPERLINK("#",""), HYPERLINK(CONCATENATE("#Metadata!", ADDRESS(INDEX($W$2:$W$1001,MATCH(ROWS($U$2:U884),$U$2:$U$1001,0),0), INDEX($AB$1004:$AQ$1004,1,MATCH(COLUMNS($AB$1006:AM1006),$AB$1006:$AQ$1006,0)))),"Fix")))</f>
        <v>0</v>
      </c>
      <c r="N884" s="5">
        <f>IF(OR(INDEX($V$2:$V$1001,MATCH(ROWS($U$2:U884),$U$2:$U$1001,0),1)&gt;=100000,INDEX($AB$1005:$AQ$1005,1,MATCH(COLUMNS($AB$1006:AN1006),$AB$1006:$AQ$1006,0))&gt;=100000), " ",IF(INDEX($AB$2:$AQ$1001,MATCH(ROWS($U$2:U884),$U$2:$U$1001,0),MATCH(COLUMNS($AB$1006:AN1006),$AB$1006:$AQ$1006,0)), HYPERLINK("#",""), HYPERLINK(CONCATENATE("#Metadata!", ADDRESS(INDEX($W$2:$W$1001,MATCH(ROWS($U$2:U884),$U$2:$U$1001,0),0), INDEX($AB$1004:$AQ$1004,1,MATCH(COLUMNS($AB$1006:AN1006),$AB$1006:$AQ$1006,0)))),"Fix")))</f>
        <v>0</v>
      </c>
      <c r="O884" s="5">
        <f>IF(OR(INDEX($V$2:$V$1001,MATCH(ROWS($U$2:U884),$U$2:$U$1001,0),1)&gt;=100000,INDEX($AB$1005:$AQ$1005,1,MATCH(COLUMNS($AB$1006:AO1006),$AB$1006:$AQ$1006,0))&gt;=100000), " ",IF(INDEX($AB$2:$AQ$1001,MATCH(ROWS($U$2:U884),$U$2:$U$1001,0),MATCH(COLUMNS($AB$1006:AO1006),$AB$1006:$AQ$1006,0)), HYPERLINK("#",""), HYPERLINK(CONCATENATE("#Metadata!", ADDRESS(INDEX($W$2:$W$1001,MATCH(ROWS($U$2:U884),$U$2:$U$1001,0),0), INDEX($AB$1004:$AQ$1004,1,MATCH(COLUMNS($AB$1006:AO1006),$AB$1006:$AQ$1006,0)))),"Fix")))</f>
        <v>0</v>
      </c>
      <c r="P884" s="5">
        <f>IF(OR(INDEX($V$2:$V$1001,MATCH(ROWS($U$2:U884),$U$2:$U$1001,0),1)&gt;=100000,INDEX($AB$1005:$AQ$1005,1,MATCH(COLUMNS($AB$1006:AP1006),$AB$1006:$AQ$1006,0))&gt;=100000), " ",IF(INDEX($AB$2:$AQ$1001,MATCH(ROWS($U$2:U884),$U$2:$U$1001,0),MATCH(COLUMNS($AB$1006:AP1006),$AB$1006:$AQ$1006,0)), HYPERLINK("#",""), HYPERLINK(CONCATENATE("#Metadata!", ADDRESS(INDEX($W$2:$W$1001,MATCH(ROWS($U$2:U884),$U$2:$U$1001,0),0), INDEX($AB$1004:$AQ$1004,1,MATCH(COLUMNS($AB$1006:AP1006),$AB$1006:$AQ$1006,0)))),"Fix")))</f>
        <v>0</v>
      </c>
      <c r="Q884" s="5">
        <f>IF(OR(INDEX($V$2:$V$1001,MATCH(ROWS($U$2:U884),$U$2:$U$1001,0),1)&gt;=100000,INDEX($AB$1005:$AQ$1005,1,MATCH(COLUMNS($AB$1006:AQ1006),$AB$1006:$AQ$1006,0))&gt;=100000), " ",IF(INDEX($AB$2:$AQ$1001,MATCH(ROWS($U$2:U884),$U$2:$U$1001,0),MATCH(COLUMNS($AB$1006:AQ1006),$AB$1006:$AQ$1006,0)), HYPERLINK("#",""), HYPERLINK(CONCATENATE("#Metadata!", ADDRESS(INDEX($W$2:$W$1001,MATCH(ROWS($U$2:U884),$U$2:$U$1001,0),0), INDEX($AB$1004:$AQ$1004,1,MATCH(COLUMNS($AB$1006:AQ1006),$AB$1006:$AQ$1006,0)))),"Fix")))</f>
        <v>0</v>
      </c>
      <c r="U884">
        <v>0</v>
      </c>
      <c r="V884">
        <v>0</v>
      </c>
      <c r="W884">
        <v>0</v>
      </c>
      <c r="X884">
        <f>IF(Y884,TRUE,AND(AB884:AQ884))</f>
        <v>0</v>
      </c>
      <c r="Y884">
        <f>COUNTBLANK(Metadata!B884:Q884)=COLUMNS(Metadata!B884:Q884)</f>
        <v>0</v>
      </c>
      <c r="Z884">
        <v>0</v>
      </c>
      <c r="AB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AC884">
        <f>AND(IF(Metadata!C884="",FALSE,TRUE),exact(Metadata!C884,"urban biome"))</f>
        <v>0</v>
      </c>
      <c r="AD884">
        <f>AND(IF(Metadata!D884="",FALSE,TRUE),exact(Metadata!D884,"human-associated habitat"))</f>
        <v>0</v>
      </c>
      <c r="AE884">
        <f>AND(IF(Metadata!E884="",FALSE,TRUE),OR(exact(Metadata!E884,"human-associated"),exact(Metadata!E884,"human-skin"),exact(Metadata!E884,"human-oral"),exact(Metadata!E884,"human-gut"),exact(Metadata!E884,"human-vaginal")))</f>
        <v>0</v>
      </c>
      <c r="AF884">
        <f>AND(IF(Metadata!F884="",FALSE,ISNUMBER(VALUE(Metadata!F884))),Metadata!F884&gt;0)</f>
        <v>0</v>
      </c>
      <c r="AG884">
        <f>AND(IF(Metadata!G884="",FALSE,TRUE),exact(Metadata!G884,"years"))</f>
        <v>0</v>
      </c>
      <c r="AH884">
        <f>OR(AND(IF(Metadata!H884="",FALSE,TRUE),OR(exact(Metadata!H884,"not applicable"),exact(Metadata!H884,"not collected"),exact(Metadata!H884,"not provided"),exact(Metadata!H884,"restricted access"))),AND(IF(Metadata!H884="",FALSE,ISNUMBER(VALUE(Metadata!H884))),Metadata!H884&gt;0))</f>
        <v>0</v>
      </c>
      <c r="AI884">
        <f>AND(IF(Metadata!I884="",FALSE,TRUE),exact(Metadata!I884,"human"))</f>
        <v>0</v>
      </c>
      <c r="AJ884">
        <f>AND(IF(Metadata!J884="",FALSE,ISNUMBER(VALUE(Metadata!J884))),Metadata!J884&gt;0)</f>
        <v>0</v>
      </c>
      <c r="AK884">
        <f>AND(IF(Metadata!K884="",FALSE,TRUE),exact(Metadata!K884,"cm"))</f>
        <v>0</v>
      </c>
      <c r="AL884">
        <f>AND(IF(Metadata!L884="",FALSE,TRUE),exact(Metadata!L884,"Homo sapiens"))</f>
        <v>0</v>
      </c>
      <c r="AM884">
        <f>AND(IF(Metadata!M884="",FALSE,TRUE),exact(Metadata!M884,"9606"))</f>
        <v>0</v>
      </c>
      <c r="AN884">
        <f>AND(IF(Metadata!N884="",FALSE,ISNUMBER(VALUE(Metadata!N884))),Metadata!N884&gt;0)</f>
        <v>0</v>
      </c>
      <c r="AO884">
        <f>AND(IF(Metadata!O884="",FALSE,TRUE),exact(Metadata!O884,"kg"))</f>
        <v>0</v>
      </c>
      <c r="AP884">
        <f>OR(AND(IF(Metadata!P884="",FALSE,TRUE),exact(Metadata!P884,"not provided")),IF(Metadata!P884="",FALSE,TRUE))</f>
        <v>0</v>
      </c>
      <c r="AQ884">
        <f>OR(AND(IF(Metadata!Q884="",FALSE,TRUE),exact(Metadata!Q884,"not provided")),IF(Metadata!Q884="",FALSE,TRUE))</f>
        <v>0</v>
      </c>
    </row>
    <row r="885" spans="1:43">
      <c r="A885" s="4">
        <f>IF(B885=" "," ",HYPERLINK(CONCATENATE("#metadata!",ADDRESS(INDEX($W$2:$W$1001,MATCH(ROWS($U$2:U885),$U$2:$U$1001,0),0),2)),INDEX($Z$2:$Z$1001,MATCH(ROWS($U$2:U885),$U$2:$U$1001,0),0)))</f>
        <v>0</v>
      </c>
      <c r="B885" s="5">
        <f>IF(OR(INDEX($V$2:$V$1001,MATCH(ROWS($U$2:U885),$U$2:$U$1001,0),1)&gt;=100000,INDEX($AB$1005:$AQ$1005,1,MATCH(COLUMNS($AB$1006:AB1006),$AB$1006:$AQ$1006,0))&gt;=100000), " ",IF(INDEX($AB$2:$AQ$1001,MATCH(ROWS($U$2:U885),$U$2:$U$1001,0),MATCH(COLUMNS($AB$1006:AB1006),$AB$1006:$AQ$1006,0)), HYPERLINK("#",""), HYPERLINK(CONCATENATE("#Metadata!", ADDRESS(INDEX($W$2:$W$1001,MATCH(ROWS($U$2:U885),$U$2:$U$1001,0),0), INDEX($AB$1004:$AQ$1004,1,MATCH(COLUMNS($AB$1006:AB1006),$AB$1006:$AQ$1006,0)))),"Fix")))</f>
        <v>0</v>
      </c>
      <c r="C885" s="5">
        <f>IF(OR(INDEX($V$2:$V$1001,MATCH(ROWS($U$2:U885),$U$2:$U$1001,0),1)&gt;=100000,INDEX($AB$1005:$AQ$1005,1,MATCH(COLUMNS($AB$1006:AC1006),$AB$1006:$AQ$1006,0))&gt;=100000), " ",IF(INDEX($AB$2:$AQ$1001,MATCH(ROWS($U$2:U885),$U$2:$U$1001,0),MATCH(COLUMNS($AB$1006:AC1006),$AB$1006:$AQ$1006,0)), HYPERLINK("#",""), HYPERLINK(CONCATENATE("#Metadata!", ADDRESS(INDEX($W$2:$W$1001,MATCH(ROWS($U$2:U885),$U$2:$U$1001,0),0), INDEX($AB$1004:$AQ$1004,1,MATCH(COLUMNS($AB$1006:AC1006),$AB$1006:$AQ$1006,0)))),"Fix")))</f>
        <v>0</v>
      </c>
      <c r="D885" s="5">
        <f>IF(OR(INDEX($V$2:$V$1001,MATCH(ROWS($U$2:U885),$U$2:$U$1001,0),1)&gt;=100000,INDEX($AB$1005:$AQ$1005,1,MATCH(COLUMNS($AB$1006:AD1006),$AB$1006:$AQ$1006,0))&gt;=100000), " ",IF(INDEX($AB$2:$AQ$1001,MATCH(ROWS($U$2:U885),$U$2:$U$1001,0),MATCH(COLUMNS($AB$1006:AD1006),$AB$1006:$AQ$1006,0)), HYPERLINK("#",""), HYPERLINK(CONCATENATE("#Metadata!", ADDRESS(INDEX($W$2:$W$1001,MATCH(ROWS($U$2:U885),$U$2:$U$1001,0),0), INDEX($AB$1004:$AQ$1004,1,MATCH(COLUMNS($AB$1006:AD1006),$AB$1006:$AQ$1006,0)))),"Fix")))</f>
        <v>0</v>
      </c>
      <c r="E885" s="5">
        <f>IF(OR(INDEX($V$2:$V$1001,MATCH(ROWS($U$2:U885),$U$2:$U$1001,0),1)&gt;=100000,INDEX($AB$1005:$AQ$1005,1,MATCH(COLUMNS($AB$1006:AE1006),$AB$1006:$AQ$1006,0))&gt;=100000), " ",IF(INDEX($AB$2:$AQ$1001,MATCH(ROWS($U$2:U885),$U$2:$U$1001,0),MATCH(COLUMNS($AB$1006:AE1006),$AB$1006:$AQ$1006,0)), HYPERLINK("#",""), HYPERLINK(CONCATENATE("#Metadata!", ADDRESS(INDEX($W$2:$W$1001,MATCH(ROWS($U$2:U885),$U$2:$U$1001,0),0), INDEX($AB$1004:$AQ$1004,1,MATCH(COLUMNS($AB$1006:AE1006),$AB$1006:$AQ$1006,0)))),"Fix")))</f>
        <v>0</v>
      </c>
      <c r="F885" s="5">
        <f>IF(OR(INDEX($V$2:$V$1001,MATCH(ROWS($U$2:U885),$U$2:$U$1001,0),1)&gt;=100000,INDEX($AB$1005:$AQ$1005,1,MATCH(COLUMNS($AB$1006:AF1006),$AB$1006:$AQ$1006,0))&gt;=100000), " ",IF(INDEX($AB$2:$AQ$1001,MATCH(ROWS($U$2:U885),$U$2:$U$1001,0),MATCH(COLUMNS($AB$1006:AF1006),$AB$1006:$AQ$1006,0)), HYPERLINK("#",""), HYPERLINK(CONCATENATE("#Metadata!", ADDRESS(INDEX($W$2:$W$1001,MATCH(ROWS($U$2:U885),$U$2:$U$1001,0),0), INDEX($AB$1004:$AQ$1004,1,MATCH(COLUMNS($AB$1006:AF1006),$AB$1006:$AQ$1006,0)))),"Fix")))</f>
        <v>0</v>
      </c>
      <c r="G885" s="5">
        <f>IF(OR(INDEX($V$2:$V$1001,MATCH(ROWS($U$2:U885),$U$2:$U$1001,0),1)&gt;=100000,INDEX($AB$1005:$AQ$1005,1,MATCH(COLUMNS($AB$1006:AG1006),$AB$1006:$AQ$1006,0))&gt;=100000), " ",IF(INDEX($AB$2:$AQ$1001,MATCH(ROWS($U$2:U885),$U$2:$U$1001,0),MATCH(COLUMNS($AB$1006:AG1006),$AB$1006:$AQ$1006,0)), HYPERLINK("#",""), HYPERLINK(CONCATENATE("#Metadata!", ADDRESS(INDEX($W$2:$W$1001,MATCH(ROWS($U$2:U885),$U$2:$U$1001,0),0), INDEX($AB$1004:$AQ$1004,1,MATCH(COLUMNS($AB$1006:AG1006),$AB$1006:$AQ$1006,0)))),"Fix")))</f>
        <v>0</v>
      </c>
      <c r="H885" s="5">
        <f>IF(OR(INDEX($V$2:$V$1001,MATCH(ROWS($U$2:U885),$U$2:$U$1001,0),1)&gt;=100000,INDEX($AB$1005:$AQ$1005,1,MATCH(COLUMNS($AB$1006:AH1006),$AB$1006:$AQ$1006,0))&gt;=100000), " ",IF(INDEX($AB$2:$AQ$1001,MATCH(ROWS($U$2:U885),$U$2:$U$1001,0),MATCH(COLUMNS($AB$1006:AH1006),$AB$1006:$AQ$1006,0)), HYPERLINK("#",""), HYPERLINK(CONCATENATE("#Metadata!", ADDRESS(INDEX($W$2:$W$1001,MATCH(ROWS($U$2:U885),$U$2:$U$1001,0),0), INDEX($AB$1004:$AQ$1004,1,MATCH(COLUMNS($AB$1006:AH1006),$AB$1006:$AQ$1006,0)))),"Fix")))</f>
        <v>0</v>
      </c>
      <c r="I885" s="5">
        <f>IF(OR(INDEX($V$2:$V$1001,MATCH(ROWS($U$2:U885),$U$2:$U$1001,0),1)&gt;=100000,INDEX($AB$1005:$AQ$1005,1,MATCH(COLUMNS($AB$1006:AI1006),$AB$1006:$AQ$1006,0))&gt;=100000), " ",IF(INDEX($AB$2:$AQ$1001,MATCH(ROWS($U$2:U885),$U$2:$U$1001,0),MATCH(COLUMNS($AB$1006:AI1006),$AB$1006:$AQ$1006,0)), HYPERLINK("#",""), HYPERLINK(CONCATENATE("#Metadata!", ADDRESS(INDEX($W$2:$W$1001,MATCH(ROWS($U$2:U885),$U$2:$U$1001,0),0), INDEX($AB$1004:$AQ$1004,1,MATCH(COLUMNS($AB$1006:AI1006),$AB$1006:$AQ$1006,0)))),"Fix")))</f>
        <v>0</v>
      </c>
      <c r="J885" s="5">
        <f>IF(OR(INDEX($V$2:$V$1001,MATCH(ROWS($U$2:U885),$U$2:$U$1001,0),1)&gt;=100000,INDEX($AB$1005:$AQ$1005,1,MATCH(COLUMNS($AB$1006:AJ1006),$AB$1006:$AQ$1006,0))&gt;=100000), " ",IF(INDEX($AB$2:$AQ$1001,MATCH(ROWS($U$2:U885),$U$2:$U$1001,0),MATCH(COLUMNS($AB$1006:AJ1006),$AB$1006:$AQ$1006,0)), HYPERLINK("#",""), HYPERLINK(CONCATENATE("#Metadata!", ADDRESS(INDEX($W$2:$W$1001,MATCH(ROWS($U$2:U885),$U$2:$U$1001,0),0), INDEX($AB$1004:$AQ$1004,1,MATCH(COLUMNS($AB$1006:AJ1006),$AB$1006:$AQ$1006,0)))),"Fix")))</f>
        <v>0</v>
      </c>
      <c r="K885" s="5">
        <f>IF(OR(INDEX($V$2:$V$1001,MATCH(ROWS($U$2:U885),$U$2:$U$1001,0),1)&gt;=100000,INDEX($AB$1005:$AQ$1005,1,MATCH(COLUMNS($AB$1006:AK1006),$AB$1006:$AQ$1006,0))&gt;=100000), " ",IF(INDEX($AB$2:$AQ$1001,MATCH(ROWS($U$2:U885),$U$2:$U$1001,0),MATCH(COLUMNS($AB$1006:AK1006),$AB$1006:$AQ$1006,0)), HYPERLINK("#",""), HYPERLINK(CONCATENATE("#Metadata!", ADDRESS(INDEX($W$2:$W$1001,MATCH(ROWS($U$2:U885),$U$2:$U$1001,0),0), INDEX($AB$1004:$AQ$1004,1,MATCH(COLUMNS($AB$1006:AK1006),$AB$1006:$AQ$1006,0)))),"Fix")))</f>
        <v>0</v>
      </c>
      <c r="L885" s="5">
        <f>IF(OR(INDEX($V$2:$V$1001,MATCH(ROWS($U$2:U885),$U$2:$U$1001,0),1)&gt;=100000,INDEX($AB$1005:$AQ$1005,1,MATCH(COLUMNS($AB$1006:AL1006),$AB$1006:$AQ$1006,0))&gt;=100000), " ",IF(INDEX($AB$2:$AQ$1001,MATCH(ROWS($U$2:U885),$U$2:$U$1001,0),MATCH(COLUMNS($AB$1006:AL1006),$AB$1006:$AQ$1006,0)), HYPERLINK("#",""), HYPERLINK(CONCATENATE("#Metadata!", ADDRESS(INDEX($W$2:$W$1001,MATCH(ROWS($U$2:U885),$U$2:$U$1001,0),0), INDEX($AB$1004:$AQ$1004,1,MATCH(COLUMNS($AB$1006:AL1006),$AB$1006:$AQ$1006,0)))),"Fix")))</f>
        <v>0</v>
      </c>
      <c r="M885" s="5">
        <f>IF(OR(INDEX($V$2:$V$1001,MATCH(ROWS($U$2:U885),$U$2:$U$1001,0),1)&gt;=100000,INDEX($AB$1005:$AQ$1005,1,MATCH(COLUMNS($AB$1006:AM1006),$AB$1006:$AQ$1006,0))&gt;=100000), " ",IF(INDEX($AB$2:$AQ$1001,MATCH(ROWS($U$2:U885),$U$2:$U$1001,0),MATCH(COLUMNS($AB$1006:AM1006),$AB$1006:$AQ$1006,0)), HYPERLINK("#",""), HYPERLINK(CONCATENATE("#Metadata!", ADDRESS(INDEX($W$2:$W$1001,MATCH(ROWS($U$2:U885),$U$2:$U$1001,0),0), INDEX($AB$1004:$AQ$1004,1,MATCH(COLUMNS($AB$1006:AM1006),$AB$1006:$AQ$1006,0)))),"Fix")))</f>
        <v>0</v>
      </c>
      <c r="N885" s="5">
        <f>IF(OR(INDEX($V$2:$V$1001,MATCH(ROWS($U$2:U885),$U$2:$U$1001,0),1)&gt;=100000,INDEX($AB$1005:$AQ$1005,1,MATCH(COLUMNS($AB$1006:AN1006),$AB$1006:$AQ$1006,0))&gt;=100000), " ",IF(INDEX($AB$2:$AQ$1001,MATCH(ROWS($U$2:U885),$U$2:$U$1001,0),MATCH(COLUMNS($AB$1006:AN1006),$AB$1006:$AQ$1006,0)), HYPERLINK("#",""), HYPERLINK(CONCATENATE("#Metadata!", ADDRESS(INDEX($W$2:$W$1001,MATCH(ROWS($U$2:U885),$U$2:$U$1001,0),0), INDEX($AB$1004:$AQ$1004,1,MATCH(COLUMNS($AB$1006:AN1006),$AB$1006:$AQ$1006,0)))),"Fix")))</f>
        <v>0</v>
      </c>
      <c r="O885" s="5">
        <f>IF(OR(INDEX($V$2:$V$1001,MATCH(ROWS($U$2:U885),$U$2:$U$1001,0),1)&gt;=100000,INDEX($AB$1005:$AQ$1005,1,MATCH(COLUMNS($AB$1006:AO1006),$AB$1006:$AQ$1006,0))&gt;=100000), " ",IF(INDEX($AB$2:$AQ$1001,MATCH(ROWS($U$2:U885),$U$2:$U$1001,0),MATCH(COLUMNS($AB$1006:AO1006),$AB$1006:$AQ$1006,0)), HYPERLINK("#",""), HYPERLINK(CONCATENATE("#Metadata!", ADDRESS(INDEX($W$2:$W$1001,MATCH(ROWS($U$2:U885),$U$2:$U$1001,0),0), INDEX($AB$1004:$AQ$1004,1,MATCH(COLUMNS($AB$1006:AO1006),$AB$1006:$AQ$1006,0)))),"Fix")))</f>
        <v>0</v>
      </c>
      <c r="P885" s="5">
        <f>IF(OR(INDEX($V$2:$V$1001,MATCH(ROWS($U$2:U885),$U$2:$U$1001,0),1)&gt;=100000,INDEX($AB$1005:$AQ$1005,1,MATCH(COLUMNS($AB$1006:AP1006),$AB$1006:$AQ$1006,0))&gt;=100000), " ",IF(INDEX($AB$2:$AQ$1001,MATCH(ROWS($U$2:U885),$U$2:$U$1001,0),MATCH(COLUMNS($AB$1006:AP1006),$AB$1006:$AQ$1006,0)), HYPERLINK("#",""), HYPERLINK(CONCATENATE("#Metadata!", ADDRESS(INDEX($W$2:$W$1001,MATCH(ROWS($U$2:U885),$U$2:$U$1001,0),0), INDEX($AB$1004:$AQ$1004,1,MATCH(COLUMNS($AB$1006:AP1006),$AB$1006:$AQ$1006,0)))),"Fix")))</f>
        <v>0</v>
      </c>
      <c r="Q885" s="5">
        <f>IF(OR(INDEX($V$2:$V$1001,MATCH(ROWS($U$2:U885),$U$2:$U$1001,0),1)&gt;=100000,INDEX($AB$1005:$AQ$1005,1,MATCH(COLUMNS($AB$1006:AQ1006),$AB$1006:$AQ$1006,0))&gt;=100000), " ",IF(INDEX($AB$2:$AQ$1001,MATCH(ROWS($U$2:U885),$U$2:$U$1001,0),MATCH(COLUMNS($AB$1006:AQ1006),$AB$1006:$AQ$1006,0)), HYPERLINK("#",""), HYPERLINK(CONCATENATE("#Metadata!", ADDRESS(INDEX($W$2:$W$1001,MATCH(ROWS($U$2:U885),$U$2:$U$1001,0),0), INDEX($AB$1004:$AQ$1004,1,MATCH(COLUMNS($AB$1006:AQ1006),$AB$1006:$AQ$1006,0)))),"Fix")))</f>
        <v>0</v>
      </c>
      <c r="U885">
        <v>0</v>
      </c>
      <c r="V885">
        <v>0</v>
      </c>
      <c r="W885">
        <v>0</v>
      </c>
      <c r="X885">
        <f>IF(Y885,TRUE,AND(AB885:AQ885))</f>
        <v>0</v>
      </c>
      <c r="Y885">
        <f>COUNTBLANK(Metadata!B885:Q885)=COLUMNS(Metadata!B885:Q885)</f>
        <v>0</v>
      </c>
      <c r="Z885">
        <v>0</v>
      </c>
      <c r="AB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AC885">
        <f>AND(IF(Metadata!C885="",FALSE,TRUE),exact(Metadata!C885,"urban biome"))</f>
        <v>0</v>
      </c>
      <c r="AD885">
        <f>AND(IF(Metadata!D885="",FALSE,TRUE),exact(Metadata!D885,"human-associated habitat"))</f>
        <v>0</v>
      </c>
      <c r="AE885">
        <f>AND(IF(Metadata!E885="",FALSE,TRUE),OR(exact(Metadata!E885,"human-associated"),exact(Metadata!E885,"human-skin"),exact(Metadata!E885,"human-oral"),exact(Metadata!E885,"human-gut"),exact(Metadata!E885,"human-vaginal")))</f>
        <v>0</v>
      </c>
      <c r="AF885">
        <f>AND(IF(Metadata!F885="",FALSE,ISNUMBER(VALUE(Metadata!F885))),Metadata!F885&gt;0)</f>
        <v>0</v>
      </c>
      <c r="AG885">
        <f>AND(IF(Metadata!G885="",FALSE,TRUE),exact(Metadata!G885,"years"))</f>
        <v>0</v>
      </c>
      <c r="AH885">
        <f>OR(AND(IF(Metadata!H885="",FALSE,TRUE),OR(exact(Metadata!H885,"not applicable"),exact(Metadata!H885,"not collected"),exact(Metadata!H885,"not provided"),exact(Metadata!H885,"restricted access"))),AND(IF(Metadata!H885="",FALSE,ISNUMBER(VALUE(Metadata!H885))),Metadata!H885&gt;0))</f>
        <v>0</v>
      </c>
      <c r="AI885">
        <f>AND(IF(Metadata!I885="",FALSE,TRUE),exact(Metadata!I885,"human"))</f>
        <v>0</v>
      </c>
      <c r="AJ885">
        <f>AND(IF(Metadata!J885="",FALSE,ISNUMBER(VALUE(Metadata!J885))),Metadata!J885&gt;0)</f>
        <v>0</v>
      </c>
      <c r="AK885">
        <f>AND(IF(Metadata!K885="",FALSE,TRUE),exact(Metadata!K885,"cm"))</f>
        <v>0</v>
      </c>
      <c r="AL885">
        <f>AND(IF(Metadata!L885="",FALSE,TRUE),exact(Metadata!L885,"Homo sapiens"))</f>
        <v>0</v>
      </c>
      <c r="AM885">
        <f>AND(IF(Metadata!M885="",FALSE,TRUE),exact(Metadata!M885,"9606"))</f>
        <v>0</v>
      </c>
      <c r="AN885">
        <f>AND(IF(Metadata!N885="",FALSE,ISNUMBER(VALUE(Metadata!N885))),Metadata!N885&gt;0)</f>
        <v>0</v>
      </c>
      <c r="AO885">
        <f>AND(IF(Metadata!O885="",FALSE,TRUE),exact(Metadata!O885,"kg"))</f>
        <v>0</v>
      </c>
      <c r="AP885">
        <f>OR(AND(IF(Metadata!P885="",FALSE,TRUE),exact(Metadata!P885,"not provided")),IF(Metadata!P885="",FALSE,TRUE))</f>
        <v>0</v>
      </c>
      <c r="AQ885">
        <f>OR(AND(IF(Metadata!Q885="",FALSE,TRUE),exact(Metadata!Q885,"not provided")),IF(Metadata!Q885="",FALSE,TRUE))</f>
        <v>0</v>
      </c>
    </row>
    <row r="886" spans="1:43">
      <c r="A886" s="4">
        <f>IF(B886=" "," ",HYPERLINK(CONCATENATE("#metadata!",ADDRESS(INDEX($W$2:$W$1001,MATCH(ROWS($U$2:U886),$U$2:$U$1001,0),0),2)),INDEX($Z$2:$Z$1001,MATCH(ROWS($U$2:U886),$U$2:$U$1001,0),0)))</f>
        <v>0</v>
      </c>
      <c r="B886" s="5">
        <f>IF(OR(INDEX($V$2:$V$1001,MATCH(ROWS($U$2:U886),$U$2:$U$1001,0),1)&gt;=100000,INDEX($AB$1005:$AQ$1005,1,MATCH(COLUMNS($AB$1006:AB1006),$AB$1006:$AQ$1006,0))&gt;=100000), " ",IF(INDEX($AB$2:$AQ$1001,MATCH(ROWS($U$2:U886),$U$2:$U$1001,0),MATCH(COLUMNS($AB$1006:AB1006),$AB$1006:$AQ$1006,0)), HYPERLINK("#",""), HYPERLINK(CONCATENATE("#Metadata!", ADDRESS(INDEX($W$2:$W$1001,MATCH(ROWS($U$2:U886),$U$2:$U$1001,0),0), INDEX($AB$1004:$AQ$1004,1,MATCH(COLUMNS($AB$1006:AB1006),$AB$1006:$AQ$1006,0)))),"Fix")))</f>
        <v>0</v>
      </c>
      <c r="C886" s="5">
        <f>IF(OR(INDEX($V$2:$V$1001,MATCH(ROWS($U$2:U886),$U$2:$U$1001,0),1)&gt;=100000,INDEX($AB$1005:$AQ$1005,1,MATCH(COLUMNS($AB$1006:AC1006),$AB$1006:$AQ$1006,0))&gt;=100000), " ",IF(INDEX($AB$2:$AQ$1001,MATCH(ROWS($U$2:U886),$U$2:$U$1001,0),MATCH(COLUMNS($AB$1006:AC1006),$AB$1006:$AQ$1006,0)), HYPERLINK("#",""), HYPERLINK(CONCATENATE("#Metadata!", ADDRESS(INDEX($W$2:$W$1001,MATCH(ROWS($U$2:U886),$U$2:$U$1001,0),0), INDEX($AB$1004:$AQ$1004,1,MATCH(COLUMNS($AB$1006:AC1006),$AB$1006:$AQ$1006,0)))),"Fix")))</f>
        <v>0</v>
      </c>
      <c r="D886" s="5">
        <f>IF(OR(INDEX($V$2:$V$1001,MATCH(ROWS($U$2:U886),$U$2:$U$1001,0),1)&gt;=100000,INDEX($AB$1005:$AQ$1005,1,MATCH(COLUMNS($AB$1006:AD1006),$AB$1006:$AQ$1006,0))&gt;=100000), " ",IF(INDEX($AB$2:$AQ$1001,MATCH(ROWS($U$2:U886),$U$2:$U$1001,0),MATCH(COLUMNS($AB$1006:AD1006),$AB$1006:$AQ$1006,0)), HYPERLINK("#",""), HYPERLINK(CONCATENATE("#Metadata!", ADDRESS(INDEX($W$2:$W$1001,MATCH(ROWS($U$2:U886),$U$2:$U$1001,0),0), INDEX($AB$1004:$AQ$1004,1,MATCH(COLUMNS($AB$1006:AD1006),$AB$1006:$AQ$1006,0)))),"Fix")))</f>
        <v>0</v>
      </c>
      <c r="E886" s="5">
        <f>IF(OR(INDEX($V$2:$V$1001,MATCH(ROWS($U$2:U886),$U$2:$U$1001,0),1)&gt;=100000,INDEX($AB$1005:$AQ$1005,1,MATCH(COLUMNS($AB$1006:AE1006),$AB$1006:$AQ$1006,0))&gt;=100000), " ",IF(INDEX($AB$2:$AQ$1001,MATCH(ROWS($U$2:U886),$U$2:$U$1001,0),MATCH(COLUMNS($AB$1006:AE1006),$AB$1006:$AQ$1006,0)), HYPERLINK("#",""), HYPERLINK(CONCATENATE("#Metadata!", ADDRESS(INDEX($W$2:$W$1001,MATCH(ROWS($U$2:U886),$U$2:$U$1001,0),0), INDEX($AB$1004:$AQ$1004,1,MATCH(COLUMNS($AB$1006:AE1006),$AB$1006:$AQ$1006,0)))),"Fix")))</f>
        <v>0</v>
      </c>
      <c r="F886" s="5">
        <f>IF(OR(INDEX($V$2:$V$1001,MATCH(ROWS($U$2:U886),$U$2:$U$1001,0),1)&gt;=100000,INDEX($AB$1005:$AQ$1005,1,MATCH(COLUMNS($AB$1006:AF1006),$AB$1006:$AQ$1006,0))&gt;=100000), " ",IF(INDEX($AB$2:$AQ$1001,MATCH(ROWS($U$2:U886),$U$2:$U$1001,0),MATCH(COLUMNS($AB$1006:AF1006),$AB$1006:$AQ$1006,0)), HYPERLINK("#",""), HYPERLINK(CONCATENATE("#Metadata!", ADDRESS(INDEX($W$2:$W$1001,MATCH(ROWS($U$2:U886),$U$2:$U$1001,0),0), INDEX($AB$1004:$AQ$1004,1,MATCH(COLUMNS($AB$1006:AF1006),$AB$1006:$AQ$1006,0)))),"Fix")))</f>
        <v>0</v>
      </c>
      <c r="G886" s="5">
        <f>IF(OR(INDEX($V$2:$V$1001,MATCH(ROWS($U$2:U886),$U$2:$U$1001,0),1)&gt;=100000,INDEX($AB$1005:$AQ$1005,1,MATCH(COLUMNS($AB$1006:AG1006),$AB$1006:$AQ$1006,0))&gt;=100000), " ",IF(INDEX($AB$2:$AQ$1001,MATCH(ROWS($U$2:U886),$U$2:$U$1001,0),MATCH(COLUMNS($AB$1006:AG1006),$AB$1006:$AQ$1006,0)), HYPERLINK("#",""), HYPERLINK(CONCATENATE("#Metadata!", ADDRESS(INDEX($W$2:$W$1001,MATCH(ROWS($U$2:U886),$U$2:$U$1001,0),0), INDEX($AB$1004:$AQ$1004,1,MATCH(COLUMNS($AB$1006:AG1006),$AB$1006:$AQ$1006,0)))),"Fix")))</f>
        <v>0</v>
      </c>
      <c r="H886" s="5">
        <f>IF(OR(INDEX($V$2:$V$1001,MATCH(ROWS($U$2:U886),$U$2:$U$1001,0),1)&gt;=100000,INDEX($AB$1005:$AQ$1005,1,MATCH(COLUMNS($AB$1006:AH1006),$AB$1006:$AQ$1006,0))&gt;=100000), " ",IF(INDEX($AB$2:$AQ$1001,MATCH(ROWS($U$2:U886),$U$2:$U$1001,0),MATCH(COLUMNS($AB$1006:AH1006),$AB$1006:$AQ$1006,0)), HYPERLINK("#",""), HYPERLINK(CONCATENATE("#Metadata!", ADDRESS(INDEX($W$2:$W$1001,MATCH(ROWS($U$2:U886),$U$2:$U$1001,0),0), INDEX($AB$1004:$AQ$1004,1,MATCH(COLUMNS($AB$1006:AH1006),$AB$1006:$AQ$1006,0)))),"Fix")))</f>
        <v>0</v>
      </c>
      <c r="I886" s="5">
        <f>IF(OR(INDEX($V$2:$V$1001,MATCH(ROWS($U$2:U886),$U$2:$U$1001,0),1)&gt;=100000,INDEX($AB$1005:$AQ$1005,1,MATCH(COLUMNS($AB$1006:AI1006),$AB$1006:$AQ$1006,0))&gt;=100000), " ",IF(INDEX($AB$2:$AQ$1001,MATCH(ROWS($U$2:U886),$U$2:$U$1001,0),MATCH(COLUMNS($AB$1006:AI1006),$AB$1006:$AQ$1006,0)), HYPERLINK("#",""), HYPERLINK(CONCATENATE("#Metadata!", ADDRESS(INDEX($W$2:$W$1001,MATCH(ROWS($U$2:U886),$U$2:$U$1001,0),0), INDEX($AB$1004:$AQ$1004,1,MATCH(COLUMNS($AB$1006:AI1006),$AB$1006:$AQ$1006,0)))),"Fix")))</f>
        <v>0</v>
      </c>
      <c r="J886" s="5">
        <f>IF(OR(INDEX($V$2:$V$1001,MATCH(ROWS($U$2:U886),$U$2:$U$1001,0),1)&gt;=100000,INDEX($AB$1005:$AQ$1005,1,MATCH(COLUMNS($AB$1006:AJ1006),$AB$1006:$AQ$1006,0))&gt;=100000), " ",IF(INDEX($AB$2:$AQ$1001,MATCH(ROWS($U$2:U886),$U$2:$U$1001,0),MATCH(COLUMNS($AB$1006:AJ1006),$AB$1006:$AQ$1006,0)), HYPERLINK("#",""), HYPERLINK(CONCATENATE("#Metadata!", ADDRESS(INDEX($W$2:$W$1001,MATCH(ROWS($U$2:U886),$U$2:$U$1001,0),0), INDEX($AB$1004:$AQ$1004,1,MATCH(COLUMNS($AB$1006:AJ1006),$AB$1006:$AQ$1006,0)))),"Fix")))</f>
        <v>0</v>
      </c>
      <c r="K886" s="5">
        <f>IF(OR(INDEX($V$2:$V$1001,MATCH(ROWS($U$2:U886),$U$2:$U$1001,0),1)&gt;=100000,INDEX($AB$1005:$AQ$1005,1,MATCH(COLUMNS($AB$1006:AK1006),$AB$1006:$AQ$1006,0))&gt;=100000), " ",IF(INDEX($AB$2:$AQ$1001,MATCH(ROWS($U$2:U886),$U$2:$U$1001,0),MATCH(COLUMNS($AB$1006:AK1006),$AB$1006:$AQ$1006,0)), HYPERLINK("#",""), HYPERLINK(CONCATENATE("#Metadata!", ADDRESS(INDEX($W$2:$W$1001,MATCH(ROWS($U$2:U886),$U$2:$U$1001,0),0), INDEX($AB$1004:$AQ$1004,1,MATCH(COLUMNS($AB$1006:AK1006),$AB$1006:$AQ$1006,0)))),"Fix")))</f>
        <v>0</v>
      </c>
      <c r="L886" s="5">
        <f>IF(OR(INDEX($V$2:$V$1001,MATCH(ROWS($U$2:U886),$U$2:$U$1001,0),1)&gt;=100000,INDEX($AB$1005:$AQ$1005,1,MATCH(COLUMNS($AB$1006:AL1006),$AB$1006:$AQ$1006,0))&gt;=100000), " ",IF(INDEX($AB$2:$AQ$1001,MATCH(ROWS($U$2:U886),$U$2:$U$1001,0),MATCH(COLUMNS($AB$1006:AL1006),$AB$1006:$AQ$1006,0)), HYPERLINK("#",""), HYPERLINK(CONCATENATE("#Metadata!", ADDRESS(INDEX($W$2:$W$1001,MATCH(ROWS($U$2:U886),$U$2:$U$1001,0),0), INDEX($AB$1004:$AQ$1004,1,MATCH(COLUMNS($AB$1006:AL1006),$AB$1006:$AQ$1006,0)))),"Fix")))</f>
        <v>0</v>
      </c>
      <c r="M886" s="5">
        <f>IF(OR(INDEX($V$2:$V$1001,MATCH(ROWS($U$2:U886),$U$2:$U$1001,0),1)&gt;=100000,INDEX($AB$1005:$AQ$1005,1,MATCH(COLUMNS($AB$1006:AM1006),$AB$1006:$AQ$1006,0))&gt;=100000), " ",IF(INDEX($AB$2:$AQ$1001,MATCH(ROWS($U$2:U886),$U$2:$U$1001,0),MATCH(COLUMNS($AB$1006:AM1006),$AB$1006:$AQ$1006,0)), HYPERLINK("#",""), HYPERLINK(CONCATENATE("#Metadata!", ADDRESS(INDEX($W$2:$W$1001,MATCH(ROWS($U$2:U886),$U$2:$U$1001,0),0), INDEX($AB$1004:$AQ$1004,1,MATCH(COLUMNS($AB$1006:AM1006),$AB$1006:$AQ$1006,0)))),"Fix")))</f>
        <v>0</v>
      </c>
      <c r="N886" s="5">
        <f>IF(OR(INDEX($V$2:$V$1001,MATCH(ROWS($U$2:U886),$U$2:$U$1001,0),1)&gt;=100000,INDEX($AB$1005:$AQ$1005,1,MATCH(COLUMNS($AB$1006:AN1006),$AB$1006:$AQ$1006,0))&gt;=100000), " ",IF(INDEX($AB$2:$AQ$1001,MATCH(ROWS($U$2:U886),$U$2:$U$1001,0),MATCH(COLUMNS($AB$1006:AN1006),$AB$1006:$AQ$1006,0)), HYPERLINK("#",""), HYPERLINK(CONCATENATE("#Metadata!", ADDRESS(INDEX($W$2:$W$1001,MATCH(ROWS($U$2:U886),$U$2:$U$1001,0),0), INDEX($AB$1004:$AQ$1004,1,MATCH(COLUMNS($AB$1006:AN1006),$AB$1006:$AQ$1006,0)))),"Fix")))</f>
        <v>0</v>
      </c>
      <c r="O886" s="5">
        <f>IF(OR(INDEX($V$2:$V$1001,MATCH(ROWS($U$2:U886),$U$2:$U$1001,0),1)&gt;=100000,INDEX($AB$1005:$AQ$1005,1,MATCH(COLUMNS($AB$1006:AO1006),$AB$1006:$AQ$1006,0))&gt;=100000), " ",IF(INDEX($AB$2:$AQ$1001,MATCH(ROWS($U$2:U886),$U$2:$U$1001,0),MATCH(COLUMNS($AB$1006:AO1006),$AB$1006:$AQ$1006,0)), HYPERLINK("#",""), HYPERLINK(CONCATENATE("#Metadata!", ADDRESS(INDEX($W$2:$W$1001,MATCH(ROWS($U$2:U886),$U$2:$U$1001,0),0), INDEX($AB$1004:$AQ$1004,1,MATCH(COLUMNS($AB$1006:AO1006),$AB$1006:$AQ$1006,0)))),"Fix")))</f>
        <v>0</v>
      </c>
      <c r="P886" s="5">
        <f>IF(OR(INDEX($V$2:$V$1001,MATCH(ROWS($U$2:U886),$U$2:$U$1001,0),1)&gt;=100000,INDEX($AB$1005:$AQ$1005,1,MATCH(COLUMNS($AB$1006:AP1006),$AB$1006:$AQ$1006,0))&gt;=100000), " ",IF(INDEX($AB$2:$AQ$1001,MATCH(ROWS($U$2:U886),$U$2:$U$1001,0),MATCH(COLUMNS($AB$1006:AP1006),$AB$1006:$AQ$1006,0)), HYPERLINK("#",""), HYPERLINK(CONCATENATE("#Metadata!", ADDRESS(INDEX($W$2:$W$1001,MATCH(ROWS($U$2:U886),$U$2:$U$1001,0),0), INDEX($AB$1004:$AQ$1004,1,MATCH(COLUMNS($AB$1006:AP1006),$AB$1006:$AQ$1006,0)))),"Fix")))</f>
        <v>0</v>
      </c>
      <c r="Q886" s="5">
        <f>IF(OR(INDEX($V$2:$V$1001,MATCH(ROWS($U$2:U886),$U$2:$U$1001,0),1)&gt;=100000,INDEX($AB$1005:$AQ$1005,1,MATCH(COLUMNS($AB$1006:AQ1006),$AB$1006:$AQ$1006,0))&gt;=100000), " ",IF(INDEX($AB$2:$AQ$1001,MATCH(ROWS($U$2:U886),$U$2:$U$1001,0),MATCH(COLUMNS($AB$1006:AQ1006),$AB$1006:$AQ$1006,0)), HYPERLINK("#",""), HYPERLINK(CONCATENATE("#Metadata!", ADDRESS(INDEX($W$2:$W$1001,MATCH(ROWS($U$2:U886),$U$2:$U$1001,0),0), INDEX($AB$1004:$AQ$1004,1,MATCH(COLUMNS($AB$1006:AQ1006),$AB$1006:$AQ$1006,0)))),"Fix")))</f>
        <v>0</v>
      </c>
      <c r="U886">
        <v>0</v>
      </c>
      <c r="V886">
        <v>0</v>
      </c>
      <c r="W886">
        <v>0</v>
      </c>
      <c r="X886">
        <f>IF(Y886,TRUE,AND(AB886:AQ886))</f>
        <v>0</v>
      </c>
      <c r="Y886">
        <f>COUNTBLANK(Metadata!B886:Q886)=COLUMNS(Metadata!B886:Q886)</f>
        <v>0</v>
      </c>
      <c r="Z886">
        <v>0</v>
      </c>
      <c r="AB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AC886">
        <f>AND(IF(Metadata!C886="",FALSE,TRUE),exact(Metadata!C886,"urban biome"))</f>
        <v>0</v>
      </c>
      <c r="AD886">
        <f>AND(IF(Metadata!D886="",FALSE,TRUE),exact(Metadata!D886,"human-associated habitat"))</f>
        <v>0</v>
      </c>
      <c r="AE886">
        <f>AND(IF(Metadata!E886="",FALSE,TRUE),OR(exact(Metadata!E886,"human-associated"),exact(Metadata!E886,"human-skin"),exact(Metadata!E886,"human-oral"),exact(Metadata!E886,"human-gut"),exact(Metadata!E886,"human-vaginal")))</f>
        <v>0</v>
      </c>
      <c r="AF886">
        <f>AND(IF(Metadata!F886="",FALSE,ISNUMBER(VALUE(Metadata!F886))),Metadata!F886&gt;0)</f>
        <v>0</v>
      </c>
      <c r="AG886">
        <f>AND(IF(Metadata!G886="",FALSE,TRUE),exact(Metadata!G886,"years"))</f>
        <v>0</v>
      </c>
      <c r="AH886">
        <f>OR(AND(IF(Metadata!H886="",FALSE,TRUE),OR(exact(Metadata!H886,"not applicable"),exact(Metadata!H886,"not collected"),exact(Metadata!H886,"not provided"),exact(Metadata!H886,"restricted access"))),AND(IF(Metadata!H886="",FALSE,ISNUMBER(VALUE(Metadata!H886))),Metadata!H886&gt;0))</f>
        <v>0</v>
      </c>
      <c r="AI886">
        <f>AND(IF(Metadata!I886="",FALSE,TRUE),exact(Metadata!I886,"human"))</f>
        <v>0</v>
      </c>
      <c r="AJ886">
        <f>AND(IF(Metadata!J886="",FALSE,ISNUMBER(VALUE(Metadata!J886))),Metadata!J886&gt;0)</f>
        <v>0</v>
      </c>
      <c r="AK886">
        <f>AND(IF(Metadata!K886="",FALSE,TRUE),exact(Metadata!K886,"cm"))</f>
        <v>0</v>
      </c>
      <c r="AL886">
        <f>AND(IF(Metadata!L886="",FALSE,TRUE),exact(Metadata!L886,"Homo sapiens"))</f>
        <v>0</v>
      </c>
      <c r="AM886">
        <f>AND(IF(Metadata!M886="",FALSE,TRUE),exact(Metadata!M886,"9606"))</f>
        <v>0</v>
      </c>
      <c r="AN886">
        <f>AND(IF(Metadata!N886="",FALSE,ISNUMBER(VALUE(Metadata!N886))),Metadata!N886&gt;0)</f>
        <v>0</v>
      </c>
      <c r="AO886">
        <f>AND(IF(Metadata!O886="",FALSE,TRUE),exact(Metadata!O886,"kg"))</f>
        <v>0</v>
      </c>
      <c r="AP886">
        <f>OR(AND(IF(Metadata!P886="",FALSE,TRUE),exact(Metadata!P886,"not provided")),IF(Metadata!P886="",FALSE,TRUE))</f>
        <v>0</v>
      </c>
      <c r="AQ886">
        <f>OR(AND(IF(Metadata!Q886="",FALSE,TRUE),exact(Metadata!Q886,"not provided")),IF(Metadata!Q886="",FALSE,TRUE))</f>
        <v>0</v>
      </c>
    </row>
    <row r="887" spans="1:43">
      <c r="A887" s="4">
        <f>IF(B887=" "," ",HYPERLINK(CONCATENATE("#metadata!",ADDRESS(INDEX($W$2:$W$1001,MATCH(ROWS($U$2:U887),$U$2:$U$1001,0),0),2)),INDEX($Z$2:$Z$1001,MATCH(ROWS($U$2:U887),$U$2:$U$1001,0),0)))</f>
        <v>0</v>
      </c>
      <c r="B887" s="5">
        <f>IF(OR(INDEX($V$2:$V$1001,MATCH(ROWS($U$2:U887),$U$2:$U$1001,0),1)&gt;=100000,INDEX($AB$1005:$AQ$1005,1,MATCH(COLUMNS($AB$1006:AB1006),$AB$1006:$AQ$1006,0))&gt;=100000), " ",IF(INDEX($AB$2:$AQ$1001,MATCH(ROWS($U$2:U887),$U$2:$U$1001,0),MATCH(COLUMNS($AB$1006:AB1006),$AB$1006:$AQ$1006,0)), HYPERLINK("#",""), HYPERLINK(CONCATENATE("#Metadata!", ADDRESS(INDEX($W$2:$W$1001,MATCH(ROWS($U$2:U887),$U$2:$U$1001,0),0), INDEX($AB$1004:$AQ$1004,1,MATCH(COLUMNS($AB$1006:AB1006),$AB$1006:$AQ$1006,0)))),"Fix")))</f>
        <v>0</v>
      </c>
      <c r="C887" s="5">
        <f>IF(OR(INDEX($V$2:$V$1001,MATCH(ROWS($U$2:U887),$U$2:$U$1001,0),1)&gt;=100000,INDEX($AB$1005:$AQ$1005,1,MATCH(COLUMNS($AB$1006:AC1006),$AB$1006:$AQ$1006,0))&gt;=100000), " ",IF(INDEX($AB$2:$AQ$1001,MATCH(ROWS($U$2:U887),$U$2:$U$1001,0),MATCH(COLUMNS($AB$1006:AC1006),$AB$1006:$AQ$1006,0)), HYPERLINK("#",""), HYPERLINK(CONCATENATE("#Metadata!", ADDRESS(INDEX($W$2:$W$1001,MATCH(ROWS($U$2:U887),$U$2:$U$1001,0),0), INDEX($AB$1004:$AQ$1004,1,MATCH(COLUMNS($AB$1006:AC1006),$AB$1006:$AQ$1006,0)))),"Fix")))</f>
        <v>0</v>
      </c>
      <c r="D887" s="5">
        <f>IF(OR(INDEX($V$2:$V$1001,MATCH(ROWS($U$2:U887),$U$2:$U$1001,0),1)&gt;=100000,INDEX($AB$1005:$AQ$1005,1,MATCH(COLUMNS($AB$1006:AD1006),$AB$1006:$AQ$1006,0))&gt;=100000), " ",IF(INDEX($AB$2:$AQ$1001,MATCH(ROWS($U$2:U887),$U$2:$U$1001,0),MATCH(COLUMNS($AB$1006:AD1006),$AB$1006:$AQ$1006,0)), HYPERLINK("#",""), HYPERLINK(CONCATENATE("#Metadata!", ADDRESS(INDEX($W$2:$W$1001,MATCH(ROWS($U$2:U887),$U$2:$U$1001,0),0), INDEX($AB$1004:$AQ$1004,1,MATCH(COLUMNS($AB$1006:AD1006),$AB$1006:$AQ$1006,0)))),"Fix")))</f>
        <v>0</v>
      </c>
      <c r="E887" s="5">
        <f>IF(OR(INDEX($V$2:$V$1001,MATCH(ROWS($U$2:U887),$U$2:$U$1001,0),1)&gt;=100000,INDEX($AB$1005:$AQ$1005,1,MATCH(COLUMNS($AB$1006:AE1006),$AB$1006:$AQ$1006,0))&gt;=100000), " ",IF(INDEX($AB$2:$AQ$1001,MATCH(ROWS($U$2:U887),$U$2:$U$1001,0),MATCH(COLUMNS($AB$1006:AE1006),$AB$1006:$AQ$1006,0)), HYPERLINK("#",""), HYPERLINK(CONCATENATE("#Metadata!", ADDRESS(INDEX($W$2:$W$1001,MATCH(ROWS($U$2:U887),$U$2:$U$1001,0),0), INDEX($AB$1004:$AQ$1004,1,MATCH(COLUMNS($AB$1006:AE1006),$AB$1006:$AQ$1006,0)))),"Fix")))</f>
        <v>0</v>
      </c>
      <c r="F887" s="5">
        <f>IF(OR(INDEX($V$2:$V$1001,MATCH(ROWS($U$2:U887),$U$2:$U$1001,0),1)&gt;=100000,INDEX($AB$1005:$AQ$1005,1,MATCH(COLUMNS($AB$1006:AF1006),$AB$1006:$AQ$1006,0))&gt;=100000), " ",IF(INDEX($AB$2:$AQ$1001,MATCH(ROWS($U$2:U887),$U$2:$U$1001,0),MATCH(COLUMNS($AB$1006:AF1006),$AB$1006:$AQ$1006,0)), HYPERLINK("#",""), HYPERLINK(CONCATENATE("#Metadata!", ADDRESS(INDEX($W$2:$W$1001,MATCH(ROWS($U$2:U887),$U$2:$U$1001,0),0), INDEX($AB$1004:$AQ$1004,1,MATCH(COLUMNS($AB$1006:AF1006),$AB$1006:$AQ$1006,0)))),"Fix")))</f>
        <v>0</v>
      </c>
      <c r="G887" s="5">
        <f>IF(OR(INDEX($V$2:$V$1001,MATCH(ROWS($U$2:U887),$U$2:$U$1001,0),1)&gt;=100000,INDEX($AB$1005:$AQ$1005,1,MATCH(COLUMNS($AB$1006:AG1006),$AB$1006:$AQ$1006,0))&gt;=100000), " ",IF(INDEX($AB$2:$AQ$1001,MATCH(ROWS($U$2:U887),$U$2:$U$1001,0),MATCH(COLUMNS($AB$1006:AG1006),$AB$1006:$AQ$1006,0)), HYPERLINK("#",""), HYPERLINK(CONCATENATE("#Metadata!", ADDRESS(INDEX($W$2:$W$1001,MATCH(ROWS($U$2:U887),$U$2:$U$1001,0),0), INDEX($AB$1004:$AQ$1004,1,MATCH(COLUMNS($AB$1006:AG1006),$AB$1006:$AQ$1006,0)))),"Fix")))</f>
        <v>0</v>
      </c>
      <c r="H887" s="5">
        <f>IF(OR(INDEX($V$2:$V$1001,MATCH(ROWS($U$2:U887),$U$2:$U$1001,0),1)&gt;=100000,INDEX($AB$1005:$AQ$1005,1,MATCH(COLUMNS($AB$1006:AH1006),$AB$1006:$AQ$1006,0))&gt;=100000), " ",IF(INDEX($AB$2:$AQ$1001,MATCH(ROWS($U$2:U887),$U$2:$U$1001,0),MATCH(COLUMNS($AB$1006:AH1006),$AB$1006:$AQ$1006,0)), HYPERLINK("#",""), HYPERLINK(CONCATENATE("#Metadata!", ADDRESS(INDEX($W$2:$W$1001,MATCH(ROWS($U$2:U887),$U$2:$U$1001,0),0), INDEX($AB$1004:$AQ$1004,1,MATCH(COLUMNS($AB$1006:AH1006),$AB$1006:$AQ$1006,0)))),"Fix")))</f>
        <v>0</v>
      </c>
      <c r="I887" s="5">
        <f>IF(OR(INDEX($V$2:$V$1001,MATCH(ROWS($U$2:U887),$U$2:$U$1001,0),1)&gt;=100000,INDEX($AB$1005:$AQ$1005,1,MATCH(COLUMNS($AB$1006:AI1006),$AB$1006:$AQ$1006,0))&gt;=100000), " ",IF(INDEX($AB$2:$AQ$1001,MATCH(ROWS($U$2:U887),$U$2:$U$1001,0),MATCH(COLUMNS($AB$1006:AI1006),$AB$1006:$AQ$1006,0)), HYPERLINK("#",""), HYPERLINK(CONCATENATE("#Metadata!", ADDRESS(INDEX($W$2:$W$1001,MATCH(ROWS($U$2:U887),$U$2:$U$1001,0),0), INDEX($AB$1004:$AQ$1004,1,MATCH(COLUMNS($AB$1006:AI1006),$AB$1006:$AQ$1006,0)))),"Fix")))</f>
        <v>0</v>
      </c>
      <c r="J887" s="5">
        <f>IF(OR(INDEX($V$2:$V$1001,MATCH(ROWS($U$2:U887),$U$2:$U$1001,0),1)&gt;=100000,INDEX($AB$1005:$AQ$1005,1,MATCH(COLUMNS($AB$1006:AJ1006),$AB$1006:$AQ$1006,0))&gt;=100000), " ",IF(INDEX($AB$2:$AQ$1001,MATCH(ROWS($U$2:U887),$U$2:$U$1001,0),MATCH(COLUMNS($AB$1006:AJ1006),$AB$1006:$AQ$1006,0)), HYPERLINK("#",""), HYPERLINK(CONCATENATE("#Metadata!", ADDRESS(INDEX($W$2:$W$1001,MATCH(ROWS($U$2:U887),$U$2:$U$1001,0),0), INDEX($AB$1004:$AQ$1004,1,MATCH(COLUMNS($AB$1006:AJ1006),$AB$1006:$AQ$1006,0)))),"Fix")))</f>
        <v>0</v>
      </c>
      <c r="K887" s="5">
        <f>IF(OR(INDEX($V$2:$V$1001,MATCH(ROWS($U$2:U887),$U$2:$U$1001,0),1)&gt;=100000,INDEX($AB$1005:$AQ$1005,1,MATCH(COLUMNS($AB$1006:AK1006),$AB$1006:$AQ$1006,0))&gt;=100000), " ",IF(INDEX($AB$2:$AQ$1001,MATCH(ROWS($U$2:U887),$U$2:$U$1001,0),MATCH(COLUMNS($AB$1006:AK1006),$AB$1006:$AQ$1006,0)), HYPERLINK("#",""), HYPERLINK(CONCATENATE("#Metadata!", ADDRESS(INDEX($W$2:$W$1001,MATCH(ROWS($U$2:U887),$U$2:$U$1001,0),0), INDEX($AB$1004:$AQ$1004,1,MATCH(COLUMNS($AB$1006:AK1006),$AB$1006:$AQ$1006,0)))),"Fix")))</f>
        <v>0</v>
      </c>
      <c r="L887" s="5">
        <f>IF(OR(INDEX($V$2:$V$1001,MATCH(ROWS($U$2:U887),$U$2:$U$1001,0),1)&gt;=100000,INDEX($AB$1005:$AQ$1005,1,MATCH(COLUMNS($AB$1006:AL1006),$AB$1006:$AQ$1006,0))&gt;=100000), " ",IF(INDEX($AB$2:$AQ$1001,MATCH(ROWS($U$2:U887),$U$2:$U$1001,0),MATCH(COLUMNS($AB$1006:AL1006),$AB$1006:$AQ$1006,0)), HYPERLINK("#",""), HYPERLINK(CONCATENATE("#Metadata!", ADDRESS(INDEX($W$2:$W$1001,MATCH(ROWS($U$2:U887),$U$2:$U$1001,0),0), INDEX($AB$1004:$AQ$1004,1,MATCH(COLUMNS($AB$1006:AL1006),$AB$1006:$AQ$1006,0)))),"Fix")))</f>
        <v>0</v>
      </c>
      <c r="M887" s="5">
        <f>IF(OR(INDEX($V$2:$V$1001,MATCH(ROWS($U$2:U887),$U$2:$U$1001,0),1)&gt;=100000,INDEX($AB$1005:$AQ$1005,1,MATCH(COLUMNS($AB$1006:AM1006),$AB$1006:$AQ$1006,0))&gt;=100000), " ",IF(INDEX($AB$2:$AQ$1001,MATCH(ROWS($U$2:U887),$U$2:$U$1001,0),MATCH(COLUMNS($AB$1006:AM1006),$AB$1006:$AQ$1006,0)), HYPERLINK("#",""), HYPERLINK(CONCATENATE("#Metadata!", ADDRESS(INDEX($W$2:$W$1001,MATCH(ROWS($U$2:U887),$U$2:$U$1001,0),0), INDEX($AB$1004:$AQ$1004,1,MATCH(COLUMNS($AB$1006:AM1006),$AB$1006:$AQ$1006,0)))),"Fix")))</f>
        <v>0</v>
      </c>
      <c r="N887" s="5">
        <f>IF(OR(INDEX($V$2:$V$1001,MATCH(ROWS($U$2:U887),$U$2:$U$1001,0),1)&gt;=100000,INDEX($AB$1005:$AQ$1005,1,MATCH(COLUMNS($AB$1006:AN1006),$AB$1006:$AQ$1006,0))&gt;=100000), " ",IF(INDEX($AB$2:$AQ$1001,MATCH(ROWS($U$2:U887),$U$2:$U$1001,0),MATCH(COLUMNS($AB$1006:AN1006),$AB$1006:$AQ$1006,0)), HYPERLINK("#",""), HYPERLINK(CONCATENATE("#Metadata!", ADDRESS(INDEX($W$2:$W$1001,MATCH(ROWS($U$2:U887),$U$2:$U$1001,0),0), INDEX($AB$1004:$AQ$1004,1,MATCH(COLUMNS($AB$1006:AN1006),$AB$1006:$AQ$1006,0)))),"Fix")))</f>
        <v>0</v>
      </c>
      <c r="O887" s="5">
        <f>IF(OR(INDEX($V$2:$V$1001,MATCH(ROWS($U$2:U887),$U$2:$U$1001,0),1)&gt;=100000,INDEX($AB$1005:$AQ$1005,1,MATCH(COLUMNS($AB$1006:AO1006),$AB$1006:$AQ$1006,0))&gt;=100000), " ",IF(INDEX($AB$2:$AQ$1001,MATCH(ROWS($U$2:U887),$U$2:$U$1001,0),MATCH(COLUMNS($AB$1006:AO1006),$AB$1006:$AQ$1006,0)), HYPERLINK("#",""), HYPERLINK(CONCATENATE("#Metadata!", ADDRESS(INDEX($W$2:$W$1001,MATCH(ROWS($U$2:U887),$U$2:$U$1001,0),0), INDEX($AB$1004:$AQ$1004,1,MATCH(COLUMNS($AB$1006:AO1006),$AB$1006:$AQ$1006,0)))),"Fix")))</f>
        <v>0</v>
      </c>
      <c r="P887" s="5">
        <f>IF(OR(INDEX($V$2:$V$1001,MATCH(ROWS($U$2:U887),$U$2:$U$1001,0),1)&gt;=100000,INDEX($AB$1005:$AQ$1005,1,MATCH(COLUMNS($AB$1006:AP1006),$AB$1006:$AQ$1006,0))&gt;=100000), " ",IF(INDEX($AB$2:$AQ$1001,MATCH(ROWS($U$2:U887),$U$2:$U$1001,0),MATCH(COLUMNS($AB$1006:AP1006),$AB$1006:$AQ$1006,0)), HYPERLINK("#",""), HYPERLINK(CONCATENATE("#Metadata!", ADDRESS(INDEX($W$2:$W$1001,MATCH(ROWS($U$2:U887),$U$2:$U$1001,0),0), INDEX($AB$1004:$AQ$1004,1,MATCH(COLUMNS($AB$1006:AP1006),$AB$1006:$AQ$1006,0)))),"Fix")))</f>
        <v>0</v>
      </c>
      <c r="Q887" s="5">
        <f>IF(OR(INDEX($V$2:$V$1001,MATCH(ROWS($U$2:U887),$U$2:$U$1001,0),1)&gt;=100000,INDEX($AB$1005:$AQ$1005,1,MATCH(COLUMNS($AB$1006:AQ1006),$AB$1006:$AQ$1006,0))&gt;=100000), " ",IF(INDEX($AB$2:$AQ$1001,MATCH(ROWS($U$2:U887),$U$2:$U$1001,0),MATCH(COLUMNS($AB$1006:AQ1006),$AB$1006:$AQ$1006,0)), HYPERLINK("#",""), HYPERLINK(CONCATENATE("#Metadata!", ADDRESS(INDEX($W$2:$W$1001,MATCH(ROWS($U$2:U887),$U$2:$U$1001,0),0), INDEX($AB$1004:$AQ$1004,1,MATCH(COLUMNS($AB$1006:AQ1006),$AB$1006:$AQ$1006,0)))),"Fix")))</f>
        <v>0</v>
      </c>
      <c r="U887">
        <v>0</v>
      </c>
      <c r="V887">
        <v>0</v>
      </c>
      <c r="W887">
        <v>0</v>
      </c>
      <c r="X887">
        <f>IF(Y887,TRUE,AND(AB887:AQ887))</f>
        <v>0</v>
      </c>
      <c r="Y887">
        <f>COUNTBLANK(Metadata!B887:Q887)=COLUMNS(Metadata!B887:Q887)</f>
        <v>0</v>
      </c>
      <c r="Z887">
        <v>0</v>
      </c>
      <c r="AB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AC887">
        <f>AND(IF(Metadata!C887="",FALSE,TRUE),exact(Metadata!C887,"urban biome"))</f>
        <v>0</v>
      </c>
      <c r="AD887">
        <f>AND(IF(Metadata!D887="",FALSE,TRUE),exact(Metadata!D887,"human-associated habitat"))</f>
        <v>0</v>
      </c>
      <c r="AE887">
        <f>AND(IF(Metadata!E887="",FALSE,TRUE),OR(exact(Metadata!E887,"human-associated"),exact(Metadata!E887,"human-skin"),exact(Metadata!E887,"human-oral"),exact(Metadata!E887,"human-gut"),exact(Metadata!E887,"human-vaginal")))</f>
        <v>0</v>
      </c>
      <c r="AF887">
        <f>AND(IF(Metadata!F887="",FALSE,ISNUMBER(VALUE(Metadata!F887))),Metadata!F887&gt;0)</f>
        <v>0</v>
      </c>
      <c r="AG887">
        <f>AND(IF(Metadata!G887="",FALSE,TRUE),exact(Metadata!G887,"years"))</f>
        <v>0</v>
      </c>
      <c r="AH887">
        <f>OR(AND(IF(Metadata!H887="",FALSE,TRUE),OR(exact(Metadata!H887,"not applicable"),exact(Metadata!H887,"not collected"),exact(Metadata!H887,"not provided"),exact(Metadata!H887,"restricted access"))),AND(IF(Metadata!H887="",FALSE,ISNUMBER(VALUE(Metadata!H887))),Metadata!H887&gt;0))</f>
        <v>0</v>
      </c>
      <c r="AI887">
        <f>AND(IF(Metadata!I887="",FALSE,TRUE),exact(Metadata!I887,"human"))</f>
        <v>0</v>
      </c>
      <c r="AJ887">
        <f>AND(IF(Metadata!J887="",FALSE,ISNUMBER(VALUE(Metadata!J887))),Metadata!J887&gt;0)</f>
        <v>0</v>
      </c>
      <c r="AK887">
        <f>AND(IF(Metadata!K887="",FALSE,TRUE),exact(Metadata!K887,"cm"))</f>
        <v>0</v>
      </c>
      <c r="AL887">
        <f>AND(IF(Metadata!L887="",FALSE,TRUE),exact(Metadata!L887,"Homo sapiens"))</f>
        <v>0</v>
      </c>
      <c r="AM887">
        <f>AND(IF(Metadata!M887="",FALSE,TRUE),exact(Metadata!M887,"9606"))</f>
        <v>0</v>
      </c>
      <c r="AN887">
        <f>AND(IF(Metadata!N887="",FALSE,ISNUMBER(VALUE(Metadata!N887))),Metadata!N887&gt;0)</f>
        <v>0</v>
      </c>
      <c r="AO887">
        <f>AND(IF(Metadata!O887="",FALSE,TRUE),exact(Metadata!O887,"kg"))</f>
        <v>0</v>
      </c>
      <c r="AP887">
        <f>OR(AND(IF(Metadata!P887="",FALSE,TRUE),exact(Metadata!P887,"not provided")),IF(Metadata!P887="",FALSE,TRUE))</f>
        <v>0</v>
      </c>
      <c r="AQ887">
        <f>OR(AND(IF(Metadata!Q887="",FALSE,TRUE),exact(Metadata!Q887,"not provided")),IF(Metadata!Q887="",FALSE,TRUE))</f>
        <v>0</v>
      </c>
    </row>
    <row r="888" spans="1:43">
      <c r="A888" s="4">
        <f>IF(B888=" "," ",HYPERLINK(CONCATENATE("#metadata!",ADDRESS(INDEX($W$2:$W$1001,MATCH(ROWS($U$2:U888),$U$2:$U$1001,0),0),2)),INDEX($Z$2:$Z$1001,MATCH(ROWS($U$2:U888),$U$2:$U$1001,0),0)))</f>
        <v>0</v>
      </c>
      <c r="B888" s="5">
        <f>IF(OR(INDEX($V$2:$V$1001,MATCH(ROWS($U$2:U888),$U$2:$U$1001,0),1)&gt;=100000,INDEX($AB$1005:$AQ$1005,1,MATCH(COLUMNS($AB$1006:AB1006),$AB$1006:$AQ$1006,0))&gt;=100000), " ",IF(INDEX($AB$2:$AQ$1001,MATCH(ROWS($U$2:U888),$U$2:$U$1001,0),MATCH(COLUMNS($AB$1006:AB1006),$AB$1006:$AQ$1006,0)), HYPERLINK("#",""), HYPERLINK(CONCATENATE("#Metadata!", ADDRESS(INDEX($W$2:$W$1001,MATCH(ROWS($U$2:U888),$U$2:$U$1001,0),0), INDEX($AB$1004:$AQ$1004,1,MATCH(COLUMNS($AB$1006:AB1006),$AB$1006:$AQ$1006,0)))),"Fix")))</f>
        <v>0</v>
      </c>
      <c r="C888" s="5">
        <f>IF(OR(INDEX($V$2:$V$1001,MATCH(ROWS($U$2:U888),$U$2:$U$1001,0),1)&gt;=100000,INDEX($AB$1005:$AQ$1005,1,MATCH(COLUMNS($AB$1006:AC1006),$AB$1006:$AQ$1006,0))&gt;=100000), " ",IF(INDEX($AB$2:$AQ$1001,MATCH(ROWS($U$2:U888),$U$2:$U$1001,0),MATCH(COLUMNS($AB$1006:AC1006),$AB$1006:$AQ$1006,0)), HYPERLINK("#",""), HYPERLINK(CONCATENATE("#Metadata!", ADDRESS(INDEX($W$2:$W$1001,MATCH(ROWS($U$2:U888),$U$2:$U$1001,0),0), INDEX($AB$1004:$AQ$1004,1,MATCH(COLUMNS($AB$1006:AC1006),$AB$1006:$AQ$1006,0)))),"Fix")))</f>
        <v>0</v>
      </c>
      <c r="D888" s="5">
        <f>IF(OR(INDEX($V$2:$V$1001,MATCH(ROWS($U$2:U888),$U$2:$U$1001,0),1)&gt;=100000,INDEX($AB$1005:$AQ$1005,1,MATCH(COLUMNS($AB$1006:AD1006),$AB$1006:$AQ$1006,0))&gt;=100000), " ",IF(INDEX($AB$2:$AQ$1001,MATCH(ROWS($U$2:U888),$U$2:$U$1001,0),MATCH(COLUMNS($AB$1006:AD1006),$AB$1006:$AQ$1006,0)), HYPERLINK("#",""), HYPERLINK(CONCATENATE("#Metadata!", ADDRESS(INDEX($W$2:$W$1001,MATCH(ROWS($U$2:U888),$U$2:$U$1001,0),0), INDEX($AB$1004:$AQ$1004,1,MATCH(COLUMNS($AB$1006:AD1006),$AB$1006:$AQ$1006,0)))),"Fix")))</f>
        <v>0</v>
      </c>
      <c r="E888" s="5">
        <f>IF(OR(INDEX($V$2:$V$1001,MATCH(ROWS($U$2:U888),$U$2:$U$1001,0),1)&gt;=100000,INDEX($AB$1005:$AQ$1005,1,MATCH(COLUMNS($AB$1006:AE1006),$AB$1006:$AQ$1006,0))&gt;=100000), " ",IF(INDEX($AB$2:$AQ$1001,MATCH(ROWS($U$2:U888),$U$2:$U$1001,0),MATCH(COLUMNS($AB$1006:AE1006),$AB$1006:$AQ$1006,0)), HYPERLINK("#",""), HYPERLINK(CONCATENATE("#Metadata!", ADDRESS(INDEX($W$2:$W$1001,MATCH(ROWS($U$2:U888),$U$2:$U$1001,0),0), INDEX($AB$1004:$AQ$1004,1,MATCH(COLUMNS($AB$1006:AE1006),$AB$1006:$AQ$1006,0)))),"Fix")))</f>
        <v>0</v>
      </c>
      <c r="F888" s="5">
        <f>IF(OR(INDEX($V$2:$V$1001,MATCH(ROWS($U$2:U888),$U$2:$U$1001,0),1)&gt;=100000,INDEX($AB$1005:$AQ$1005,1,MATCH(COLUMNS($AB$1006:AF1006),$AB$1006:$AQ$1006,0))&gt;=100000), " ",IF(INDEX($AB$2:$AQ$1001,MATCH(ROWS($U$2:U888),$U$2:$U$1001,0),MATCH(COLUMNS($AB$1006:AF1006),$AB$1006:$AQ$1006,0)), HYPERLINK("#",""), HYPERLINK(CONCATENATE("#Metadata!", ADDRESS(INDEX($W$2:$W$1001,MATCH(ROWS($U$2:U888),$U$2:$U$1001,0),0), INDEX($AB$1004:$AQ$1004,1,MATCH(COLUMNS($AB$1006:AF1006),$AB$1006:$AQ$1006,0)))),"Fix")))</f>
        <v>0</v>
      </c>
      <c r="G888" s="5">
        <f>IF(OR(INDEX($V$2:$V$1001,MATCH(ROWS($U$2:U888),$U$2:$U$1001,0),1)&gt;=100000,INDEX($AB$1005:$AQ$1005,1,MATCH(COLUMNS($AB$1006:AG1006),$AB$1006:$AQ$1006,0))&gt;=100000), " ",IF(INDEX($AB$2:$AQ$1001,MATCH(ROWS($U$2:U888),$U$2:$U$1001,0),MATCH(COLUMNS($AB$1006:AG1006),$AB$1006:$AQ$1006,0)), HYPERLINK("#",""), HYPERLINK(CONCATENATE("#Metadata!", ADDRESS(INDEX($W$2:$W$1001,MATCH(ROWS($U$2:U888),$U$2:$U$1001,0),0), INDEX($AB$1004:$AQ$1004,1,MATCH(COLUMNS($AB$1006:AG1006),$AB$1006:$AQ$1006,0)))),"Fix")))</f>
        <v>0</v>
      </c>
      <c r="H888" s="5">
        <f>IF(OR(INDEX($V$2:$V$1001,MATCH(ROWS($U$2:U888),$U$2:$U$1001,0),1)&gt;=100000,INDEX($AB$1005:$AQ$1005,1,MATCH(COLUMNS($AB$1006:AH1006),$AB$1006:$AQ$1006,0))&gt;=100000), " ",IF(INDEX($AB$2:$AQ$1001,MATCH(ROWS($U$2:U888),$U$2:$U$1001,0),MATCH(COLUMNS($AB$1006:AH1006),$AB$1006:$AQ$1006,0)), HYPERLINK("#",""), HYPERLINK(CONCATENATE("#Metadata!", ADDRESS(INDEX($W$2:$W$1001,MATCH(ROWS($U$2:U888),$U$2:$U$1001,0),0), INDEX($AB$1004:$AQ$1004,1,MATCH(COLUMNS($AB$1006:AH1006),$AB$1006:$AQ$1006,0)))),"Fix")))</f>
        <v>0</v>
      </c>
      <c r="I888" s="5">
        <f>IF(OR(INDEX($V$2:$V$1001,MATCH(ROWS($U$2:U888),$U$2:$U$1001,0),1)&gt;=100000,INDEX($AB$1005:$AQ$1005,1,MATCH(COLUMNS($AB$1006:AI1006),$AB$1006:$AQ$1006,0))&gt;=100000), " ",IF(INDEX($AB$2:$AQ$1001,MATCH(ROWS($U$2:U888),$U$2:$U$1001,0),MATCH(COLUMNS($AB$1006:AI1006),$AB$1006:$AQ$1006,0)), HYPERLINK("#",""), HYPERLINK(CONCATENATE("#Metadata!", ADDRESS(INDEX($W$2:$W$1001,MATCH(ROWS($U$2:U888),$U$2:$U$1001,0),0), INDEX($AB$1004:$AQ$1004,1,MATCH(COLUMNS($AB$1006:AI1006),$AB$1006:$AQ$1006,0)))),"Fix")))</f>
        <v>0</v>
      </c>
      <c r="J888" s="5">
        <f>IF(OR(INDEX($V$2:$V$1001,MATCH(ROWS($U$2:U888),$U$2:$U$1001,0),1)&gt;=100000,INDEX($AB$1005:$AQ$1005,1,MATCH(COLUMNS($AB$1006:AJ1006),$AB$1006:$AQ$1006,0))&gt;=100000), " ",IF(INDEX($AB$2:$AQ$1001,MATCH(ROWS($U$2:U888),$U$2:$U$1001,0),MATCH(COLUMNS($AB$1006:AJ1006),$AB$1006:$AQ$1006,0)), HYPERLINK("#",""), HYPERLINK(CONCATENATE("#Metadata!", ADDRESS(INDEX($W$2:$W$1001,MATCH(ROWS($U$2:U888),$U$2:$U$1001,0),0), INDEX($AB$1004:$AQ$1004,1,MATCH(COLUMNS($AB$1006:AJ1006),$AB$1006:$AQ$1006,0)))),"Fix")))</f>
        <v>0</v>
      </c>
      <c r="K888" s="5">
        <f>IF(OR(INDEX($V$2:$V$1001,MATCH(ROWS($U$2:U888),$U$2:$U$1001,0),1)&gt;=100000,INDEX($AB$1005:$AQ$1005,1,MATCH(COLUMNS($AB$1006:AK1006),$AB$1006:$AQ$1006,0))&gt;=100000), " ",IF(INDEX($AB$2:$AQ$1001,MATCH(ROWS($U$2:U888),$U$2:$U$1001,0),MATCH(COLUMNS($AB$1006:AK1006),$AB$1006:$AQ$1006,0)), HYPERLINK("#",""), HYPERLINK(CONCATENATE("#Metadata!", ADDRESS(INDEX($W$2:$W$1001,MATCH(ROWS($U$2:U888),$U$2:$U$1001,0),0), INDEX($AB$1004:$AQ$1004,1,MATCH(COLUMNS($AB$1006:AK1006),$AB$1006:$AQ$1006,0)))),"Fix")))</f>
        <v>0</v>
      </c>
      <c r="L888" s="5">
        <f>IF(OR(INDEX($V$2:$V$1001,MATCH(ROWS($U$2:U888),$U$2:$U$1001,0),1)&gt;=100000,INDEX($AB$1005:$AQ$1005,1,MATCH(COLUMNS($AB$1006:AL1006),$AB$1006:$AQ$1006,0))&gt;=100000), " ",IF(INDEX($AB$2:$AQ$1001,MATCH(ROWS($U$2:U888),$U$2:$U$1001,0),MATCH(COLUMNS($AB$1006:AL1006),$AB$1006:$AQ$1006,0)), HYPERLINK("#",""), HYPERLINK(CONCATENATE("#Metadata!", ADDRESS(INDEX($W$2:$W$1001,MATCH(ROWS($U$2:U888),$U$2:$U$1001,0),0), INDEX($AB$1004:$AQ$1004,1,MATCH(COLUMNS($AB$1006:AL1006),$AB$1006:$AQ$1006,0)))),"Fix")))</f>
        <v>0</v>
      </c>
      <c r="M888" s="5">
        <f>IF(OR(INDEX($V$2:$V$1001,MATCH(ROWS($U$2:U888),$U$2:$U$1001,0),1)&gt;=100000,INDEX($AB$1005:$AQ$1005,1,MATCH(COLUMNS($AB$1006:AM1006),$AB$1006:$AQ$1006,0))&gt;=100000), " ",IF(INDEX($AB$2:$AQ$1001,MATCH(ROWS($U$2:U888),$U$2:$U$1001,0),MATCH(COLUMNS($AB$1006:AM1006),$AB$1006:$AQ$1006,0)), HYPERLINK("#",""), HYPERLINK(CONCATENATE("#Metadata!", ADDRESS(INDEX($W$2:$W$1001,MATCH(ROWS($U$2:U888),$U$2:$U$1001,0),0), INDEX($AB$1004:$AQ$1004,1,MATCH(COLUMNS($AB$1006:AM1006),$AB$1006:$AQ$1006,0)))),"Fix")))</f>
        <v>0</v>
      </c>
      <c r="N888" s="5">
        <f>IF(OR(INDEX($V$2:$V$1001,MATCH(ROWS($U$2:U888),$U$2:$U$1001,0),1)&gt;=100000,INDEX($AB$1005:$AQ$1005,1,MATCH(COLUMNS($AB$1006:AN1006),$AB$1006:$AQ$1006,0))&gt;=100000), " ",IF(INDEX($AB$2:$AQ$1001,MATCH(ROWS($U$2:U888),$U$2:$U$1001,0),MATCH(COLUMNS($AB$1006:AN1006),$AB$1006:$AQ$1006,0)), HYPERLINK("#",""), HYPERLINK(CONCATENATE("#Metadata!", ADDRESS(INDEX($W$2:$W$1001,MATCH(ROWS($U$2:U888),$U$2:$U$1001,0),0), INDEX($AB$1004:$AQ$1004,1,MATCH(COLUMNS($AB$1006:AN1006),$AB$1006:$AQ$1006,0)))),"Fix")))</f>
        <v>0</v>
      </c>
      <c r="O888" s="5">
        <f>IF(OR(INDEX($V$2:$V$1001,MATCH(ROWS($U$2:U888),$U$2:$U$1001,0),1)&gt;=100000,INDEX($AB$1005:$AQ$1005,1,MATCH(COLUMNS($AB$1006:AO1006),$AB$1006:$AQ$1006,0))&gt;=100000), " ",IF(INDEX($AB$2:$AQ$1001,MATCH(ROWS($U$2:U888),$U$2:$U$1001,0),MATCH(COLUMNS($AB$1006:AO1006),$AB$1006:$AQ$1006,0)), HYPERLINK("#",""), HYPERLINK(CONCATENATE("#Metadata!", ADDRESS(INDEX($W$2:$W$1001,MATCH(ROWS($U$2:U888),$U$2:$U$1001,0),0), INDEX($AB$1004:$AQ$1004,1,MATCH(COLUMNS($AB$1006:AO1006),$AB$1006:$AQ$1006,0)))),"Fix")))</f>
        <v>0</v>
      </c>
      <c r="P888" s="5">
        <f>IF(OR(INDEX($V$2:$V$1001,MATCH(ROWS($U$2:U888),$U$2:$U$1001,0),1)&gt;=100000,INDEX($AB$1005:$AQ$1005,1,MATCH(COLUMNS($AB$1006:AP1006),$AB$1006:$AQ$1006,0))&gt;=100000), " ",IF(INDEX($AB$2:$AQ$1001,MATCH(ROWS($U$2:U888),$U$2:$U$1001,0),MATCH(COLUMNS($AB$1006:AP1006),$AB$1006:$AQ$1006,0)), HYPERLINK("#",""), HYPERLINK(CONCATENATE("#Metadata!", ADDRESS(INDEX($W$2:$W$1001,MATCH(ROWS($U$2:U888),$U$2:$U$1001,0),0), INDEX($AB$1004:$AQ$1004,1,MATCH(COLUMNS($AB$1006:AP1006),$AB$1006:$AQ$1006,0)))),"Fix")))</f>
        <v>0</v>
      </c>
      <c r="Q888" s="5">
        <f>IF(OR(INDEX($V$2:$V$1001,MATCH(ROWS($U$2:U888),$U$2:$U$1001,0),1)&gt;=100000,INDEX($AB$1005:$AQ$1005,1,MATCH(COLUMNS($AB$1006:AQ1006),$AB$1006:$AQ$1006,0))&gt;=100000), " ",IF(INDEX($AB$2:$AQ$1001,MATCH(ROWS($U$2:U888),$U$2:$U$1001,0),MATCH(COLUMNS($AB$1006:AQ1006),$AB$1006:$AQ$1006,0)), HYPERLINK("#",""), HYPERLINK(CONCATENATE("#Metadata!", ADDRESS(INDEX($W$2:$W$1001,MATCH(ROWS($U$2:U888),$U$2:$U$1001,0),0), INDEX($AB$1004:$AQ$1004,1,MATCH(COLUMNS($AB$1006:AQ1006),$AB$1006:$AQ$1006,0)))),"Fix")))</f>
        <v>0</v>
      </c>
      <c r="U888">
        <v>0</v>
      </c>
      <c r="V888">
        <v>0</v>
      </c>
      <c r="W888">
        <v>0</v>
      </c>
      <c r="X888">
        <f>IF(Y888,TRUE,AND(AB888:AQ888))</f>
        <v>0</v>
      </c>
      <c r="Y888">
        <f>COUNTBLANK(Metadata!B888:Q888)=COLUMNS(Metadata!B888:Q888)</f>
        <v>0</v>
      </c>
      <c r="Z888">
        <v>0</v>
      </c>
      <c r="AB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AC888">
        <f>AND(IF(Metadata!C888="",FALSE,TRUE),exact(Metadata!C888,"urban biome"))</f>
        <v>0</v>
      </c>
      <c r="AD888">
        <f>AND(IF(Metadata!D888="",FALSE,TRUE),exact(Metadata!D888,"human-associated habitat"))</f>
        <v>0</v>
      </c>
      <c r="AE888">
        <f>AND(IF(Metadata!E888="",FALSE,TRUE),OR(exact(Metadata!E888,"human-associated"),exact(Metadata!E888,"human-skin"),exact(Metadata!E888,"human-oral"),exact(Metadata!E888,"human-gut"),exact(Metadata!E888,"human-vaginal")))</f>
        <v>0</v>
      </c>
      <c r="AF888">
        <f>AND(IF(Metadata!F888="",FALSE,ISNUMBER(VALUE(Metadata!F888))),Metadata!F888&gt;0)</f>
        <v>0</v>
      </c>
      <c r="AG888">
        <f>AND(IF(Metadata!G888="",FALSE,TRUE),exact(Metadata!G888,"years"))</f>
        <v>0</v>
      </c>
      <c r="AH888">
        <f>OR(AND(IF(Metadata!H888="",FALSE,TRUE),OR(exact(Metadata!H888,"not applicable"),exact(Metadata!H888,"not collected"),exact(Metadata!H888,"not provided"),exact(Metadata!H888,"restricted access"))),AND(IF(Metadata!H888="",FALSE,ISNUMBER(VALUE(Metadata!H888))),Metadata!H888&gt;0))</f>
        <v>0</v>
      </c>
      <c r="AI888">
        <f>AND(IF(Metadata!I888="",FALSE,TRUE),exact(Metadata!I888,"human"))</f>
        <v>0</v>
      </c>
      <c r="AJ888">
        <f>AND(IF(Metadata!J888="",FALSE,ISNUMBER(VALUE(Metadata!J888))),Metadata!J888&gt;0)</f>
        <v>0</v>
      </c>
      <c r="AK888">
        <f>AND(IF(Metadata!K888="",FALSE,TRUE),exact(Metadata!K888,"cm"))</f>
        <v>0</v>
      </c>
      <c r="AL888">
        <f>AND(IF(Metadata!L888="",FALSE,TRUE),exact(Metadata!L888,"Homo sapiens"))</f>
        <v>0</v>
      </c>
      <c r="AM888">
        <f>AND(IF(Metadata!M888="",FALSE,TRUE),exact(Metadata!M888,"9606"))</f>
        <v>0</v>
      </c>
      <c r="AN888">
        <f>AND(IF(Metadata!N888="",FALSE,ISNUMBER(VALUE(Metadata!N888))),Metadata!N888&gt;0)</f>
        <v>0</v>
      </c>
      <c r="AO888">
        <f>AND(IF(Metadata!O888="",FALSE,TRUE),exact(Metadata!O888,"kg"))</f>
        <v>0</v>
      </c>
      <c r="AP888">
        <f>OR(AND(IF(Metadata!P888="",FALSE,TRUE),exact(Metadata!P888,"not provided")),IF(Metadata!P888="",FALSE,TRUE))</f>
        <v>0</v>
      </c>
      <c r="AQ888">
        <f>OR(AND(IF(Metadata!Q888="",FALSE,TRUE),exact(Metadata!Q888,"not provided")),IF(Metadata!Q888="",FALSE,TRUE))</f>
        <v>0</v>
      </c>
    </row>
    <row r="889" spans="1:43">
      <c r="A889" s="4">
        <f>IF(B889=" "," ",HYPERLINK(CONCATENATE("#metadata!",ADDRESS(INDEX($W$2:$W$1001,MATCH(ROWS($U$2:U889),$U$2:$U$1001,0),0),2)),INDEX($Z$2:$Z$1001,MATCH(ROWS($U$2:U889),$U$2:$U$1001,0),0)))</f>
        <v>0</v>
      </c>
      <c r="B889" s="5">
        <f>IF(OR(INDEX($V$2:$V$1001,MATCH(ROWS($U$2:U889),$U$2:$U$1001,0),1)&gt;=100000,INDEX($AB$1005:$AQ$1005,1,MATCH(COLUMNS($AB$1006:AB1006),$AB$1006:$AQ$1006,0))&gt;=100000), " ",IF(INDEX($AB$2:$AQ$1001,MATCH(ROWS($U$2:U889),$U$2:$U$1001,0),MATCH(COLUMNS($AB$1006:AB1006),$AB$1006:$AQ$1006,0)), HYPERLINK("#",""), HYPERLINK(CONCATENATE("#Metadata!", ADDRESS(INDEX($W$2:$W$1001,MATCH(ROWS($U$2:U889),$U$2:$U$1001,0),0), INDEX($AB$1004:$AQ$1004,1,MATCH(COLUMNS($AB$1006:AB1006),$AB$1006:$AQ$1006,0)))),"Fix")))</f>
        <v>0</v>
      </c>
      <c r="C889" s="5">
        <f>IF(OR(INDEX($V$2:$V$1001,MATCH(ROWS($U$2:U889),$U$2:$U$1001,0),1)&gt;=100000,INDEX($AB$1005:$AQ$1005,1,MATCH(COLUMNS($AB$1006:AC1006),$AB$1006:$AQ$1006,0))&gt;=100000), " ",IF(INDEX($AB$2:$AQ$1001,MATCH(ROWS($U$2:U889),$U$2:$U$1001,0),MATCH(COLUMNS($AB$1006:AC1006),$AB$1006:$AQ$1006,0)), HYPERLINK("#",""), HYPERLINK(CONCATENATE("#Metadata!", ADDRESS(INDEX($W$2:$W$1001,MATCH(ROWS($U$2:U889),$U$2:$U$1001,0),0), INDEX($AB$1004:$AQ$1004,1,MATCH(COLUMNS($AB$1006:AC1006),$AB$1006:$AQ$1006,0)))),"Fix")))</f>
        <v>0</v>
      </c>
      <c r="D889" s="5">
        <f>IF(OR(INDEX($V$2:$V$1001,MATCH(ROWS($U$2:U889),$U$2:$U$1001,0),1)&gt;=100000,INDEX($AB$1005:$AQ$1005,1,MATCH(COLUMNS($AB$1006:AD1006),$AB$1006:$AQ$1006,0))&gt;=100000), " ",IF(INDEX($AB$2:$AQ$1001,MATCH(ROWS($U$2:U889),$U$2:$U$1001,0),MATCH(COLUMNS($AB$1006:AD1006),$AB$1006:$AQ$1006,0)), HYPERLINK("#",""), HYPERLINK(CONCATENATE("#Metadata!", ADDRESS(INDEX($W$2:$W$1001,MATCH(ROWS($U$2:U889),$U$2:$U$1001,0),0), INDEX($AB$1004:$AQ$1004,1,MATCH(COLUMNS($AB$1006:AD1006),$AB$1006:$AQ$1006,0)))),"Fix")))</f>
        <v>0</v>
      </c>
      <c r="E889" s="5">
        <f>IF(OR(INDEX($V$2:$V$1001,MATCH(ROWS($U$2:U889),$U$2:$U$1001,0),1)&gt;=100000,INDEX($AB$1005:$AQ$1005,1,MATCH(COLUMNS($AB$1006:AE1006),$AB$1006:$AQ$1006,0))&gt;=100000), " ",IF(INDEX($AB$2:$AQ$1001,MATCH(ROWS($U$2:U889),$U$2:$U$1001,0),MATCH(COLUMNS($AB$1006:AE1006),$AB$1006:$AQ$1006,0)), HYPERLINK("#",""), HYPERLINK(CONCATENATE("#Metadata!", ADDRESS(INDEX($W$2:$W$1001,MATCH(ROWS($U$2:U889),$U$2:$U$1001,0),0), INDEX($AB$1004:$AQ$1004,1,MATCH(COLUMNS($AB$1006:AE1006),$AB$1006:$AQ$1006,0)))),"Fix")))</f>
        <v>0</v>
      </c>
      <c r="F889" s="5">
        <f>IF(OR(INDEX($V$2:$V$1001,MATCH(ROWS($U$2:U889),$U$2:$U$1001,0),1)&gt;=100000,INDEX($AB$1005:$AQ$1005,1,MATCH(COLUMNS($AB$1006:AF1006),$AB$1006:$AQ$1006,0))&gt;=100000), " ",IF(INDEX($AB$2:$AQ$1001,MATCH(ROWS($U$2:U889),$U$2:$U$1001,0),MATCH(COLUMNS($AB$1006:AF1006),$AB$1006:$AQ$1006,0)), HYPERLINK("#",""), HYPERLINK(CONCATENATE("#Metadata!", ADDRESS(INDEX($W$2:$W$1001,MATCH(ROWS($U$2:U889),$U$2:$U$1001,0),0), INDEX($AB$1004:$AQ$1004,1,MATCH(COLUMNS($AB$1006:AF1006),$AB$1006:$AQ$1006,0)))),"Fix")))</f>
        <v>0</v>
      </c>
      <c r="G889" s="5">
        <f>IF(OR(INDEX($V$2:$V$1001,MATCH(ROWS($U$2:U889),$U$2:$U$1001,0),1)&gt;=100000,INDEX($AB$1005:$AQ$1005,1,MATCH(COLUMNS($AB$1006:AG1006),$AB$1006:$AQ$1006,0))&gt;=100000), " ",IF(INDEX($AB$2:$AQ$1001,MATCH(ROWS($U$2:U889),$U$2:$U$1001,0),MATCH(COLUMNS($AB$1006:AG1006),$AB$1006:$AQ$1006,0)), HYPERLINK("#",""), HYPERLINK(CONCATENATE("#Metadata!", ADDRESS(INDEX($W$2:$W$1001,MATCH(ROWS($U$2:U889),$U$2:$U$1001,0),0), INDEX($AB$1004:$AQ$1004,1,MATCH(COLUMNS($AB$1006:AG1006),$AB$1006:$AQ$1006,0)))),"Fix")))</f>
        <v>0</v>
      </c>
      <c r="H889" s="5">
        <f>IF(OR(INDEX($V$2:$V$1001,MATCH(ROWS($U$2:U889),$U$2:$U$1001,0),1)&gt;=100000,INDEX($AB$1005:$AQ$1005,1,MATCH(COLUMNS($AB$1006:AH1006),$AB$1006:$AQ$1006,0))&gt;=100000), " ",IF(INDEX($AB$2:$AQ$1001,MATCH(ROWS($U$2:U889),$U$2:$U$1001,0),MATCH(COLUMNS($AB$1006:AH1006),$AB$1006:$AQ$1006,0)), HYPERLINK("#",""), HYPERLINK(CONCATENATE("#Metadata!", ADDRESS(INDEX($W$2:$W$1001,MATCH(ROWS($U$2:U889),$U$2:$U$1001,0),0), INDEX($AB$1004:$AQ$1004,1,MATCH(COLUMNS($AB$1006:AH1006),$AB$1006:$AQ$1006,0)))),"Fix")))</f>
        <v>0</v>
      </c>
      <c r="I889" s="5">
        <f>IF(OR(INDEX($V$2:$V$1001,MATCH(ROWS($U$2:U889),$U$2:$U$1001,0),1)&gt;=100000,INDEX($AB$1005:$AQ$1005,1,MATCH(COLUMNS($AB$1006:AI1006),$AB$1006:$AQ$1006,0))&gt;=100000), " ",IF(INDEX($AB$2:$AQ$1001,MATCH(ROWS($U$2:U889),$U$2:$U$1001,0),MATCH(COLUMNS($AB$1006:AI1006),$AB$1006:$AQ$1006,0)), HYPERLINK("#",""), HYPERLINK(CONCATENATE("#Metadata!", ADDRESS(INDEX($W$2:$W$1001,MATCH(ROWS($U$2:U889),$U$2:$U$1001,0),0), INDEX($AB$1004:$AQ$1004,1,MATCH(COLUMNS($AB$1006:AI1006),$AB$1006:$AQ$1006,0)))),"Fix")))</f>
        <v>0</v>
      </c>
      <c r="J889" s="5">
        <f>IF(OR(INDEX($V$2:$V$1001,MATCH(ROWS($U$2:U889),$U$2:$U$1001,0),1)&gt;=100000,INDEX($AB$1005:$AQ$1005,1,MATCH(COLUMNS($AB$1006:AJ1006),$AB$1006:$AQ$1006,0))&gt;=100000), " ",IF(INDEX($AB$2:$AQ$1001,MATCH(ROWS($U$2:U889),$U$2:$U$1001,0),MATCH(COLUMNS($AB$1006:AJ1006),$AB$1006:$AQ$1006,0)), HYPERLINK("#",""), HYPERLINK(CONCATENATE("#Metadata!", ADDRESS(INDEX($W$2:$W$1001,MATCH(ROWS($U$2:U889),$U$2:$U$1001,0),0), INDEX($AB$1004:$AQ$1004,1,MATCH(COLUMNS($AB$1006:AJ1006),$AB$1006:$AQ$1006,0)))),"Fix")))</f>
        <v>0</v>
      </c>
      <c r="K889" s="5">
        <f>IF(OR(INDEX($V$2:$V$1001,MATCH(ROWS($U$2:U889),$U$2:$U$1001,0),1)&gt;=100000,INDEX($AB$1005:$AQ$1005,1,MATCH(COLUMNS($AB$1006:AK1006),$AB$1006:$AQ$1006,0))&gt;=100000), " ",IF(INDEX($AB$2:$AQ$1001,MATCH(ROWS($U$2:U889),$U$2:$U$1001,0),MATCH(COLUMNS($AB$1006:AK1006),$AB$1006:$AQ$1006,0)), HYPERLINK("#",""), HYPERLINK(CONCATENATE("#Metadata!", ADDRESS(INDEX($W$2:$W$1001,MATCH(ROWS($U$2:U889),$U$2:$U$1001,0),0), INDEX($AB$1004:$AQ$1004,1,MATCH(COLUMNS($AB$1006:AK1006),$AB$1006:$AQ$1006,0)))),"Fix")))</f>
        <v>0</v>
      </c>
      <c r="L889" s="5">
        <f>IF(OR(INDEX($V$2:$V$1001,MATCH(ROWS($U$2:U889),$U$2:$U$1001,0),1)&gt;=100000,INDEX($AB$1005:$AQ$1005,1,MATCH(COLUMNS($AB$1006:AL1006),$AB$1006:$AQ$1006,0))&gt;=100000), " ",IF(INDEX($AB$2:$AQ$1001,MATCH(ROWS($U$2:U889),$U$2:$U$1001,0),MATCH(COLUMNS($AB$1006:AL1006),$AB$1006:$AQ$1006,0)), HYPERLINK("#",""), HYPERLINK(CONCATENATE("#Metadata!", ADDRESS(INDEX($W$2:$W$1001,MATCH(ROWS($U$2:U889),$U$2:$U$1001,0),0), INDEX($AB$1004:$AQ$1004,1,MATCH(COLUMNS($AB$1006:AL1006),$AB$1006:$AQ$1006,0)))),"Fix")))</f>
        <v>0</v>
      </c>
      <c r="M889" s="5">
        <f>IF(OR(INDEX($V$2:$V$1001,MATCH(ROWS($U$2:U889),$U$2:$U$1001,0),1)&gt;=100000,INDEX($AB$1005:$AQ$1005,1,MATCH(COLUMNS($AB$1006:AM1006),$AB$1006:$AQ$1006,0))&gt;=100000), " ",IF(INDEX($AB$2:$AQ$1001,MATCH(ROWS($U$2:U889),$U$2:$U$1001,0),MATCH(COLUMNS($AB$1006:AM1006),$AB$1006:$AQ$1006,0)), HYPERLINK("#",""), HYPERLINK(CONCATENATE("#Metadata!", ADDRESS(INDEX($W$2:$W$1001,MATCH(ROWS($U$2:U889),$U$2:$U$1001,0),0), INDEX($AB$1004:$AQ$1004,1,MATCH(COLUMNS($AB$1006:AM1006),$AB$1006:$AQ$1006,0)))),"Fix")))</f>
        <v>0</v>
      </c>
      <c r="N889" s="5">
        <f>IF(OR(INDEX($V$2:$V$1001,MATCH(ROWS($U$2:U889),$U$2:$U$1001,0),1)&gt;=100000,INDEX($AB$1005:$AQ$1005,1,MATCH(COLUMNS($AB$1006:AN1006),$AB$1006:$AQ$1006,0))&gt;=100000), " ",IF(INDEX($AB$2:$AQ$1001,MATCH(ROWS($U$2:U889),$U$2:$U$1001,0),MATCH(COLUMNS($AB$1006:AN1006),$AB$1006:$AQ$1006,0)), HYPERLINK("#",""), HYPERLINK(CONCATENATE("#Metadata!", ADDRESS(INDEX($W$2:$W$1001,MATCH(ROWS($U$2:U889),$U$2:$U$1001,0),0), INDEX($AB$1004:$AQ$1004,1,MATCH(COLUMNS($AB$1006:AN1006),$AB$1006:$AQ$1006,0)))),"Fix")))</f>
        <v>0</v>
      </c>
      <c r="O889" s="5">
        <f>IF(OR(INDEX($V$2:$V$1001,MATCH(ROWS($U$2:U889),$U$2:$U$1001,0),1)&gt;=100000,INDEX($AB$1005:$AQ$1005,1,MATCH(COLUMNS($AB$1006:AO1006),$AB$1006:$AQ$1006,0))&gt;=100000), " ",IF(INDEX($AB$2:$AQ$1001,MATCH(ROWS($U$2:U889),$U$2:$U$1001,0),MATCH(COLUMNS($AB$1006:AO1006),$AB$1006:$AQ$1006,0)), HYPERLINK("#",""), HYPERLINK(CONCATENATE("#Metadata!", ADDRESS(INDEX($W$2:$W$1001,MATCH(ROWS($U$2:U889),$U$2:$U$1001,0),0), INDEX($AB$1004:$AQ$1004,1,MATCH(COLUMNS($AB$1006:AO1006),$AB$1006:$AQ$1006,0)))),"Fix")))</f>
        <v>0</v>
      </c>
      <c r="P889" s="5">
        <f>IF(OR(INDEX($V$2:$V$1001,MATCH(ROWS($U$2:U889),$U$2:$U$1001,0),1)&gt;=100000,INDEX($AB$1005:$AQ$1005,1,MATCH(COLUMNS($AB$1006:AP1006),$AB$1006:$AQ$1006,0))&gt;=100000), " ",IF(INDEX($AB$2:$AQ$1001,MATCH(ROWS($U$2:U889),$U$2:$U$1001,0),MATCH(COLUMNS($AB$1006:AP1006),$AB$1006:$AQ$1006,0)), HYPERLINK("#",""), HYPERLINK(CONCATENATE("#Metadata!", ADDRESS(INDEX($W$2:$W$1001,MATCH(ROWS($U$2:U889),$U$2:$U$1001,0),0), INDEX($AB$1004:$AQ$1004,1,MATCH(COLUMNS($AB$1006:AP1006),$AB$1006:$AQ$1006,0)))),"Fix")))</f>
        <v>0</v>
      </c>
      <c r="Q889" s="5">
        <f>IF(OR(INDEX($V$2:$V$1001,MATCH(ROWS($U$2:U889),$U$2:$U$1001,0),1)&gt;=100000,INDEX($AB$1005:$AQ$1005,1,MATCH(COLUMNS($AB$1006:AQ1006),$AB$1006:$AQ$1006,0))&gt;=100000), " ",IF(INDEX($AB$2:$AQ$1001,MATCH(ROWS($U$2:U889),$U$2:$U$1001,0),MATCH(COLUMNS($AB$1006:AQ1006),$AB$1006:$AQ$1006,0)), HYPERLINK("#",""), HYPERLINK(CONCATENATE("#Metadata!", ADDRESS(INDEX($W$2:$W$1001,MATCH(ROWS($U$2:U889),$U$2:$U$1001,0),0), INDEX($AB$1004:$AQ$1004,1,MATCH(COLUMNS($AB$1006:AQ1006),$AB$1006:$AQ$1006,0)))),"Fix")))</f>
        <v>0</v>
      </c>
      <c r="U889">
        <v>0</v>
      </c>
      <c r="V889">
        <v>0</v>
      </c>
      <c r="W889">
        <v>0</v>
      </c>
      <c r="X889">
        <f>IF(Y889,TRUE,AND(AB889:AQ889))</f>
        <v>0</v>
      </c>
      <c r="Y889">
        <f>COUNTBLANK(Metadata!B889:Q889)=COLUMNS(Metadata!B889:Q889)</f>
        <v>0</v>
      </c>
      <c r="Z889">
        <v>0</v>
      </c>
      <c r="AB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AC889">
        <f>AND(IF(Metadata!C889="",FALSE,TRUE),exact(Metadata!C889,"urban biome"))</f>
        <v>0</v>
      </c>
      <c r="AD889">
        <f>AND(IF(Metadata!D889="",FALSE,TRUE),exact(Metadata!D889,"human-associated habitat"))</f>
        <v>0</v>
      </c>
      <c r="AE889">
        <f>AND(IF(Metadata!E889="",FALSE,TRUE),OR(exact(Metadata!E889,"human-associated"),exact(Metadata!E889,"human-skin"),exact(Metadata!E889,"human-oral"),exact(Metadata!E889,"human-gut"),exact(Metadata!E889,"human-vaginal")))</f>
        <v>0</v>
      </c>
      <c r="AF889">
        <f>AND(IF(Metadata!F889="",FALSE,ISNUMBER(VALUE(Metadata!F889))),Metadata!F889&gt;0)</f>
        <v>0</v>
      </c>
      <c r="AG889">
        <f>AND(IF(Metadata!G889="",FALSE,TRUE),exact(Metadata!G889,"years"))</f>
        <v>0</v>
      </c>
      <c r="AH889">
        <f>OR(AND(IF(Metadata!H889="",FALSE,TRUE),OR(exact(Metadata!H889,"not applicable"),exact(Metadata!H889,"not collected"),exact(Metadata!H889,"not provided"),exact(Metadata!H889,"restricted access"))),AND(IF(Metadata!H889="",FALSE,ISNUMBER(VALUE(Metadata!H889))),Metadata!H889&gt;0))</f>
        <v>0</v>
      </c>
      <c r="AI889">
        <f>AND(IF(Metadata!I889="",FALSE,TRUE),exact(Metadata!I889,"human"))</f>
        <v>0</v>
      </c>
      <c r="AJ889">
        <f>AND(IF(Metadata!J889="",FALSE,ISNUMBER(VALUE(Metadata!J889))),Metadata!J889&gt;0)</f>
        <v>0</v>
      </c>
      <c r="AK889">
        <f>AND(IF(Metadata!K889="",FALSE,TRUE),exact(Metadata!K889,"cm"))</f>
        <v>0</v>
      </c>
      <c r="AL889">
        <f>AND(IF(Metadata!L889="",FALSE,TRUE),exact(Metadata!L889,"Homo sapiens"))</f>
        <v>0</v>
      </c>
      <c r="AM889">
        <f>AND(IF(Metadata!M889="",FALSE,TRUE),exact(Metadata!M889,"9606"))</f>
        <v>0</v>
      </c>
      <c r="AN889">
        <f>AND(IF(Metadata!N889="",FALSE,ISNUMBER(VALUE(Metadata!N889))),Metadata!N889&gt;0)</f>
        <v>0</v>
      </c>
      <c r="AO889">
        <f>AND(IF(Metadata!O889="",FALSE,TRUE),exact(Metadata!O889,"kg"))</f>
        <v>0</v>
      </c>
      <c r="AP889">
        <f>OR(AND(IF(Metadata!P889="",FALSE,TRUE),exact(Metadata!P889,"not provided")),IF(Metadata!P889="",FALSE,TRUE))</f>
        <v>0</v>
      </c>
      <c r="AQ889">
        <f>OR(AND(IF(Metadata!Q889="",FALSE,TRUE),exact(Metadata!Q889,"not provided")),IF(Metadata!Q889="",FALSE,TRUE))</f>
        <v>0</v>
      </c>
    </row>
    <row r="890" spans="1:43">
      <c r="A890" s="4">
        <f>IF(B890=" "," ",HYPERLINK(CONCATENATE("#metadata!",ADDRESS(INDEX($W$2:$W$1001,MATCH(ROWS($U$2:U890),$U$2:$U$1001,0),0),2)),INDEX($Z$2:$Z$1001,MATCH(ROWS($U$2:U890),$U$2:$U$1001,0),0)))</f>
        <v>0</v>
      </c>
      <c r="B890" s="5">
        <f>IF(OR(INDEX($V$2:$V$1001,MATCH(ROWS($U$2:U890),$U$2:$U$1001,0),1)&gt;=100000,INDEX($AB$1005:$AQ$1005,1,MATCH(COLUMNS($AB$1006:AB1006),$AB$1006:$AQ$1006,0))&gt;=100000), " ",IF(INDEX($AB$2:$AQ$1001,MATCH(ROWS($U$2:U890),$U$2:$U$1001,0),MATCH(COLUMNS($AB$1006:AB1006),$AB$1006:$AQ$1006,0)), HYPERLINK("#",""), HYPERLINK(CONCATENATE("#Metadata!", ADDRESS(INDEX($W$2:$W$1001,MATCH(ROWS($U$2:U890),$U$2:$U$1001,0),0), INDEX($AB$1004:$AQ$1004,1,MATCH(COLUMNS($AB$1006:AB1006),$AB$1006:$AQ$1006,0)))),"Fix")))</f>
        <v>0</v>
      </c>
      <c r="C890" s="5">
        <f>IF(OR(INDEX($V$2:$V$1001,MATCH(ROWS($U$2:U890),$U$2:$U$1001,0),1)&gt;=100000,INDEX($AB$1005:$AQ$1005,1,MATCH(COLUMNS($AB$1006:AC1006),$AB$1006:$AQ$1006,0))&gt;=100000), " ",IF(INDEX($AB$2:$AQ$1001,MATCH(ROWS($U$2:U890),$U$2:$U$1001,0),MATCH(COLUMNS($AB$1006:AC1006),$AB$1006:$AQ$1006,0)), HYPERLINK("#",""), HYPERLINK(CONCATENATE("#Metadata!", ADDRESS(INDEX($W$2:$W$1001,MATCH(ROWS($U$2:U890),$U$2:$U$1001,0),0), INDEX($AB$1004:$AQ$1004,1,MATCH(COLUMNS($AB$1006:AC1006),$AB$1006:$AQ$1006,0)))),"Fix")))</f>
        <v>0</v>
      </c>
      <c r="D890" s="5">
        <f>IF(OR(INDEX($V$2:$V$1001,MATCH(ROWS($U$2:U890),$U$2:$U$1001,0),1)&gt;=100000,INDEX($AB$1005:$AQ$1005,1,MATCH(COLUMNS($AB$1006:AD1006),$AB$1006:$AQ$1006,0))&gt;=100000), " ",IF(INDEX($AB$2:$AQ$1001,MATCH(ROWS($U$2:U890),$U$2:$U$1001,0),MATCH(COLUMNS($AB$1006:AD1006),$AB$1006:$AQ$1006,0)), HYPERLINK("#",""), HYPERLINK(CONCATENATE("#Metadata!", ADDRESS(INDEX($W$2:$W$1001,MATCH(ROWS($U$2:U890),$U$2:$U$1001,0),0), INDEX($AB$1004:$AQ$1004,1,MATCH(COLUMNS($AB$1006:AD1006),$AB$1006:$AQ$1006,0)))),"Fix")))</f>
        <v>0</v>
      </c>
      <c r="E890" s="5">
        <f>IF(OR(INDEX($V$2:$V$1001,MATCH(ROWS($U$2:U890),$U$2:$U$1001,0),1)&gt;=100000,INDEX($AB$1005:$AQ$1005,1,MATCH(COLUMNS($AB$1006:AE1006),$AB$1006:$AQ$1006,0))&gt;=100000), " ",IF(INDEX($AB$2:$AQ$1001,MATCH(ROWS($U$2:U890),$U$2:$U$1001,0),MATCH(COLUMNS($AB$1006:AE1006),$AB$1006:$AQ$1006,0)), HYPERLINK("#",""), HYPERLINK(CONCATENATE("#Metadata!", ADDRESS(INDEX($W$2:$W$1001,MATCH(ROWS($U$2:U890),$U$2:$U$1001,0),0), INDEX($AB$1004:$AQ$1004,1,MATCH(COLUMNS($AB$1006:AE1006),$AB$1006:$AQ$1006,0)))),"Fix")))</f>
        <v>0</v>
      </c>
      <c r="F890" s="5">
        <f>IF(OR(INDEX($V$2:$V$1001,MATCH(ROWS($U$2:U890),$U$2:$U$1001,0),1)&gt;=100000,INDEX($AB$1005:$AQ$1005,1,MATCH(COLUMNS($AB$1006:AF1006),$AB$1006:$AQ$1006,0))&gt;=100000), " ",IF(INDEX($AB$2:$AQ$1001,MATCH(ROWS($U$2:U890),$U$2:$U$1001,0),MATCH(COLUMNS($AB$1006:AF1006),$AB$1006:$AQ$1006,0)), HYPERLINK("#",""), HYPERLINK(CONCATENATE("#Metadata!", ADDRESS(INDEX($W$2:$W$1001,MATCH(ROWS($U$2:U890),$U$2:$U$1001,0),0), INDEX($AB$1004:$AQ$1004,1,MATCH(COLUMNS($AB$1006:AF1006),$AB$1006:$AQ$1006,0)))),"Fix")))</f>
        <v>0</v>
      </c>
      <c r="G890" s="5">
        <f>IF(OR(INDEX($V$2:$V$1001,MATCH(ROWS($U$2:U890),$U$2:$U$1001,0),1)&gt;=100000,INDEX($AB$1005:$AQ$1005,1,MATCH(COLUMNS($AB$1006:AG1006),$AB$1006:$AQ$1006,0))&gt;=100000), " ",IF(INDEX($AB$2:$AQ$1001,MATCH(ROWS($U$2:U890),$U$2:$U$1001,0),MATCH(COLUMNS($AB$1006:AG1006),$AB$1006:$AQ$1006,0)), HYPERLINK("#",""), HYPERLINK(CONCATENATE("#Metadata!", ADDRESS(INDEX($W$2:$W$1001,MATCH(ROWS($U$2:U890),$U$2:$U$1001,0),0), INDEX($AB$1004:$AQ$1004,1,MATCH(COLUMNS($AB$1006:AG1006),$AB$1006:$AQ$1006,0)))),"Fix")))</f>
        <v>0</v>
      </c>
      <c r="H890" s="5">
        <f>IF(OR(INDEX($V$2:$V$1001,MATCH(ROWS($U$2:U890),$U$2:$U$1001,0),1)&gt;=100000,INDEX($AB$1005:$AQ$1005,1,MATCH(COLUMNS($AB$1006:AH1006),$AB$1006:$AQ$1006,0))&gt;=100000), " ",IF(INDEX($AB$2:$AQ$1001,MATCH(ROWS($U$2:U890),$U$2:$U$1001,0),MATCH(COLUMNS($AB$1006:AH1006),$AB$1006:$AQ$1006,0)), HYPERLINK("#",""), HYPERLINK(CONCATENATE("#Metadata!", ADDRESS(INDEX($W$2:$W$1001,MATCH(ROWS($U$2:U890),$U$2:$U$1001,0),0), INDEX($AB$1004:$AQ$1004,1,MATCH(COLUMNS($AB$1006:AH1006),$AB$1006:$AQ$1006,0)))),"Fix")))</f>
        <v>0</v>
      </c>
      <c r="I890" s="5">
        <f>IF(OR(INDEX($V$2:$V$1001,MATCH(ROWS($U$2:U890),$U$2:$U$1001,0),1)&gt;=100000,INDEX($AB$1005:$AQ$1005,1,MATCH(COLUMNS($AB$1006:AI1006),$AB$1006:$AQ$1006,0))&gt;=100000), " ",IF(INDEX($AB$2:$AQ$1001,MATCH(ROWS($U$2:U890),$U$2:$U$1001,0),MATCH(COLUMNS($AB$1006:AI1006),$AB$1006:$AQ$1006,0)), HYPERLINK("#",""), HYPERLINK(CONCATENATE("#Metadata!", ADDRESS(INDEX($W$2:$W$1001,MATCH(ROWS($U$2:U890),$U$2:$U$1001,0),0), INDEX($AB$1004:$AQ$1004,1,MATCH(COLUMNS($AB$1006:AI1006),$AB$1006:$AQ$1006,0)))),"Fix")))</f>
        <v>0</v>
      </c>
      <c r="J890" s="5">
        <f>IF(OR(INDEX($V$2:$V$1001,MATCH(ROWS($U$2:U890),$U$2:$U$1001,0),1)&gt;=100000,INDEX($AB$1005:$AQ$1005,1,MATCH(COLUMNS($AB$1006:AJ1006),$AB$1006:$AQ$1006,0))&gt;=100000), " ",IF(INDEX($AB$2:$AQ$1001,MATCH(ROWS($U$2:U890),$U$2:$U$1001,0),MATCH(COLUMNS($AB$1006:AJ1006),$AB$1006:$AQ$1006,0)), HYPERLINK("#",""), HYPERLINK(CONCATENATE("#Metadata!", ADDRESS(INDEX($W$2:$W$1001,MATCH(ROWS($U$2:U890),$U$2:$U$1001,0),0), INDEX($AB$1004:$AQ$1004,1,MATCH(COLUMNS($AB$1006:AJ1006),$AB$1006:$AQ$1006,0)))),"Fix")))</f>
        <v>0</v>
      </c>
      <c r="K890" s="5">
        <f>IF(OR(INDEX($V$2:$V$1001,MATCH(ROWS($U$2:U890),$U$2:$U$1001,0),1)&gt;=100000,INDEX($AB$1005:$AQ$1005,1,MATCH(COLUMNS($AB$1006:AK1006),$AB$1006:$AQ$1006,0))&gt;=100000), " ",IF(INDEX($AB$2:$AQ$1001,MATCH(ROWS($U$2:U890),$U$2:$U$1001,0),MATCH(COLUMNS($AB$1006:AK1006),$AB$1006:$AQ$1006,0)), HYPERLINK("#",""), HYPERLINK(CONCATENATE("#Metadata!", ADDRESS(INDEX($W$2:$W$1001,MATCH(ROWS($U$2:U890),$U$2:$U$1001,0),0), INDEX($AB$1004:$AQ$1004,1,MATCH(COLUMNS($AB$1006:AK1006),$AB$1006:$AQ$1006,0)))),"Fix")))</f>
        <v>0</v>
      </c>
      <c r="L890" s="5">
        <f>IF(OR(INDEX($V$2:$V$1001,MATCH(ROWS($U$2:U890),$U$2:$U$1001,0),1)&gt;=100000,INDEX($AB$1005:$AQ$1005,1,MATCH(COLUMNS($AB$1006:AL1006),$AB$1006:$AQ$1006,0))&gt;=100000), " ",IF(INDEX($AB$2:$AQ$1001,MATCH(ROWS($U$2:U890),$U$2:$U$1001,0),MATCH(COLUMNS($AB$1006:AL1006),$AB$1006:$AQ$1006,0)), HYPERLINK("#",""), HYPERLINK(CONCATENATE("#Metadata!", ADDRESS(INDEX($W$2:$W$1001,MATCH(ROWS($U$2:U890),$U$2:$U$1001,0),0), INDEX($AB$1004:$AQ$1004,1,MATCH(COLUMNS($AB$1006:AL1006),$AB$1006:$AQ$1006,0)))),"Fix")))</f>
        <v>0</v>
      </c>
      <c r="M890" s="5">
        <f>IF(OR(INDEX($V$2:$V$1001,MATCH(ROWS($U$2:U890),$U$2:$U$1001,0),1)&gt;=100000,INDEX($AB$1005:$AQ$1005,1,MATCH(COLUMNS($AB$1006:AM1006),$AB$1006:$AQ$1006,0))&gt;=100000), " ",IF(INDEX($AB$2:$AQ$1001,MATCH(ROWS($U$2:U890),$U$2:$U$1001,0),MATCH(COLUMNS($AB$1006:AM1006),$AB$1006:$AQ$1006,0)), HYPERLINK("#",""), HYPERLINK(CONCATENATE("#Metadata!", ADDRESS(INDEX($W$2:$W$1001,MATCH(ROWS($U$2:U890),$U$2:$U$1001,0),0), INDEX($AB$1004:$AQ$1004,1,MATCH(COLUMNS($AB$1006:AM1006),$AB$1006:$AQ$1006,0)))),"Fix")))</f>
        <v>0</v>
      </c>
      <c r="N890" s="5">
        <f>IF(OR(INDEX($V$2:$V$1001,MATCH(ROWS($U$2:U890),$U$2:$U$1001,0),1)&gt;=100000,INDEX($AB$1005:$AQ$1005,1,MATCH(COLUMNS($AB$1006:AN1006),$AB$1006:$AQ$1006,0))&gt;=100000), " ",IF(INDEX($AB$2:$AQ$1001,MATCH(ROWS($U$2:U890),$U$2:$U$1001,0),MATCH(COLUMNS($AB$1006:AN1006),$AB$1006:$AQ$1006,0)), HYPERLINK("#",""), HYPERLINK(CONCATENATE("#Metadata!", ADDRESS(INDEX($W$2:$W$1001,MATCH(ROWS($U$2:U890),$U$2:$U$1001,0),0), INDEX($AB$1004:$AQ$1004,1,MATCH(COLUMNS($AB$1006:AN1006),$AB$1006:$AQ$1006,0)))),"Fix")))</f>
        <v>0</v>
      </c>
      <c r="O890" s="5">
        <f>IF(OR(INDEX($V$2:$V$1001,MATCH(ROWS($U$2:U890),$U$2:$U$1001,0),1)&gt;=100000,INDEX($AB$1005:$AQ$1005,1,MATCH(COLUMNS($AB$1006:AO1006),$AB$1006:$AQ$1006,0))&gt;=100000), " ",IF(INDEX($AB$2:$AQ$1001,MATCH(ROWS($U$2:U890),$U$2:$U$1001,0),MATCH(COLUMNS($AB$1006:AO1006),$AB$1006:$AQ$1006,0)), HYPERLINK("#",""), HYPERLINK(CONCATENATE("#Metadata!", ADDRESS(INDEX($W$2:$W$1001,MATCH(ROWS($U$2:U890),$U$2:$U$1001,0),0), INDEX($AB$1004:$AQ$1004,1,MATCH(COLUMNS($AB$1006:AO1006),$AB$1006:$AQ$1006,0)))),"Fix")))</f>
        <v>0</v>
      </c>
      <c r="P890" s="5">
        <f>IF(OR(INDEX($V$2:$V$1001,MATCH(ROWS($U$2:U890),$U$2:$U$1001,0),1)&gt;=100000,INDEX($AB$1005:$AQ$1005,1,MATCH(COLUMNS($AB$1006:AP1006),$AB$1006:$AQ$1006,0))&gt;=100000), " ",IF(INDEX($AB$2:$AQ$1001,MATCH(ROWS($U$2:U890),$U$2:$U$1001,0),MATCH(COLUMNS($AB$1006:AP1006),$AB$1006:$AQ$1006,0)), HYPERLINK("#",""), HYPERLINK(CONCATENATE("#Metadata!", ADDRESS(INDEX($W$2:$W$1001,MATCH(ROWS($U$2:U890),$U$2:$U$1001,0),0), INDEX($AB$1004:$AQ$1004,1,MATCH(COLUMNS($AB$1006:AP1006),$AB$1006:$AQ$1006,0)))),"Fix")))</f>
        <v>0</v>
      </c>
      <c r="Q890" s="5">
        <f>IF(OR(INDEX($V$2:$V$1001,MATCH(ROWS($U$2:U890),$U$2:$U$1001,0),1)&gt;=100000,INDEX($AB$1005:$AQ$1005,1,MATCH(COLUMNS($AB$1006:AQ1006),$AB$1006:$AQ$1006,0))&gt;=100000), " ",IF(INDEX($AB$2:$AQ$1001,MATCH(ROWS($U$2:U890),$U$2:$U$1001,0),MATCH(COLUMNS($AB$1006:AQ1006),$AB$1006:$AQ$1006,0)), HYPERLINK("#",""), HYPERLINK(CONCATENATE("#Metadata!", ADDRESS(INDEX($W$2:$W$1001,MATCH(ROWS($U$2:U890),$U$2:$U$1001,0),0), INDEX($AB$1004:$AQ$1004,1,MATCH(COLUMNS($AB$1006:AQ1006),$AB$1006:$AQ$1006,0)))),"Fix")))</f>
        <v>0</v>
      </c>
      <c r="U890">
        <v>0</v>
      </c>
      <c r="V890">
        <v>0</v>
      </c>
      <c r="W890">
        <v>0</v>
      </c>
      <c r="X890">
        <f>IF(Y890,TRUE,AND(AB890:AQ890))</f>
        <v>0</v>
      </c>
      <c r="Y890">
        <f>COUNTBLANK(Metadata!B890:Q890)=COLUMNS(Metadata!B890:Q890)</f>
        <v>0</v>
      </c>
      <c r="Z890">
        <v>0</v>
      </c>
      <c r="AB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AC890">
        <f>AND(IF(Metadata!C890="",FALSE,TRUE),exact(Metadata!C890,"urban biome"))</f>
        <v>0</v>
      </c>
      <c r="AD890">
        <f>AND(IF(Metadata!D890="",FALSE,TRUE),exact(Metadata!D890,"human-associated habitat"))</f>
        <v>0</v>
      </c>
      <c r="AE890">
        <f>AND(IF(Metadata!E890="",FALSE,TRUE),OR(exact(Metadata!E890,"human-associated"),exact(Metadata!E890,"human-skin"),exact(Metadata!E890,"human-oral"),exact(Metadata!E890,"human-gut"),exact(Metadata!E890,"human-vaginal")))</f>
        <v>0</v>
      </c>
      <c r="AF890">
        <f>AND(IF(Metadata!F890="",FALSE,ISNUMBER(VALUE(Metadata!F890))),Metadata!F890&gt;0)</f>
        <v>0</v>
      </c>
      <c r="AG890">
        <f>AND(IF(Metadata!G890="",FALSE,TRUE),exact(Metadata!G890,"years"))</f>
        <v>0</v>
      </c>
      <c r="AH890">
        <f>OR(AND(IF(Metadata!H890="",FALSE,TRUE),OR(exact(Metadata!H890,"not applicable"),exact(Metadata!H890,"not collected"),exact(Metadata!H890,"not provided"),exact(Metadata!H890,"restricted access"))),AND(IF(Metadata!H890="",FALSE,ISNUMBER(VALUE(Metadata!H890))),Metadata!H890&gt;0))</f>
        <v>0</v>
      </c>
      <c r="AI890">
        <f>AND(IF(Metadata!I890="",FALSE,TRUE),exact(Metadata!I890,"human"))</f>
        <v>0</v>
      </c>
      <c r="AJ890">
        <f>AND(IF(Metadata!J890="",FALSE,ISNUMBER(VALUE(Metadata!J890))),Metadata!J890&gt;0)</f>
        <v>0</v>
      </c>
      <c r="AK890">
        <f>AND(IF(Metadata!K890="",FALSE,TRUE),exact(Metadata!K890,"cm"))</f>
        <v>0</v>
      </c>
      <c r="AL890">
        <f>AND(IF(Metadata!L890="",FALSE,TRUE),exact(Metadata!L890,"Homo sapiens"))</f>
        <v>0</v>
      </c>
      <c r="AM890">
        <f>AND(IF(Metadata!M890="",FALSE,TRUE),exact(Metadata!M890,"9606"))</f>
        <v>0</v>
      </c>
      <c r="AN890">
        <f>AND(IF(Metadata!N890="",FALSE,ISNUMBER(VALUE(Metadata!N890))),Metadata!N890&gt;0)</f>
        <v>0</v>
      </c>
      <c r="AO890">
        <f>AND(IF(Metadata!O890="",FALSE,TRUE),exact(Metadata!O890,"kg"))</f>
        <v>0</v>
      </c>
      <c r="AP890">
        <f>OR(AND(IF(Metadata!P890="",FALSE,TRUE),exact(Metadata!P890,"not provided")),IF(Metadata!P890="",FALSE,TRUE))</f>
        <v>0</v>
      </c>
      <c r="AQ890">
        <f>OR(AND(IF(Metadata!Q890="",FALSE,TRUE),exact(Metadata!Q890,"not provided")),IF(Metadata!Q890="",FALSE,TRUE))</f>
        <v>0</v>
      </c>
    </row>
    <row r="891" spans="1:43">
      <c r="A891" s="4">
        <f>IF(B891=" "," ",HYPERLINK(CONCATENATE("#metadata!",ADDRESS(INDEX($W$2:$W$1001,MATCH(ROWS($U$2:U891),$U$2:$U$1001,0),0),2)),INDEX($Z$2:$Z$1001,MATCH(ROWS($U$2:U891),$U$2:$U$1001,0),0)))</f>
        <v>0</v>
      </c>
      <c r="B891" s="5">
        <f>IF(OR(INDEX($V$2:$V$1001,MATCH(ROWS($U$2:U891),$U$2:$U$1001,0),1)&gt;=100000,INDEX($AB$1005:$AQ$1005,1,MATCH(COLUMNS($AB$1006:AB1006),$AB$1006:$AQ$1006,0))&gt;=100000), " ",IF(INDEX($AB$2:$AQ$1001,MATCH(ROWS($U$2:U891),$U$2:$U$1001,0),MATCH(COLUMNS($AB$1006:AB1006),$AB$1006:$AQ$1006,0)), HYPERLINK("#",""), HYPERLINK(CONCATENATE("#Metadata!", ADDRESS(INDEX($W$2:$W$1001,MATCH(ROWS($U$2:U891),$U$2:$U$1001,0),0), INDEX($AB$1004:$AQ$1004,1,MATCH(COLUMNS($AB$1006:AB1006),$AB$1006:$AQ$1006,0)))),"Fix")))</f>
        <v>0</v>
      </c>
      <c r="C891" s="5">
        <f>IF(OR(INDEX($V$2:$V$1001,MATCH(ROWS($U$2:U891),$U$2:$U$1001,0),1)&gt;=100000,INDEX($AB$1005:$AQ$1005,1,MATCH(COLUMNS($AB$1006:AC1006),$AB$1006:$AQ$1006,0))&gt;=100000), " ",IF(INDEX($AB$2:$AQ$1001,MATCH(ROWS($U$2:U891),$U$2:$U$1001,0),MATCH(COLUMNS($AB$1006:AC1006),$AB$1006:$AQ$1006,0)), HYPERLINK("#",""), HYPERLINK(CONCATENATE("#Metadata!", ADDRESS(INDEX($W$2:$W$1001,MATCH(ROWS($U$2:U891),$U$2:$U$1001,0),0), INDEX($AB$1004:$AQ$1004,1,MATCH(COLUMNS($AB$1006:AC1006),$AB$1006:$AQ$1006,0)))),"Fix")))</f>
        <v>0</v>
      </c>
      <c r="D891" s="5">
        <f>IF(OR(INDEX($V$2:$V$1001,MATCH(ROWS($U$2:U891),$U$2:$U$1001,0),1)&gt;=100000,INDEX($AB$1005:$AQ$1005,1,MATCH(COLUMNS($AB$1006:AD1006),$AB$1006:$AQ$1006,0))&gt;=100000), " ",IF(INDEX($AB$2:$AQ$1001,MATCH(ROWS($U$2:U891),$U$2:$U$1001,0),MATCH(COLUMNS($AB$1006:AD1006),$AB$1006:$AQ$1006,0)), HYPERLINK("#",""), HYPERLINK(CONCATENATE("#Metadata!", ADDRESS(INDEX($W$2:$W$1001,MATCH(ROWS($U$2:U891),$U$2:$U$1001,0),0), INDEX($AB$1004:$AQ$1004,1,MATCH(COLUMNS($AB$1006:AD1006),$AB$1006:$AQ$1006,0)))),"Fix")))</f>
        <v>0</v>
      </c>
      <c r="E891" s="5">
        <f>IF(OR(INDEX($V$2:$V$1001,MATCH(ROWS($U$2:U891),$U$2:$U$1001,0),1)&gt;=100000,INDEX($AB$1005:$AQ$1005,1,MATCH(COLUMNS($AB$1006:AE1006),$AB$1006:$AQ$1006,0))&gt;=100000), " ",IF(INDEX($AB$2:$AQ$1001,MATCH(ROWS($U$2:U891),$U$2:$U$1001,0),MATCH(COLUMNS($AB$1006:AE1006),$AB$1006:$AQ$1006,0)), HYPERLINK("#",""), HYPERLINK(CONCATENATE("#Metadata!", ADDRESS(INDEX($W$2:$W$1001,MATCH(ROWS($U$2:U891),$U$2:$U$1001,0),0), INDEX($AB$1004:$AQ$1004,1,MATCH(COLUMNS($AB$1006:AE1006),$AB$1006:$AQ$1006,0)))),"Fix")))</f>
        <v>0</v>
      </c>
      <c r="F891" s="5">
        <f>IF(OR(INDEX($V$2:$V$1001,MATCH(ROWS($U$2:U891),$U$2:$U$1001,0),1)&gt;=100000,INDEX($AB$1005:$AQ$1005,1,MATCH(COLUMNS($AB$1006:AF1006),$AB$1006:$AQ$1006,0))&gt;=100000), " ",IF(INDEX($AB$2:$AQ$1001,MATCH(ROWS($U$2:U891),$U$2:$U$1001,0),MATCH(COLUMNS($AB$1006:AF1006),$AB$1006:$AQ$1006,0)), HYPERLINK("#",""), HYPERLINK(CONCATENATE("#Metadata!", ADDRESS(INDEX($W$2:$W$1001,MATCH(ROWS($U$2:U891),$U$2:$U$1001,0),0), INDEX($AB$1004:$AQ$1004,1,MATCH(COLUMNS($AB$1006:AF1006),$AB$1006:$AQ$1006,0)))),"Fix")))</f>
        <v>0</v>
      </c>
      <c r="G891" s="5">
        <f>IF(OR(INDEX($V$2:$V$1001,MATCH(ROWS($U$2:U891),$U$2:$U$1001,0),1)&gt;=100000,INDEX($AB$1005:$AQ$1005,1,MATCH(COLUMNS($AB$1006:AG1006),$AB$1006:$AQ$1006,0))&gt;=100000), " ",IF(INDEX($AB$2:$AQ$1001,MATCH(ROWS($U$2:U891),$U$2:$U$1001,0),MATCH(COLUMNS($AB$1006:AG1006),$AB$1006:$AQ$1006,0)), HYPERLINK("#",""), HYPERLINK(CONCATENATE("#Metadata!", ADDRESS(INDEX($W$2:$W$1001,MATCH(ROWS($U$2:U891),$U$2:$U$1001,0),0), INDEX($AB$1004:$AQ$1004,1,MATCH(COLUMNS($AB$1006:AG1006),$AB$1006:$AQ$1006,0)))),"Fix")))</f>
        <v>0</v>
      </c>
      <c r="H891" s="5">
        <f>IF(OR(INDEX($V$2:$V$1001,MATCH(ROWS($U$2:U891),$U$2:$U$1001,0),1)&gt;=100000,INDEX($AB$1005:$AQ$1005,1,MATCH(COLUMNS($AB$1006:AH1006),$AB$1006:$AQ$1006,0))&gt;=100000), " ",IF(INDEX($AB$2:$AQ$1001,MATCH(ROWS($U$2:U891),$U$2:$U$1001,0),MATCH(COLUMNS($AB$1006:AH1006),$AB$1006:$AQ$1006,0)), HYPERLINK("#",""), HYPERLINK(CONCATENATE("#Metadata!", ADDRESS(INDEX($W$2:$W$1001,MATCH(ROWS($U$2:U891),$U$2:$U$1001,0),0), INDEX($AB$1004:$AQ$1004,1,MATCH(COLUMNS($AB$1006:AH1006),$AB$1006:$AQ$1006,0)))),"Fix")))</f>
        <v>0</v>
      </c>
      <c r="I891" s="5">
        <f>IF(OR(INDEX($V$2:$V$1001,MATCH(ROWS($U$2:U891),$U$2:$U$1001,0),1)&gt;=100000,INDEX($AB$1005:$AQ$1005,1,MATCH(COLUMNS($AB$1006:AI1006),$AB$1006:$AQ$1006,0))&gt;=100000), " ",IF(INDEX($AB$2:$AQ$1001,MATCH(ROWS($U$2:U891),$U$2:$U$1001,0),MATCH(COLUMNS($AB$1006:AI1006),$AB$1006:$AQ$1006,0)), HYPERLINK("#",""), HYPERLINK(CONCATENATE("#Metadata!", ADDRESS(INDEX($W$2:$W$1001,MATCH(ROWS($U$2:U891),$U$2:$U$1001,0),0), INDEX($AB$1004:$AQ$1004,1,MATCH(COLUMNS($AB$1006:AI1006),$AB$1006:$AQ$1006,0)))),"Fix")))</f>
        <v>0</v>
      </c>
      <c r="J891" s="5">
        <f>IF(OR(INDEX($V$2:$V$1001,MATCH(ROWS($U$2:U891),$U$2:$U$1001,0),1)&gt;=100000,INDEX($AB$1005:$AQ$1005,1,MATCH(COLUMNS($AB$1006:AJ1006),$AB$1006:$AQ$1006,0))&gt;=100000), " ",IF(INDEX($AB$2:$AQ$1001,MATCH(ROWS($U$2:U891),$U$2:$U$1001,0),MATCH(COLUMNS($AB$1006:AJ1006),$AB$1006:$AQ$1006,0)), HYPERLINK("#",""), HYPERLINK(CONCATENATE("#Metadata!", ADDRESS(INDEX($W$2:$W$1001,MATCH(ROWS($U$2:U891),$U$2:$U$1001,0),0), INDEX($AB$1004:$AQ$1004,1,MATCH(COLUMNS($AB$1006:AJ1006),$AB$1006:$AQ$1006,0)))),"Fix")))</f>
        <v>0</v>
      </c>
      <c r="K891" s="5">
        <f>IF(OR(INDEX($V$2:$V$1001,MATCH(ROWS($U$2:U891),$U$2:$U$1001,0),1)&gt;=100000,INDEX($AB$1005:$AQ$1005,1,MATCH(COLUMNS($AB$1006:AK1006),$AB$1006:$AQ$1006,0))&gt;=100000), " ",IF(INDEX($AB$2:$AQ$1001,MATCH(ROWS($U$2:U891),$U$2:$U$1001,0),MATCH(COLUMNS($AB$1006:AK1006),$AB$1006:$AQ$1006,0)), HYPERLINK("#",""), HYPERLINK(CONCATENATE("#Metadata!", ADDRESS(INDEX($W$2:$W$1001,MATCH(ROWS($U$2:U891),$U$2:$U$1001,0),0), INDEX($AB$1004:$AQ$1004,1,MATCH(COLUMNS($AB$1006:AK1006),$AB$1006:$AQ$1006,0)))),"Fix")))</f>
        <v>0</v>
      </c>
      <c r="L891" s="5">
        <f>IF(OR(INDEX($V$2:$V$1001,MATCH(ROWS($U$2:U891),$U$2:$U$1001,0),1)&gt;=100000,INDEX($AB$1005:$AQ$1005,1,MATCH(COLUMNS($AB$1006:AL1006),$AB$1006:$AQ$1006,0))&gt;=100000), " ",IF(INDEX($AB$2:$AQ$1001,MATCH(ROWS($U$2:U891),$U$2:$U$1001,0),MATCH(COLUMNS($AB$1006:AL1006),$AB$1006:$AQ$1006,0)), HYPERLINK("#",""), HYPERLINK(CONCATENATE("#Metadata!", ADDRESS(INDEX($W$2:$W$1001,MATCH(ROWS($U$2:U891),$U$2:$U$1001,0),0), INDEX($AB$1004:$AQ$1004,1,MATCH(COLUMNS($AB$1006:AL1006),$AB$1006:$AQ$1006,0)))),"Fix")))</f>
        <v>0</v>
      </c>
      <c r="M891" s="5">
        <f>IF(OR(INDEX($V$2:$V$1001,MATCH(ROWS($U$2:U891),$U$2:$U$1001,0),1)&gt;=100000,INDEX($AB$1005:$AQ$1005,1,MATCH(COLUMNS($AB$1006:AM1006),$AB$1006:$AQ$1006,0))&gt;=100000), " ",IF(INDEX($AB$2:$AQ$1001,MATCH(ROWS($U$2:U891),$U$2:$U$1001,0),MATCH(COLUMNS($AB$1006:AM1006),$AB$1006:$AQ$1006,0)), HYPERLINK("#",""), HYPERLINK(CONCATENATE("#Metadata!", ADDRESS(INDEX($W$2:$W$1001,MATCH(ROWS($U$2:U891),$U$2:$U$1001,0),0), INDEX($AB$1004:$AQ$1004,1,MATCH(COLUMNS($AB$1006:AM1006),$AB$1006:$AQ$1006,0)))),"Fix")))</f>
        <v>0</v>
      </c>
      <c r="N891" s="5">
        <f>IF(OR(INDEX($V$2:$V$1001,MATCH(ROWS($U$2:U891),$U$2:$U$1001,0),1)&gt;=100000,INDEX($AB$1005:$AQ$1005,1,MATCH(COLUMNS($AB$1006:AN1006),$AB$1006:$AQ$1006,0))&gt;=100000), " ",IF(INDEX($AB$2:$AQ$1001,MATCH(ROWS($U$2:U891),$U$2:$U$1001,0),MATCH(COLUMNS($AB$1006:AN1006),$AB$1006:$AQ$1006,0)), HYPERLINK("#",""), HYPERLINK(CONCATENATE("#Metadata!", ADDRESS(INDEX($W$2:$W$1001,MATCH(ROWS($U$2:U891),$U$2:$U$1001,0),0), INDEX($AB$1004:$AQ$1004,1,MATCH(COLUMNS($AB$1006:AN1006),$AB$1006:$AQ$1006,0)))),"Fix")))</f>
        <v>0</v>
      </c>
      <c r="O891" s="5">
        <f>IF(OR(INDEX($V$2:$V$1001,MATCH(ROWS($U$2:U891),$U$2:$U$1001,0),1)&gt;=100000,INDEX($AB$1005:$AQ$1005,1,MATCH(COLUMNS($AB$1006:AO1006),$AB$1006:$AQ$1006,0))&gt;=100000), " ",IF(INDEX($AB$2:$AQ$1001,MATCH(ROWS($U$2:U891),$U$2:$U$1001,0),MATCH(COLUMNS($AB$1006:AO1006),$AB$1006:$AQ$1006,0)), HYPERLINK("#",""), HYPERLINK(CONCATENATE("#Metadata!", ADDRESS(INDEX($W$2:$W$1001,MATCH(ROWS($U$2:U891),$U$2:$U$1001,0),0), INDEX($AB$1004:$AQ$1004,1,MATCH(COLUMNS($AB$1006:AO1006),$AB$1006:$AQ$1006,0)))),"Fix")))</f>
        <v>0</v>
      </c>
      <c r="P891" s="5">
        <f>IF(OR(INDEX($V$2:$V$1001,MATCH(ROWS($U$2:U891),$U$2:$U$1001,0),1)&gt;=100000,INDEX($AB$1005:$AQ$1005,1,MATCH(COLUMNS($AB$1006:AP1006),$AB$1006:$AQ$1006,0))&gt;=100000), " ",IF(INDEX($AB$2:$AQ$1001,MATCH(ROWS($U$2:U891),$U$2:$U$1001,0),MATCH(COLUMNS($AB$1006:AP1006),$AB$1006:$AQ$1006,0)), HYPERLINK("#",""), HYPERLINK(CONCATENATE("#Metadata!", ADDRESS(INDEX($W$2:$W$1001,MATCH(ROWS($U$2:U891),$U$2:$U$1001,0),0), INDEX($AB$1004:$AQ$1004,1,MATCH(COLUMNS($AB$1006:AP1006),$AB$1006:$AQ$1006,0)))),"Fix")))</f>
        <v>0</v>
      </c>
      <c r="Q891" s="5">
        <f>IF(OR(INDEX($V$2:$V$1001,MATCH(ROWS($U$2:U891),$U$2:$U$1001,0),1)&gt;=100000,INDEX($AB$1005:$AQ$1005,1,MATCH(COLUMNS($AB$1006:AQ1006),$AB$1006:$AQ$1006,0))&gt;=100000), " ",IF(INDEX($AB$2:$AQ$1001,MATCH(ROWS($U$2:U891),$U$2:$U$1001,0),MATCH(COLUMNS($AB$1006:AQ1006),$AB$1006:$AQ$1006,0)), HYPERLINK("#",""), HYPERLINK(CONCATENATE("#Metadata!", ADDRESS(INDEX($W$2:$W$1001,MATCH(ROWS($U$2:U891),$U$2:$U$1001,0),0), INDEX($AB$1004:$AQ$1004,1,MATCH(COLUMNS($AB$1006:AQ1006),$AB$1006:$AQ$1006,0)))),"Fix")))</f>
        <v>0</v>
      </c>
      <c r="U891">
        <v>0</v>
      </c>
      <c r="V891">
        <v>0</v>
      </c>
      <c r="W891">
        <v>0</v>
      </c>
      <c r="X891">
        <f>IF(Y891,TRUE,AND(AB891:AQ891))</f>
        <v>0</v>
      </c>
      <c r="Y891">
        <f>COUNTBLANK(Metadata!B891:Q891)=COLUMNS(Metadata!B891:Q891)</f>
        <v>0</v>
      </c>
      <c r="Z891">
        <v>0</v>
      </c>
      <c r="AB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AC891">
        <f>AND(IF(Metadata!C891="",FALSE,TRUE),exact(Metadata!C891,"urban biome"))</f>
        <v>0</v>
      </c>
      <c r="AD891">
        <f>AND(IF(Metadata!D891="",FALSE,TRUE),exact(Metadata!D891,"human-associated habitat"))</f>
        <v>0</v>
      </c>
      <c r="AE891">
        <f>AND(IF(Metadata!E891="",FALSE,TRUE),OR(exact(Metadata!E891,"human-associated"),exact(Metadata!E891,"human-skin"),exact(Metadata!E891,"human-oral"),exact(Metadata!E891,"human-gut"),exact(Metadata!E891,"human-vaginal")))</f>
        <v>0</v>
      </c>
      <c r="AF891">
        <f>AND(IF(Metadata!F891="",FALSE,ISNUMBER(VALUE(Metadata!F891))),Metadata!F891&gt;0)</f>
        <v>0</v>
      </c>
      <c r="AG891">
        <f>AND(IF(Metadata!G891="",FALSE,TRUE),exact(Metadata!G891,"years"))</f>
        <v>0</v>
      </c>
      <c r="AH891">
        <f>OR(AND(IF(Metadata!H891="",FALSE,TRUE),OR(exact(Metadata!H891,"not applicable"),exact(Metadata!H891,"not collected"),exact(Metadata!H891,"not provided"),exact(Metadata!H891,"restricted access"))),AND(IF(Metadata!H891="",FALSE,ISNUMBER(VALUE(Metadata!H891))),Metadata!H891&gt;0))</f>
        <v>0</v>
      </c>
      <c r="AI891">
        <f>AND(IF(Metadata!I891="",FALSE,TRUE),exact(Metadata!I891,"human"))</f>
        <v>0</v>
      </c>
      <c r="AJ891">
        <f>AND(IF(Metadata!J891="",FALSE,ISNUMBER(VALUE(Metadata!J891))),Metadata!J891&gt;0)</f>
        <v>0</v>
      </c>
      <c r="AK891">
        <f>AND(IF(Metadata!K891="",FALSE,TRUE),exact(Metadata!K891,"cm"))</f>
        <v>0</v>
      </c>
      <c r="AL891">
        <f>AND(IF(Metadata!L891="",FALSE,TRUE),exact(Metadata!L891,"Homo sapiens"))</f>
        <v>0</v>
      </c>
      <c r="AM891">
        <f>AND(IF(Metadata!M891="",FALSE,TRUE),exact(Metadata!M891,"9606"))</f>
        <v>0</v>
      </c>
      <c r="AN891">
        <f>AND(IF(Metadata!N891="",FALSE,ISNUMBER(VALUE(Metadata!N891))),Metadata!N891&gt;0)</f>
        <v>0</v>
      </c>
      <c r="AO891">
        <f>AND(IF(Metadata!O891="",FALSE,TRUE),exact(Metadata!O891,"kg"))</f>
        <v>0</v>
      </c>
      <c r="AP891">
        <f>OR(AND(IF(Metadata!P891="",FALSE,TRUE),exact(Metadata!P891,"not provided")),IF(Metadata!P891="",FALSE,TRUE))</f>
        <v>0</v>
      </c>
      <c r="AQ891">
        <f>OR(AND(IF(Metadata!Q891="",FALSE,TRUE),exact(Metadata!Q891,"not provided")),IF(Metadata!Q891="",FALSE,TRUE))</f>
        <v>0</v>
      </c>
    </row>
    <row r="892" spans="1:43">
      <c r="A892" s="4">
        <f>IF(B892=" "," ",HYPERLINK(CONCATENATE("#metadata!",ADDRESS(INDEX($W$2:$W$1001,MATCH(ROWS($U$2:U892),$U$2:$U$1001,0),0),2)),INDEX($Z$2:$Z$1001,MATCH(ROWS($U$2:U892),$U$2:$U$1001,0),0)))</f>
        <v>0</v>
      </c>
      <c r="B892" s="5">
        <f>IF(OR(INDEX($V$2:$V$1001,MATCH(ROWS($U$2:U892),$U$2:$U$1001,0),1)&gt;=100000,INDEX($AB$1005:$AQ$1005,1,MATCH(COLUMNS($AB$1006:AB1006),$AB$1006:$AQ$1006,0))&gt;=100000), " ",IF(INDEX($AB$2:$AQ$1001,MATCH(ROWS($U$2:U892),$U$2:$U$1001,0),MATCH(COLUMNS($AB$1006:AB1006),$AB$1006:$AQ$1006,0)), HYPERLINK("#",""), HYPERLINK(CONCATENATE("#Metadata!", ADDRESS(INDEX($W$2:$W$1001,MATCH(ROWS($U$2:U892),$U$2:$U$1001,0),0), INDEX($AB$1004:$AQ$1004,1,MATCH(COLUMNS($AB$1006:AB1006),$AB$1006:$AQ$1006,0)))),"Fix")))</f>
        <v>0</v>
      </c>
      <c r="C892" s="5">
        <f>IF(OR(INDEX($V$2:$V$1001,MATCH(ROWS($U$2:U892),$U$2:$U$1001,0),1)&gt;=100000,INDEX($AB$1005:$AQ$1005,1,MATCH(COLUMNS($AB$1006:AC1006),$AB$1006:$AQ$1006,0))&gt;=100000), " ",IF(INDEX($AB$2:$AQ$1001,MATCH(ROWS($U$2:U892),$U$2:$U$1001,0),MATCH(COLUMNS($AB$1006:AC1006),$AB$1006:$AQ$1006,0)), HYPERLINK("#",""), HYPERLINK(CONCATENATE("#Metadata!", ADDRESS(INDEX($W$2:$W$1001,MATCH(ROWS($U$2:U892),$U$2:$U$1001,0),0), INDEX($AB$1004:$AQ$1004,1,MATCH(COLUMNS($AB$1006:AC1006),$AB$1006:$AQ$1006,0)))),"Fix")))</f>
        <v>0</v>
      </c>
      <c r="D892" s="5">
        <f>IF(OR(INDEX($V$2:$V$1001,MATCH(ROWS($U$2:U892),$U$2:$U$1001,0),1)&gt;=100000,INDEX($AB$1005:$AQ$1005,1,MATCH(COLUMNS($AB$1006:AD1006),$AB$1006:$AQ$1006,0))&gt;=100000), " ",IF(INDEX($AB$2:$AQ$1001,MATCH(ROWS($U$2:U892),$U$2:$U$1001,0),MATCH(COLUMNS($AB$1006:AD1006),$AB$1006:$AQ$1006,0)), HYPERLINK("#",""), HYPERLINK(CONCATENATE("#Metadata!", ADDRESS(INDEX($W$2:$W$1001,MATCH(ROWS($U$2:U892),$U$2:$U$1001,0),0), INDEX($AB$1004:$AQ$1004,1,MATCH(COLUMNS($AB$1006:AD1006),$AB$1006:$AQ$1006,0)))),"Fix")))</f>
        <v>0</v>
      </c>
      <c r="E892" s="5">
        <f>IF(OR(INDEX($V$2:$V$1001,MATCH(ROWS($U$2:U892),$U$2:$U$1001,0),1)&gt;=100000,INDEX($AB$1005:$AQ$1005,1,MATCH(COLUMNS($AB$1006:AE1006),$AB$1006:$AQ$1006,0))&gt;=100000), " ",IF(INDEX($AB$2:$AQ$1001,MATCH(ROWS($U$2:U892),$U$2:$U$1001,0),MATCH(COLUMNS($AB$1006:AE1006),$AB$1006:$AQ$1006,0)), HYPERLINK("#",""), HYPERLINK(CONCATENATE("#Metadata!", ADDRESS(INDEX($W$2:$W$1001,MATCH(ROWS($U$2:U892),$U$2:$U$1001,0),0), INDEX($AB$1004:$AQ$1004,1,MATCH(COLUMNS($AB$1006:AE1006),$AB$1006:$AQ$1006,0)))),"Fix")))</f>
        <v>0</v>
      </c>
      <c r="F892" s="5">
        <f>IF(OR(INDEX($V$2:$V$1001,MATCH(ROWS($U$2:U892),$U$2:$U$1001,0),1)&gt;=100000,INDEX($AB$1005:$AQ$1005,1,MATCH(COLUMNS($AB$1006:AF1006),$AB$1006:$AQ$1006,0))&gt;=100000), " ",IF(INDEX($AB$2:$AQ$1001,MATCH(ROWS($U$2:U892),$U$2:$U$1001,0),MATCH(COLUMNS($AB$1006:AF1006),$AB$1006:$AQ$1006,0)), HYPERLINK("#",""), HYPERLINK(CONCATENATE("#Metadata!", ADDRESS(INDEX($W$2:$W$1001,MATCH(ROWS($U$2:U892),$U$2:$U$1001,0),0), INDEX($AB$1004:$AQ$1004,1,MATCH(COLUMNS($AB$1006:AF1006),$AB$1006:$AQ$1006,0)))),"Fix")))</f>
        <v>0</v>
      </c>
      <c r="G892" s="5">
        <f>IF(OR(INDEX($V$2:$V$1001,MATCH(ROWS($U$2:U892),$U$2:$U$1001,0),1)&gt;=100000,INDEX($AB$1005:$AQ$1005,1,MATCH(COLUMNS($AB$1006:AG1006),$AB$1006:$AQ$1006,0))&gt;=100000), " ",IF(INDEX($AB$2:$AQ$1001,MATCH(ROWS($U$2:U892),$U$2:$U$1001,0),MATCH(COLUMNS($AB$1006:AG1006),$AB$1006:$AQ$1006,0)), HYPERLINK("#",""), HYPERLINK(CONCATENATE("#Metadata!", ADDRESS(INDEX($W$2:$W$1001,MATCH(ROWS($U$2:U892),$U$2:$U$1001,0),0), INDEX($AB$1004:$AQ$1004,1,MATCH(COLUMNS($AB$1006:AG1006),$AB$1006:$AQ$1006,0)))),"Fix")))</f>
        <v>0</v>
      </c>
      <c r="H892" s="5">
        <f>IF(OR(INDEX($V$2:$V$1001,MATCH(ROWS($U$2:U892),$U$2:$U$1001,0),1)&gt;=100000,INDEX($AB$1005:$AQ$1005,1,MATCH(COLUMNS($AB$1006:AH1006),$AB$1006:$AQ$1006,0))&gt;=100000), " ",IF(INDEX($AB$2:$AQ$1001,MATCH(ROWS($U$2:U892),$U$2:$U$1001,0),MATCH(COLUMNS($AB$1006:AH1006),$AB$1006:$AQ$1006,0)), HYPERLINK("#",""), HYPERLINK(CONCATENATE("#Metadata!", ADDRESS(INDEX($W$2:$W$1001,MATCH(ROWS($U$2:U892),$U$2:$U$1001,0),0), INDEX($AB$1004:$AQ$1004,1,MATCH(COLUMNS($AB$1006:AH1006),$AB$1006:$AQ$1006,0)))),"Fix")))</f>
        <v>0</v>
      </c>
      <c r="I892" s="5">
        <f>IF(OR(INDEX($V$2:$V$1001,MATCH(ROWS($U$2:U892),$U$2:$U$1001,0),1)&gt;=100000,INDEX($AB$1005:$AQ$1005,1,MATCH(COLUMNS($AB$1006:AI1006),$AB$1006:$AQ$1006,0))&gt;=100000), " ",IF(INDEX($AB$2:$AQ$1001,MATCH(ROWS($U$2:U892),$U$2:$U$1001,0),MATCH(COLUMNS($AB$1006:AI1006),$AB$1006:$AQ$1006,0)), HYPERLINK("#",""), HYPERLINK(CONCATENATE("#Metadata!", ADDRESS(INDEX($W$2:$W$1001,MATCH(ROWS($U$2:U892),$U$2:$U$1001,0),0), INDEX($AB$1004:$AQ$1004,1,MATCH(COLUMNS($AB$1006:AI1006),$AB$1006:$AQ$1006,0)))),"Fix")))</f>
        <v>0</v>
      </c>
      <c r="J892" s="5">
        <f>IF(OR(INDEX($V$2:$V$1001,MATCH(ROWS($U$2:U892),$U$2:$U$1001,0),1)&gt;=100000,INDEX($AB$1005:$AQ$1005,1,MATCH(COLUMNS($AB$1006:AJ1006),$AB$1006:$AQ$1006,0))&gt;=100000), " ",IF(INDEX($AB$2:$AQ$1001,MATCH(ROWS($U$2:U892),$U$2:$U$1001,0),MATCH(COLUMNS($AB$1006:AJ1006),$AB$1006:$AQ$1006,0)), HYPERLINK("#",""), HYPERLINK(CONCATENATE("#Metadata!", ADDRESS(INDEX($W$2:$W$1001,MATCH(ROWS($U$2:U892),$U$2:$U$1001,0),0), INDEX($AB$1004:$AQ$1004,1,MATCH(COLUMNS($AB$1006:AJ1006),$AB$1006:$AQ$1006,0)))),"Fix")))</f>
        <v>0</v>
      </c>
      <c r="K892" s="5">
        <f>IF(OR(INDEX($V$2:$V$1001,MATCH(ROWS($U$2:U892),$U$2:$U$1001,0),1)&gt;=100000,INDEX($AB$1005:$AQ$1005,1,MATCH(COLUMNS($AB$1006:AK1006),$AB$1006:$AQ$1006,0))&gt;=100000), " ",IF(INDEX($AB$2:$AQ$1001,MATCH(ROWS($U$2:U892),$U$2:$U$1001,0),MATCH(COLUMNS($AB$1006:AK1006),$AB$1006:$AQ$1006,0)), HYPERLINK("#",""), HYPERLINK(CONCATENATE("#Metadata!", ADDRESS(INDEX($W$2:$W$1001,MATCH(ROWS($U$2:U892),$U$2:$U$1001,0),0), INDEX($AB$1004:$AQ$1004,1,MATCH(COLUMNS($AB$1006:AK1006),$AB$1006:$AQ$1006,0)))),"Fix")))</f>
        <v>0</v>
      </c>
      <c r="L892" s="5">
        <f>IF(OR(INDEX($V$2:$V$1001,MATCH(ROWS($U$2:U892),$U$2:$U$1001,0),1)&gt;=100000,INDEX($AB$1005:$AQ$1005,1,MATCH(COLUMNS($AB$1006:AL1006),$AB$1006:$AQ$1006,0))&gt;=100000), " ",IF(INDEX($AB$2:$AQ$1001,MATCH(ROWS($U$2:U892),$U$2:$U$1001,0),MATCH(COLUMNS($AB$1006:AL1006),$AB$1006:$AQ$1006,0)), HYPERLINK("#",""), HYPERLINK(CONCATENATE("#Metadata!", ADDRESS(INDEX($W$2:$W$1001,MATCH(ROWS($U$2:U892),$U$2:$U$1001,0),0), INDEX($AB$1004:$AQ$1004,1,MATCH(COLUMNS($AB$1006:AL1006),$AB$1006:$AQ$1006,0)))),"Fix")))</f>
        <v>0</v>
      </c>
      <c r="M892" s="5">
        <f>IF(OR(INDEX($V$2:$V$1001,MATCH(ROWS($U$2:U892),$U$2:$U$1001,0),1)&gt;=100000,INDEX($AB$1005:$AQ$1005,1,MATCH(COLUMNS($AB$1006:AM1006),$AB$1006:$AQ$1006,0))&gt;=100000), " ",IF(INDEX($AB$2:$AQ$1001,MATCH(ROWS($U$2:U892),$U$2:$U$1001,0),MATCH(COLUMNS($AB$1006:AM1006),$AB$1006:$AQ$1006,0)), HYPERLINK("#",""), HYPERLINK(CONCATENATE("#Metadata!", ADDRESS(INDEX($W$2:$W$1001,MATCH(ROWS($U$2:U892),$U$2:$U$1001,0),0), INDEX($AB$1004:$AQ$1004,1,MATCH(COLUMNS($AB$1006:AM1006),$AB$1006:$AQ$1006,0)))),"Fix")))</f>
        <v>0</v>
      </c>
      <c r="N892" s="5">
        <f>IF(OR(INDEX($V$2:$V$1001,MATCH(ROWS($U$2:U892),$U$2:$U$1001,0),1)&gt;=100000,INDEX($AB$1005:$AQ$1005,1,MATCH(COLUMNS($AB$1006:AN1006),$AB$1006:$AQ$1006,0))&gt;=100000), " ",IF(INDEX($AB$2:$AQ$1001,MATCH(ROWS($U$2:U892),$U$2:$U$1001,0),MATCH(COLUMNS($AB$1006:AN1006),$AB$1006:$AQ$1006,0)), HYPERLINK("#",""), HYPERLINK(CONCATENATE("#Metadata!", ADDRESS(INDEX($W$2:$W$1001,MATCH(ROWS($U$2:U892),$U$2:$U$1001,0),0), INDEX($AB$1004:$AQ$1004,1,MATCH(COLUMNS($AB$1006:AN1006),$AB$1006:$AQ$1006,0)))),"Fix")))</f>
        <v>0</v>
      </c>
      <c r="O892" s="5">
        <f>IF(OR(INDEX($V$2:$V$1001,MATCH(ROWS($U$2:U892),$U$2:$U$1001,0),1)&gt;=100000,INDEX($AB$1005:$AQ$1005,1,MATCH(COLUMNS($AB$1006:AO1006),$AB$1006:$AQ$1006,0))&gt;=100000), " ",IF(INDEX($AB$2:$AQ$1001,MATCH(ROWS($U$2:U892),$U$2:$U$1001,0),MATCH(COLUMNS($AB$1006:AO1006),$AB$1006:$AQ$1006,0)), HYPERLINK("#",""), HYPERLINK(CONCATENATE("#Metadata!", ADDRESS(INDEX($W$2:$W$1001,MATCH(ROWS($U$2:U892),$U$2:$U$1001,0),0), INDEX($AB$1004:$AQ$1004,1,MATCH(COLUMNS($AB$1006:AO1006),$AB$1006:$AQ$1006,0)))),"Fix")))</f>
        <v>0</v>
      </c>
      <c r="P892" s="5">
        <f>IF(OR(INDEX($V$2:$V$1001,MATCH(ROWS($U$2:U892),$U$2:$U$1001,0),1)&gt;=100000,INDEX($AB$1005:$AQ$1005,1,MATCH(COLUMNS($AB$1006:AP1006),$AB$1006:$AQ$1006,0))&gt;=100000), " ",IF(INDEX($AB$2:$AQ$1001,MATCH(ROWS($U$2:U892),$U$2:$U$1001,0),MATCH(COLUMNS($AB$1006:AP1006),$AB$1006:$AQ$1006,0)), HYPERLINK("#",""), HYPERLINK(CONCATENATE("#Metadata!", ADDRESS(INDEX($W$2:$W$1001,MATCH(ROWS($U$2:U892),$U$2:$U$1001,0),0), INDEX($AB$1004:$AQ$1004,1,MATCH(COLUMNS($AB$1006:AP1006),$AB$1006:$AQ$1006,0)))),"Fix")))</f>
        <v>0</v>
      </c>
      <c r="Q892" s="5">
        <f>IF(OR(INDEX($V$2:$V$1001,MATCH(ROWS($U$2:U892),$U$2:$U$1001,0),1)&gt;=100000,INDEX($AB$1005:$AQ$1005,1,MATCH(COLUMNS($AB$1006:AQ1006),$AB$1006:$AQ$1006,0))&gt;=100000), " ",IF(INDEX($AB$2:$AQ$1001,MATCH(ROWS($U$2:U892),$U$2:$U$1001,0),MATCH(COLUMNS($AB$1006:AQ1006),$AB$1006:$AQ$1006,0)), HYPERLINK("#",""), HYPERLINK(CONCATENATE("#Metadata!", ADDRESS(INDEX($W$2:$W$1001,MATCH(ROWS($U$2:U892),$U$2:$U$1001,0),0), INDEX($AB$1004:$AQ$1004,1,MATCH(COLUMNS($AB$1006:AQ1006),$AB$1006:$AQ$1006,0)))),"Fix")))</f>
        <v>0</v>
      </c>
      <c r="U892">
        <v>0</v>
      </c>
      <c r="V892">
        <v>0</v>
      </c>
      <c r="W892">
        <v>0</v>
      </c>
      <c r="X892">
        <f>IF(Y892,TRUE,AND(AB892:AQ892))</f>
        <v>0</v>
      </c>
      <c r="Y892">
        <f>COUNTBLANK(Metadata!B892:Q892)=COLUMNS(Metadata!B892:Q892)</f>
        <v>0</v>
      </c>
      <c r="Z892">
        <v>0</v>
      </c>
      <c r="AB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AC892">
        <f>AND(IF(Metadata!C892="",FALSE,TRUE),exact(Metadata!C892,"urban biome"))</f>
        <v>0</v>
      </c>
      <c r="AD892">
        <f>AND(IF(Metadata!D892="",FALSE,TRUE),exact(Metadata!D892,"human-associated habitat"))</f>
        <v>0</v>
      </c>
      <c r="AE892">
        <f>AND(IF(Metadata!E892="",FALSE,TRUE),OR(exact(Metadata!E892,"human-associated"),exact(Metadata!E892,"human-skin"),exact(Metadata!E892,"human-oral"),exact(Metadata!E892,"human-gut"),exact(Metadata!E892,"human-vaginal")))</f>
        <v>0</v>
      </c>
      <c r="AF892">
        <f>AND(IF(Metadata!F892="",FALSE,ISNUMBER(VALUE(Metadata!F892))),Metadata!F892&gt;0)</f>
        <v>0</v>
      </c>
      <c r="AG892">
        <f>AND(IF(Metadata!G892="",FALSE,TRUE),exact(Metadata!G892,"years"))</f>
        <v>0</v>
      </c>
      <c r="AH892">
        <f>OR(AND(IF(Metadata!H892="",FALSE,TRUE),OR(exact(Metadata!H892,"not applicable"),exact(Metadata!H892,"not collected"),exact(Metadata!H892,"not provided"),exact(Metadata!H892,"restricted access"))),AND(IF(Metadata!H892="",FALSE,ISNUMBER(VALUE(Metadata!H892))),Metadata!H892&gt;0))</f>
        <v>0</v>
      </c>
      <c r="AI892">
        <f>AND(IF(Metadata!I892="",FALSE,TRUE),exact(Metadata!I892,"human"))</f>
        <v>0</v>
      </c>
      <c r="AJ892">
        <f>AND(IF(Metadata!J892="",FALSE,ISNUMBER(VALUE(Metadata!J892))),Metadata!J892&gt;0)</f>
        <v>0</v>
      </c>
      <c r="AK892">
        <f>AND(IF(Metadata!K892="",FALSE,TRUE),exact(Metadata!K892,"cm"))</f>
        <v>0</v>
      </c>
      <c r="AL892">
        <f>AND(IF(Metadata!L892="",FALSE,TRUE),exact(Metadata!L892,"Homo sapiens"))</f>
        <v>0</v>
      </c>
      <c r="AM892">
        <f>AND(IF(Metadata!M892="",FALSE,TRUE),exact(Metadata!M892,"9606"))</f>
        <v>0</v>
      </c>
      <c r="AN892">
        <f>AND(IF(Metadata!N892="",FALSE,ISNUMBER(VALUE(Metadata!N892))),Metadata!N892&gt;0)</f>
        <v>0</v>
      </c>
      <c r="AO892">
        <f>AND(IF(Metadata!O892="",FALSE,TRUE),exact(Metadata!O892,"kg"))</f>
        <v>0</v>
      </c>
      <c r="AP892">
        <f>OR(AND(IF(Metadata!P892="",FALSE,TRUE),exact(Metadata!P892,"not provided")),IF(Metadata!P892="",FALSE,TRUE))</f>
        <v>0</v>
      </c>
      <c r="AQ892">
        <f>OR(AND(IF(Metadata!Q892="",FALSE,TRUE),exact(Metadata!Q892,"not provided")),IF(Metadata!Q892="",FALSE,TRUE))</f>
        <v>0</v>
      </c>
    </row>
    <row r="893" spans="1:43">
      <c r="A893" s="4">
        <f>IF(B893=" "," ",HYPERLINK(CONCATENATE("#metadata!",ADDRESS(INDEX($W$2:$W$1001,MATCH(ROWS($U$2:U893),$U$2:$U$1001,0),0),2)),INDEX($Z$2:$Z$1001,MATCH(ROWS($U$2:U893),$U$2:$U$1001,0),0)))</f>
        <v>0</v>
      </c>
      <c r="B893" s="5">
        <f>IF(OR(INDEX($V$2:$V$1001,MATCH(ROWS($U$2:U893),$U$2:$U$1001,0),1)&gt;=100000,INDEX($AB$1005:$AQ$1005,1,MATCH(COLUMNS($AB$1006:AB1006),$AB$1006:$AQ$1006,0))&gt;=100000), " ",IF(INDEX($AB$2:$AQ$1001,MATCH(ROWS($U$2:U893),$U$2:$U$1001,0),MATCH(COLUMNS($AB$1006:AB1006),$AB$1006:$AQ$1006,0)), HYPERLINK("#",""), HYPERLINK(CONCATENATE("#Metadata!", ADDRESS(INDEX($W$2:$W$1001,MATCH(ROWS($U$2:U893),$U$2:$U$1001,0),0), INDEX($AB$1004:$AQ$1004,1,MATCH(COLUMNS($AB$1006:AB1006),$AB$1006:$AQ$1006,0)))),"Fix")))</f>
        <v>0</v>
      </c>
      <c r="C893" s="5">
        <f>IF(OR(INDEX($V$2:$V$1001,MATCH(ROWS($U$2:U893),$U$2:$U$1001,0),1)&gt;=100000,INDEX($AB$1005:$AQ$1005,1,MATCH(COLUMNS($AB$1006:AC1006),$AB$1006:$AQ$1006,0))&gt;=100000), " ",IF(INDEX($AB$2:$AQ$1001,MATCH(ROWS($U$2:U893),$U$2:$U$1001,0),MATCH(COLUMNS($AB$1006:AC1006),$AB$1006:$AQ$1006,0)), HYPERLINK("#",""), HYPERLINK(CONCATENATE("#Metadata!", ADDRESS(INDEX($W$2:$W$1001,MATCH(ROWS($U$2:U893),$U$2:$U$1001,0),0), INDEX($AB$1004:$AQ$1004,1,MATCH(COLUMNS($AB$1006:AC1006),$AB$1006:$AQ$1006,0)))),"Fix")))</f>
        <v>0</v>
      </c>
      <c r="D893" s="5">
        <f>IF(OR(INDEX($V$2:$V$1001,MATCH(ROWS($U$2:U893),$U$2:$U$1001,0),1)&gt;=100000,INDEX($AB$1005:$AQ$1005,1,MATCH(COLUMNS($AB$1006:AD1006),$AB$1006:$AQ$1006,0))&gt;=100000), " ",IF(INDEX($AB$2:$AQ$1001,MATCH(ROWS($U$2:U893),$U$2:$U$1001,0),MATCH(COLUMNS($AB$1006:AD1006),$AB$1006:$AQ$1006,0)), HYPERLINK("#",""), HYPERLINK(CONCATENATE("#Metadata!", ADDRESS(INDEX($W$2:$W$1001,MATCH(ROWS($U$2:U893),$U$2:$U$1001,0),0), INDEX($AB$1004:$AQ$1004,1,MATCH(COLUMNS($AB$1006:AD1006),$AB$1006:$AQ$1006,0)))),"Fix")))</f>
        <v>0</v>
      </c>
      <c r="E893" s="5">
        <f>IF(OR(INDEX($V$2:$V$1001,MATCH(ROWS($U$2:U893),$U$2:$U$1001,0),1)&gt;=100000,INDEX($AB$1005:$AQ$1005,1,MATCH(COLUMNS($AB$1006:AE1006),$AB$1006:$AQ$1006,0))&gt;=100000), " ",IF(INDEX($AB$2:$AQ$1001,MATCH(ROWS($U$2:U893),$U$2:$U$1001,0),MATCH(COLUMNS($AB$1006:AE1006),$AB$1006:$AQ$1006,0)), HYPERLINK("#",""), HYPERLINK(CONCATENATE("#Metadata!", ADDRESS(INDEX($W$2:$W$1001,MATCH(ROWS($U$2:U893),$U$2:$U$1001,0),0), INDEX($AB$1004:$AQ$1004,1,MATCH(COLUMNS($AB$1006:AE1006),$AB$1006:$AQ$1006,0)))),"Fix")))</f>
        <v>0</v>
      </c>
      <c r="F893" s="5">
        <f>IF(OR(INDEX($V$2:$V$1001,MATCH(ROWS($U$2:U893),$U$2:$U$1001,0),1)&gt;=100000,INDEX($AB$1005:$AQ$1005,1,MATCH(COLUMNS($AB$1006:AF1006),$AB$1006:$AQ$1006,0))&gt;=100000), " ",IF(INDEX($AB$2:$AQ$1001,MATCH(ROWS($U$2:U893),$U$2:$U$1001,0),MATCH(COLUMNS($AB$1006:AF1006),$AB$1006:$AQ$1006,0)), HYPERLINK("#",""), HYPERLINK(CONCATENATE("#Metadata!", ADDRESS(INDEX($W$2:$W$1001,MATCH(ROWS($U$2:U893),$U$2:$U$1001,0),0), INDEX($AB$1004:$AQ$1004,1,MATCH(COLUMNS($AB$1006:AF1006),$AB$1006:$AQ$1006,0)))),"Fix")))</f>
        <v>0</v>
      </c>
      <c r="G893" s="5">
        <f>IF(OR(INDEX($V$2:$V$1001,MATCH(ROWS($U$2:U893),$U$2:$U$1001,0),1)&gt;=100000,INDEX($AB$1005:$AQ$1005,1,MATCH(COLUMNS($AB$1006:AG1006),$AB$1006:$AQ$1006,0))&gt;=100000), " ",IF(INDEX($AB$2:$AQ$1001,MATCH(ROWS($U$2:U893),$U$2:$U$1001,0),MATCH(COLUMNS($AB$1006:AG1006),$AB$1006:$AQ$1006,0)), HYPERLINK("#",""), HYPERLINK(CONCATENATE("#Metadata!", ADDRESS(INDEX($W$2:$W$1001,MATCH(ROWS($U$2:U893),$U$2:$U$1001,0),0), INDEX($AB$1004:$AQ$1004,1,MATCH(COLUMNS($AB$1006:AG1006),$AB$1006:$AQ$1006,0)))),"Fix")))</f>
        <v>0</v>
      </c>
      <c r="H893" s="5">
        <f>IF(OR(INDEX($V$2:$V$1001,MATCH(ROWS($U$2:U893),$U$2:$U$1001,0),1)&gt;=100000,INDEX($AB$1005:$AQ$1005,1,MATCH(COLUMNS($AB$1006:AH1006),$AB$1006:$AQ$1006,0))&gt;=100000), " ",IF(INDEX($AB$2:$AQ$1001,MATCH(ROWS($U$2:U893),$U$2:$U$1001,0),MATCH(COLUMNS($AB$1006:AH1006),$AB$1006:$AQ$1006,0)), HYPERLINK("#",""), HYPERLINK(CONCATENATE("#Metadata!", ADDRESS(INDEX($W$2:$W$1001,MATCH(ROWS($U$2:U893),$U$2:$U$1001,0),0), INDEX($AB$1004:$AQ$1004,1,MATCH(COLUMNS($AB$1006:AH1006),$AB$1006:$AQ$1006,0)))),"Fix")))</f>
        <v>0</v>
      </c>
      <c r="I893" s="5">
        <f>IF(OR(INDEX($V$2:$V$1001,MATCH(ROWS($U$2:U893),$U$2:$U$1001,0),1)&gt;=100000,INDEX($AB$1005:$AQ$1005,1,MATCH(COLUMNS($AB$1006:AI1006),$AB$1006:$AQ$1006,0))&gt;=100000), " ",IF(INDEX($AB$2:$AQ$1001,MATCH(ROWS($U$2:U893),$U$2:$U$1001,0),MATCH(COLUMNS($AB$1006:AI1006),$AB$1006:$AQ$1006,0)), HYPERLINK("#",""), HYPERLINK(CONCATENATE("#Metadata!", ADDRESS(INDEX($W$2:$W$1001,MATCH(ROWS($U$2:U893),$U$2:$U$1001,0),0), INDEX($AB$1004:$AQ$1004,1,MATCH(COLUMNS($AB$1006:AI1006),$AB$1006:$AQ$1006,0)))),"Fix")))</f>
        <v>0</v>
      </c>
      <c r="J893" s="5">
        <f>IF(OR(INDEX($V$2:$V$1001,MATCH(ROWS($U$2:U893),$U$2:$U$1001,0),1)&gt;=100000,INDEX($AB$1005:$AQ$1005,1,MATCH(COLUMNS($AB$1006:AJ1006),$AB$1006:$AQ$1006,0))&gt;=100000), " ",IF(INDEX($AB$2:$AQ$1001,MATCH(ROWS($U$2:U893),$U$2:$U$1001,0),MATCH(COLUMNS($AB$1006:AJ1006),$AB$1006:$AQ$1006,0)), HYPERLINK("#",""), HYPERLINK(CONCATENATE("#Metadata!", ADDRESS(INDEX($W$2:$W$1001,MATCH(ROWS($U$2:U893),$U$2:$U$1001,0),0), INDEX($AB$1004:$AQ$1004,1,MATCH(COLUMNS($AB$1006:AJ1006),$AB$1006:$AQ$1006,0)))),"Fix")))</f>
        <v>0</v>
      </c>
      <c r="K893" s="5">
        <f>IF(OR(INDEX($V$2:$V$1001,MATCH(ROWS($U$2:U893),$U$2:$U$1001,0),1)&gt;=100000,INDEX($AB$1005:$AQ$1005,1,MATCH(COLUMNS($AB$1006:AK1006),$AB$1006:$AQ$1006,0))&gt;=100000), " ",IF(INDEX($AB$2:$AQ$1001,MATCH(ROWS($U$2:U893),$U$2:$U$1001,0),MATCH(COLUMNS($AB$1006:AK1006),$AB$1006:$AQ$1006,0)), HYPERLINK("#",""), HYPERLINK(CONCATENATE("#Metadata!", ADDRESS(INDEX($W$2:$W$1001,MATCH(ROWS($U$2:U893),$U$2:$U$1001,0),0), INDEX($AB$1004:$AQ$1004,1,MATCH(COLUMNS($AB$1006:AK1006),$AB$1006:$AQ$1006,0)))),"Fix")))</f>
        <v>0</v>
      </c>
      <c r="L893" s="5">
        <f>IF(OR(INDEX($V$2:$V$1001,MATCH(ROWS($U$2:U893),$U$2:$U$1001,0),1)&gt;=100000,INDEX($AB$1005:$AQ$1005,1,MATCH(COLUMNS($AB$1006:AL1006),$AB$1006:$AQ$1006,0))&gt;=100000), " ",IF(INDEX($AB$2:$AQ$1001,MATCH(ROWS($U$2:U893),$U$2:$U$1001,0),MATCH(COLUMNS($AB$1006:AL1006),$AB$1006:$AQ$1006,0)), HYPERLINK("#",""), HYPERLINK(CONCATENATE("#Metadata!", ADDRESS(INDEX($W$2:$W$1001,MATCH(ROWS($U$2:U893),$U$2:$U$1001,0),0), INDEX($AB$1004:$AQ$1004,1,MATCH(COLUMNS($AB$1006:AL1006),$AB$1006:$AQ$1006,0)))),"Fix")))</f>
        <v>0</v>
      </c>
      <c r="M893" s="5">
        <f>IF(OR(INDEX($V$2:$V$1001,MATCH(ROWS($U$2:U893),$U$2:$U$1001,0),1)&gt;=100000,INDEX($AB$1005:$AQ$1005,1,MATCH(COLUMNS($AB$1006:AM1006),$AB$1006:$AQ$1006,0))&gt;=100000), " ",IF(INDEX($AB$2:$AQ$1001,MATCH(ROWS($U$2:U893),$U$2:$U$1001,0),MATCH(COLUMNS($AB$1006:AM1006),$AB$1006:$AQ$1006,0)), HYPERLINK("#",""), HYPERLINK(CONCATENATE("#Metadata!", ADDRESS(INDEX($W$2:$W$1001,MATCH(ROWS($U$2:U893),$U$2:$U$1001,0),0), INDEX($AB$1004:$AQ$1004,1,MATCH(COLUMNS($AB$1006:AM1006),$AB$1006:$AQ$1006,0)))),"Fix")))</f>
        <v>0</v>
      </c>
      <c r="N893" s="5">
        <f>IF(OR(INDEX($V$2:$V$1001,MATCH(ROWS($U$2:U893),$U$2:$U$1001,0),1)&gt;=100000,INDEX($AB$1005:$AQ$1005,1,MATCH(COLUMNS($AB$1006:AN1006),$AB$1006:$AQ$1006,0))&gt;=100000), " ",IF(INDEX($AB$2:$AQ$1001,MATCH(ROWS($U$2:U893),$U$2:$U$1001,0),MATCH(COLUMNS($AB$1006:AN1006),$AB$1006:$AQ$1006,0)), HYPERLINK("#",""), HYPERLINK(CONCATENATE("#Metadata!", ADDRESS(INDEX($W$2:$W$1001,MATCH(ROWS($U$2:U893),$U$2:$U$1001,0),0), INDEX($AB$1004:$AQ$1004,1,MATCH(COLUMNS($AB$1006:AN1006),$AB$1006:$AQ$1006,0)))),"Fix")))</f>
        <v>0</v>
      </c>
      <c r="O893" s="5">
        <f>IF(OR(INDEX($V$2:$V$1001,MATCH(ROWS($U$2:U893),$U$2:$U$1001,0),1)&gt;=100000,INDEX($AB$1005:$AQ$1005,1,MATCH(COLUMNS($AB$1006:AO1006),$AB$1006:$AQ$1006,0))&gt;=100000), " ",IF(INDEX($AB$2:$AQ$1001,MATCH(ROWS($U$2:U893),$U$2:$U$1001,0),MATCH(COLUMNS($AB$1006:AO1006),$AB$1006:$AQ$1006,0)), HYPERLINK("#",""), HYPERLINK(CONCATENATE("#Metadata!", ADDRESS(INDEX($W$2:$W$1001,MATCH(ROWS($U$2:U893),$U$2:$U$1001,0),0), INDEX($AB$1004:$AQ$1004,1,MATCH(COLUMNS($AB$1006:AO1006),$AB$1006:$AQ$1006,0)))),"Fix")))</f>
        <v>0</v>
      </c>
      <c r="P893" s="5">
        <f>IF(OR(INDEX($V$2:$V$1001,MATCH(ROWS($U$2:U893),$U$2:$U$1001,0),1)&gt;=100000,INDEX($AB$1005:$AQ$1005,1,MATCH(COLUMNS($AB$1006:AP1006),$AB$1006:$AQ$1006,0))&gt;=100000), " ",IF(INDEX($AB$2:$AQ$1001,MATCH(ROWS($U$2:U893),$U$2:$U$1001,0),MATCH(COLUMNS($AB$1006:AP1006),$AB$1006:$AQ$1006,0)), HYPERLINK("#",""), HYPERLINK(CONCATENATE("#Metadata!", ADDRESS(INDEX($W$2:$W$1001,MATCH(ROWS($U$2:U893),$U$2:$U$1001,0),0), INDEX($AB$1004:$AQ$1004,1,MATCH(COLUMNS($AB$1006:AP1006),$AB$1006:$AQ$1006,0)))),"Fix")))</f>
        <v>0</v>
      </c>
      <c r="Q893" s="5">
        <f>IF(OR(INDEX($V$2:$V$1001,MATCH(ROWS($U$2:U893),$U$2:$U$1001,0),1)&gt;=100000,INDEX($AB$1005:$AQ$1005,1,MATCH(COLUMNS($AB$1006:AQ1006),$AB$1006:$AQ$1006,0))&gt;=100000), " ",IF(INDEX($AB$2:$AQ$1001,MATCH(ROWS($U$2:U893),$U$2:$U$1001,0),MATCH(COLUMNS($AB$1006:AQ1006),$AB$1006:$AQ$1006,0)), HYPERLINK("#",""), HYPERLINK(CONCATENATE("#Metadata!", ADDRESS(INDEX($W$2:$W$1001,MATCH(ROWS($U$2:U893),$U$2:$U$1001,0),0), INDEX($AB$1004:$AQ$1004,1,MATCH(COLUMNS($AB$1006:AQ1006),$AB$1006:$AQ$1006,0)))),"Fix")))</f>
        <v>0</v>
      </c>
      <c r="U893">
        <v>0</v>
      </c>
      <c r="V893">
        <v>0</v>
      </c>
      <c r="W893">
        <v>0</v>
      </c>
      <c r="X893">
        <f>IF(Y893,TRUE,AND(AB893:AQ893))</f>
        <v>0</v>
      </c>
      <c r="Y893">
        <f>COUNTBLANK(Metadata!B893:Q893)=COLUMNS(Metadata!B893:Q893)</f>
        <v>0</v>
      </c>
      <c r="Z893">
        <v>0</v>
      </c>
      <c r="AB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AC893">
        <f>AND(IF(Metadata!C893="",FALSE,TRUE),exact(Metadata!C893,"urban biome"))</f>
        <v>0</v>
      </c>
      <c r="AD893">
        <f>AND(IF(Metadata!D893="",FALSE,TRUE),exact(Metadata!D893,"human-associated habitat"))</f>
        <v>0</v>
      </c>
      <c r="AE893">
        <f>AND(IF(Metadata!E893="",FALSE,TRUE),OR(exact(Metadata!E893,"human-associated"),exact(Metadata!E893,"human-skin"),exact(Metadata!E893,"human-oral"),exact(Metadata!E893,"human-gut"),exact(Metadata!E893,"human-vaginal")))</f>
        <v>0</v>
      </c>
      <c r="AF893">
        <f>AND(IF(Metadata!F893="",FALSE,ISNUMBER(VALUE(Metadata!F893))),Metadata!F893&gt;0)</f>
        <v>0</v>
      </c>
      <c r="AG893">
        <f>AND(IF(Metadata!G893="",FALSE,TRUE),exact(Metadata!G893,"years"))</f>
        <v>0</v>
      </c>
      <c r="AH893">
        <f>OR(AND(IF(Metadata!H893="",FALSE,TRUE),OR(exact(Metadata!H893,"not applicable"),exact(Metadata!H893,"not collected"),exact(Metadata!H893,"not provided"),exact(Metadata!H893,"restricted access"))),AND(IF(Metadata!H893="",FALSE,ISNUMBER(VALUE(Metadata!H893))),Metadata!H893&gt;0))</f>
        <v>0</v>
      </c>
      <c r="AI893">
        <f>AND(IF(Metadata!I893="",FALSE,TRUE),exact(Metadata!I893,"human"))</f>
        <v>0</v>
      </c>
      <c r="AJ893">
        <f>AND(IF(Metadata!J893="",FALSE,ISNUMBER(VALUE(Metadata!J893))),Metadata!J893&gt;0)</f>
        <v>0</v>
      </c>
      <c r="AK893">
        <f>AND(IF(Metadata!K893="",FALSE,TRUE),exact(Metadata!K893,"cm"))</f>
        <v>0</v>
      </c>
      <c r="AL893">
        <f>AND(IF(Metadata!L893="",FALSE,TRUE),exact(Metadata!L893,"Homo sapiens"))</f>
        <v>0</v>
      </c>
      <c r="AM893">
        <f>AND(IF(Metadata!M893="",FALSE,TRUE),exact(Metadata!M893,"9606"))</f>
        <v>0</v>
      </c>
      <c r="AN893">
        <f>AND(IF(Metadata!N893="",FALSE,ISNUMBER(VALUE(Metadata!N893))),Metadata!N893&gt;0)</f>
        <v>0</v>
      </c>
      <c r="AO893">
        <f>AND(IF(Metadata!O893="",FALSE,TRUE),exact(Metadata!O893,"kg"))</f>
        <v>0</v>
      </c>
      <c r="AP893">
        <f>OR(AND(IF(Metadata!P893="",FALSE,TRUE),exact(Metadata!P893,"not provided")),IF(Metadata!P893="",FALSE,TRUE))</f>
        <v>0</v>
      </c>
      <c r="AQ893">
        <f>OR(AND(IF(Metadata!Q893="",FALSE,TRUE),exact(Metadata!Q893,"not provided")),IF(Metadata!Q893="",FALSE,TRUE))</f>
        <v>0</v>
      </c>
    </row>
    <row r="894" spans="1:43">
      <c r="A894" s="4">
        <f>IF(B894=" "," ",HYPERLINK(CONCATENATE("#metadata!",ADDRESS(INDEX($W$2:$W$1001,MATCH(ROWS($U$2:U894),$U$2:$U$1001,0),0),2)),INDEX($Z$2:$Z$1001,MATCH(ROWS($U$2:U894),$U$2:$U$1001,0),0)))</f>
        <v>0</v>
      </c>
      <c r="B894" s="5">
        <f>IF(OR(INDEX($V$2:$V$1001,MATCH(ROWS($U$2:U894),$U$2:$U$1001,0),1)&gt;=100000,INDEX($AB$1005:$AQ$1005,1,MATCH(COLUMNS($AB$1006:AB1006),$AB$1006:$AQ$1006,0))&gt;=100000), " ",IF(INDEX($AB$2:$AQ$1001,MATCH(ROWS($U$2:U894),$U$2:$U$1001,0),MATCH(COLUMNS($AB$1006:AB1006),$AB$1006:$AQ$1006,0)), HYPERLINK("#",""), HYPERLINK(CONCATENATE("#Metadata!", ADDRESS(INDEX($W$2:$W$1001,MATCH(ROWS($U$2:U894),$U$2:$U$1001,0),0), INDEX($AB$1004:$AQ$1004,1,MATCH(COLUMNS($AB$1006:AB1006),$AB$1006:$AQ$1006,0)))),"Fix")))</f>
        <v>0</v>
      </c>
      <c r="C894" s="5">
        <f>IF(OR(INDEX($V$2:$V$1001,MATCH(ROWS($U$2:U894),$U$2:$U$1001,0),1)&gt;=100000,INDEX($AB$1005:$AQ$1005,1,MATCH(COLUMNS($AB$1006:AC1006),$AB$1006:$AQ$1006,0))&gt;=100000), " ",IF(INDEX($AB$2:$AQ$1001,MATCH(ROWS($U$2:U894),$U$2:$U$1001,0),MATCH(COLUMNS($AB$1006:AC1006),$AB$1006:$AQ$1006,0)), HYPERLINK("#",""), HYPERLINK(CONCATENATE("#Metadata!", ADDRESS(INDEX($W$2:$W$1001,MATCH(ROWS($U$2:U894),$U$2:$U$1001,0),0), INDEX($AB$1004:$AQ$1004,1,MATCH(COLUMNS($AB$1006:AC1006),$AB$1006:$AQ$1006,0)))),"Fix")))</f>
        <v>0</v>
      </c>
      <c r="D894" s="5">
        <f>IF(OR(INDEX($V$2:$V$1001,MATCH(ROWS($U$2:U894),$U$2:$U$1001,0),1)&gt;=100000,INDEX($AB$1005:$AQ$1005,1,MATCH(COLUMNS($AB$1006:AD1006),$AB$1006:$AQ$1006,0))&gt;=100000), " ",IF(INDEX($AB$2:$AQ$1001,MATCH(ROWS($U$2:U894),$U$2:$U$1001,0),MATCH(COLUMNS($AB$1006:AD1006),$AB$1006:$AQ$1006,0)), HYPERLINK("#",""), HYPERLINK(CONCATENATE("#Metadata!", ADDRESS(INDEX($W$2:$W$1001,MATCH(ROWS($U$2:U894),$U$2:$U$1001,0),0), INDEX($AB$1004:$AQ$1004,1,MATCH(COLUMNS($AB$1006:AD1006),$AB$1006:$AQ$1006,0)))),"Fix")))</f>
        <v>0</v>
      </c>
      <c r="E894" s="5">
        <f>IF(OR(INDEX($V$2:$V$1001,MATCH(ROWS($U$2:U894),$U$2:$U$1001,0),1)&gt;=100000,INDEX($AB$1005:$AQ$1005,1,MATCH(COLUMNS($AB$1006:AE1006),$AB$1006:$AQ$1006,0))&gt;=100000), " ",IF(INDEX($AB$2:$AQ$1001,MATCH(ROWS($U$2:U894),$U$2:$U$1001,0),MATCH(COLUMNS($AB$1006:AE1006),$AB$1006:$AQ$1006,0)), HYPERLINK("#",""), HYPERLINK(CONCATENATE("#Metadata!", ADDRESS(INDEX($W$2:$W$1001,MATCH(ROWS($U$2:U894),$U$2:$U$1001,0),0), INDEX($AB$1004:$AQ$1004,1,MATCH(COLUMNS($AB$1006:AE1006),$AB$1006:$AQ$1006,0)))),"Fix")))</f>
        <v>0</v>
      </c>
      <c r="F894" s="5">
        <f>IF(OR(INDEX($V$2:$V$1001,MATCH(ROWS($U$2:U894),$U$2:$U$1001,0),1)&gt;=100000,INDEX($AB$1005:$AQ$1005,1,MATCH(COLUMNS($AB$1006:AF1006),$AB$1006:$AQ$1006,0))&gt;=100000), " ",IF(INDEX($AB$2:$AQ$1001,MATCH(ROWS($U$2:U894),$U$2:$U$1001,0),MATCH(COLUMNS($AB$1006:AF1006),$AB$1006:$AQ$1006,0)), HYPERLINK("#",""), HYPERLINK(CONCATENATE("#Metadata!", ADDRESS(INDEX($W$2:$W$1001,MATCH(ROWS($U$2:U894),$U$2:$U$1001,0),0), INDEX($AB$1004:$AQ$1004,1,MATCH(COLUMNS($AB$1006:AF1006),$AB$1006:$AQ$1006,0)))),"Fix")))</f>
        <v>0</v>
      </c>
      <c r="G894" s="5">
        <f>IF(OR(INDEX($V$2:$V$1001,MATCH(ROWS($U$2:U894),$U$2:$U$1001,0),1)&gt;=100000,INDEX($AB$1005:$AQ$1005,1,MATCH(COLUMNS($AB$1006:AG1006),$AB$1006:$AQ$1006,0))&gt;=100000), " ",IF(INDEX($AB$2:$AQ$1001,MATCH(ROWS($U$2:U894),$U$2:$U$1001,0),MATCH(COLUMNS($AB$1006:AG1006),$AB$1006:$AQ$1006,0)), HYPERLINK("#",""), HYPERLINK(CONCATENATE("#Metadata!", ADDRESS(INDEX($W$2:$W$1001,MATCH(ROWS($U$2:U894),$U$2:$U$1001,0),0), INDEX($AB$1004:$AQ$1004,1,MATCH(COLUMNS($AB$1006:AG1006),$AB$1006:$AQ$1006,0)))),"Fix")))</f>
        <v>0</v>
      </c>
      <c r="H894" s="5">
        <f>IF(OR(INDEX($V$2:$V$1001,MATCH(ROWS($U$2:U894),$U$2:$U$1001,0),1)&gt;=100000,INDEX($AB$1005:$AQ$1005,1,MATCH(COLUMNS($AB$1006:AH1006),$AB$1006:$AQ$1006,0))&gt;=100000), " ",IF(INDEX($AB$2:$AQ$1001,MATCH(ROWS($U$2:U894),$U$2:$U$1001,0),MATCH(COLUMNS($AB$1006:AH1006),$AB$1006:$AQ$1006,0)), HYPERLINK("#",""), HYPERLINK(CONCATENATE("#Metadata!", ADDRESS(INDEX($W$2:$W$1001,MATCH(ROWS($U$2:U894),$U$2:$U$1001,0),0), INDEX($AB$1004:$AQ$1004,1,MATCH(COLUMNS($AB$1006:AH1006),$AB$1006:$AQ$1006,0)))),"Fix")))</f>
        <v>0</v>
      </c>
      <c r="I894" s="5">
        <f>IF(OR(INDEX($V$2:$V$1001,MATCH(ROWS($U$2:U894),$U$2:$U$1001,0),1)&gt;=100000,INDEX($AB$1005:$AQ$1005,1,MATCH(COLUMNS($AB$1006:AI1006),$AB$1006:$AQ$1006,0))&gt;=100000), " ",IF(INDEX($AB$2:$AQ$1001,MATCH(ROWS($U$2:U894),$U$2:$U$1001,0),MATCH(COLUMNS($AB$1006:AI1006),$AB$1006:$AQ$1006,0)), HYPERLINK("#",""), HYPERLINK(CONCATENATE("#Metadata!", ADDRESS(INDEX($W$2:$W$1001,MATCH(ROWS($U$2:U894),$U$2:$U$1001,0),0), INDEX($AB$1004:$AQ$1004,1,MATCH(COLUMNS($AB$1006:AI1006),$AB$1006:$AQ$1006,0)))),"Fix")))</f>
        <v>0</v>
      </c>
      <c r="J894" s="5">
        <f>IF(OR(INDEX($V$2:$V$1001,MATCH(ROWS($U$2:U894),$U$2:$U$1001,0),1)&gt;=100000,INDEX($AB$1005:$AQ$1005,1,MATCH(COLUMNS($AB$1006:AJ1006),$AB$1006:$AQ$1006,0))&gt;=100000), " ",IF(INDEX($AB$2:$AQ$1001,MATCH(ROWS($U$2:U894),$U$2:$U$1001,0),MATCH(COLUMNS($AB$1006:AJ1006),$AB$1006:$AQ$1006,0)), HYPERLINK("#",""), HYPERLINK(CONCATENATE("#Metadata!", ADDRESS(INDEX($W$2:$W$1001,MATCH(ROWS($U$2:U894),$U$2:$U$1001,0),0), INDEX($AB$1004:$AQ$1004,1,MATCH(COLUMNS($AB$1006:AJ1006),$AB$1006:$AQ$1006,0)))),"Fix")))</f>
        <v>0</v>
      </c>
      <c r="K894" s="5">
        <f>IF(OR(INDEX($V$2:$V$1001,MATCH(ROWS($U$2:U894),$U$2:$U$1001,0),1)&gt;=100000,INDEX($AB$1005:$AQ$1005,1,MATCH(COLUMNS($AB$1006:AK1006),$AB$1006:$AQ$1006,0))&gt;=100000), " ",IF(INDEX($AB$2:$AQ$1001,MATCH(ROWS($U$2:U894),$U$2:$U$1001,0),MATCH(COLUMNS($AB$1006:AK1006),$AB$1006:$AQ$1006,0)), HYPERLINK("#",""), HYPERLINK(CONCATENATE("#Metadata!", ADDRESS(INDEX($W$2:$W$1001,MATCH(ROWS($U$2:U894),$U$2:$U$1001,0),0), INDEX($AB$1004:$AQ$1004,1,MATCH(COLUMNS($AB$1006:AK1006),$AB$1006:$AQ$1006,0)))),"Fix")))</f>
        <v>0</v>
      </c>
      <c r="L894" s="5">
        <f>IF(OR(INDEX($V$2:$V$1001,MATCH(ROWS($U$2:U894),$U$2:$U$1001,0),1)&gt;=100000,INDEX($AB$1005:$AQ$1005,1,MATCH(COLUMNS($AB$1006:AL1006),$AB$1006:$AQ$1006,0))&gt;=100000), " ",IF(INDEX($AB$2:$AQ$1001,MATCH(ROWS($U$2:U894),$U$2:$U$1001,0),MATCH(COLUMNS($AB$1006:AL1006),$AB$1006:$AQ$1006,0)), HYPERLINK("#",""), HYPERLINK(CONCATENATE("#Metadata!", ADDRESS(INDEX($W$2:$W$1001,MATCH(ROWS($U$2:U894),$U$2:$U$1001,0),0), INDEX($AB$1004:$AQ$1004,1,MATCH(COLUMNS($AB$1006:AL1006),$AB$1006:$AQ$1006,0)))),"Fix")))</f>
        <v>0</v>
      </c>
      <c r="M894" s="5">
        <f>IF(OR(INDEX($V$2:$V$1001,MATCH(ROWS($U$2:U894),$U$2:$U$1001,0),1)&gt;=100000,INDEX($AB$1005:$AQ$1005,1,MATCH(COLUMNS($AB$1006:AM1006),$AB$1006:$AQ$1006,0))&gt;=100000), " ",IF(INDEX($AB$2:$AQ$1001,MATCH(ROWS($U$2:U894),$U$2:$U$1001,0),MATCH(COLUMNS($AB$1006:AM1006),$AB$1006:$AQ$1006,0)), HYPERLINK("#",""), HYPERLINK(CONCATENATE("#Metadata!", ADDRESS(INDEX($W$2:$W$1001,MATCH(ROWS($U$2:U894),$U$2:$U$1001,0),0), INDEX($AB$1004:$AQ$1004,1,MATCH(COLUMNS($AB$1006:AM1006),$AB$1006:$AQ$1006,0)))),"Fix")))</f>
        <v>0</v>
      </c>
      <c r="N894" s="5">
        <f>IF(OR(INDEX($V$2:$V$1001,MATCH(ROWS($U$2:U894),$U$2:$U$1001,0),1)&gt;=100000,INDEX($AB$1005:$AQ$1005,1,MATCH(COLUMNS($AB$1006:AN1006),$AB$1006:$AQ$1006,0))&gt;=100000), " ",IF(INDEX($AB$2:$AQ$1001,MATCH(ROWS($U$2:U894),$U$2:$U$1001,0),MATCH(COLUMNS($AB$1006:AN1006),$AB$1006:$AQ$1006,0)), HYPERLINK("#",""), HYPERLINK(CONCATENATE("#Metadata!", ADDRESS(INDEX($W$2:$W$1001,MATCH(ROWS($U$2:U894),$U$2:$U$1001,0),0), INDEX($AB$1004:$AQ$1004,1,MATCH(COLUMNS($AB$1006:AN1006),$AB$1006:$AQ$1006,0)))),"Fix")))</f>
        <v>0</v>
      </c>
      <c r="O894" s="5">
        <f>IF(OR(INDEX($V$2:$V$1001,MATCH(ROWS($U$2:U894),$U$2:$U$1001,0),1)&gt;=100000,INDEX($AB$1005:$AQ$1005,1,MATCH(COLUMNS($AB$1006:AO1006),$AB$1006:$AQ$1006,0))&gt;=100000), " ",IF(INDEX($AB$2:$AQ$1001,MATCH(ROWS($U$2:U894),$U$2:$U$1001,0),MATCH(COLUMNS($AB$1006:AO1006),$AB$1006:$AQ$1006,0)), HYPERLINK("#",""), HYPERLINK(CONCATENATE("#Metadata!", ADDRESS(INDEX($W$2:$W$1001,MATCH(ROWS($U$2:U894),$U$2:$U$1001,0),0), INDEX($AB$1004:$AQ$1004,1,MATCH(COLUMNS($AB$1006:AO1006),$AB$1006:$AQ$1006,0)))),"Fix")))</f>
        <v>0</v>
      </c>
      <c r="P894" s="5">
        <f>IF(OR(INDEX($V$2:$V$1001,MATCH(ROWS($U$2:U894),$U$2:$U$1001,0),1)&gt;=100000,INDEX($AB$1005:$AQ$1005,1,MATCH(COLUMNS($AB$1006:AP1006),$AB$1006:$AQ$1006,0))&gt;=100000), " ",IF(INDEX($AB$2:$AQ$1001,MATCH(ROWS($U$2:U894),$U$2:$U$1001,0),MATCH(COLUMNS($AB$1006:AP1006),$AB$1006:$AQ$1006,0)), HYPERLINK("#",""), HYPERLINK(CONCATENATE("#Metadata!", ADDRESS(INDEX($W$2:$W$1001,MATCH(ROWS($U$2:U894),$U$2:$U$1001,0),0), INDEX($AB$1004:$AQ$1004,1,MATCH(COLUMNS($AB$1006:AP1006),$AB$1006:$AQ$1006,0)))),"Fix")))</f>
        <v>0</v>
      </c>
      <c r="Q894" s="5">
        <f>IF(OR(INDEX($V$2:$V$1001,MATCH(ROWS($U$2:U894),$U$2:$U$1001,0),1)&gt;=100000,INDEX($AB$1005:$AQ$1005,1,MATCH(COLUMNS($AB$1006:AQ1006),$AB$1006:$AQ$1006,0))&gt;=100000), " ",IF(INDEX($AB$2:$AQ$1001,MATCH(ROWS($U$2:U894),$U$2:$U$1001,0),MATCH(COLUMNS($AB$1006:AQ1006),$AB$1006:$AQ$1006,0)), HYPERLINK("#",""), HYPERLINK(CONCATENATE("#Metadata!", ADDRESS(INDEX($W$2:$W$1001,MATCH(ROWS($U$2:U894),$U$2:$U$1001,0),0), INDEX($AB$1004:$AQ$1004,1,MATCH(COLUMNS($AB$1006:AQ1006),$AB$1006:$AQ$1006,0)))),"Fix")))</f>
        <v>0</v>
      </c>
      <c r="U894">
        <v>0</v>
      </c>
      <c r="V894">
        <v>0</v>
      </c>
      <c r="W894">
        <v>0</v>
      </c>
      <c r="X894">
        <f>IF(Y894,TRUE,AND(AB894:AQ894))</f>
        <v>0</v>
      </c>
      <c r="Y894">
        <f>COUNTBLANK(Metadata!B894:Q894)=COLUMNS(Metadata!B894:Q894)</f>
        <v>0</v>
      </c>
      <c r="Z894">
        <v>0</v>
      </c>
      <c r="AB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AC894">
        <f>AND(IF(Metadata!C894="",FALSE,TRUE),exact(Metadata!C894,"urban biome"))</f>
        <v>0</v>
      </c>
      <c r="AD894">
        <f>AND(IF(Metadata!D894="",FALSE,TRUE),exact(Metadata!D894,"human-associated habitat"))</f>
        <v>0</v>
      </c>
      <c r="AE894">
        <f>AND(IF(Metadata!E894="",FALSE,TRUE),OR(exact(Metadata!E894,"human-associated"),exact(Metadata!E894,"human-skin"),exact(Metadata!E894,"human-oral"),exact(Metadata!E894,"human-gut"),exact(Metadata!E894,"human-vaginal")))</f>
        <v>0</v>
      </c>
      <c r="AF894">
        <f>AND(IF(Metadata!F894="",FALSE,ISNUMBER(VALUE(Metadata!F894))),Metadata!F894&gt;0)</f>
        <v>0</v>
      </c>
      <c r="AG894">
        <f>AND(IF(Metadata!G894="",FALSE,TRUE),exact(Metadata!G894,"years"))</f>
        <v>0</v>
      </c>
      <c r="AH894">
        <f>OR(AND(IF(Metadata!H894="",FALSE,TRUE),OR(exact(Metadata!H894,"not applicable"),exact(Metadata!H894,"not collected"),exact(Metadata!H894,"not provided"),exact(Metadata!H894,"restricted access"))),AND(IF(Metadata!H894="",FALSE,ISNUMBER(VALUE(Metadata!H894))),Metadata!H894&gt;0))</f>
        <v>0</v>
      </c>
      <c r="AI894">
        <f>AND(IF(Metadata!I894="",FALSE,TRUE),exact(Metadata!I894,"human"))</f>
        <v>0</v>
      </c>
      <c r="AJ894">
        <f>AND(IF(Metadata!J894="",FALSE,ISNUMBER(VALUE(Metadata!J894))),Metadata!J894&gt;0)</f>
        <v>0</v>
      </c>
      <c r="AK894">
        <f>AND(IF(Metadata!K894="",FALSE,TRUE),exact(Metadata!K894,"cm"))</f>
        <v>0</v>
      </c>
      <c r="AL894">
        <f>AND(IF(Metadata!L894="",FALSE,TRUE),exact(Metadata!L894,"Homo sapiens"))</f>
        <v>0</v>
      </c>
      <c r="AM894">
        <f>AND(IF(Metadata!M894="",FALSE,TRUE),exact(Metadata!M894,"9606"))</f>
        <v>0</v>
      </c>
      <c r="AN894">
        <f>AND(IF(Metadata!N894="",FALSE,ISNUMBER(VALUE(Metadata!N894))),Metadata!N894&gt;0)</f>
        <v>0</v>
      </c>
      <c r="AO894">
        <f>AND(IF(Metadata!O894="",FALSE,TRUE),exact(Metadata!O894,"kg"))</f>
        <v>0</v>
      </c>
      <c r="AP894">
        <f>OR(AND(IF(Metadata!P894="",FALSE,TRUE),exact(Metadata!P894,"not provided")),IF(Metadata!P894="",FALSE,TRUE))</f>
        <v>0</v>
      </c>
      <c r="AQ894">
        <f>OR(AND(IF(Metadata!Q894="",FALSE,TRUE),exact(Metadata!Q894,"not provided")),IF(Metadata!Q894="",FALSE,TRUE))</f>
        <v>0</v>
      </c>
    </row>
    <row r="895" spans="1:43">
      <c r="A895" s="4">
        <f>IF(B895=" "," ",HYPERLINK(CONCATENATE("#metadata!",ADDRESS(INDEX($W$2:$W$1001,MATCH(ROWS($U$2:U895),$U$2:$U$1001,0),0),2)),INDEX($Z$2:$Z$1001,MATCH(ROWS($U$2:U895),$U$2:$U$1001,0),0)))</f>
        <v>0</v>
      </c>
      <c r="B895" s="5">
        <f>IF(OR(INDEX($V$2:$V$1001,MATCH(ROWS($U$2:U895),$U$2:$U$1001,0),1)&gt;=100000,INDEX($AB$1005:$AQ$1005,1,MATCH(COLUMNS($AB$1006:AB1006),$AB$1006:$AQ$1006,0))&gt;=100000), " ",IF(INDEX($AB$2:$AQ$1001,MATCH(ROWS($U$2:U895),$U$2:$U$1001,0),MATCH(COLUMNS($AB$1006:AB1006),$AB$1006:$AQ$1006,0)), HYPERLINK("#",""), HYPERLINK(CONCATENATE("#Metadata!", ADDRESS(INDEX($W$2:$W$1001,MATCH(ROWS($U$2:U895),$U$2:$U$1001,0),0), INDEX($AB$1004:$AQ$1004,1,MATCH(COLUMNS($AB$1006:AB1006),$AB$1006:$AQ$1006,0)))),"Fix")))</f>
        <v>0</v>
      </c>
      <c r="C895" s="5">
        <f>IF(OR(INDEX($V$2:$V$1001,MATCH(ROWS($U$2:U895),$U$2:$U$1001,0),1)&gt;=100000,INDEX($AB$1005:$AQ$1005,1,MATCH(COLUMNS($AB$1006:AC1006),$AB$1006:$AQ$1006,0))&gt;=100000), " ",IF(INDEX($AB$2:$AQ$1001,MATCH(ROWS($U$2:U895),$U$2:$U$1001,0),MATCH(COLUMNS($AB$1006:AC1006),$AB$1006:$AQ$1006,0)), HYPERLINK("#",""), HYPERLINK(CONCATENATE("#Metadata!", ADDRESS(INDEX($W$2:$W$1001,MATCH(ROWS($U$2:U895),$U$2:$U$1001,0),0), INDEX($AB$1004:$AQ$1004,1,MATCH(COLUMNS($AB$1006:AC1006),$AB$1006:$AQ$1006,0)))),"Fix")))</f>
        <v>0</v>
      </c>
      <c r="D895" s="5">
        <f>IF(OR(INDEX($V$2:$V$1001,MATCH(ROWS($U$2:U895),$U$2:$U$1001,0),1)&gt;=100000,INDEX($AB$1005:$AQ$1005,1,MATCH(COLUMNS($AB$1006:AD1006),$AB$1006:$AQ$1006,0))&gt;=100000), " ",IF(INDEX($AB$2:$AQ$1001,MATCH(ROWS($U$2:U895),$U$2:$U$1001,0),MATCH(COLUMNS($AB$1006:AD1006),$AB$1006:$AQ$1006,0)), HYPERLINK("#",""), HYPERLINK(CONCATENATE("#Metadata!", ADDRESS(INDEX($W$2:$W$1001,MATCH(ROWS($U$2:U895),$U$2:$U$1001,0),0), INDEX($AB$1004:$AQ$1004,1,MATCH(COLUMNS($AB$1006:AD1006),$AB$1006:$AQ$1006,0)))),"Fix")))</f>
        <v>0</v>
      </c>
      <c r="E895" s="5">
        <f>IF(OR(INDEX($V$2:$V$1001,MATCH(ROWS($U$2:U895),$U$2:$U$1001,0),1)&gt;=100000,INDEX($AB$1005:$AQ$1005,1,MATCH(COLUMNS($AB$1006:AE1006),$AB$1006:$AQ$1006,0))&gt;=100000), " ",IF(INDEX($AB$2:$AQ$1001,MATCH(ROWS($U$2:U895),$U$2:$U$1001,0),MATCH(COLUMNS($AB$1006:AE1006),$AB$1006:$AQ$1006,0)), HYPERLINK("#",""), HYPERLINK(CONCATENATE("#Metadata!", ADDRESS(INDEX($W$2:$W$1001,MATCH(ROWS($U$2:U895),$U$2:$U$1001,0),0), INDEX($AB$1004:$AQ$1004,1,MATCH(COLUMNS($AB$1006:AE1006),$AB$1006:$AQ$1006,0)))),"Fix")))</f>
        <v>0</v>
      </c>
      <c r="F895" s="5">
        <f>IF(OR(INDEX($V$2:$V$1001,MATCH(ROWS($U$2:U895),$U$2:$U$1001,0),1)&gt;=100000,INDEX($AB$1005:$AQ$1005,1,MATCH(COLUMNS($AB$1006:AF1006),$AB$1006:$AQ$1006,0))&gt;=100000), " ",IF(INDEX($AB$2:$AQ$1001,MATCH(ROWS($U$2:U895),$U$2:$U$1001,0),MATCH(COLUMNS($AB$1006:AF1006),$AB$1006:$AQ$1006,0)), HYPERLINK("#",""), HYPERLINK(CONCATENATE("#Metadata!", ADDRESS(INDEX($W$2:$W$1001,MATCH(ROWS($U$2:U895),$U$2:$U$1001,0),0), INDEX($AB$1004:$AQ$1004,1,MATCH(COLUMNS($AB$1006:AF1006),$AB$1006:$AQ$1006,0)))),"Fix")))</f>
        <v>0</v>
      </c>
      <c r="G895" s="5">
        <f>IF(OR(INDEX($V$2:$V$1001,MATCH(ROWS($U$2:U895),$U$2:$U$1001,0),1)&gt;=100000,INDEX($AB$1005:$AQ$1005,1,MATCH(COLUMNS($AB$1006:AG1006),$AB$1006:$AQ$1006,0))&gt;=100000), " ",IF(INDEX($AB$2:$AQ$1001,MATCH(ROWS($U$2:U895),$U$2:$U$1001,0),MATCH(COLUMNS($AB$1006:AG1006),$AB$1006:$AQ$1006,0)), HYPERLINK("#",""), HYPERLINK(CONCATENATE("#Metadata!", ADDRESS(INDEX($W$2:$W$1001,MATCH(ROWS($U$2:U895),$U$2:$U$1001,0),0), INDEX($AB$1004:$AQ$1004,1,MATCH(COLUMNS($AB$1006:AG1006),$AB$1006:$AQ$1006,0)))),"Fix")))</f>
        <v>0</v>
      </c>
      <c r="H895" s="5">
        <f>IF(OR(INDEX($V$2:$V$1001,MATCH(ROWS($U$2:U895),$U$2:$U$1001,0),1)&gt;=100000,INDEX($AB$1005:$AQ$1005,1,MATCH(COLUMNS($AB$1006:AH1006),$AB$1006:$AQ$1006,0))&gt;=100000), " ",IF(INDEX($AB$2:$AQ$1001,MATCH(ROWS($U$2:U895),$U$2:$U$1001,0),MATCH(COLUMNS($AB$1006:AH1006),$AB$1006:$AQ$1006,0)), HYPERLINK("#",""), HYPERLINK(CONCATENATE("#Metadata!", ADDRESS(INDEX($W$2:$W$1001,MATCH(ROWS($U$2:U895),$U$2:$U$1001,0),0), INDEX($AB$1004:$AQ$1004,1,MATCH(COLUMNS($AB$1006:AH1006),$AB$1006:$AQ$1006,0)))),"Fix")))</f>
        <v>0</v>
      </c>
      <c r="I895" s="5">
        <f>IF(OR(INDEX($V$2:$V$1001,MATCH(ROWS($U$2:U895),$U$2:$U$1001,0),1)&gt;=100000,INDEX($AB$1005:$AQ$1005,1,MATCH(COLUMNS($AB$1006:AI1006),$AB$1006:$AQ$1006,0))&gt;=100000), " ",IF(INDEX($AB$2:$AQ$1001,MATCH(ROWS($U$2:U895),$U$2:$U$1001,0),MATCH(COLUMNS($AB$1006:AI1006),$AB$1006:$AQ$1006,0)), HYPERLINK("#",""), HYPERLINK(CONCATENATE("#Metadata!", ADDRESS(INDEX($W$2:$W$1001,MATCH(ROWS($U$2:U895),$U$2:$U$1001,0),0), INDEX($AB$1004:$AQ$1004,1,MATCH(COLUMNS($AB$1006:AI1006),$AB$1006:$AQ$1006,0)))),"Fix")))</f>
        <v>0</v>
      </c>
      <c r="J895" s="5">
        <f>IF(OR(INDEX($V$2:$V$1001,MATCH(ROWS($U$2:U895),$U$2:$U$1001,0),1)&gt;=100000,INDEX($AB$1005:$AQ$1005,1,MATCH(COLUMNS($AB$1006:AJ1006),$AB$1006:$AQ$1006,0))&gt;=100000), " ",IF(INDEX($AB$2:$AQ$1001,MATCH(ROWS($U$2:U895),$U$2:$U$1001,0),MATCH(COLUMNS($AB$1006:AJ1006),$AB$1006:$AQ$1006,0)), HYPERLINK("#",""), HYPERLINK(CONCATENATE("#Metadata!", ADDRESS(INDEX($W$2:$W$1001,MATCH(ROWS($U$2:U895),$U$2:$U$1001,0),0), INDEX($AB$1004:$AQ$1004,1,MATCH(COLUMNS($AB$1006:AJ1006),$AB$1006:$AQ$1006,0)))),"Fix")))</f>
        <v>0</v>
      </c>
      <c r="K895" s="5">
        <f>IF(OR(INDEX($V$2:$V$1001,MATCH(ROWS($U$2:U895),$U$2:$U$1001,0),1)&gt;=100000,INDEX($AB$1005:$AQ$1005,1,MATCH(COLUMNS($AB$1006:AK1006),$AB$1006:$AQ$1006,0))&gt;=100000), " ",IF(INDEX($AB$2:$AQ$1001,MATCH(ROWS($U$2:U895),$U$2:$U$1001,0),MATCH(COLUMNS($AB$1006:AK1006),$AB$1006:$AQ$1006,0)), HYPERLINK("#",""), HYPERLINK(CONCATENATE("#Metadata!", ADDRESS(INDEX($W$2:$W$1001,MATCH(ROWS($U$2:U895),$U$2:$U$1001,0),0), INDEX($AB$1004:$AQ$1004,1,MATCH(COLUMNS($AB$1006:AK1006),$AB$1006:$AQ$1006,0)))),"Fix")))</f>
        <v>0</v>
      </c>
      <c r="L895" s="5">
        <f>IF(OR(INDEX($V$2:$V$1001,MATCH(ROWS($U$2:U895),$U$2:$U$1001,0),1)&gt;=100000,INDEX($AB$1005:$AQ$1005,1,MATCH(COLUMNS($AB$1006:AL1006),$AB$1006:$AQ$1006,0))&gt;=100000), " ",IF(INDEX($AB$2:$AQ$1001,MATCH(ROWS($U$2:U895),$U$2:$U$1001,0),MATCH(COLUMNS($AB$1006:AL1006),$AB$1006:$AQ$1006,0)), HYPERLINK("#",""), HYPERLINK(CONCATENATE("#Metadata!", ADDRESS(INDEX($W$2:$W$1001,MATCH(ROWS($U$2:U895),$U$2:$U$1001,0),0), INDEX($AB$1004:$AQ$1004,1,MATCH(COLUMNS($AB$1006:AL1006),$AB$1006:$AQ$1006,0)))),"Fix")))</f>
        <v>0</v>
      </c>
      <c r="M895" s="5">
        <f>IF(OR(INDEX($V$2:$V$1001,MATCH(ROWS($U$2:U895),$U$2:$U$1001,0),1)&gt;=100000,INDEX($AB$1005:$AQ$1005,1,MATCH(COLUMNS($AB$1006:AM1006),$AB$1006:$AQ$1006,0))&gt;=100000), " ",IF(INDEX($AB$2:$AQ$1001,MATCH(ROWS($U$2:U895),$U$2:$U$1001,0),MATCH(COLUMNS($AB$1006:AM1006),$AB$1006:$AQ$1006,0)), HYPERLINK("#",""), HYPERLINK(CONCATENATE("#Metadata!", ADDRESS(INDEX($W$2:$W$1001,MATCH(ROWS($U$2:U895),$U$2:$U$1001,0),0), INDEX($AB$1004:$AQ$1004,1,MATCH(COLUMNS($AB$1006:AM1006),$AB$1006:$AQ$1006,0)))),"Fix")))</f>
        <v>0</v>
      </c>
      <c r="N895" s="5">
        <f>IF(OR(INDEX($V$2:$V$1001,MATCH(ROWS($U$2:U895),$U$2:$U$1001,0),1)&gt;=100000,INDEX($AB$1005:$AQ$1005,1,MATCH(COLUMNS($AB$1006:AN1006),$AB$1006:$AQ$1006,0))&gt;=100000), " ",IF(INDEX($AB$2:$AQ$1001,MATCH(ROWS($U$2:U895),$U$2:$U$1001,0),MATCH(COLUMNS($AB$1006:AN1006),$AB$1006:$AQ$1006,0)), HYPERLINK("#",""), HYPERLINK(CONCATENATE("#Metadata!", ADDRESS(INDEX($W$2:$W$1001,MATCH(ROWS($U$2:U895),$U$2:$U$1001,0),0), INDEX($AB$1004:$AQ$1004,1,MATCH(COLUMNS($AB$1006:AN1006),$AB$1006:$AQ$1006,0)))),"Fix")))</f>
        <v>0</v>
      </c>
      <c r="O895" s="5">
        <f>IF(OR(INDEX($V$2:$V$1001,MATCH(ROWS($U$2:U895),$U$2:$U$1001,0),1)&gt;=100000,INDEX($AB$1005:$AQ$1005,1,MATCH(COLUMNS($AB$1006:AO1006),$AB$1006:$AQ$1006,0))&gt;=100000), " ",IF(INDEX($AB$2:$AQ$1001,MATCH(ROWS($U$2:U895),$U$2:$U$1001,0),MATCH(COLUMNS($AB$1006:AO1006),$AB$1006:$AQ$1006,0)), HYPERLINK("#",""), HYPERLINK(CONCATENATE("#Metadata!", ADDRESS(INDEX($W$2:$W$1001,MATCH(ROWS($U$2:U895),$U$2:$U$1001,0),0), INDEX($AB$1004:$AQ$1004,1,MATCH(COLUMNS($AB$1006:AO1006),$AB$1006:$AQ$1006,0)))),"Fix")))</f>
        <v>0</v>
      </c>
      <c r="P895" s="5">
        <f>IF(OR(INDEX($V$2:$V$1001,MATCH(ROWS($U$2:U895),$U$2:$U$1001,0),1)&gt;=100000,INDEX($AB$1005:$AQ$1005,1,MATCH(COLUMNS($AB$1006:AP1006),$AB$1006:$AQ$1006,0))&gt;=100000), " ",IF(INDEX($AB$2:$AQ$1001,MATCH(ROWS($U$2:U895),$U$2:$U$1001,0),MATCH(COLUMNS($AB$1006:AP1006),$AB$1006:$AQ$1006,0)), HYPERLINK("#",""), HYPERLINK(CONCATENATE("#Metadata!", ADDRESS(INDEX($W$2:$W$1001,MATCH(ROWS($U$2:U895),$U$2:$U$1001,0),0), INDEX($AB$1004:$AQ$1004,1,MATCH(COLUMNS($AB$1006:AP1006),$AB$1006:$AQ$1006,0)))),"Fix")))</f>
        <v>0</v>
      </c>
      <c r="Q895" s="5">
        <f>IF(OR(INDEX($V$2:$V$1001,MATCH(ROWS($U$2:U895),$U$2:$U$1001,0),1)&gt;=100000,INDEX($AB$1005:$AQ$1005,1,MATCH(COLUMNS($AB$1006:AQ1006),$AB$1006:$AQ$1006,0))&gt;=100000), " ",IF(INDEX($AB$2:$AQ$1001,MATCH(ROWS($U$2:U895),$U$2:$U$1001,0),MATCH(COLUMNS($AB$1006:AQ1006),$AB$1006:$AQ$1006,0)), HYPERLINK("#",""), HYPERLINK(CONCATENATE("#Metadata!", ADDRESS(INDEX($W$2:$W$1001,MATCH(ROWS($U$2:U895),$U$2:$U$1001,0),0), INDEX($AB$1004:$AQ$1004,1,MATCH(COLUMNS($AB$1006:AQ1006),$AB$1006:$AQ$1006,0)))),"Fix")))</f>
        <v>0</v>
      </c>
      <c r="U895">
        <v>0</v>
      </c>
      <c r="V895">
        <v>0</v>
      </c>
      <c r="W895">
        <v>0</v>
      </c>
      <c r="X895">
        <f>IF(Y895,TRUE,AND(AB895:AQ895))</f>
        <v>0</v>
      </c>
      <c r="Y895">
        <f>COUNTBLANK(Metadata!B895:Q895)=COLUMNS(Metadata!B895:Q895)</f>
        <v>0</v>
      </c>
      <c r="Z895">
        <v>0</v>
      </c>
      <c r="AB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AC895">
        <f>AND(IF(Metadata!C895="",FALSE,TRUE),exact(Metadata!C895,"urban biome"))</f>
        <v>0</v>
      </c>
      <c r="AD895">
        <f>AND(IF(Metadata!D895="",FALSE,TRUE),exact(Metadata!D895,"human-associated habitat"))</f>
        <v>0</v>
      </c>
      <c r="AE895">
        <f>AND(IF(Metadata!E895="",FALSE,TRUE),OR(exact(Metadata!E895,"human-associated"),exact(Metadata!E895,"human-skin"),exact(Metadata!E895,"human-oral"),exact(Metadata!E895,"human-gut"),exact(Metadata!E895,"human-vaginal")))</f>
        <v>0</v>
      </c>
      <c r="AF895">
        <f>AND(IF(Metadata!F895="",FALSE,ISNUMBER(VALUE(Metadata!F895))),Metadata!F895&gt;0)</f>
        <v>0</v>
      </c>
      <c r="AG895">
        <f>AND(IF(Metadata!G895="",FALSE,TRUE),exact(Metadata!G895,"years"))</f>
        <v>0</v>
      </c>
      <c r="AH895">
        <f>OR(AND(IF(Metadata!H895="",FALSE,TRUE),OR(exact(Metadata!H895,"not applicable"),exact(Metadata!H895,"not collected"),exact(Metadata!H895,"not provided"),exact(Metadata!H895,"restricted access"))),AND(IF(Metadata!H895="",FALSE,ISNUMBER(VALUE(Metadata!H895))),Metadata!H895&gt;0))</f>
        <v>0</v>
      </c>
      <c r="AI895">
        <f>AND(IF(Metadata!I895="",FALSE,TRUE),exact(Metadata!I895,"human"))</f>
        <v>0</v>
      </c>
      <c r="AJ895">
        <f>AND(IF(Metadata!J895="",FALSE,ISNUMBER(VALUE(Metadata!J895))),Metadata!J895&gt;0)</f>
        <v>0</v>
      </c>
      <c r="AK895">
        <f>AND(IF(Metadata!K895="",FALSE,TRUE),exact(Metadata!K895,"cm"))</f>
        <v>0</v>
      </c>
      <c r="AL895">
        <f>AND(IF(Metadata!L895="",FALSE,TRUE),exact(Metadata!L895,"Homo sapiens"))</f>
        <v>0</v>
      </c>
      <c r="AM895">
        <f>AND(IF(Metadata!M895="",FALSE,TRUE),exact(Metadata!M895,"9606"))</f>
        <v>0</v>
      </c>
      <c r="AN895">
        <f>AND(IF(Metadata!N895="",FALSE,ISNUMBER(VALUE(Metadata!N895))),Metadata!N895&gt;0)</f>
        <v>0</v>
      </c>
      <c r="AO895">
        <f>AND(IF(Metadata!O895="",FALSE,TRUE),exact(Metadata!O895,"kg"))</f>
        <v>0</v>
      </c>
      <c r="AP895">
        <f>OR(AND(IF(Metadata!P895="",FALSE,TRUE),exact(Metadata!P895,"not provided")),IF(Metadata!P895="",FALSE,TRUE))</f>
        <v>0</v>
      </c>
      <c r="AQ895">
        <f>OR(AND(IF(Metadata!Q895="",FALSE,TRUE),exact(Metadata!Q895,"not provided")),IF(Metadata!Q895="",FALSE,TRUE))</f>
        <v>0</v>
      </c>
    </row>
    <row r="896" spans="1:43">
      <c r="A896" s="4">
        <f>IF(B896=" "," ",HYPERLINK(CONCATENATE("#metadata!",ADDRESS(INDEX($W$2:$W$1001,MATCH(ROWS($U$2:U896),$U$2:$U$1001,0),0),2)),INDEX($Z$2:$Z$1001,MATCH(ROWS($U$2:U896),$U$2:$U$1001,0),0)))</f>
        <v>0</v>
      </c>
      <c r="B896" s="5">
        <f>IF(OR(INDEX($V$2:$V$1001,MATCH(ROWS($U$2:U896),$U$2:$U$1001,0),1)&gt;=100000,INDEX($AB$1005:$AQ$1005,1,MATCH(COLUMNS($AB$1006:AB1006),$AB$1006:$AQ$1006,0))&gt;=100000), " ",IF(INDEX($AB$2:$AQ$1001,MATCH(ROWS($U$2:U896),$U$2:$U$1001,0),MATCH(COLUMNS($AB$1006:AB1006),$AB$1006:$AQ$1006,0)), HYPERLINK("#",""), HYPERLINK(CONCATENATE("#Metadata!", ADDRESS(INDEX($W$2:$W$1001,MATCH(ROWS($U$2:U896),$U$2:$U$1001,0),0), INDEX($AB$1004:$AQ$1004,1,MATCH(COLUMNS($AB$1006:AB1006),$AB$1006:$AQ$1006,0)))),"Fix")))</f>
        <v>0</v>
      </c>
      <c r="C896" s="5">
        <f>IF(OR(INDEX($V$2:$V$1001,MATCH(ROWS($U$2:U896),$U$2:$U$1001,0),1)&gt;=100000,INDEX($AB$1005:$AQ$1005,1,MATCH(COLUMNS($AB$1006:AC1006),$AB$1006:$AQ$1006,0))&gt;=100000), " ",IF(INDEX($AB$2:$AQ$1001,MATCH(ROWS($U$2:U896),$U$2:$U$1001,0),MATCH(COLUMNS($AB$1006:AC1006),$AB$1006:$AQ$1006,0)), HYPERLINK("#",""), HYPERLINK(CONCATENATE("#Metadata!", ADDRESS(INDEX($W$2:$W$1001,MATCH(ROWS($U$2:U896),$U$2:$U$1001,0),0), INDEX($AB$1004:$AQ$1004,1,MATCH(COLUMNS($AB$1006:AC1006),$AB$1006:$AQ$1006,0)))),"Fix")))</f>
        <v>0</v>
      </c>
      <c r="D896" s="5">
        <f>IF(OR(INDEX($V$2:$V$1001,MATCH(ROWS($U$2:U896),$U$2:$U$1001,0),1)&gt;=100000,INDEX($AB$1005:$AQ$1005,1,MATCH(COLUMNS($AB$1006:AD1006),$AB$1006:$AQ$1006,0))&gt;=100000), " ",IF(INDEX($AB$2:$AQ$1001,MATCH(ROWS($U$2:U896),$U$2:$U$1001,0),MATCH(COLUMNS($AB$1006:AD1006),$AB$1006:$AQ$1006,0)), HYPERLINK("#",""), HYPERLINK(CONCATENATE("#Metadata!", ADDRESS(INDEX($W$2:$W$1001,MATCH(ROWS($U$2:U896),$U$2:$U$1001,0),0), INDEX($AB$1004:$AQ$1004,1,MATCH(COLUMNS($AB$1006:AD1006),$AB$1006:$AQ$1006,0)))),"Fix")))</f>
        <v>0</v>
      </c>
      <c r="E896" s="5">
        <f>IF(OR(INDEX($V$2:$V$1001,MATCH(ROWS($U$2:U896),$U$2:$U$1001,0),1)&gt;=100000,INDEX($AB$1005:$AQ$1005,1,MATCH(COLUMNS($AB$1006:AE1006),$AB$1006:$AQ$1006,0))&gt;=100000), " ",IF(INDEX($AB$2:$AQ$1001,MATCH(ROWS($U$2:U896),$U$2:$U$1001,0),MATCH(COLUMNS($AB$1006:AE1006),$AB$1006:$AQ$1006,0)), HYPERLINK("#",""), HYPERLINK(CONCATENATE("#Metadata!", ADDRESS(INDEX($W$2:$W$1001,MATCH(ROWS($U$2:U896),$U$2:$U$1001,0),0), INDEX($AB$1004:$AQ$1004,1,MATCH(COLUMNS($AB$1006:AE1006),$AB$1006:$AQ$1006,0)))),"Fix")))</f>
        <v>0</v>
      </c>
      <c r="F896" s="5">
        <f>IF(OR(INDEX($V$2:$V$1001,MATCH(ROWS($U$2:U896),$U$2:$U$1001,0),1)&gt;=100000,INDEX($AB$1005:$AQ$1005,1,MATCH(COLUMNS($AB$1006:AF1006),$AB$1006:$AQ$1006,0))&gt;=100000), " ",IF(INDEX($AB$2:$AQ$1001,MATCH(ROWS($U$2:U896),$U$2:$U$1001,0),MATCH(COLUMNS($AB$1006:AF1006),$AB$1006:$AQ$1006,0)), HYPERLINK("#",""), HYPERLINK(CONCATENATE("#Metadata!", ADDRESS(INDEX($W$2:$W$1001,MATCH(ROWS($U$2:U896),$U$2:$U$1001,0),0), INDEX($AB$1004:$AQ$1004,1,MATCH(COLUMNS($AB$1006:AF1006),$AB$1006:$AQ$1006,0)))),"Fix")))</f>
        <v>0</v>
      </c>
      <c r="G896" s="5">
        <f>IF(OR(INDEX($V$2:$V$1001,MATCH(ROWS($U$2:U896),$U$2:$U$1001,0),1)&gt;=100000,INDEX($AB$1005:$AQ$1005,1,MATCH(COLUMNS($AB$1006:AG1006),$AB$1006:$AQ$1006,0))&gt;=100000), " ",IF(INDEX($AB$2:$AQ$1001,MATCH(ROWS($U$2:U896),$U$2:$U$1001,0),MATCH(COLUMNS($AB$1006:AG1006),$AB$1006:$AQ$1006,0)), HYPERLINK("#",""), HYPERLINK(CONCATENATE("#Metadata!", ADDRESS(INDEX($W$2:$W$1001,MATCH(ROWS($U$2:U896),$U$2:$U$1001,0),0), INDEX($AB$1004:$AQ$1004,1,MATCH(COLUMNS($AB$1006:AG1006),$AB$1006:$AQ$1006,0)))),"Fix")))</f>
        <v>0</v>
      </c>
      <c r="H896" s="5">
        <f>IF(OR(INDEX($V$2:$V$1001,MATCH(ROWS($U$2:U896),$U$2:$U$1001,0),1)&gt;=100000,INDEX($AB$1005:$AQ$1005,1,MATCH(COLUMNS($AB$1006:AH1006),$AB$1006:$AQ$1006,0))&gt;=100000), " ",IF(INDEX($AB$2:$AQ$1001,MATCH(ROWS($U$2:U896),$U$2:$U$1001,0),MATCH(COLUMNS($AB$1006:AH1006),$AB$1006:$AQ$1006,0)), HYPERLINK("#",""), HYPERLINK(CONCATENATE("#Metadata!", ADDRESS(INDEX($W$2:$W$1001,MATCH(ROWS($U$2:U896),$U$2:$U$1001,0),0), INDEX($AB$1004:$AQ$1004,1,MATCH(COLUMNS($AB$1006:AH1006),$AB$1006:$AQ$1006,0)))),"Fix")))</f>
        <v>0</v>
      </c>
      <c r="I896" s="5">
        <f>IF(OR(INDEX($V$2:$V$1001,MATCH(ROWS($U$2:U896),$U$2:$U$1001,0),1)&gt;=100000,INDEX($AB$1005:$AQ$1005,1,MATCH(COLUMNS($AB$1006:AI1006),$AB$1006:$AQ$1006,0))&gt;=100000), " ",IF(INDEX($AB$2:$AQ$1001,MATCH(ROWS($U$2:U896),$U$2:$U$1001,0),MATCH(COLUMNS($AB$1006:AI1006),$AB$1006:$AQ$1006,0)), HYPERLINK("#",""), HYPERLINK(CONCATENATE("#Metadata!", ADDRESS(INDEX($W$2:$W$1001,MATCH(ROWS($U$2:U896),$U$2:$U$1001,0),0), INDEX($AB$1004:$AQ$1004,1,MATCH(COLUMNS($AB$1006:AI1006),$AB$1006:$AQ$1006,0)))),"Fix")))</f>
        <v>0</v>
      </c>
      <c r="J896" s="5">
        <f>IF(OR(INDEX($V$2:$V$1001,MATCH(ROWS($U$2:U896),$U$2:$U$1001,0),1)&gt;=100000,INDEX($AB$1005:$AQ$1005,1,MATCH(COLUMNS($AB$1006:AJ1006),$AB$1006:$AQ$1006,0))&gt;=100000), " ",IF(INDEX($AB$2:$AQ$1001,MATCH(ROWS($U$2:U896),$U$2:$U$1001,0),MATCH(COLUMNS($AB$1006:AJ1006),$AB$1006:$AQ$1006,0)), HYPERLINK("#",""), HYPERLINK(CONCATENATE("#Metadata!", ADDRESS(INDEX($W$2:$W$1001,MATCH(ROWS($U$2:U896),$U$2:$U$1001,0),0), INDEX($AB$1004:$AQ$1004,1,MATCH(COLUMNS($AB$1006:AJ1006),$AB$1006:$AQ$1006,0)))),"Fix")))</f>
        <v>0</v>
      </c>
      <c r="K896" s="5">
        <f>IF(OR(INDEX($V$2:$V$1001,MATCH(ROWS($U$2:U896),$U$2:$U$1001,0),1)&gt;=100000,INDEX($AB$1005:$AQ$1005,1,MATCH(COLUMNS($AB$1006:AK1006),$AB$1006:$AQ$1006,0))&gt;=100000), " ",IF(INDEX($AB$2:$AQ$1001,MATCH(ROWS($U$2:U896),$U$2:$U$1001,0),MATCH(COLUMNS($AB$1006:AK1006),$AB$1006:$AQ$1006,0)), HYPERLINK("#",""), HYPERLINK(CONCATENATE("#Metadata!", ADDRESS(INDEX($W$2:$W$1001,MATCH(ROWS($U$2:U896),$U$2:$U$1001,0),0), INDEX($AB$1004:$AQ$1004,1,MATCH(COLUMNS($AB$1006:AK1006),$AB$1006:$AQ$1006,0)))),"Fix")))</f>
        <v>0</v>
      </c>
      <c r="L896" s="5">
        <f>IF(OR(INDEX($V$2:$V$1001,MATCH(ROWS($U$2:U896),$U$2:$U$1001,0),1)&gt;=100000,INDEX($AB$1005:$AQ$1005,1,MATCH(COLUMNS($AB$1006:AL1006),$AB$1006:$AQ$1006,0))&gt;=100000), " ",IF(INDEX($AB$2:$AQ$1001,MATCH(ROWS($U$2:U896),$U$2:$U$1001,0),MATCH(COLUMNS($AB$1006:AL1006),$AB$1006:$AQ$1006,0)), HYPERLINK("#",""), HYPERLINK(CONCATENATE("#Metadata!", ADDRESS(INDEX($W$2:$W$1001,MATCH(ROWS($U$2:U896),$U$2:$U$1001,0),0), INDEX($AB$1004:$AQ$1004,1,MATCH(COLUMNS($AB$1006:AL1006),$AB$1006:$AQ$1006,0)))),"Fix")))</f>
        <v>0</v>
      </c>
      <c r="M896" s="5">
        <f>IF(OR(INDEX($V$2:$V$1001,MATCH(ROWS($U$2:U896),$U$2:$U$1001,0),1)&gt;=100000,INDEX($AB$1005:$AQ$1005,1,MATCH(COLUMNS($AB$1006:AM1006),$AB$1006:$AQ$1006,0))&gt;=100000), " ",IF(INDEX($AB$2:$AQ$1001,MATCH(ROWS($U$2:U896),$U$2:$U$1001,0),MATCH(COLUMNS($AB$1006:AM1006),$AB$1006:$AQ$1006,0)), HYPERLINK("#",""), HYPERLINK(CONCATENATE("#Metadata!", ADDRESS(INDEX($W$2:$W$1001,MATCH(ROWS($U$2:U896),$U$2:$U$1001,0),0), INDEX($AB$1004:$AQ$1004,1,MATCH(COLUMNS($AB$1006:AM1006),$AB$1006:$AQ$1006,0)))),"Fix")))</f>
        <v>0</v>
      </c>
      <c r="N896" s="5">
        <f>IF(OR(INDEX($V$2:$V$1001,MATCH(ROWS($U$2:U896),$U$2:$U$1001,0),1)&gt;=100000,INDEX($AB$1005:$AQ$1005,1,MATCH(COLUMNS($AB$1006:AN1006),$AB$1006:$AQ$1006,0))&gt;=100000), " ",IF(INDEX($AB$2:$AQ$1001,MATCH(ROWS($U$2:U896),$U$2:$U$1001,0),MATCH(COLUMNS($AB$1006:AN1006),$AB$1006:$AQ$1006,0)), HYPERLINK("#",""), HYPERLINK(CONCATENATE("#Metadata!", ADDRESS(INDEX($W$2:$W$1001,MATCH(ROWS($U$2:U896),$U$2:$U$1001,0),0), INDEX($AB$1004:$AQ$1004,1,MATCH(COLUMNS($AB$1006:AN1006),$AB$1006:$AQ$1006,0)))),"Fix")))</f>
        <v>0</v>
      </c>
      <c r="O896" s="5">
        <f>IF(OR(INDEX($V$2:$V$1001,MATCH(ROWS($U$2:U896),$U$2:$U$1001,0),1)&gt;=100000,INDEX($AB$1005:$AQ$1005,1,MATCH(COLUMNS($AB$1006:AO1006),$AB$1006:$AQ$1006,0))&gt;=100000), " ",IF(INDEX($AB$2:$AQ$1001,MATCH(ROWS($U$2:U896),$U$2:$U$1001,0),MATCH(COLUMNS($AB$1006:AO1006),$AB$1006:$AQ$1006,0)), HYPERLINK("#",""), HYPERLINK(CONCATENATE("#Metadata!", ADDRESS(INDEX($W$2:$W$1001,MATCH(ROWS($U$2:U896),$U$2:$U$1001,0),0), INDEX($AB$1004:$AQ$1004,1,MATCH(COLUMNS($AB$1006:AO1006),$AB$1006:$AQ$1006,0)))),"Fix")))</f>
        <v>0</v>
      </c>
      <c r="P896" s="5">
        <f>IF(OR(INDEX($V$2:$V$1001,MATCH(ROWS($U$2:U896),$U$2:$U$1001,0),1)&gt;=100000,INDEX($AB$1005:$AQ$1005,1,MATCH(COLUMNS($AB$1006:AP1006),$AB$1006:$AQ$1006,0))&gt;=100000), " ",IF(INDEX($AB$2:$AQ$1001,MATCH(ROWS($U$2:U896),$U$2:$U$1001,0),MATCH(COLUMNS($AB$1006:AP1006),$AB$1006:$AQ$1006,0)), HYPERLINK("#",""), HYPERLINK(CONCATENATE("#Metadata!", ADDRESS(INDEX($W$2:$W$1001,MATCH(ROWS($U$2:U896),$U$2:$U$1001,0),0), INDEX($AB$1004:$AQ$1004,1,MATCH(COLUMNS($AB$1006:AP1006),$AB$1006:$AQ$1006,0)))),"Fix")))</f>
        <v>0</v>
      </c>
      <c r="Q896" s="5">
        <f>IF(OR(INDEX($V$2:$V$1001,MATCH(ROWS($U$2:U896),$U$2:$U$1001,0),1)&gt;=100000,INDEX($AB$1005:$AQ$1005,1,MATCH(COLUMNS($AB$1006:AQ1006),$AB$1006:$AQ$1006,0))&gt;=100000), " ",IF(INDEX($AB$2:$AQ$1001,MATCH(ROWS($U$2:U896),$U$2:$U$1001,0),MATCH(COLUMNS($AB$1006:AQ1006),$AB$1006:$AQ$1006,0)), HYPERLINK("#",""), HYPERLINK(CONCATENATE("#Metadata!", ADDRESS(INDEX($W$2:$W$1001,MATCH(ROWS($U$2:U896),$U$2:$U$1001,0),0), INDEX($AB$1004:$AQ$1004,1,MATCH(COLUMNS($AB$1006:AQ1006),$AB$1006:$AQ$1006,0)))),"Fix")))</f>
        <v>0</v>
      </c>
      <c r="U896">
        <v>0</v>
      </c>
      <c r="V896">
        <v>0</v>
      </c>
      <c r="W896">
        <v>0</v>
      </c>
      <c r="X896">
        <f>IF(Y896,TRUE,AND(AB896:AQ896))</f>
        <v>0</v>
      </c>
      <c r="Y896">
        <f>COUNTBLANK(Metadata!B896:Q896)=COLUMNS(Metadata!B896:Q896)</f>
        <v>0</v>
      </c>
      <c r="Z896">
        <v>0</v>
      </c>
      <c r="AB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AC896">
        <f>AND(IF(Metadata!C896="",FALSE,TRUE),exact(Metadata!C896,"urban biome"))</f>
        <v>0</v>
      </c>
      <c r="AD896">
        <f>AND(IF(Metadata!D896="",FALSE,TRUE),exact(Metadata!D896,"human-associated habitat"))</f>
        <v>0</v>
      </c>
      <c r="AE896">
        <f>AND(IF(Metadata!E896="",FALSE,TRUE),OR(exact(Metadata!E896,"human-associated"),exact(Metadata!E896,"human-skin"),exact(Metadata!E896,"human-oral"),exact(Metadata!E896,"human-gut"),exact(Metadata!E896,"human-vaginal")))</f>
        <v>0</v>
      </c>
      <c r="AF896">
        <f>AND(IF(Metadata!F896="",FALSE,ISNUMBER(VALUE(Metadata!F896))),Metadata!F896&gt;0)</f>
        <v>0</v>
      </c>
      <c r="AG896">
        <f>AND(IF(Metadata!G896="",FALSE,TRUE),exact(Metadata!G896,"years"))</f>
        <v>0</v>
      </c>
      <c r="AH896">
        <f>OR(AND(IF(Metadata!H896="",FALSE,TRUE),OR(exact(Metadata!H896,"not applicable"),exact(Metadata!H896,"not collected"),exact(Metadata!H896,"not provided"),exact(Metadata!H896,"restricted access"))),AND(IF(Metadata!H896="",FALSE,ISNUMBER(VALUE(Metadata!H896))),Metadata!H896&gt;0))</f>
        <v>0</v>
      </c>
      <c r="AI896">
        <f>AND(IF(Metadata!I896="",FALSE,TRUE),exact(Metadata!I896,"human"))</f>
        <v>0</v>
      </c>
      <c r="AJ896">
        <f>AND(IF(Metadata!J896="",FALSE,ISNUMBER(VALUE(Metadata!J896))),Metadata!J896&gt;0)</f>
        <v>0</v>
      </c>
      <c r="AK896">
        <f>AND(IF(Metadata!K896="",FALSE,TRUE),exact(Metadata!K896,"cm"))</f>
        <v>0</v>
      </c>
      <c r="AL896">
        <f>AND(IF(Metadata!L896="",FALSE,TRUE),exact(Metadata!L896,"Homo sapiens"))</f>
        <v>0</v>
      </c>
      <c r="AM896">
        <f>AND(IF(Metadata!M896="",FALSE,TRUE),exact(Metadata!M896,"9606"))</f>
        <v>0</v>
      </c>
      <c r="AN896">
        <f>AND(IF(Metadata!N896="",FALSE,ISNUMBER(VALUE(Metadata!N896))),Metadata!N896&gt;0)</f>
        <v>0</v>
      </c>
      <c r="AO896">
        <f>AND(IF(Metadata!O896="",FALSE,TRUE),exact(Metadata!O896,"kg"))</f>
        <v>0</v>
      </c>
      <c r="AP896">
        <f>OR(AND(IF(Metadata!P896="",FALSE,TRUE),exact(Metadata!P896,"not provided")),IF(Metadata!P896="",FALSE,TRUE))</f>
        <v>0</v>
      </c>
      <c r="AQ896">
        <f>OR(AND(IF(Metadata!Q896="",FALSE,TRUE),exact(Metadata!Q896,"not provided")),IF(Metadata!Q896="",FALSE,TRUE))</f>
        <v>0</v>
      </c>
    </row>
    <row r="897" spans="1:43">
      <c r="A897" s="4">
        <f>IF(B897=" "," ",HYPERLINK(CONCATENATE("#metadata!",ADDRESS(INDEX($W$2:$W$1001,MATCH(ROWS($U$2:U897),$U$2:$U$1001,0),0),2)),INDEX($Z$2:$Z$1001,MATCH(ROWS($U$2:U897),$U$2:$U$1001,0),0)))</f>
        <v>0</v>
      </c>
      <c r="B897" s="5">
        <f>IF(OR(INDEX($V$2:$V$1001,MATCH(ROWS($U$2:U897),$U$2:$U$1001,0),1)&gt;=100000,INDEX($AB$1005:$AQ$1005,1,MATCH(COLUMNS($AB$1006:AB1006),$AB$1006:$AQ$1006,0))&gt;=100000), " ",IF(INDEX($AB$2:$AQ$1001,MATCH(ROWS($U$2:U897),$U$2:$U$1001,0),MATCH(COLUMNS($AB$1006:AB1006),$AB$1006:$AQ$1006,0)), HYPERLINK("#",""), HYPERLINK(CONCATENATE("#Metadata!", ADDRESS(INDEX($W$2:$W$1001,MATCH(ROWS($U$2:U897),$U$2:$U$1001,0),0), INDEX($AB$1004:$AQ$1004,1,MATCH(COLUMNS($AB$1006:AB1006),$AB$1006:$AQ$1006,0)))),"Fix")))</f>
        <v>0</v>
      </c>
      <c r="C897" s="5">
        <f>IF(OR(INDEX($V$2:$V$1001,MATCH(ROWS($U$2:U897),$U$2:$U$1001,0),1)&gt;=100000,INDEX($AB$1005:$AQ$1005,1,MATCH(COLUMNS($AB$1006:AC1006),$AB$1006:$AQ$1006,0))&gt;=100000), " ",IF(INDEX($AB$2:$AQ$1001,MATCH(ROWS($U$2:U897),$U$2:$U$1001,0),MATCH(COLUMNS($AB$1006:AC1006),$AB$1006:$AQ$1006,0)), HYPERLINK("#",""), HYPERLINK(CONCATENATE("#Metadata!", ADDRESS(INDEX($W$2:$W$1001,MATCH(ROWS($U$2:U897),$U$2:$U$1001,0),0), INDEX($AB$1004:$AQ$1004,1,MATCH(COLUMNS($AB$1006:AC1006),$AB$1006:$AQ$1006,0)))),"Fix")))</f>
        <v>0</v>
      </c>
      <c r="D897" s="5">
        <f>IF(OR(INDEX($V$2:$V$1001,MATCH(ROWS($U$2:U897),$U$2:$U$1001,0),1)&gt;=100000,INDEX($AB$1005:$AQ$1005,1,MATCH(COLUMNS($AB$1006:AD1006),$AB$1006:$AQ$1006,0))&gt;=100000), " ",IF(INDEX($AB$2:$AQ$1001,MATCH(ROWS($U$2:U897),$U$2:$U$1001,0),MATCH(COLUMNS($AB$1006:AD1006),$AB$1006:$AQ$1006,0)), HYPERLINK("#",""), HYPERLINK(CONCATENATE("#Metadata!", ADDRESS(INDEX($W$2:$W$1001,MATCH(ROWS($U$2:U897),$U$2:$U$1001,0),0), INDEX($AB$1004:$AQ$1004,1,MATCH(COLUMNS($AB$1006:AD1006),$AB$1006:$AQ$1006,0)))),"Fix")))</f>
        <v>0</v>
      </c>
      <c r="E897" s="5">
        <f>IF(OR(INDEX($V$2:$V$1001,MATCH(ROWS($U$2:U897),$U$2:$U$1001,0),1)&gt;=100000,INDEX($AB$1005:$AQ$1005,1,MATCH(COLUMNS($AB$1006:AE1006),$AB$1006:$AQ$1006,0))&gt;=100000), " ",IF(INDEX($AB$2:$AQ$1001,MATCH(ROWS($U$2:U897),$U$2:$U$1001,0),MATCH(COLUMNS($AB$1006:AE1006),$AB$1006:$AQ$1006,0)), HYPERLINK("#",""), HYPERLINK(CONCATENATE("#Metadata!", ADDRESS(INDEX($W$2:$W$1001,MATCH(ROWS($U$2:U897),$U$2:$U$1001,0),0), INDEX($AB$1004:$AQ$1004,1,MATCH(COLUMNS($AB$1006:AE1006),$AB$1006:$AQ$1006,0)))),"Fix")))</f>
        <v>0</v>
      </c>
      <c r="F897" s="5">
        <f>IF(OR(INDEX($V$2:$V$1001,MATCH(ROWS($U$2:U897),$U$2:$U$1001,0),1)&gt;=100000,INDEX($AB$1005:$AQ$1005,1,MATCH(COLUMNS($AB$1006:AF1006),$AB$1006:$AQ$1006,0))&gt;=100000), " ",IF(INDEX($AB$2:$AQ$1001,MATCH(ROWS($U$2:U897),$U$2:$U$1001,0),MATCH(COLUMNS($AB$1006:AF1006),$AB$1006:$AQ$1006,0)), HYPERLINK("#",""), HYPERLINK(CONCATENATE("#Metadata!", ADDRESS(INDEX($W$2:$W$1001,MATCH(ROWS($U$2:U897),$U$2:$U$1001,0),0), INDEX($AB$1004:$AQ$1004,1,MATCH(COLUMNS($AB$1006:AF1006),$AB$1006:$AQ$1006,0)))),"Fix")))</f>
        <v>0</v>
      </c>
      <c r="G897" s="5">
        <f>IF(OR(INDEX($V$2:$V$1001,MATCH(ROWS($U$2:U897),$U$2:$U$1001,0),1)&gt;=100000,INDEX($AB$1005:$AQ$1005,1,MATCH(COLUMNS($AB$1006:AG1006),$AB$1006:$AQ$1006,0))&gt;=100000), " ",IF(INDEX($AB$2:$AQ$1001,MATCH(ROWS($U$2:U897),$U$2:$U$1001,0),MATCH(COLUMNS($AB$1006:AG1006),$AB$1006:$AQ$1006,0)), HYPERLINK("#",""), HYPERLINK(CONCATENATE("#Metadata!", ADDRESS(INDEX($W$2:$W$1001,MATCH(ROWS($U$2:U897),$U$2:$U$1001,0),0), INDEX($AB$1004:$AQ$1004,1,MATCH(COLUMNS($AB$1006:AG1006),$AB$1006:$AQ$1006,0)))),"Fix")))</f>
        <v>0</v>
      </c>
      <c r="H897" s="5">
        <f>IF(OR(INDEX($V$2:$V$1001,MATCH(ROWS($U$2:U897),$U$2:$U$1001,0),1)&gt;=100000,INDEX($AB$1005:$AQ$1005,1,MATCH(COLUMNS($AB$1006:AH1006),$AB$1006:$AQ$1006,0))&gt;=100000), " ",IF(INDEX($AB$2:$AQ$1001,MATCH(ROWS($U$2:U897),$U$2:$U$1001,0),MATCH(COLUMNS($AB$1006:AH1006),$AB$1006:$AQ$1006,0)), HYPERLINK("#",""), HYPERLINK(CONCATENATE("#Metadata!", ADDRESS(INDEX($W$2:$W$1001,MATCH(ROWS($U$2:U897),$U$2:$U$1001,0),0), INDEX($AB$1004:$AQ$1004,1,MATCH(COLUMNS($AB$1006:AH1006),$AB$1006:$AQ$1006,0)))),"Fix")))</f>
        <v>0</v>
      </c>
      <c r="I897" s="5">
        <f>IF(OR(INDEX($V$2:$V$1001,MATCH(ROWS($U$2:U897),$U$2:$U$1001,0),1)&gt;=100000,INDEX($AB$1005:$AQ$1005,1,MATCH(COLUMNS($AB$1006:AI1006),$AB$1006:$AQ$1006,0))&gt;=100000), " ",IF(INDEX($AB$2:$AQ$1001,MATCH(ROWS($U$2:U897),$U$2:$U$1001,0),MATCH(COLUMNS($AB$1006:AI1006),$AB$1006:$AQ$1006,0)), HYPERLINK("#",""), HYPERLINK(CONCATENATE("#Metadata!", ADDRESS(INDEX($W$2:$W$1001,MATCH(ROWS($U$2:U897),$U$2:$U$1001,0),0), INDEX($AB$1004:$AQ$1004,1,MATCH(COLUMNS($AB$1006:AI1006),$AB$1006:$AQ$1006,0)))),"Fix")))</f>
        <v>0</v>
      </c>
      <c r="J897" s="5">
        <f>IF(OR(INDEX($V$2:$V$1001,MATCH(ROWS($U$2:U897),$U$2:$U$1001,0),1)&gt;=100000,INDEX($AB$1005:$AQ$1005,1,MATCH(COLUMNS($AB$1006:AJ1006),$AB$1006:$AQ$1006,0))&gt;=100000), " ",IF(INDEX($AB$2:$AQ$1001,MATCH(ROWS($U$2:U897),$U$2:$U$1001,0),MATCH(COLUMNS($AB$1006:AJ1006),$AB$1006:$AQ$1006,0)), HYPERLINK("#",""), HYPERLINK(CONCATENATE("#Metadata!", ADDRESS(INDEX($W$2:$W$1001,MATCH(ROWS($U$2:U897),$U$2:$U$1001,0),0), INDEX($AB$1004:$AQ$1004,1,MATCH(COLUMNS($AB$1006:AJ1006),$AB$1006:$AQ$1006,0)))),"Fix")))</f>
        <v>0</v>
      </c>
      <c r="K897" s="5">
        <f>IF(OR(INDEX($V$2:$V$1001,MATCH(ROWS($U$2:U897),$U$2:$U$1001,0),1)&gt;=100000,INDEX($AB$1005:$AQ$1005,1,MATCH(COLUMNS($AB$1006:AK1006),$AB$1006:$AQ$1006,0))&gt;=100000), " ",IF(INDEX($AB$2:$AQ$1001,MATCH(ROWS($U$2:U897),$U$2:$U$1001,0),MATCH(COLUMNS($AB$1006:AK1006),$AB$1006:$AQ$1006,0)), HYPERLINK("#",""), HYPERLINK(CONCATENATE("#Metadata!", ADDRESS(INDEX($W$2:$W$1001,MATCH(ROWS($U$2:U897),$U$2:$U$1001,0),0), INDEX($AB$1004:$AQ$1004,1,MATCH(COLUMNS($AB$1006:AK1006),$AB$1006:$AQ$1006,0)))),"Fix")))</f>
        <v>0</v>
      </c>
      <c r="L897" s="5">
        <f>IF(OR(INDEX($V$2:$V$1001,MATCH(ROWS($U$2:U897),$U$2:$U$1001,0),1)&gt;=100000,INDEX($AB$1005:$AQ$1005,1,MATCH(COLUMNS($AB$1006:AL1006),$AB$1006:$AQ$1006,0))&gt;=100000), " ",IF(INDEX($AB$2:$AQ$1001,MATCH(ROWS($U$2:U897),$U$2:$U$1001,0),MATCH(COLUMNS($AB$1006:AL1006),$AB$1006:$AQ$1006,0)), HYPERLINK("#",""), HYPERLINK(CONCATENATE("#Metadata!", ADDRESS(INDEX($W$2:$W$1001,MATCH(ROWS($U$2:U897),$U$2:$U$1001,0),0), INDEX($AB$1004:$AQ$1004,1,MATCH(COLUMNS($AB$1006:AL1006),$AB$1006:$AQ$1006,0)))),"Fix")))</f>
        <v>0</v>
      </c>
      <c r="M897" s="5">
        <f>IF(OR(INDEX($V$2:$V$1001,MATCH(ROWS($U$2:U897),$U$2:$U$1001,0),1)&gt;=100000,INDEX($AB$1005:$AQ$1005,1,MATCH(COLUMNS($AB$1006:AM1006),$AB$1006:$AQ$1006,0))&gt;=100000), " ",IF(INDEX($AB$2:$AQ$1001,MATCH(ROWS($U$2:U897),$U$2:$U$1001,0),MATCH(COLUMNS($AB$1006:AM1006),$AB$1006:$AQ$1006,0)), HYPERLINK("#",""), HYPERLINK(CONCATENATE("#Metadata!", ADDRESS(INDEX($W$2:$W$1001,MATCH(ROWS($U$2:U897),$U$2:$U$1001,0),0), INDEX($AB$1004:$AQ$1004,1,MATCH(COLUMNS($AB$1006:AM1006),$AB$1006:$AQ$1006,0)))),"Fix")))</f>
        <v>0</v>
      </c>
      <c r="N897" s="5">
        <f>IF(OR(INDEX($V$2:$V$1001,MATCH(ROWS($U$2:U897),$U$2:$U$1001,0),1)&gt;=100000,INDEX($AB$1005:$AQ$1005,1,MATCH(COLUMNS($AB$1006:AN1006),$AB$1006:$AQ$1006,0))&gt;=100000), " ",IF(INDEX($AB$2:$AQ$1001,MATCH(ROWS($U$2:U897),$U$2:$U$1001,0),MATCH(COLUMNS($AB$1006:AN1006),$AB$1006:$AQ$1006,0)), HYPERLINK("#",""), HYPERLINK(CONCATENATE("#Metadata!", ADDRESS(INDEX($W$2:$W$1001,MATCH(ROWS($U$2:U897),$U$2:$U$1001,0),0), INDEX($AB$1004:$AQ$1004,1,MATCH(COLUMNS($AB$1006:AN1006),$AB$1006:$AQ$1006,0)))),"Fix")))</f>
        <v>0</v>
      </c>
      <c r="O897" s="5">
        <f>IF(OR(INDEX($V$2:$V$1001,MATCH(ROWS($U$2:U897),$U$2:$U$1001,0),1)&gt;=100000,INDEX($AB$1005:$AQ$1005,1,MATCH(COLUMNS($AB$1006:AO1006),$AB$1006:$AQ$1006,0))&gt;=100000), " ",IF(INDEX($AB$2:$AQ$1001,MATCH(ROWS($U$2:U897),$U$2:$U$1001,0),MATCH(COLUMNS($AB$1006:AO1006),$AB$1006:$AQ$1006,0)), HYPERLINK("#",""), HYPERLINK(CONCATENATE("#Metadata!", ADDRESS(INDEX($W$2:$W$1001,MATCH(ROWS($U$2:U897),$U$2:$U$1001,0),0), INDEX($AB$1004:$AQ$1004,1,MATCH(COLUMNS($AB$1006:AO1006),$AB$1006:$AQ$1006,0)))),"Fix")))</f>
        <v>0</v>
      </c>
      <c r="P897" s="5">
        <f>IF(OR(INDEX($V$2:$V$1001,MATCH(ROWS($U$2:U897),$U$2:$U$1001,0),1)&gt;=100000,INDEX($AB$1005:$AQ$1005,1,MATCH(COLUMNS($AB$1006:AP1006),$AB$1006:$AQ$1006,0))&gt;=100000), " ",IF(INDEX($AB$2:$AQ$1001,MATCH(ROWS($U$2:U897),$U$2:$U$1001,0),MATCH(COLUMNS($AB$1006:AP1006),$AB$1006:$AQ$1006,0)), HYPERLINK("#",""), HYPERLINK(CONCATENATE("#Metadata!", ADDRESS(INDEX($W$2:$W$1001,MATCH(ROWS($U$2:U897),$U$2:$U$1001,0),0), INDEX($AB$1004:$AQ$1004,1,MATCH(COLUMNS($AB$1006:AP1006),$AB$1006:$AQ$1006,0)))),"Fix")))</f>
        <v>0</v>
      </c>
      <c r="Q897" s="5">
        <f>IF(OR(INDEX($V$2:$V$1001,MATCH(ROWS($U$2:U897),$U$2:$U$1001,0),1)&gt;=100000,INDEX($AB$1005:$AQ$1005,1,MATCH(COLUMNS($AB$1006:AQ1006),$AB$1006:$AQ$1006,0))&gt;=100000), " ",IF(INDEX($AB$2:$AQ$1001,MATCH(ROWS($U$2:U897),$U$2:$U$1001,0),MATCH(COLUMNS($AB$1006:AQ1006),$AB$1006:$AQ$1006,0)), HYPERLINK("#",""), HYPERLINK(CONCATENATE("#Metadata!", ADDRESS(INDEX($W$2:$W$1001,MATCH(ROWS($U$2:U897),$U$2:$U$1001,0),0), INDEX($AB$1004:$AQ$1004,1,MATCH(COLUMNS($AB$1006:AQ1006),$AB$1006:$AQ$1006,0)))),"Fix")))</f>
        <v>0</v>
      </c>
      <c r="U897">
        <v>0</v>
      </c>
      <c r="V897">
        <v>0</v>
      </c>
      <c r="W897">
        <v>0</v>
      </c>
      <c r="X897">
        <f>IF(Y897,TRUE,AND(AB897:AQ897))</f>
        <v>0</v>
      </c>
      <c r="Y897">
        <f>COUNTBLANK(Metadata!B897:Q897)=COLUMNS(Metadata!B897:Q897)</f>
        <v>0</v>
      </c>
      <c r="Z897">
        <v>0</v>
      </c>
      <c r="AB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AC897">
        <f>AND(IF(Metadata!C897="",FALSE,TRUE),exact(Metadata!C897,"urban biome"))</f>
        <v>0</v>
      </c>
      <c r="AD897">
        <f>AND(IF(Metadata!D897="",FALSE,TRUE),exact(Metadata!D897,"human-associated habitat"))</f>
        <v>0</v>
      </c>
      <c r="AE897">
        <f>AND(IF(Metadata!E897="",FALSE,TRUE),OR(exact(Metadata!E897,"human-associated"),exact(Metadata!E897,"human-skin"),exact(Metadata!E897,"human-oral"),exact(Metadata!E897,"human-gut"),exact(Metadata!E897,"human-vaginal")))</f>
        <v>0</v>
      </c>
      <c r="AF897">
        <f>AND(IF(Metadata!F897="",FALSE,ISNUMBER(VALUE(Metadata!F897))),Metadata!F897&gt;0)</f>
        <v>0</v>
      </c>
      <c r="AG897">
        <f>AND(IF(Metadata!G897="",FALSE,TRUE),exact(Metadata!G897,"years"))</f>
        <v>0</v>
      </c>
      <c r="AH897">
        <f>OR(AND(IF(Metadata!H897="",FALSE,TRUE),OR(exact(Metadata!H897,"not applicable"),exact(Metadata!H897,"not collected"),exact(Metadata!H897,"not provided"),exact(Metadata!H897,"restricted access"))),AND(IF(Metadata!H897="",FALSE,ISNUMBER(VALUE(Metadata!H897))),Metadata!H897&gt;0))</f>
        <v>0</v>
      </c>
      <c r="AI897">
        <f>AND(IF(Metadata!I897="",FALSE,TRUE),exact(Metadata!I897,"human"))</f>
        <v>0</v>
      </c>
      <c r="AJ897">
        <f>AND(IF(Metadata!J897="",FALSE,ISNUMBER(VALUE(Metadata!J897))),Metadata!J897&gt;0)</f>
        <v>0</v>
      </c>
      <c r="AK897">
        <f>AND(IF(Metadata!K897="",FALSE,TRUE),exact(Metadata!K897,"cm"))</f>
        <v>0</v>
      </c>
      <c r="AL897">
        <f>AND(IF(Metadata!L897="",FALSE,TRUE),exact(Metadata!L897,"Homo sapiens"))</f>
        <v>0</v>
      </c>
      <c r="AM897">
        <f>AND(IF(Metadata!M897="",FALSE,TRUE),exact(Metadata!M897,"9606"))</f>
        <v>0</v>
      </c>
      <c r="AN897">
        <f>AND(IF(Metadata!N897="",FALSE,ISNUMBER(VALUE(Metadata!N897))),Metadata!N897&gt;0)</f>
        <v>0</v>
      </c>
      <c r="AO897">
        <f>AND(IF(Metadata!O897="",FALSE,TRUE),exact(Metadata!O897,"kg"))</f>
        <v>0</v>
      </c>
      <c r="AP897">
        <f>OR(AND(IF(Metadata!P897="",FALSE,TRUE),exact(Metadata!P897,"not provided")),IF(Metadata!P897="",FALSE,TRUE))</f>
        <v>0</v>
      </c>
      <c r="AQ897">
        <f>OR(AND(IF(Metadata!Q897="",FALSE,TRUE),exact(Metadata!Q897,"not provided")),IF(Metadata!Q897="",FALSE,TRUE))</f>
        <v>0</v>
      </c>
    </row>
    <row r="898" spans="1:43">
      <c r="A898" s="4">
        <f>IF(B898=" "," ",HYPERLINK(CONCATENATE("#metadata!",ADDRESS(INDEX($W$2:$W$1001,MATCH(ROWS($U$2:U898),$U$2:$U$1001,0),0),2)),INDEX($Z$2:$Z$1001,MATCH(ROWS($U$2:U898),$U$2:$U$1001,0),0)))</f>
        <v>0</v>
      </c>
      <c r="B898" s="5">
        <f>IF(OR(INDEX($V$2:$V$1001,MATCH(ROWS($U$2:U898),$U$2:$U$1001,0),1)&gt;=100000,INDEX($AB$1005:$AQ$1005,1,MATCH(COLUMNS($AB$1006:AB1006),$AB$1006:$AQ$1006,0))&gt;=100000), " ",IF(INDEX($AB$2:$AQ$1001,MATCH(ROWS($U$2:U898),$U$2:$U$1001,0),MATCH(COLUMNS($AB$1006:AB1006),$AB$1006:$AQ$1006,0)), HYPERLINK("#",""), HYPERLINK(CONCATENATE("#Metadata!", ADDRESS(INDEX($W$2:$W$1001,MATCH(ROWS($U$2:U898),$U$2:$U$1001,0),0), INDEX($AB$1004:$AQ$1004,1,MATCH(COLUMNS($AB$1006:AB1006),$AB$1006:$AQ$1006,0)))),"Fix")))</f>
        <v>0</v>
      </c>
      <c r="C898" s="5">
        <f>IF(OR(INDEX($V$2:$V$1001,MATCH(ROWS($U$2:U898),$U$2:$U$1001,0),1)&gt;=100000,INDEX($AB$1005:$AQ$1005,1,MATCH(COLUMNS($AB$1006:AC1006),$AB$1006:$AQ$1006,0))&gt;=100000), " ",IF(INDEX($AB$2:$AQ$1001,MATCH(ROWS($U$2:U898),$U$2:$U$1001,0),MATCH(COLUMNS($AB$1006:AC1006),$AB$1006:$AQ$1006,0)), HYPERLINK("#",""), HYPERLINK(CONCATENATE("#Metadata!", ADDRESS(INDEX($W$2:$W$1001,MATCH(ROWS($U$2:U898),$U$2:$U$1001,0),0), INDEX($AB$1004:$AQ$1004,1,MATCH(COLUMNS($AB$1006:AC1006),$AB$1006:$AQ$1006,0)))),"Fix")))</f>
        <v>0</v>
      </c>
      <c r="D898" s="5">
        <f>IF(OR(INDEX($V$2:$V$1001,MATCH(ROWS($U$2:U898),$U$2:$U$1001,0),1)&gt;=100000,INDEX($AB$1005:$AQ$1005,1,MATCH(COLUMNS($AB$1006:AD1006),$AB$1006:$AQ$1006,0))&gt;=100000), " ",IF(INDEX($AB$2:$AQ$1001,MATCH(ROWS($U$2:U898),$U$2:$U$1001,0),MATCH(COLUMNS($AB$1006:AD1006),$AB$1006:$AQ$1006,0)), HYPERLINK("#",""), HYPERLINK(CONCATENATE("#Metadata!", ADDRESS(INDEX($W$2:$W$1001,MATCH(ROWS($U$2:U898),$U$2:$U$1001,0),0), INDEX($AB$1004:$AQ$1004,1,MATCH(COLUMNS($AB$1006:AD1006),$AB$1006:$AQ$1006,0)))),"Fix")))</f>
        <v>0</v>
      </c>
      <c r="E898" s="5">
        <f>IF(OR(INDEX($V$2:$V$1001,MATCH(ROWS($U$2:U898),$U$2:$U$1001,0),1)&gt;=100000,INDEX($AB$1005:$AQ$1005,1,MATCH(COLUMNS($AB$1006:AE1006),$AB$1006:$AQ$1006,0))&gt;=100000), " ",IF(INDEX($AB$2:$AQ$1001,MATCH(ROWS($U$2:U898),$U$2:$U$1001,0),MATCH(COLUMNS($AB$1006:AE1006),$AB$1006:$AQ$1006,0)), HYPERLINK("#",""), HYPERLINK(CONCATENATE("#Metadata!", ADDRESS(INDEX($W$2:$W$1001,MATCH(ROWS($U$2:U898),$U$2:$U$1001,0),0), INDEX($AB$1004:$AQ$1004,1,MATCH(COLUMNS($AB$1006:AE1006),$AB$1006:$AQ$1006,0)))),"Fix")))</f>
        <v>0</v>
      </c>
      <c r="F898" s="5">
        <f>IF(OR(INDEX($V$2:$V$1001,MATCH(ROWS($U$2:U898),$U$2:$U$1001,0),1)&gt;=100000,INDEX($AB$1005:$AQ$1005,1,MATCH(COLUMNS($AB$1006:AF1006),$AB$1006:$AQ$1006,0))&gt;=100000), " ",IF(INDEX($AB$2:$AQ$1001,MATCH(ROWS($U$2:U898),$U$2:$U$1001,0),MATCH(COLUMNS($AB$1006:AF1006),$AB$1006:$AQ$1006,0)), HYPERLINK("#",""), HYPERLINK(CONCATENATE("#Metadata!", ADDRESS(INDEX($W$2:$W$1001,MATCH(ROWS($U$2:U898),$U$2:$U$1001,0),0), INDEX($AB$1004:$AQ$1004,1,MATCH(COLUMNS($AB$1006:AF1006),$AB$1006:$AQ$1006,0)))),"Fix")))</f>
        <v>0</v>
      </c>
      <c r="G898" s="5">
        <f>IF(OR(INDEX($V$2:$V$1001,MATCH(ROWS($U$2:U898),$U$2:$U$1001,0),1)&gt;=100000,INDEX($AB$1005:$AQ$1005,1,MATCH(COLUMNS($AB$1006:AG1006),$AB$1006:$AQ$1006,0))&gt;=100000), " ",IF(INDEX($AB$2:$AQ$1001,MATCH(ROWS($U$2:U898),$U$2:$U$1001,0),MATCH(COLUMNS($AB$1006:AG1006),$AB$1006:$AQ$1006,0)), HYPERLINK("#",""), HYPERLINK(CONCATENATE("#Metadata!", ADDRESS(INDEX($W$2:$W$1001,MATCH(ROWS($U$2:U898),$U$2:$U$1001,0),0), INDEX($AB$1004:$AQ$1004,1,MATCH(COLUMNS($AB$1006:AG1006),$AB$1006:$AQ$1006,0)))),"Fix")))</f>
        <v>0</v>
      </c>
      <c r="H898" s="5">
        <f>IF(OR(INDEX($V$2:$V$1001,MATCH(ROWS($U$2:U898),$U$2:$U$1001,0),1)&gt;=100000,INDEX($AB$1005:$AQ$1005,1,MATCH(COLUMNS($AB$1006:AH1006),$AB$1006:$AQ$1006,0))&gt;=100000), " ",IF(INDEX($AB$2:$AQ$1001,MATCH(ROWS($U$2:U898),$U$2:$U$1001,0),MATCH(COLUMNS($AB$1006:AH1006),$AB$1006:$AQ$1006,0)), HYPERLINK("#",""), HYPERLINK(CONCATENATE("#Metadata!", ADDRESS(INDEX($W$2:$W$1001,MATCH(ROWS($U$2:U898),$U$2:$U$1001,0),0), INDEX($AB$1004:$AQ$1004,1,MATCH(COLUMNS($AB$1006:AH1006),$AB$1006:$AQ$1006,0)))),"Fix")))</f>
        <v>0</v>
      </c>
      <c r="I898" s="5">
        <f>IF(OR(INDEX($V$2:$V$1001,MATCH(ROWS($U$2:U898),$U$2:$U$1001,0),1)&gt;=100000,INDEX($AB$1005:$AQ$1005,1,MATCH(COLUMNS($AB$1006:AI1006),$AB$1006:$AQ$1006,0))&gt;=100000), " ",IF(INDEX($AB$2:$AQ$1001,MATCH(ROWS($U$2:U898),$U$2:$U$1001,0),MATCH(COLUMNS($AB$1006:AI1006),$AB$1006:$AQ$1006,0)), HYPERLINK("#",""), HYPERLINK(CONCATENATE("#Metadata!", ADDRESS(INDEX($W$2:$W$1001,MATCH(ROWS($U$2:U898),$U$2:$U$1001,0),0), INDEX($AB$1004:$AQ$1004,1,MATCH(COLUMNS($AB$1006:AI1006),$AB$1006:$AQ$1006,0)))),"Fix")))</f>
        <v>0</v>
      </c>
      <c r="J898" s="5">
        <f>IF(OR(INDEX($V$2:$V$1001,MATCH(ROWS($U$2:U898),$U$2:$U$1001,0),1)&gt;=100000,INDEX($AB$1005:$AQ$1005,1,MATCH(COLUMNS($AB$1006:AJ1006),$AB$1006:$AQ$1006,0))&gt;=100000), " ",IF(INDEX($AB$2:$AQ$1001,MATCH(ROWS($U$2:U898),$U$2:$U$1001,0),MATCH(COLUMNS($AB$1006:AJ1006),$AB$1006:$AQ$1006,0)), HYPERLINK("#",""), HYPERLINK(CONCATENATE("#Metadata!", ADDRESS(INDEX($W$2:$W$1001,MATCH(ROWS($U$2:U898),$U$2:$U$1001,0),0), INDEX($AB$1004:$AQ$1004,1,MATCH(COLUMNS($AB$1006:AJ1006),$AB$1006:$AQ$1006,0)))),"Fix")))</f>
        <v>0</v>
      </c>
      <c r="K898" s="5">
        <f>IF(OR(INDEX($V$2:$V$1001,MATCH(ROWS($U$2:U898),$U$2:$U$1001,0),1)&gt;=100000,INDEX($AB$1005:$AQ$1005,1,MATCH(COLUMNS($AB$1006:AK1006),$AB$1006:$AQ$1006,0))&gt;=100000), " ",IF(INDEX($AB$2:$AQ$1001,MATCH(ROWS($U$2:U898),$U$2:$U$1001,0),MATCH(COLUMNS($AB$1006:AK1006),$AB$1006:$AQ$1006,0)), HYPERLINK("#",""), HYPERLINK(CONCATENATE("#Metadata!", ADDRESS(INDEX($W$2:$W$1001,MATCH(ROWS($U$2:U898),$U$2:$U$1001,0),0), INDEX($AB$1004:$AQ$1004,1,MATCH(COLUMNS($AB$1006:AK1006),$AB$1006:$AQ$1006,0)))),"Fix")))</f>
        <v>0</v>
      </c>
      <c r="L898" s="5">
        <f>IF(OR(INDEX($V$2:$V$1001,MATCH(ROWS($U$2:U898),$U$2:$U$1001,0),1)&gt;=100000,INDEX($AB$1005:$AQ$1005,1,MATCH(COLUMNS($AB$1006:AL1006),$AB$1006:$AQ$1006,0))&gt;=100000), " ",IF(INDEX($AB$2:$AQ$1001,MATCH(ROWS($U$2:U898),$U$2:$U$1001,0),MATCH(COLUMNS($AB$1006:AL1006),$AB$1006:$AQ$1006,0)), HYPERLINK("#",""), HYPERLINK(CONCATENATE("#Metadata!", ADDRESS(INDEX($W$2:$W$1001,MATCH(ROWS($U$2:U898),$U$2:$U$1001,0),0), INDEX($AB$1004:$AQ$1004,1,MATCH(COLUMNS($AB$1006:AL1006),$AB$1006:$AQ$1006,0)))),"Fix")))</f>
        <v>0</v>
      </c>
      <c r="M898" s="5">
        <f>IF(OR(INDEX($V$2:$V$1001,MATCH(ROWS($U$2:U898),$U$2:$U$1001,0),1)&gt;=100000,INDEX($AB$1005:$AQ$1005,1,MATCH(COLUMNS($AB$1006:AM1006),$AB$1006:$AQ$1006,0))&gt;=100000), " ",IF(INDEX($AB$2:$AQ$1001,MATCH(ROWS($U$2:U898),$U$2:$U$1001,0),MATCH(COLUMNS($AB$1006:AM1006),$AB$1006:$AQ$1006,0)), HYPERLINK("#",""), HYPERLINK(CONCATENATE("#Metadata!", ADDRESS(INDEX($W$2:$W$1001,MATCH(ROWS($U$2:U898),$U$2:$U$1001,0),0), INDEX($AB$1004:$AQ$1004,1,MATCH(COLUMNS($AB$1006:AM1006),$AB$1006:$AQ$1006,0)))),"Fix")))</f>
        <v>0</v>
      </c>
      <c r="N898" s="5">
        <f>IF(OR(INDEX($V$2:$V$1001,MATCH(ROWS($U$2:U898),$U$2:$U$1001,0),1)&gt;=100000,INDEX($AB$1005:$AQ$1005,1,MATCH(COLUMNS($AB$1006:AN1006),$AB$1006:$AQ$1006,0))&gt;=100000), " ",IF(INDEX($AB$2:$AQ$1001,MATCH(ROWS($U$2:U898),$U$2:$U$1001,0),MATCH(COLUMNS($AB$1006:AN1006),$AB$1006:$AQ$1006,0)), HYPERLINK("#",""), HYPERLINK(CONCATENATE("#Metadata!", ADDRESS(INDEX($W$2:$W$1001,MATCH(ROWS($U$2:U898),$U$2:$U$1001,0),0), INDEX($AB$1004:$AQ$1004,1,MATCH(COLUMNS($AB$1006:AN1006),$AB$1006:$AQ$1006,0)))),"Fix")))</f>
        <v>0</v>
      </c>
      <c r="O898" s="5">
        <f>IF(OR(INDEX($V$2:$V$1001,MATCH(ROWS($U$2:U898),$U$2:$U$1001,0),1)&gt;=100000,INDEX($AB$1005:$AQ$1005,1,MATCH(COLUMNS($AB$1006:AO1006),$AB$1006:$AQ$1006,0))&gt;=100000), " ",IF(INDEX($AB$2:$AQ$1001,MATCH(ROWS($U$2:U898),$U$2:$U$1001,0),MATCH(COLUMNS($AB$1006:AO1006),$AB$1006:$AQ$1006,0)), HYPERLINK("#",""), HYPERLINK(CONCATENATE("#Metadata!", ADDRESS(INDEX($W$2:$W$1001,MATCH(ROWS($U$2:U898),$U$2:$U$1001,0),0), INDEX($AB$1004:$AQ$1004,1,MATCH(COLUMNS($AB$1006:AO1006),$AB$1006:$AQ$1006,0)))),"Fix")))</f>
        <v>0</v>
      </c>
      <c r="P898" s="5">
        <f>IF(OR(INDEX($V$2:$V$1001,MATCH(ROWS($U$2:U898),$U$2:$U$1001,0),1)&gt;=100000,INDEX($AB$1005:$AQ$1005,1,MATCH(COLUMNS($AB$1006:AP1006),$AB$1006:$AQ$1006,0))&gt;=100000), " ",IF(INDEX($AB$2:$AQ$1001,MATCH(ROWS($U$2:U898),$U$2:$U$1001,0),MATCH(COLUMNS($AB$1006:AP1006),$AB$1006:$AQ$1006,0)), HYPERLINK("#",""), HYPERLINK(CONCATENATE("#Metadata!", ADDRESS(INDEX($W$2:$W$1001,MATCH(ROWS($U$2:U898),$U$2:$U$1001,0),0), INDEX($AB$1004:$AQ$1004,1,MATCH(COLUMNS($AB$1006:AP1006),$AB$1006:$AQ$1006,0)))),"Fix")))</f>
        <v>0</v>
      </c>
      <c r="Q898" s="5">
        <f>IF(OR(INDEX($V$2:$V$1001,MATCH(ROWS($U$2:U898),$U$2:$U$1001,0),1)&gt;=100000,INDEX($AB$1005:$AQ$1005,1,MATCH(COLUMNS($AB$1006:AQ1006),$AB$1006:$AQ$1006,0))&gt;=100000), " ",IF(INDEX($AB$2:$AQ$1001,MATCH(ROWS($U$2:U898),$U$2:$U$1001,0),MATCH(COLUMNS($AB$1006:AQ1006),$AB$1006:$AQ$1006,0)), HYPERLINK("#",""), HYPERLINK(CONCATENATE("#Metadata!", ADDRESS(INDEX($W$2:$W$1001,MATCH(ROWS($U$2:U898),$U$2:$U$1001,0),0), INDEX($AB$1004:$AQ$1004,1,MATCH(COLUMNS($AB$1006:AQ1006),$AB$1006:$AQ$1006,0)))),"Fix")))</f>
        <v>0</v>
      </c>
      <c r="U898">
        <v>0</v>
      </c>
      <c r="V898">
        <v>0</v>
      </c>
      <c r="W898">
        <v>0</v>
      </c>
      <c r="X898">
        <f>IF(Y898,TRUE,AND(AB898:AQ898))</f>
        <v>0</v>
      </c>
      <c r="Y898">
        <f>COUNTBLANK(Metadata!B898:Q898)=COLUMNS(Metadata!B898:Q898)</f>
        <v>0</v>
      </c>
      <c r="Z898">
        <v>0</v>
      </c>
      <c r="AB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AC898">
        <f>AND(IF(Metadata!C898="",FALSE,TRUE),exact(Metadata!C898,"urban biome"))</f>
        <v>0</v>
      </c>
      <c r="AD898">
        <f>AND(IF(Metadata!D898="",FALSE,TRUE),exact(Metadata!D898,"human-associated habitat"))</f>
        <v>0</v>
      </c>
      <c r="AE898">
        <f>AND(IF(Metadata!E898="",FALSE,TRUE),OR(exact(Metadata!E898,"human-associated"),exact(Metadata!E898,"human-skin"),exact(Metadata!E898,"human-oral"),exact(Metadata!E898,"human-gut"),exact(Metadata!E898,"human-vaginal")))</f>
        <v>0</v>
      </c>
      <c r="AF898">
        <f>AND(IF(Metadata!F898="",FALSE,ISNUMBER(VALUE(Metadata!F898))),Metadata!F898&gt;0)</f>
        <v>0</v>
      </c>
      <c r="AG898">
        <f>AND(IF(Metadata!G898="",FALSE,TRUE),exact(Metadata!G898,"years"))</f>
        <v>0</v>
      </c>
      <c r="AH898">
        <f>OR(AND(IF(Metadata!H898="",FALSE,TRUE),OR(exact(Metadata!H898,"not applicable"),exact(Metadata!H898,"not collected"),exact(Metadata!H898,"not provided"),exact(Metadata!H898,"restricted access"))),AND(IF(Metadata!H898="",FALSE,ISNUMBER(VALUE(Metadata!H898))),Metadata!H898&gt;0))</f>
        <v>0</v>
      </c>
      <c r="AI898">
        <f>AND(IF(Metadata!I898="",FALSE,TRUE),exact(Metadata!I898,"human"))</f>
        <v>0</v>
      </c>
      <c r="AJ898">
        <f>AND(IF(Metadata!J898="",FALSE,ISNUMBER(VALUE(Metadata!J898))),Metadata!J898&gt;0)</f>
        <v>0</v>
      </c>
      <c r="AK898">
        <f>AND(IF(Metadata!K898="",FALSE,TRUE),exact(Metadata!K898,"cm"))</f>
        <v>0</v>
      </c>
      <c r="AL898">
        <f>AND(IF(Metadata!L898="",FALSE,TRUE),exact(Metadata!L898,"Homo sapiens"))</f>
        <v>0</v>
      </c>
      <c r="AM898">
        <f>AND(IF(Metadata!M898="",FALSE,TRUE),exact(Metadata!M898,"9606"))</f>
        <v>0</v>
      </c>
      <c r="AN898">
        <f>AND(IF(Metadata!N898="",FALSE,ISNUMBER(VALUE(Metadata!N898))),Metadata!N898&gt;0)</f>
        <v>0</v>
      </c>
      <c r="AO898">
        <f>AND(IF(Metadata!O898="",FALSE,TRUE),exact(Metadata!O898,"kg"))</f>
        <v>0</v>
      </c>
      <c r="AP898">
        <f>OR(AND(IF(Metadata!P898="",FALSE,TRUE),exact(Metadata!P898,"not provided")),IF(Metadata!P898="",FALSE,TRUE))</f>
        <v>0</v>
      </c>
      <c r="AQ898">
        <f>OR(AND(IF(Metadata!Q898="",FALSE,TRUE),exact(Metadata!Q898,"not provided")),IF(Metadata!Q898="",FALSE,TRUE))</f>
        <v>0</v>
      </c>
    </row>
    <row r="899" spans="1:43">
      <c r="A899" s="4">
        <f>IF(B899=" "," ",HYPERLINK(CONCATENATE("#metadata!",ADDRESS(INDEX($W$2:$W$1001,MATCH(ROWS($U$2:U899),$U$2:$U$1001,0),0),2)),INDEX($Z$2:$Z$1001,MATCH(ROWS($U$2:U899),$U$2:$U$1001,0),0)))</f>
        <v>0</v>
      </c>
      <c r="B899" s="5">
        <f>IF(OR(INDEX($V$2:$V$1001,MATCH(ROWS($U$2:U899),$U$2:$U$1001,0),1)&gt;=100000,INDEX($AB$1005:$AQ$1005,1,MATCH(COLUMNS($AB$1006:AB1006),$AB$1006:$AQ$1006,0))&gt;=100000), " ",IF(INDEX($AB$2:$AQ$1001,MATCH(ROWS($U$2:U899),$U$2:$U$1001,0),MATCH(COLUMNS($AB$1006:AB1006),$AB$1006:$AQ$1006,0)), HYPERLINK("#",""), HYPERLINK(CONCATENATE("#Metadata!", ADDRESS(INDEX($W$2:$W$1001,MATCH(ROWS($U$2:U899),$U$2:$U$1001,0),0), INDEX($AB$1004:$AQ$1004,1,MATCH(COLUMNS($AB$1006:AB1006),$AB$1006:$AQ$1006,0)))),"Fix")))</f>
        <v>0</v>
      </c>
      <c r="C899" s="5">
        <f>IF(OR(INDEX($V$2:$V$1001,MATCH(ROWS($U$2:U899),$U$2:$U$1001,0),1)&gt;=100000,INDEX($AB$1005:$AQ$1005,1,MATCH(COLUMNS($AB$1006:AC1006),$AB$1006:$AQ$1006,0))&gt;=100000), " ",IF(INDEX($AB$2:$AQ$1001,MATCH(ROWS($U$2:U899),$U$2:$U$1001,0),MATCH(COLUMNS($AB$1006:AC1006),$AB$1006:$AQ$1006,0)), HYPERLINK("#",""), HYPERLINK(CONCATENATE("#Metadata!", ADDRESS(INDEX($W$2:$W$1001,MATCH(ROWS($U$2:U899),$U$2:$U$1001,0),0), INDEX($AB$1004:$AQ$1004,1,MATCH(COLUMNS($AB$1006:AC1006),$AB$1006:$AQ$1006,0)))),"Fix")))</f>
        <v>0</v>
      </c>
      <c r="D899" s="5">
        <f>IF(OR(INDEX($V$2:$V$1001,MATCH(ROWS($U$2:U899),$U$2:$U$1001,0),1)&gt;=100000,INDEX($AB$1005:$AQ$1005,1,MATCH(COLUMNS($AB$1006:AD1006),$AB$1006:$AQ$1006,0))&gt;=100000), " ",IF(INDEX($AB$2:$AQ$1001,MATCH(ROWS($U$2:U899),$U$2:$U$1001,0),MATCH(COLUMNS($AB$1006:AD1006),$AB$1006:$AQ$1006,0)), HYPERLINK("#",""), HYPERLINK(CONCATENATE("#Metadata!", ADDRESS(INDEX($W$2:$W$1001,MATCH(ROWS($U$2:U899),$U$2:$U$1001,0),0), INDEX($AB$1004:$AQ$1004,1,MATCH(COLUMNS($AB$1006:AD1006),$AB$1006:$AQ$1006,0)))),"Fix")))</f>
        <v>0</v>
      </c>
      <c r="E899" s="5">
        <f>IF(OR(INDEX($V$2:$V$1001,MATCH(ROWS($U$2:U899),$U$2:$U$1001,0),1)&gt;=100000,INDEX($AB$1005:$AQ$1005,1,MATCH(COLUMNS($AB$1006:AE1006),$AB$1006:$AQ$1006,0))&gt;=100000), " ",IF(INDEX($AB$2:$AQ$1001,MATCH(ROWS($U$2:U899),$U$2:$U$1001,0),MATCH(COLUMNS($AB$1006:AE1006),$AB$1006:$AQ$1006,0)), HYPERLINK("#",""), HYPERLINK(CONCATENATE("#Metadata!", ADDRESS(INDEX($W$2:$W$1001,MATCH(ROWS($U$2:U899),$U$2:$U$1001,0),0), INDEX($AB$1004:$AQ$1004,1,MATCH(COLUMNS($AB$1006:AE1006),$AB$1006:$AQ$1006,0)))),"Fix")))</f>
        <v>0</v>
      </c>
      <c r="F899" s="5">
        <f>IF(OR(INDEX($V$2:$V$1001,MATCH(ROWS($U$2:U899),$U$2:$U$1001,0),1)&gt;=100000,INDEX($AB$1005:$AQ$1005,1,MATCH(COLUMNS($AB$1006:AF1006),$AB$1006:$AQ$1006,0))&gt;=100000), " ",IF(INDEX($AB$2:$AQ$1001,MATCH(ROWS($U$2:U899),$U$2:$U$1001,0),MATCH(COLUMNS($AB$1006:AF1006),$AB$1006:$AQ$1006,0)), HYPERLINK("#",""), HYPERLINK(CONCATENATE("#Metadata!", ADDRESS(INDEX($W$2:$W$1001,MATCH(ROWS($U$2:U899),$U$2:$U$1001,0),0), INDEX($AB$1004:$AQ$1004,1,MATCH(COLUMNS($AB$1006:AF1006),$AB$1006:$AQ$1006,0)))),"Fix")))</f>
        <v>0</v>
      </c>
      <c r="G899" s="5">
        <f>IF(OR(INDEX($V$2:$V$1001,MATCH(ROWS($U$2:U899),$U$2:$U$1001,0),1)&gt;=100000,INDEX($AB$1005:$AQ$1005,1,MATCH(COLUMNS($AB$1006:AG1006),$AB$1006:$AQ$1006,0))&gt;=100000), " ",IF(INDEX($AB$2:$AQ$1001,MATCH(ROWS($U$2:U899),$U$2:$U$1001,0),MATCH(COLUMNS($AB$1006:AG1006),$AB$1006:$AQ$1006,0)), HYPERLINK("#",""), HYPERLINK(CONCATENATE("#Metadata!", ADDRESS(INDEX($W$2:$W$1001,MATCH(ROWS($U$2:U899),$U$2:$U$1001,0),0), INDEX($AB$1004:$AQ$1004,1,MATCH(COLUMNS($AB$1006:AG1006),$AB$1006:$AQ$1006,0)))),"Fix")))</f>
        <v>0</v>
      </c>
      <c r="H899" s="5">
        <f>IF(OR(INDEX($V$2:$V$1001,MATCH(ROWS($U$2:U899),$U$2:$U$1001,0),1)&gt;=100000,INDEX($AB$1005:$AQ$1005,1,MATCH(COLUMNS($AB$1006:AH1006),$AB$1006:$AQ$1006,0))&gt;=100000), " ",IF(INDEX($AB$2:$AQ$1001,MATCH(ROWS($U$2:U899),$U$2:$U$1001,0),MATCH(COLUMNS($AB$1006:AH1006),$AB$1006:$AQ$1006,0)), HYPERLINK("#",""), HYPERLINK(CONCATENATE("#Metadata!", ADDRESS(INDEX($W$2:$W$1001,MATCH(ROWS($U$2:U899),$U$2:$U$1001,0),0), INDEX($AB$1004:$AQ$1004,1,MATCH(COLUMNS($AB$1006:AH1006),$AB$1006:$AQ$1006,0)))),"Fix")))</f>
        <v>0</v>
      </c>
      <c r="I899" s="5">
        <f>IF(OR(INDEX($V$2:$V$1001,MATCH(ROWS($U$2:U899),$U$2:$U$1001,0),1)&gt;=100000,INDEX($AB$1005:$AQ$1005,1,MATCH(COLUMNS($AB$1006:AI1006),$AB$1006:$AQ$1006,0))&gt;=100000), " ",IF(INDEX($AB$2:$AQ$1001,MATCH(ROWS($U$2:U899),$U$2:$U$1001,0),MATCH(COLUMNS($AB$1006:AI1006),$AB$1006:$AQ$1006,0)), HYPERLINK("#",""), HYPERLINK(CONCATENATE("#Metadata!", ADDRESS(INDEX($W$2:$W$1001,MATCH(ROWS($U$2:U899),$U$2:$U$1001,0),0), INDEX($AB$1004:$AQ$1004,1,MATCH(COLUMNS($AB$1006:AI1006),$AB$1006:$AQ$1006,0)))),"Fix")))</f>
        <v>0</v>
      </c>
      <c r="J899" s="5">
        <f>IF(OR(INDEX($V$2:$V$1001,MATCH(ROWS($U$2:U899),$U$2:$U$1001,0),1)&gt;=100000,INDEX($AB$1005:$AQ$1005,1,MATCH(COLUMNS($AB$1006:AJ1006),$AB$1006:$AQ$1006,0))&gt;=100000), " ",IF(INDEX($AB$2:$AQ$1001,MATCH(ROWS($U$2:U899),$U$2:$U$1001,0),MATCH(COLUMNS($AB$1006:AJ1006),$AB$1006:$AQ$1006,0)), HYPERLINK("#",""), HYPERLINK(CONCATENATE("#Metadata!", ADDRESS(INDEX($W$2:$W$1001,MATCH(ROWS($U$2:U899),$U$2:$U$1001,0),0), INDEX($AB$1004:$AQ$1004,1,MATCH(COLUMNS($AB$1006:AJ1006),$AB$1006:$AQ$1006,0)))),"Fix")))</f>
        <v>0</v>
      </c>
      <c r="K899" s="5">
        <f>IF(OR(INDEX($V$2:$V$1001,MATCH(ROWS($U$2:U899),$U$2:$U$1001,0),1)&gt;=100000,INDEX($AB$1005:$AQ$1005,1,MATCH(COLUMNS($AB$1006:AK1006),$AB$1006:$AQ$1006,0))&gt;=100000), " ",IF(INDEX($AB$2:$AQ$1001,MATCH(ROWS($U$2:U899),$U$2:$U$1001,0),MATCH(COLUMNS($AB$1006:AK1006),$AB$1006:$AQ$1006,0)), HYPERLINK("#",""), HYPERLINK(CONCATENATE("#Metadata!", ADDRESS(INDEX($W$2:$W$1001,MATCH(ROWS($U$2:U899),$U$2:$U$1001,0),0), INDEX($AB$1004:$AQ$1004,1,MATCH(COLUMNS($AB$1006:AK1006),$AB$1006:$AQ$1006,0)))),"Fix")))</f>
        <v>0</v>
      </c>
      <c r="L899" s="5">
        <f>IF(OR(INDEX($V$2:$V$1001,MATCH(ROWS($U$2:U899),$U$2:$U$1001,0),1)&gt;=100000,INDEX($AB$1005:$AQ$1005,1,MATCH(COLUMNS($AB$1006:AL1006),$AB$1006:$AQ$1006,0))&gt;=100000), " ",IF(INDEX($AB$2:$AQ$1001,MATCH(ROWS($U$2:U899),$U$2:$U$1001,0),MATCH(COLUMNS($AB$1006:AL1006),$AB$1006:$AQ$1006,0)), HYPERLINK("#",""), HYPERLINK(CONCATENATE("#Metadata!", ADDRESS(INDEX($W$2:$W$1001,MATCH(ROWS($U$2:U899),$U$2:$U$1001,0),0), INDEX($AB$1004:$AQ$1004,1,MATCH(COLUMNS($AB$1006:AL1006),$AB$1006:$AQ$1006,0)))),"Fix")))</f>
        <v>0</v>
      </c>
      <c r="M899" s="5">
        <f>IF(OR(INDEX($V$2:$V$1001,MATCH(ROWS($U$2:U899),$U$2:$U$1001,0),1)&gt;=100000,INDEX($AB$1005:$AQ$1005,1,MATCH(COLUMNS($AB$1006:AM1006),$AB$1006:$AQ$1006,0))&gt;=100000), " ",IF(INDEX($AB$2:$AQ$1001,MATCH(ROWS($U$2:U899),$U$2:$U$1001,0),MATCH(COLUMNS($AB$1006:AM1006),$AB$1006:$AQ$1006,0)), HYPERLINK("#",""), HYPERLINK(CONCATENATE("#Metadata!", ADDRESS(INDEX($W$2:$W$1001,MATCH(ROWS($U$2:U899),$U$2:$U$1001,0),0), INDEX($AB$1004:$AQ$1004,1,MATCH(COLUMNS($AB$1006:AM1006),$AB$1006:$AQ$1006,0)))),"Fix")))</f>
        <v>0</v>
      </c>
      <c r="N899" s="5">
        <f>IF(OR(INDEX($V$2:$V$1001,MATCH(ROWS($U$2:U899),$U$2:$U$1001,0),1)&gt;=100000,INDEX($AB$1005:$AQ$1005,1,MATCH(COLUMNS($AB$1006:AN1006),$AB$1006:$AQ$1006,0))&gt;=100000), " ",IF(INDEX($AB$2:$AQ$1001,MATCH(ROWS($U$2:U899),$U$2:$U$1001,0),MATCH(COLUMNS($AB$1006:AN1006),$AB$1006:$AQ$1006,0)), HYPERLINK("#",""), HYPERLINK(CONCATENATE("#Metadata!", ADDRESS(INDEX($W$2:$W$1001,MATCH(ROWS($U$2:U899),$U$2:$U$1001,0),0), INDEX($AB$1004:$AQ$1004,1,MATCH(COLUMNS($AB$1006:AN1006),$AB$1006:$AQ$1006,0)))),"Fix")))</f>
        <v>0</v>
      </c>
      <c r="O899" s="5">
        <f>IF(OR(INDEX($V$2:$V$1001,MATCH(ROWS($U$2:U899),$U$2:$U$1001,0),1)&gt;=100000,INDEX($AB$1005:$AQ$1005,1,MATCH(COLUMNS($AB$1006:AO1006),$AB$1006:$AQ$1006,0))&gt;=100000), " ",IF(INDEX($AB$2:$AQ$1001,MATCH(ROWS($U$2:U899),$U$2:$U$1001,0),MATCH(COLUMNS($AB$1006:AO1006),$AB$1006:$AQ$1006,0)), HYPERLINK("#",""), HYPERLINK(CONCATENATE("#Metadata!", ADDRESS(INDEX($W$2:$W$1001,MATCH(ROWS($U$2:U899),$U$2:$U$1001,0),0), INDEX($AB$1004:$AQ$1004,1,MATCH(COLUMNS($AB$1006:AO1006),$AB$1006:$AQ$1006,0)))),"Fix")))</f>
        <v>0</v>
      </c>
      <c r="P899" s="5">
        <f>IF(OR(INDEX($V$2:$V$1001,MATCH(ROWS($U$2:U899),$U$2:$U$1001,0),1)&gt;=100000,INDEX($AB$1005:$AQ$1005,1,MATCH(COLUMNS($AB$1006:AP1006),$AB$1006:$AQ$1006,0))&gt;=100000), " ",IF(INDEX($AB$2:$AQ$1001,MATCH(ROWS($U$2:U899),$U$2:$U$1001,0),MATCH(COLUMNS($AB$1006:AP1006),$AB$1006:$AQ$1006,0)), HYPERLINK("#",""), HYPERLINK(CONCATENATE("#Metadata!", ADDRESS(INDEX($W$2:$W$1001,MATCH(ROWS($U$2:U899),$U$2:$U$1001,0),0), INDEX($AB$1004:$AQ$1004,1,MATCH(COLUMNS($AB$1006:AP1006),$AB$1006:$AQ$1006,0)))),"Fix")))</f>
        <v>0</v>
      </c>
      <c r="Q899" s="5">
        <f>IF(OR(INDEX($V$2:$V$1001,MATCH(ROWS($U$2:U899),$U$2:$U$1001,0),1)&gt;=100000,INDEX($AB$1005:$AQ$1005,1,MATCH(COLUMNS($AB$1006:AQ1006),$AB$1006:$AQ$1006,0))&gt;=100000), " ",IF(INDEX($AB$2:$AQ$1001,MATCH(ROWS($U$2:U899),$U$2:$U$1001,0),MATCH(COLUMNS($AB$1006:AQ1006),$AB$1006:$AQ$1006,0)), HYPERLINK("#",""), HYPERLINK(CONCATENATE("#Metadata!", ADDRESS(INDEX($W$2:$W$1001,MATCH(ROWS($U$2:U899),$U$2:$U$1001,0),0), INDEX($AB$1004:$AQ$1004,1,MATCH(COLUMNS($AB$1006:AQ1006),$AB$1006:$AQ$1006,0)))),"Fix")))</f>
        <v>0</v>
      </c>
      <c r="U899">
        <v>0</v>
      </c>
      <c r="V899">
        <v>0</v>
      </c>
      <c r="W899">
        <v>0</v>
      </c>
      <c r="X899">
        <f>IF(Y899,TRUE,AND(AB899:AQ899))</f>
        <v>0</v>
      </c>
      <c r="Y899">
        <f>COUNTBLANK(Metadata!B899:Q899)=COLUMNS(Metadata!B899:Q899)</f>
        <v>0</v>
      </c>
      <c r="Z899">
        <v>0</v>
      </c>
      <c r="AB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AC899">
        <f>AND(IF(Metadata!C899="",FALSE,TRUE),exact(Metadata!C899,"urban biome"))</f>
        <v>0</v>
      </c>
      <c r="AD899">
        <f>AND(IF(Metadata!D899="",FALSE,TRUE),exact(Metadata!D899,"human-associated habitat"))</f>
        <v>0</v>
      </c>
      <c r="AE899">
        <f>AND(IF(Metadata!E899="",FALSE,TRUE),OR(exact(Metadata!E899,"human-associated"),exact(Metadata!E899,"human-skin"),exact(Metadata!E899,"human-oral"),exact(Metadata!E899,"human-gut"),exact(Metadata!E899,"human-vaginal")))</f>
        <v>0</v>
      </c>
      <c r="AF899">
        <f>AND(IF(Metadata!F899="",FALSE,ISNUMBER(VALUE(Metadata!F899))),Metadata!F899&gt;0)</f>
        <v>0</v>
      </c>
      <c r="AG899">
        <f>AND(IF(Metadata!G899="",FALSE,TRUE),exact(Metadata!G899,"years"))</f>
        <v>0</v>
      </c>
      <c r="AH899">
        <f>OR(AND(IF(Metadata!H899="",FALSE,TRUE),OR(exact(Metadata!H899,"not applicable"),exact(Metadata!H899,"not collected"),exact(Metadata!H899,"not provided"),exact(Metadata!H899,"restricted access"))),AND(IF(Metadata!H899="",FALSE,ISNUMBER(VALUE(Metadata!H899))),Metadata!H899&gt;0))</f>
        <v>0</v>
      </c>
      <c r="AI899">
        <f>AND(IF(Metadata!I899="",FALSE,TRUE),exact(Metadata!I899,"human"))</f>
        <v>0</v>
      </c>
      <c r="AJ899">
        <f>AND(IF(Metadata!J899="",FALSE,ISNUMBER(VALUE(Metadata!J899))),Metadata!J899&gt;0)</f>
        <v>0</v>
      </c>
      <c r="AK899">
        <f>AND(IF(Metadata!K899="",FALSE,TRUE),exact(Metadata!K899,"cm"))</f>
        <v>0</v>
      </c>
      <c r="AL899">
        <f>AND(IF(Metadata!L899="",FALSE,TRUE),exact(Metadata!L899,"Homo sapiens"))</f>
        <v>0</v>
      </c>
      <c r="AM899">
        <f>AND(IF(Metadata!M899="",FALSE,TRUE),exact(Metadata!M899,"9606"))</f>
        <v>0</v>
      </c>
      <c r="AN899">
        <f>AND(IF(Metadata!N899="",FALSE,ISNUMBER(VALUE(Metadata!N899))),Metadata!N899&gt;0)</f>
        <v>0</v>
      </c>
      <c r="AO899">
        <f>AND(IF(Metadata!O899="",FALSE,TRUE),exact(Metadata!O899,"kg"))</f>
        <v>0</v>
      </c>
      <c r="AP899">
        <f>OR(AND(IF(Metadata!P899="",FALSE,TRUE),exact(Metadata!P899,"not provided")),IF(Metadata!P899="",FALSE,TRUE))</f>
        <v>0</v>
      </c>
      <c r="AQ899">
        <f>OR(AND(IF(Metadata!Q899="",FALSE,TRUE),exact(Metadata!Q899,"not provided")),IF(Metadata!Q899="",FALSE,TRUE))</f>
        <v>0</v>
      </c>
    </row>
    <row r="900" spans="1:43">
      <c r="A900" s="4">
        <f>IF(B900=" "," ",HYPERLINK(CONCATENATE("#metadata!",ADDRESS(INDEX($W$2:$W$1001,MATCH(ROWS($U$2:U900),$U$2:$U$1001,0),0),2)),INDEX($Z$2:$Z$1001,MATCH(ROWS($U$2:U900),$U$2:$U$1001,0),0)))</f>
        <v>0</v>
      </c>
      <c r="B900" s="5">
        <f>IF(OR(INDEX($V$2:$V$1001,MATCH(ROWS($U$2:U900),$U$2:$U$1001,0),1)&gt;=100000,INDEX($AB$1005:$AQ$1005,1,MATCH(COLUMNS($AB$1006:AB1006),$AB$1006:$AQ$1006,0))&gt;=100000), " ",IF(INDEX($AB$2:$AQ$1001,MATCH(ROWS($U$2:U900),$U$2:$U$1001,0),MATCH(COLUMNS($AB$1006:AB1006),$AB$1006:$AQ$1006,0)), HYPERLINK("#",""), HYPERLINK(CONCATENATE("#Metadata!", ADDRESS(INDEX($W$2:$W$1001,MATCH(ROWS($U$2:U900),$U$2:$U$1001,0),0), INDEX($AB$1004:$AQ$1004,1,MATCH(COLUMNS($AB$1006:AB1006),$AB$1006:$AQ$1006,0)))),"Fix")))</f>
        <v>0</v>
      </c>
      <c r="C900" s="5">
        <f>IF(OR(INDEX($V$2:$V$1001,MATCH(ROWS($U$2:U900),$U$2:$U$1001,0),1)&gt;=100000,INDEX($AB$1005:$AQ$1005,1,MATCH(COLUMNS($AB$1006:AC1006),$AB$1006:$AQ$1006,0))&gt;=100000), " ",IF(INDEX($AB$2:$AQ$1001,MATCH(ROWS($U$2:U900),$U$2:$U$1001,0),MATCH(COLUMNS($AB$1006:AC1006),$AB$1006:$AQ$1006,0)), HYPERLINK("#",""), HYPERLINK(CONCATENATE("#Metadata!", ADDRESS(INDEX($W$2:$W$1001,MATCH(ROWS($U$2:U900),$U$2:$U$1001,0),0), INDEX($AB$1004:$AQ$1004,1,MATCH(COLUMNS($AB$1006:AC1006),$AB$1006:$AQ$1006,0)))),"Fix")))</f>
        <v>0</v>
      </c>
      <c r="D900" s="5">
        <f>IF(OR(INDEX($V$2:$V$1001,MATCH(ROWS($U$2:U900),$U$2:$U$1001,0),1)&gt;=100000,INDEX($AB$1005:$AQ$1005,1,MATCH(COLUMNS($AB$1006:AD1006),$AB$1006:$AQ$1006,0))&gt;=100000), " ",IF(INDEX($AB$2:$AQ$1001,MATCH(ROWS($U$2:U900),$U$2:$U$1001,0),MATCH(COLUMNS($AB$1006:AD1006),$AB$1006:$AQ$1006,0)), HYPERLINK("#",""), HYPERLINK(CONCATENATE("#Metadata!", ADDRESS(INDEX($W$2:$W$1001,MATCH(ROWS($U$2:U900),$U$2:$U$1001,0),0), INDEX($AB$1004:$AQ$1004,1,MATCH(COLUMNS($AB$1006:AD1006),$AB$1006:$AQ$1006,0)))),"Fix")))</f>
        <v>0</v>
      </c>
      <c r="E900" s="5">
        <f>IF(OR(INDEX($V$2:$V$1001,MATCH(ROWS($U$2:U900),$U$2:$U$1001,0),1)&gt;=100000,INDEX($AB$1005:$AQ$1005,1,MATCH(COLUMNS($AB$1006:AE1006),$AB$1006:$AQ$1006,0))&gt;=100000), " ",IF(INDEX($AB$2:$AQ$1001,MATCH(ROWS($U$2:U900),$U$2:$U$1001,0),MATCH(COLUMNS($AB$1006:AE1006),$AB$1006:$AQ$1006,0)), HYPERLINK("#",""), HYPERLINK(CONCATENATE("#Metadata!", ADDRESS(INDEX($W$2:$W$1001,MATCH(ROWS($U$2:U900),$U$2:$U$1001,0),0), INDEX($AB$1004:$AQ$1004,1,MATCH(COLUMNS($AB$1006:AE1006),$AB$1006:$AQ$1006,0)))),"Fix")))</f>
        <v>0</v>
      </c>
      <c r="F900" s="5">
        <f>IF(OR(INDEX($V$2:$V$1001,MATCH(ROWS($U$2:U900),$U$2:$U$1001,0),1)&gt;=100000,INDEX($AB$1005:$AQ$1005,1,MATCH(COLUMNS($AB$1006:AF1006),$AB$1006:$AQ$1006,0))&gt;=100000), " ",IF(INDEX($AB$2:$AQ$1001,MATCH(ROWS($U$2:U900),$U$2:$U$1001,0),MATCH(COLUMNS($AB$1006:AF1006),$AB$1006:$AQ$1006,0)), HYPERLINK("#",""), HYPERLINK(CONCATENATE("#Metadata!", ADDRESS(INDEX($W$2:$W$1001,MATCH(ROWS($U$2:U900),$U$2:$U$1001,0),0), INDEX($AB$1004:$AQ$1004,1,MATCH(COLUMNS($AB$1006:AF1006),$AB$1006:$AQ$1006,0)))),"Fix")))</f>
        <v>0</v>
      </c>
      <c r="G900" s="5">
        <f>IF(OR(INDEX($V$2:$V$1001,MATCH(ROWS($U$2:U900),$U$2:$U$1001,0),1)&gt;=100000,INDEX($AB$1005:$AQ$1005,1,MATCH(COLUMNS($AB$1006:AG1006),$AB$1006:$AQ$1006,0))&gt;=100000), " ",IF(INDEX($AB$2:$AQ$1001,MATCH(ROWS($U$2:U900),$U$2:$U$1001,0),MATCH(COLUMNS($AB$1006:AG1006),$AB$1006:$AQ$1006,0)), HYPERLINK("#",""), HYPERLINK(CONCATENATE("#Metadata!", ADDRESS(INDEX($W$2:$W$1001,MATCH(ROWS($U$2:U900),$U$2:$U$1001,0),0), INDEX($AB$1004:$AQ$1004,1,MATCH(COLUMNS($AB$1006:AG1006),$AB$1006:$AQ$1006,0)))),"Fix")))</f>
        <v>0</v>
      </c>
      <c r="H900" s="5">
        <f>IF(OR(INDEX($V$2:$V$1001,MATCH(ROWS($U$2:U900),$U$2:$U$1001,0),1)&gt;=100000,INDEX($AB$1005:$AQ$1005,1,MATCH(COLUMNS($AB$1006:AH1006),$AB$1006:$AQ$1006,0))&gt;=100000), " ",IF(INDEX($AB$2:$AQ$1001,MATCH(ROWS($U$2:U900),$U$2:$U$1001,0),MATCH(COLUMNS($AB$1006:AH1006),$AB$1006:$AQ$1006,0)), HYPERLINK("#",""), HYPERLINK(CONCATENATE("#Metadata!", ADDRESS(INDEX($W$2:$W$1001,MATCH(ROWS($U$2:U900),$U$2:$U$1001,0),0), INDEX($AB$1004:$AQ$1004,1,MATCH(COLUMNS($AB$1006:AH1006),$AB$1006:$AQ$1006,0)))),"Fix")))</f>
        <v>0</v>
      </c>
      <c r="I900" s="5">
        <f>IF(OR(INDEX($V$2:$V$1001,MATCH(ROWS($U$2:U900),$U$2:$U$1001,0),1)&gt;=100000,INDEX($AB$1005:$AQ$1005,1,MATCH(COLUMNS($AB$1006:AI1006),$AB$1006:$AQ$1006,0))&gt;=100000), " ",IF(INDEX($AB$2:$AQ$1001,MATCH(ROWS($U$2:U900),$U$2:$U$1001,0),MATCH(COLUMNS($AB$1006:AI1006),$AB$1006:$AQ$1006,0)), HYPERLINK("#",""), HYPERLINK(CONCATENATE("#Metadata!", ADDRESS(INDEX($W$2:$W$1001,MATCH(ROWS($U$2:U900),$U$2:$U$1001,0),0), INDEX($AB$1004:$AQ$1004,1,MATCH(COLUMNS($AB$1006:AI1006),$AB$1006:$AQ$1006,0)))),"Fix")))</f>
        <v>0</v>
      </c>
      <c r="J900" s="5">
        <f>IF(OR(INDEX($V$2:$V$1001,MATCH(ROWS($U$2:U900),$U$2:$U$1001,0),1)&gt;=100000,INDEX($AB$1005:$AQ$1005,1,MATCH(COLUMNS($AB$1006:AJ1006),$AB$1006:$AQ$1006,0))&gt;=100000), " ",IF(INDEX($AB$2:$AQ$1001,MATCH(ROWS($U$2:U900),$U$2:$U$1001,0),MATCH(COLUMNS($AB$1006:AJ1006),$AB$1006:$AQ$1006,0)), HYPERLINK("#",""), HYPERLINK(CONCATENATE("#Metadata!", ADDRESS(INDEX($W$2:$W$1001,MATCH(ROWS($U$2:U900),$U$2:$U$1001,0),0), INDEX($AB$1004:$AQ$1004,1,MATCH(COLUMNS($AB$1006:AJ1006),$AB$1006:$AQ$1006,0)))),"Fix")))</f>
        <v>0</v>
      </c>
      <c r="K900" s="5">
        <f>IF(OR(INDEX($V$2:$V$1001,MATCH(ROWS($U$2:U900),$U$2:$U$1001,0),1)&gt;=100000,INDEX($AB$1005:$AQ$1005,1,MATCH(COLUMNS($AB$1006:AK1006),$AB$1006:$AQ$1006,0))&gt;=100000), " ",IF(INDEX($AB$2:$AQ$1001,MATCH(ROWS($U$2:U900),$U$2:$U$1001,0),MATCH(COLUMNS($AB$1006:AK1006),$AB$1006:$AQ$1006,0)), HYPERLINK("#",""), HYPERLINK(CONCATENATE("#Metadata!", ADDRESS(INDEX($W$2:$W$1001,MATCH(ROWS($U$2:U900),$U$2:$U$1001,0),0), INDEX($AB$1004:$AQ$1004,1,MATCH(COLUMNS($AB$1006:AK1006),$AB$1006:$AQ$1006,0)))),"Fix")))</f>
        <v>0</v>
      </c>
      <c r="L900" s="5">
        <f>IF(OR(INDEX($V$2:$V$1001,MATCH(ROWS($U$2:U900),$U$2:$U$1001,0),1)&gt;=100000,INDEX($AB$1005:$AQ$1005,1,MATCH(COLUMNS($AB$1006:AL1006),$AB$1006:$AQ$1006,0))&gt;=100000), " ",IF(INDEX($AB$2:$AQ$1001,MATCH(ROWS($U$2:U900),$U$2:$U$1001,0),MATCH(COLUMNS($AB$1006:AL1006),$AB$1006:$AQ$1006,0)), HYPERLINK("#",""), HYPERLINK(CONCATENATE("#Metadata!", ADDRESS(INDEX($W$2:$W$1001,MATCH(ROWS($U$2:U900),$U$2:$U$1001,0),0), INDEX($AB$1004:$AQ$1004,1,MATCH(COLUMNS($AB$1006:AL1006),$AB$1006:$AQ$1006,0)))),"Fix")))</f>
        <v>0</v>
      </c>
      <c r="M900" s="5">
        <f>IF(OR(INDEX($V$2:$V$1001,MATCH(ROWS($U$2:U900),$U$2:$U$1001,0),1)&gt;=100000,INDEX($AB$1005:$AQ$1005,1,MATCH(COLUMNS($AB$1006:AM1006),$AB$1006:$AQ$1006,0))&gt;=100000), " ",IF(INDEX($AB$2:$AQ$1001,MATCH(ROWS($U$2:U900),$U$2:$U$1001,0),MATCH(COLUMNS($AB$1006:AM1006),$AB$1006:$AQ$1006,0)), HYPERLINK("#",""), HYPERLINK(CONCATENATE("#Metadata!", ADDRESS(INDEX($W$2:$W$1001,MATCH(ROWS($U$2:U900),$U$2:$U$1001,0),0), INDEX($AB$1004:$AQ$1004,1,MATCH(COLUMNS($AB$1006:AM1006),$AB$1006:$AQ$1006,0)))),"Fix")))</f>
        <v>0</v>
      </c>
      <c r="N900" s="5">
        <f>IF(OR(INDEX($V$2:$V$1001,MATCH(ROWS($U$2:U900),$U$2:$U$1001,0),1)&gt;=100000,INDEX($AB$1005:$AQ$1005,1,MATCH(COLUMNS($AB$1006:AN1006),$AB$1006:$AQ$1006,0))&gt;=100000), " ",IF(INDEX($AB$2:$AQ$1001,MATCH(ROWS($U$2:U900),$U$2:$U$1001,0),MATCH(COLUMNS($AB$1006:AN1006),$AB$1006:$AQ$1006,0)), HYPERLINK("#",""), HYPERLINK(CONCATENATE("#Metadata!", ADDRESS(INDEX($W$2:$W$1001,MATCH(ROWS($U$2:U900),$U$2:$U$1001,0),0), INDEX($AB$1004:$AQ$1004,1,MATCH(COLUMNS($AB$1006:AN1006),$AB$1006:$AQ$1006,0)))),"Fix")))</f>
        <v>0</v>
      </c>
      <c r="O900" s="5">
        <f>IF(OR(INDEX($V$2:$V$1001,MATCH(ROWS($U$2:U900),$U$2:$U$1001,0),1)&gt;=100000,INDEX($AB$1005:$AQ$1005,1,MATCH(COLUMNS($AB$1006:AO1006),$AB$1006:$AQ$1006,0))&gt;=100000), " ",IF(INDEX($AB$2:$AQ$1001,MATCH(ROWS($U$2:U900),$U$2:$U$1001,0),MATCH(COLUMNS($AB$1006:AO1006),$AB$1006:$AQ$1006,0)), HYPERLINK("#",""), HYPERLINK(CONCATENATE("#Metadata!", ADDRESS(INDEX($W$2:$W$1001,MATCH(ROWS($U$2:U900),$U$2:$U$1001,0),0), INDEX($AB$1004:$AQ$1004,1,MATCH(COLUMNS($AB$1006:AO1006),$AB$1006:$AQ$1006,0)))),"Fix")))</f>
        <v>0</v>
      </c>
      <c r="P900" s="5">
        <f>IF(OR(INDEX($V$2:$V$1001,MATCH(ROWS($U$2:U900),$U$2:$U$1001,0),1)&gt;=100000,INDEX($AB$1005:$AQ$1005,1,MATCH(COLUMNS($AB$1006:AP1006),$AB$1006:$AQ$1006,0))&gt;=100000), " ",IF(INDEX($AB$2:$AQ$1001,MATCH(ROWS($U$2:U900),$U$2:$U$1001,0),MATCH(COLUMNS($AB$1006:AP1006),$AB$1006:$AQ$1006,0)), HYPERLINK("#",""), HYPERLINK(CONCATENATE("#Metadata!", ADDRESS(INDEX($W$2:$W$1001,MATCH(ROWS($U$2:U900),$U$2:$U$1001,0),0), INDEX($AB$1004:$AQ$1004,1,MATCH(COLUMNS($AB$1006:AP1006),$AB$1006:$AQ$1006,0)))),"Fix")))</f>
        <v>0</v>
      </c>
      <c r="Q900" s="5">
        <f>IF(OR(INDEX($V$2:$V$1001,MATCH(ROWS($U$2:U900),$U$2:$U$1001,0),1)&gt;=100000,INDEX($AB$1005:$AQ$1005,1,MATCH(COLUMNS($AB$1006:AQ1006),$AB$1006:$AQ$1006,0))&gt;=100000), " ",IF(INDEX($AB$2:$AQ$1001,MATCH(ROWS($U$2:U900),$U$2:$U$1001,0),MATCH(COLUMNS($AB$1006:AQ1006),$AB$1006:$AQ$1006,0)), HYPERLINK("#",""), HYPERLINK(CONCATENATE("#Metadata!", ADDRESS(INDEX($W$2:$W$1001,MATCH(ROWS($U$2:U900),$U$2:$U$1001,0),0), INDEX($AB$1004:$AQ$1004,1,MATCH(COLUMNS($AB$1006:AQ1006),$AB$1006:$AQ$1006,0)))),"Fix")))</f>
        <v>0</v>
      </c>
      <c r="U900">
        <v>0</v>
      </c>
      <c r="V900">
        <v>0</v>
      </c>
      <c r="W900">
        <v>0</v>
      </c>
      <c r="X900">
        <f>IF(Y900,TRUE,AND(AB900:AQ900))</f>
        <v>0</v>
      </c>
      <c r="Y900">
        <f>COUNTBLANK(Metadata!B900:Q900)=COLUMNS(Metadata!B900:Q900)</f>
        <v>0</v>
      </c>
      <c r="Z900">
        <v>0</v>
      </c>
      <c r="AB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AC900">
        <f>AND(IF(Metadata!C900="",FALSE,TRUE),exact(Metadata!C900,"urban biome"))</f>
        <v>0</v>
      </c>
      <c r="AD900">
        <f>AND(IF(Metadata!D900="",FALSE,TRUE),exact(Metadata!D900,"human-associated habitat"))</f>
        <v>0</v>
      </c>
      <c r="AE900">
        <f>AND(IF(Metadata!E900="",FALSE,TRUE),OR(exact(Metadata!E900,"human-associated"),exact(Metadata!E900,"human-skin"),exact(Metadata!E900,"human-oral"),exact(Metadata!E900,"human-gut"),exact(Metadata!E900,"human-vaginal")))</f>
        <v>0</v>
      </c>
      <c r="AF900">
        <f>AND(IF(Metadata!F900="",FALSE,ISNUMBER(VALUE(Metadata!F900))),Metadata!F900&gt;0)</f>
        <v>0</v>
      </c>
      <c r="AG900">
        <f>AND(IF(Metadata!G900="",FALSE,TRUE),exact(Metadata!G900,"years"))</f>
        <v>0</v>
      </c>
      <c r="AH900">
        <f>OR(AND(IF(Metadata!H900="",FALSE,TRUE),OR(exact(Metadata!H900,"not applicable"),exact(Metadata!H900,"not collected"),exact(Metadata!H900,"not provided"),exact(Metadata!H900,"restricted access"))),AND(IF(Metadata!H900="",FALSE,ISNUMBER(VALUE(Metadata!H900))),Metadata!H900&gt;0))</f>
        <v>0</v>
      </c>
      <c r="AI900">
        <f>AND(IF(Metadata!I900="",FALSE,TRUE),exact(Metadata!I900,"human"))</f>
        <v>0</v>
      </c>
      <c r="AJ900">
        <f>AND(IF(Metadata!J900="",FALSE,ISNUMBER(VALUE(Metadata!J900))),Metadata!J900&gt;0)</f>
        <v>0</v>
      </c>
      <c r="AK900">
        <f>AND(IF(Metadata!K900="",FALSE,TRUE),exact(Metadata!K900,"cm"))</f>
        <v>0</v>
      </c>
      <c r="AL900">
        <f>AND(IF(Metadata!L900="",FALSE,TRUE),exact(Metadata!L900,"Homo sapiens"))</f>
        <v>0</v>
      </c>
      <c r="AM900">
        <f>AND(IF(Metadata!M900="",FALSE,TRUE),exact(Metadata!M900,"9606"))</f>
        <v>0</v>
      </c>
      <c r="AN900">
        <f>AND(IF(Metadata!N900="",FALSE,ISNUMBER(VALUE(Metadata!N900))),Metadata!N900&gt;0)</f>
        <v>0</v>
      </c>
      <c r="AO900">
        <f>AND(IF(Metadata!O900="",FALSE,TRUE),exact(Metadata!O900,"kg"))</f>
        <v>0</v>
      </c>
      <c r="AP900">
        <f>OR(AND(IF(Metadata!P900="",FALSE,TRUE),exact(Metadata!P900,"not provided")),IF(Metadata!P900="",FALSE,TRUE))</f>
        <v>0</v>
      </c>
      <c r="AQ900">
        <f>OR(AND(IF(Metadata!Q900="",FALSE,TRUE),exact(Metadata!Q900,"not provided")),IF(Metadata!Q900="",FALSE,TRUE))</f>
        <v>0</v>
      </c>
    </row>
    <row r="901" spans="1:43">
      <c r="A901" s="4">
        <f>IF(B901=" "," ",HYPERLINK(CONCATENATE("#metadata!",ADDRESS(INDEX($W$2:$W$1001,MATCH(ROWS($U$2:U901),$U$2:$U$1001,0),0),2)),INDEX($Z$2:$Z$1001,MATCH(ROWS($U$2:U901),$U$2:$U$1001,0),0)))</f>
        <v>0</v>
      </c>
      <c r="B901" s="5">
        <f>IF(OR(INDEX($V$2:$V$1001,MATCH(ROWS($U$2:U901),$U$2:$U$1001,0),1)&gt;=100000,INDEX($AB$1005:$AQ$1005,1,MATCH(COLUMNS($AB$1006:AB1006),$AB$1006:$AQ$1006,0))&gt;=100000), " ",IF(INDEX($AB$2:$AQ$1001,MATCH(ROWS($U$2:U901),$U$2:$U$1001,0),MATCH(COLUMNS($AB$1006:AB1006),$AB$1006:$AQ$1006,0)), HYPERLINK("#",""), HYPERLINK(CONCATENATE("#Metadata!", ADDRESS(INDEX($W$2:$W$1001,MATCH(ROWS($U$2:U901),$U$2:$U$1001,0),0), INDEX($AB$1004:$AQ$1004,1,MATCH(COLUMNS($AB$1006:AB1006),$AB$1006:$AQ$1006,0)))),"Fix")))</f>
        <v>0</v>
      </c>
      <c r="C901" s="5">
        <f>IF(OR(INDEX($V$2:$V$1001,MATCH(ROWS($U$2:U901),$U$2:$U$1001,0),1)&gt;=100000,INDEX($AB$1005:$AQ$1005,1,MATCH(COLUMNS($AB$1006:AC1006),$AB$1006:$AQ$1006,0))&gt;=100000), " ",IF(INDEX($AB$2:$AQ$1001,MATCH(ROWS($U$2:U901),$U$2:$U$1001,0),MATCH(COLUMNS($AB$1006:AC1006),$AB$1006:$AQ$1006,0)), HYPERLINK("#",""), HYPERLINK(CONCATENATE("#Metadata!", ADDRESS(INDEX($W$2:$W$1001,MATCH(ROWS($U$2:U901),$U$2:$U$1001,0),0), INDEX($AB$1004:$AQ$1004,1,MATCH(COLUMNS($AB$1006:AC1006),$AB$1006:$AQ$1006,0)))),"Fix")))</f>
        <v>0</v>
      </c>
      <c r="D901" s="5">
        <f>IF(OR(INDEX($V$2:$V$1001,MATCH(ROWS($U$2:U901),$U$2:$U$1001,0),1)&gt;=100000,INDEX($AB$1005:$AQ$1005,1,MATCH(COLUMNS($AB$1006:AD1006),$AB$1006:$AQ$1006,0))&gt;=100000), " ",IF(INDEX($AB$2:$AQ$1001,MATCH(ROWS($U$2:U901),$U$2:$U$1001,0),MATCH(COLUMNS($AB$1006:AD1006),$AB$1006:$AQ$1006,0)), HYPERLINK("#",""), HYPERLINK(CONCATENATE("#Metadata!", ADDRESS(INDEX($W$2:$W$1001,MATCH(ROWS($U$2:U901),$U$2:$U$1001,0),0), INDEX($AB$1004:$AQ$1004,1,MATCH(COLUMNS($AB$1006:AD1006),$AB$1006:$AQ$1006,0)))),"Fix")))</f>
        <v>0</v>
      </c>
      <c r="E901" s="5">
        <f>IF(OR(INDEX($V$2:$V$1001,MATCH(ROWS($U$2:U901),$U$2:$U$1001,0),1)&gt;=100000,INDEX($AB$1005:$AQ$1005,1,MATCH(COLUMNS($AB$1006:AE1006),$AB$1006:$AQ$1006,0))&gt;=100000), " ",IF(INDEX($AB$2:$AQ$1001,MATCH(ROWS($U$2:U901),$U$2:$U$1001,0),MATCH(COLUMNS($AB$1006:AE1006),$AB$1006:$AQ$1006,0)), HYPERLINK("#",""), HYPERLINK(CONCATENATE("#Metadata!", ADDRESS(INDEX($W$2:$W$1001,MATCH(ROWS($U$2:U901),$U$2:$U$1001,0),0), INDEX($AB$1004:$AQ$1004,1,MATCH(COLUMNS($AB$1006:AE1006),$AB$1006:$AQ$1006,0)))),"Fix")))</f>
        <v>0</v>
      </c>
      <c r="F901" s="5">
        <f>IF(OR(INDEX($V$2:$V$1001,MATCH(ROWS($U$2:U901),$U$2:$U$1001,0),1)&gt;=100000,INDEX($AB$1005:$AQ$1005,1,MATCH(COLUMNS($AB$1006:AF1006),$AB$1006:$AQ$1006,0))&gt;=100000), " ",IF(INDEX($AB$2:$AQ$1001,MATCH(ROWS($U$2:U901),$U$2:$U$1001,0),MATCH(COLUMNS($AB$1006:AF1006),$AB$1006:$AQ$1006,0)), HYPERLINK("#",""), HYPERLINK(CONCATENATE("#Metadata!", ADDRESS(INDEX($W$2:$W$1001,MATCH(ROWS($U$2:U901),$U$2:$U$1001,0),0), INDEX($AB$1004:$AQ$1004,1,MATCH(COLUMNS($AB$1006:AF1006),$AB$1006:$AQ$1006,0)))),"Fix")))</f>
        <v>0</v>
      </c>
      <c r="G901" s="5">
        <f>IF(OR(INDEX($V$2:$V$1001,MATCH(ROWS($U$2:U901),$U$2:$U$1001,0),1)&gt;=100000,INDEX($AB$1005:$AQ$1005,1,MATCH(COLUMNS($AB$1006:AG1006),$AB$1006:$AQ$1006,0))&gt;=100000), " ",IF(INDEX($AB$2:$AQ$1001,MATCH(ROWS($U$2:U901),$U$2:$U$1001,0),MATCH(COLUMNS($AB$1006:AG1006),$AB$1006:$AQ$1006,0)), HYPERLINK("#",""), HYPERLINK(CONCATENATE("#Metadata!", ADDRESS(INDEX($W$2:$W$1001,MATCH(ROWS($U$2:U901),$U$2:$U$1001,0),0), INDEX($AB$1004:$AQ$1004,1,MATCH(COLUMNS($AB$1006:AG1006),$AB$1006:$AQ$1006,0)))),"Fix")))</f>
        <v>0</v>
      </c>
      <c r="H901" s="5">
        <f>IF(OR(INDEX($V$2:$V$1001,MATCH(ROWS($U$2:U901),$U$2:$U$1001,0),1)&gt;=100000,INDEX($AB$1005:$AQ$1005,1,MATCH(COLUMNS($AB$1006:AH1006),$AB$1006:$AQ$1006,0))&gt;=100000), " ",IF(INDEX($AB$2:$AQ$1001,MATCH(ROWS($U$2:U901),$U$2:$U$1001,0),MATCH(COLUMNS($AB$1006:AH1006),$AB$1006:$AQ$1006,0)), HYPERLINK("#",""), HYPERLINK(CONCATENATE("#Metadata!", ADDRESS(INDEX($W$2:$W$1001,MATCH(ROWS($U$2:U901),$U$2:$U$1001,0),0), INDEX($AB$1004:$AQ$1004,1,MATCH(COLUMNS($AB$1006:AH1006),$AB$1006:$AQ$1006,0)))),"Fix")))</f>
        <v>0</v>
      </c>
      <c r="I901" s="5">
        <f>IF(OR(INDEX($V$2:$V$1001,MATCH(ROWS($U$2:U901),$U$2:$U$1001,0),1)&gt;=100000,INDEX($AB$1005:$AQ$1005,1,MATCH(COLUMNS($AB$1006:AI1006),$AB$1006:$AQ$1006,0))&gt;=100000), " ",IF(INDEX($AB$2:$AQ$1001,MATCH(ROWS($U$2:U901),$U$2:$U$1001,0),MATCH(COLUMNS($AB$1006:AI1006),$AB$1006:$AQ$1006,0)), HYPERLINK("#",""), HYPERLINK(CONCATENATE("#Metadata!", ADDRESS(INDEX($W$2:$W$1001,MATCH(ROWS($U$2:U901),$U$2:$U$1001,0),0), INDEX($AB$1004:$AQ$1004,1,MATCH(COLUMNS($AB$1006:AI1006),$AB$1006:$AQ$1006,0)))),"Fix")))</f>
        <v>0</v>
      </c>
      <c r="J901" s="5">
        <f>IF(OR(INDEX($V$2:$V$1001,MATCH(ROWS($U$2:U901),$U$2:$U$1001,0),1)&gt;=100000,INDEX($AB$1005:$AQ$1005,1,MATCH(COLUMNS($AB$1006:AJ1006),$AB$1006:$AQ$1006,0))&gt;=100000), " ",IF(INDEX($AB$2:$AQ$1001,MATCH(ROWS($U$2:U901),$U$2:$U$1001,0),MATCH(COLUMNS($AB$1006:AJ1006),$AB$1006:$AQ$1006,0)), HYPERLINK("#",""), HYPERLINK(CONCATENATE("#Metadata!", ADDRESS(INDEX($W$2:$W$1001,MATCH(ROWS($U$2:U901),$U$2:$U$1001,0),0), INDEX($AB$1004:$AQ$1004,1,MATCH(COLUMNS($AB$1006:AJ1006),$AB$1006:$AQ$1006,0)))),"Fix")))</f>
        <v>0</v>
      </c>
      <c r="K901" s="5">
        <f>IF(OR(INDEX($V$2:$V$1001,MATCH(ROWS($U$2:U901),$U$2:$U$1001,0),1)&gt;=100000,INDEX($AB$1005:$AQ$1005,1,MATCH(COLUMNS($AB$1006:AK1006),$AB$1006:$AQ$1006,0))&gt;=100000), " ",IF(INDEX($AB$2:$AQ$1001,MATCH(ROWS($U$2:U901),$U$2:$U$1001,0),MATCH(COLUMNS($AB$1006:AK1006),$AB$1006:$AQ$1006,0)), HYPERLINK("#",""), HYPERLINK(CONCATENATE("#Metadata!", ADDRESS(INDEX($W$2:$W$1001,MATCH(ROWS($U$2:U901),$U$2:$U$1001,0),0), INDEX($AB$1004:$AQ$1004,1,MATCH(COLUMNS($AB$1006:AK1006),$AB$1006:$AQ$1006,0)))),"Fix")))</f>
        <v>0</v>
      </c>
      <c r="L901" s="5">
        <f>IF(OR(INDEX($V$2:$V$1001,MATCH(ROWS($U$2:U901),$U$2:$U$1001,0),1)&gt;=100000,INDEX($AB$1005:$AQ$1005,1,MATCH(COLUMNS($AB$1006:AL1006),$AB$1006:$AQ$1006,0))&gt;=100000), " ",IF(INDEX($AB$2:$AQ$1001,MATCH(ROWS($U$2:U901),$U$2:$U$1001,0),MATCH(COLUMNS($AB$1006:AL1006),$AB$1006:$AQ$1006,0)), HYPERLINK("#",""), HYPERLINK(CONCATENATE("#Metadata!", ADDRESS(INDEX($W$2:$W$1001,MATCH(ROWS($U$2:U901),$U$2:$U$1001,0),0), INDEX($AB$1004:$AQ$1004,1,MATCH(COLUMNS($AB$1006:AL1006),$AB$1006:$AQ$1006,0)))),"Fix")))</f>
        <v>0</v>
      </c>
      <c r="M901" s="5">
        <f>IF(OR(INDEX($V$2:$V$1001,MATCH(ROWS($U$2:U901),$U$2:$U$1001,0),1)&gt;=100000,INDEX($AB$1005:$AQ$1005,1,MATCH(COLUMNS($AB$1006:AM1006),$AB$1006:$AQ$1006,0))&gt;=100000), " ",IF(INDEX($AB$2:$AQ$1001,MATCH(ROWS($U$2:U901),$U$2:$U$1001,0),MATCH(COLUMNS($AB$1006:AM1006),$AB$1006:$AQ$1006,0)), HYPERLINK("#",""), HYPERLINK(CONCATENATE("#Metadata!", ADDRESS(INDEX($W$2:$W$1001,MATCH(ROWS($U$2:U901),$U$2:$U$1001,0),0), INDEX($AB$1004:$AQ$1004,1,MATCH(COLUMNS($AB$1006:AM1006),$AB$1006:$AQ$1006,0)))),"Fix")))</f>
        <v>0</v>
      </c>
      <c r="N901" s="5">
        <f>IF(OR(INDEX($V$2:$V$1001,MATCH(ROWS($U$2:U901),$U$2:$U$1001,0),1)&gt;=100000,INDEX($AB$1005:$AQ$1005,1,MATCH(COLUMNS($AB$1006:AN1006),$AB$1006:$AQ$1006,0))&gt;=100000), " ",IF(INDEX($AB$2:$AQ$1001,MATCH(ROWS($U$2:U901),$U$2:$U$1001,0),MATCH(COLUMNS($AB$1006:AN1006),$AB$1006:$AQ$1006,0)), HYPERLINK("#",""), HYPERLINK(CONCATENATE("#Metadata!", ADDRESS(INDEX($W$2:$W$1001,MATCH(ROWS($U$2:U901),$U$2:$U$1001,0),0), INDEX($AB$1004:$AQ$1004,1,MATCH(COLUMNS($AB$1006:AN1006),$AB$1006:$AQ$1006,0)))),"Fix")))</f>
        <v>0</v>
      </c>
      <c r="O901" s="5">
        <f>IF(OR(INDEX($V$2:$V$1001,MATCH(ROWS($U$2:U901),$U$2:$U$1001,0),1)&gt;=100000,INDEX($AB$1005:$AQ$1005,1,MATCH(COLUMNS($AB$1006:AO1006),$AB$1006:$AQ$1006,0))&gt;=100000), " ",IF(INDEX($AB$2:$AQ$1001,MATCH(ROWS($U$2:U901),$U$2:$U$1001,0),MATCH(COLUMNS($AB$1006:AO1006),$AB$1006:$AQ$1006,0)), HYPERLINK("#",""), HYPERLINK(CONCATENATE("#Metadata!", ADDRESS(INDEX($W$2:$W$1001,MATCH(ROWS($U$2:U901),$U$2:$U$1001,0),0), INDEX($AB$1004:$AQ$1004,1,MATCH(COLUMNS($AB$1006:AO1006),$AB$1006:$AQ$1006,0)))),"Fix")))</f>
        <v>0</v>
      </c>
      <c r="P901" s="5">
        <f>IF(OR(INDEX($V$2:$V$1001,MATCH(ROWS($U$2:U901),$U$2:$U$1001,0),1)&gt;=100000,INDEX($AB$1005:$AQ$1005,1,MATCH(COLUMNS($AB$1006:AP1006),$AB$1006:$AQ$1006,0))&gt;=100000), " ",IF(INDEX($AB$2:$AQ$1001,MATCH(ROWS($U$2:U901),$U$2:$U$1001,0),MATCH(COLUMNS($AB$1006:AP1006),$AB$1006:$AQ$1006,0)), HYPERLINK("#",""), HYPERLINK(CONCATENATE("#Metadata!", ADDRESS(INDEX($W$2:$W$1001,MATCH(ROWS($U$2:U901),$U$2:$U$1001,0),0), INDEX($AB$1004:$AQ$1004,1,MATCH(COLUMNS($AB$1006:AP1006),$AB$1006:$AQ$1006,0)))),"Fix")))</f>
        <v>0</v>
      </c>
      <c r="Q901" s="5">
        <f>IF(OR(INDEX($V$2:$V$1001,MATCH(ROWS($U$2:U901),$U$2:$U$1001,0),1)&gt;=100000,INDEX($AB$1005:$AQ$1005,1,MATCH(COLUMNS($AB$1006:AQ1006),$AB$1006:$AQ$1006,0))&gt;=100000), " ",IF(INDEX($AB$2:$AQ$1001,MATCH(ROWS($U$2:U901),$U$2:$U$1001,0),MATCH(COLUMNS($AB$1006:AQ1006),$AB$1006:$AQ$1006,0)), HYPERLINK("#",""), HYPERLINK(CONCATENATE("#Metadata!", ADDRESS(INDEX($W$2:$W$1001,MATCH(ROWS($U$2:U901),$U$2:$U$1001,0),0), INDEX($AB$1004:$AQ$1004,1,MATCH(COLUMNS($AB$1006:AQ1006),$AB$1006:$AQ$1006,0)))),"Fix")))</f>
        <v>0</v>
      </c>
      <c r="U901">
        <v>0</v>
      </c>
      <c r="V901">
        <v>0</v>
      </c>
      <c r="W901">
        <v>0</v>
      </c>
      <c r="X901">
        <f>IF(Y901,TRUE,AND(AB901:AQ901))</f>
        <v>0</v>
      </c>
      <c r="Y901">
        <f>COUNTBLANK(Metadata!B901:Q901)=COLUMNS(Metadata!B901:Q901)</f>
        <v>0</v>
      </c>
      <c r="Z901">
        <v>0</v>
      </c>
      <c r="AB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AC901">
        <f>AND(IF(Metadata!C901="",FALSE,TRUE),exact(Metadata!C901,"urban biome"))</f>
        <v>0</v>
      </c>
      <c r="AD901">
        <f>AND(IF(Metadata!D901="",FALSE,TRUE),exact(Metadata!D901,"human-associated habitat"))</f>
        <v>0</v>
      </c>
      <c r="AE901">
        <f>AND(IF(Metadata!E901="",FALSE,TRUE),OR(exact(Metadata!E901,"human-associated"),exact(Metadata!E901,"human-skin"),exact(Metadata!E901,"human-oral"),exact(Metadata!E901,"human-gut"),exact(Metadata!E901,"human-vaginal")))</f>
        <v>0</v>
      </c>
      <c r="AF901">
        <f>AND(IF(Metadata!F901="",FALSE,ISNUMBER(VALUE(Metadata!F901))),Metadata!F901&gt;0)</f>
        <v>0</v>
      </c>
      <c r="AG901">
        <f>AND(IF(Metadata!G901="",FALSE,TRUE),exact(Metadata!G901,"years"))</f>
        <v>0</v>
      </c>
      <c r="AH901">
        <f>OR(AND(IF(Metadata!H901="",FALSE,TRUE),OR(exact(Metadata!H901,"not applicable"),exact(Metadata!H901,"not collected"),exact(Metadata!H901,"not provided"),exact(Metadata!H901,"restricted access"))),AND(IF(Metadata!H901="",FALSE,ISNUMBER(VALUE(Metadata!H901))),Metadata!H901&gt;0))</f>
        <v>0</v>
      </c>
      <c r="AI901">
        <f>AND(IF(Metadata!I901="",FALSE,TRUE),exact(Metadata!I901,"human"))</f>
        <v>0</v>
      </c>
      <c r="AJ901">
        <f>AND(IF(Metadata!J901="",FALSE,ISNUMBER(VALUE(Metadata!J901))),Metadata!J901&gt;0)</f>
        <v>0</v>
      </c>
      <c r="AK901">
        <f>AND(IF(Metadata!K901="",FALSE,TRUE),exact(Metadata!K901,"cm"))</f>
        <v>0</v>
      </c>
      <c r="AL901">
        <f>AND(IF(Metadata!L901="",FALSE,TRUE),exact(Metadata!L901,"Homo sapiens"))</f>
        <v>0</v>
      </c>
      <c r="AM901">
        <f>AND(IF(Metadata!M901="",FALSE,TRUE),exact(Metadata!M901,"9606"))</f>
        <v>0</v>
      </c>
      <c r="AN901">
        <f>AND(IF(Metadata!N901="",FALSE,ISNUMBER(VALUE(Metadata!N901))),Metadata!N901&gt;0)</f>
        <v>0</v>
      </c>
      <c r="AO901">
        <f>AND(IF(Metadata!O901="",FALSE,TRUE),exact(Metadata!O901,"kg"))</f>
        <v>0</v>
      </c>
      <c r="AP901">
        <f>OR(AND(IF(Metadata!P901="",FALSE,TRUE),exact(Metadata!P901,"not provided")),IF(Metadata!P901="",FALSE,TRUE))</f>
        <v>0</v>
      </c>
      <c r="AQ901">
        <f>OR(AND(IF(Metadata!Q901="",FALSE,TRUE),exact(Metadata!Q901,"not provided")),IF(Metadata!Q901="",FALSE,TRUE))</f>
        <v>0</v>
      </c>
    </row>
    <row r="902" spans="1:43">
      <c r="A902" s="4">
        <f>IF(B902=" "," ",HYPERLINK(CONCATENATE("#metadata!",ADDRESS(INDEX($W$2:$W$1001,MATCH(ROWS($U$2:U902),$U$2:$U$1001,0),0),2)),INDEX($Z$2:$Z$1001,MATCH(ROWS($U$2:U902),$U$2:$U$1001,0),0)))</f>
        <v>0</v>
      </c>
      <c r="B902" s="5">
        <f>IF(OR(INDEX($V$2:$V$1001,MATCH(ROWS($U$2:U902),$U$2:$U$1001,0),1)&gt;=100000,INDEX($AB$1005:$AQ$1005,1,MATCH(COLUMNS($AB$1006:AB1006),$AB$1006:$AQ$1006,0))&gt;=100000), " ",IF(INDEX($AB$2:$AQ$1001,MATCH(ROWS($U$2:U902),$U$2:$U$1001,0),MATCH(COLUMNS($AB$1006:AB1006),$AB$1006:$AQ$1006,0)), HYPERLINK("#",""), HYPERLINK(CONCATENATE("#Metadata!", ADDRESS(INDEX($W$2:$W$1001,MATCH(ROWS($U$2:U902),$U$2:$U$1001,0),0), INDEX($AB$1004:$AQ$1004,1,MATCH(COLUMNS($AB$1006:AB1006),$AB$1006:$AQ$1006,0)))),"Fix")))</f>
        <v>0</v>
      </c>
      <c r="C902" s="5">
        <f>IF(OR(INDEX($V$2:$V$1001,MATCH(ROWS($U$2:U902),$U$2:$U$1001,0),1)&gt;=100000,INDEX($AB$1005:$AQ$1005,1,MATCH(COLUMNS($AB$1006:AC1006),$AB$1006:$AQ$1006,0))&gt;=100000), " ",IF(INDEX($AB$2:$AQ$1001,MATCH(ROWS($U$2:U902),$U$2:$U$1001,0),MATCH(COLUMNS($AB$1006:AC1006),$AB$1006:$AQ$1006,0)), HYPERLINK("#",""), HYPERLINK(CONCATENATE("#Metadata!", ADDRESS(INDEX($W$2:$W$1001,MATCH(ROWS($U$2:U902),$U$2:$U$1001,0),0), INDEX($AB$1004:$AQ$1004,1,MATCH(COLUMNS($AB$1006:AC1006),$AB$1006:$AQ$1006,0)))),"Fix")))</f>
        <v>0</v>
      </c>
      <c r="D902" s="5">
        <f>IF(OR(INDEX($V$2:$V$1001,MATCH(ROWS($U$2:U902),$U$2:$U$1001,0),1)&gt;=100000,INDEX($AB$1005:$AQ$1005,1,MATCH(COLUMNS($AB$1006:AD1006),$AB$1006:$AQ$1006,0))&gt;=100000), " ",IF(INDEX($AB$2:$AQ$1001,MATCH(ROWS($U$2:U902),$U$2:$U$1001,0),MATCH(COLUMNS($AB$1006:AD1006),$AB$1006:$AQ$1006,0)), HYPERLINK("#",""), HYPERLINK(CONCATENATE("#Metadata!", ADDRESS(INDEX($W$2:$W$1001,MATCH(ROWS($U$2:U902),$U$2:$U$1001,0),0), INDEX($AB$1004:$AQ$1004,1,MATCH(COLUMNS($AB$1006:AD1006),$AB$1006:$AQ$1006,0)))),"Fix")))</f>
        <v>0</v>
      </c>
      <c r="E902" s="5">
        <f>IF(OR(INDEX($V$2:$V$1001,MATCH(ROWS($U$2:U902),$U$2:$U$1001,0),1)&gt;=100000,INDEX($AB$1005:$AQ$1005,1,MATCH(COLUMNS($AB$1006:AE1006),$AB$1006:$AQ$1006,0))&gt;=100000), " ",IF(INDEX($AB$2:$AQ$1001,MATCH(ROWS($U$2:U902),$U$2:$U$1001,0),MATCH(COLUMNS($AB$1006:AE1006),$AB$1006:$AQ$1006,0)), HYPERLINK("#",""), HYPERLINK(CONCATENATE("#Metadata!", ADDRESS(INDEX($W$2:$W$1001,MATCH(ROWS($U$2:U902),$U$2:$U$1001,0),0), INDEX($AB$1004:$AQ$1004,1,MATCH(COLUMNS($AB$1006:AE1006),$AB$1006:$AQ$1006,0)))),"Fix")))</f>
        <v>0</v>
      </c>
      <c r="F902" s="5">
        <f>IF(OR(INDEX($V$2:$V$1001,MATCH(ROWS($U$2:U902),$U$2:$U$1001,0),1)&gt;=100000,INDEX($AB$1005:$AQ$1005,1,MATCH(COLUMNS($AB$1006:AF1006),$AB$1006:$AQ$1006,0))&gt;=100000), " ",IF(INDEX($AB$2:$AQ$1001,MATCH(ROWS($U$2:U902),$U$2:$U$1001,0),MATCH(COLUMNS($AB$1006:AF1006),$AB$1006:$AQ$1006,0)), HYPERLINK("#",""), HYPERLINK(CONCATENATE("#Metadata!", ADDRESS(INDEX($W$2:$W$1001,MATCH(ROWS($U$2:U902),$U$2:$U$1001,0),0), INDEX($AB$1004:$AQ$1004,1,MATCH(COLUMNS($AB$1006:AF1006),$AB$1006:$AQ$1006,0)))),"Fix")))</f>
        <v>0</v>
      </c>
      <c r="G902" s="5">
        <f>IF(OR(INDEX($V$2:$V$1001,MATCH(ROWS($U$2:U902),$U$2:$U$1001,0),1)&gt;=100000,INDEX($AB$1005:$AQ$1005,1,MATCH(COLUMNS($AB$1006:AG1006),$AB$1006:$AQ$1006,0))&gt;=100000), " ",IF(INDEX($AB$2:$AQ$1001,MATCH(ROWS($U$2:U902),$U$2:$U$1001,0),MATCH(COLUMNS($AB$1006:AG1006),$AB$1006:$AQ$1006,0)), HYPERLINK("#",""), HYPERLINK(CONCATENATE("#Metadata!", ADDRESS(INDEX($W$2:$W$1001,MATCH(ROWS($U$2:U902),$U$2:$U$1001,0),0), INDEX($AB$1004:$AQ$1004,1,MATCH(COLUMNS($AB$1006:AG1006),$AB$1006:$AQ$1006,0)))),"Fix")))</f>
        <v>0</v>
      </c>
      <c r="H902" s="5">
        <f>IF(OR(INDEX($V$2:$V$1001,MATCH(ROWS($U$2:U902),$U$2:$U$1001,0),1)&gt;=100000,INDEX($AB$1005:$AQ$1005,1,MATCH(COLUMNS($AB$1006:AH1006),$AB$1006:$AQ$1006,0))&gt;=100000), " ",IF(INDEX($AB$2:$AQ$1001,MATCH(ROWS($U$2:U902),$U$2:$U$1001,0),MATCH(COLUMNS($AB$1006:AH1006),$AB$1006:$AQ$1006,0)), HYPERLINK("#",""), HYPERLINK(CONCATENATE("#Metadata!", ADDRESS(INDEX($W$2:$W$1001,MATCH(ROWS($U$2:U902),$U$2:$U$1001,0),0), INDEX($AB$1004:$AQ$1004,1,MATCH(COLUMNS($AB$1006:AH1006),$AB$1006:$AQ$1006,0)))),"Fix")))</f>
        <v>0</v>
      </c>
      <c r="I902" s="5">
        <f>IF(OR(INDEX($V$2:$V$1001,MATCH(ROWS($U$2:U902),$U$2:$U$1001,0),1)&gt;=100000,INDEX($AB$1005:$AQ$1005,1,MATCH(COLUMNS($AB$1006:AI1006),$AB$1006:$AQ$1006,0))&gt;=100000), " ",IF(INDEX($AB$2:$AQ$1001,MATCH(ROWS($U$2:U902),$U$2:$U$1001,0),MATCH(COLUMNS($AB$1006:AI1006),$AB$1006:$AQ$1006,0)), HYPERLINK("#",""), HYPERLINK(CONCATENATE("#Metadata!", ADDRESS(INDEX($W$2:$W$1001,MATCH(ROWS($U$2:U902),$U$2:$U$1001,0),0), INDEX($AB$1004:$AQ$1004,1,MATCH(COLUMNS($AB$1006:AI1006),$AB$1006:$AQ$1006,0)))),"Fix")))</f>
        <v>0</v>
      </c>
      <c r="J902" s="5">
        <f>IF(OR(INDEX($V$2:$V$1001,MATCH(ROWS($U$2:U902),$U$2:$U$1001,0),1)&gt;=100000,INDEX($AB$1005:$AQ$1005,1,MATCH(COLUMNS($AB$1006:AJ1006),$AB$1006:$AQ$1006,0))&gt;=100000), " ",IF(INDEX($AB$2:$AQ$1001,MATCH(ROWS($U$2:U902),$U$2:$U$1001,0),MATCH(COLUMNS($AB$1006:AJ1006),$AB$1006:$AQ$1006,0)), HYPERLINK("#",""), HYPERLINK(CONCATENATE("#Metadata!", ADDRESS(INDEX($W$2:$W$1001,MATCH(ROWS($U$2:U902),$U$2:$U$1001,0),0), INDEX($AB$1004:$AQ$1004,1,MATCH(COLUMNS($AB$1006:AJ1006),$AB$1006:$AQ$1006,0)))),"Fix")))</f>
        <v>0</v>
      </c>
      <c r="K902" s="5">
        <f>IF(OR(INDEX($V$2:$V$1001,MATCH(ROWS($U$2:U902),$U$2:$U$1001,0),1)&gt;=100000,INDEX($AB$1005:$AQ$1005,1,MATCH(COLUMNS($AB$1006:AK1006),$AB$1006:$AQ$1006,0))&gt;=100000), " ",IF(INDEX($AB$2:$AQ$1001,MATCH(ROWS($U$2:U902),$U$2:$U$1001,0),MATCH(COLUMNS($AB$1006:AK1006),$AB$1006:$AQ$1006,0)), HYPERLINK("#",""), HYPERLINK(CONCATENATE("#Metadata!", ADDRESS(INDEX($W$2:$W$1001,MATCH(ROWS($U$2:U902),$U$2:$U$1001,0),0), INDEX($AB$1004:$AQ$1004,1,MATCH(COLUMNS($AB$1006:AK1006),$AB$1006:$AQ$1006,0)))),"Fix")))</f>
        <v>0</v>
      </c>
      <c r="L902" s="5">
        <f>IF(OR(INDEX($V$2:$V$1001,MATCH(ROWS($U$2:U902),$U$2:$U$1001,0),1)&gt;=100000,INDEX($AB$1005:$AQ$1005,1,MATCH(COLUMNS($AB$1006:AL1006),$AB$1006:$AQ$1006,0))&gt;=100000), " ",IF(INDEX($AB$2:$AQ$1001,MATCH(ROWS($U$2:U902),$U$2:$U$1001,0),MATCH(COLUMNS($AB$1006:AL1006),$AB$1006:$AQ$1006,0)), HYPERLINK("#",""), HYPERLINK(CONCATENATE("#Metadata!", ADDRESS(INDEX($W$2:$W$1001,MATCH(ROWS($U$2:U902),$U$2:$U$1001,0),0), INDEX($AB$1004:$AQ$1004,1,MATCH(COLUMNS($AB$1006:AL1006),$AB$1006:$AQ$1006,0)))),"Fix")))</f>
        <v>0</v>
      </c>
      <c r="M902" s="5">
        <f>IF(OR(INDEX($V$2:$V$1001,MATCH(ROWS($U$2:U902),$U$2:$U$1001,0),1)&gt;=100000,INDEX($AB$1005:$AQ$1005,1,MATCH(COLUMNS($AB$1006:AM1006),$AB$1006:$AQ$1006,0))&gt;=100000), " ",IF(INDEX($AB$2:$AQ$1001,MATCH(ROWS($U$2:U902),$U$2:$U$1001,0),MATCH(COLUMNS($AB$1006:AM1006),$AB$1006:$AQ$1006,0)), HYPERLINK("#",""), HYPERLINK(CONCATENATE("#Metadata!", ADDRESS(INDEX($W$2:$W$1001,MATCH(ROWS($U$2:U902),$U$2:$U$1001,0),0), INDEX($AB$1004:$AQ$1004,1,MATCH(COLUMNS($AB$1006:AM1006),$AB$1006:$AQ$1006,0)))),"Fix")))</f>
        <v>0</v>
      </c>
      <c r="N902" s="5">
        <f>IF(OR(INDEX($V$2:$V$1001,MATCH(ROWS($U$2:U902),$U$2:$U$1001,0),1)&gt;=100000,INDEX($AB$1005:$AQ$1005,1,MATCH(COLUMNS($AB$1006:AN1006),$AB$1006:$AQ$1006,0))&gt;=100000), " ",IF(INDEX($AB$2:$AQ$1001,MATCH(ROWS($U$2:U902),$U$2:$U$1001,0),MATCH(COLUMNS($AB$1006:AN1006),$AB$1006:$AQ$1006,0)), HYPERLINK("#",""), HYPERLINK(CONCATENATE("#Metadata!", ADDRESS(INDEX($W$2:$W$1001,MATCH(ROWS($U$2:U902),$U$2:$U$1001,0),0), INDEX($AB$1004:$AQ$1004,1,MATCH(COLUMNS($AB$1006:AN1006),$AB$1006:$AQ$1006,0)))),"Fix")))</f>
        <v>0</v>
      </c>
      <c r="O902" s="5">
        <f>IF(OR(INDEX($V$2:$V$1001,MATCH(ROWS($U$2:U902),$U$2:$U$1001,0),1)&gt;=100000,INDEX($AB$1005:$AQ$1005,1,MATCH(COLUMNS($AB$1006:AO1006),$AB$1006:$AQ$1006,0))&gt;=100000), " ",IF(INDEX($AB$2:$AQ$1001,MATCH(ROWS($U$2:U902),$U$2:$U$1001,0),MATCH(COLUMNS($AB$1006:AO1006),$AB$1006:$AQ$1006,0)), HYPERLINK("#",""), HYPERLINK(CONCATENATE("#Metadata!", ADDRESS(INDEX($W$2:$W$1001,MATCH(ROWS($U$2:U902),$U$2:$U$1001,0),0), INDEX($AB$1004:$AQ$1004,1,MATCH(COLUMNS($AB$1006:AO1006),$AB$1006:$AQ$1006,0)))),"Fix")))</f>
        <v>0</v>
      </c>
      <c r="P902" s="5">
        <f>IF(OR(INDEX($V$2:$V$1001,MATCH(ROWS($U$2:U902),$U$2:$U$1001,0),1)&gt;=100000,INDEX($AB$1005:$AQ$1005,1,MATCH(COLUMNS($AB$1006:AP1006),$AB$1006:$AQ$1006,0))&gt;=100000), " ",IF(INDEX($AB$2:$AQ$1001,MATCH(ROWS($U$2:U902),$U$2:$U$1001,0),MATCH(COLUMNS($AB$1006:AP1006),$AB$1006:$AQ$1006,0)), HYPERLINK("#",""), HYPERLINK(CONCATENATE("#Metadata!", ADDRESS(INDEX($W$2:$W$1001,MATCH(ROWS($U$2:U902),$U$2:$U$1001,0),0), INDEX($AB$1004:$AQ$1004,1,MATCH(COLUMNS($AB$1006:AP1006),$AB$1006:$AQ$1006,0)))),"Fix")))</f>
        <v>0</v>
      </c>
      <c r="Q902" s="5">
        <f>IF(OR(INDEX($V$2:$V$1001,MATCH(ROWS($U$2:U902),$U$2:$U$1001,0),1)&gt;=100000,INDEX($AB$1005:$AQ$1005,1,MATCH(COLUMNS($AB$1006:AQ1006),$AB$1006:$AQ$1006,0))&gt;=100000), " ",IF(INDEX($AB$2:$AQ$1001,MATCH(ROWS($U$2:U902),$U$2:$U$1001,0),MATCH(COLUMNS($AB$1006:AQ1006),$AB$1006:$AQ$1006,0)), HYPERLINK("#",""), HYPERLINK(CONCATENATE("#Metadata!", ADDRESS(INDEX($W$2:$W$1001,MATCH(ROWS($U$2:U902),$U$2:$U$1001,0),0), INDEX($AB$1004:$AQ$1004,1,MATCH(COLUMNS($AB$1006:AQ1006),$AB$1006:$AQ$1006,0)))),"Fix")))</f>
        <v>0</v>
      </c>
      <c r="U902">
        <v>0</v>
      </c>
      <c r="V902">
        <v>0</v>
      </c>
      <c r="W902">
        <v>0</v>
      </c>
      <c r="X902">
        <f>IF(Y902,TRUE,AND(AB902:AQ902))</f>
        <v>0</v>
      </c>
      <c r="Y902">
        <f>COUNTBLANK(Metadata!B902:Q902)=COLUMNS(Metadata!B902:Q902)</f>
        <v>0</v>
      </c>
      <c r="Z902">
        <v>0</v>
      </c>
      <c r="AB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AC902">
        <f>AND(IF(Metadata!C902="",FALSE,TRUE),exact(Metadata!C902,"urban biome"))</f>
        <v>0</v>
      </c>
      <c r="AD902">
        <f>AND(IF(Metadata!D902="",FALSE,TRUE),exact(Metadata!D902,"human-associated habitat"))</f>
        <v>0</v>
      </c>
      <c r="AE902">
        <f>AND(IF(Metadata!E902="",FALSE,TRUE),OR(exact(Metadata!E902,"human-associated"),exact(Metadata!E902,"human-skin"),exact(Metadata!E902,"human-oral"),exact(Metadata!E902,"human-gut"),exact(Metadata!E902,"human-vaginal")))</f>
        <v>0</v>
      </c>
      <c r="AF902">
        <f>AND(IF(Metadata!F902="",FALSE,ISNUMBER(VALUE(Metadata!F902))),Metadata!F902&gt;0)</f>
        <v>0</v>
      </c>
      <c r="AG902">
        <f>AND(IF(Metadata!G902="",FALSE,TRUE),exact(Metadata!G902,"years"))</f>
        <v>0</v>
      </c>
      <c r="AH902">
        <f>OR(AND(IF(Metadata!H902="",FALSE,TRUE),OR(exact(Metadata!H902,"not applicable"),exact(Metadata!H902,"not collected"),exact(Metadata!H902,"not provided"),exact(Metadata!H902,"restricted access"))),AND(IF(Metadata!H902="",FALSE,ISNUMBER(VALUE(Metadata!H902))),Metadata!H902&gt;0))</f>
        <v>0</v>
      </c>
      <c r="AI902">
        <f>AND(IF(Metadata!I902="",FALSE,TRUE),exact(Metadata!I902,"human"))</f>
        <v>0</v>
      </c>
      <c r="AJ902">
        <f>AND(IF(Metadata!J902="",FALSE,ISNUMBER(VALUE(Metadata!J902))),Metadata!J902&gt;0)</f>
        <v>0</v>
      </c>
      <c r="AK902">
        <f>AND(IF(Metadata!K902="",FALSE,TRUE),exact(Metadata!K902,"cm"))</f>
        <v>0</v>
      </c>
      <c r="AL902">
        <f>AND(IF(Metadata!L902="",FALSE,TRUE),exact(Metadata!L902,"Homo sapiens"))</f>
        <v>0</v>
      </c>
      <c r="AM902">
        <f>AND(IF(Metadata!M902="",FALSE,TRUE),exact(Metadata!M902,"9606"))</f>
        <v>0</v>
      </c>
      <c r="AN902">
        <f>AND(IF(Metadata!N902="",FALSE,ISNUMBER(VALUE(Metadata!N902))),Metadata!N902&gt;0)</f>
        <v>0</v>
      </c>
      <c r="AO902">
        <f>AND(IF(Metadata!O902="",FALSE,TRUE),exact(Metadata!O902,"kg"))</f>
        <v>0</v>
      </c>
      <c r="AP902">
        <f>OR(AND(IF(Metadata!P902="",FALSE,TRUE),exact(Metadata!P902,"not provided")),IF(Metadata!P902="",FALSE,TRUE))</f>
        <v>0</v>
      </c>
      <c r="AQ902">
        <f>OR(AND(IF(Metadata!Q902="",FALSE,TRUE),exact(Metadata!Q902,"not provided")),IF(Metadata!Q902="",FALSE,TRUE))</f>
        <v>0</v>
      </c>
    </row>
    <row r="903" spans="1:43">
      <c r="A903" s="4">
        <f>IF(B903=" "," ",HYPERLINK(CONCATENATE("#metadata!",ADDRESS(INDEX($W$2:$W$1001,MATCH(ROWS($U$2:U903),$U$2:$U$1001,0),0),2)),INDEX($Z$2:$Z$1001,MATCH(ROWS($U$2:U903),$U$2:$U$1001,0),0)))</f>
        <v>0</v>
      </c>
      <c r="B903" s="5">
        <f>IF(OR(INDEX($V$2:$V$1001,MATCH(ROWS($U$2:U903),$U$2:$U$1001,0),1)&gt;=100000,INDEX($AB$1005:$AQ$1005,1,MATCH(COLUMNS($AB$1006:AB1006),$AB$1006:$AQ$1006,0))&gt;=100000), " ",IF(INDEX($AB$2:$AQ$1001,MATCH(ROWS($U$2:U903),$U$2:$U$1001,0),MATCH(COLUMNS($AB$1006:AB1006),$AB$1006:$AQ$1006,0)), HYPERLINK("#",""), HYPERLINK(CONCATENATE("#Metadata!", ADDRESS(INDEX($W$2:$W$1001,MATCH(ROWS($U$2:U903),$U$2:$U$1001,0),0), INDEX($AB$1004:$AQ$1004,1,MATCH(COLUMNS($AB$1006:AB1006),$AB$1006:$AQ$1006,0)))),"Fix")))</f>
        <v>0</v>
      </c>
      <c r="C903" s="5">
        <f>IF(OR(INDEX($V$2:$V$1001,MATCH(ROWS($U$2:U903),$U$2:$U$1001,0),1)&gt;=100000,INDEX($AB$1005:$AQ$1005,1,MATCH(COLUMNS($AB$1006:AC1006),$AB$1006:$AQ$1006,0))&gt;=100000), " ",IF(INDEX($AB$2:$AQ$1001,MATCH(ROWS($U$2:U903),$U$2:$U$1001,0),MATCH(COLUMNS($AB$1006:AC1006),$AB$1006:$AQ$1006,0)), HYPERLINK("#",""), HYPERLINK(CONCATENATE("#Metadata!", ADDRESS(INDEX($W$2:$W$1001,MATCH(ROWS($U$2:U903),$U$2:$U$1001,0),0), INDEX($AB$1004:$AQ$1004,1,MATCH(COLUMNS($AB$1006:AC1006),$AB$1006:$AQ$1006,0)))),"Fix")))</f>
        <v>0</v>
      </c>
      <c r="D903" s="5">
        <f>IF(OR(INDEX($V$2:$V$1001,MATCH(ROWS($U$2:U903),$U$2:$U$1001,0),1)&gt;=100000,INDEX($AB$1005:$AQ$1005,1,MATCH(COLUMNS($AB$1006:AD1006),$AB$1006:$AQ$1006,0))&gt;=100000), " ",IF(INDEX($AB$2:$AQ$1001,MATCH(ROWS($U$2:U903),$U$2:$U$1001,0),MATCH(COLUMNS($AB$1006:AD1006),$AB$1006:$AQ$1006,0)), HYPERLINK("#",""), HYPERLINK(CONCATENATE("#Metadata!", ADDRESS(INDEX($W$2:$W$1001,MATCH(ROWS($U$2:U903),$U$2:$U$1001,0),0), INDEX($AB$1004:$AQ$1004,1,MATCH(COLUMNS($AB$1006:AD1006),$AB$1006:$AQ$1006,0)))),"Fix")))</f>
        <v>0</v>
      </c>
      <c r="E903" s="5">
        <f>IF(OR(INDEX($V$2:$V$1001,MATCH(ROWS($U$2:U903),$U$2:$U$1001,0),1)&gt;=100000,INDEX($AB$1005:$AQ$1005,1,MATCH(COLUMNS($AB$1006:AE1006),$AB$1006:$AQ$1006,0))&gt;=100000), " ",IF(INDEX($AB$2:$AQ$1001,MATCH(ROWS($U$2:U903),$U$2:$U$1001,0),MATCH(COLUMNS($AB$1006:AE1006),$AB$1006:$AQ$1006,0)), HYPERLINK("#",""), HYPERLINK(CONCATENATE("#Metadata!", ADDRESS(INDEX($W$2:$W$1001,MATCH(ROWS($U$2:U903),$U$2:$U$1001,0),0), INDEX($AB$1004:$AQ$1004,1,MATCH(COLUMNS($AB$1006:AE1006),$AB$1006:$AQ$1006,0)))),"Fix")))</f>
        <v>0</v>
      </c>
      <c r="F903" s="5">
        <f>IF(OR(INDEX($V$2:$V$1001,MATCH(ROWS($U$2:U903),$U$2:$U$1001,0),1)&gt;=100000,INDEX($AB$1005:$AQ$1005,1,MATCH(COLUMNS($AB$1006:AF1006),$AB$1006:$AQ$1006,0))&gt;=100000), " ",IF(INDEX($AB$2:$AQ$1001,MATCH(ROWS($U$2:U903),$U$2:$U$1001,0),MATCH(COLUMNS($AB$1006:AF1006),$AB$1006:$AQ$1006,0)), HYPERLINK("#",""), HYPERLINK(CONCATENATE("#Metadata!", ADDRESS(INDEX($W$2:$W$1001,MATCH(ROWS($U$2:U903),$U$2:$U$1001,0),0), INDEX($AB$1004:$AQ$1004,1,MATCH(COLUMNS($AB$1006:AF1006),$AB$1006:$AQ$1006,0)))),"Fix")))</f>
        <v>0</v>
      </c>
      <c r="G903" s="5">
        <f>IF(OR(INDEX($V$2:$V$1001,MATCH(ROWS($U$2:U903),$U$2:$U$1001,0),1)&gt;=100000,INDEX($AB$1005:$AQ$1005,1,MATCH(COLUMNS($AB$1006:AG1006),$AB$1006:$AQ$1006,0))&gt;=100000), " ",IF(INDEX($AB$2:$AQ$1001,MATCH(ROWS($U$2:U903),$U$2:$U$1001,0),MATCH(COLUMNS($AB$1006:AG1006),$AB$1006:$AQ$1006,0)), HYPERLINK("#",""), HYPERLINK(CONCATENATE("#Metadata!", ADDRESS(INDEX($W$2:$W$1001,MATCH(ROWS($U$2:U903),$U$2:$U$1001,0),0), INDEX($AB$1004:$AQ$1004,1,MATCH(COLUMNS($AB$1006:AG1006),$AB$1006:$AQ$1006,0)))),"Fix")))</f>
        <v>0</v>
      </c>
      <c r="H903" s="5">
        <f>IF(OR(INDEX($V$2:$V$1001,MATCH(ROWS($U$2:U903),$U$2:$U$1001,0),1)&gt;=100000,INDEX($AB$1005:$AQ$1005,1,MATCH(COLUMNS($AB$1006:AH1006),$AB$1006:$AQ$1006,0))&gt;=100000), " ",IF(INDEX($AB$2:$AQ$1001,MATCH(ROWS($U$2:U903),$U$2:$U$1001,0),MATCH(COLUMNS($AB$1006:AH1006),$AB$1006:$AQ$1006,0)), HYPERLINK("#",""), HYPERLINK(CONCATENATE("#Metadata!", ADDRESS(INDEX($W$2:$W$1001,MATCH(ROWS($U$2:U903),$U$2:$U$1001,0),0), INDEX($AB$1004:$AQ$1004,1,MATCH(COLUMNS($AB$1006:AH1006),$AB$1006:$AQ$1006,0)))),"Fix")))</f>
        <v>0</v>
      </c>
      <c r="I903" s="5">
        <f>IF(OR(INDEX($V$2:$V$1001,MATCH(ROWS($U$2:U903),$U$2:$U$1001,0),1)&gt;=100000,INDEX($AB$1005:$AQ$1005,1,MATCH(COLUMNS($AB$1006:AI1006),$AB$1006:$AQ$1006,0))&gt;=100000), " ",IF(INDEX($AB$2:$AQ$1001,MATCH(ROWS($U$2:U903),$U$2:$U$1001,0),MATCH(COLUMNS($AB$1006:AI1006),$AB$1006:$AQ$1006,0)), HYPERLINK("#",""), HYPERLINK(CONCATENATE("#Metadata!", ADDRESS(INDEX($W$2:$W$1001,MATCH(ROWS($U$2:U903),$U$2:$U$1001,0),0), INDEX($AB$1004:$AQ$1004,1,MATCH(COLUMNS($AB$1006:AI1006),$AB$1006:$AQ$1006,0)))),"Fix")))</f>
        <v>0</v>
      </c>
      <c r="J903" s="5">
        <f>IF(OR(INDEX($V$2:$V$1001,MATCH(ROWS($U$2:U903),$U$2:$U$1001,0),1)&gt;=100000,INDEX($AB$1005:$AQ$1005,1,MATCH(COLUMNS($AB$1006:AJ1006),$AB$1006:$AQ$1006,0))&gt;=100000), " ",IF(INDEX($AB$2:$AQ$1001,MATCH(ROWS($U$2:U903),$U$2:$U$1001,0),MATCH(COLUMNS($AB$1006:AJ1006),$AB$1006:$AQ$1006,0)), HYPERLINK("#",""), HYPERLINK(CONCATENATE("#Metadata!", ADDRESS(INDEX($W$2:$W$1001,MATCH(ROWS($U$2:U903),$U$2:$U$1001,0),0), INDEX($AB$1004:$AQ$1004,1,MATCH(COLUMNS($AB$1006:AJ1006),$AB$1006:$AQ$1006,0)))),"Fix")))</f>
        <v>0</v>
      </c>
      <c r="K903" s="5">
        <f>IF(OR(INDEX($V$2:$V$1001,MATCH(ROWS($U$2:U903),$U$2:$U$1001,0),1)&gt;=100000,INDEX($AB$1005:$AQ$1005,1,MATCH(COLUMNS($AB$1006:AK1006),$AB$1006:$AQ$1006,0))&gt;=100000), " ",IF(INDEX($AB$2:$AQ$1001,MATCH(ROWS($U$2:U903),$U$2:$U$1001,0),MATCH(COLUMNS($AB$1006:AK1006),$AB$1006:$AQ$1006,0)), HYPERLINK("#",""), HYPERLINK(CONCATENATE("#Metadata!", ADDRESS(INDEX($W$2:$W$1001,MATCH(ROWS($U$2:U903),$U$2:$U$1001,0),0), INDEX($AB$1004:$AQ$1004,1,MATCH(COLUMNS($AB$1006:AK1006),$AB$1006:$AQ$1006,0)))),"Fix")))</f>
        <v>0</v>
      </c>
      <c r="L903" s="5">
        <f>IF(OR(INDEX($V$2:$V$1001,MATCH(ROWS($U$2:U903),$U$2:$U$1001,0),1)&gt;=100000,INDEX($AB$1005:$AQ$1005,1,MATCH(COLUMNS($AB$1006:AL1006),$AB$1006:$AQ$1006,0))&gt;=100000), " ",IF(INDEX($AB$2:$AQ$1001,MATCH(ROWS($U$2:U903),$U$2:$U$1001,0),MATCH(COLUMNS($AB$1006:AL1006),$AB$1006:$AQ$1006,0)), HYPERLINK("#",""), HYPERLINK(CONCATENATE("#Metadata!", ADDRESS(INDEX($W$2:$W$1001,MATCH(ROWS($U$2:U903),$U$2:$U$1001,0),0), INDEX($AB$1004:$AQ$1004,1,MATCH(COLUMNS($AB$1006:AL1006),$AB$1006:$AQ$1006,0)))),"Fix")))</f>
        <v>0</v>
      </c>
      <c r="M903" s="5">
        <f>IF(OR(INDEX($V$2:$V$1001,MATCH(ROWS($U$2:U903),$U$2:$U$1001,0),1)&gt;=100000,INDEX($AB$1005:$AQ$1005,1,MATCH(COLUMNS($AB$1006:AM1006),$AB$1006:$AQ$1006,0))&gt;=100000), " ",IF(INDEX($AB$2:$AQ$1001,MATCH(ROWS($U$2:U903),$U$2:$U$1001,0),MATCH(COLUMNS($AB$1006:AM1006),$AB$1006:$AQ$1006,0)), HYPERLINK("#",""), HYPERLINK(CONCATENATE("#Metadata!", ADDRESS(INDEX($W$2:$W$1001,MATCH(ROWS($U$2:U903),$U$2:$U$1001,0),0), INDEX($AB$1004:$AQ$1004,1,MATCH(COLUMNS($AB$1006:AM1006),$AB$1006:$AQ$1006,0)))),"Fix")))</f>
        <v>0</v>
      </c>
      <c r="N903" s="5">
        <f>IF(OR(INDEX($V$2:$V$1001,MATCH(ROWS($U$2:U903),$U$2:$U$1001,0),1)&gt;=100000,INDEX($AB$1005:$AQ$1005,1,MATCH(COLUMNS($AB$1006:AN1006),$AB$1006:$AQ$1006,0))&gt;=100000), " ",IF(INDEX($AB$2:$AQ$1001,MATCH(ROWS($U$2:U903),$U$2:$U$1001,0),MATCH(COLUMNS($AB$1006:AN1006),$AB$1006:$AQ$1006,0)), HYPERLINK("#",""), HYPERLINK(CONCATENATE("#Metadata!", ADDRESS(INDEX($W$2:$W$1001,MATCH(ROWS($U$2:U903),$U$2:$U$1001,0),0), INDEX($AB$1004:$AQ$1004,1,MATCH(COLUMNS($AB$1006:AN1006),$AB$1006:$AQ$1006,0)))),"Fix")))</f>
        <v>0</v>
      </c>
      <c r="O903" s="5">
        <f>IF(OR(INDEX($V$2:$V$1001,MATCH(ROWS($U$2:U903),$U$2:$U$1001,0),1)&gt;=100000,INDEX($AB$1005:$AQ$1005,1,MATCH(COLUMNS($AB$1006:AO1006),$AB$1006:$AQ$1006,0))&gt;=100000), " ",IF(INDEX($AB$2:$AQ$1001,MATCH(ROWS($U$2:U903),$U$2:$U$1001,0),MATCH(COLUMNS($AB$1006:AO1006),$AB$1006:$AQ$1006,0)), HYPERLINK("#",""), HYPERLINK(CONCATENATE("#Metadata!", ADDRESS(INDEX($W$2:$W$1001,MATCH(ROWS($U$2:U903),$U$2:$U$1001,0),0), INDEX($AB$1004:$AQ$1004,1,MATCH(COLUMNS($AB$1006:AO1006),$AB$1006:$AQ$1006,0)))),"Fix")))</f>
        <v>0</v>
      </c>
      <c r="P903" s="5">
        <f>IF(OR(INDEX($V$2:$V$1001,MATCH(ROWS($U$2:U903),$U$2:$U$1001,0),1)&gt;=100000,INDEX($AB$1005:$AQ$1005,1,MATCH(COLUMNS($AB$1006:AP1006),$AB$1006:$AQ$1006,0))&gt;=100000), " ",IF(INDEX($AB$2:$AQ$1001,MATCH(ROWS($U$2:U903),$U$2:$U$1001,0),MATCH(COLUMNS($AB$1006:AP1006),$AB$1006:$AQ$1006,0)), HYPERLINK("#",""), HYPERLINK(CONCATENATE("#Metadata!", ADDRESS(INDEX($W$2:$W$1001,MATCH(ROWS($U$2:U903),$U$2:$U$1001,0),0), INDEX($AB$1004:$AQ$1004,1,MATCH(COLUMNS($AB$1006:AP1006),$AB$1006:$AQ$1006,0)))),"Fix")))</f>
        <v>0</v>
      </c>
      <c r="Q903" s="5">
        <f>IF(OR(INDEX($V$2:$V$1001,MATCH(ROWS($U$2:U903),$U$2:$U$1001,0),1)&gt;=100000,INDEX($AB$1005:$AQ$1005,1,MATCH(COLUMNS($AB$1006:AQ1006),$AB$1006:$AQ$1006,0))&gt;=100000), " ",IF(INDEX($AB$2:$AQ$1001,MATCH(ROWS($U$2:U903),$U$2:$U$1001,0),MATCH(COLUMNS($AB$1006:AQ1006),$AB$1006:$AQ$1006,0)), HYPERLINK("#",""), HYPERLINK(CONCATENATE("#Metadata!", ADDRESS(INDEX($W$2:$W$1001,MATCH(ROWS($U$2:U903),$U$2:$U$1001,0),0), INDEX($AB$1004:$AQ$1004,1,MATCH(COLUMNS($AB$1006:AQ1006),$AB$1006:$AQ$1006,0)))),"Fix")))</f>
        <v>0</v>
      </c>
      <c r="U903">
        <v>0</v>
      </c>
      <c r="V903">
        <v>0</v>
      </c>
      <c r="W903">
        <v>0</v>
      </c>
      <c r="X903">
        <f>IF(Y903,TRUE,AND(AB903:AQ903))</f>
        <v>0</v>
      </c>
      <c r="Y903">
        <f>COUNTBLANK(Metadata!B903:Q903)=COLUMNS(Metadata!B903:Q903)</f>
        <v>0</v>
      </c>
      <c r="Z903">
        <v>0</v>
      </c>
      <c r="AB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AC903">
        <f>AND(IF(Metadata!C903="",FALSE,TRUE),exact(Metadata!C903,"urban biome"))</f>
        <v>0</v>
      </c>
      <c r="AD903">
        <f>AND(IF(Metadata!D903="",FALSE,TRUE),exact(Metadata!D903,"human-associated habitat"))</f>
        <v>0</v>
      </c>
      <c r="AE903">
        <f>AND(IF(Metadata!E903="",FALSE,TRUE),OR(exact(Metadata!E903,"human-associated"),exact(Metadata!E903,"human-skin"),exact(Metadata!E903,"human-oral"),exact(Metadata!E903,"human-gut"),exact(Metadata!E903,"human-vaginal")))</f>
        <v>0</v>
      </c>
      <c r="AF903">
        <f>AND(IF(Metadata!F903="",FALSE,ISNUMBER(VALUE(Metadata!F903))),Metadata!F903&gt;0)</f>
        <v>0</v>
      </c>
      <c r="AG903">
        <f>AND(IF(Metadata!G903="",FALSE,TRUE),exact(Metadata!G903,"years"))</f>
        <v>0</v>
      </c>
      <c r="AH903">
        <f>OR(AND(IF(Metadata!H903="",FALSE,TRUE),OR(exact(Metadata!H903,"not applicable"),exact(Metadata!H903,"not collected"),exact(Metadata!H903,"not provided"),exact(Metadata!H903,"restricted access"))),AND(IF(Metadata!H903="",FALSE,ISNUMBER(VALUE(Metadata!H903))),Metadata!H903&gt;0))</f>
        <v>0</v>
      </c>
      <c r="AI903">
        <f>AND(IF(Metadata!I903="",FALSE,TRUE),exact(Metadata!I903,"human"))</f>
        <v>0</v>
      </c>
      <c r="AJ903">
        <f>AND(IF(Metadata!J903="",FALSE,ISNUMBER(VALUE(Metadata!J903))),Metadata!J903&gt;0)</f>
        <v>0</v>
      </c>
      <c r="AK903">
        <f>AND(IF(Metadata!K903="",FALSE,TRUE),exact(Metadata!K903,"cm"))</f>
        <v>0</v>
      </c>
      <c r="AL903">
        <f>AND(IF(Metadata!L903="",FALSE,TRUE),exact(Metadata!L903,"Homo sapiens"))</f>
        <v>0</v>
      </c>
      <c r="AM903">
        <f>AND(IF(Metadata!M903="",FALSE,TRUE),exact(Metadata!M903,"9606"))</f>
        <v>0</v>
      </c>
      <c r="AN903">
        <f>AND(IF(Metadata!N903="",FALSE,ISNUMBER(VALUE(Metadata!N903))),Metadata!N903&gt;0)</f>
        <v>0</v>
      </c>
      <c r="AO903">
        <f>AND(IF(Metadata!O903="",FALSE,TRUE),exact(Metadata!O903,"kg"))</f>
        <v>0</v>
      </c>
      <c r="AP903">
        <f>OR(AND(IF(Metadata!P903="",FALSE,TRUE),exact(Metadata!P903,"not provided")),IF(Metadata!P903="",FALSE,TRUE))</f>
        <v>0</v>
      </c>
      <c r="AQ903">
        <f>OR(AND(IF(Metadata!Q903="",FALSE,TRUE),exact(Metadata!Q903,"not provided")),IF(Metadata!Q903="",FALSE,TRUE))</f>
        <v>0</v>
      </c>
    </row>
    <row r="904" spans="1:43">
      <c r="A904" s="4">
        <f>IF(B904=" "," ",HYPERLINK(CONCATENATE("#metadata!",ADDRESS(INDEX($W$2:$W$1001,MATCH(ROWS($U$2:U904),$U$2:$U$1001,0),0),2)),INDEX($Z$2:$Z$1001,MATCH(ROWS($U$2:U904),$U$2:$U$1001,0),0)))</f>
        <v>0</v>
      </c>
      <c r="B904" s="5">
        <f>IF(OR(INDEX($V$2:$V$1001,MATCH(ROWS($U$2:U904),$U$2:$U$1001,0),1)&gt;=100000,INDEX($AB$1005:$AQ$1005,1,MATCH(COLUMNS($AB$1006:AB1006),$AB$1006:$AQ$1006,0))&gt;=100000), " ",IF(INDEX($AB$2:$AQ$1001,MATCH(ROWS($U$2:U904),$U$2:$U$1001,0),MATCH(COLUMNS($AB$1006:AB1006),$AB$1006:$AQ$1006,0)), HYPERLINK("#",""), HYPERLINK(CONCATENATE("#Metadata!", ADDRESS(INDEX($W$2:$W$1001,MATCH(ROWS($U$2:U904),$U$2:$U$1001,0),0), INDEX($AB$1004:$AQ$1004,1,MATCH(COLUMNS($AB$1006:AB1006),$AB$1006:$AQ$1006,0)))),"Fix")))</f>
        <v>0</v>
      </c>
      <c r="C904" s="5">
        <f>IF(OR(INDEX($V$2:$V$1001,MATCH(ROWS($U$2:U904),$U$2:$U$1001,0),1)&gt;=100000,INDEX($AB$1005:$AQ$1005,1,MATCH(COLUMNS($AB$1006:AC1006),$AB$1006:$AQ$1006,0))&gt;=100000), " ",IF(INDEX($AB$2:$AQ$1001,MATCH(ROWS($U$2:U904),$U$2:$U$1001,0),MATCH(COLUMNS($AB$1006:AC1006),$AB$1006:$AQ$1006,0)), HYPERLINK("#",""), HYPERLINK(CONCATENATE("#Metadata!", ADDRESS(INDEX($W$2:$W$1001,MATCH(ROWS($U$2:U904),$U$2:$U$1001,0),0), INDEX($AB$1004:$AQ$1004,1,MATCH(COLUMNS($AB$1006:AC1006),$AB$1006:$AQ$1006,0)))),"Fix")))</f>
        <v>0</v>
      </c>
      <c r="D904" s="5">
        <f>IF(OR(INDEX($V$2:$V$1001,MATCH(ROWS($U$2:U904),$U$2:$U$1001,0),1)&gt;=100000,INDEX($AB$1005:$AQ$1005,1,MATCH(COLUMNS($AB$1006:AD1006),$AB$1006:$AQ$1006,0))&gt;=100000), " ",IF(INDEX($AB$2:$AQ$1001,MATCH(ROWS($U$2:U904),$U$2:$U$1001,0),MATCH(COLUMNS($AB$1006:AD1006),$AB$1006:$AQ$1006,0)), HYPERLINK("#",""), HYPERLINK(CONCATENATE("#Metadata!", ADDRESS(INDEX($W$2:$W$1001,MATCH(ROWS($U$2:U904),$U$2:$U$1001,0),0), INDEX($AB$1004:$AQ$1004,1,MATCH(COLUMNS($AB$1006:AD1006),$AB$1006:$AQ$1006,0)))),"Fix")))</f>
        <v>0</v>
      </c>
      <c r="E904" s="5">
        <f>IF(OR(INDEX($V$2:$V$1001,MATCH(ROWS($U$2:U904),$U$2:$U$1001,0),1)&gt;=100000,INDEX($AB$1005:$AQ$1005,1,MATCH(COLUMNS($AB$1006:AE1006),$AB$1006:$AQ$1006,0))&gt;=100000), " ",IF(INDEX($AB$2:$AQ$1001,MATCH(ROWS($U$2:U904),$U$2:$U$1001,0),MATCH(COLUMNS($AB$1006:AE1006),$AB$1006:$AQ$1006,0)), HYPERLINK("#",""), HYPERLINK(CONCATENATE("#Metadata!", ADDRESS(INDEX($W$2:$W$1001,MATCH(ROWS($U$2:U904),$U$2:$U$1001,0),0), INDEX($AB$1004:$AQ$1004,1,MATCH(COLUMNS($AB$1006:AE1006),$AB$1006:$AQ$1006,0)))),"Fix")))</f>
        <v>0</v>
      </c>
      <c r="F904" s="5">
        <f>IF(OR(INDEX($V$2:$V$1001,MATCH(ROWS($U$2:U904),$U$2:$U$1001,0),1)&gt;=100000,INDEX($AB$1005:$AQ$1005,1,MATCH(COLUMNS($AB$1006:AF1006),$AB$1006:$AQ$1006,0))&gt;=100000), " ",IF(INDEX($AB$2:$AQ$1001,MATCH(ROWS($U$2:U904),$U$2:$U$1001,0),MATCH(COLUMNS($AB$1006:AF1006),$AB$1006:$AQ$1006,0)), HYPERLINK("#",""), HYPERLINK(CONCATENATE("#Metadata!", ADDRESS(INDEX($W$2:$W$1001,MATCH(ROWS($U$2:U904),$U$2:$U$1001,0),0), INDEX($AB$1004:$AQ$1004,1,MATCH(COLUMNS($AB$1006:AF1006),$AB$1006:$AQ$1006,0)))),"Fix")))</f>
        <v>0</v>
      </c>
      <c r="G904" s="5">
        <f>IF(OR(INDEX($V$2:$V$1001,MATCH(ROWS($U$2:U904),$U$2:$U$1001,0),1)&gt;=100000,INDEX($AB$1005:$AQ$1005,1,MATCH(COLUMNS($AB$1006:AG1006),$AB$1006:$AQ$1006,0))&gt;=100000), " ",IF(INDEX($AB$2:$AQ$1001,MATCH(ROWS($U$2:U904),$U$2:$U$1001,0),MATCH(COLUMNS($AB$1006:AG1006),$AB$1006:$AQ$1006,0)), HYPERLINK("#",""), HYPERLINK(CONCATENATE("#Metadata!", ADDRESS(INDEX($W$2:$W$1001,MATCH(ROWS($U$2:U904),$U$2:$U$1001,0),0), INDEX($AB$1004:$AQ$1004,1,MATCH(COLUMNS($AB$1006:AG1006),$AB$1006:$AQ$1006,0)))),"Fix")))</f>
        <v>0</v>
      </c>
      <c r="H904" s="5">
        <f>IF(OR(INDEX($V$2:$V$1001,MATCH(ROWS($U$2:U904),$U$2:$U$1001,0),1)&gt;=100000,INDEX($AB$1005:$AQ$1005,1,MATCH(COLUMNS($AB$1006:AH1006),$AB$1006:$AQ$1006,0))&gt;=100000), " ",IF(INDEX($AB$2:$AQ$1001,MATCH(ROWS($U$2:U904),$U$2:$U$1001,0),MATCH(COLUMNS($AB$1006:AH1006),$AB$1006:$AQ$1006,0)), HYPERLINK("#",""), HYPERLINK(CONCATENATE("#Metadata!", ADDRESS(INDEX($W$2:$W$1001,MATCH(ROWS($U$2:U904),$U$2:$U$1001,0),0), INDEX($AB$1004:$AQ$1004,1,MATCH(COLUMNS($AB$1006:AH1006),$AB$1006:$AQ$1006,0)))),"Fix")))</f>
        <v>0</v>
      </c>
      <c r="I904" s="5">
        <f>IF(OR(INDEX($V$2:$V$1001,MATCH(ROWS($U$2:U904),$U$2:$U$1001,0),1)&gt;=100000,INDEX($AB$1005:$AQ$1005,1,MATCH(COLUMNS($AB$1006:AI1006),$AB$1006:$AQ$1006,0))&gt;=100000), " ",IF(INDEX($AB$2:$AQ$1001,MATCH(ROWS($U$2:U904),$U$2:$U$1001,0),MATCH(COLUMNS($AB$1006:AI1006),$AB$1006:$AQ$1006,0)), HYPERLINK("#",""), HYPERLINK(CONCATENATE("#Metadata!", ADDRESS(INDEX($W$2:$W$1001,MATCH(ROWS($U$2:U904),$U$2:$U$1001,0),0), INDEX($AB$1004:$AQ$1004,1,MATCH(COLUMNS($AB$1006:AI1006),$AB$1006:$AQ$1006,0)))),"Fix")))</f>
        <v>0</v>
      </c>
      <c r="J904" s="5">
        <f>IF(OR(INDEX($V$2:$V$1001,MATCH(ROWS($U$2:U904),$U$2:$U$1001,0),1)&gt;=100000,INDEX($AB$1005:$AQ$1005,1,MATCH(COLUMNS($AB$1006:AJ1006),$AB$1006:$AQ$1006,0))&gt;=100000), " ",IF(INDEX($AB$2:$AQ$1001,MATCH(ROWS($U$2:U904),$U$2:$U$1001,0),MATCH(COLUMNS($AB$1006:AJ1006),$AB$1006:$AQ$1006,0)), HYPERLINK("#",""), HYPERLINK(CONCATENATE("#Metadata!", ADDRESS(INDEX($W$2:$W$1001,MATCH(ROWS($U$2:U904),$U$2:$U$1001,0),0), INDEX($AB$1004:$AQ$1004,1,MATCH(COLUMNS($AB$1006:AJ1006),$AB$1006:$AQ$1006,0)))),"Fix")))</f>
        <v>0</v>
      </c>
      <c r="K904" s="5">
        <f>IF(OR(INDEX($V$2:$V$1001,MATCH(ROWS($U$2:U904),$U$2:$U$1001,0),1)&gt;=100000,INDEX($AB$1005:$AQ$1005,1,MATCH(COLUMNS($AB$1006:AK1006),$AB$1006:$AQ$1006,0))&gt;=100000), " ",IF(INDEX($AB$2:$AQ$1001,MATCH(ROWS($U$2:U904),$U$2:$U$1001,0),MATCH(COLUMNS($AB$1006:AK1006),$AB$1006:$AQ$1006,0)), HYPERLINK("#",""), HYPERLINK(CONCATENATE("#Metadata!", ADDRESS(INDEX($W$2:$W$1001,MATCH(ROWS($U$2:U904),$U$2:$U$1001,0),0), INDEX($AB$1004:$AQ$1004,1,MATCH(COLUMNS($AB$1006:AK1006),$AB$1006:$AQ$1006,0)))),"Fix")))</f>
        <v>0</v>
      </c>
      <c r="L904" s="5">
        <f>IF(OR(INDEX($V$2:$V$1001,MATCH(ROWS($U$2:U904),$U$2:$U$1001,0),1)&gt;=100000,INDEX($AB$1005:$AQ$1005,1,MATCH(COLUMNS($AB$1006:AL1006),$AB$1006:$AQ$1006,0))&gt;=100000), " ",IF(INDEX($AB$2:$AQ$1001,MATCH(ROWS($U$2:U904),$U$2:$U$1001,0),MATCH(COLUMNS($AB$1006:AL1006),$AB$1006:$AQ$1006,0)), HYPERLINK("#",""), HYPERLINK(CONCATENATE("#Metadata!", ADDRESS(INDEX($W$2:$W$1001,MATCH(ROWS($U$2:U904),$U$2:$U$1001,0),0), INDEX($AB$1004:$AQ$1004,1,MATCH(COLUMNS($AB$1006:AL1006),$AB$1006:$AQ$1006,0)))),"Fix")))</f>
        <v>0</v>
      </c>
      <c r="M904" s="5">
        <f>IF(OR(INDEX($V$2:$V$1001,MATCH(ROWS($U$2:U904),$U$2:$U$1001,0),1)&gt;=100000,INDEX($AB$1005:$AQ$1005,1,MATCH(COLUMNS($AB$1006:AM1006),$AB$1006:$AQ$1006,0))&gt;=100000), " ",IF(INDEX($AB$2:$AQ$1001,MATCH(ROWS($U$2:U904),$U$2:$U$1001,0),MATCH(COLUMNS($AB$1006:AM1006),$AB$1006:$AQ$1006,0)), HYPERLINK("#",""), HYPERLINK(CONCATENATE("#Metadata!", ADDRESS(INDEX($W$2:$W$1001,MATCH(ROWS($U$2:U904),$U$2:$U$1001,0),0), INDEX($AB$1004:$AQ$1004,1,MATCH(COLUMNS($AB$1006:AM1006),$AB$1006:$AQ$1006,0)))),"Fix")))</f>
        <v>0</v>
      </c>
      <c r="N904" s="5">
        <f>IF(OR(INDEX($V$2:$V$1001,MATCH(ROWS($U$2:U904),$U$2:$U$1001,0),1)&gt;=100000,INDEX($AB$1005:$AQ$1005,1,MATCH(COLUMNS($AB$1006:AN1006),$AB$1006:$AQ$1006,0))&gt;=100000), " ",IF(INDEX($AB$2:$AQ$1001,MATCH(ROWS($U$2:U904),$U$2:$U$1001,0),MATCH(COLUMNS($AB$1006:AN1006),$AB$1006:$AQ$1006,0)), HYPERLINK("#",""), HYPERLINK(CONCATENATE("#Metadata!", ADDRESS(INDEX($W$2:$W$1001,MATCH(ROWS($U$2:U904),$U$2:$U$1001,0),0), INDEX($AB$1004:$AQ$1004,1,MATCH(COLUMNS($AB$1006:AN1006),$AB$1006:$AQ$1006,0)))),"Fix")))</f>
        <v>0</v>
      </c>
      <c r="O904" s="5">
        <f>IF(OR(INDEX($V$2:$V$1001,MATCH(ROWS($U$2:U904),$U$2:$U$1001,0),1)&gt;=100000,INDEX($AB$1005:$AQ$1005,1,MATCH(COLUMNS($AB$1006:AO1006),$AB$1006:$AQ$1006,0))&gt;=100000), " ",IF(INDEX($AB$2:$AQ$1001,MATCH(ROWS($U$2:U904),$U$2:$U$1001,0),MATCH(COLUMNS($AB$1006:AO1006),$AB$1006:$AQ$1006,0)), HYPERLINK("#",""), HYPERLINK(CONCATENATE("#Metadata!", ADDRESS(INDEX($W$2:$W$1001,MATCH(ROWS($U$2:U904),$U$2:$U$1001,0),0), INDEX($AB$1004:$AQ$1004,1,MATCH(COLUMNS($AB$1006:AO1006),$AB$1006:$AQ$1006,0)))),"Fix")))</f>
        <v>0</v>
      </c>
      <c r="P904" s="5">
        <f>IF(OR(INDEX($V$2:$V$1001,MATCH(ROWS($U$2:U904),$U$2:$U$1001,0),1)&gt;=100000,INDEX($AB$1005:$AQ$1005,1,MATCH(COLUMNS($AB$1006:AP1006),$AB$1006:$AQ$1006,0))&gt;=100000), " ",IF(INDEX($AB$2:$AQ$1001,MATCH(ROWS($U$2:U904),$U$2:$U$1001,0),MATCH(COLUMNS($AB$1006:AP1006),$AB$1006:$AQ$1006,0)), HYPERLINK("#",""), HYPERLINK(CONCATENATE("#Metadata!", ADDRESS(INDEX($W$2:$W$1001,MATCH(ROWS($U$2:U904),$U$2:$U$1001,0),0), INDEX($AB$1004:$AQ$1004,1,MATCH(COLUMNS($AB$1006:AP1006),$AB$1006:$AQ$1006,0)))),"Fix")))</f>
        <v>0</v>
      </c>
      <c r="Q904" s="5">
        <f>IF(OR(INDEX($V$2:$V$1001,MATCH(ROWS($U$2:U904),$U$2:$U$1001,0),1)&gt;=100000,INDEX($AB$1005:$AQ$1005,1,MATCH(COLUMNS($AB$1006:AQ1006),$AB$1006:$AQ$1006,0))&gt;=100000), " ",IF(INDEX($AB$2:$AQ$1001,MATCH(ROWS($U$2:U904),$U$2:$U$1001,0),MATCH(COLUMNS($AB$1006:AQ1006),$AB$1006:$AQ$1006,0)), HYPERLINK("#",""), HYPERLINK(CONCATENATE("#Metadata!", ADDRESS(INDEX($W$2:$W$1001,MATCH(ROWS($U$2:U904),$U$2:$U$1001,0),0), INDEX($AB$1004:$AQ$1004,1,MATCH(COLUMNS($AB$1006:AQ1006),$AB$1006:$AQ$1006,0)))),"Fix")))</f>
        <v>0</v>
      </c>
      <c r="U904">
        <v>0</v>
      </c>
      <c r="V904">
        <v>0</v>
      </c>
      <c r="W904">
        <v>0</v>
      </c>
      <c r="X904">
        <f>IF(Y904,TRUE,AND(AB904:AQ904))</f>
        <v>0</v>
      </c>
      <c r="Y904">
        <f>COUNTBLANK(Metadata!B904:Q904)=COLUMNS(Metadata!B904:Q904)</f>
        <v>0</v>
      </c>
      <c r="Z904">
        <v>0</v>
      </c>
      <c r="AB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AC904">
        <f>AND(IF(Metadata!C904="",FALSE,TRUE),exact(Metadata!C904,"urban biome"))</f>
        <v>0</v>
      </c>
      <c r="AD904">
        <f>AND(IF(Metadata!D904="",FALSE,TRUE),exact(Metadata!D904,"human-associated habitat"))</f>
        <v>0</v>
      </c>
      <c r="AE904">
        <f>AND(IF(Metadata!E904="",FALSE,TRUE),OR(exact(Metadata!E904,"human-associated"),exact(Metadata!E904,"human-skin"),exact(Metadata!E904,"human-oral"),exact(Metadata!E904,"human-gut"),exact(Metadata!E904,"human-vaginal")))</f>
        <v>0</v>
      </c>
      <c r="AF904">
        <f>AND(IF(Metadata!F904="",FALSE,ISNUMBER(VALUE(Metadata!F904))),Metadata!F904&gt;0)</f>
        <v>0</v>
      </c>
      <c r="AG904">
        <f>AND(IF(Metadata!G904="",FALSE,TRUE),exact(Metadata!G904,"years"))</f>
        <v>0</v>
      </c>
      <c r="AH904">
        <f>OR(AND(IF(Metadata!H904="",FALSE,TRUE),OR(exact(Metadata!H904,"not applicable"),exact(Metadata!H904,"not collected"),exact(Metadata!H904,"not provided"),exact(Metadata!H904,"restricted access"))),AND(IF(Metadata!H904="",FALSE,ISNUMBER(VALUE(Metadata!H904))),Metadata!H904&gt;0))</f>
        <v>0</v>
      </c>
      <c r="AI904">
        <f>AND(IF(Metadata!I904="",FALSE,TRUE),exact(Metadata!I904,"human"))</f>
        <v>0</v>
      </c>
      <c r="AJ904">
        <f>AND(IF(Metadata!J904="",FALSE,ISNUMBER(VALUE(Metadata!J904))),Metadata!J904&gt;0)</f>
        <v>0</v>
      </c>
      <c r="AK904">
        <f>AND(IF(Metadata!K904="",FALSE,TRUE),exact(Metadata!K904,"cm"))</f>
        <v>0</v>
      </c>
      <c r="AL904">
        <f>AND(IF(Metadata!L904="",FALSE,TRUE),exact(Metadata!L904,"Homo sapiens"))</f>
        <v>0</v>
      </c>
      <c r="AM904">
        <f>AND(IF(Metadata!M904="",FALSE,TRUE),exact(Metadata!M904,"9606"))</f>
        <v>0</v>
      </c>
      <c r="AN904">
        <f>AND(IF(Metadata!N904="",FALSE,ISNUMBER(VALUE(Metadata!N904))),Metadata!N904&gt;0)</f>
        <v>0</v>
      </c>
      <c r="AO904">
        <f>AND(IF(Metadata!O904="",FALSE,TRUE),exact(Metadata!O904,"kg"))</f>
        <v>0</v>
      </c>
      <c r="AP904">
        <f>OR(AND(IF(Metadata!P904="",FALSE,TRUE),exact(Metadata!P904,"not provided")),IF(Metadata!P904="",FALSE,TRUE))</f>
        <v>0</v>
      </c>
      <c r="AQ904">
        <f>OR(AND(IF(Metadata!Q904="",FALSE,TRUE),exact(Metadata!Q904,"not provided")),IF(Metadata!Q904="",FALSE,TRUE))</f>
        <v>0</v>
      </c>
    </row>
    <row r="905" spans="1:43">
      <c r="A905" s="4">
        <f>IF(B905=" "," ",HYPERLINK(CONCATENATE("#metadata!",ADDRESS(INDEX($W$2:$W$1001,MATCH(ROWS($U$2:U905),$U$2:$U$1001,0),0),2)),INDEX($Z$2:$Z$1001,MATCH(ROWS($U$2:U905),$U$2:$U$1001,0),0)))</f>
        <v>0</v>
      </c>
      <c r="B905" s="5">
        <f>IF(OR(INDEX($V$2:$V$1001,MATCH(ROWS($U$2:U905),$U$2:$U$1001,0),1)&gt;=100000,INDEX($AB$1005:$AQ$1005,1,MATCH(COLUMNS($AB$1006:AB1006),$AB$1006:$AQ$1006,0))&gt;=100000), " ",IF(INDEX($AB$2:$AQ$1001,MATCH(ROWS($U$2:U905),$U$2:$U$1001,0),MATCH(COLUMNS($AB$1006:AB1006),$AB$1006:$AQ$1006,0)), HYPERLINK("#",""), HYPERLINK(CONCATENATE("#Metadata!", ADDRESS(INDEX($W$2:$W$1001,MATCH(ROWS($U$2:U905),$U$2:$U$1001,0),0), INDEX($AB$1004:$AQ$1004,1,MATCH(COLUMNS($AB$1006:AB1006),$AB$1006:$AQ$1006,0)))),"Fix")))</f>
        <v>0</v>
      </c>
      <c r="C905" s="5">
        <f>IF(OR(INDEX($V$2:$V$1001,MATCH(ROWS($U$2:U905),$U$2:$U$1001,0),1)&gt;=100000,INDEX($AB$1005:$AQ$1005,1,MATCH(COLUMNS($AB$1006:AC1006),$AB$1006:$AQ$1006,0))&gt;=100000), " ",IF(INDEX($AB$2:$AQ$1001,MATCH(ROWS($U$2:U905),$U$2:$U$1001,0),MATCH(COLUMNS($AB$1006:AC1006),$AB$1006:$AQ$1006,0)), HYPERLINK("#",""), HYPERLINK(CONCATENATE("#Metadata!", ADDRESS(INDEX($W$2:$W$1001,MATCH(ROWS($U$2:U905),$U$2:$U$1001,0),0), INDEX($AB$1004:$AQ$1004,1,MATCH(COLUMNS($AB$1006:AC1006),$AB$1006:$AQ$1006,0)))),"Fix")))</f>
        <v>0</v>
      </c>
      <c r="D905" s="5">
        <f>IF(OR(INDEX($V$2:$V$1001,MATCH(ROWS($U$2:U905),$U$2:$U$1001,0),1)&gt;=100000,INDEX($AB$1005:$AQ$1005,1,MATCH(COLUMNS($AB$1006:AD1006),$AB$1006:$AQ$1006,0))&gt;=100000), " ",IF(INDEX($AB$2:$AQ$1001,MATCH(ROWS($U$2:U905),$U$2:$U$1001,0),MATCH(COLUMNS($AB$1006:AD1006),$AB$1006:$AQ$1006,0)), HYPERLINK("#",""), HYPERLINK(CONCATENATE("#Metadata!", ADDRESS(INDEX($W$2:$W$1001,MATCH(ROWS($U$2:U905),$U$2:$U$1001,0),0), INDEX($AB$1004:$AQ$1004,1,MATCH(COLUMNS($AB$1006:AD1006),$AB$1006:$AQ$1006,0)))),"Fix")))</f>
        <v>0</v>
      </c>
      <c r="E905" s="5">
        <f>IF(OR(INDEX($V$2:$V$1001,MATCH(ROWS($U$2:U905),$U$2:$U$1001,0),1)&gt;=100000,INDEX($AB$1005:$AQ$1005,1,MATCH(COLUMNS($AB$1006:AE1006),$AB$1006:$AQ$1006,0))&gt;=100000), " ",IF(INDEX($AB$2:$AQ$1001,MATCH(ROWS($U$2:U905),$U$2:$U$1001,0),MATCH(COLUMNS($AB$1006:AE1006),$AB$1006:$AQ$1006,0)), HYPERLINK("#",""), HYPERLINK(CONCATENATE("#Metadata!", ADDRESS(INDEX($W$2:$W$1001,MATCH(ROWS($U$2:U905),$U$2:$U$1001,0),0), INDEX($AB$1004:$AQ$1004,1,MATCH(COLUMNS($AB$1006:AE1006),$AB$1006:$AQ$1006,0)))),"Fix")))</f>
        <v>0</v>
      </c>
      <c r="F905" s="5">
        <f>IF(OR(INDEX($V$2:$V$1001,MATCH(ROWS($U$2:U905),$U$2:$U$1001,0),1)&gt;=100000,INDEX($AB$1005:$AQ$1005,1,MATCH(COLUMNS($AB$1006:AF1006),$AB$1006:$AQ$1006,0))&gt;=100000), " ",IF(INDEX($AB$2:$AQ$1001,MATCH(ROWS($U$2:U905),$U$2:$U$1001,0),MATCH(COLUMNS($AB$1006:AF1006),$AB$1006:$AQ$1006,0)), HYPERLINK("#",""), HYPERLINK(CONCATENATE("#Metadata!", ADDRESS(INDEX($W$2:$W$1001,MATCH(ROWS($U$2:U905),$U$2:$U$1001,0),0), INDEX($AB$1004:$AQ$1004,1,MATCH(COLUMNS($AB$1006:AF1006),$AB$1006:$AQ$1006,0)))),"Fix")))</f>
        <v>0</v>
      </c>
      <c r="G905" s="5">
        <f>IF(OR(INDEX($V$2:$V$1001,MATCH(ROWS($U$2:U905),$U$2:$U$1001,0),1)&gt;=100000,INDEX($AB$1005:$AQ$1005,1,MATCH(COLUMNS($AB$1006:AG1006),$AB$1006:$AQ$1006,0))&gt;=100000), " ",IF(INDEX($AB$2:$AQ$1001,MATCH(ROWS($U$2:U905),$U$2:$U$1001,0),MATCH(COLUMNS($AB$1006:AG1006),$AB$1006:$AQ$1006,0)), HYPERLINK("#",""), HYPERLINK(CONCATENATE("#Metadata!", ADDRESS(INDEX($W$2:$W$1001,MATCH(ROWS($U$2:U905),$U$2:$U$1001,0),0), INDEX($AB$1004:$AQ$1004,1,MATCH(COLUMNS($AB$1006:AG1006),$AB$1006:$AQ$1006,0)))),"Fix")))</f>
        <v>0</v>
      </c>
      <c r="H905" s="5">
        <f>IF(OR(INDEX($V$2:$V$1001,MATCH(ROWS($U$2:U905),$U$2:$U$1001,0),1)&gt;=100000,INDEX($AB$1005:$AQ$1005,1,MATCH(COLUMNS($AB$1006:AH1006),$AB$1006:$AQ$1006,0))&gt;=100000), " ",IF(INDEX($AB$2:$AQ$1001,MATCH(ROWS($U$2:U905),$U$2:$U$1001,0),MATCH(COLUMNS($AB$1006:AH1006),$AB$1006:$AQ$1006,0)), HYPERLINK("#",""), HYPERLINK(CONCATENATE("#Metadata!", ADDRESS(INDEX($W$2:$W$1001,MATCH(ROWS($U$2:U905),$U$2:$U$1001,0),0), INDEX($AB$1004:$AQ$1004,1,MATCH(COLUMNS($AB$1006:AH1006),$AB$1006:$AQ$1006,0)))),"Fix")))</f>
        <v>0</v>
      </c>
      <c r="I905" s="5">
        <f>IF(OR(INDEX($V$2:$V$1001,MATCH(ROWS($U$2:U905),$U$2:$U$1001,0),1)&gt;=100000,INDEX($AB$1005:$AQ$1005,1,MATCH(COLUMNS($AB$1006:AI1006),$AB$1006:$AQ$1006,0))&gt;=100000), " ",IF(INDEX($AB$2:$AQ$1001,MATCH(ROWS($U$2:U905),$U$2:$U$1001,0),MATCH(COLUMNS($AB$1006:AI1006),$AB$1006:$AQ$1006,0)), HYPERLINK("#",""), HYPERLINK(CONCATENATE("#Metadata!", ADDRESS(INDEX($W$2:$W$1001,MATCH(ROWS($U$2:U905),$U$2:$U$1001,0),0), INDEX($AB$1004:$AQ$1004,1,MATCH(COLUMNS($AB$1006:AI1006),$AB$1006:$AQ$1006,0)))),"Fix")))</f>
        <v>0</v>
      </c>
      <c r="J905" s="5">
        <f>IF(OR(INDEX($V$2:$V$1001,MATCH(ROWS($U$2:U905),$U$2:$U$1001,0),1)&gt;=100000,INDEX($AB$1005:$AQ$1005,1,MATCH(COLUMNS($AB$1006:AJ1006),$AB$1006:$AQ$1006,0))&gt;=100000), " ",IF(INDEX($AB$2:$AQ$1001,MATCH(ROWS($U$2:U905),$U$2:$U$1001,0),MATCH(COLUMNS($AB$1006:AJ1006),$AB$1006:$AQ$1006,0)), HYPERLINK("#",""), HYPERLINK(CONCATENATE("#Metadata!", ADDRESS(INDEX($W$2:$W$1001,MATCH(ROWS($U$2:U905),$U$2:$U$1001,0),0), INDEX($AB$1004:$AQ$1004,1,MATCH(COLUMNS($AB$1006:AJ1006),$AB$1006:$AQ$1006,0)))),"Fix")))</f>
        <v>0</v>
      </c>
      <c r="K905" s="5">
        <f>IF(OR(INDEX($V$2:$V$1001,MATCH(ROWS($U$2:U905),$U$2:$U$1001,0),1)&gt;=100000,INDEX($AB$1005:$AQ$1005,1,MATCH(COLUMNS($AB$1006:AK1006),$AB$1006:$AQ$1006,0))&gt;=100000), " ",IF(INDEX($AB$2:$AQ$1001,MATCH(ROWS($U$2:U905),$U$2:$U$1001,0),MATCH(COLUMNS($AB$1006:AK1006),$AB$1006:$AQ$1006,0)), HYPERLINK("#",""), HYPERLINK(CONCATENATE("#Metadata!", ADDRESS(INDEX($W$2:$W$1001,MATCH(ROWS($U$2:U905),$U$2:$U$1001,0),0), INDEX($AB$1004:$AQ$1004,1,MATCH(COLUMNS($AB$1006:AK1006),$AB$1006:$AQ$1006,0)))),"Fix")))</f>
        <v>0</v>
      </c>
      <c r="L905" s="5">
        <f>IF(OR(INDEX($V$2:$V$1001,MATCH(ROWS($U$2:U905),$U$2:$U$1001,0),1)&gt;=100000,INDEX($AB$1005:$AQ$1005,1,MATCH(COLUMNS($AB$1006:AL1006),$AB$1006:$AQ$1006,0))&gt;=100000), " ",IF(INDEX($AB$2:$AQ$1001,MATCH(ROWS($U$2:U905),$U$2:$U$1001,0),MATCH(COLUMNS($AB$1006:AL1006),$AB$1006:$AQ$1006,0)), HYPERLINK("#",""), HYPERLINK(CONCATENATE("#Metadata!", ADDRESS(INDEX($W$2:$W$1001,MATCH(ROWS($U$2:U905),$U$2:$U$1001,0),0), INDEX($AB$1004:$AQ$1004,1,MATCH(COLUMNS($AB$1006:AL1006),$AB$1006:$AQ$1006,0)))),"Fix")))</f>
        <v>0</v>
      </c>
      <c r="M905" s="5">
        <f>IF(OR(INDEX($V$2:$V$1001,MATCH(ROWS($U$2:U905),$U$2:$U$1001,0),1)&gt;=100000,INDEX($AB$1005:$AQ$1005,1,MATCH(COLUMNS($AB$1006:AM1006),$AB$1006:$AQ$1006,0))&gt;=100000), " ",IF(INDEX($AB$2:$AQ$1001,MATCH(ROWS($U$2:U905),$U$2:$U$1001,0),MATCH(COLUMNS($AB$1006:AM1006),$AB$1006:$AQ$1006,0)), HYPERLINK("#",""), HYPERLINK(CONCATENATE("#Metadata!", ADDRESS(INDEX($W$2:$W$1001,MATCH(ROWS($U$2:U905),$U$2:$U$1001,0),0), INDEX($AB$1004:$AQ$1004,1,MATCH(COLUMNS($AB$1006:AM1006),$AB$1006:$AQ$1006,0)))),"Fix")))</f>
        <v>0</v>
      </c>
      <c r="N905" s="5">
        <f>IF(OR(INDEX($V$2:$V$1001,MATCH(ROWS($U$2:U905),$U$2:$U$1001,0),1)&gt;=100000,INDEX($AB$1005:$AQ$1005,1,MATCH(COLUMNS($AB$1006:AN1006),$AB$1006:$AQ$1006,0))&gt;=100000), " ",IF(INDEX($AB$2:$AQ$1001,MATCH(ROWS($U$2:U905),$U$2:$U$1001,0),MATCH(COLUMNS($AB$1006:AN1006),$AB$1006:$AQ$1006,0)), HYPERLINK("#",""), HYPERLINK(CONCATENATE("#Metadata!", ADDRESS(INDEX($W$2:$W$1001,MATCH(ROWS($U$2:U905),$U$2:$U$1001,0),0), INDEX($AB$1004:$AQ$1004,1,MATCH(COLUMNS($AB$1006:AN1006),$AB$1006:$AQ$1006,0)))),"Fix")))</f>
        <v>0</v>
      </c>
      <c r="O905" s="5">
        <f>IF(OR(INDEX($V$2:$V$1001,MATCH(ROWS($U$2:U905),$U$2:$U$1001,0),1)&gt;=100000,INDEX($AB$1005:$AQ$1005,1,MATCH(COLUMNS($AB$1006:AO1006),$AB$1006:$AQ$1006,0))&gt;=100000), " ",IF(INDEX($AB$2:$AQ$1001,MATCH(ROWS($U$2:U905),$U$2:$U$1001,0),MATCH(COLUMNS($AB$1006:AO1006),$AB$1006:$AQ$1006,0)), HYPERLINK("#",""), HYPERLINK(CONCATENATE("#Metadata!", ADDRESS(INDEX($W$2:$W$1001,MATCH(ROWS($U$2:U905),$U$2:$U$1001,0),0), INDEX($AB$1004:$AQ$1004,1,MATCH(COLUMNS($AB$1006:AO1006),$AB$1006:$AQ$1006,0)))),"Fix")))</f>
        <v>0</v>
      </c>
      <c r="P905" s="5">
        <f>IF(OR(INDEX($V$2:$V$1001,MATCH(ROWS($U$2:U905),$U$2:$U$1001,0),1)&gt;=100000,INDEX($AB$1005:$AQ$1005,1,MATCH(COLUMNS($AB$1006:AP1006),$AB$1006:$AQ$1006,0))&gt;=100000), " ",IF(INDEX($AB$2:$AQ$1001,MATCH(ROWS($U$2:U905),$U$2:$U$1001,0),MATCH(COLUMNS($AB$1006:AP1006),$AB$1006:$AQ$1006,0)), HYPERLINK("#",""), HYPERLINK(CONCATENATE("#Metadata!", ADDRESS(INDEX($W$2:$W$1001,MATCH(ROWS($U$2:U905),$U$2:$U$1001,0),0), INDEX($AB$1004:$AQ$1004,1,MATCH(COLUMNS($AB$1006:AP1006),$AB$1006:$AQ$1006,0)))),"Fix")))</f>
        <v>0</v>
      </c>
      <c r="Q905" s="5">
        <f>IF(OR(INDEX($V$2:$V$1001,MATCH(ROWS($U$2:U905),$U$2:$U$1001,0),1)&gt;=100000,INDEX($AB$1005:$AQ$1005,1,MATCH(COLUMNS($AB$1006:AQ1006),$AB$1006:$AQ$1006,0))&gt;=100000), " ",IF(INDEX($AB$2:$AQ$1001,MATCH(ROWS($U$2:U905),$U$2:$U$1001,0),MATCH(COLUMNS($AB$1006:AQ1006),$AB$1006:$AQ$1006,0)), HYPERLINK("#",""), HYPERLINK(CONCATENATE("#Metadata!", ADDRESS(INDEX($W$2:$W$1001,MATCH(ROWS($U$2:U905),$U$2:$U$1001,0),0), INDEX($AB$1004:$AQ$1004,1,MATCH(COLUMNS($AB$1006:AQ1006),$AB$1006:$AQ$1006,0)))),"Fix")))</f>
        <v>0</v>
      </c>
      <c r="U905">
        <v>0</v>
      </c>
      <c r="V905">
        <v>0</v>
      </c>
      <c r="W905">
        <v>0</v>
      </c>
      <c r="X905">
        <f>IF(Y905,TRUE,AND(AB905:AQ905))</f>
        <v>0</v>
      </c>
      <c r="Y905">
        <f>COUNTBLANK(Metadata!B905:Q905)=COLUMNS(Metadata!B905:Q905)</f>
        <v>0</v>
      </c>
      <c r="Z905">
        <v>0</v>
      </c>
      <c r="AB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AC905">
        <f>AND(IF(Metadata!C905="",FALSE,TRUE),exact(Metadata!C905,"urban biome"))</f>
        <v>0</v>
      </c>
      <c r="AD905">
        <f>AND(IF(Metadata!D905="",FALSE,TRUE),exact(Metadata!D905,"human-associated habitat"))</f>
        <v>0</v>
      </c>
      <c r="AE905">
        <f>AND(IF(Metadata!E905="",FALSE,TRUE),OR(exact(Metadata!E905,"human-associated"),exact(Metadata!E905,"human-skin"),exact(Metadata!E905,"human-oral"),exact(Metadata!E905,"human-gut"),exact(Metadata!E905,"human-vaginal")))</f>
        <v>0</v>
      </c>
      <c r="AF905">
        <f>AND(IF(Metadata!F905="",FALSE,ISNUMBER(VALUE(Metadata!F905))),Metadata!F905&gt;0)</f>
        <v>0</v>
      </c>
      <c r="AG905">
        <f>AND(IF(Metadata!G905="",FALSE,TRUE),exact(Metadata!G905,"years"))</f>
        <v>0</v>
      </c>
      <c r="AH905">
        <f>OR(AND(IF(Metadata!H905="",FALSE,TRUE),OR(exact(Metadata!H905,"not applicable"),exact(Metadata!H905,"not collected"),exact(Metadata!H905,"not provided"),exact(Metadata!H905,"restricted access"))),AND(IF(Metadata!H905="",FALSE,ISNUMBER(VALUE(Metadata!H905))),Metadata!H905&gt;0))</f>
        <v>0</v>
      </c>
      <c r="AI905">
        <f>AND(IF(Metadata!I905="",FALSE,TRUE),exact(Metadata!I905,"human"))</f>
        <v>0</v>
      </c>
      <c r="AJ905">
        <f>AND(IF(Metadata!J905="",FALSE,ISNUMBER(VALUE(Metadata!J905))),Metadata!J905&gt;0)</f>
        <v>0</v>
      </c>
      <c r="AK905">
        <f>AND(IF(Metadata!K905="",FALSE,TRUE),exact(Metadata!K905,"cm"))</f>
        <v>0</v>
      </c>
      <c r="AL905">
        <f>AND(IF(Metadata!L905="",FALSE,TRUE),exact(Metadata!L905,"Homo sapiens"))</f>
        <v>0</v>
      </c>
      <c r="AM905">
        <f>AND(IF(Metadata!M905="",FALSE,TRUE),exact(Metadata!M905,"9606"))</f>
        <v>0</v>
      </c>
      <c r="AN905">
        <f>AND(IF(Metadata!N905="",FALSE,ISNUMBER(VALUE(Metadata!N905))),Metadata!N905&gt;0)</f>
        <v>0</v>
      </c>
      <c r="AO905">
        <f>AND(IF(Metadata!O905="",FALSE,TRUE),exact(Metadata!O905,"kg"))</f>
        <v>0</v>
      </c>
      <c r="AP905">
        <f>OR(AND(IF(Metadata!P905="",FALSE,TRUE),exact(Metadata!P905,"not provided")),IF(Metadata!P905="",FALSE,TRUE))</f>
        <v>0</v>
      </c>
      <c r="AQ905">
        <f>OR(AND(IF(Metadata!Q905="",FALSE,TRUE),exact(Metadata!Q905,"not provided")),IF(Metadata!Q905="",FALSE,TRUE))</f>
        <v>0</v>
      </c>
    </row>
    <row r="906" spans="1:43">
      <c r="A906" s="4">
        <f>IF(B906=" "," ",HYPERLINK(CONCATENATE("#metadata!",ADDRESS(INDEX($W$2:$W$1001,MATCH(ROWS($U$2:U906),$U$2:$U$1001,0),0),2)),INDEX($Z$2:$Z$1001,MATCH(ROWS($U$2:U906),$U$2:$U$1001,0),0)))</f>
        <v>0</v>
      </c>
      <c r="B906" s="5">
        <f>IF(OR(INDEX($V$2:$V$1001,MATCH(ROWS($U$2:U906),$U$2:$U$1001,0),1)&gt;=100000,INDEX($AB$1005:$AQ$1005,1,MATCH(COLUMNS($AB$1006:AB1006),$AB$1006:$AQ$1006,0))&gt;=100000), " ",IF(INDEX($AB$2:$AQ$1001,MATCH(ROWS($U$2:U906),$U$2:$U$1001,0),MATCH(COLUMNS($AB$1006:AB1006),$AB$1006:$AQ$1006,0)), HYPERLINK("#",""), HYPERLINK(CONCATENATE("#Metadata!", ADDRESS(INDEX($W$2:$W$1001,MATCH(ROWS($U$2:U906),$U$2:$U$1001,0),0), INDEX($AB$1004:$AQ$1004,1,MATCH(COLUMNS($AB$1006:AB1006),$AB$1006:$AQ$1006,0)))),"Fix")))</f>
        <v>0</v>
      </c>
      <c r="C906" s="5">
        <f>IF(OR(INDEX($V$2:$V$1001,MATCH(ROWS($U$2:U906),$U$2:$U$1001,0),1)&gt;=100000,INDEX($AB$1005:$AQ$1005,1,MATCH(COLUMNS($AB$1006:AC1006),$AB$1006:$AQ$1006,0))&gt;=100000), " ",IF(INDEX($AB$2:$AQ$1001,MATCH(ROWS($U$2:U906),$U$2:$U$1001,0),MATCH(COLUMNS($AB$1006:AC1006),$AB$1006:$AQ$1006,0)), HYPERLINK("#",""), HYPERLINK(CONCATENATE("#Metadata!", ADDRESS(INDEX($W$2:$W$1001,MATCH(ROWS($U$2:U906),$U$2:$U$1001,0),0), INDEX($AB$1004:$AQ$1004,1,MATCH(COLUMNS($AB$1006:AC1006),$AB$1006:$AQ$1006,0)))),"Fix")))</f>
        <v>0</v>
      </c>
      <c r="D906" s="5">
        <f>IF(OR(INDEX($V$2:$V$1001,MATCH(ROWS($U$2:U906),$U$2:$U$1001,0),1)&gt;=100000,INDEX($AB$1005:$AQ$1005,1,MATCH(COLUMNS($AB$1006:AD1006),$AB$1006:$AQ$1006,0))&gt;=100000), " ",IF(INDEX($AB$2:$AQ$1001,MATCH(ROWS($U$2:U906),$U$2:$U$1001,0),MATCH(COLUMNS($AB$1006:AD1006),$AB$1006:$AQ$1006,0)), HYPERLINK("#",""), HYPERLINK(CONCATENATE("#Metadata!", ADDRESS(INDEX($W$2:$W$1001,MATCH(ROWS($U$2:U906),$U$2:$U$1001,0),0), INDEX($AB$1004:$AQ$1004,1,MATCH(COLUMNS($AB$1006:AD1006),$AB$1006:$AQ$1006,0)))),"Fix")))</f>
        <v>0</v>
      </c>
      <c r="E906" s="5">
        <f>IF(OR(INDEX($V$2:$V$1001,MATCH(ROWS($U$2:U906),$U$2:$U$1001,0),1)&gt;=100000,INDEX($AB$1005:$AQ$1005,1,MATCH(COLUMNS($AB$1006:AE1006),$AB$1006:$AQ$1006,0))&gt;=100000), " ",IF(INDEX($AB$2:$AQ$1001,MATCH(ROWS($U$2:U906),$U$2:$U$1001,0),MATCH(COLUMNS($AB$1006:AE1006),$AB$1006:$AQ$1006,0)), HYPERLINK("#",""), HYPERLINK(CONCATENATE("#Metadata!", ADDRESS(INDEX($W$2:$W$1001,MATCH(ROWS($U$2:U906),$U$2:$U$1001,0),0), INDEX($AB$1004:$AQ$1004,1,MATCH(COLUMNS($AB$1006:AE1006),$AB$1006:$AQ$1006,0)))),"Fix")))</f>
        <v>0</v>
      </c>
      <c r="F906" s="5">
        <f>IF(OR(INDEX($V$2:$V$1001,MATCH(ROWS($U$2:U906),$U$2:$U$1001,0),1)&gt;=100000,INDEX($AB$1005:$AQ$1005,1,MATCH(COLUMNS($AB$1006:AF1006),$AB$1006:$AQ$1006,0))&gt;=100000), " ",IF(INDEX($AB$2:$AQ$1001,MATCH(ROWS($U$2:U906),$U$2:$U$1001,0),MATCH(COLUMNS($AB$1006:AF1006),$AB$1006:$AQ$1006,0)), HYPERLINK("#",""), HYPERLINK(CONCATENATE("#Metadata!", ADDRESS(INDEX($W$2:$W$1001,MATCH(ROWS($U$2:U906),$U$2:$U$1001,0),0), INDEX($AB$1004:$AQ$1004,1,MATCH(COLUMNS($AB$1006:AF1006),$AB$1006:$AQ$1006,0)))),"Fix")))</f>
        <v>0</v>
      </c>
      <c r="G906" s="5">
        <f>IF(OR(INDEX($V$2:$V$1001,MATCH(ROWS($U$2:U906),$U$2:$U$1001,0),1)&gt;=100000,INDEX($AB$1005:$AQ$1005,1,MATCH(COLUMNS($AB$1006:AG1006),$AB$1006:$AQ$1006,0))&gt;=100000), " ",IF(INDEX($AB$2:$AQ$1001,MATCH(ROWS($U$2:U906),$U$2:$U$1001,0),MATCH(COLUMNS($AB$1006:AG1006),$AB$1006:$AQ$1006,0)), HYPERLINK("#",""), HYPERLINK(CONCATENATE("#Metadata!", ADDRESS(INDEX($W$2:$W$1001,MATCH(ROWS($U$2:U906),$U$2:$U$1001,0),0), INDEX($AB$1004:$AQ$1004,1,MATCH(COLUMNS($AB$1006:AG1006),$AB$1006:$AQ$1006,0)))),"Fix")))</f>
        <v>0</v>
      </c>
      <c r="H906" s="5">
        <f>IF(OR(INDEX($V$2:$V$1001,MATCH(ROWS($U$2:U906),$U$2:$U$1001,0),1)&gt;=100000,INDEX($AB$1005:$AQ$1005,1,MATCH(COLUMNS($AB$1006:AH1006),$AB$1006:$AQ$1006,0))&gt;=100000), " ",IF(INDEX($AB$2:$AQ$1001,MATCH(ROWS($U$2:U906),$U$2:$U$1001,0),MATCH(COLUMNS($AB$1006:AH1006),$AB$1006:$AQ$1006,0)), HYPERLINK("#",""), HYPERLINK(CONCATENATE("#Metadata!", ADDRESS(INDEX($W$2:$W$1001,MATCH(ROWS($U$2:U906),$U$2:$U$1001,0),0), INDEX($AB$1004:$AQ$1004,1,MATCH(COLUMNS($AB$1006:AH1006),$AB$1006:$AQ$1006,0)))),"Fix")))</f>
        <v>0</v>
      </c>
      <c r="I906" s="5">
        <f>IF(OR(INDEX($V$2:$V$1001,MATCH(ROWS($U$2:U906),$U$2:$U$1001,0),1)&gt;=100000,INDEX($AB$1005:$AQ$1005,1,MATCH(COLUMNS($AB$1006:AI1006),$AB$1006:$AQ$1006,0))&gt;=100000), " ",IF(INDEX($AB$2:$AQ$1001,MATCH(ROWS($U$2:U906),$U$2:$U$1001,0),MATCH(COLUMNS($AB$1006:AI1006),$AB$1006:$AQ$1006,0)), HYPERLINK("#",""), HYPERLINK(CONCATENATE("#Metadata!", ADDRESS(INDEX($W$2:$W$1001,MATCH(ROWS($U$2:U906),$U$2:$U$1001,0),0), INDEX($AB$1004:$AQ$1004,1,MATCH(COLUMNS($AB$1006:AI1006),$AB$1006:$AQ$1006,0)))),"Fix")))</f>
        <v>0</v>
      </c>
      <c r="J906" s="5">
        <f>IF(OR(INDEX($V$2:$V$1001,MATCH(ROWS($U$2:U906),$U$2:$U$1001,0),1)&gt;=100000,INDEX($AB$1005:$AQ$1005,1,MATCH(COLUMNS($AB$1006:AJ1006),$AB$1006:$AQ$1006,0))&gt;=100000), " ",IF(INDEX($AB$2:$AQ$1001,MATCH(ROWS($U$2:U906),$U$2:$U$1001,0),MATCH(COLUMNS($AB$1006:AJ1006),$AB$1006:$AQ$1006,0)), HYPERLINK("#",""), HYPERLINK(CONCATENATE("#Metadata!", ADDRESS(INDEX($W$2:$W$1001,MATCH(ROWS($U$2:U906),$U$2:$U$1001,0),0), INDEX($AB$1004:$AQ$1004,1,MATCH(COLUMNS($AB$1006:AJ1006),$AB$1006:$AQ$1006,0)))),"Fix")))</f>
        <v>0</v>
      </c>
      <c r="K906" s="5">
        <f>IF(OR(INDEX($V$2:$V$1001,MATCH(ROWS($U$2:U906),$U$2:$U$1001,0),1)&gt;=100000,INDEX($AB$1005:$AQ$1005,1,MATCH(COLUMNS($AB$1006:AK1006),$AB$1006:$AQ$1006,0))&gt;=100000), " ",IF(INDEX($AB$2:$AQ$1001,MATCH(ROWS($U$2:U906),$U$2:$U$1001,0),MATCH(COLUMNS($AB$1006:AK1006),$AB$1006:$AQ$1006,0)), HYPERLINK("#",""), HYPERLINK(CONCATENATE("#Metadata!", ADDRESS(INDEX($W$2:$W$1001,MATCH(ROWS($U$2:U906),$U$2:$U$1001,0),0), INDEX($AB$1004:$AQ$1004,1,MATCH(COLUMNS($AB$1006:AK1006),$AB$1006:$AQ$1006,0)))),"Fix")))</f>
        <v>0</v>
      </c>
      <c r="L906" s="5">
        <f>IF(OR(INDEX($V$2:$V$1001,MATCH(ROWS($U$2:U906),$U$2:$U$1001,0),1)&gt;=100000,INDEX($AB$1005:$AQ$1005,1,MATCH(COLUMNS($AB$1006:AL1006),$AB$1006:$AQ$1006,0))&gt;=100000), " ",IF(INDEX($AB$2:$AQ$1001,MATCH(ROWS($U$2:U906),$U$2:$U$1001,0),MATCH(COLUMNS($AB$1006:AL1006),$AB$1006:$AQ$1006,0)), HYPERLINK("#",""), HYPERLINK(CONCATENATE("#Metadata!", ADDRESS(INDEX($W$2:$W$1001,MATCH(ROWS($U$2:U906),$U$2:$U$1001,0),0), INDEX($AB$1004:$AQ$1004,1,MATCH(COLUMNS($AB$1006:AL1006),$AB$1006:$AQ$1006,0)))),"Fix")))</f>
        <v>0</v>
      </c>
      <c r="M906" s="5">
        <f>IF(OR(INDEX($V$2:$V$1001,MATCH(ROWS($U$2:U906),$U$2:$U$1001,0),1)&gt;=100000,INDEX($AB$1005:$AQ$1005,1,MATCH(COLUMNS($AB$1006:AM1006),$AB$1006:$AQ$1006,0))&gt;=100000), " ",IF(INDEX($AB$2:$AQ$1001,MATCH(ROWS($U$2:U906),$U$2:$U$1001,0),MATCH(COLUMNS($AB$1006:AM1006),$AB$1006:$AQ$1006,0)), HYPERLINK("#",""), HYPERLINK(CONCATENATE("#Metadata!", ADDRESS(INDEX($W$2:$W$1001,MATCH(ROWS($U$2:U906),$U$2:$U$1001,0),0), INDEX($AB$1004:$AQ$1004,1,MATCH(COLUMNS($AB$1006:AM1006),$AB$1006:$AQ$1006,0)))),"Fix")))</f>
        <v>0</v>
      </c>
      <c r="N906" s="5">
        <f>IF(OR(INDEX($V$2:$V$1001,MATCH(ROWS($U$2:U906),$U$2:$U$1001,0),1)&gt;=100000,INDEX($AB$1005:$AQ$1005,1,MATCH(COLUMNS($AB$1006:AN1006),$AB$1006:$AQ$1006,0))&gt;=100000), " ",IF(INDEX($AB$2:$AQ$1001,MATCH(ROWS($U$2:U906),$U$2:$U$1001,0),MATCH(COLUMNS($AB$1006:AN1006),$AB$1006:$AQ$1006,0)), HYPERLINK("#",""), HYPERLINK(CONCATENATE("#Metadata!", ADDRESS(INDEX($W$2:$W$1001,MATCH(ROWS($U$2:U906),$U$2:$U$1001,0),0), INDEX($AB$1004:$AQ$1004,1,MATCH(COLUMNS($AB$1006:AN1006),$AB$1006:$AQ$1006,0)))),"Fix")))</f>
        <v>0</v>
      </c>
      <c r="O906" s="5">
        <f>IF(OR(INDEX($V$2:$V$1001,MATCH(ROWS($U$2:U906),$U$2:$U$1001,0),1)&gt;=100000,INDEX($AB$1005:$AQ$1005,1,MATCH(COLUMNS($AB$1006:AO1006),$AB$1006:$AQ$1006,0))&gt;=100000), " ",IF(INDEX($AB$2:$AQ$1001,MATCH(ROWS($U$2:U906),$U$2:$U$1001,0),MATCH(COLUMNS($AB$1006:AO1006),$AB$1006:$AQ$1006,0)), HYPERLINK("#",""), HYPERLINK(CONCATENATE("#Metadata!", ADDRESS(INDEX($W$2:$W$1001,MATCH(ROWS($U$2:U906),$U$2:$U$1001,0),0), INDEX($AB$1004:$AQ$1004,1,MATCH(COLUMNS($AB$1006:AO1006),$AB$1006:$AQ$1006,0)))),"Fix")))</f>
        <v>0</v>
      </c>
      <c r="P906" s="5">
        <f>IF(OR(INDEX($V$2:$V$1001,MATCH(ROWS($U$2:U906),$U$2:$U$1001,0),1)&gt;=100000,INDEX($AB$1005:$AQ$1005,1,MATCH(COLUMNS($AB$1006:AP1006),$AB$1006:$AQ$1006,0))&gt;=100000), " ",IF(INDEX($AB$2:$AQ$1001,MATCH(ROWS($U$2:U906),$U$2:$U$1001,0),MATCH(COLUMNS($AB$1006:AP1006),$AB$1006:$AQ$1006,0)), HYPERLINK("#",""), HYPERLINK(CONCATENATE("#Metadata!", ADDRESS(INDEX($W$2:$W$1001,MATCH(ROWS($U$2:U906),$U$2:$U$1001,0),0), INDEX($AB$1004:$AQ$1004,1,MATCH(COLUMNS($AB$1006:AP1006),$AB$1006:$AQ$1006,0)))),"Fix")))</f>
        <v>0</v>
      </c>
      <c r="Q906" s="5">
        <f>IF(OR(INDEX($V$2:$V$1001,MATCH(ROWS($U$2:U906),$U$2:$U$1001,0),1)&gt;=100000,INDEX($AB$1005:$AQ$1005,1,MATCH(COLUMNS($AB$1006:AQ1006),$AB$1006:$AQ$1006,0))&gt;=100000), " ",IF(INDEX($AB$2:$AQ$1001,MATCH(ROWS($U$2:U906),$U$2:$U$1001,0),MATCH(COLUMNS($AB$1006:AQ1006),$AB$1006:$AQ$1006,0)), HYPERLINK("#",""), HYPERLINK(CONCATENATE("#Metadata!", ADDRESS(INDEX($W$2:$W$1001,MATCH(ROWS($U$2:U906),$U$2:$U$1001,0),0), INDEX($AB$1004:$AQ$1004,1,MATCH(COLUMNS($AB$1006:AQ1006),$AB$1006:$AQ$1006,0)))),"Fix")))</f>
        <v>0</v>
      </c>
      <c r="U906">
        <v>0</v>
      </c>
      <c r="V906">
        <v>0</v>
      </c>
      <c r="W906">
        <v>0</v>
      </c>
      <c r="X906">
        <f>IF(Y906,TRUE,AND(AB906:AQ906))</f>
        <v>0</v>
      </c>
      <c r="Y906">
        <f>COUNTBLANK(Metadata!B906:Q906)=COLUMNS(Metadata!B906:Q906)</f>
        <v>0</v>
      </c>
      <c r="Z906">
        <v>0</v>
      </c>
      <c r="AB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AC906">
        <f>AND(IF(Metadata!C906="",FALSE,TRUE),exact(Metadata!C906,"urban biome"))</f>
        <v>0</v>
      </c>
      <c r="AD906">
        <f>AND(IF(Metadata!D906="",FALSE,TRUE),exact(Metadata!D906,"human-associated habitat"))</f>
        <v>0</v>
      </c>
      <c r="AE906">
        <f>AND(IF(Metadata!E906="",FALSE,TRUE),OR(exact(Metadata!E906,"human-associated"),exact(Metadata!E906,"human-skin"),exact(Metadata!E906,"human-oral"),exact(Metadata!E906,"human-gut"),exact(Metadata!E906,"human-vaginal")))</f>
        <v>0</v>
      </c>
      <c r="AF906">
        <f>AND(IF(Metadata!F906="",FALSE,ISNUMBER(VALUE(Metadata!F906))),Metadata!F906&gt;0)</f>
        <v>0</v>
      </c>
      <c r="AG906">
        <f>AND(IF(Metadata!G906="",FALSE,TRUE),exact(Metadata!G906,"years"))</f>
        <v>0</v>
      </c>
      <c r="AH906">
        <f>OR(AND(IF(Metadata!H906="",FALSE,TRUE),OR(exact(Metadata!H906,"not applicable"),exact(Metadata!H906,"not collected"),exact(Metadata!H906,"not provided"),exact(Metadata!H906,"restricted access"))),AND(IF(Metadata!H906="",FALSE,ISNUMBER(VALUE(Metadata!H906))),Metadata!H906&gt;0))</f>
        <v>0</v>
      </c>
      <c r="AI906">
        <f>AND(IF(Metadata!I906="",FALSE,TRUE),exact(Metadata!I906,"human"))</f>
        <v>0</v>
      </c>
      <c r="AJ906">
        <f>AND(IF(Metadata!J906="",FALSE,ISNUMBER(VALUE(Metadata!J906))),Metadata!J906&gt;0)</f>
        <v>0</v>
      </c>
      <c r="AK906">
        <f>AND(IF(Metadata!K906="",FALSE,TRUE),exact(Metadata!K906,"cm"))</f>
        <v>0</v>
      </c>
      <c r="AL906">
        <f>AND(IF(Metadata!L906="",FALSE,TRUE),exact(Metadata!L906,"Homo sapiens"))</f>
        <v>0</v>
      </c>
      <c r="AM906">
        <f>AND(IF(Metadata!M906="",FALSE,TRUE),exact(Metadata!M906,"9606"))</f>
        <v>0</v>
      </c>
      <c r="AN906">
        <f>AND(IF(Metadata!N906="",FALSE,ISNUMBER(VALUE(Metadata!N906))),Metadata!N906&gt;0)</f>
        <v>0</v>
      </c>
      <c r="AO906">
        <f>AND(IF(Metadata!O906="",FALSE,TRUE),exact(Metadata!O906,"kg"))</f>
        <v>0</v>
      </c>
      <c r="AP906">
        <f>OR(AND(IF(Metadata!P906="",FALSE,TRUE),exact(Metadata!P906,"not provided")),IF(Metadata!P906="",FALSE,TRUE))</f>
        <v>0</v>
      </c>
      <c r="AQ906">
        <f>OR(AND(IF(Metadata!Q906="",FALSE,TRUE),exact(Metadata!Q906,"not provided")),IF(Metadata!Q906="",FALSE,TRUE))</f>
        <v>0</v>
      </c>
    </row>
    <row r="907" spans="1:43">
      <c r="A907" s="4">
        <f>IF(B907=" "," ",HYPERLINK(CONCATENATE("#metadata!",ADDRESS(INDEX($W$2:$W$1001,MATCH(ROWS($U$2:U907),$U$2:$U$1001,0),0),2)),INDEX($Z$2:$Z$1001,MATCH(ROWS($U$2:U907),$U$2:$U$1001,0),0)))</f>
        <v>0</v>
      </c>
      <c r="B907" s="5">
        <f>IF(OR(INDEX($V$2:$V$1001,MATCH(ROWS($U$2:U907),$U$2:$U$1001,0),1)&gt;=100000,INDEX($AB$1005:$AQ$1005,1,MATCH(COLUMNS($AB$1006:AB1006),$AB$1006:$AQ$1006,0))&gt;=100000), " ",IF(INDEX($AB$2:$AQ$1001,MATCH(ROWS($U$2:U907),$U$2:$U$1001,0),MATCH(COLUMNS($AB$1006:AB1006),$AB$1006:$AQ$1006,0)), HYPERLINK("#",""), HYPERLINK(CONCATENATE("#Metadata!", ADDRESS(INDEX($W$2:$W$1001,MATCH(ROWS($U$2:U907),$U$2:$U$1001,0),0), INDEX($AB$1004:$AQ$1004,1,MATCH(COLUMNS($AB$1006:AB1006),$AB$1006:$AQ$1006,0)))),"Fix")))</f>
        <v>0</v>
      </c>
      <c r="C907" s="5">
        <f>IF(OR(INDEX($V$2:$V$1001,MATCH(ROWS($U$2:U907),$U$2:$U$1001,0),1)&gt;=100000,INDEX($AB$1005:$AQ$1005,1,MATCH(COLUMNS($AB$1006:AC1006),$AB$1006:$AQ$1006,0))&gt;=100000), " ",IF(INDEX($AB$2:$AQ$1001,MATCH(ROWS($U$2:U907),$U$2:$U$1001,0),MATCH(COLUMNS($AB$1006:AC1006),$AB$1006:$AQ$1006,0)), HYPERLINK("#",""), HYPERLINK(CONCATENATE("#Metadata!", ADDRESS(INDEX($W$2:$W$1001,MATCH(ROWS($U$2:U907),$U$2:$U$1001,0),0), INDEX($AB$1004:$AQ$1004,1,MATCH(COLUMNS($AB$1006:AC1006),$AB$1006:$AQ$1006,0)))),"Fix")))</f>
        <v>0</v>
      </c>
      <c r="D907" s="5">
        <f>IF(OR(INDEX($V$2:$V$1001,MATCH(ROWS($U$2:U907),$U$2:$U$1001,0),1)&gt;=100000,INDEX($AB$1005:$AQ$1005,1,MATCH(COLUMNS($AB$1006:AD1006),$AB$1006:$AQ$1006,0))&gt;=100000), " ",IF(INDEX($AB$2:$AQ$1001,MATCH(ROWS($U$2:U907),$U$2:$U$1001,0),MATCH(COLUMNS($AB$1006:AD1006),$AB$1006:$AQ$1006,0)), HYPERLINK("#",""), HYPERLINK(CONCATENATE("#Metadata!", ADDRESS(INDEX($W$2:$W$1001,MATCH(ROWS($U$2:U907),$U$2:$U$1001,0),0), INDEX($AB$1004:$AQ$1004,1,MATCH(COLUMNS($AB$1006:AD1006),$AB$1006:$AQ$1006,0)))),"Fix")))</f>
        <v>0</v>
      </c>
      <c r="E907" s="5">
        <f>IF(OR(INDEX($V$2:$V$1001,MATCH(ROWS($U$2:U907),$U$2:$U$1001,0),1)&gt;=100000,INDEX($AB$1005:$AQ$1005,1,MATCH(COLUMNS($AB$1006:AE1006),$AB$1006:$AQ$1006,0))&gt;=100000), " ",IF(INDEX($AB$2:$AQ$1001,MATCH(ROWS($U$2:U907),$U$2:$U$1001,0),MATCH(COLUMNS($AB$1006:AE1006),$AB$1006:$AQ$1006,0)), HYPERLINK("#",""), HYPERLINK(CONCATENATE("#Metadata!", ADDRESS(INDEX($W$2:$W$1001,MATCH(ROWS($U$2:U907),$U$2:$U$1001,0),0), INDEX($AB$1004:$AQ$1004,1,MATCH(COLUMNS($AB$1006:AE1006),$AB$1006:$AQ$1006,0)))),"Fix")))</f>
        <v>0</v>
      </c>
      <c r="F907" s="5">
        <f>IF(OR(INDEX($V$2:$V$1001,MATCH(ROWS($U$2:U907),$U$2:$U$1001,0),1)&gt;=100000,INDEX($AB$1005:$AQ$1005,1,MATCH(COLUMNS($AB$1006:AF1006),$AB$1006:$AQ$1006,0))&gt;=100000), " ",IF(INDEX($AB$2:$AQ$1001,MATCH(ROWS($U$2:U907),$U$2:$U$1001,0),MATCH(COLUMNS($AB$1006:AF1006),$AB$1006:$AQ$1006,0)), HYPERLINK("#",""), HYPERLINK(CONCATENATE("#Metadata!", ADDRESS(INDEX($W$2:$W$1001,MATCH(ROWS($U$2:U907),$U$2:$U$1001,0),0), INDEX($AB$1004:$AQ$1004,1,MATCH(COLUMNS($AB$1006:AF1006),$AB$1006:$AQ$1006,0)))),"Fix")))</f>
        <v>0</v>
      </c>
      <c r="G907" s="5">
        <f>IF(OR(INDEX($V$2:$V$1001,MATCH(ROWS($U$2:U907),$U$2:$U$1001,0),1)&gt;=100000,INDEX($AB$1005:$AQ$1005,1,MATCH(COLUMNS($AB$1006:AG1006),$AB$1006:$AQ$1006,0))&gt;=100000), " ",IF(INDEX($AB$2:$AQ$1001,MATCH(ROWS($U$2:U907),$U$2:$U$1001,0),MATCH(COLUMNS($AB$1006:AG1006),$AB$1006:$AQ$1006,0)), HYPERLINK("#",""), HYPERLINK(CONCATENATE("#Metadata!", ADDRESS(INDEX($W$2:$W$1001,MATCH(ROWS($U$2:U907),$U$2:$U$1001,0),0), INDEX($AB$1004:$AQ$1004,1,MATCH(COLUMNS($AB$1006:AG1006),$AB$1006:$AQ$1006,0)))),"Fix")))</f>
        <v>0</v>
      </c>
      <c r="H907" s="5">
        <f>IF(OR(INDEX($V$2:$V$1001,MATCH(ROWS($U$2:U907),$U$2:$U$1001,0),1)&gt;=100000,INDEX($AB$1005:$AQ$1005,1,MATCH(COLUMNS($AB$1006:AH1006),$AB$1006:$AQ$1006,0))&gt;=100000), " ",IF(INDEX($AB$2:$AQ$1001,MATCH(ROWS($U$2:U907),$U$2:$U$1001,0),MATCH(COLUMNS($AB$1006:AH1006),$AB$1006:$AQ$1006,0)), HYPERLINK("#",""), HYPERLINK(CONCATENATE("#Metadata!", ADDRESS(INDEX($W$2:$W$1001,MATCH(ROWS($U$2:U907),$U$2:$U$1001,0),0), INDEX($AB$1004:$AQ$1004,1,MATCH(COLUMNS($AB$1006:AH1006),$AB$1006:$AQ$1006,0)))),"Fix")))</f>
        <v>0</v>
      </c>
      <c r="I907" s="5">
        <f>IF(OR(INDEX($V$2:$V$1001,MATCH(ROWS($U$2:U907),$U$2:$U$1001,0),1)&gt;=100000,INDEX($AB$1005:$AQ$1005,1,MATCH(COLUMNS($AB$1006:AI1006),$AB$1006:$AQ$1006,0))&gt;=100000), " ",IF(INDEX($AB$2:$AQ$1001,MATCH(ROWS($U$2:U907),$U$2:$U$1001,0),MATCH(COLUMNS($AB$1006:AI1006),$AB$1006:$AQ$1006,0)), HYPERLINK("#",""), HYPERLINK(CONCATENATE("#Metadata!", ADDRESS(INDEX($W$2:$W$1001,MATCH(ROWS($U$2:U907),$U$2:$U$1001,0),0), INDEX($AB$1004:$AQ$1004,1,MATCH(COLUMNS($AB$1006:AI1006),$AB$1006:$AQ$1006,0)))),"Fix")))</f>
        <v>0</v>
      </c>
      <c r="J907" s="5">
        <f>IF(OR(INDEX($V$2:$V$1001,MATCH(ROWS($U$2:U907),$U$2:$U$1001,0),1)&gt;=100000,INDEX($AB$1005:$AQ$1005,1,MATCH(COLUMNS($AB$1006:AJ1006),$AB$1006:$AQ$1006,0))&gt;=100000), " ",IF(INDEX($AB$2:$AQ$1001,MATCH(ROWS($U$2:U907),$U$2:$U$1001,0),MATCH(COLUMNS($AB$1006:AJ1006),$AB$1006:$AQ$1006,0)), HYPERLINK("#",""), HYPERLINK(CONCATENATE("#Metadata!", ADDRESS(INDEX($W$2:$W$1001,MATCH(ROWS($U$2:U907),$U$2:$U$1001,0),0), INDEX($AB$1004:$AQ$1004,1,MATCH(COLUMNS($AB$1006:AJ1006),$AB$1006:$AQ$1006,0)))),"Fix")))</f>
        <v>0</v>
      </c>
      <c r="K907" s="5">
        <f>IF(OR(INDEX($V$2:$V$1001,MATCH(ROWS($U$2:U907),$U$2:$U$1001,0),1)&gt;=100000,INDEX($AB$1005:$AQ$1005,1,MATCH(COLUMNS($AB$1006:AK1006),$AB$1006:$AQ$1006,0))&gt;=100000), " ",IF(INDEX($AB$2:$AQ$1001,MATCH(ROWS($U$2:U907),$U$2:$U$1001,0),MATCH(COLUMNS($AB$1006:AK1006),$AB$1006:$AQ$1006,0)), HYPERLINK("#",""), HYPERLINK(CONCATENATE("#Metadata!", ADDRESS(INDEX($W$2:$W$1001,MATCH(ROWS($U$2:U907),$U$2:$U$1001,0),0), INDEX($AB$1004:$AQ$1004,1,MATCH(COLUMNS($AB$1006:AK1006),$AB$1006:$AQ$1006,0)))),"Fix")))</f>
        <v>0</v>
      </c>
      <c r="L907" s="5">
        <f>IF(OR(INDEX($V$2:$V$1001,MATCH(ROWS($U$2:U907),$U$2:$U$1001,0),1)&gt;=100000,INDEX($AB$1005:$AQ$1005,1,MATCH(COLUMNS($AB$1006:AL1006),$AB$1006:$AQ$1006,0))&gt;=100000), " ",IF(INDEX($AB$2:$AQ$1001,MATCH(ROWS($U$2:U907),$U$2:$U$1001,0),MATCH(COLUMNS($AB$1006:AL1006),$AB$1006:$AQ$1006,0)), HYPERLINK("#",""), HYPERLINK(CONCATENATE("#Metadata!", ADDRESS(INDEX($W$2:$W$1001,MATCH(ROWS($U$2:U907),$U$2:$U$1001,0),0), INDEX($AB$1004:$AQ$1004,1,MATCH(COLUMNS($AB$1006:AL1006),$AB$1006:$AQ$1006,0)))),"Fix")))</f>
        <v>0</v>
      </c>
      <c r="M907" s="5">
        <f>IF(OR(INDEX($V$2:$V$1001,MATCH(ROWS($U$2:U907),$U$2:$U$1001,0),1)&gt;=100000,INDEX($AB$1005:$AQ$1005,1,MATCH(COLUMNS($AB$1006:AM1006),$AB$1006:$AQ$1006,0))&gt;=100000), " ",IF(INDEX($AB$2:$AQ$1001,MATCH(ROWS($U$2:U907),$U$2:$U$1001,0),MATCH(COLUMNS($AB$1006:AM1006),$AB$1006:$AQ$1006,0)), HYPERLINK("#",""), HYPERLINK(CONCATENATE("#Metadata!", ADDRESS(INDEX($W$2:$W$1001,MATCH(ROWS($U$2:U907),$U$2:$U$1001,0),0), INDEX($AB$1004:$AQ$1004,1,MATCH(COLUMNS($AB$1006:AM1006),$AB$1006:$AQ$1006,0)))),"Fix")))</f>
        <v>0</v>
      </c>
      <c r="N907" s="5">
        <f>IF(OR(INDEX($V$2:$V$1001,MATCH(ROWS($U$2:U907),$U$2:$U$1001,0),1)&gt;=100000,INDEX($AB$1005:$AQ$1005,1,MATCH(COLUMNS($AB$1006:AN1006),$AB$1006:$AQ$1006,0))&gt;=100000), " ",IF(INDEX($AB$2:$AQ$1001,MATCH(ROWS($U$2:U907),$U$2:$U$1001,0),MATCH(COLUMNS($AB$1006:AN1006),$AB$1006:$AQ$1006,0)), HYPERLINK("#",""), HYPERLINK(CONCATENATE("#Metadata!", ADDRESS(INDEX($W$2:$W$1001,MATCH(ROWS($U$2:U907),$U$2:$U$1001,0),0), INDEX($AB$1004:$AQ$1004,1,MATCH(COLUMNS($AB$1006:AN1006),$AB$1006:$AQ$1006,0)))),"Fix")))</f>
        <v>0</v>
      </c>
      <c r="O907" s="5">
        <f>IF(OR(INDEX($V$2:$V$1001,MATCH(ROWS($U$2:U907),$U$2:$U$1001,0),1)&gt;=100000,INDEX($AB$1005:$AQ$1005,1,MATCH(COLUMNS($AB$1006:AO1006),$AB$1006:$AQ$1006,0))&gt;=100000), " ",IF(INDEX($AB$2:$AQ$1001,MATCH(ROWS($U$2:U907),$U$2:$U$1001,0),MATCH(COLUMNS($AB$1006:AO1006),$AB$1006:$AQ$1006,0)), HYPERLINK("#",""), HYPERLINK(CONCATENATE("#Metadata!", ADDRESS(INDEX($W$2:$W$1001,MATCH(ROWS($U$2:U907),$U$2:$U$1001,0),0), INDEX($AB$1004:$AQ$1004,1,MATCH(COLUMNS($AB$1006:AO1006),$AB$1006:$AQ$1006,0)))),"Fix")))</f>
        <v>0</v>
      </c>
      <c r="P907" s="5">
        <f>IF(OR(INDEX($V$2:$V$1001,MATCH(ROWS($U$2:U907),$U$2:$U$1001,0),1)&gt;=100000,INDEX($AB$1005:$AQ$1005,1,MATCH(COLUMNS($AB$1006:AP1006),$AB$1006:$AQ$1006,0))&gt;=100000), " ",IF(INDEX($AB$2:$AQ$1001,MATCH(ROWS($U$2:U907),$U$2:$U$1001,0),MATCH(COLUMNS($AB$1006:AP1006),$AB$1006:$AQ$1006,0)), HYPERLINK("#",""), HYPERLINK(CONCATENATE("#Metadata!", ADDRESS(INDEX($W$2:$W$1001,MATCH(ROWS($U$2:U907),$U$2:$U$1001,0),0), INDEX($AB$1004:$AQ$1004,1,MATCH(COLUMNS($AB$1006:AP1006),$AB$1006:$AQ$1006,0)))),"Fix")))</f>
        <v>0</v>
      </c>
      <c r="Q907" s="5">
        <f>IF(OR(INDEX($V$2:$V$1001,MATCH(ROWS($U$2:U907),$U$2:$U$1001,0),1)&gt;=100000,INDEX($AB$1005:$AQ$1005,1,MATCH(COLUMNS($AB$1006:AQ1006),$AB$1006:$AQ$1006,0))&gt;=100000), " ",IF(INDEX($AB$2:$AQ$1001,MATCH(ROWS($U$2:U907),$U$2:$U$1001,0),MATCH(COLUMNS($AB$1006:AQ1006),$AB$1006:$AQ$1006,0)), HYPERLINK("#",""), HYPERLINK(CONCATENATE("#Metadata!", ADDRESS(INDEX($W$2:$W$1001,MATCH(ROWS($U$2:U907),$U$2:$U$1001,0),0), INDEX($AB$1004:$AQ$1004,1,MATCH(COLUMNS($AB$1006:AQ1006),$AB$1006:$AQ$1006,0)))),"Fix")))</f>
        <v>0</v>
      </c>
      <c r="U907">
        <v>0</v>
      </c>
      <c r="V907">
        <v>0</v>
      </c>
      <c r="W907">
        <v>0</v>
      </c>
      <c r="X907">
        <f>IF(Y907,TRUE,AND(AB907:AQ907))</f>
        <v>0</v>
      </c>
      <c r="Y907">
        <f>COUNTBLANK(Metadata!B907:Q907)=COLUMNS(Metadata!B907:Q907)</f>
        <v>0</v>
      </c>
      <c r="Z907">
        <v>0</v>
      </c>
      <c r="AB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AC907">
        <f>AND(IF(Metadata!C907="",FALSE,TRUE),exact(Metadata!C907,"urban biome"))</f>
        <v>0</v>
      </c>
      <c r="AD907">
        <f>AND(IF(Metadata!D907="",FALSE,TRUE),exact(Metadata!D907,"human-associated habitat"))</f>
        <v>0</v>
      </c>
      <c r="AE907">
        <f>AND(IF(Metadata!E907="",FALSE,TRUE),OR(exact(Metadata!E907,"human-associated"),exact(Metadata!E907,"human-skin"),exact(Metadata!E907,"human-oral"),exact(Metadata!E907,"human-gut"),exact(Metadata!E907,"human-vaginal")))</f>
        <v>0</v>
      </c>
      <c r="AF907">
        <f>AND(IF(Metadata!F907="",FALSE,ISNUMBER(VALUE(Metadata!F907))),Metadata!F907&gt;0)</f>
        <v>0</v>
      </c>
      <c r="AG907">
        <f>AND(IF(Metadata!G907="",FALSE,TRUE),exact(Metadata!G907,"years"))</f>
        <v>0</v>
      </c>
      <c r="AH907">
        <f>OR(AND(IF(Metadata!H907="",FALSE,TRUE),OR(exact(Metadata!H907,"not applicable"),exact(Metadata!H907,"not collected"),exact(Metadata!H907,"not provided"),exact(Metadata!H907,"restricted access"))),AND(IF(Metadata!H907="",FALSE,ISNUMBER(VALUE(Metadata!H907))),Metadata!H907&gt;0))</f>
        <v>0</v>
      </c>
      <c r="AI907">
        <f>AND(IF(Metadata!I907="",FALSE,TRUE),exact(Metadata!I907,"human"))</f>
        <v>0</v>
      </c>
      <c r="AJ907">
        <f>AND(IF(Metadata!J907="",FALSE,ISNUMBER(VALUE(Metadata!J907))),Metadata!J907&gt;0)</f>
        <v>0</v>
      </c>
      <c r="AK907">
        <f>AND(IF(Metadata!K907="",FALSE,TRUE),exact(Metadata!K907,"cm"))</f>
        <v>0</v>
      </c>
      <c r="AL907">
        <f>AND(IF(Metadata!L907="",FALSE,TRUE),exact(Metadata!L907,"Homo sapiens"))</f>
        <v>0</v>
      </c>
      <c r="AM907">
        <f>AND(IF(Metadata!M907="",FALSE,TRUE),exact(Metadata!M907,"9606"))</f>
        <v>0</v>
      </c>
      <c r="AN907">
        <f>AND(IF(Metadata!N907="",FALSE,ISNUMBER(VALUE(Metadata!N907))),Metadata!N907&gt;0)</f>
        <v>0</v>
      </c>
      <c r="AO907">
        <f>AND(IF(Metadata!O907="",FALSE,TRUE),exact(Metadata!O907,"kg"))</f>
        <v>0</v>
      </c>
      <c r="AP907">
        <f>OR(AND(IF(Metadata!P907="",FALSE,TRUE),exact(Metadata!P907,"not provided")),IF(Metadata!P907="",FALSE,TRUE))</f>
        <v>0</v>
      </c>
      <c r="AQ907">
        <f>OR(AND(IF(Metadata!Q907="",FALSE,TRUE),exact(Metadata!Q907,"not provided")),IF(Metadata!Q907="",FALSE,TRUE))</f>
        <v>0</v>
      </c>
    </row>
    <row r="908" spans="1:43">
      <c r="A908" s="4">
        <f>IF(B908=" "," ",HYPERLINK(CONCATENATE("#metadata!",ADDRESS(INDEX($W$2:$W$1001,MATCH(ROWS($U$2:U908),$U$2:$U$1001,0),0),2)),INDEX($Z$2:$Z$1001,MATCH(ROWS($U$2:U908),$U$2:$U$1001,0),0)))</f>
        <v>0</v>
      </c>
      <c r="B908" s="5">
        <f>IF(OR(INDEX($V$2:$V$1001,MATCH(ROWS($U$2:U908),$U$2:$U$1001,0),1)&gt;=100000,INDEX($AB$1005:$AQ$1005,1,MATCH(COLUMNS($AB$1006:AB1006),$AB$1006:$AQ$1006,0))&gt;=100000), " ",IF(INDEX($AB$2:$AQ$1001,MATCH(ROWS($U$2:U908),$U$2:$U$1001,0),MATCH(COLUMNS($AB$1006:AB1006),$AB$1006:$AQ$1006,0)), HYPERLINK("#",""), HYPERLINK(CONCATENATE("#Metadata!", ADDRESS(INDEX($W$2:$W$1001,MATCH(ROWS($U$2:U908),$U$2:$U$1001,0),0), INDEX($AB$1004:$AQ$1004,1,MATCH(COLUMNS($AB$1006:AB1006),$AB$1006:$AQ$1006,0)))),"Fix")))</f>
        <v>0</v>
      </c>
      <c r="C908" s="5">
        <f>IF(OR(INDEX($V$2:$V$1001,MATCH(ROWS($U$2:U908),$U$2:$U$1001,0),1)&gt;=100000,INDEX($AB$1005:$AQ$1005,1,MATCH(COLUMNS($AB$1006:AC1006),$AB$1006:$AQ$1006,0))&gt;=100000), " ",IF(INDEX($AB$2:$AQ$1001,MATCH(ROWS($U$2:U908),$U$2:$U$1001,0),MATCH(COLUMNS($AB$1006:AC1006),$AB$1006:$AQ$1006,0)), HYPERLINK("#",""), HYPERLINK(CONCATENATE("#Metadata!", ADDRESS(INDEX($W$2:$W$1001,MATCH(ROWS($U$2:U908),$U$2:$U$1001,0),0), INDEX($AB$1004:$AQ$1004,1,MATCH(COLUMNS($AB$1006:AC1006),$AB$1006:$AQ$1006,0)))),"Fix")))</f>
        <v>0</v>
      </c>
      <c r="D908" s="5">
        <f>IF(OR(INDEX($V$2:$V$1001,MATCH(ROWS($U$2:U908),$U$2:$U$1001,0),1)&gt;=100000,INDEX($AB$1005:$AQ$1005,1,MATCH(COLUMNS($AB$1006:AD1006),$AB$1006:$AQ$1006,0))&gt;=100000), " ",IF(INDEX($AB$2:$AQ$1001,MATCH(ROWS($U$2:U908),$U$2:$U$1001,0),MATCH(COLUMNS($AB$1006:AD1006),$AB$1006:$AQ$1006,0)), HYPERLINK("#",""), HYPERLINK(CONCATENATE("#Metadata!", ADDRESS(INDEX($W$2:$W$1001,MATCH(ROWS($U$2:U908),$U$2:$U$1001,0),0), INDEX($AB$1004:$AQ$1004,1,MATCH(COLUMNS($AB$1006:AD1006),$AB$1006:$AQ$1006,0)))),"Fix")))</f>
        <v>0</v>
      </c>
      <c r="E908" s="5">
        <f>IF(OR(INDEX($V$2:$V$1001,MATCH(ROWS($U$2:U908),$U$2:$U$1001,0),1)&gt;=100000,INDEX($AB$1005:$AQ$1005,1,MATCH(COLUMNS($AB$1006:AE1006),$AB$1006:$AQ$1006,0))&gt;=100000), " ",IF(INDEX($AB$2:$AQ$1001,MATCH(ROWS($U$2:U908),$U$2:$U$1001,0),MATCH(COLUMNS($AB$1006:AE1006),$AB$1006:$AQ$1006,0)), HYPERLINK("#",""), HYPERLINK(CONCATENATE("#Metadata!", ADDRESS(INDEX($W$2:$W$1001,MATCH(ROWS($U$2:U908),$U$2:$U$1001,0),0), INDEX($AB$1004:$AQ$1004,1,MATCH(COLUMNS($AB$1006:AE1006),$AB$1006:$AQ$1006,0)))),"Fix")))</f>
        <v>0</v>
      </c>
      <c r="F908" s="5">
        <f>IF(OR(INDEX($V$2:$V$1001,MATCH(ROWS($U$2:U908),$U$2:$U$1001,0),1)&gt;=100000,INDEX($AB$1005:$AQ$1005,1,MATCH(COLUMNS($AB$1006:AF1006),$AB$1006:$AQ$1006,0))&gt;=100000), " ",IF(INDEX($AB$2:$AQ$1001,MATCH(ROWS($U$2:U908),$U$2:$U$1001,0),MATCH(COLUMNS($AB$1006:AF1006),$AB$1006:$AQ$1006,0)), HYPERLINK("#",""), HYPERLINK(CONCATENATE("#Metadata!", ADDRESS(INDEX($W$2:$W$1001,MATCH(ROWS($U$2:U908),$U$2:$U$1001,0),0), INDEX($AB$1004:$AQ$1004,1,MATCH(COLUMNS($AB$1006:AF1006),$AB$1006:$AQ$1006,0)))),"Fix")))</f>
        <v>0</v>
      </c>
      <c r="G908" s="5">
        <f>IF(OR(INDEX($V$2:$V$1001,MATCH(ROWS($U$2:U908),$U$2:$U$1001,0),1)&gt;=100000,INDEX($AB$1005:$AQ$1005,1,MATCH(COLUMNS($AB$1006:AG1006),$AB$1006:$AQ$1006,0))&gt;=100000), " ",IF(INDEX($AB$2:$AQ$1001,MATCH(ROWS($U$2:U908),$U$2:$U$1001,0),MATCH(COLUMNS($AB$1006:AG1006),$AB$1006:$AQ$1006,0)), HYPERLINK("#",""), HYPERLINK(CONCATENATE("#Metadata!", ADDRESS(INDEX($W$2:$W$1001,MATCH(ROWS($U$2:U908),$U$2:$U$1001,0),0), INDEX($AB$1004:$AQ$1004,1,MATCH(COLUMNS($AB$1006:AG1006),$AB$1006:$AQ$1006,0)))),"Fix")))</f>
        <v>0</v>
      </c>
      <c r="H908" s="5">
        <f>IF(OR(INDEX($V$2:$V$1001,MATCH(ROWS($U$2:U908),$U$2:$U$1001,0),1)&gt;=100000,INDEX($AB$1005:$AQ$1005,1,MATCH(COLUMNS($AB$1006:AH1006),$AB$1006:$AQ$1006,0))&gt;=100000), " ",IF(INDEX($AB$2:$AQ$1001,MATCH(ROWS($U$2:U908),$U$2:$U$1001,0),MATCH(COLUMNS($AB$1006:AH1006),$AB$1006:$AQ$1006,0)), HYPERLINK("#",""), HYPERLINK(CONCATENATE("#Metadata!", ADDRESS(INDEX($W$2:$W$1001,MATCH(ROWS($U$2:U908),$U$2:$U$1001,0),0), INDEX($AB$1004:$AQ$1004,1,MATCH(COLUMNS($AB$1006:AH1006),$AB$1006:$AQ$1006,0)))),"Fix")))</f>
        <v>0</v>
      </c>
      <c r="I908" s="5">
        <f>IF(OR(INDEX($V$2:$V$1001,MATCH(ROWS($U$2:U908),$U$2:$U$1001,0),1)&gt;=100000,INDEX($AB$1005:$AQ$1005,1,MATCH(COLUMNS($AB$1006:AI1006),$AB$1006:$AQ$1006,0))&gt;=100000), " ",IF(INDEX($AB$2:$AQ$1001,MATCH(ROWS($U$2:U908),$U$2:$U$1001,0),MATCH(COLUMNS($AB$1006:AI1006),$AB$1006:$AQ$1006,0)), HYPERLINK("#",""), HYPERLINK(CONCATENATE("#Metadata!", ADDRESS(INDEX($W$2:$W$1001,MATCH(ROWS($U$2:U908),$U$2:$U$1001,0),0), INDEX($AB$1004:$AQ$1004,1,MATCH(COLUMNS($AB$1006:AI1006),$AB$1006:$AQ$1006,0)))),"Fix")))</f>
        <v>0</v>
      </c>
      <c r="J908" s="5">
        <f>IF(OR(INDEX($V$2:$V$1001,MATCH(ROWS($U$2:U908),$U$2:$U$1001,0),1)&gt;=100000,INDEX($AB$1005:$AQ$1005,1,MATCH(COLUMNS($AB$1006:AJ1006),$AB$1006:$AQ$1006,0))&gt;=100000), " ",IF(INDEX($AB$2:$AQ$1001,MATCH(ROWS($U$2:U908),$U$2:$U$1001,0),MATCH(COLUMNS($AB$1006:AJ1006),$AB$1006:$AQ$1006,0)), HYPERLINK("#",""), HYPERLINK(CONCATENATE("#Metadata!", ADDRESS(INDEX($W$2:$W$1001,MATCH(ROWS($U$2:U908),$U$2:$U$1001,0),0), INDEX($AB$1004:$AQ$1004,1,MATCH(COLUMNS($AB$1006:AJ1006),$AB$1006:$AQ$1006,0)))),"Fix")))</f>
        <v>0</v>
      </c>
      <c r="K908" s="5">
        <f>IF(OR(INDEX($V$2:$V$1001,MATCH(ROWS($U$2:U908),$U$2:$U$1001,0),1)&gt;=100000,INDEX($AB$1005:$AQ$1005,1,MATCH(COLUMNS($AB$1006:AK1006),$AB$1006:$AQ$1006,0))&gt;=100000), " ",IF(INDEX($AB$2:$AQ$1001,MATCH(ROWS($U$2:U908),$U$2:$U$1001,0),MATCH(COLUMNS($AB$1006:AK1006),$AB$1006:$AQ$1006,0)), HYPERLINK("#",""), HYPERLINK(CONCATENATE("#Metadata!", ADDRESS(INDEX($W$2:$W$1001,MATCH(ROWS($U$2:U908),$U$2:$U$1001,0),0), INDEX($AB$1004:$AQ$1004,1,MATCH(COLUMNS($AB$1006:AK1006),$AB$1006:$AQ$1006,0)))),"Fix")))</f>
        <v>0</v>
      </c>
      <c r="L908" s="5">
        <f>IF(OR(INDEX($V$2:$V$1001,MATCH(ROWS($U$2:U908),$U$2:$U$1001,0),1)&gt;=100000,INDEX($AB$1005:$AQ$1005,1,MATCH(COLUMNS($AB$1006:AL1006),$AB$1006:$AQ$1006,0))&gt;=100000), " ",IF(INDEX($AB$2:$AQ$1001,MATCH(ROWS($U$2:U908),$U$2:$U$1001,0),MATCH(COLUMNS($AB$1006:AL1006),$AB$1006:$AQ$1006,0)), HYPERLINK("#",""), HYPERLINK(CONCATENATE("#Metadata!", ADDRESS(INDEX($W$2:$W$1001,MATCH(ROWS($U$2:U908),$U$2:$U$1001,0),0), INDEX($AB$1004:$AQ$1004,1,MATCH(COLUMNS($AB$1006:AL1006),$AB$1006:$AQ$1006,0)))),"Fix")))</f>
        <v>0</v>
      </c>
      <c r="M908" s="5">
        <f>IF(OR(INDEX($V$2:$V$1001,MATCH(ROWS($U$2:U908),$U$2:$U$1001,0),1)&gt;=100000,INDEX($AB$1005:$AQ$1005,1,MATCH(COLUMNS($AB$1006:AM1006),$AB$1006:$AQ$1006,0))&gt;=100000), " ",IF(INDEX($AB$2:$AQ$1001,MATCH(ROWS($U$2:U908),$U$2:$U$1001,0),MATCH(COLUMNS($AB$1006:AM1006),$AB$1006:$AQ$1006,0)), HYPERLINK("#",""), HYPERLINK(CONCATENATE("#Metadata!", ADDRESS(INDEX($W$2:$W$1001,MATCH(ROWS($U$2:U908),$U$2:$U$1001,0),0), INDEX($AB$1004:$AQ$1004,1,MATCH(COLUMNS($AB$1006:AM1006),$AB$1006:$AQ$1006,0)))),"Fix")))</f>
        <v>0</v>
      </c>
      <c r="N908" s="5">
        <f>IF(OR(INDEX($V$2:$V$1001,MATCH(ROWS($U$2:U908),$U$2:$U$1001,0),1)&gt;=100000,INDEX($AB$1005:$AQ$1005,1,MATCH(COLUMNS($AB$1006:AN1006),$AB$1006:$AQ$1006,0))&gt;=100000), " ",IF(INDEX($AB$2:$AQ$1001,MATCH(ROWS($U$2:U908),$U$2:$U$1001,0),MATCH(COLUMNS($AB$1006:AN1006),$AB$1006:$AQ$1006,0)), HYPERLINK("#",""), HYPERLINK(CONCATENATE("#Metadata!", ADDRESS(INDEX($W$2:$W$1001,MATCH(ROWS($U$2:U908),$U$2:$U$1001,0),0), INDEX($AB$1004:$AQ$1004,1,MATCH(COLUMNS($AB$1006:AN1006),$AB$1006:$AQ$1006,0)))),"Fix")))</f>
        <v>0</v>
      </c>
      <c r="O908" s="5">
        <f>IF(OR(INDEX($V$2:$V$1001,MATCH(ROWS($U$2:U908),$U$2:$U$1001,0),1)&gt;=100000,INDEX($AB$1005:$AQ$1005,1,MATCH(COLUMNS($AB$1006:AO1006),$AB$1006:$AQ$1006,0))&gt;=100000), " ",IF(INDEX($AB$2:$AQ$1001,MATCH(ROWS($U$2:U908),$U$2:$U$1001,0),MATCH(COLUMNS($AB$1006:AO1006),$AB$1006:$AQ$1006,0)), HYPERLINK("#",""), HYPERLINK(CONCATENATE("#Metadata!", ADDRESS(INDEX($W$2:$W$1001,MATCH(ROWS($U$2:U908),$U$2:$U$1001,0),0), INDEX($AB$1004:$AQ$1004,1,MATCH(COLUMNS($AB$1006:AO1006),$AB$1006:$AQ$1006,0)))),"Fix")))</f>
        <v>0</v>
      </c>
      <c r="P908" s="5">
        <f>IF(OR(INDEX($V$2:$V$1001,MATCH(ROWS($U$2:U908),$U$2:$U$1001,0),1)&gt;=100000,INDEX($AB$1005:$AQ$1005,1,MATCH(COLUMNS($AB$1006:AP1006),$AB$1006:$AQ$1006,0))&gt;=100000), " ",IF(INDEX($AB$2:$AQ$1001,MATCH(ROWS($U$2:U908),$U$2:$U$1001,0),MATCH(COLUMNS($AB$1006:AP1006),$AB$1006:$AQ$1006,0)), HYPERLINK("#",""), HYPERLINK(CONCATENATE("#Metadata!", ADDRESS(INDEX($W$2:$W$1001,MATCH(ROWS($U$2:U908),$U$2:$U$1001,0),0), INDEX($AB$1004:$AQ$1004,1,MATCH(COLUMNS($AB$1006:AP1006),$AB$1006:$AQ$1006,0)))),"Fix")))</f>
        <v>0</v>
      </c>
      <c r="Q908" s="5">
        <f>IF(OR(INDEX($V$2:$V$1001,MATCH(ROWS($U$2:U908),$U$2:$U$1001,0),1)&gt;=100000,INDEX($AB$1005:$AQ$1005,1,MATCH(COLUMNS($AB$1006:AQ1006),$AB$1006:$AQ$1006,0))&gt;=100000), " ",IF(INDEX($AB$2:$AQ$1001,MATCH(ROWS($U$2:U908),$U$2:$U$1001,0),MATCH(COLUMNS($AB$1006:AQ1006),$AB$1006:$AQ$1006,0)), HYPERLINK("#",""), HYPERLINK(CONCATENATE("#Metadata!", ADDRESS(INDEX($W$2:$W$1001,MATCH(ROWS($U$2:U908),$U$2:$U$1001,0),0), INDEX($AB$1004:$AQ$1004,1,MATCH(COLUMNS($AB$1006:AQ1006),$AB$1006:$AQ$1006,0)))),"Fix")))</f>
        <v>0</v>
      </c>
      <c r="U908">
        <v>0</v>
      </c>
      <c r="V908">
        <v>0</v>
      </c>
      <c r="W908">
        <v>0</v>
      </c>
      <c r="X908">
        <f>IF(Y908,TRUE,AND(AB908:AQ908))</f>
        <v>0</v>
      </c>
      <c r="Y908">
        <f>COUNTBLANK(Metadata!B908:Q908)=COLUMNS(Metadata!B908:Q908)</f>
        <v>0</v>
      </c>
      <c r="Z908">
        <v>0</v>
      </c>
      <c r="AB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AC908">
        <f>AND(IF(Metadata!C908="",FALSE,TRUE),exact(Metadata!C908,"urban biome"))</f>
        <v>0</v>
      </c>
      <c r="AD908">
        <f>AND(IF(Metadata!D908="",FALSE,TRUE),exact(Metadata!D908,"human-associated habitat"))</f>
        <v>0</v>
      </c>
      <c r="AE908">
        <f>AND(IF(Metadata!E908="",FALSE,TRUE),OR(exact(Metadata!E908,"human-associated"),exact(Metadata!E908,"human-skin"),exact(Metadata!E908,"human-oral"),exact(Metadata!E908,"human-gut"),exact(Metadata!E908,"human-vaginal")))</f>
        <v>0</v>
      </c>
      <c r="AF908">
        <f>AND(IF(Metadata!F908="",FALSE,ISNUMBER(VALUE(Metadata!F908))),Metadata!F908&gt;0)</f>
        <v>0</v>
      </c>
      <c r="AG908">
        <f>AND(IF(Metadata!G908="",FALSE,TRUE),exact(Metadata!G908,"years"))</f>
        <v>0</v>
      </c>
      <c r="AH908">
        <f>OR(AND(IF(Metadata!H908="",FALSE,TRUE),OR(exact(Metadata!H908,"not applicable"),exact(Metadata!H908,"not collected"),exact(Metadata!H908,"not provided"),exact(Metadata!H908,"restricted access"))),AND(IF(Metadata!H908="",FALSE,ISNUMBER(VALUE(Metadata!H908))),Metadata!H908&gt;0))</f>
        <v>0</v>
      </c>
      <c r="AI908">
        <f>AND(IF(Metadata!I908="",FALSE,TRUE),exact(Metadata!I908,"human"))</f>
        <v>0</v>
      </c>
      <c r="AJ908">
        <f>AND(IF(Metadata!J908="",FALSE,ISNUMBER(VALUE(Metadata!J908))),Metadata!J908&gt;0)</f>
        <v>0</v>
      </c>
      <c r="AK908">
        <f>AND(IF(Metadata!K908="",FALSE,TRUE),exact(Metadata!K908,"cm"))</f>
        <v>0</v>
      </c>
      <c r="AL908">
        <f>AND(IF(Metadata!L908="",FALSE,TRUE),exact(Metadata!L908,"Homo sapiens"))</f>
        <v>0</v>
      </c>
      <c r="AM908">
        <f>AND(IF(Metadata!M908="",FALSE,TRUE),exact(Metadata!M908,"9606"))</f>
        <v>0</v>
      </c>
      <c r="AN908">
        <f>AND(IF(Metadata!N908="",FALSE,ISNUMBER(VALUE(Metadata!N908))),Metadata!N908&gt;0)</f>
        <v>0</v>
      </c>
      <c r="AO908">
        <f>AND(IF(Metadata!O908="",FALSE,TRUE),exact(Metadata!O908,"kg"))</f>
        <v>0</v>
      </c>
      <c r="AP908">
        <f>OR(AND(IF(Metadata!P908="",FALSE,TRUE),exact(Metadata!P908,"not provided")),IF(Metadata!P908="",FALSE,TRUE))</f>
        <v>0</v>
      </c>
      <c r="AQ908">
        <f>OR(AND(IF(Metadata!Q908="",FALSE,TRUE),exact(Metadata!Q908,"not provided")),IF(Metadata!Q908="",FALSE,TRUE))</f>
        <v>0</v>
      </c>
    </row>
    <row r="909" spans="1:43">
      <c r="A909" s="4">
        <f>IF(B909=" "," ",HYPERLINK(CONCATENATE("#metadata!",ADDRESS(INDEX($W$2:$W$1001,MATCH(ROWS($U$2:U909),$U$2:$U$1001,0),0),2)),INDEX($Z$2:$Z$1001,MATCH(ROWS($U$2:U909),$U$2:$U$1001,0),0)))</f>
        <v>0</v>
      </c>
      <c r="B909" s="5">
        <f>IF(OR(INDEX($V$2:$V$1001,MATCH(ROWS($U$2:U909),$U$2:$U$1001,0),1)&gt;=100000,INDEX($AB$1005:$AQ$1005,1,MATCH(COLUMNS($AB$1006:AB1006),$AB$1006:$AQ$1006,0))&gt;=100000), " ",IF(INDEX($AB$2:$AQ$1001,MATCH(ROWS($U$2:U909),$U$2:$U$1001,0),MATCH(COLUMNS($AB$1006:AB1006),$AB$1006:$AQ$1006,0)), HYPERLINK("#",""), HYPERLINK(CONCATENATE("#Metadata!", ADDRESS(INDEX($W$2:$W$1001,MATCH(ROWS($U$2:U909),$U$2:$U$1001,0),0), INDEX($AB$1004:$AQ$1004,1,MATCH(COLUMNS($AB$1006:AB1006),$AB$1006:$AQ$1006,0)))),"Fix")))</f>
        <v>0</v>
      </c>
      <c r="C909" s="5">
        <f>IF(OR(INDEX($V$2:$V$1001,MATCH(ROWS($U$2:U909),$U$2:$U$1001,0),1)&gt;=100000,INDEX($AB$1005:$AQ$1005,1,MATCH(COLUMNS($AB$1006:AC1006),$AB$1006:$AQ$1006,0))&gt;=100000), " ",IF(INDEX($AB$2:$AQ$1001,MATCH(ROWS($U$2:U909),$U$2:$U$1001,0),MATCH(COLUMNS($AB$1006:AC1006),$AB$1006:$AQ$1006,0)), HYPERLINK("#",""), HYPERLINK(CONCATENATE("#Metadata!", ADDRESS(INDEX($W$2:$W$1001,MATCH(ROWS($U$2:U909),$U$2:$U$1001,0),0), INDEX($AB$1004:$AQ$1004,1,MATCH(COLUMNS($AB$1006:AC1006),$AB$1006:$AQ$1006,0)))),"Fix")))</f>
        <v>0</v>
      </c>
      <c r="D909" s="5">
        <f>IF(OR(INDEX($V$2:$V$1001,MATCH(ROWS($U$2:U909),$U$2:$U$1001,0),1)&gt;=100000,INDEX($AB$1005:$AQ$1005,1,MATCH(COLUMNS($AB$1006:AD1006),$AB$1006:$AQ$1006,0))&gt;=100000), " ",IF(INDEX($AB$2:$AQ$1001,MATCH(ROWS($U$2:U909),$U$2:$U$1001,0),MATCH(COLUMNS($AB$1006:AD1006),$AB$1006:$AQ$1006,0)), HYPERLINK("#",""), HYPERLINK(CONCATENATE("#Metadata!", ADDRESS(INDEX($W$2:$W$1001,MATCH(ROWS($U$2:U909),$U$2:$U$1001,0),0), INDEX($AB$1004:$AQ$1004,1,MATCH(COLUMNS($AB$1006:AD1006),$AB$1006:$AQ$1006,0)))),"Fix")))</f>
        <v>0</v>
      </c>
      <c r="E909" s="5">
        <f>IF(OR(INDEX($V$2:$V$1001,MATCH(ROWS($U$2:U909),$U$2:$U$1001,0),1)&gt;=100000,INDEX($AB$1005:$AQ$1005,1,MATCH(COLUMNS($AB$1006:AE1006),$AB$1006:$AQ$1006,0))&gt;=100000), " ",IF(INDEX($AB$2:$AQ$1001,MATCH(ROWS($U$2:U909),$U$2:$U$1001,0),MATCH(COLUMNS($AB$1006:AE1006),$AB$1006:$AQ$1006,0)), HYPERLINK("#",""), HYPERLINK(CONCATENATE("#Metadata!", ADDRESS(INDEX($W$2:$W$1001,MATCH(ROWS($U$2:U909),$U$2:$U$1001,0),0), INDEX($AB$1004:$AQ$1004,1,MATCH(COLUMNS($AB$1006:AE1006),$AB$1006:$AQ$1006,0)))),"Fix")))</f>
        <v>0</v>
      </c>
      <c r="F909" s="5">
        <f>IF(OR(INDEX($V$2:$V$1001,MATCH(ROWS($U$2:U909),$U$2:$U$1001,0),1)&gt;=100000,INDEX($AB$1005:$AQ$1005,1,MATCH(COLUMNS($AB$1006:AF1006),$AB$1006:$AQ$1006,0))&gt;=100000), " ",IF(INDEX($AB$2:$AQ$1001,MATCH(ROWS($U$2:U909),$U$2:$U$1001,0),MATCH(COLUMNS($AB$1006:AF1006),$AB$1006:$AQ$1006,0)), HYPERLINK("#",""), HYPERLINK(CONCATENATE("#Metadata!", ADDRESS(INDEX($W$2:$W$1001,MATCH(ROWS($U$2:U909),$U$2:$U$1001,0),0), INDEX($AB$1004:$AQ$1004,1,MATCH(COLUMNS($AB$1006:AF1006),$AB$1006:$AQ$1006,0)))),"Fix")))</f>
        <v>0</v>
      </c>
      <c r="G909" s="5">
        <f>IF(OR(INDEX($V$2:$V$1001,MATCH(ROWS($U$2:U909),$U$2:$U$1001,0),1)&gt;=100000,INDEX($AB$1005:$AQ$1005,1,MATCH(COLUMNS($AB$1006:AG1006),$AB$1006:$AQ$1006,0))&gt;=100000), " ",IF(INDEX($AB$2:$AQ$1001,MATCH(ROWS($U$2:U909),$U$2:$U$1001,0),MATCH(COLUMNS($AB$1006:AG1006),$AB$1006:$AQ$1006,0)), HYPERLINK("#",""), HYPERLINK(CONCATENATE("#Metadata!", ADDRESS(INDEX($W$2:$W$1001,MATCH(ROWS($U$2:U909),$U$2:$U$1001,0),0), INDEX($AB$1004:$AQ$1004,1,MATCH(COLUMNS($AB$1006:AG1006),$AB$1006:$AQ$1006,0)))),"Fix")))</f>
        <v>0</v>
      </c>
      <c r="H909" s="5">
        <f>IF(OR(INDEX($V$2:$V$1001,MATCH(ROWS($U$2:U909),$U$2:$U$1001,0),1)&gt;=100000,INDEX($AB$1005:$AQ$1005,1,MATCH(COLUMNS($AB$1006:AH1006),$AB$1006:$AQ$1006,0))&gt;=100000), " ",IF(INDEX($AB$2:$AQ$1001,MATCH(ROWS($U$2:U909),$U$2:$U$1001,0),MATCH(COLUMNS($AB$1006:AH1006),$AB$1006:$AQ$1006,0)), HYPERLINK("#",""), HYPERLINK(CONCATENATE("#Metadata!", ADDRESS(INDEX($W$2:$W$1001,MATCH(ROWS($U$2:U909),$U$2:$U$1001,0),0), INDEX($AB$1004:$AQ$1004,1,MATCH(COLUMNS($AB$1006:AH1006),$AB$1006:$AQ$1006,0)))),"Fix")))</f>
        <v>0</v>
      </c>
      <c r="I909" s="5">
        <f>IF(OR(INDEX($V$2:$V$1001,MATCH(ROWS($U$2:U909),$U$2:$U$1001,0),1)&gt;=100000,INDEX($AB$1005:$AQ$1005,1,MATCH(COLUMNS($AB$1006:AI1006),$AB$1006:$AQ$1006,0))&gt;=100000), " ",IF(INDEX($AB$2:$AQ$1001,MATCH(ROWS($U$2:U909),$U$2:$U$1001,0),MATCH(COLUMNS($AB$1006:AI1006),$AB$1006:$AQ$1006,0)), HYPERLINK("#",""), HYPERLINK(CONCATENATE("#Metadata!", ADDRESS(INDEX($W$2:$W$1001,MATCH(ROWS($U$2:U909),$U$2:$U$1001,0),0), INDEX($AB$1004:$AQ$1004,1,MATCH(COLUMNS($AB$1006:AI1006),$AB$1006:$AQ$1006,0)))),"Fix")))</f>
        <v>0</v>
      </c>
      <c r="J909" s="5">
        <f>IF(OR(INDEX($V$2:$V$1001,MATCH(ROWS($U$2:U909),$U$2:$U$1001,0),1)&gt;=100000,INDEX($AB$1005:$AQ$1005,1,MATCH(COLUMNS($AB$1006:AJ1006),$AB$1006:$AQ$1006,0))&gt;=100000), " ",IF(INDEX($AB$2:$AQ$1001,MATCH(ROWS($U$2:U909),$U$2:$U$1001,0),MATCH(COLUMNS($AB$1006:AJ1006),$AB$1006:$AQ$1006,0)), HYPERLINK("#",""), HYPERLINK(CONCATENATE("#Metadata!", ADDRESS(INDEX($W$2:$W$1001,MATCH(ROWS($U$2:U909),$U$2:$U$1001,0),0), INDEX($AB$1004:$AQ$1004,1,MATCH(COLUMNS($AB$1006:AJ1006),$AB$1006:$AQ$1006,0)))),"Fix")))</f>
        <v>0</v>
      </c>
      <c r="K909" s="5">
        <f>IF(OR(INDEX($V$2:$V$1001,MATCH(ROWS($U$2:U909),$U$2:$U$1001,0),1)&gt;=100000,INDEX($AB$1005:$AQ$1005,1,MATCH(COLUMNS($AB$1006:AK1006),$AB$1006:$AQ$1006,0))&gt;=100000), " ",IF(INDEX($AB$2:$AQ$1001,MATCH(ROWS($U$2:U909),$U$2:$U$1001,0),MATCH(COLUMNS($AB$1006:AK1006),$AB$1006:$AQ$1006,0)), HYPERLINK("#",""), HYPERLINK(CONCATENATE("#Metadata!", ADDRESS(INDEX($W$2:$W$1001,MATCH(ROWS($U$2:U909),$U$2:$U$1001,0),0), INDEX($AB$1004:$AQ$1004,1,MATCH(COLUMNS($AB$1006:AK1006),$AB$1006:$AQ$1006,0)))),"Fix")))</f>
        <v>0</v>
      </c>
      <c r="L909" s="5">
        <f>IF(OR(INDEX($V$2:$V$1001,MATCH(ROWS($U$2:U909),$U$2:$U$1001,0),1)&gt;=100000,INDEX($AB$1005:$AQ$1005,1,MATCH(COLUMNS($AB$1006:AL1006),$AB$1006:$AQ$1006,0))&gt;=100000), " ",IF(INDEX($AB$2:$AQ$1001,MATCH(ROWS($U$2:U909),$U$2:$U$1001,0),MATCH(COLUMNS($AB$1006:AL1006),$AB$1006:$AQ$1006,0)), HYPERLINK("#",""), HYPERLINK(CONCATENATE("#Metadata!", ADDRESS(INDEX($W$2:$W$1001,MATCH(ROWS($U$2:U909),$U$2:$U$1001,0),0), INDEX($AB$1004:$AQ$1004,1,MATCH(COLUMNS($AB$1006:AL1006),$AB$1006:$AQ$1006,0)))),"Fix")))</f>
        <v>0</v>
      </c>
      <c r="M909" s="5">
        <f>IF(OR(INDEX($V$2:$V$1001,MATCH(ROWS($U$2:U909),$U$2:$U$1001,0),1)&gt;=100000,INDEX($AB$1005:$AQ$1005,1,MATCH(COLUMNS($AB$1006:AM1006),$AB$1006:$AQ$1006,0))&gt;=100000), " ",IF(INDEX($AB$2:$AQ$1001,MATCH(ROWS($U$2:U909),$U$2:$U$1001,0),MATCH(COLUMNS($AB$1006:AM1006),$AB$1006:$AQ$1006,0)), HYPERLINK("#",""), HYPERLINK(CONCATENATE("#Metadata!", ADDRESS(INDEX($W$2:$W$1001,MATCH(ROWS($U$2:U909),$U$2:$U$1001,0),0), INDEX($AB$1004:$AQ$1004,1,MATCH(COLUMNS($AB$1006:AM1006),$AB$1006:$AQ$1006,0)))),"Fix")))</f>
        <v>0</v>
      </c>
      <c r="N909" s="5">
        <f>IF(OR(INDEX($V$2:$V$1001,MATCH(ROWS($U$2:U909),$U$2:$U$1001,0),1)&gt;=100000,INDEX($AB$1005:$AQ$1005,1,MATCH(COLUMNS($AB$1006:AN1006),$AB$1006:$AQ$1006,0))&gt;=100000), " ",IF(INDEX($AB$2:$AQ$1001,MATCH(ROWS($U$2:U909),$U$2:$U$1001,0),MATCH(COLUMNS($AB$1006:AN1006),$AB$1006:$AQ$1006,0)), HYPERLINK("#",""), HYPERLINK(CONCATENATE("#Metadata!", ADDRESS(INDEX($W$2:$W$1001,MATCH(ROWS($U$2:U909),$U$2:$U$1001,0),0), INDEX($AB$1004:$AQ$1004,1,MATCH(COLUMNS($AB$1006:AN1006),$AB$1006:$AQ$1006,0)))),"Fix")))</f>
        <v>0</v>
      </c>
      <c r="O909" s="5">
        <f>IF(OR(INDEX($V$2:$V$1001,MATCH(ROWS($U$2:U909),$U$2:$U$1001,0),1)&gt;=100000,INDEX($AB$1005:$AQ$1005,1,MATCH(COLUMNS($AB$1006:AO1006),$AB$1006:$AQ$1006,0))&gt;=100000), " ",IF(INDEX($AB$2:$AQ$1001,MATCH(ROWS($U$2:U909),$U$2:$U$1001,0),MATCH(COLUMNS($AB$1006:AO1006),$AB$1006:$AQ$1006,0)), HYPERLINK("#",""), HYPERLINK(CONCATENATE("#Metadata!", ADDRESS(INDEX($W$2:$W$1001,MATCH(ROWS($U$2:U909),$U$2:$U$1001,0),0), INDEX($AB$1004:$AQ$1004,1,MATCH(COLUMNS($AB$1006:AO1006),$AB$1006:$AQ$1006,0)))),"Fix")))</f>
        <v>0</v>
      </c>
      <c r="P909" s="5">
        <f>IF(OR(INDEX($V$2:$V$1001,MATCH(ROWS($U$2:U909),$U$2:$U$1001,0),1)&gt;=100000,INDEX($AB$1005:$AQ$1005,1,MATCH(COLUMNS($AB$1006:AP1006),$AB$1006:$AQ$1006,0))&gt;=100000), " ",IF(INDEX($AB$2:$AQ$1001,MATCH(ROWS($U$2:U909),$U$2:$U$1001,0),MATCH(COLUMNS($AB$1006:AP1006),$AB$1006:$AQ$1006,0)), HYPERLINK("#",""), HYPERLINK(CONCATENATE("#Metadata!", ADDRESS(INDEX($W$2:$W$1001,MATCH(ROWS($U$2:U909),$U$2:$U$1001,0),0), INDEX($AB$1004:$AQ$1004,1,MATCH(COLUMNS($AB$1006:AP1006),$AB$1006:$AQ$1006,0)))),"Fix")))</f>
        <v>0</v>
      </c>
      <c r="Q909" s="5">
        <f>IF(OR(INDEX($V$2:$V$1001,MATCH(ROWS($U$2:U909),$U$2:$U$1001,0),1)&gt;=100000,INDEX($AB$1005:$AQ$1005,1,MATCH(COLUMNS($AB$1006:AQ1006),$AB$1006:$AQ$1006,0))&gt;=100000), " ",IF(INDEX($AB$2:$AQ$1001,MATCH(ROWS($U$2:U909),$U$2:$U$1001,0),MATCH(COLUMNS($AB$1006:AQ1006),$AB$1006:$AQ$1006,0)), HYPERLINK("#",""), HYPERLINK(CONCATENATE("#Metadata!", ADDRESS(INDEX($W$2:$W$1001,MATCH(ROWS($U$2:U909),$U$2:$U$1001,0),0), INDEX($AB$1004:$AQ$1004,1,MATCH(COLUMNS($AB$1006:AQ1006),$AB$1006:$AQ$1006,0)))),"Fix")))</f>
        <v>0</v>
      </c>
      <c r="U909">
        <v>0</v>
      </c>
      <c r="V909">
        <v>0</v>
      </c>
      <c r="W909">
        <v>0</v>
      </c>
      <c r="X909">
        <f>IF(Y909,TRUE,AND(AB909:AQ909))</f>
        <v>0</v>
      </c>
      <c r="Y909">
        <f>COUNTBLANK(Metadata!B909:Q909)=COLUMNS(Metadata!B909:Q909)</f>
        <v>0</v>
      </c>
      <c r="Z909">
        <v>0</v>
      </c>
      <c r="AB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AC909">
        <f>AND(IF(Metadata!C909="",FALSE,TRUE),exact(Metadata!C909,"urban biome"))</f>
        <v>0</v>
      </c>
      <c r="AD909">
        <f>AND(IF(Metadata!D909="",FALSE,TRUE),exact(Metadata!D909,"human-associated habitat"))</f>
        <v>0</v>
      </c>
      <c r="AE909">
        <f>AND(IF(Metadata!E909="",FALSE,TRUE),OR(exact(Metadata!E909,"human-associated"),exact(Metadata!E909,"human-skin"),exact(Metadata!E909,"human-oral"),exact(Metadata!E909,"human-gut"),exact(Metadata!E909,"human-vaginal")))</f>
        <v>0</v>
      </c>
      <c r="AF909">
        <f>AND(IF(Metadata!F909="",FALSE,ISNUMBER(VALUE(Metadata!F909))),Metadata!F909&gt;0)</f>
        <v>0</v>
      </c>
      <c r="AG909">
        <f>AND(IF(Metadata!G909="",FALSE,TRUE),exact(Metadata!G909,"years"))</f>
        <v>0</v>
      </c>
      <c r="AH909">
        <f>OR(AND(IF(Metadata!H909="",FALSE,TRUE),OR(exact(Metadata!H909,"not applicable"),exact(Metadata!H909,"not collected"),exact(Metadata!H909,"not provided"),exact(Metadata!H909,"restricted access"))),AND(IF(Metadata!H909="",FALSE,ISNUMBER(VALUE(Metadata!H909))),Metadata!H909&gt;0))</f>
        <v>0</v>
      </c>
      <c r="AI909">
        <f>AND(IF(Metadata!I909="",FALSE,TRUE),exact(Metadata!I909,"human"))</f>
        <v>0</v>
      </c>
      <c r="AJ909">
        <f>AND(IF(Metadata!J909="",FALSE,ISNUMBER(VALUE(Metadata!J909))),Metadata!J909&gt;0)</f>
        <v>0</v>
      </c>
      <c r="AK909">
        <f>AND(IF(Metadata!K909="",FALSE,TRUE),exact(Metadata!K909,"cm"))</f>
        <v>0</v>
      </c>
      <c r="AL909">
        <f>AND(IF(Metadata!L909="",FALSE,TRUE),exact(Metadata!L909,"Homo sapiens"))</f>
        <v>0</v>
      </c>
      <c r="AM909">
        <f>AND(IF(Metadata!M909="",FALSE,TRUE),exact(Metadata!M909,"9606"))</f>
        <v>0</v>
      </c>
      <c r="AN909">
        <f>AND(IF(Metadata!N909="",FALSE,ISNUMBER(VALUE(Metadata!N909))),Metadata!N909&gt;0)</f>
        <v>0</v>
      </c>
      <c r="AO909">
        <f>AND(IF(Metadata!O909="",FALSE,TRUE),exact(Metadata!O909,"kg"))</f>
        <v>0</v>
      </c>
      <c r="AP909">
        <f>OR(AND(IF(Metadata!P909="",FALSE,TRUE),exact(Metadata!P909,"not provided")),IF(Metadata!P909="",FALSE,TRUE))</f>
        <v>0</v>
      </c>
      <c r="AQ909">
        <f>OR(AND(IF(Metadata!Q909="",FALSE,TRUE),exact(Metadata!Q909,"not provided")),IF(Metadata!Q909="",FALSE,TRUE))</f>
        <v>0</v>
      </c>
    </row>
    <row r="910" spans="1:43">
      <c r="A910" s="4">
        <f>IF(B910=" "," ",HYPERLINK(CONCATENATE("#metadata!",ADDRESS(INDEX($W$2:$W$1001,MATCH(ROWS($U$2:U910),$U$2:$U$1001,0),0),2)),INDEX($Z$2:$Z$1001,MATCH(ROWS($U$2:U910),$U$2:$U$1001,0),0)))</f>
        <v>0</v>
      </c>
      <c r="B910" s="5">
        <f>IF(OR(INDEX($V$2:$V$1001,MATCH(ROWS($U$2:U910),$U$2:$U$1001,0),1)&gt;=100000,INDEX($AB$1005:$AQ$1005,1,MATCH(COLUMNS($AB$1006:AB1006),$AB$1006:$AQ$1006,0))&gt;=100000), " ",IF(INDEX($AB$2:$AQ$1001,MATCH(ROWS($U$2:U910),$U$2:$U$1001,0),MATCH(COLUMNS($AB$1006:AB1006),$AB$1006:$AQ$1006,0)), HYPERLINK("#",""), HYPERLINK(CONCATENATE("#Metadata!", ADDRESS(INDEX($W$2:$W$1001,MATCH(ROWS($U$2:U910),$U$2:$U$1001,0),0), INDEX($AB$1004:$AQ$1004,1,MATCH(COLUMNS($AB$1006:AB1006),$AB$1006:$AQ$1006,0)))),"Fix")))</f>
        <v>0</v>
      </c>
      <c r="C910" s="5">
        <f>IF(OR(INDEX($V$2:$V$1001,MATCH(ROWS($U$2:U910),$U$2:$U$1001,0),1)&gt;=100000,INDEX($AB$1005:$AQ$1005,1,MATCH(COLUMNS($AB$1006:AC1006),$AB$1006:$AQ$1006,0))&gt;=100000), " ",IF(INDEX($AB$2:$AQ$1001,MATCH(ROWS($U$2:U910),$U$2:$U$1001,0),MATCH(COLUMNS($AB$1006:AC1006),$AB$1006:$AQ$1006,0)), HYPERLINK("#",""), HYPERLINK(CONCATENATE("#Metadata!", ADDRESS(INDEX($W$2:$W$1001,MATCH(ROWS($U$2:U910),$U$2:$U$1001,0),0), INDEX($AB$1004:$AQ$1004,1,MATCH(COLUMNS($AB$1006:AC1006),$AB$1006:$AQ$1006,0)))),"Fix")))</f>
        <v>0</v>
      </c>
      <c r="D910" s="5">
        <f>IF(OR(INDEX($V$2:$V$1001,MATCH(ROWS($U$2:U910),$U$2:$U$1001,0),1)&gt;=100000,INDEX($AB$1005:$AQ$1005,1,MATCH(COLUMNS($AB$1006:AD1006),$AB$1006:$AQ$1006,0))&gt;=100000), " ",IF(INDEX($AB$2:$AQ$1001,MATCH(ROWS($U$2:U910),$U$2:$U$1001,0),MATCH(COLUMNS($AB$1006:AD1006),$AB$1006:$AQ$1006,0)), HYPERLINK("#",""), HYPERLINK(CONCATENATE("#Metadata!", ADDRESS(INDEX($W$2:$W$1001,MATCH(ROWS($U$2:U910),$U$2:$U$1001,0),0), INDEX($AB$1004:$AQ$1004,1,MATCH(COLUMNS($AB$1006:AD1006),$AB$1006:$AQ$1006,0)))),"Fix")))</f>
        <v>0</v>
      </c>
      <c r="E910" s="5">
        <f>IF(OR(INDEX($V$2:$V$1001,MATCH(ROWS($U$2:U910),$U$2:$U$1001,0),1)&gt;=100000,INDEX($AB$1005:$AQ$1005,1,MATCH(COLUMNS($AB$1006:AE1006),$AB$1006:$AQ$1006,0))&gt;=100000), " ",IF(INDEX($AB$2:$AQ$1001,MATCH(ROWS($U$2:U910),$U$2:$U$1001,0),MATCH(COLUMNS($AB$1006:AE1006),$AB$1006:$AQ$1006,0)), HYPERLINK("#",""), HYPERLINK(CONCATENATE("#Metadata!", ADDRESS(INDEX($W$2:$W$1001,MATCH(ROWS($U$2:U910),$U$2:$U$1001,0),0), INDEX($AB$1004:$AQ$1004,1,MATCH(COLUMNS($AB$1006:AE1006),$AB$1006:$AQ$1006,0)))),"Fix")))</f>
        <v>0</v>
      </c>
      <c r="F910" s="5">
        <f>IF(OR(INDEX($V$2:$V$1001,MATCH(ROWS($U$2:U910),$U$2:$U$1001,0),1)&gt;=100000,INDEX($AB$1005:$AQ$1005,1,MATCH(COLUMNS($AB$1006:AF1006),$AB$1006:$AQ$1006,0))&gt;=100000), " ",IF(INDEX($AB$2:$AQ$1001,MATCH(ROWS($U$2:U910),$U$2:$U$1001,0),MATCH(COLUMNS($AB$1006:AF1006),$AB$1006:$AQ$1006,0)), HYPERLINK("#",""), HYPERLINK(CONCATENATE("#Metadata!", ADDRESS(INDEX($W$2:$W$1001,MATCH(ROWS($U$2:U910),$U$2:$U$1001,0),0), INDEX($AB$1004:$AQ$1004,1,MATCH(COLUMNS($AB$1006:AF1006),$AB$1006:$AQ$1006,0)))),"Fix")))</f>
        <v>0</v>
      </c>
      <c r="G910" s="5">
        <f>IF(OR(INDEX($V$2:$V$1001,MATCH(ROWS($U$2:U910),$U$2:$U$1001,0),1)&gt;=100000,INDEX($AB$1005:$AQ$1005,1,MATCH(COLUMNS($AB$1006:AG1006),$AB$1006:$AQ$1006,0))&gt;=100000), " ",IF(INDEX($AB$2:$AQ$1001,MATCH(ROWS($U$2:U910),$U$2:$U$1001,0),MATCH(COLUMNS($AB$1006:AG1006),$AB$1006:$AQ$1006,0)), HYPERLINK("#",""), HYPERLINK(CONCATENATE("#Metadata!", ADDRESS(INDEX($W$2:$W$1001,MATCH(ROWS($U$2:U910),$U$2:$U$1001,0),0), INDEX($AB$1004:$AQ$1004,1,MATCH(COLUMNS($AB$1006:AG1006),$AB$1006:$AQ$1006,0)))),"Fix")))</f>
        <v>0</v>
      </c>
      <c r="H910" s="5">
        <f>IF(OR(INDEX($V$2:$V$1001,MATCH(ROWS($U$2:U910),$U$2:$U$1001,0),1)&gt;=100000,INDEX($AB$1005:$AQ$1005,1,MATCH(COLUMNS($AB$1006:AH1006),$AB$1006:$AQ$1006,0))&gt;=100000), " ",IF(INDEX($AB$2:$AQ$1001,MATCH(ROWS($U$2:U910),$U$2:$U$1001,0),MATCH(COLUMNS($AB$1006:AH1006),$AB$1006:$AQ$1006,0)), HYPERLINK("#",""), HYPERLINK(CONCATENATE("#Metadata!", ADDRESS(INDEX($W$2:$W$1001,MATCH(ROWS($U$2:U910),$U$2:$U$1001,0),0), INDEX($AB$1004:$AQ$1004,1,MATCH(COLUMNS($AB$1006:AH1006),$AB$1006:$AQ$1006,0)))),"Fix")))</f>
        <v>0</v>
      </c>
      <c r="I910" s="5">
        <f>IF(OR(INDEX($V$2:$V$1001,MATCH(ROWS($U$2:U910),$U$2:$U$1001,0),1)&gt;=100000,INDEX($AB$1005:$AQ$1005,1,MATCH(COLUMNS($AB$1006:AI1006),$AB$1006:$AQ$1006,0))&gt;=100000), " ",IF(INDEX($AB$2:$AQ$1001,MATCH(ROWS($U$2:U910),$U$2:$U$1001,0),MATCH(COLUMNS($AB$1006:AI1006),$AB$1006:$AQ$1006,0)), HYPERLINK("#",""), HYPERLINK(CONCATENATE("#Metadata!", ADDRESS(INDEX($W$2:$W$1001,MATCH(ROWS($U$2:U910),$U$2:$U$1001,0),0), INDEX($AB$1004:$AQ$1004,1,MATCH(COLUMNS($AB$1006:AI1006),$AB$1006:$AQ$1006,0)))),"Fix")))</f>
        <v>0</v>
      </c>
      <c r="J910" s="5">
        <f>IF(OR(INDEX($V$2:$V$1001,MATCH(ROWS($U$2:U910),$U$2:$U$1001,0),1)&gt;=100000,INDEX($AB$1005:$AQ$1005,1,MATCH(COLUMNS($AB$1006:AJ1006),$AB$1006:$AQ$1006,0))&gt;=100000), " ",IF(INDEX($AB$2:$AQ$1001,MATCH(ROWS($U$2:U910),$U$2:$U$1001,0),MATCH(COLUMNS($AB$1006:AJ1006),$AB$1006:$AQ$1006,0)), HYPERLINK("#",""), HYPERLINK(CONCATENATE("#Metadata!", ADDRESS(INDEX($W$2:$W$1001,MATCH(ROWS($U$2:U910),$U$2:$U$1001,0),0), INDEX($AB$1004:$AQ$1004,1,MATCH(COLUMNS($AB$1006:AJ1006),$AB$1006:$AQ$1006,0)))),"Fix")))</f>
        <v>0</v>
      </c>
      <c r="K910" s="5">
        <f>IF(OR(INDEX($V$2:$V$1001,MATCH(ROWS($U$2:U910),$U$2:$U$1001,0),1)&gt;=100000,INDEX($AB$1005:$AQ$1005,1,MATCH(COLUMNS($AB$1006:AK1006),$AB$1006:$AQ$1006,0))&gt;=100000), " ",IF(INDEX($AB$2:$AQ$1001,MATCH(ROWS($U$2:U910),$U$2:$U$1001,0),MATCH(COLUMNS($AB$1006:AK1006),$AB$1006:$AQ$1006,0)), HYPERLINK("#",""), HYPERLINK(CONCATENATE("#Metadata!", ADDRESS(INDEX($W$2:$W$1001,MATCH(ROWS($U$2:U910),$U$2:$U$1001,0),0), INDEX($AB$1004:$AQ$1004,1,MATCH(COLUMNS($AB$1006:AK1006),$AB$1006:$AQ$1006,0)))),"Fix")))</f>
        <v>0</v>
      </c>
      <c r="L910" s="5">
        <f>IF(OR(INDEX($V$2:$V$1001,MATCH(ROWS($U$2:U910),$U$2:$U$1001,0),1)&gt;=100000,INDEX($AB$1005:$AQ$1005,1,MATCH(COLUMNS($AB$1006:AL1006),$AB$1006:$AQ$1006,0))&gt;=100000), " ",IF(INDEX($AB$2:$AQ$1001,MATCH(ROWS($U$2:U910),$U$2:$U$1001,0),MATCH(COLUMNS($AB$1006:AL1006),$AB$1006:$AQ$1006,0)), HYPERLINK("#",""), HYPERLINK(CONCATENATE("#Metadata!", ADDRESS(INDEX($W$2:$W$1001,MATCH(ROWS($U$2:U910),$U$2:$U$1001,0),0), INDEX($AB$1004:$AQ$1004,1,MATCH(COLUMNS($AB$1006:AL1006),$AB$1006:$AQ$1006,0)))),"Fix")))</f>
        <v>0</v>
      </c>
      <c r="M910" s="5">
        <f>IF(OR(INDEX($V$2:$V$1001,MATCH(ROWS($U$2:U910),$U$2:$U$1001,0),1)&gt;=100000,INDEX($AB$1005:$AQ$1005,1,MATCH(COLUMNS($AB$1006:AM1006),$AB$1006:$AQ$1006,0))&gt;=100000), " ",IF(INDEX($AB$2:$AQ$1001,MATCH(ROWS($U$2:U910),$U$2:$U$1001,0),MATCH(COLUMNS($AB$1006:AM1006),$AB$1006:$AQ$1006,0)), HYPERLINK("#",""), HYPERLINK(CONCATENATE("#Metadata!", ADDRESS(INDEX($W$2:$W$1001,MATCH(ROWS($U$2:U910),$U$2:$U$1001,0),0), INDEX($AB$1004:$AQ$1004,1,MATCH(COLUMNS($AB$1006:AM1006),$AB$1006:$AQ$1006,0)))),"Fix")))</f>
        <v>0</v>
      </c>
      <c r="N910" s="5">
        <f>IF(OR(INDEX($V$2:$V$1001,MATCH(ROWS($U$2:U910),$U$2:$U$1001,0),1)&gt;=100000,INDEX($AB$1005:$AQ$1005,1,MATCH(COLUMNS($AB$1006:AN1006),$AB$1006:$AQ$1006,0))&gt;=100000), " ",IF(INDEX($AB$2:$AQ$1001,MATCH(ROWS($U$2:U910),$U$2:$U$1001,0),MATCH(COLUMNS($AB$1006:AN1006),$AB$1006:$AQ$1006,0)), HYPERLINK("#",""), HYPERLINK(CONCATENATE("#Metadata!", ADDRESS(INDEX($W$2:$W$1001,MATCH(ROWS($U$2:U910),$U$2:$U$1001,0),0), INDEX($AB$1004:$AQ$1004,1,MATCH(COLUMNS($AB$1006:AN1006),$AB$1006:$AQ$1006,0)))),"Fix")))</f>
        <v>0</v>
      </c>
      <c r="O910" s="5">
        <f>IF(OR(INDEX($V$2:$V$1001,MATCH(ROWS($U$2:U910),$U$2:$U$1001,0),1)&gt;=100000,INDEX($AB$1005:$AQ$1005,1,MATCH(COLUMNS($AB$1006:AO1006),$AB$1006:$AQ$1006,0))&gt;=100000), " ",IF(INDEX($AB$2:$AQ$1001,MATCH(ROWS($U$2:U910),$U$2:$U$1001,0),MATCH(COLUMNS($AB$1006:AO1006),$AB$1006:$AQ$1006,0)), HYPERLINK("#",""), HYPERLINK(CONCATENATE("#Metadata!", ADDRESS(INDEX($W$2:$W$1001,MATCH(ROWS($U$2:U910),$U$2:$U$1001,0),0), INDEX($AB$1004:$AQ$1004,1,MATCH(COLUMNS($AB$1006:AO1006),$AB$1006:$AQ$1006,0)))),"Fix")))</f>
        <v>0</v>
      </c>
      <c r="P910" s="5">
        <f>IF(OR(INDEX($V$2:$V$1001,MATCH(ROWS($U$2:U910),$U$2:$U$1001,0),1)&gt;=100000,INDEX($AB$1005:$AQ$1005,1,MATCH(COLUMNS($AB$1006:AP1006),$AB$1006:$AQ$1006,0))&gt;=100000), " ",IF(INDEX($AB$2:$AQ$1001,MATCH(ROWS($U$2:U910),$U$2:$U$1001,0),MATCH(COLUMNS($AB$1006:AP1006),$AB$1006:$AQ$1006,0)), HYPERLINK("#",""), HYPERLINK(CONCATENATE("#Metadata!", ADDRESS(INDEX($W$2:$W$1001,MATCH(ROWS($U$2:U910),$U$2:$U$1001,0),0), INDEX($AB$1004:$AQ$1004,1,MATCH(COLUMNS($AB$1006:AP1006),$AB$1006:$AQ$1006,0)))),"Fix")))</f>
        <v>0</v>
      </c>
      <c r="Q910" s="5">
        <f>IF(OR(INDEX($V$2:$V$1001,MATCH(ROWS($U$2:U910),$U$2:$U$1001,0),1)&gt;=100000,INDEX($AB$1005:$AQ$1005,1,MATCH(COLUMNS($AB$1006:AQ1006),$AB$1006:$AQ$1006,0))&gt;=100000), " ",IF(INDEX($AB$2:$AQ$1001,MATCH(ROWS($U$2:U910),$U$2:$U$1001,0),MATCH(COLUMNS($AB$1006:AQ1006),$AB$1006:$AQ$1006,0)), HYPERLINK("#",""), HYPERLINK(CONCATENATE("#Metadata!", ADDRESS(INDEX($W$2:$W$1001,MATCH(ROWS($U$2:U910),$U$2:$U$1001,0),0), INDEX($AB$1004:$AQ$1004,1,MATCH(COLUMNS($AB$1006:AQ1006),$AB$1006:$AQ$1006,0)))),"Fix")))</f>
        <v>0</v>
      </c>
      <c r="U910">
        <v>0</v>
      </c>
      <c r="V910">
        <v>0</v>
      </c>
      <c r="W910">
        <v>0</v>
      </c>
      <c r="X910">
        <f>IF(Y910,TRUE,AND(AB910:AQ910))</f>
        <v>0</v>
      </c>
      <c r="Y910">
        <f>COUNTBLANK(Metadata!B910:Q910)=COLUMNS(Metadata!B910:Q910)</f>
        <v>0</v>
      </c>
      <c r="Z910">
        <v>0</v>
      </c>
      <c r="AB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AC910">
        <f>AND(IF(Metadata!C910="",FALSE,TRUE),exact(Metadata!C910,"urban biome"))</f>
        <v>0</v>
      </c>
      <c r="AD910">
        <f>AND(IF(Metadata!D910="",FALSE,TRUE),exact(Metadata!D910,"human-associated habitat"))</f>
        <v>0</v>
      </c>
      <c r="AE910">
        <f>AND(IF(Metadata!E910="",FALSE,TRUE),OR(exact(Metadata!E910,"human-associated"),exact(Metadata!E910,"human-skin"),exact(Metadata!E910,"human-oral"),exact(Metadata!E910,"human-gut"),exact(Metadata!E910,"human-vaginal")))</f>
        <v>0</v>
      </c>
      <c r="AF910">
        <f>AND(IF(Metadata!F910="",FALSE,ISNUMBER(VALUE(Metadata!F910))),Metadata!F910&gt;0)</f>
        <v>0</v>
      </c>
      <c r="AG910">
        <f>AND(IF(Metadata!G910="",FALSE,TRUE),exact(Metadata!G910,"years"))</f>
        <v>0</v>
      </c>
      <c r="AH910">
        <f>OR(AND(IF(Metadata!H910="",FALSE,TRUE),OR(exact(Metadata!H910,"not applicable"),exact(Metadata!H910,"not collected"),exact(Metadata!H910,"not provided"),exact(Metadata!H910,"restricted access"))),AND(IF(Metadata!H910="",FALSE,ISNUMBER(VALUE(Metadata!H910))),Metadata!H910&gt;0))</f>
        <v>0</v>
      </c>
      <c r="AI910">
        <f>AND(IF(Metadata!I910="",FALSE,TRUE),exact(Metadata!I910,"human"))</f>
        <v>0</v>
      </c>
      <c r="AJ910">
        <f>AND(IF(Metadata!J910="",FALSE,ISNUMBER(VALUE(Metadata!J910))),Metadata!J910&gt;0)</f>
        <v>0</v>
      </c>
      <c r="AK910">
        <f>AND(IF(Metadata!K910="",FALSE,TRUE),exact(Metadata!K910,"cm"))</f>
        <v>0</v>
      </c>
      <c r="AL910">
        <f>AND(IF(Metadata!L910="",FALSE,TRUE),exact(Metadata!L910,"Homo sapiens"))</f>
        <v>0</v>
      </c>
      <c r="AM910">
        <f>AND(IF(Metadata!M910="",FALSE,TRUE),exact(Metadata!M910,"9606"))</f>
        <v>0</v>
      </c>
      <c r="AN910">
        <f>AND(IF(Metadata!N910="",FALSE,ISNUMBER(VALUE(Metadata!N910))),Metadata!N910&gt;0)</f>
        <v>0</v>
      </c>
      <c r="AO910">
        <f>AND(IF(Metadata!O910="",FALSE,TRUE),exact(Metadata!O910,"kg"))</f>
        <v>0</v>
      </c>
      <c r="AP910">
        <f>OR(AND(IF(Metadata!P910="",FALSE,TRUE),exact(Metadata!P910,"not provided")),IF(Metadata!P910="",FALSE,TRUE))</f>
        <v>0</v>
      </c>
      <c r="AQ910">
        <f>OR(AND(IF(Metadata!Q910="",FALSE,TRUE),exact(Metadata!Q910,"not provided")),IF(Metadata!Q910="",FALSE,TRUE))</f>
        <v>0</v>
      </c>
    </row>
    <row r="911" spans="1:43">
      <c r="A911" s="4">
        <f>IF(B911=" "," ",HYPERLINK(CONCATENATE("#metadata!",ADDRESS(INDEX($W$2:$W$1001,MATCH(ROWS($U$2:U911),$U$2:$U$1001,0),0),2)),INDEX($Z$2:$Z$1001,MATCH(ROWS($U$2:U911),$U$2:$U$1001,0),0)))</f>
        <v>0</v>
      </c>
      <c r="B911" s="5">
        <f>IF(OR(INDEX($V$2:$V$1001,MATCH(ROWS($U$2:U911),$U$2:$U$1001,0),1)&gt;=100000,INDEX($AB$1005:$AQ$1005,1,MATCH(COLUMNS($AB$1006:AB1006),$AB$1006:$AQ$1006,0))&gt;=100000), " ",IF(INDEX($AB$2:$AQ$1001,MATCH(ROWS($U$2:U911),$U$2:$U$1001,0),MATCH(COLUMNS($AB$1006:AB1006),$AB$1006:$AQ$1006,0)), HYPERLINK("#",""), HYPERLINK(CONCATENATE("#Metadata!", ADDRESS(INDEX($W$2:$W$1001,MATCH(ROWS($U$2:U911),$U$2:$U$1001,0),0), INDEX($AB$1004:$AQ$1004,1,MATCH(COLUMNS($AB$1006:AB1006),$AB$1006:$AQ$1006,0)))),"Fix")))</f>
        <v>0</v>
      </c>
      <c r="C911" s="5">
        <f>IF(OR(INDEX($V$2:$V$1001,MATCH(ROWS($U$2:U911),$U$2:$U$1001,0),1)&gt;=100000,INDEX($AB$1005:$AQ$1005,1,MATCH(COLUMNS($AB$1006:AC1006),$AB$1006:$AQ$1006,0))&gt;=100000), " ",IF(INDEX($AB$2:$AQ$1001,MATCH(ROWS($U$2:U911),$U$2:$U$1001,0),MATCH(COLUMNS($AB$1006:AC1006),$AB$1006:$AQ$1006,0)), HYPERLINK("#",""), HYPERLINK(CONCATENATE("#Metadata!", ADDRESS(INDEX($W$2:$W$1001,MATCH(ROWS($U$2:U911),$U$2:$U$1001,0),0), INDEX($AB$1004:$AQ$1004,1,MATCH(COLUMNS($AB$1006:AC1006),$AB$1006:$AQ$1006,0)))),"Fix")))</f>
        <v>0</v>
      </c>
      <c r="D911" s="5">
        <f>IF(OR(INDEX($V$2:$V$1001,MATCH(ROWS($U$2:U911),$U$2:$U$1001,0),1)&gt;=100000,INDEX($AB$1005:$AQ$1005,1,MATCH(COLUMNS($AB$1006:AD1006),$AB$1006:$AQ$1006,0))&gt;=100000), " ",IF(INDEX($AB$2:$AQ$1001,MATCH(ROWS($U$2:U911),$U$2:$U$1001,0),MATCH(COLUMNS($AB$1006:AD1006),$AB$1006:$AQ$1006,0)), HYPERLINK("#",""), HYPERLINK(CONCATENATE("#Metadata!", ADDRESS(INDEX($W$2:$W$1001,MATCH(ROWS($U$2:U911),$U$2:$U$1001,0),0), INDEX($AB$1004:$AQ$1004,1,MATCH(COLUMNS($AB$1006:AD1006),$AB$1006:$AQ$1006,0)))),"Fix")))</f>
        <v>0</v>
      </c>
      <c r="E911" s="5">
        <f>IF(OR(INDEX($V$2:$V$1001,MATCH(ROWS($U$2:U911),$U$2:$U$1001,0),1)&gt;=100000,INDEX($AB$1005:$AQ$1005,1,MATCH(COLUMNS($AB$1006:AE1006),$AB$1006:$AQ$1006,0))&gt;=100000), " ",IF(INDEX($AB$2:$AQ$1001,MATCH(ROWS($U$2:U911),$U$2:$U$1001,0),MATCH(COLUMNS($AB$1006:AE1006),$AB$1006:$AQ$1006,0)), HYPERLINK("#",""), HYPERLINK(CONCATENATE("#Metadata!", ADDRESS(INDEX($W$2:$W$1001,MATCH(ROWS($U$2:U911),$U$2:$U$1001,0),0), INDEX($AB$1004:$AQ$1004,1,MATCH(COLUMNS($AB$1006:AE1006),$AB$1006:$AQ$1006,0)))),"Fix")))</f>
        <v>0</v>
      </c>
      <c r="F911" s="5">
        <f>IF(OR(INDEX($V$2:$V$1001,MATCH(ROWS($U$2:U911),$U$2:$U$1001,0),1)&gt;=100000,INDEX($AB$1005:$AQ$1005,1,MATCH(COLUMNS($AB$1006:AF1006),$AB$1006:$AQ$1006,0))&gt;=100000), " ",IF(INDEX($AB$2:$AQ$1001,MATCH(ROWS($U$2:U911),$U$2:$U$1001,0),MATCH(COLUMNS($AB$1006:AF1006),$AB$1006:$AQ$1006,0)), HYPERLINK("#",""), HYPERLINK(CONCATENATE("#Metadata!", ADDRESS(INDEX($W$2:$W$1001,MATCH(ROWS($U$2:U911),$U$2:$U$1001,0),0), INDEX($AB$1004:$AQ$1004,1,MATCH(COLUMNS($AB$1006:AF1006),$AB$1006:$AQ$1006,0)))),"Fix")))</f>
        <v>0</v>
      </c>
      <c r="G911" s="5">
        <f>IF(OR(INDEX($V$2:$V$1001,MATCH(ROWS($U$2:U911),$U$2:$U$1001,0),1)&gt;=100000,INDEX($AB$1005:$AQ$1005,1,MATCH(COLUMNS($AB$1006:AG1006),$AB$1006:$AQ$1006,0))&gt;=100000), " ",IF(INDEX($AB$2:$AQ$1001,MATCH(ROWS($U$2:U911),$U$2:$U$1001,0),MATCH(COLUMNS($AB$1006:AG1006),$AB$1006:$AQ$1006,0)), HYPERLINK("#",""), HYPERLINK(CONCATENATE("#Metadata!", ADDRESS(INDEX($W$2:$W$1001,MATCH(ROWS($U$2:U911),$U$2:$U$1001,0),0), INDEX($AB$1004:$AQ$1004,1,MATCH(COLUMNS($AB$1006:AG1006),$AB$1006:$AQ$1006,0)))),"Fix")))</f>
        <v>0</v>
      </c>
      <c r="H911" s="5">
        <f>IF(OR(INDEX($V$2:$V$1001,MATCH(ROWS($U$2:U911),$U$2:$U$1001,0),1)&gt;=100000,INDEX($AB$1005:$AQ$1005,1,MATCH(COLUMNS($AB$1006:AH1006),$AB$1006:$AQ$1006,0))&gt;=100000), " ",IF(INDEX($AB$2:$AQ$1001,MATCH(ROWS($U$2:U911),$U$2:$U$1001,0),MATCH(COLUMNS($AB$1006:AH1006),$AB$1006:$AQ$1006,0)), HYPERLINK("#",""), HYPERLINK(CONCATENATE("#Metadata!", ADDRESS(INDEX($W$2:$W$1001,MATCH(ROWS($U$2:U911),$U$2:$U$1001,0),0), INDEX($AB$1004:$AQ$1004,1,MATCH(COLUMNS($AB$1006:AH1006),$AB$1006:$AQ$1006,0)))),"Fix")))</f>
        <v>0</v>
      </c>
      <c r="I911" s="5">
        <f>IF(OR(INDEX($V$2:$V$1001,MATCH(ROWS($U$2:U911),$U$2:$U$1001,0),1)&gt;=100000,INDEX($AB$1005:$AQ$1005,1,MATCH(COLUMNS($AB$1006:AI1006),$AB$1006:$AQ$1006,0))&gt;=100000), " ",IF(INDEX($AB$2:$AQ$1001,MATCH(ROWS($U$2:U911),$U$2:$U$1001,0),MATCH(COLUMNS($AB$1006:AI1006),$AB$1006:$AQ$1006,0)), HYPERLINK("#",""), HYPERLINK(CONCATENATE("#Metadata!", ADDRESS(INDEX($W$2:$W$1001,MATCH(ROWS($U$2:U911),$U$2:$U$1001,0),0), INDEX($AB$1004:$AQ$1004,1,MATCH(COLUMNS($AB$1006:AI1006),$AB$1006:$AQ$1006,0)))),"Fix")))</f>
        <v>0</v>
      </c>
      <c r="J911" s="5">
        <f>IF(OR(INDEX($V$2:$V$1001,MATCH(ROWS($U$2:U911),$U$2:$U$1001,0),1)&gt;=100000,INDEX($AB$1005:$AQ$1005,1,MATCH(COLUMNS($AB$1006:AJ1006),$AB$1006:$AQ$1006,0))&gt;=100000), " ",IF(INDEX($AB$2:$AQ$1001,MATCH(ROWS($U$2:U911),$U$2:$U$1001,0),MATCH(COLUMNS($AB$1006:AJ1006),$AB$1006:$AQ$1006,0)), HYPERLINK("#",""), HYPERLINK(CONCATENATE("#Metadata!", ADDRESS(INDEX($W$2:$W$1001,MATCH(ROWS($U$2:U911),$U$2:$U$1001,0),0), INDEX($AB$1004:$AQ$1004,1,MATCH(COLUMNS($AB$1006:AJ1006),$AB$1006:$AQ$1006,0)))),"Fix")))</f>
        <v>0</v>
      </c>
      <c r="K911" s="5">
        <f>IF(OR(INDEX($V$2:$V$1001,MATCH(ROWS($U$2:U911),$U$2:$U$1001,0),1)&gt;=100000,INDEX($AB$1005:$AQ$1005,1,MATCH(COLUMNS($AB$1006:AK1006),$AB$1006:$AQ$1006,0))&gt;=100000), " ",IF(INDEX($AB$2:$AQ$1001,MATCH(ROWS($U$2:U911),$U$2:$U$1001,0),MATCH(COLUMNS($AB$1006:AK1006),$AB$1006:$AQ$1006,0)), HYPERLINK("#",""), HYPERLINK(CONCATENATE("#Metadata!", ADDRESS(INDEX($W$2:$W$1001,MATCH(ROWS($U$2:U911),$U$2:$U$1001,0),0), INDEX($AB$1004:$AQ$1004,1,MATCH(COLUMNS($AB$1006:AK1006),$AB$1006:$AQ$1006,0)))),"Fix")))</f>
        <v>0</v>
      </c>
      <c r="L911" s="5">
        <f>IF(OR(INDEX($V$2:$V$1001,MATCH(ROWS($U$2:U911),$U$2:$U$1001,0),1)&gt;=100000,INDEX($AB$1005:$AQ$1005,1,MATCH(COLUMNS($AB$1006:AL1006),$AB$1006:$AQ$1006,0))&gt;=100000), " ",IF(INDEX($AB$2:$AQ$1001,MATCH(ROWS($U$2:U911),$U$2:$U$1001,0),MATCH(COLUMNS($AB$1006:AL1006),$AB$1006:$AQ$1006,0)), HYPERLINK("#",""), HYPERLINK(CONCATENATE("#Metadata!", ADDRESS(INDEX($W$2:$W$1001,MATCH(ROWS($U$2:U911),$U$2:$U$1001,0),0), INDEX($AB$1004:$AQ$1004,1,MATCH(COLUMNS($AB$1006:AL1006),$AB$1006:$AQ$1006,0)))),"Fix")))</f>
        <v>0</v>
      </c>
      <c r="M911" s="5">
        <f>IF(OR(INDEX($V$2:$V$1001,MATCH(ROWS($U$2:U911),$U$2:$U$1001,0),1)&gt;=100000,INDEX($AB$1005:$AQ$1005,1,MATCH(COLUMNS($AB$1006:AM1006),$AB$1006:$AQ$1006,0))&gt;=100000), " ",IF(INDEX($AB$2:$AQ$1001,MATCH(ROWS($U$2:U911),$U$2:$U$1001,0),MATCH(COLUMNS($AB$1006:AM1006),$AB$1006:$AQ$1006,0)), HYPERLINK("#",""), HYPERLINK(CONCATENATE("#Metadata!", ADDRESS(INDEX($W$2:$W$1001,MATCH(ROWS($U$2:U911),$U$2:$U$1001,0),0), INDEX($AB$1004:$AQ$1004,1,MATCH(COLUMNS($AB$1006:AM1006),$AB$1006:$AQ$1006,0)))),"Fix")))</f>
        <v>0</v>
      </c>
      <c r="N911" s="5">
        <f>IF(OR(INDEX($V$2:$V$1001,MATCH(ROWS($U$2:U911),$U$2:$U$1001,0),1)&gt;=100000,INDEX($AB$1005:$AQ$1005,1,MATCH(COLUMNS($AB$1006:AN1006),$AB$1006:$AQ$1006,0))&gt;=100000), " ",IF(INDEX($AB$2:$AQ$1001,MATCH(ROWS($U$2:U911),$U$2:$U$1001,0),MATCH(COLUMNS($AB$1006:AN1006),$AB$1006:$AQ$1006,0)), HYPERLINK("#",""), HYPERLINK(CONCATENATE("#Metadata!", ADDRESS(INDEX($W$2:$W$1001,MATCH(ROWS($U$2:U911),$U$2:$U$1001,0),0), INDEX($AB$1004:$AQ$1004,1,MATCH(COLUMNS($AB$1006:AN1006),$AB$1006:$AQ$1006,0)))),"Fix")))</f>
        <v>0</v>
      </c>
      <c r="O911" s="5">
        <f>IF(OR(INDEX($V$2:$V$1001,MATCH(ROWS($U$2:U911),$U$2:$U$1001,0),1)&gt;=100000,INDEX($AB$1005:$AQ$1005,1,MATCH(COLUMNS($AB$1006:AO1006),$AB$1006:$AQ$1006,0))&gt;=100000), " ",IF(INDEX($AB$2:$AQ$1001,MATCH(ROWS($U$2:U911),$U$2:$U$1001,0),MATCH(COLUMNS($AB$1006:AO1006),$AB$1006:$AQ$1006,0)), HYPERLINK("#",""), HYPERLINK(CONCATENATE("#Metadata!", ADDRESS(INDEX($W$2:$W$1001,MATCH(ROWS($U$2:U911),$U$2:$U$1001,0),0), INDEX($AB$1004:$AQ$1004,1,MATCH(COLUMNS($AB$1006:AO1006),$AB$1006:$AQ$1006,0)))),"Fix")))</f>
        <v>0</v>
      </c>
      <c r="P911" s="5">
        <f>IF(OR(INDEX($V$2:$V$1001,MATCH(ROWS($U$2:U911),$U$2:$U$1001,0),1)&gt;=100000,INDEX($AB$1005:$AQ$1005,1,MATCH(COLUMNS($AB$1006:AP1006),$AB$1006:$AQ$1006,0))&gt;=100000), " ",IF(INDEX($AB$2:$AQ$1001,MATCH(ROWS($U$2:U911),$U$2:$U$1001,0),MATCH(COLUMNS($AB$1006:AP1006),$AB$1006:$AQ$1006,0)), HYPERLINK("#",""), HYPERLINK(CONCATENATE("#Metadata!", ADDRESS(INDEX($W$2:$W$1001,MATCH(ROWS($U$2:U911),$U$2:$U$1001,0),0), INDEX($AB$1004:$AQ$1004,1,MATCH(COLUMNS($AB$1006:AP1006),$AB$1006:$AQ$1006,0)))),"Fix")))</f>
        <v>0</v>
      </c>
      <c r="Q911" s="5">
        <f>IF(OR(INDEX($V$2:$V$1001,MATCH(ROWS($U$2:U911),$U$2:$U$1001,0),1)&gt;=100000,INDEX($AB$1005:$AQ$1005,1,MATCH(COLUMNS($AB$1006:AQ1006),$AB$1006:$AQ$1006,0))&gt;=100000), " ",IF(INDEX($AB$2:$AQ$1001,MATCH(ROWS($U$2:U911),$U$2:$U$1001,0),MATCH(COLUMNS($AB$1006:AQ1006),$AB$1006:$AQ$1006,0)), HYPERLINK("#",""), HYPERLINK(CONCATENATE("#Metadata!", ADDRESS(INDEX($W$2:$W$1001,MATCH(ROWS($U$2:U911),$U$2:$U$1001,0),0), INDEX($AB$1004:$AQ$1004,1,MATCH(COLUMNS($AB$1006:AQ1006),$AB$1006:$AQ$1006,0)))),"Fix")))</f>
        <v>0</v>
      </c>
      <c r="U911">
        <v>0</v>
      </c>
      <c r="V911">
        <v>0</v>
      </c>
      <c r="W911">
        <v>0</v>
      </c>
      <c r="X911">
        <f>IF(Y911,TRUE,AND(AB911:AQ911))</f>
        <v>0</v>
      </c>
      <c r="Y911">
        <f>COUNTBLANK(Metadata!B911:Q911)=COLUMNS(Metadata!B911:Q911)</f>
        <v>0</v>
      </c>
      <c r="Z911">
        <v>0</v>
      </c>
      <c r="AB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AC911">
        <f>AND(IF(Metadata!C911="",FALSE,TRUE),exact(Metadata!C911,"urban biome"))</f>
        <v>0</v>
      </c>
      <c r="AD911">
        <f>AND(IF(Metadata!D911="",FALSE,TRUE),exact(Metadata!D911,"human-associated habitat"))</f>
        <v>0</v>
      </c>
      <c r="AE911">
        <f>AND(IF(Metadata!E911="",FALSE,TRUE),OR(exact(Metadata!E911,"human-associated"),exact(Metadata!E911,"human-skin"),exact(Metadata!E911,"human-oral"),exact(Metadata!E911,"human-gut"),exact(Metadata!E911,"human-vaginal")))</f>
        <v>0</v>
      </c>
      <c r="AF911">
        <f>AND(IF(Metadata!F911="",FALSE,ISNUMBER(VALUE(Metadata!F911))),Metadata!F911&gt;0)</f>
        <v>0</v>
      </c>
      <c r="AG911">
        <f>AND(IF(Metadata!G911="",FALSE,TRUE),exact(Metadata!G911,"years"))</f>
        <v>0</v>
      </c>
      <c r="AH911">
        <f>OR(AND(IF(Metadata!H911="",FALSE,TRUE),OR(exact(Metadata!H911,"not applicable"),exact(Metadata!H911,"not collected"),exact(Metadata!H911,"not provided"),exact(Metadata!H911,"restricted access"))),AND(IF(Metadata!H911="",FALSE,ISNUMBER(VALUE(Metadata!H911))),Metadata!H911&gt;0))</f>
        <v>0</v>
      </c>
      <c r="AI911">
        <f>AND(IF(Metadata!I911="",FALSE,TRUE),exact(Metadata!I911,"human"))</f>
        <v>0</v>
      </c>
      <c r="AJ911">
        <f>AND(IF(Metadata!J911="",FALSE,ISNUMBER(VALUE(Metadata!J911))),Metadata!J911&gt;0)</f>
        <v>0</v>
      </c>
      <c r="AK911">
        <f>AND(IF(Metadata!K911="",FALSE,TRUE),exact(Metadata!K911,"cm"))</f>
        <v>0</v>
      </c>
      <c r="AL911">
        <f>AND(IF(Metadata!L911="",FALSE,TRUE),exact(Metadata!L911,"Homo sapiens"))</f>
        <v>0</v>
      </c>
      <c r="AM911">
        <f>AND(IF(Metadata!M911="",FALSE,TRUE),exact(Metadata!M911,"9606"))</f>
        <v>0</v>
      </c>
      <c r="AN911">
        <f>AND(IF(Metadata!N911="",FALSE,ISNUMBER(VALUE(Metadata!N911))),Metadata!N911&gt;0)</f>
        <v>0</v>
      </c>
      <c r="AO911">
        <f>AND(IF(Metadata!O911="",FALSE,TRUE),exact(Metadata!O911,"kg"))</f>
        <v>0</v>
      </c>
      <c r="AP911">
        <f>OR(AND(IF(Metadata!P911="",FALSE,TRUE),exact(Metadata!P911,"not provided")),IF(Metadata!P911="",FALSE,TRUE))</f>
        <v>0</v>
      </c>
      <c r="AQ911">
        <f>OR(AND(IF(Metadata!Q911="",FALSE,TRUE),exact(Metadata!Q911,"not provided")),IF(Metadata!Q911="",FALSE,TRUE))</f>
        <v>0</v>
      </c>
    </row>
    <row r="912" spans="1:43">
      <c r="A912" s="4">
        <f>IF(B912=" "," ",HYPERLINK(CONCATENATE("#metadata!",ADDRESS(INDEX($W$2:$W$1001,MATCH(ROWS($U$2:U912),$U$2:$U$1001,0),0),2)),INDEX($Z$2:$Z$1001,MATCH(ROWS($U$2:U912),$U$2:$U$1001,0),0)))</f>
        <v>0</v>
      </c>
      <c r="B912" s="5">
        <f>IF(OR(INDEX($V$2:$V$1001,MATCH(ROWS($U$2:U912),$U$2:$U$1001,0),1)&gt;=100000,INDEX($AB$1005:$AQ$1005,1,MATCH(COLUMNS($AB$1006:AB1006),$AB$1006:$AQ$1006,0))&gt;=100000), " ",IF(INDEX($AB$2:$AQ$1001,MATCH(ROWS($U$2:U912),$U$2:$U$1001,0),MATCH(COLUMNS($AB$1006:AB1006),$AB$1006:$AQ$1006,0)), HYPERLINK("#",""), HYPERLINK(CONCATENATE("#Metadata!", ADDRESS(INDEX($W$2:$W$1001,MATCH(ROWS($U$2:U912),$U$2:$U$1001,0),0), INDEX($AB$1004:$AQ$1004,1,MATCH(COLUMNS($AB$1006:AB1006),$AB$1006:$AQ$1006,0)))),"Fix")))</f>
        <v>0</v>
      </c>
      <c r="C912" s="5">
        <f>IF(OR(INDEX($V$2:$V$1001,MATCH(ROWS($U$2:U912),$U$2:$U$1001,0),1)&gt;=100000,INDEX($AB$1005:$AQ$1005,1,MATCH(COLUMNS($AB$1006:AC1006),$AB$1006:$AQ$1006,0))&gt;=100000), " ",IF(INDEX($AB$2:$AQ$1001,MATCH(ROWS($U$2:U912),$U$2:$U$1001,0),MATCH(COLUMNS($AB$1006:AC1006),$AB$1006:$AQ$1006,0)), HYPERLINK("#",""), HYPERLINK(CONCATENATE("#Metadata!", ADDRESS(INDEX($W$2:$W$1001,MATCH(ROWS($U$2:U912),$U$2:$U$1001,0),0), INDEX($AB$1004:$AQ$1004,1,MATCH(COLUMNS($AB$1006:AC1006),$AB$1006:$AQ$1006,0)))),"Fix")))</f>
        <v>0</v>
      </c>
      <c r="D912" s="5">
        <f>IF(OR(INDEX($V$2:$V$1001,MATCH(ROWS($U$2:U912),$U$2:$U$1001,0),1)&gt;=100000,INDEX($AB$1005:$AQ$1005,1,MATCH(COLUMNS($AB$1006:AD1006),$AB$1006:$AQ$1006,0))&gt;=100000), " ",IF(INDEX($AB$2:$AQ$1001,MATCH(ROWS($U$2:U912),$U$2:$U$1001,0),MATCH(COLUMNS($AB$1006:AD1006),$AB$1006:$AQ$1006,0)), HYPERLINK("#",""), HYPERLINK(CONCATENATE("#Metadata!", ADDRESS(INDEX($W$2:$W$1001,MATCH(ROWS($U$2:U912),$U$2:$U$1001,0),0), INDEX($AB$1004:$AQ$1004,1,MATCH(COLUMNS($AB$1006:AD1006),$AB$1006:$AQ$1006,0)))),"Fix")))</f>
        <v>0</v>
      </c>
      <c r="E912" s="5">
        <f>IF(OR(INDEX($V$2:$V$1001,MATCH(ROWS($U$2:U912),$U$2:$U$1001,0),1)&gt;=100000,INDEX($AB$1005:$AQ$1005,1,MATCH(COLUMNS($AB$1006:AE1006),$AB$1006:$AQ$1006,0))&gt;=100000), " ",IF(INDEX($AB$2:$AQ$1001,MATCH(ROWS($U$2:U912),$U$2:$U$1001,0),MATCH(COLUMNS($AB$1006:AE1006),$AB$1006:$AQ$1006,0)), HYPERLINK("#",""), HYPERLINK(CONCATENATE("#Metadata!", ADDRESS(INDEX($W$2:$W$1001,MATCH(ROWS($U$2:U912),$U$2:$U$1001,0),0), INDEX($AB$1004:$AQ$1004,1,MATCH(COLUMNS($AB$1006:AE1006),$AB$1006:$AQ$1006,0)))),"Fix")))</f>
        <v>0</v>
      </c>
      <c r="F912" s="5">
        <f>IF(OR(INDEX($V$2:$V$1001,MATCH(ROWS($U$2:U912),$U$2:$U$1001,0),1)&gt;=100000,INDEX($AB$1005:$AQ$1005,1,MATCH(COLUMNS($AB$1006:AF1006),$AB$1006:$AQ$1006,0))&gt;=100000), " ",IF(INDEX($AB$2:$AQ$1001,MATCH(ROWS($U$2:U912),$U$2:$U$1001,0),MATCH(COLUMNS($AB$1006:AF1006),$AB$1006:$AQ$1006,0)), HYPERLINK("#",""), HYPERLINK(CONCATENATE("#Metadata!", ADDRESS(INDEX($W$2:$W$1001,MATCH(ROWS($U$2:U912),$U$2:$U$1001,0),0), INDEX($AB$1004:$AQ$1004,1,MATCH(COLUMNS($AB$1006:AF1006),$AB$1006:$AQ$1006,0)))),"Fix")))</f>
        <v>0</v>
      </c>
      <c r="G912" s="5">
        <f>IF(OR(INDEX($V$2:$V$1001,MATCH(ROWS($U$2:U912),$U$2:$U$1001,0),1)&gt;=100000,INDEX($AB$1005:$AQ$1005,1,MATCH(COLUMNS($AB$1006:AG1006),$AB$1006:$AQ$1006,0))&gt;=100000), " ",IF(INDEX($AB$2:$AQ$1001,MATCH(ROWS($U$2:U912),$U$2:$U$1001,0),MATCH(COLUMNS($AB$1006:AG1006),$AB$1006:$AQ$1006,0)), HYPERLINK("#",""), HYPERLINK(CONCATENATE("#Metadata!", ADDRESS(INDEX($W$2:$W$1001,MATCH(ROWS($U$2:U912),$U$2:$U$1001,0),0), INDEX($AB$1004:$AQ$1004,1,MATCH(COLUMNS($AB$1006:AG1006),$AB$1006:$AQ$1006,0)))),"Fix")))</f>
        <v>0</v>
      </c>
      <c r="H912" s="5">
        <f>IF(OR(INDEX($V$2:$V$1001,MATCH(ROWS($U$2:U912),$U$2:$U$1001,0),1)&gt;=100000,INDEX($AB$1005:$AQ$1005,1,MATCH(COLUMNS($AB$1006:AH1006),$AB$1006:$AQ$1006,0))&gt;=100000), " ",IF(INDEX($AB$2:$AQ$1001,MATCH(ROWS($U$2:U912),$U$2:$U$1001,0),MATCH(COLUMNS($AB$1006:AH1006),$AB$1006:$AQ$1006,0)), HYPERLINK("#",""), HYPERLINK(CONCATENATE("#Metadata!", ADDRESS(INDEX($W$2:$W$1001,MATCH(ROWS($U$2:U912),$U$2:$U$1001,0),0), INDEX($AB$1004:$AQ$1004,1,MATCH(COLUMNS($AB$1006:AH1006),$AB$1006:$AQ$1006,0)))),"Fix")))</f>
        <v>0</v>
      </c>
      <c r="I912" s="5">
        <f>IF(OR(INDEX($V$2:$V$1001,MATCH(ROWS($U$2:U912),$U$2:$U$1001,0),1)&gt;=100000,INDEX($AB$1005:$AQ$1005,1,MATCH(COLUMNS($AB$1006:AI1006),$AB$1006:$AQ$1006,0))&gt;=100000), " ",IF(INDEX($AB$2:$AQ$1001,MATCH(ROWS($U$2:U912),$U$2:$U$1001,0),MATCH(COLUMNS($AB$1006:AI1006),$AB$1006:$AQ$1006,0)), HYPERLINK("#",""), HYPERLINK(CONCATENATE("#Metadata!", ADDRESS(INDEX($W$2:$W$1001,MATCH(ROWS($U$2:U912),$U$2:$U$1001,0),0), INDEX($AB$1004:$AQ$1004,1,MATCH(COLUMNS($AB$1006:AI1006),$AB$1006:$AQ$1006,0)))),"Fix")))</f>
        <v>0</v>
      </c>
      <c r="J912" s="5">
        <f>IF(OR(INDEX($V$2:$V$1001,MATCH(ROWS($U$2:U912),$U$2:$U$1001,0),1)&gt;=100000,INDEX($AB$1005:$AQ$1005,1,MATCH(COLUMNS($AB$1006:AJ1006),$AB$1006:$AQ$1006,0))&gt;=100000), " ",IF(INDEX($AB$2:$AQ$1001,MATCH(ROWS($U$2:U912),$U$2:$U$1001,0),MATCH(COLUMNS($AB$1006:AJ1006),$AB$1006:$AQ$1006,0)), HYPERLINK("#",""), HYPERLINK(CONCATENATE("#Metadata!", ADDRESS(INDEX($W$2:$W$1001,MATCH(ROWS($U$2:U912),$U$2:$U$1001,0),0), INDEX($AB$1004:$AQ$1004,1,MATCH(COLUMNS($AB$1006:AJ1006),$AB$1006:$AQ$1006,0)))),"Fix")))</f>
        <v>0</v>
      </c>
      <c r="K912" s="5">
        <f>IF(OR(INDEX($V$2:$V$1001,MATCH(ROWS($U$2:U912),$U$2:$U$1001,0),1)&gt;=100000,INDEX($AB$1005:$AQ$1005,1,MATCH(COLUMNS($AB$1006:AK1006),$AB$1006:$AQ$1006,0))&gt;=100000), " ",IF(INDEX($AB$2:$AQ$1001,MATCH(ROWS($U$2:U912),$U$2:$U$1001,0),MATCH(COLUMNS($AB$1006:AK1006),$AB$1006:$AQ$1006,0)), HYPERLINK("#",""), HYPERLINK(CONCATENATE("#Metadata!", ADDRESS(INDEX($W$2:$W$1001,MATCH(ROWS($U$2:U912),$U$2:$U$1001,0),0), INDEX($AB$1004:$AQ$1004,1,MATCH(COLUMNS($AB$1006:AK1006),$AB$1006:$AQ$1006,0)))),"Fix")))</f>
        <v>0</v>
      </c>
      <c r="L912" s="5">
        <f>IF(OR(INDEX($V$2:$V$1001,MATCH(ROWS($U$2:U912),$U$2:$U$1001,0),1)&gt;=100000,INDEX($AB$1005:$AQ$1005,1,MATCH(COLUMNS($AB$1006:AL1006),$AB$1006:$AQ$1006,0))&gt;=100000), " ",IF(INDEX($AB$2:$AQ$1001,MATCH(ROWS($U$2:U912),$U$2:$U$1001,0),MATCH(COLUMNS($AB$1006:AL1006),$AB$1006:$AQ$1006,0)), HYPERLINK("#",""), HYPERLINK(CONCATENATE("#Metadata!", ADDRESS(INDEX($W$2:$W$1001,MATCH(ROWS($U$2:U912),$U$2:$U$1001,0),0), INDEX($AB$1004:$AQ$1004,1,MATCH(COLUMNS($AB$1006:AL1006),$AB$1006:$AQ$1006,0)))),"Fix")))</f>
        <v>0</v>
      </c>
      <c r="M912" s="5">
        <f>IF(OR(INDEX($V$2:$V$1001,MATCH(ROWS($U$2:U912),$U$2:$U$1001,0),1)&gt;=100000,INDEX($AB$1005:$AQ$1005,1,MATCH(COLUMNS($AB$1006:AM1006),$AB$1006:$AQ$1006,0))&gt;=100000), " ",IF(INDEX($AB$2:$AQ$1001,MATCH(ROWS($U$2:U912),$U$2:$U$1001,0),MATCH(COLUMNS($AB$1006:AM1006),$AB$1006:$AQ$1006,0)), HYPERLINK("#",""), HYPERLINK(CONCATENATE("#Metadata!", ADDRESS(INDEX($W$2:$W$1001,MATCH(ROWS($U$2:U912),$U$2:$U$1001,0),0), INDEX($AB$1004:$AQ$1004,1,MATCH(COLUMNS($AB$1006:AM1006),$AB$1006:$AQ$1006,0)))),"Fix")))</f>
        <v>0</v>
      </c>
      <c r="N912" s="5">
        <f>IF(OR(INDEX($V$2:$V$1001,MATCH(ROWS($U$2:U912),$U$2:$U$1001,0),1)&gt;=100000,INDEX($AB$1005:$AQ$1005,1,MATCH(COLUMNS($AB$1006:AN1006),$AB$1006:$AQ$1006,0))&gt;=100000), " ",IF(INDEX($AB$2:$AQ$1001,MATCH(ROWS($U$2:U912),$U$2:$U$1001,0),MATCH(COLUMNS($AB$1006:AN1006),$AB$1006:$AQ$1006,0)), HYPERLINK("#",""), HYPERLINK(CONCATENATE("#Metadata!", ADDRESS(INDEX($W$2:$W$1001,MATCH(ROWS($U$2:U912),$U$2:$U$1001,0),0), INDEX($AB$1004:$AQ$1004,1,MATCH(COLUMNS($AB$1006:AN1006),$AB$1006:$AQ$1006,0)))),"Fix")))</f>
        <v>0</v>
      </c>
      <c r="O912" s="5">
        <f>IF(OR(INDEX($V$2:$V$1001,MATCH(ROWS($U$2:U912),$U$2:$U$1001,0),1)&gt;=100000,INDEX($AB$1005:$AQ$1005,1,MATCH(COLUMNS($AB$1006:AO1006),$AB$1006:$AQ$1006,0))&gt;=100000), " ",IF(INDEX($AB$2:$AQ$1001,MATCH(ROWS($U$2:U912),$U$2:$U$1001,0),MATCH(COLUMNS($AB$1006:AO1006),$AB$1006:$AQ$1006,0)), HYPERLINK("#",""), HYPERLINK(CONCATENATE("#Metadata!", ADDRESS(INDEX($W$2:$W$1001,MATCH(ROWS($U$2:U912),$U$2:$U$1001,0),0), INDEX($AB$1004:$AQ$1004,1,MATCH(COLUMNS($AB$1006:AO1006),$AB$1006:$AQ$1006,0)))),"Fix")))</f>
        <v>0</v>
      </c>
      <c r="P912" s="5">
        <f>IF(OR(INDEX($V$2:$V$1001,MATCH(ROWS($U$2:U912),$U$2:$U$1001,0),1)&gt;=100000,INDEX($AB$1005:$AQ$1005,1,MATCH(COLUMNS($AB$1006:AP1006),$AB$1006:$AQ$1006,0))&gt;=100000), " ",IF(INDEX($AB$2:$AQ$1001,MATCH(ROWS($U$2:U912),$U$2:$U$1001,0),MATCH(COLUMNS($AB$1006:AP1006),$AB$1006:$AQ$1006,0)), HYPERLINK("#",""), HYPERLINK(CONCATENATE("#Metadata!", ADDRESS(INDEX($W$2:$W$1001,MATCH(ROWS($U$2:U912),$U$2:$U$1001,0),0), INDEX($AB$1004:$AQ$1004,1,MATCH(COLUMNS($AB$1006:AP1006),$AB$1006:$AQ$1006,0)))),"Fix")))</f>
        <v>0</v>
      </c>
      <c r="Q912" s="5">
        <f>IF(OR(INDEX($V$2:$V$1001,MATCH(ROWS($U$2:U912),$U$2:$U$1001,0),1)&gt;=100000,INDEX($AB$1005:$AQ$1005,1,MATCH(COLUMNS($AB$1006:AQ1006),$AB$1006:$AQ$1006,0))&gt;=100000), " ",IF(INDEX($AB$2:$AQ$1001,MATCH(ROWS($U$2:U912),$U$2:$U$1001,0),MATCH(COLUMNS($AB$1006:AQ1006),$AB$1006:$AQ$1006,0)), HYPERLINK("#",""), HYPERLINK(CONCATENATE("#Metadata!", ADDRESS(INDEX($W$2:$W$1001,MATCH(ROWS($U$2:U912),$U$2:$U$1001,0),0), INDEX($AB$1004:$AQ$1004,1,MATCH(COLUMNS($AB$1006:AQ1006),$AB$1006:$AQ$1006,0)))),"Fix")))</f>
        <v>0</v>
      </c>
      <c r="U912">
        <v>0</v>
      </c>
      <c r="V912">
        <v>0</v>
      </c>
      <c r="W912">
        <v>0</v>
      </c>
      <c r="X912">
        <f>IF(Y912,TRUE,AND(AB912:AQ912))</f>
        <v>0</v>
      </c>
      <c r="Y912">
        <f>COUNTBLANK(Metadata!B912:Q912)=COLUMNS(Metadata!B912:Q912)</f>
        <v>0</v>
      </c>
      <c r="Z912">
        <v>0</v>
      </c>
      <c r="AB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AC912">
        <f>AND(IF(Metadata!C912="",FALSE,TRUE),exact(Metadata!C912,"urban biome"))</f>
        <v>0</v>
      </c>
      <c r="AD912">
        <f>AND(IF(Metadata!D912="",FALSE,TRUE),exact(Metadata!D912,"human-associated habitat"))</f>
        <v>0</v>
      </c>
      <c r="AE912">
        <f>AND(IF(Metadata!E912="",FALSE,TRUE),OR(exact(Metadata!E912,"human-associated"),exact(Metadata!E912,"human-skin"),exact(Metadata!E912,"human-oral"),exact(Metadata!E912,"human-gut"),exact(Metadata!E912,"human-vaginal")))</f>
        <v>0</v>
      </c>
      <c r="AF912">
        <f>AND(IF(Metadata!F912="",FALSE,ISNUMBER(VALUE(Metadata!F912))),Metadata!F912&gt;0)</f>
        <v>0</v>
      </c>
      <c r="AG912">
        <f>AND(IF(Metadata!G912="",FALSE,TRUE),exact(Metadata!G912,"years"))</f>
        <v>0</v>
      </c>
      <c r="AH912">
        <f>OR(AND(IF(Metadata!H912="",FALSE,TRUE),OR(exact(Metadata!H912,"not applicable"),exact(Metadata!H912,"not collected"),exact(Metadata!H912,"not provided"),exact(Metadata!H912,"restricted access"))),AND(IF(Metadata!H912="",FALSE,ISNUMBER(VALUE(Metadata!H912))),Metadata!H912&gt;0))</f>
        <v>0</v>
      </c>
      <c r="AI912">
        <f>AND(IF(Metadata!I912="",FALSE,TRUE),exact(Metadata!I912,"human"))</f>
        <v>0</v>
      </c>
      <c r="AJ912">
        <f>AND(IF(Metadata!J912="",FALSE,ISNUMBER(VALUE(Metadata!J912))),Metadata!J912&gt;0)</f>
        <v>0</v>
      </c>
      <c r="AK912">
        <f>AND(IF(Metadata!K912="",FALSE,TRUE),exact(Metadata!K912,"cm"))</f>
        <v>0</v>
      </c>
      <c r="AL912">
        <f>AND(IF(Metadata!L912="",FALSE,TRUE),exact(Metadata!L912,"Homo sapiens"))</f>
        <v>0</v>
      </c>
      <c r="AM912">
        <f>AND(IF(Metadata!M912="",FALSE,TRUE),exact(Metadata!M912,"9606"))</f>
        <v>0</v>
      </c>
      <c r="AN912">
        <f>AND(IF(Metadata!N912="",FALSE,ISNUMBER(VALUE(Metadata!N912))),Metadata!N912&gt;0)</f>
        <v>0</v>
      </c>
      <c r="AO912">
        <f>AND(IF(Metadata!O912="",FALSE,TRUE),exact(Metadata!O912,"kg"))</f>
        <v>0</v>
      </c>
      <c r="AP912">
        <f>OR(AND(IF(Metadata!P912="",FALSE,TRUE),exact(Metadata!P912,"not provided")),IF(Metadata!P912="",FALSE,TRUE))</f>
        <v>0</v>
      </c>
      <c r="AQ912">
        <f>OR(AND(IF(Metadata!Q912="",FALSE,TRUE),exact(Metadata!Q912,"not provided")),IF(Metadata!Q912="",FALSE,TRUE))</f>
        <v>0</v>
      </c>
    </row>
    <row r="913" spans="1:43">
      <c r="A913" s="4">
        <f>IF(B913=" "," ",HYPERLINK(CONCATENATE("#metadata!",ADDRESS(INDEX($W$2:$W$1001,MATCH(ROWS($U$2:U913),$U$2:$U$1001,0),0),2)),INDEX($Z$2:$Z$1001,MATCH(ROWS($U$2:U913),$U$2:$U$1001,0),0)))</f>
        <v>0</v>
      </c>
      <c r="B913" s="5">
        <f>IF(OR(INDEX($V$2:$V$1001,MATCH(ROWS($U$2:U913),$U$2:$U$1001,0),1)&gt;=100000,INDEX($AB$1005:$AQ$1005,1,MATCH(COLUMNS($AB$1006:AB1006),$AB$1006:$AQ$1006,0))&gt;=100000), " ",IF(INDEX($AB$2:$AQ$1001,MATCH(ROWS($U$2:U913),$U$2:$U$1001,0),MATCH(COLUMNS($AB$1006:AB1006),$AB$1006:$AQ$1006,0)), HYPERLINK("#",""), HYPERLINK(CONCATENATE("#Metadata!", ADDRESS(INDEX($W$2:$W$1001,MATCH(ROWS($U$2:U913),$U$2:$U$1001,0),0), INDEX($AB$1004:$AQ$1004,1,MATCH(COLUMNS($AB$1006:AB1006),$AB$1006:$AQ$1006,0)))),"Fix")))</f>
        <v>0</v>
      </c>
      <c r="C913" s="5">
        <f>IF(OR(INDEX($V$2:$V$1001,MATCH(ROWS($U$2:U913),$U$2:$U$1001,0),1)&gt;=100000,INDEX($AB$1005:$AQ$1005,1,MATCH(COLUMNS($AB$1006:AC1006),$AB$1006:$AQ$1006,0))&gt;=100000), " ",IF(INDEX($AB$2:$AQ$1001,MATCH(ROWS($U$2:U913),$U$2:$U$1001,0),MATCH(COLUMNS($AB$1006:AC1006),$AB$1006:$AQ$1006,0)), HYPERLINK("#",""), HYPERLINK(CONCATENATE("#Metadata!", ADDRESS(INDEX($W$2:$W$1001,MATCH(ROWS($U$2:U913),$U$2:$U$1001,0),0), INDEX($AB$1004:$AQ$1004,1,MATCH(COLUMNS($AB$1006:AC1006),$AB$1006:$AQ$1006,0)))),"Fix")))</f>
        <v>0</v>
      </c>
      <c r="D913" s="5">
        <f>IF(OR(INDEX($V$2:$V$1001,MATCH(ROWS($U$2:U913),$U$2:$U$1001,0),1)&gt;=100000,INDEX($AB$1005:$AQ$1005,1,MATCH(COLUMNS($AB$1006:AD1006),$AB$1006:$AQ$1006,0))&gt;=100000), " ",IF(INDEX($AB$2:$AQ$1001,MATCH(ROWS($U$2:U913),$U$2:$U$1001,0),MATCH(COLUMNS($AB$1006:AD1006),$AB$1006:$AQ$1006,0)), HYPERLINK("#",""), HYPERLINK(CONCATENATE("#Metadata!", ADDRESS(INDEX($W$2:$W$1001,MATCH(ROWS($U$2:U913),$U$2:$U$1001,0),0), INDEX($AB$1004:$AQ$1004,1,MATCH(COLUMNS($AB$1006:AD1006),$AB$1006:$AQ$1006,0)))),"Fix")))</f>
        <v>0</v>
      </c>
      <c r="E913" s="5">
        <f>IF(OR(INDEX($V$2:$V$1001,MATCH(ROWS($U$2:U913),$U$2:$U$1001,0),1)&gt;=100000,INDEX($AB$1005:$AQ$1005,1,MATCH(COLUMNS($AB$1006:AE1006),$AB$1006:$AQ$1006,0))&gt;=100000), " ",IF(INDEX($AB$2:$AQ$1001,MATCH(ROWS($U$2:U913),$U$2:$U$1001,0),MATCH(COLUMNS($AB$1006:AE1006),$AB$1006:$AQ$1006,0)), HYPERLINK("#",""), HYPERLINK(CONCATENATE("#Metadata!", ADDRESS(INDEX($W$2:$W$1001,MATCH(ROWS($U$2:U913),$U$2:$U$1001,0),0), INDEX($AB$1004:$AQ$1004,1,MATCH(COLUMNS($AB$1006:AE1006),$AB$1006:$AQ$1006,0)))),"Fix")))</f>
        <v>0</v>
      </c>
      <c r="F913" s="5">
        <f>IF(OR(INDEX($V$2:$V$1001,MATCH(ROWS($U$2:U913),$U$2:$U$1001,0),1)&gt;=100000,INDEX($AB$1005:$AQ$1005,1,MATCH(COLUMNS($AB$1006:AF1006),$AB$1006:$AQ$1006,0))&gt;=100000), " ",IF(INDEX($AB$2:$AQ$1001,MATCH(ROWS($U$2:U913),$U$2:$U$1001,0),MATCH(COLUMNS($AB$1006:AF1006),$AB$1006:$AQ$1006,0)), HYPERLINK("#",""), HYPERLINK(CONCATENATE("#Metadata!", ADDRESS(INDEX($W$2:$W$1001,MATCH(ROWS($U$2:U913),$U$2:$U$1001,0),0), INDEX($AB$1004:$AQ$1004,1,MATCH(COLUMNS($AB$1006:AF1006),$AB$1006:$AQ$1006,0)))),"Fix")))</f>
        <v>0</v>
      </c>
      <c r="G913" s="5">
        <f>IF(OR(INDEX($V$2:$V$1001,MATCH(ROWS($U$2:U913),$U$2:$U$1001,0),1)&gt;=100000,INDEX($AB$1005:$AQ$1005,1,MATCH(COLUMNS($AB$1006:AG1006),$AB$1006:$AQ$1006,0))&gt;=100000), " ",IF(INDEX($AB$2:$AQ$1001,MATCH(ROWS($U$2:U913),$U$2:$U$1001,0),MATCH(COLUMNS($AB$1006:AG1006),$AB$1006:$AQ$1006,0)), HYPERLINK("#",""), HYPERLINK(CONCATENATE("#Metadata!", ADDRESS(INDEX($W$2:$W$1001,MATCH(ROWS($U$2:U913),$U$2:$U$1001,0),0), INDEX($AB$1004:$AQ$1004,1,MATCH(COLUMNS($AB$1006:AG1006),$AB$1006:$AQ$1006,0)))),"Fix")))</f>
        <v>0</v>
      </c>
      <c r="H913" s="5">
        <f>IF(OR(INDEX($V$2:$V$1001,MATCH(ROWS($U$2:U913),$U$2:$U$1001,0),1)&gt;=100000,INDEX($AB$1005:$AQ$1005,1,MATCH(COLUMNS($AB$1006:AH1006),$AB$1006:$AQ$1006,0))&gt;=100000), " ",IF(INDEX($AB$2:$AQ$1001,MATCH(ROWS($U$2:U913),$U$2:$U$1001,0),MATCH(COLUMNS($AB$1006:AH1006),$AB$1006:$AQ$1006,0)), HYPERLINK("#",""), HYPERLINK(CONCATENATE("#Metadata!", ADDRESS(INDEX($W$2:$W$1001,MATCH(ROWS($U$2:U913),$U$2:$U$1001,0),0), INDEX($AB$1004:$AQ$1004,1,MATCH(COLUMNS($AB$1006:AH1006),$AB$1006:$AQ$1006,0)))),"Fix")))</f>
        <v>0</v>
      </c>
      <c r="I913" s="5">
        <f>IF(OR(INDEX($V$2:$V$1001,MATCH(ROWS($U$2:U913),$U$2:$U$1001,0),1)&gt;=100000,INDEX($AB$1005:$AQ$1005,1,MATCH(COLUMNS($AB$1006:AI1006),$AB$1006:$AQ$1006,0))&gt;=100000), " ",IF(INDEX($AB$2:$AQ$1001,MATCH(ROWS($U$2:U913),$U$2:$U$1001,0),MATCH(COLUMNS($AB$1006:AI1006),$AB$1006:$AQ$1006,0)), HYPERLINK("#",""), HYPERLINK(CONCATENATE("#Metadata!", ADDRESS(INDEX($W$2:$W$1001,MATCH(ROWS($U$2:U913),$U$2:$U$1001,0),0), INDEX($AB$1004:$AQ$1004,1,MATCH(COLUMNS($AB$1006:AI1006),$AB$1006:$AQ$1006,0)))),"Fix")))</f>
        <v>0</v>
      </c>
      <c r="J913" s="5">
        <f>IF(OR(INDEX($V$2:$V$1001,MATCH(ROWS($U$2:U913),$U$2:$U$1001,0),1)&gt;=100000,INDEX($AB$1005:$AQ$1005,1,MATCH(COLUMNS($AB$1006:AJ1006),$AB$1006:$AQ$1006,0))&gt;=100000), " ",IF(INDEX($AB$2:$AQ$1001,MATCH(ROWS($U$2:U913),$U$2:$U$1001,0),MATCH(COLUMNS($AB$1006:AJ1006),$AB$1006:$AQ$1006,0)), HYPERLINK("#",""), HYPERLINK(CONCATENATE("#Metadata!", ADDRESS(INDEX($W$2:$W$1001,MATCH(ROWS($U$2:U913),$U$2:$U$1001,0),0), INDEX($AB$1004:$AQ$1004,1,MATCH(COLUMNS($AB$1006:AJ1006),$AB$1006:$AQ$1006,0)))),"Fix")))</f>
        <v>0</v>
      </c>
      <c r="K913" s="5">
        <f>IF(OR(INDEX($V$2:$V$1001,MATCH(ROWS($U$2:U913),$U$2:$U$1001,0),1)&gt;=100000,INDEX($AB$1005:$AQ$1005,1,MATCH(COLUMNS($AB$1006:AK1006),$AB$1006:$AQ$1006,0))&gt;=100000), " ",IF(INDEX($AB$2:$AQ$1001,MATCH(ROWS($U$2:U913),$U$2:$U$1001,0),MATCH(COLUMNS($AB$1006:AK1006),$AB$1006:$AQ$1006,0)), HYPERLINK("#",""), HYPERLINK(CONCATENATE("#Metadata!", ADDRESS(INDEX($W$2:$W$1001,MATCH(ROWS($U$2:U913),$U$2:$U$1001,0),0), INDEX($AB$1004:$AQ$1004,1,MATCH(COLUMNS($AB$1006:AK1006),$AB$1006:$AQ$1006,0)))),"Fix")))</f>
        <v>0</v>
      </c>
      <c r="L913" s="5">
        <f>IF(OR(INDEX($V$2:$V$1001,MATCH(ROWS($U$2:U913),$U$2:$U$1001,0),1)&gt;=100000,INDEX($AB$1005:$AQ$1005,1,MATCH(COLUMNS($AB$1006:AL1006),$AB$1006:$AQ$1006,0))&gt;=100000), " ",IF(INDEX($AB$2:$AQ$1001,MATCH(ROWS($U$2:U913),$U$2:$U$1001,0),MATCH(COLUMNS($AB$1006:AL1006),$AB$1006:$AQ$1006,0)), HYPERLINK("#",""), HYPERLINK(CONCATENATE("#Metadata!", ADDRESS(INDEX($W$2:$W$1001,MATCH(ROWS($U$2:U913),$U$2:$U$1001,0),0), INDEX($AB$1004:$AQ$1004,1,MATCH(COLUMNS($AB$1006:AL1006),$AB$1006:$AQ$1006,0)))),"Fix")))</f>
        <v>0</v>
      </c>
      <c r="M913" s="5">
        <f>IF(OR(INDEX($V$2:$V$1001,MATCH(ROWS($U$2:U913),$U$2:$U$1001,0),1)&gt;=100000,INDEX($AB$1005:$AQ$1005,1,MATCH(COLUMNS($AB$1006:AM1006),$AB$1006:$AQ$1006,0))&gt;=100000), " ",IF(INDEX($AB$2:$AQ$1001,MATCH(ROWS($U$2:U913),$U$2:$U$1001,0),MATCH(COLUMNS($AB$1006:AM1006),$AB$1006:$AQ$1006,0)), HYPERLINK("#",""), HYPERLINK(CONCATENATE("#Metadata!", ADDRESS(INDEX($W$2:$W$1001,MATCH(ROWS($U$2:U913),$U$2:$U$1001,0),0), INDEX($AB$1004:$AQ$1004,1,MATCH(COLUMNS($AB$1006:AM1006),$AB$1006:$AQ$1006,0)))),"Fix")))</f>
        <v>0</v>
      </c>
      <c r="N913" s="5">
        <f>IF(OR(INDEX($V$2:$V$1001,MATCH(ROWS($U$2:U913),$U$2:$U$1001,0),1)&gt;=100000,INDEX($AB$1005:$AQ$1005,1,MATCH(COLUMNS($AB$1006:AN1006),$AB$1006:$AQ$1006,0))&gt;=100000), " ",IF(INDEX($AB$2:$AQ$1001,MATCH(ROWS($U$2:U913),$U$2:$U$1001,0),MATCH(COLUMNS($AB$1006:AN1006),$AB$1006:$AQ$1006,0)), HYPERLINK("#",""), HYPERLINK(CONCATENATE("#Metadata!", ADDRESS(INDEX($W$2:$W$1001,MATCH(ROWS($U$2:U913),$U$2:$U$1001,0),0), INDEX($AB$1004:$AQ$1004,1,MATCH(COLUMNS($AB$1006:AN1006),$AB$1006:$AQ$1006,0)))),"Fix")))</f>
        <v>0</v>
      </c>
      <c r="O913" s="5">
        <f>IF(OR(INDEX($V$2:$V$1001,MATCH(ROWS($U$2:U913),$U$2:$U$1001,0),1)&gt;=100000,INDEX($AB$1005:$AQ$1005,1,MATCH(COLUMNS($AB$1006:AO1006),$AB$1006:$AQ$1006,0))&gt;=100000), " ",IF(INDEX($AB$2:$AQ$1001,MATCH(ROWS($U$2:U913),$U$2:$U$1001,0),MATCH(COLUMNS($AB$1006:AO1006),$AB$1006:$AQ$1006,0)), HYPERLINK("#",""), HYPERLINK(CONCATENATE("#Metadata!", ADDRESS(INDEX($W$2:$W$1001,MATCH(ROWS($U$2:U913),$U$2:$U$1001,0),0), INDEX($AB$1004:$AQ$1004,1,MATCH(COLUMNS($AB$1006:AO1006),$AB$1006:$AQ$1006,0)))),"Fix")))</f>
        <v>0</v>
      </c>
      <c r="P913" s="5">
        <f>IF(OR(INDEX($V$2:$V$1001,MATCH(ROWS($U$2:U913),$U$2:$U$1001,0),1)&gt;=100000,INDEX($AB$1005:$AQ$1005,1,MATCH(COLUMNS($AB$1006:AP1006),$AB$1006:$AQ$1006,0))&gt;=100000), " ",IF(INDEX($AB$2:$AQ$1001,MATCH(ROWS($U$2:U913),$U$2:$U$1001,0),MATCH(COLUMNS($AB$1006:AP1006),$AB$1006:$AQ$1006,0)), HYPERLINK("#",""), HYPERLINK(CONCATENATE("#Metadata!", ADDRESS(INDEX($W$2:$W$1001,MATCH(ROWS($U$2:U913),$U$2:$U$1001,0),0), INDEX($AB$1004:$AQ$1004,1,MATCH(COLUMNS($AB$1006:AP1006),$AB$1006:$AQ$1006,0)))),"Fix")))</f>
        <v>0</v>
      </c>
      <c r="Q913" s="5">
        <f>IF(OR(INDEX($V$2:$V$1001,MATCH(ROWS($U$2:U913),$U$2:$U$1001,0),1)&gt;=100000,INDEX($AB$1005:$AQ$1005,1,MATCH(COLUMNS($AB$1006:AQ1006),$AB$1006:$AQ$1006,0))&gt;=100000), " ",IF(INDEX($AB$2:$AQ$1001,MATCH(ROWS($U$2:U913),$U$2:$U$1001,0),MATCH(COLUMNS($AB$1006:AQ1006),$AB$1006:$AQ$1006,0)), HYPERLINK("#",""), HYPERLINK(CONCATENATE("#Metadata!", ADDRESS(INDEX($W$2:$W$1001,MATCH(ROWS($U$2:U913),$U$2:$U$1001,0),0), INDEX($AB$1004:$AQ$1004,1,MATCH(COLUMNS($AB$1006:AQ1006),$AB$1006:$AQ$1006,0)))),"Fix")))</f>
        <v>0</v>
      </c>
      <c r="U913">
        <v>0</v>
      </c>
      <c r="V913">
        <v>0</v>
      </c>
      <c r="W913">
        <v>0</v>
      </c>
      <c r="X913">
        <f>IF(Y913,TRUE,AND(AB913:AQ913))</f>
        <v>0</v>
      </c>
      <c r="Y913">
        <f>COUNTBLANK(Metadata!B913:Q913)=COLUMNS(Metadata!B913:Q913)</f>
        <v>0</v>
      </c>
      <c r="Z913">
        <v>0</v>
      </c>
      <c r="AB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AC913">
        <f>AND(IF(Metadata!C913="",FALSE,TRUE),exact(Metadata!C913,"urban biome"))</f>
        <v>0</v>
      </c>
      <c r="AD913">
        <f>AND(IF(Metadata!D913="",FALSE,TRUE),exact(Metadata!D913,"human-associated habitat"))</f>
        <v>0</v>
      </c>
      <c r="AE913">
        <f>AND(IF(Metadata!E913="",FALSE,TRUE),OR(exact(Metadata!E913,"human-associated"),exact(Metadata!E913,"human-skin"),exact(Metadata!E913,"human-oral"),exact(Metadata!E913,"human-gut"),exact(Metadata!E913,"human-vaginal")))</f>
        <v>0</v>
      </c>
      <c r="AF913">
        <f>AND(IF(Metadata!F913="",FALSE,ISNUMBER(VALUE(Metadata!F913))),Metadata!F913&gt;0)</f>
        <v>0</v>
      </c>
      <c r="AG913">
        <f>AND(IF(Metadata!G913="",FALSE,TRUE),exact(Metadata!G913,"years"))</f>
        <v>0</v>
      </c>
      <c r="AH913">
        <f>OR(AND(IF(Metadata!H913="",FALSE,TRUE),OR(exact(Metadata!H913,"not applicable"),exact(Metadata!H913,"not collected"),exact(Metadata!H913,"not provided"),exact(Metadata!H913,"restricted access"))),AND(IF(Metadata!H913="",FALSE,ISNUMBER(VALUE(Metadata!H913))),Metadata!H913&gt;0))</f>
        <v>0</v>
      </c>
      <c r="AI913">
        <f>AND(IF(Metadata!I913="",FALSE,TRUE),exact(Metadata!I913,"human"))</f>
        <v>0</v>
      </c>
      <c r="AJ913">
        <f>AND(IF(Metadata!J913="",FALSE,ISNUMBER(VALUE(Metadata!J913))),Metadata!J913&gt;0)</f>
        <v>0</v>
      </c>
      <c r="AK913">
        <f>AND(IF(Metadata!K913="",FALSE,TRUE),exact(Metadata!K913,"cm"))</f>
        <v>0</v>
      </c>
      <c r="AL913">
        <f>AND(IF(Metadata!L913="",FALSE,TRUE),exact(Metadata!L913,"Homo sapiens"))</f>
        <v>0</v>
      </c>
      <c r="AM913">
        <f>AND(IF(Metadata!M913="",FALSE,TRUE),exact(Metadata!M913,"9606"))</f>
        <v>0</v>
      </c>
      <c r="AN913">
        <f>AND(IF(Metadata!N913="",FALSE,ISNUMBER(VALUE(Metadata!N913))),Metadata!N913&gt;0)</f>
        <v>0</v>
      </c>
      <c r="AO913">
        <f>AND(IF(Metadata!O913="",FALSE,TRUE),exact(Metadata!O913,"kg"))</f>
        <v>0</v>
      </c>
      <c r="AP913">
        <f>OR(AND(IF(Metadata!P913="",FALSE,TRUE),exact(Metadata!P913,"not provided")),IF(Metadata!P913="",FALSE,TRUE))</f>
        <v>0</v>
      </c>
      <c r="AQ913">
        <f>OR(AND(IF(Metadata!Q913="",FALSE,TRUE),exact(Metadata!Q913,"not provided")),IF(Metadata!Q913="",FALSE,TRUE))</f>
        <v>0</v>
      </c>
    </row>
    <row r="914" spans="1:43">
      <c r="A914" s="4">
        <f>IF(B914=" "," ",HYPERLINK(CONCATENATE("#metadata!",ADDRESS(INDEX($W$2:$W$1001,MATCH(ROWS($U$2:U914),$U$2:$U$1001,0),0),2)),INDEX($Z$2:$Z$1001,MATCH(ROWS($U$2:U914),$U$2:$U$1001,0),0)))</f>
        <v>0</v>
      </c>
      <c r="B914" s="5">
        <f>IF(OR(INDEX($V$2:$V$1001,MATCH(ROWS($U$2:U914),$U$2:$U$1001,0),1)&gt;=100000,INDEX($AB$1005:$AQ$1005,1,MATCH(COLUMNS($AB$1006:AB1006),$AB$1006:$AQ$1006,0))&gt;=100000), " ",IF(INDEX($AB$2:$AQ$1001,MATCH(ROWS($U$2:U914),$U$2:$U$1001,0),MATCH(COLUMNS($AB$1006:AB1006),$AB$1006:$AQ$1006,0)), HYPERLINK("#",""), HYPERLINK(CONCATENATE("#Metadata!", ADDRESS(INDEX($W$2:$W$1001,MATCH(ROWS($U$2:U914),$U$2:$U$1001,0),0), INDEX($AB$1004:$AQ$1004,1,MATCH(COLUMNS($AB$1006:AB1006),$AB$1006:$AQ$1006,0)))),"Fix")))</f>
        <v>0</v>
      </c>
      <c r="C914" s="5">
        <f>IF(OR(INDEX($V$2:$V$1001,MATCH(ROWS($U$2:U914),$U$2:$U$1001,0),1)&gt;=100000,INDEX($AB$1005:$AQ$1005,1,MATCH(COLUMNS($AB$1006:AC1006),$AB$1006:$AQ$1006,0))&gt;=100000), " ",IF(INDEX($AB$2:$AQ$1001,MATCH(ROWS($U$2:U914),$U$2:$U$1001,0),MATCH(COLUMNS($AB$1006:AC1006),$AB$1006:$AQ$1006,0)), HYPERLINK("#",""), HYPERLINK(CONCATENATE("#Metadata!", ADDRESS(INDEX($W$2:$W$1001,MATCH(ROWS($U$2:U914),$U$2:$U$1001,0),0), INDEX($AB$1004:$AQ$1004,1,MATCH(COLUMNS($AB$1006:AC1006),$AB$1006:$AQ$1006,0)))),"Fix")))</f>
        <v>0</v>
      </c>
      <c r="D914" s="5">
        <f>IF(OR(INDEX($V$2:$V$1001,MATCH(ROWS($U$2:U914),$U$2:$U$1001,0),1)&gt;=100000,INDEX($AB$1005:$AQ$1005,1,MATCH(COLUMNS($AB$1006:AD1006),$AB$1006:$AQ$1006,0))&gt;=100000), " ",IF(INDEX($AB$2:$AQ$1001,MATCH(ROWS($U$2:U914),$U$2:$U$1001,0),MATCH(COLUMNS($AB$1006:AD1006),$AB$1006:$AQ$1006,0)), HYPERLINK("#",""), HYPERLINK(CONCATENATE("#Metadata!", ADDRESS(INDEX($W$2:$W$1001,MATCH(ROWS($U$2:U914),$U$2:$U$1001,0),0), INDEX($AB$1004:$AQ$1004,1,MATCH(COLUMNS($AB$1006:AD1006),$AB$1006:$AQ$1006,0)))),"Fix")))</f>
        <v>0</v>
      </c>
      <c r="E914" s="5">
        <f>IF(OR(INDEX($V$2:$V$1001,MATCH(ROWS($U$2:U914),$U$2:$U$1001,0),1)&gt;=100000,INDEX($AB$1005:$AQ$1005,1,MATCH(COLUMNS($AB$1006:AE1006),$AB$1006:$AQ$1006,0))&gt;=100000), " ",IF(INDEX($AB$2:$AQ$1001,MATCH(ROWS($U$2:U914),$U$2:$U$1001,0),MATCH(COLUMNS($AB$1006:AE1006),$AB$1006:$AQ$1006,0)), HYPERLINK("#",""), HYPERLINK(CONCATENATE("#Metadata!", ADDRESS(INDEX($W$2:$W$1001,MATCH(ROWS($U$2:U914),$U$2:$U$1001,0),0), INDEX($AB$1004:$AQ$1004,1,MATCH(COLUMNS($AB$1006:AE1006),$AB$1006:$AQ$1006,0)))),"Fix")))</f>
        <v>0</v>
      </c>
      <c r="F914" s="5">
        <f>IF(OR(INDEX($V$2:$V$1001,MATCH(ROWS($U$2:U914),$U$2:$U$1001,0),1)&gt;=100000,INDEX($AB$1005:$AQ$1005,1,MATCH(COLUMNS($AB$1006:AF1006),$AB$1006:$AQ$1006,0))&gt;=100000), " ",IF(INDEX($AB$2:$AQ$1001,MATCH(ROWS($U$2:U914),$U$2:$U$1001,0),MATCH(COLUMNS($AB$1006:AF1006),$AB$1006:$AQ$1006,0)), HYPERLINK("#",""), HYPERLINK(CONCATENATE("#Metadata!", ADDRESS(INDEX($W$2:$W$1001,MATCH(ROWS($U$2:U914),$U$2:$U$1001,0),0), INDEX($AB$1004:$AQ$1004,1,MATCH(COLUMNS($AB$1006:AF1006),$AB$1006:$AQ$1006,0)))),"Fix")))</f>
        <v>0</v>
      </c>
      <c r="G914" s="5">
        <f>IF(OR(INDEX($V$2:$V$1001,MATCH(ROWS($U$2:U914),$U$2:$U$1001,0),1)&gt;=100000,INDEX($AB$1005:$AQ$1005,1,MATCH(COLUMNS($AB$1006:AG1006),$AB$1006:$AQ$1006,0))&gt;=100000), " ",IF(INDEX($AB$2:$AQ$1001,MATCH(ROWS($U$2:U914),$U$2:$U$1001,0),MATCH(COLUMNS($AB$1006:AG1006),$AB$1006:$AQ$1006,0)), HYPERLINK("#",""), HYPERLINK(CONCATENATE("#Metadata!", ADDRESS(INDEX($W$2:$W$1001,MATCH(ROWS($U$2:U914),$U$2:$U$1001,0),0), INDEX($AB$1004:$AQ$1004,1,MATCH(COLUMNS($AB$1006:AG1006),$AB$1006:$AQ$1006,0)))),"Fix")))</f>
        <v>0</v>
      </c>
      <c r="H914" s="5">
        <f>IF(OR(INDEX($V$2:$V$1001,MATCH(ROWS($U$2:U914),$U$2:$U$1001,0),1)&gt;=100000,INDEX($AB$1005:$AQ$1005,1,MATCH(COLUMNS($AB$1006:AH1006),$AB$1006:$AQ$1006,0))&gt;=100000), " ",IF(INDEX($AB$2:$AQ$1001,MATCH(ROWS($U$2:U914),$U$2:$U$1001,0),MATCH(COLUMNS($AB$1006:AH1006),$AB$1006:$AQ$1006,0)), HYPERLINK("#",""), HYPERLINK(CONCATENATE("#Metadata!", ADDRESS(INDEX($W$2:$W$1001,MATCH(ROWS($U$2:U914),$U$2:$U$1001,0),0), INDEX($AB$1004:$AQ$1004,1,MATCH(COLUMNS($AB$1006:AH1006),$AB$1006:$AQ$1006,0)))),"Fix")))</f>
        <v>0</v>
      </c>
      <c r="I914" s="5">
        <f>IF(OR(INDEX($V$2:$V$1001,MATCH(ROWS($U$2:U914),$U$2:$U$1001,0),1)&gt;=100000,INDEX($AB$1005:$AQ$1005,1,MATCH(COLUMNS($AB$1006:AI1006),$AB$1006:$AQ$1006,0))&gt;=100000), " ",IF(INDEX($AB$2:$AQ$1001,MATCH(ROWS($U$2:U914),$U$2:$U$1001,0),MATCH(COLUMNS($AB$1006:AI1006),$AB$1006:$AQ$1006,0)), HYPERLINK("#",""), HYPERLINK(CONCATENATE("#Metadata!", ADDRESS(INDEX($W$2:$W$1001,MATCH(ROWS($U$2:U914),$U$2:$U$1001,0),0), INDEX($AB$1004:$AQ$1004,1,MATCH(COLUMNS($AB$1006:AI1006),$AB$1006:$AQ$1006,0)))),"Fix")))</f>
        <v>0</v>
      </c>
      <c r="J914" s="5">
        <f>IF(OR(INDEX($V$2:$V$1001,MATCH(ROWS($U$2:U914),$U$2:$U$1001,0),1)&gt;=100000,INDEX($AB$1005:$AQ$1005,1,MATCH(COLUMNS($AB$1006:AJ1006),$AB$1006:$AQ$1006,0))&gt;=100000), " ",IF(INDEX($AB$2:$AQ$1001,MATCH(ROWS($U$2:U914),$U$2:$U$1001,0),MATCH(COLUMNS($AB$1006:AJ1006),$AB$1006:$AQ$1006,0)), HYPERLINK("#",""), HYPERLINK(CONCATENATE("#Metadata!", ADDRESS(INDEX($W$2:$W$1001,MATCH(ROWS($U$2:U914),$U$2:$U$1001,0),0), INDEX($AB$1004:$AQ$1004,1,MATCH(COLUMNS($AB$1006:AJ1006),$AB$1006:$AQ$1006,0)))),"Fix")))</f>
        <v>0</v>
      </c>
      <c r="K914" s="5">
        <f>IF(OR(INDEX($V$2:$V$1001,MATCH(ROWS($U$2:U914),$U$2:$U$1001,0),1)&gt;=100000,INDEX($AB$1005:$AQ$1005,1,MATCH(COLUMNS($AB$1006:AK1006),$AB$1006:$AQ$1006,0))&gt;=100000), " ",IF(INDEX($AB$2:$AQ$1001,MATCH(ROWS($U$2:U914),$U$2:$U$1001,0),MATCH(COLUMNS($AB$1006:AK1006),$AB$1006:$AQ$1006,0)), HYPERLINK("#",""), HYPERLINK(CONCATENATE("#Metadata!", ADDRESS(INDEX($W$2:$W$1001,MATCH(ROWS($U$2:U914),$U$2:$U$1001,0),0), INDEX($AB$1004:$AQ$1004,1,MATCH(COLUMNS($AB$1006:AK1006),$AB$1006:$AQ$1006,0)))),"Fix")))</f>
        <v>0</v>
      </c>
      <c r="L914" s="5">
        <f>IF(OR(INDEX($V$2:$V$1001,MATCH(ROWS($U$2:U914),$U$2:$U$1001,0),1)&gt;=100000,INDEX($AB$1005:$AQ$1005,1,MATCH(COLUMNS($AB$1006:AL1006),$AB$1006:$AQ$1006,0))&gt;=100000), " ",IF(INDEX($AB$2:$AQ$1001,MATCH(ROWS($U$2:U914),$U$2:$U$1001,0),MATCH(COLUMNS($AB$1006:AL1006),$AB$1006:$AQ$1006,0)), HYPERLINK("#",""), HYPERLINK(CONCATENATE("#Metadata!", ADDRESS(INDEX($W$2:$W$1001,MATCH(ROWS($U$2:U914),$U$2:$U$1001,0),0), INDEX($AB$1004:$AQ$1004,1,MATCH(COLUMNS($AB$1006:AL1006),$AB$1006:$AQ$1006,0)))),"Fix")))</f>
        <v>0</v>
      </c>
      <c r="M914" s="5">
        <f>IF(OR(INDEX($V$2:$V$1001,MATCH(ROWS($U$2:U914),$U$2:$U$1001,0),1)&gt;=100000,INDEX($AB$1005:$AQ$1005,1,MATCH(COLUMNS($AB$1006:AM1006),$AB$1006:$AQ$1006,0))&gt;=100000), " ",IF(INDEX($AB$2:$AQ$1001,MATCH(ROWS($U$2:U914),$U$2:$U$1001,0),MATCH(COLUMNS($AB$1006:AM1006),$AB$1006:$AQ$1006,0)), HYPERLINK("#",""), HYPERLINK(CONCATENATE("#Metadata!", ADDRESS(INDEX($W$2:$W$1001,MATCH(ROWS($U$2:U914),$U$2:$U$1001,0),0), INDEX($AB$1004:$AQ$1004,1,MATCH(COLUMNS($AB$1006:AM1006),$AB$1006:$AQ$1006,0)))),"Fix")))</f>
        <v>0</v>
      </c>
      <c r="N914" s="5">
        <f>IF(OR(INDEX($V$2:$V$1001,MATCH(ROWS($U$2:U914),$U$2:$U$1001,0),1)&gt;=100000,INDEX($AB$1005:$AQ$1005,1,MATCH(COLUMNS($AB$1006:AN1006),$AB$1006:$AQ$1006,0))&gt;=100000), " ",IF(INDEX($AB$2:$AQ$1001,MATCH(ROWS($U$2:U914),$U$2:$U$1001,0),MATCH(COLUMNS($AB$1006:AN1006),$AB$1006:$AQ$1006,0)), HYPERLINK("#",""), HYPERLINK(CONCATENATE("#Metadata!", ADDRESS(INDEX($W$2:$W$1001,MATCH(ROWS($U$2:U914),$U$2:$U$1001,0),0), INDEX($AB$1004:$AQ$1004,1,MATCH(COLUMNS($AB$1006:AN1006),$AB$1006:$AQ$1006,0)))),"Fix")))</f>
        <v>0</v>
      </c>
      <c r="O914" s="5">
        <f>IF(OR(INDEX($V$2:$V$1001,MATCH(ROWS($U$2:U914),$U$2:$U$1001,0),1)&gt;=100000,INDEX($AB$1005:$AQ$1005,1,MATCH(COLUMNS($AB$1006:AO1006),$AB$1006:$AQ$1006,0))&gt;=100000), " ",IF(INDEX($AB$2:$AQ$1001,MATCH(ROWS($U$2:U914),$U$2:$U$1001,0),MATCH(COLUMNS($AB$1006:AO1006),$AB$1006:$AQ$1006,0)), HYPERLINK("#",""), HYPERLINK(CONCATENATE("#Metadata!", ADDRESS(INDEX($W$2:$W$1001,MATCH(ROWS($U$2:U914),$U$2:$U$1001,0),0), INDEX($AB$1004:$AQ$1004,1,MATCH(COLUMNS($AB$1006:AO1006),$AB$1006:$AQ$1006,0)))),"Fix")))</f>
        <v>0</v>
      </c>
      <c r="P914" s="5">
        <f>IF(OR(INDEX($V$2:$V$1001,MATCH(ROWS($U$2:U914),$U$2:$U$1001,0),1)&gt;=100000,INDEX($AB$1005:$AQ$1005,1,MATCH(COLUMNS($AB$1006:AP1006),$AB$1006:$AQ$1006,0))&gt;=100000), " ",IF(INDEX($AB$2:$AQ$1001,MATCH(ROWS($U$2:U914),$U$2:$U$1001,0),MATCH(COLUMNS($AB$1006:AP1006),$AB$1006:$AQ$1006,0)), HYPERLINK("#",""), HYPERLINK(CONCATENATE("#Metadata!", ADDRESS(INDEX($W$2:$W$1001,MATCH(ROWS($U$2:U914),$U$2:$U$1001,0),0), INDEX($AB$1004:$AQ$1004,1,MATCH(COLUMNS($AB$1006:AP1006),$AB$1006:$AQ$1006,0)))),"Fix")))</f>
        <v>0</v>
      </c>
      <c r="Q914" s="5">
        <f>IF(OR(INDEX($V$2:$V$1001,MATCH(ROWS($U$2:U914),$U$2:$U$1001,0),1)&gt;=100000,INDEX($AB$1005:$AQ$1005,1,MATCH(COLUMNS($AB$1006:AQ1006),$AB$1006:$AQ$1006,0))&gt;=100000), " ",IF(INDEX($AB$2:$AQ$1001,MATCH(ROWS($U$2:U914),$U$2:$U$1001,0),MATCH(COLUMNS($AB$1006:AQ1006),$AB$1006:$AQ$1006,0)), HYPERLINK("#",""), HYPERLINK(CONCATENATE("#Metadata!", ADDRESS(INDEX($W$2:$W$1001,MATCH(ROWS($U$2:U914),$U$2:$U$1001,0),0), INDEX($AB$1004:$AQ$1004,1,MATCH(COLUMNS($AB$1006:AQ1006),$AB$1006:$AQ$1006,0)))),"Fix")))</f>
        <v>0</v>
      </c>
      <c r="U914">
        <v>0</v>
      </c>
      <c r="V914">
        <v>0</v>
      </c>
      <c r="W914">
        <v>0</v>
      </c>
      <c r="X914">
        <f>IF(Y914,TRUE,AND(AB914:AQ914))</f>
        <v>0</v>
      </c>
      <c r="Y914">
        <f>COUNTBLANK(Metadata!B914:Q914)=COLUMNS(Metadata!B914:Q914)</f>
        <v>0</v>
      </c>
      <c r="Z914">
        <v>0</v>
      </c>
      <c r="AB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AC914">
        <f>AND(IF(Metadata!C914="",FALSE,TRUE),exact(Metadata!C914,"urban biome"))</f>
        <v>0</v>
      </c>
      <c r="AD914">
        <f>AND(IF(Metadata!D914="",FALSE,TRUE),exact(Metadata!D914,"human-associated habitat"))</f>
        <v>0</v>
      </c>
      <c r="AE914">
        <f>AND(IF(Metadata!E914="",FALSE,TRUE),OR(exact(Metadata!E914,"human-associated"),exact(Metadata!E914,"human-skin"),exact(Metadata!E914,"human-oral"),exact(Metadata!E914,"human-gut"),exact(Metadata!E914,"human-vaginal")))</f>
        <v>0</v>
      </c>
      <c r="AF914">
        <f>AND(IF(Metadata!F914="",FALSE,ISNUMBER(VALUE(Metadata!F914))),Metadata!F914&gt;0)</f>
        <v>0</v>
      </c>
      <c r="AG914">
        <f>AND(IF(Metadata!G914="",FALSE,TRUE),exact(Metadata!G914,"years"))</f>
        <v>0</v>
      </c>
      <c r="AH914">
        <f>OR(AND(IF(Metadata!H914="",FALSE,TRUE),OR(exact(Metadata!H914,"not applicable"),exact(Metadata!H914,"not collected"),exact(Metadata!H914,"not provided"),exact(Metadata!H914,"restricted access"))),AND(IF(Metadata!H914="",FALSE,ISNUMBER(VALUE(Metadata!H914))),Metadata!H914&gt;0))</f>
        <v>0</v>
      </c>
      <c r="AI914">
        <f>AND(IF(Metadata!I914="",FALSE,TRUE),exact(Metadata!I914,"human"))</f>
        <v>0</v>
      </c>
      <c r="AJ914">
        <f>AND(IF(Metadata!J914="",FALSE,ISNUMBER(VALUE(Metadata!J914))),Metadata!J914&gt;0)</f>
        <v>0</v>
      </c>
      <c r="AK914">
        <f>AND(IF(Metadata!K914="",FALSE,TRUE),exact(Metadata!K914,"cm"))</f>
        <v>0</v>
      </c>
      <c r="AL914">
        <f>AND(IF(Metadata!L914="",FALSE,TRUE),exact(Metadata!L914,"Homo sapiens"))</f>
        <v>0</v>
      </c>
      <c r="AM914">
        <f>AND(IF(Metadata!M914="",FALSE,TRUE),exact(Metadata!M914,"9606"))</f>
        <v>0</v>
      </c>
      <c r="AN914">
        <f>AND(IF(Metadata!N914="",FALSE,ISNUMBER(VALUE(Metadata!N914))),Metadata!N914&gt;0)</f>
        <v>0</v>
      </c>
      <c r="AO914">
        <f>AND(IF(Metadata!O914="",FALSE,TRUE),exact(Metadata!O914,"kg"))</f>
        <v>0</v>
      </c>
      <c r="AP914">
        <f>OR(AND(IF(Metadata!P914="",FALSE,TRUE),exact(Metadata!P914,"not provided")),IF(Metadata!P914="",FALSE,TRUE))</f>
        <v>0</v>
      </c>
      <c r="AQ914">
        <f>OR(AND(IF(Metadata!Q914="",FALSE,TRUE),exact(Metadata!Q914,"not provided")),IF(Metadata!Q914="",FALSE,TRUE))</f>
        <v>0</v>
      </c>
    </row>
    <row r="915" spans="1:43">
      <c r="A915" s="4">
        <f>IF(B915=" "," ",HYPERLINK(CONCATENATE("#metadata!",ADDRESS(INDEX($W$2:$W$1001,MATCH(ROWS($U$2:U915),$U$2:$U$1001,0),0),2)),INDEX($Z$2:$Z$1001,MATCH(ROWS($U$2:U915),$U$2:$U$1001,0),0)))</f>
        <v>0</v>
      </c>
      <c r="B915" s="5">
        <f>IF(OR(INDEX($V$2:$V$1001,MATCH(ROWS($U$2:U915),$U$2:$U$1001,0),1)&gt;=100000,INDEX($AB$1005:$AQ$1005,1,MATCH(COLUMNS($AB$1006:AB1006),$AB$1006:$AQ$1006,0))&gt;=100000), " ",IF(INDEX($AB$2:$AQ$1001,MATCH(ROWS($U$2:U915),$U$2:$U$1001,0),MATCH(COLUMNS($AB$1006:AB1006),$AB$1006:$AQ$1006,0)), HYPERLINK("#",""), HYPERLINK(CONCATENATE("#Metadata!", ADDRESS(INDEX($W$2:$W$1001,MATCH(ROWS($U$2:U915),$U$2:$U$1001,0),0), INDEX($AB$1004:$AQ$1004,1,MATCH(COLUMNS($AB$1006:AB1006),$AB$1006:$AQ$1006,0)))),"Fix")))</f>
        <v>0</v>
      </c>
      <c r="C915" s="5">
        <f>IF(OR(INDEX($V$2:$V$1001,MATCH(ROWS($U$2:U915),$U$2:$U$1001,0),1)&gt;=100000,INDEX($AB$1005:$AQ$1005,1,MATCH(COLUMNS($AB$1006:AC1006),$AB$1006:$AQ$1006,0))&gt;=100000), " ",IF(INDEX($AB$2:$AQ$1001,MATCH(ROWS($U$2:U915),$U$2:$U$1001,0),MATCH(COLUMNS($AB$1006:AC1006),$AB$1006:$AQ$1006,0)), HYPERLINK("#",""), HYPERLINK(CONCATENATE("#Metadata!", ADDRESS(INDEX($W$2:$W$1001,MATCH(ROWS($U$2:U915),$U$2:$U$1001,0),0), INDEX($AB$1004:$AQ$1004,1,MATCH(COLUMNS($AB$1006:AC1006),$AB$1006:$AQ$1006,0)))),"Fix")))</f>
        <v>0</v>
      </c>
      <c r="D915" s="5">
        <f>IF(OR(INDEX($V$2:$V$1001,MATCH(ROWS($U$2:U915),$U$2:$U$1001,0),1)&gt;=100000,INDEX($AB$1005:$AQ$1005,1,MATCH(COLUMNS($AB$1006:AD1006),$AB$1006:$AQ$1006,0))&gt;=100000), " ",IF(INDEX($AB$2:$AQ$1001,MATCH(ROWS($U$2:U915),$U$2:$U$1001,0),MATCH(COLUMNS($AB$1006:AD1006),$AB$1006:$AQ$1006,0)), HYPERLINK("#",""), HYPERLINK(CONCATENATE("#Metadata!", ADDRESS(INDEX($W$2:$W$1001,MATCH(ROWS($U$2:U915),$U$2:$U$1001,0),0), INDEX($AB$1004:$AQ$1004,1,MATCH(COLUMNS($AB$1006:AD1006),$AB$1006:$AQ$1006,0)))),"Fix")))</f>
        <v>0</v>
      </c>
      <c r="E915" s="5">
        <f>IF(OR(INDEX($V$2:$V$1001,MATCH(ROWS($U$2:U915),$U$2:$U$1001,0),1)&gt;=100000,INDEX($AB$1005:$AQ$1005,1,MATCH(COLUMNS($AB$1006:AE1006),$AB$1006:$AQ$1006,0))&gt;=100000), " ",IF(INDEX($AB$2:$AQ$1001,MATCH(ROWS($U$2:U915),$U$2:$U$1001,0),MATCH(COLUMNS($AB$1006:AE1006),$AB$1006:$AQ$1006,0)), HYPERLINK("#",""), HYPERLINK(CONCATENATE("#Metadata!", ADDRESS(INDEX($W$2:$W$1001,MATCH(ROWS($U$2:U915),$U$2:$U$1001,0),0), INDEX($AB$1004:$AQ$1004,1,MATCH(COLUMNS($AB$1006:AE1006),$AB$1006:$AQ$1006,0)))),"Fix")))</f>
        <v>0</v>
      </c>
      <c r="F915" s="5">
        <f>IF(OR(INDEX($V$2:$V$1001,MATCH(ROWS($U$2:U915),$U$2:$U$1001,0),1)&gt;=100000,INDEX($AB$1005:$AQ$1005,1,MATCH(COLUMNS($AB$1006:AF1006),$AB$1006:$AQ$1006,0))&gt;=100000), " ",IF(INDEX($AB$2:$AQ$1001,MATCH(ROWS($U$2:U915),$U$2:$U$1001,0),MATCH(COLUMNS($AB$1006:AF1006),$AB$1006:$AQ$1006,0)), HYPERLINK("#",""), HYPERLINK(CONCATENATE("#Metadata!", ADDRESS(INDEX($W$2:$W$1001,MATCH(ROWS($U$2:U915),$U$2:$U$1001,0),0), INDEX($AB$1004:$AQ$1004,1,MATCH(COLUMNS($AB$1006:AF1006),$AB$1006:$AQ$1006,0)))),"Fix")))</f>
        <v>0</v>
      </c>
      <c r="G915" s="5">
        <f>IF(OR(INDEX($V$2:$V$1001,MATCH(ROWS($U$2:U915),$U$2:$U$1001,0),1)&gt;=100000,INDEX($AB$1005:$AQ$1005,1,MATCH(COLUMNS($AB$1006:AG1006),$AB$1006:$AQ$1006,0))&gt;=100000), " ",IF(INDEX($AB$2:$AQ$1001,MATCH(ROWS($U$2:U915),$U$2:$U$1001,0),MATCH(COLUMNS($AB$1006:AG1006),$AB$1006:$AQ$1006,0)), HYPERLINK("#",""), HYPERLINK(CONCATENATE("#Metadata!", ADDRESS(INDEX($W$2:$W$1001,MATCH(ROWS($U$2:U915),$U$2:$U$1001,0),0), INDEX($AB$1004:$AQ$1004,1,MATCH(COLUMNS($AB$1006:AG1006),$AB$1006:$AQ$1006,0)))),"Fix")))</f>
        <v>0</v>
      </c>
      <c r="H915" s="5">
        <f>IF(OR(INDEX($V$2:$V$1001,MATCH(ROWS($U$2:U915),$U$2:$U$1001,0),1)&gt;=100000,INDEX($AB$1005:$AQ$1005,1,MATCH(COLUMNS($AB$1006:AH1006),$AB$1006:$AQ$1006,0))&gt;=100000), " ",IF(INDEX($AB$2:$AQ$1001,MATCH(ROWS($U$2:U915),$U$2:$U$1001,0),MATCH(COLUMNS($AB$1006:AH1006),$AB$1006:$AQ$1006,0)), HYPERLINK("#",""), HYPERLINK(CONCATENATE("#Metadata!", ADDRESS(INDEX($W$2:$W$1001,MATCH(ROWS($U$2:U915),$U$2:$U$1001,0),0), INDEX($AB$1004:$AQ$1004,1,MATCH(COLUMNS($AB$1006:AH1006),$AB$1006:$AQ$1006,0)))),"Fix")))</f>
        <v>0</v>
      </c>
      <c r="I915" s="5">
        <f>IF(OR(INDEX($V$2:$V$1001,MATCH(ROWS($U$2:U915),$U$2:$U$1001,0),1)&gt;=100000,INDEX($AB$1005:$AQ$1005,1,MATCH(COLUMNS($AB$1006:AI1006),$AB$1006:$AQ$1006,0))&gt;=100000), " ",IF(INDEX($AB$2:$AQ$1001,MATCH(ROWS($U$2:U915),$U$2:$U$1001,0),MATCH(COLUMNS($AB$1006:AI1006),$AB$1006:$AQ$1006,0)), HYPERLINK("#",""), HYPERLINK(CONCATENATE("#Metadata!", ADDRESS(INDEX($W$2:$W$1001,MATCH(ROWS($U$2:U915),$U$2:$U$1001,0),0), INDEX($AB$1004:$AQ$1004,1,MATCH(COLUMNS($AB$1006:AI1006),$AB$1006:$AQ$1006,0)))),"Fix")))</f>
        <v>0</v>
      </c>
      <c r="J915" s="5">
        <f>IF(OR(INDEX($V$2:$V$1001,MATCH(ROWS($U$2:U915),$U$2:$U$1001,0),1)&gt;=100000,INDEX($AB$1005:$AQ$1005,1,MATCH(COLUMNS($AB$1006:AJ1006),$AB$1006:$AQ$1006,0))&gt;=100000), " ",IF(INDEX($AB$2:$AQ$1001,MATCH(ROWS($U$2:U915),$U$2:$U$1001,0),MATCH(COLUMNS($AB$1006:AJ1006),$AB$1006:$AQ$1006,0)), HYPERLINK("#",""), HYPERLINK(CONCATENATE("#Metadata!", ADDRESS(INDEX($W$2:$W$1001,MATCH(ROWS($U$2:U915),$U$2:$U$1001,0),0), INDEX($AB$1004:$AQ$1004,1,MATCH(COLUMNS($AB$1006:AJ1006),$AB$1006:$AQ$1006,0)))),"Fix")))</f>
        <v>0</v>
      </c>
      <c r="K915" s="5">
        <f>IF(OR(INDEX($V$2:$V$1001,MATCH(ROWS($U$2:U915),$U$2:$U$1001,0),1)&gt;=100000,INDEX($AB$1005:$AQ$1005,1,MATCH(COLUMNS($AB$1006:AK1006),$AB$1006:$AQ$1006,0))&gt;=100000), " ",IF(INDEX($AB$2:$AQ$1001,MATCH(ROWS($U$2:U915),$U$2:$U$1001,0),MATCH(COLUMNS($AB$1006:AK1006),$AB$1006:$AQ$1006,0)), HYPERLINK("#",""), HYPERLINK(CONCATENATE("#Metadata!", ADDRESS(INDEX($W$2:$W$1001,MATCH(ROWS($U$2:U915),$U$2:$U$1001,0),0), INDEX($AB$1004:$AQ$1004,1,MATCH(COLUMNS($AB$1006:AK1006),$AB$1006:$AQ$1006,0)))),"Fix")))</f>
        <v>0</v>
      </c>
      <c r="L915" s="5">
        <f>IF(OR(INDEX($V$2:$V$1001,MATCH(ROWS($U$2:U915),$U$2:$U$1001,0),1)&gt;=100000,INDEX($AB$1005:$AQ$1005,1,MATCH(COLUMNS($AB$1006:AL1006),$AB$1006:$AQ$1006,0))&gt;=100000), " ",IF(INDEX($AB$2:$AQ$1001,MATCH(ROWS($U$2:U915),$U$2:$U$1001,0),MATCH(COLUMNS($AB$1006:AL1006),$AB$1006:$AQ$1006,0)), HYPERLINK("#",""), HYPERLINK(CONCATENATE("#Metadata!", ADDRESS(INDEX($W$2:$W$1001,MATCH(ROWS($U$2:U915),$U$2:$U$1001,0),0), INDEX($AB$1004:$AQ$1004,1,MATCH(COLUMNS($AB$1006:AL1006),$AB$1006:$AQ$1006,0)))),"Fix")))</f>
        <v>0</v>
      </c>
      <c r="M915" s="5">
        <f>IF(OR(INDEX($V$2:$V$1001,MATCH(ROWS($U$2:U915),$U$2:$U$1001,0),1)&gt;=100000,INDEX($AB$1005:$AQ$1005,1,MATCH(COLUMNS($AB$1006:AM1006),$AB$1006:$AQ$1006,0))&gt;=100000), " ",IF(INDEX($AB$2:$AQ$1001,MATCH(ROWS($U$2:U915),$U$2:$U$1001,0),MATCH(COLUMNS($AB$1006:AM1006),$AB$1006:$AQ$1006,0)), HYPERLINK("#",""), HYPERLINK(CONCATENATE("#Metadata!", ADDRESS(INDEX($W$2:$W$1001,MATCH(ROWS($U$2:U915),$U$2:$U$1001,0),0), INDEX($AB$1004:$AQ$1004,1,MATCH(COLUMNS($AB$1006:AM1006),$AB$1006:$AQ$1006,0)))),"Fix")))</f>
        <v>0</v>
      </c>
      <c r="N915" s="5">
        <f>IF(OR(INDEX($V$2:$V$1001,MATCH(ROWS($U$2:U915),$U$2:$U$1001,0),1)&gt;=100000,INDEX($AB$1005:$AQ$1005,1,MATCH(COLUMNS($AB$1006:AN1006),$AB$1006:$AQ$1006,0))&gt;=100000), " ",IF(INDEX($AB$2:$AQ$1001,MATCH(ROWS($U$2:U915),$U$2:$U$1001,0),MATCH(COLUMNS($AB$1006:AN1006),$AB$1006:$AQ$1006,0)), HYPERLINK("#",""), HYPERLINK(CONCATENATE("#Metadata!", ADDRESS(INDEX($W$2:$W$1001,MATCH(ROWS($U$2:U915),$U$2:$U$1001,0),0), INDEX($AB$1004:$AQ$1004,1,MATCH(COLUMNS($AB$1006:AN1006),$AB$1006:$AQ$1006,0)))),"Fix")))</f>
        <v>0</v>
      </c>
      <c r="O915" s="5">
        <f>IF(OR(INDEX($V$2:$V$1001,MATCH(ROWS($U$2:U915),$U$2:$U$1001,0),1)&gt;=100000,INDEX($AB$1005:$AQ$1005,1,MATCH(COLUMNS($AB$1006:AO1006),$AB$1006:$AQ$1006,0))&gt;=100000), " ",IF(INDEX($AB$2:$AQ$1001,MATCH(ROWS($U$2:U915),$U$2:$U$1001,0),MATCH(COLUMNS($AB$1006:AO1006),$AB$1006:$AQ$1006,0)), HYPERLINK("#",""), HYPERLINK(CONCATENATE("#Metadata!", ADDRESS(INDEX($W$2:$W$1001,MATCH(ROWS($U$2:U915),$U$2:$U$1001,0),0), INDEX($AB$1004:$AQ$1004,1,MATCH(COLUMNS($AB$1006:AO1006),$AB$1006:$AQ$1006,0)))),"Fix")))</f>
        <v>0</v>
      </c>
      <c r="P915" s="5">
        <f>IF(OR(INDEX($V$2:$V$1001,MATCH(ROWS($U$2:U915),$U$2:$U$1001,0),1)&gt;=100000,INDEX($AB$1005:$AQ$1005,1,MATCH(COLUMNS($AB$1006:AP1006),$AB$1006:$AQ$1006,0))&gt;=100000), " ",IF(INDEX($AB$2:$AQ$1001,MATCH(ROWS($U$2:U915),$U$2:$U$1001,0),MATCH(COLUMNS($AB$1006:AP1006),$AB$1006:$AQ$1006,0)), HYPERLINK("#",""), HYPERLINK(CONCATENATE("#Metadata!", ADDRESS(INDEX($W$2:$W$1001,MATCH(ROWS($U$2:U915),$U$2:$U$1001,0),0), INDEX($AB$1004:$AQ$1004,1,MATCH(COLUMNS($AB$1006:AP1006),$AB$1006:$AQ$1006,0)))),"Fix")))</f>
        <v>0</v>
      </c>
      <c r="Q915" s="5">
        <f>IF(OR(INDEX($V$2:$V$1001,MATCH(ROWS($U$2:U915),$U$2:$U$1001,0),1)&gt;=100000,INDEX($AB$1005:$AQ$1005,1,MATCH(COLUMNS($AB$1006:AQ1006),$AB$1006:$AQ$1006,0))&gt;=100000), " ",IF(INDEX($AB$2:$AQ$1001,MATCH(ROWS($U$2:U915),$U$2:$U$1001,0),MATCH(COLUMNS($AB$1006:AQ1006),$AB$1006:$AQ$1006,0)), HYPERLINK("#",""), HYPERLINK(CONCATENATE("#Metadata!", ADDRESS(INDEX($W$2:$W$1001,MATCH(ROWS($U$2:U915),$U$2:$U$1001,0),0), INDEX($AB$1004:$AQ$1004,1,MATCH(COLUMNS($AB$1006:AQ1006),$AB$1006:$AQ$1006,0)))),"Fix")))</f>
        <v>0</v>
      </c>
      <c r="U915">
        <v>0</v>
      </c>
      <c r="V915">
        <v>0</v>
      </c>
      <c r="W915">
        <v>0</v>
      </c>
      <c r="X915">
        <f>IF(Y915,TRUE,AND(AB915:AQ915))</f>
        <v>0</v>
      </c>
      <c r="Y915">
        <f>COUNTBLANK(Metadata!B915:Q915)=COLUMNS(Metadata!B915:Q915)</f>
        <v>0</v>
      </c>
      <c r="Z915">
        <v>0</v>
      </c>
      <c r="AB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AC915">
        <f>AND(IF(Metadata!C915="",FALSE,TRUE),exact(Metadata!C915,"urban biome"))</f>
        <v>0</v>
      </c>
      <c r="AD915">
        <f>AND(IF(Metadata!D915="",FALSE,TRUE),exact(Metadata!D915,"human-associated habitat"))</f>
        <v>0</v>
      </c>
      <c r="AE915">
        <f>AND(IF(Metadata!E915="",FALSE,TRUE),OR(exact(Metadata!E915,"human-associated"),exact(Metadata!E915,"human-skin"),exact(Metadata!E915,"human-oral"),exact(Metadata!E915,"human-gut"),exact(Metadata!E915,"human-vaginal")))</f>
        <v>0</v>
      </c>
      <c r="AF915">
        <f>AND(IF(Metadata!F915="",FALSE,ISNUMBER(VALUE(Metadata!F915))),Metadata!F915&gt;0)</f>
        <v>0</v>
      </c>
      <c r="AG915">
        <f>AND(IF(Metadata!G915="",FALSE,TRUE),exact(Metadata!G915,"years"))</f>
        <v>0</v>
      </c>
      <c r="AH915">
        <f>OR(AND(IF(Metadata!H915="",FALSE,TRUE),OR(exact(Metadata!H915,"not applicable"),exact(Metadata!H915,"not collected"),exact(Metadata!H915,"not provided"),exact(Metadata!H915,"restricted access"))),AND(IF(Metadata!H915="",FALSE,ISNUMBER(VALUE(Metadata!H915))),Metadata!H915&gt;0))</f>
        <v>0</v>
      </c>
      <c r="AI915">
        <f>AND(IF(Metadata!I915="",FALSE,TRUE),exact(Metadata!I915,"human"))</f>
        <v>0</v>
      </c>
      <c r="AJ915">
        <f>AND(IF(Metadata!J915="",FALSE,ISNUMBER(VALUE(Metadata!J915))),Metadata!J915&gt;0)</f>
        <v>0</v>
      </c>
      <c r="AK915">
        <f>AND(IF(Metadata!K915="",FALSE,TRUE),exact(Metadata!K915,"cm"))</f>
        <v>0</v>
      </c>
      <c r="AL915">
        <f>AND(IF(Metadata!L915="",FALSE,TRUE),exact(Metadata!L915,"Homo sapiens"))</f>
        <v>0</v>
      </c>
      <c r="AM915">
        <f>AND(IF(Metadata!M915="",FALSE,TRUE),exact(Metadata!M915,"9606"))</f>
        <v>0</v>
      </c>
      <c r="AN915">
        <f>AND(IF(Metadata!N915="",FALSE,ISNUMBER(VALUE(Metadata!N915))),Metadata!N915&gt;0)</f>
        <v>0</v>
      </c>
      <c r="AO915">
        <f>AND(IF(Metadata!O915="",FALSE,TRUE),exact(Metadata!O915,"kg"))</f>
        <v>0</v>
      </c>
      <c r="AP915">
        <f>OR(AND(IF(Metadata!P915="",FALSE,TRUE),exact(Metadata!P915,"not provided")),IF(Metadata!P915="",FALSE,TRUE))</f>
        <v>0</v>
      </c>
      <c r="AQ915">
        <f>OR(AND(IF(Metadata!Q915="",FALSE,TRUE),exact(Metadata!Q915,"not provided")),IF(Metadata!Q915="",FALSE,TRUE))</f>
        <v>0</v>
      </c>
    </row>
    <row r="916" spans="1:43">
      <c r="A916" s="4">
        <f>IF(B916=" "," ",HYPERLINK(CONCATENATE("#metadata!",ADDRESS(INDEX($W$2:$W$1001,MATCH(ROWS($U$2:U916),$U$2:$U$1001,0),0),2)),INDEX($Z$2:$Z$1001,MATCH(ROWS($U$2:U916),$U$2:$U$1001,0),0)))</f>
        <v>0</v>
      </c>
      <c r="B916" s="5">
        <f>IF(OR(INDEX($V$2:$V$1001,MATCH(ROWS($U$2:U916),$U$2:$U$1001,0),1)&gt;=100000,INDEX($AB$1005:$AQ$1005,1,MATCH(COLUMNS($AB$1006:AB1006),$AB$1006:$AQ$1006,0))&gt;=100000), " ",IF(INDEX($AB$2:$AQ$1001,MATCH(ROWS($U$2:U916),$U$2:$U$1001,0),MATCH(COLUMNS($AB$1006:AB1006),$AB$1006:$AQ$1006,0)), HYPERLINK("#",""), HYPERLINK(CONCATENATE("#Metadata!", ADDRESS(INDEX($W$2:$W$1001,MATCH(ROWS($U$2:U916),$U$2:$U$1001,0),0), INDEX($AB$1004:$AQ$1004,1,MATCH(COLUMNS($AB$1006:AB1006),$AB$1006:$AQ$1006,0)))),"Fix")))</f>
        <v>0</v>
      </c>
      <c r="C916" s="5">
        <f>IF(OR(INDEX($V$2:$V$1001,MATCH(ROWS($U$2:U916),$U$2:$U$1001,0),1)&gt;=100000,INDEX($AB$1005:$AQ$1005,1,MATCH(COLUMNS($AB$1006:AC1006),$AB$1006:$AQ$1006,0))&gt;=100000), " ",IF(INDEX($AB$2:$AQ$1001,MATCH(ROWS($U$2:U916),$U$2:$U$1001,0),MATCH(COLUMNS($AB$1006:AC1006),$AB$1006:$AQ$1006,0)), HYPERLINK("#",""), HYPERLINK(CONCATENATE("#Metadata!", ADDRESS(INDEX($W$2:$W$1001,MATCH(ROWS($U$2:U916),$U$2:$U$1001,0),0), INDEX($AB$1004:$AQ$1004,1,MATCH(COLUMNS($AB$1006:AC1006),$AB$1006:$AQ$1006,0)))),"Fix")))</f>
        <v>0</v>
      </c>
      <c r="D916" s="5">
        <f>IF(OR(INDEX($V$2:$V$1001,MATCH(ROWS($U$2:U916),$U$2:$U$1001,0),1)&gt;=100000,INDEX($AB$1005:$AQ$1005,1,MATCH(COLUMNS($AB$1006:AD1006),$AB$1006:$AQ$1006,0))&gt;=100000), " ",IF(INDEX($AB$2:$AQ$1001,MATCH(ROWS($U$2:U916),$U$2:$U$1001,0),MATCH(COLUMNS($AB$1006:AD1006),$AB$1006:$AQ$1006,0)), HYPERLINK("#",""), HYPERLINK(CONCATENATE("#Metadata!", ADDRESS(INDEX($W$2:$W$1001,MATCH(ROWS($U$2:U916),$U$2:$U$1001,0),0), INDEX($AB$1004:$AQ$1004,1,MATCH(COLUMNS($AB$1006:AD1006),$AB$1006:$AQ$1006,0)))),"Fix")))</f>
        <v>0</v>
      </c>
      <c r="E916" s="5">
        <f>IF(OR(INDEX($V$2:$V$1001,MATCH(ROWS($U$2:U916),$U$2:$U$1001,0),1)&gt;=100000,INDEX($AB$1005:$AQ$1005,1,MATCH(COLUMNS($AB$1006:AE1006),$AB$1006:$AQ$1006,0))&gt;=100000), " ",IF(INDEX($AB$2:$AQ$1001,MATCH(ROWS($U$2:U916),$U$2:$U$1001,0),MATCH(COLUMNS($AB$1006:AE1006),$AB$1006:$AQ$1006,0)), HYPERLINK("#",""), HYPERLINK(CONCATENATE("#Metadata!", ADDRESS(INDEX($W$2:$W$1001,MATCH(ROWS($U$2:U916),$U$2:$U$1001,0),0), INDEX($AB$1004:$AQ$1004,1,MATCH(COLUMNS($AB$1006:AE1006),$AB$1006:$AQ$1006,0)))),"Fix")))</f>
        <v>0</v>
      </c>
      <c r="F916" s="5">
        <f>IF(OR(INDEX($V$2:$V$1001,MATCH(ROWS($U$2:U916),$U$2:$U$1001,0),1)&gt;=100000,INDEX($AB$1005:$AQ$1005,1,MATCH(COLUMNS($AB$1006:AF1006),$AB$1006:$AQ$1006,0))&gt;=100000), " ",IF(INDEX($AB$2:$AQ$1001,MATCH(ROWS($U$2:U916),$U$2:$U$1001,0),MATCH(COLUMNS($AB$1006:AF1006),$AB$1006:$AQ$1006,0)), HYPERLINK("#",""), HYPERLINK(CONCATENATE("#Metadata!", ADDRESS(INDEX($W$2:$W$1001,MATCH(ROWS($U$2:U916),$U$2:$U$1001,0),0), INDEX($AB$1004:$AQ$1004,1,MATCH(COLUMNS($AB$1006:AF1006),$AB$1006:$AQ$1006,0)))),"Fix")))</f>
        <v>0</v>
      </c>
      <c r="G916" s="5">
        <f>IF(OR(INDEX($V$2:$V$1001,MATCH(ROWS($U$2:U916),$U$2:$U$1001,0),1)&gt;=100000,INDEX($AB$1005:$AQ$1005,1,MATCH(COLUMNS($AB$1006:AG1006),$AB$1006:$AQ$1006,0))&gt;=100000), " ",IF(INDEX($AB$2:$AQ$1001,MATCH(ROWS($U$2:U916),$U$2:$U$1001,0),MATCH(COLUMNS($AB$1006:AG1006),$AB$1006:$AQ$1006,0)), HYPERLINK("#",""), HYPERLINK(CONCATENATE("#Metadata!", ADDRESS(INDEX($W$2:$W$1001,MATCH(ROWS($U$2:U916),$U$2:$U$1001,0),0), INDEX($AB$1004:$AQ$1004,1,MATCH(COLUMNS($AB$1006:AG1006),$AB$1006:$AQ$1006,0)))),"Fix")))</f>
        <v>0</v>
      </c>
      <c r="H916" s="5">
        <f>IF(OR(INDEX($V$2:$V$1001,MATCH(ROWS($U$2:U916),$U$2:$U$1001,0),1)&gt;=100000,INDEX($AB$1005:$AQ$1005,1,MATCH(COLUMNS($AB$1006:AH1006),$AB$1006:$AQ$1006,0))&gt;=100000), " ",IF(INDEX($AB$2:$AQ$1001,MATCH(ROWS($U$2:U916),$U$2:$U$1001,0),MATCH(COLUMNS($AB$1006:AH1006),$AB$1006:$AQ$1006,0)), HYPERLINK("#",""), HYPERLINK(CONCATENATE("#Metadata!", ADDRESS(INDEX($W$2:$W$1001,MATCH(ROWS($U$2:U916),$U$2:$U$1001,0),0), INDEX($AB$1004:$AQ$1004,1,MATCH(COLUMNS($AB$1006:AH1006),$AB$1006:$AQ$1006,0)))),"Fix")))</f>
        <v>0</v>
      </c>
      <c r="I916" s="5">
        <f>IF(OR(INDEX($V$2:$V$1001,MATCH(ROWS($U$2:U916),$U$2:$U$1001,0),1)&gt;=100000,INDEX($AB$1005:$AQ$1005,1,MATCH(COLUMNS($AB$1006:AI1006),$AB$1006:$AQ$1006,0))&gt;=100000), " ",IF(INDEX($AB$2:$AQ$1001,MATCH(ROWS($U$2:U916),$U$2:$U$1001,0),MATCH(COLUMNS($AB$1006:AI1006),$AB$1006:$AQ$1006,0)), HYPERLINK("#",""), HYPERLINK(CONCATENATE("#Metadata!", ADDRESS(INDEX($W$2:$W$1001,MATCH(ROWS($U$2:U916),$U$2:$U$1001,0),0), INDEX($AB$1004:$AQ$1004,1,MATCH(COLUMNS($AB$1006:AI1006),$AB$1006:$AQ$1006,0)))),"Fix")))</f>
        <v>0</v>
      </c>
      <c r="J916" s="5">
        <f>IF(OR(INDEX($V$2:$V$1001,MATCH(ROWS($U$2:U916),$U$2:$U$1001,0),1)&gt;=100000,INDEX($AB$1005:$AQ$1005,1,MATCH(COLUMNS($AB$1006:AJ1006),$AB$1006:$AQ$1006,0))&gt;=100000), " ",IF(INDEX($AB$2:$AQ$1001,MATCH(ROWS($U$2:U916),$U$2:$U$1001,0),MATCH(COLUMNS($AB$1006:AJ1006),$AB$1006:$AQ$1006,0)), HYPERLINK("#",""), HYPERLINK(CONCATENATE("#Metadata!", ADDRESS(INDEX($W$2:$W$1001,MATCH(ROWS($U$2:U916),$U$2:$U$1001,0),0), INDEX($AB$1004:$AQ$1004,1,MATCH(COLUMNS($AB$1006:AJ1006),$AB$1006:$AQ$1006,0)))),"Fix")))</f>
        <v>0</v>
      </c>
      <c r="K916" s="5">
        <f>IF(OR(INDEX($V$2:$V$1001,MATCH(ROWS($U$2:U916),$U$2:$U$1001,0),1)&gt;=100000,INDEX($AB$1005:$AQ$1005,1,MATCH(COLUMNS($AB$1006:AK1006),$AB$1006:$AQ$1006,0))&gt;=100000), " ",IF(INDEX($AB$2:$AQ$1001,MATCH(ROWS($U$2:U916),$U$2:$U$1001,0),MATCH(COLUMNS($AB$1006:AK1006),$AB$1006:$AQ$1006,0)), HYPERLINK("#",""), HYPERLINK(CONCATENATE("#Metadata!", ADDRESS(INDEX($W$2:$W$1001,MATCH(ROWS($U$2:U916),$U$2:$U$1001,0),0), INDEX($AB$1004:$AQ$1004,1,MATCH(COLUMNS($AB$1006:AK1006),$AB$1006:$AQ$1006,0)))),"Fix")))</f>
        <v>0</v>
      </c>
      <c r="L916" s="5">
        <f>IF(OR(INDEX($V$2:$V$1001,MATCH(ROWS($U$2:U916),$U$2:$U$1001,0),1)&gt;=100000,INDEX($AB$1005:$AQ$1005,1,MATCH(COLUMNS($AB$1006:AL1006),$AB$1006:$AQ$1006,0))&gt;=100000), " ",IF(INDEX($AB$2:$AQ$1001,MATCH(ROWS($U$2:U916),$U$2:$U$1001,0),MATCH(COLUMNS($AB$1006:AL1006),$AB$1006:$AQ$1006,0)), HYPERLINK("#",""), HYPERLINK(CONCATENATE("#Metadata!", ADDRESS(INDEX($W$2:$W$1001,MATCH(ROWS($U$2:U916),$U$2:$U$1001,0),0), INDEX($AB$1004:$AQ$1004,1,MATCH(COLUMNS($AB$1006:AL1006),$AB$1006:$AQ$1006,0)))),"Fix")))</f>
        <v>0</v>
      </c>
      <c r="M916" s="5">
        <f>IF(OR(INDEX($V$2:$V$1001,MATCH(ROWS($U$2:U916),$U$2:$U$1001,0),1)&gt;=100000,INDEX($AB$1005:$AQ$1005,1,MATCH(COLUMNS($AB$1006:AM1006),$AB$1006:$AQ$1006,0))&gt;=100000), " ",IF(INDEX($AB$2:$AQ$1001,MATCH(ROWS($U$2:U916),$U$2:$U$1001,0),MATCH(COLUMNS($AB$1006:AM1006),$AB$1006:$AQ$1006,0)), HYPERLINK("#",""), HYPERLINK(CONCATENATE("#Metadata!", ADDRESS(INDEX($W$2:$W$1001,MATCH(ROWS($U$2:U916),$U$2:$U$1001,0),0), INDEX($AB$1004:$AQ$1004,1,MATCH(COLUMNS($AB$1006:AM1006),$AB$1006:$AQ$1006,0)))),"Fix")))</f>
        <v>0</v>
      </c>
      <c r="N916" s="5">
        <f>IF(OR(INDEX($V$2:$V$1001,MATCH(ROWS($U$2:U916),$U$2:$U$1001,0),1)&gt;=100000,INDEX($AB$1005:$AQ$1005,1,MATCH(COLUMNS($AB$1006:AN1006),$AB$1006:$AQ$1006,0))&gt;=100000), " ",IF(INDEX($AB$2:$AQ$1001,MATCH(ROWS($U$2:U916),$U$2:$U$1001,0),MATCH(COLUMNS($AB$1006:AN1006),$AB$1006:$AQ$1006,0)), HYPERLINK("#",""), HYPERLINK(CONCATENATE("#Metadata!", ADDRESS(INDEX($W$2:$W$1001,MATCH(ROWS($U$2:U916),$U$2:$U$1001,0),0), INDEX($AB$1004:$AQ$1004,1,MATCH(COLUMNS($AB$1006:AN1006),$AB$1006:$AQ$1006,0)))),"Fix")))</f>
        <v>0</v>
      </c>
      <c r="O916" s="5">
        <f>IF(OR(INDEX($V$2:$V$1001,MATCH(ROWS($U$2:U916),$U$2:$U$1001,0),1)&gt;=100000,INDEX($AB$1005:$AQ$1005,1,MATCH(COLUMNS($AB$1006:AO1006),$AB$1006:$AQ$1006,0))&gt;=100000), " ",IF(INDEX($AB$2:$AQ$1001,MATCH(ROWS($U$2:U916),$U$2:$U$1001,0),MATCH(COLUMNS($AB$1006:AO1006),$AB$1006:$AQ$1006,0)), HYPERLINK("#",""), HYPERLINK(CONCATENATE("#Metadata!", ADDRESS(INDEX($W$2:$W$1001,MATCH(ROWS($U$2:U916),$U$2:$U$1001,0),0), INDEX($AB$1004:$AQ$1004,1,MATCH(COLUMNS($AB$1006:AO1006),$AB$1006:$AQ$1006,0)))),"Fix")))</f>
        <v>0</v>
      </c>
      <c r="P916" s="5">
        <f>IF(OR(INDEX($V$2:$V$1001,MATCH(ROWS($U$2:U916),$U$2:$U$1001,0),1)&gt;=100000,INDEX($AB$1005:$AQ$1005,1,MATCH(COLUMNS($AB$1006:AP1006),$AB$1006:$AQ$1006,0))&gt;=100000), " ",IF(INDEX($AB$2:$AQ$1001,MATCH(ROWS($U$2:U916),$U$2:$U$1001,0),MATCH(COLUMNS($AB$1006:AP1006),$AB$1006:$AQ$1006,0)), HYPERLINK("#",""), HYPERLINK(CONCATENATE("#Metadata!", ADDRESS(INDEX($W$2:$W$1001,MATCH(ROWS($U$2:U916),$U$2:$U$1001,0),0), INDEX($AB$1004:$AQ$1004,1,MATCH(COLUMNS($AB$1006:AP1006),$AB$1006:$AQ$1006,0)))),"Fix")))</f>
        <v>0</v>
      </c>
      <c r="Q916" s="5">
        <f>IF(OR(INDEX($V$2:$V$1001,MATCH(ROWS($U$2:U916),$U$2:$U$1001,0),1)&gt;=100000,INDEX($AB$1005:$AQ$1005,1,MATCH(COLUMNS($AB$1006:AQ1006),$AB$1006:$AQ$1006,0))&gt;=100000), " ",IF(INDEX($AB$2:$AQ$1001,MATCH(ROWS($U$2:U916),$U$2:$U$1001,0),MATCH(COLUMNS($AB$1006:AQ1006),$AB$1006:$AQ$1006,0)), HYPERLINK("#",""), HYPERLINK(CONCATENATE("#Metadata!", ADDRESS(INDEX($W$2:$W$1001,MATCH(ROWS($U$2:U916),$U$2:$U$1001,0),0), INDEX($AB$1004:$AQ$1004,1,MATCH(COLUMNS($AB$1006:AQ1006),$AB$1006:$AQ$1006,0)))),"Fix")))</f>
        <v>0</v>
      </c>
      <c r="U916">
        <v>0</v>
      </c>
      <c r="V916">
        <v>0</v>
      </c>
      <c r="W916">
        <v>0</v>
      </c>
      <c r="X916">
        <f>IF(Y916,TRUE,AND(AB916:AQ916))</f>
        <v>0</v>
      </c>
      <c r="Y916">
        <f>COUNTBLANK(Metadata!B916:Q916)=COLUMNS(Metadata!B916:Q916)</f>
        <v>0</v>
      </c>
      <c r="Z916">
        <v>0</v>
      </c>
      <c r="AB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AC916">
        <f>AND(IF(Metadata!C916="",FALSE,TRUE),exact(Metadata!C916,"urban biome"))</f>
        <v>0</v>
      </c>
      <c r="AD916">
        <f>AND(IF(Metadata!D916="",FALSE,TRUE),exact(Metadata!D916,"human-associated habitat"))</f>
        <v>0</v>
      </c>
      <c r="AE916">
        <f>AND(IF(Metadata!E916="",FALSE,TRUE),OR(exact(Metadata!E916,"human-associated"),exact(Metadata!E916,"human-skin"),exact(Metadata!E916,"human-oral"),exact(Metadata!E916,"human-gut"),exact(Metadata!E916,"human-vaginal")))</f>
        <v>0</v>
      </c>
      <c r="AF916">
        <f>AND(IF(Metadata!F916="",FALSE,ISNUMBER(VALUE(Metadata!F916))),Metadata!F916&gt;0)</f>
        <v>0</v>
      </c>
      <c r="AG916">
        <f>AND(IF(Metadata!G916="",FALSE,TRUE),exact(Metadata!G916,"years"))</f>
        <v>0</v>
      </c>
      <c r="AH916">
        <f>OR(AND(IF(Metadata!H916="",FALSE,TRUE),OR(exact(Metadata!H916,"not applicable"),exact(Metadata!H916,"not collected"),exact(Metadata!H916,"not provided"),exact(Metadata!H916,"restricted access"))),AND(IF(Metadata!H916="",FALSE,ISNUMBER(VALUE(Metadata!H916))),Metadata!H916&gt;0))</f>
        <v>0</v>
      </c>
      <c r="AI916">
        <f>AND(IF(Metadata!I916="",FALSE,TRUE),exact(Metadata!I916,"human"))</f>
        <v>0</v>
      </c>
      <c r="AJ916">
        <f>AND(IF(Metadata!J916="",FALSE,ISNUMBER(VALUE(Metadata!J916))),Metadata!J916&gt;0)</f>
        <v>0</v>
      </c>
      <c r="AK916">
        <f>AND(IF(Metadata!K916="",FALSE,TRUE),exact(Metadata!K916,"cm"))</f>
        <v>0</v>
      </c>
      <c r="AL916">
        <f>AND(IF(Metadata!L916="",FALSE,TRUE),exact(Metadata!L916,"Homo sapiens"))</f>
        <v>0</v>
      </c>
      <c r="AM916">
        <f>AND(IF(Metadata!M916="",FALSE,TRUE),exact(Metadata!M916,"9606"))</f>
        <v>0</v>
      </c>
      <c r="AN916">
        <f>AND(IF(Metadata!N916="",FALSE,ISNUMBER(VALUE(Metadata!N916))),Metadata!N916&gt;0)</f>
        <v>0</v>
      </c>
      <c r="AO916">
        <f>AND(IF(Metadata!O916="",FALSE,TRUE),exact(Metadata!O916,"kg"))</f>
        <v>0</v>
      </c>
      <c r="AP916">
        <f>OR(AND(IF(Metadata!P916="",FALSE,TRUE),exact(Metadata!P916,"not provided")),IF(Metadata!P916="",FALSE,TRUE))</f>
        <v>0</v>
      </c>
      <c r="AQ916">
        <f>OR(AND(IF(Metadata!Q916="",FALSE,TRUE),exact(Metadata!Q916,"not provided")),IF(Metadata!Q916="",FALSE,TRUE))</f>
        <v>0</v>
      </c>
    </row>
    <row r="917" spans="1:43">
      <c r="A917" s="4">
        <f>IF(B917=" "," ",HYPERLINK(CONCATENATE("#metadata!",ADDRESS(INDEX($W$2:$W$1001,MATCH(ROWS($U$2:U917),$U$2:$U$1001,0),0),2)),INDEX($Z$2:$Z$1001,MATCH(ROWS($U$2:U917),$U$2:$U$1001,0),0)))</f>
        <v>0</v>
      </c>
      <c r="B917" s="5">
        <f>IF(OR(INDEX($V$2:$V$1001,MATCH(ROWS($U$2:U917),$U$2:$U$1001,0),1)&gt;=100000,INDEX($AB$1005:$AQ$1005,1,MATCH(COLUMNS($AB$1006:AB1006),$AB$1006:$AQ$1006,0))&gt;=100000), " ",IF(INDEX($AB$2:$AQ$1001,MATCH(ROWS($U$2:U917),$U$2:$U$1001,0),MATCH(COLUMNS($AB$1006:AB1006),$AB$1006:$AQ$1006,0)), HYPERLINK("#",""), HYPERLINK(CONCATENATE("#Metadata!", ADDRESS(INDEX($W$2:$W$1001,MATCH(ROWS($U$2:U917),$U$2:$U$1001,0),0), INDEX($AB$1004:$AQ$1004,1,MATCH(COLUMNS($AB$1006:AB1006),$AB$1006:$AQ$1006,0)))),"Fix")))</f>
        <v>0</v>
      </c>
      <c r="C917" s="5">
        <f>IF(OR(INDEX($V$2:$V$1001,MATCH(ROWS($U$2:U917),$U$2:$U$1001,0),1)&gt;=100000,INDEX($AB$1005:$AQ$1005,1,MATCH(COLUMNS($AB$1006:AC1006),$AB$1006:$AQ$1006,0))&gt;=100000), " ",IF(INDEX($AB$2:$AQ$1001,MATCH(ROWS($U$2:U917),$U$2:$U$1001,0),MATCH(COLUMNS($AB$1006:AC1006),$AB$1006:$AQ$1006,0)), HYPERLINK("#",""), HYPERLINK(CONCATENATE("#Metadata!", ADDRESS(INDEX($W$2:$W$1001,MATCH(ROWS($U$2:U917),$U$2:$U$1001,0),0), INDEX($AB$1004:$AQ$1004,1,MATCH(COLUMNS($AB$1006:AC1006),$AB$1006:$AQ$1006,0)))),"Fix")))</f>
        <v>0</v>
      </c>
      <c r="D917" s="5">
        <f>IF(OR(INDEX($V$2:$V$1001,MATCH(ROWS($U$2:U917),$U$2:$U$1001,0),1)&gt;=100000,INDEX($AB$1005:$AQ$1005,1,MATCH(COLUMNS($AB$1006:AD1006),$AB$1006:$AQ$1006,0))&gt;=100000), " ",IF(INDEX($AB$2:$AQ$1001,MATCH(ROWS($U$2:U917),$U$2:$U$1001,0),MATCH(COLUMNS($AB$1006:AD1006),$AB$1006:$AQ$1006,0)), HYPERLINK("#",""), HYPERLINK(CONCATENATE("#Metadata!", ADDRESS(INDEX($W$2:$W$1001,MATCH(ROWS($U$2:U917),$U$2:$U$1001,0),0), INDEX($AB$1004:$AQ$1004,1,MATCH(COLUMNS($AB$1006:AD1006),$AB$1006:$AQ$1006,0)))),"Fix")))</f>
        <v>0</v>
      </c>
      <c r="E917" s="5">
        <f>IF(OR(INDEX($V$2:$V$1001,MATCH(ROWS($U$2:U917),$U$2:$U$1001,0),1)&gt;=100000,INDEX($AB$1005:$AQ$1005,1,MATCH(COLUMNS($AB$1006:AE1006),$AB$1006:$AQ$1006,0))&gt;=100000), " ",IF(INDEX($AB$2:$AQ$1001,MATCH(ROWS($U$2:U917),$U$2:$U$1001,0),MATCH(COLUMNS($AB$1006:AE1006),$AB$1006:$AQ$1006,0)), HYPERLINK("#",""), HYPERLINK(CONCATENATE("#Metadata!", ADDRESS(INDEX($W$2:$W$1001,MATCH(ROWS($U$2:U917),$U$2:$U$1001,0),0), INDEX($AB$1004:$AQ$1004,1,MATCH(COLUMNS($AB$1006:AE1006),$AB$1006:$AQ$1006,0)))),"Fix")))</f>
        <v>0</v>
      </c>
      <c r="F917" s="5">
        <f>IF(OR(INDEX($V$2:$V$1001,MATCH(ROWS($U$2:U917),$U$2:$U$1001,0),1)&gt;=100000,INDEX($AB$1005:$AQ$1005,1,MATCH(COLUMNS($AB$1006:AF1006),$AB$1006:$AQ$1006,0))&gt;=100000), " ",IF(INDEX($AB$2:$AQ$1001,MATCH(ROWS($U$2:U917),$U$2:$U$1001,0),MATCH(COLUMNS($AB$1006:AF1006),$AB$1006:$AQ$1006,0)), HYPERLINK("#",""), HYPERLINK(CONCATENATE("#Metadata!", ADDRESS(INDEX($W$2:$W$1001,MATCH(ROWS($U$2:U917),$U$2:$U$1001,0),0), INDEX($AB$1004:$AQ$1004,1,MATCH(COLUMNS($AB$1006:AF1006),$AB$1006:$AQ$1006,0)))),"Fix")))</f>
        <v>0</v>
      </c>
      <c r="G917" s="5">
        <f>IF(OR(INDEX($V$2:$V$1001,MATCH(ROWS($U$2:U917),$U$2:$U$1001,0),1)&gt;=100000,INDEX($AB$1005:$AQ$1005,1,MATCH(COLUMNS($AB$1006:AG1006),$AB$1006:$AQ$1006,0))&gt;=100000), " ",IF(INDEX($AB$2:$AQ$1001,MATCH(ROWS($U$2:U917),$U$2:$U$1001,0),MATCH(COLUMNS($AB$1006:AG1006),$AB$1006:$AQ$1006,0)), HYPERLINK("#",""), HYPERLINK(CONCATENATE("#Metadata!", ADDRESS(INDEX($W$2:$W$1001,MATCH(ROWS($U$2:U917),$U$2:$U$1001,0),0), INDEX($AB$1004:$AQ$1004,1,MATCH(COLUMNS($AB$1006:AG1006),$AB$1006:$AQ$1006,0)))),"Fix")))</f>
        <v>0</v>
      </c>
      <c r="H917" s="5">
        <f>IF(OR(INDEX($V$2:$V$1001,MATCH(ROWS($U$2:U917),$U$2:$U$1001,0),1)&gt;=100000,INDEX($AB$1005:$AQ$1005,1,MATCH(COLUMNS($AB$1006:AH1006),$AB$1006:$AQ$1006,0))&gt;=100000), " ",IF(INDEX($AB$2:$AQ$1001,MATCH(ROWS($U$2:U917),$U$2:$U$1001,0),MATCH(COLUMNS($AB$1006:AH1006),$AB$1006:$AQ$1006,0)), HYPERLINK("#",""), HYPERLINK(CONCATENATE("#Metadata!", ADDRESS(INDEX($W$2:$W$1001,MATCH(ROWS($U$2:U917),$U$2:$U$1001,0),0), INDEX($AB$1004:$AQ$1004,1,MATCH(COLUMNS($AB$1006:AH1006),$AB$1006:$AQ$1006,0)))),"Fix")))</f>
        <v>0</v>
      </c>
      <c r="I917" s="5">
        <f>IF(OR(INDEX($V$2:$V$1001,MATCH(ROWS($U$2:U917),$U$2:$U$1001,0),1)&gt;=100000,INDEX($AB$1005:$AQ$1005,1,MATCH(COLUMNS($AB$1006:AI1006),$AB$1006:$AQ$1006,0))&gt;=100000), " ",IF(INDEX($AB$2:$AQ$1001,MATCH(ROWS($U$2:U917),$U$2:$U$1001,0),MATCH(COLUMNS($AB$1006:AI1006),$AB$1006:$AQ$1006,0)), HYPERLINK("#",""), HYPERLINK(CONCATENATE("#Metadata!", ADDRESS(INDEX($W$2:$W$1001,MATCH(ROWS($U$2:U917),$U$2:$U$1001,0),0), INDEX($AB$1004:$AQ$1004,1,MATCH(COLUMNS($AB$1006:AI1006),$AB$1006:$AQ$1006,0)))),"Fix")))</f>
        <v>0</v>
      </c>
      <c r="J917" s="5">
        <f>IF(OR(INDEX($V$2:$V$1001,MATCH(ROWS($U$2:U917),$U$2:$U$1001,0),1)&gt;=100000,INDEX($AB$1005:$AQ$1005,1,MATCH(COLUMNS($AB$1006:AJ1006),$AB$1006:$AQ$1006,0))&gt;=100000), " ",IF(INDEX($AB$2:$AQ$1001,MATCH(ROWS($U$2:U917),$U$2:$U$1001,0),MATCH(COLUMNS($AB$1006:AJ1006),$AB$1006:$AQ$1006,0)), HYPERLINK("#",""), HYPERLINK(CONCATENATE("#Metadata!", ADDRESS(INDEX($W$2:$W$1001,MATCH(ROWS($U$2:U917),$U$2:$U$1001,0),0), INDEX($AB$1004:$AQ$1004,1,MATCH(COLUMNS($AB$1006:AJ1006),$AB$1006:$AQ$1006,0)))),"Fix")))</f>
        <v>0</v>
      </c>
      <c r="K917" s="5">
        <f>IF(OR(INDEX($V$2:$V$1001,MATCH(ROWS($U$2:U917),$U$2:$U$1001,0),1)&gt;=100000,INDEX($AB$1005:$AQ$1005,1,MATCH(COLUMNS($AB$1006:AK1006),$AB$1006:$AQ$1006,0))&gt;=100000), " ",IF(INDEX($AB$2:$AQ$1001,MATCH(ROWS($U$2:U917),$U$2:$U$1001,0),MATCH(COLUMNS($AB$1006:AK1006),$AB$1006:$AQ$1006,0)), HYPERLINK("#",""), HYPERLINK(CONCATENATE("#Metadata!", ADDRESS(INDEX($W$2:$W$1001,MATCH(ROWS($U$2:U917),$U$2:$U$1001,0),0), INDEX($AB$1004:$AQ$1004,1,MATCH(COLUMNS($AB$1006:AK1006),$AB$1006:$AQ$1006,0)))),"Fix")))</f>
        <v>0</v>
      </c>
      <c r="L917" s="5">
        <f>IF(OR(INDEX($V$2:$V$1001,MATCH(ROWS($U$2:U917),$U$2:$U$1001,0),1)&gt;=100000,INDEX($AB$1005:$AQ$1005,1,MATCH(COLUMNS($AB$1006:AL1006),$AB$1006:$AQ$1006,0))&gt;=100000), " ",IF(INDEX($AB$2:$AQ$1001,MATCH(ROWS($U$2:U917),$U$2:$U$1001,0),MATCH(COLUMNS($AB$1006:AL1006),$AB$1006:$AQ$1006,0)), HYPERLINK("#",""), HYPERLINK(CONCATENATE("#Metadata!", ADDRESS(INDEX($W$2:$W$1001,MATCH(ROWS($U$2:U917),$U$2:$U$1001,0),0), INDEX($AB$1004:$AQ$1004,1,MATCH(COLUMNS($AB$1006:AL1006),$AB$1006:$AQ$1006,0)))),"Fix")))</f>
        <v>0</v>
      </c>
      <c r="M917" s="5">
        <f>IF(OR(INDEX($V$2:$V$1001,MATCH(ROWS($U$2:U917),$U$2:$U$1001,0),1)&gt;=100000,INDEX($AB$1005:$AQ$1005,1,MATCH(COLUMNS($AB$1006:AM1006),$AB$1006:$AQ$1006,0))&gt;=100000), " ",IF(INDEX($AB$2:$AQ$1001,MATCH(ROWS($U$2:U917),$U$2:$U$1001,0),MATCH(COLUMNS($AB$1006:AM1006),$AB$1006:$AQ$1006,0)), HYPERLINK("#",""), HYPERLINK(CONCATENATE("#Metadata!", ADDRESS(INDEX($W$2:$W$1001,MATCH(ROWS($U$2:U917),$U$2:$U$1001,0),0), INDEX($AB$1004:$AQ$1004,1,MATCH(COLUMNS($AB$1006:AM1006),$AB$1006:$AQ$1006,0)))),"Fix")))</f>
        <v>0</v>
      </c>
      <c r="N917" s="5">
        <f>IF(OR(INDEX($V$2:$V$1001,MATCH(ROWS($U$2:U917),$U$2:$U$1001,0),1)&gt;=100000,INDEX($AB$1005:$AQ$1005,1,MATCH(COLUMNS($AB$1006:AN1006),$AB$1006:$AQ$1006,0))&gt;=100000), " ",IF(INDEX($AB$2:$AQ$1001,MATCH(ROWS($U$2:U917),$U$2:$U$1001,0),MATCH(COLUMNS($AB$1006:AN1006),$AB$1006:$AQ$1006,0)), HYPERLINK("#",""), HYPERLINK(CONCATENATE("#Metadata!", ADDRESS(INDEX($W$2:$W$1001,MATCH(ROWS($U$2:U917),$U$2:$U$1001,0),0), INDEX($AB$1004:$AQ$1004,1,MATCH(COLUMNS($AB$1006:AN1006),$AB$1006:$AQ$1006,0)))),"Fix")))</f>
        <v>0</v>
      </c>
      <c r="O917" s="5">
        <f>IF(OR(INDEX($V$2:$V$1001,MATCH(ROWS($U$2:U917),$U$2:$U$1001,0),1)&gt;=100000,INDEX($AB$1005:$AQ$1005,1,MATCH(COLUMNS($AB$1006:AO1006),$AB$1006:$AQ$1006,0))&gt;=100000), " ",IF(INDEX($AB$2:$AQ$1001,MATCH(ROWS($U$2:U917),$U$2:$U$1001,0),MATCH(COLUMNS($AB$1006:AO1006),$AB$1006:$AQ$1006,0)), HYPERLINK("#",""), HYPERLINK(CONCATENATE("#Metadata!", ADDRESS(INDEX($W$2:$W$1001,MATCH(ROWS($U$2:U917),$U$2:$U$1001,0),0), INDEX($AB$1004:$AQ$1004,1,MATCH(COLUMNS($AB$1006:AO1006),$AB$1006:$AQ$1006,0)))),"Fix")))</f>
        <v>0</v>
      </c>
      <c r="P917" s="5">
        <f>IF(OR(INDEX($V$2:$V$1001,MATCH(ROWS($U$2:U917),$U$2:$U$1001,0),1)&gt;=100000,INDEX($AB$1005:$AQ$1005,1,MATCH(COLUMNS($AB$1006:AP1006),$AB$1006:$AQ$1006,0))&gt;=100000), " ",IF(INDEX($AB$2:$AQ$1001,MATCH(ROWS($U$2:U917),$U$2:$U$1001,0),MATCH(COLUMNS($AB$1006:AP1006),$AB$1006:$AQ$1006,0)), HYPERLINK("#",""), HYPERLINK(CONCATENATE("#Metadata!", ADDRESS(INDEX($W$2:$W$1001,MATCH(ROWS($U$2:U917),$U$2:$U$1001,0),0), INDEX($AB$1004:$AQ$1004,1,MATCH(COLUMNS($AB$1006:AP1006),$AB$1006:$AQ$1006,0)))),"Fix")))</f>
        <v>0</v>
      </c>
      <c r="Q917" s="5">
        <f>IF(OR(INDEX($V$2:$V$1001,MATCH(ROWS($U$2:U917),$U$2:$U$1001,0),1)&gt;=100000,INDEX($AB$1005:$AQ$1005,1,MATCH(COLUMNS($AB$1006:AQ1006),$AB$1006:$AQ$1006,0))&gt;=100000), " ",IF(INDEX($AB$2:$AQ$1001,MATCH(ROWS($U$2:U917),$U$2:$U$1001,0),MATCH(COLUMNS($AB$1006:AQ1006),$AB$1006:$AQ$1006,0)), HYPERLINK("#",""), HYPERLINK(CONCATENATE("#Metadata!", ADDRESS(INDEX($W$2:$W$1001,MATCH(ROWS($U$2:U917),$U$2:$U$1001,0),0), INDEX($AB$1004:$AQ$1004,1,MATCH(COLUMNS($AB$1006:AQ1006),$AB$1006:$AQ$1006,0)))),"Fix")))</f>
        <v>0</v>
      </c>
      <c r="U917">
        <v>0</v>
      </c>
      <c r="V917">
        <v>0</v>
      </c>
      <c r="W917">
        <v>0</v>
      </c>
      <c r="X917">
        <f>IF(Y917,TRUE,AND(AB917:AQ917))</f>
        <v>0</v>
      </c>
      <c r="Y917">
        <f>COUNTBLANK(Metadata!B917:Q917)=COLUMNS(Metadata!B917:Q917)</f>
        <v>0</v>
      </c>
      <c r="Z917">
        <v>0</v>
      </c>
      <c r="AB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AC917">
        <f>AND(IF(Metadata!C917="",FALSE,TRUE),exact(Metadata!C917,"urban biome"))</f>
        <v>0</v>
      </c>
      <c r="AD917">
        <f>AND(IF(Metadata!D917="",FALSE,TRUE),exact(Metadata!D917,"human-associated habitat"))</f>
        <v>0</v>
      </c>
      <c r="AE917">
        <f>AND(IF(Metadata!E917="",FALSE,TRUE),OR(exact(Metadata!E917,"human-associated"),exact(Metadata!E917,"human-skin"),exact(Metadata!E917,"human-oral"),exact(Metadata!E917,"human-gut"),exact(Metadata!E917,"human-vaginal")))</f>
        <v>0</v>
      </c>
      <c r="AF917">
        <f>AND(IF(Metadata!F917="",FALSE,ISNUMBER(VALUE(Metadata!F917))),Metadata!F917&gt;0)</f>
        <v>0</v>
      </c>
      <c r="AG917">
        <f>AND(IF(Metadata!G917="",FALSE,TRUE),exact(Metadata!G917,"years"))</f>
        <v>0</v>
      </c>
      <c r="AH917">
        <f>OR(AND(IF(Metadata!H917="",FALSE,TRUE),OR(exact(Metadata!H917,"not applicable"),exact(Metadata!H917,"not collected"),exact(Metadata!H917,"not provided"),exact(Metadata!H917,"restricted access"))),AND(IF(Metadata!H917="",FALSE,ISNUMBER(VALUE(Metadata!H917))),Metadata!H917&gt;0))</f>
        <v>0</v>
      </c>
      <c r="AI917">
        <f>AND(IF(Metadata!I917="",FALSE,TRUE),exact(Metadata!I917,"human"))</f>
        <v>0</v>
      </c>
      <c r="AJ917">
        <f>AND(IF(Metadata!J917="",FALSE,ISNUMBER(VALUE(Metadata!J917))),Metadata!J917&gt;0)</f>
        <v>0</v>
      </c>
      <c r="AK917">
        <f>AND(IF(Metadata!K917="",FALSE,TRUE),exact(Metadata!K917,"cm"))</f>
        <v>0</v>
      </c>
      <c r="AL917">
        <f>AND(IF(Metadata!L917="",FALSE,TRUE),exact(Metadata!L917,"Homo sapiens"))</f>
        <v>0</v>
      </c>
      <c r="AM917">
        <f>AND(IF(Metadata!M917="",FALSE,TRUE),exact(Metadata!M917,"9606"))</f>
        <v>0</v>
      </c>
      <c r="AN917">
        <f>AND(IF(Metadata!N917="",FALSE,ISNUMBER(VALUE(Metadata!N917))),Metadata!N917&gt;0)</f>
        <v>0</v>
      </c>
      <c r="AO917">
        <f>AND(IF(Metadata!O917="",FALSE,TRUE),exact(Metadata!O917,"kg"))</f>
        <v>0</v>
      </c>
      <c r="AP917">
        <f>OR(AND(IF(Metadata!P917="",FALSE,TRUE),exact(Metadata!P917,"not provided")),IF(Metadata!P917="",FALSE,TRUE))</f>
        <v>0</v>
      </c>
      <c r="AQ917">
        <f>OR(AND(IF(Metadata!Q917="",FALSE,TRUE),exact(Metadata!Q917,"not provided")),IF(Metadata!Q917="",FALSE,TRUE))</f>
        <v>0</v>
      </c>
    </row>
    <row r="918" spans="1:43">
      <c r="A918" s="4">
        <f>IF(B918=" "," ",HYPERLINK(CONCATENATE("#metadata!",ADDRESS(INDEX($W$2:$W$1001,MATCH(ROWS($U$2:U918),$U$2:$U$1001,0),0),2)),INDEX($Z$2:$Z$1001,MATCH(ROWS($U$2:U918),$U$2:$U$1001,0),0)))</f>
        <v>0</v>
      </c>
      <c r="B918" s="5">
        <f>IF(OR(INDEX($V$2:$V$1001,MATCH(ROWS($U$2:U918),$U$2:$U$1001,0),1)&gt;=100000,INDEX($AB$1005:$AQ$1005,1,MATCH(COLUMNS($AB$1006:AB1006),$AB$1006:$AQ$1006,0))&gt;=100000), " ",IF(INDEX($AB$2:$AQ$1001,MATCH(ROWS($U$2:U918),$U$2:$U$1001,0),MATCH(COLUMNS($AB$1006:AB1006),$AB$1006:$AQ$1006,0)), HYPERLINK("#",""), HYPERLINK(CONCATENATE("#Metadata!", ADDRESS(INDEX($W$2:$W$1001,MATCH(ROWS($U$2:U918),$U$2:$U$1001,0),0), INDEX($AB$1004:$AQ$1004,1,MATCH(COLUMNS($AB$1006:AB1006),$AB$1006:$AQ$1006,0)))),"Fix")))</f>
        <v>0</v>
      </c>
      <c r="C918" s="5">
        <f>IF(OR(INDEX($V$2:$V$1001,MATCH(ROWS($U$2:U918),$U$2:$U$1001,0),1)&gt;=100000,INDEX($AB$1005:$AQ$1005,1,MATCH(COLUMNS($AB$1006:AC1006),$AB$1006:$AQ$1006,0))&gt;=100000), " ",IF(INDEX($AB$2:$AQ$1001,MATCH(ROWS($U$2:U918),$U$2:$U$1001,0),MATCH(COLUMNS($AB$1006:AC1006),$AB$1006:$AQ$1006,0)), HYPERLINK("#",""), HYPERLINK(CONCATENATE("#Metadata!", ADDRESS(INDEX($W$2:$W$1001,MATCH(ROWS($U$2:U918),$U$2:$U$1001,0),0), INDEX($AB$1004:$AQ$1004,1,MATCH(COLUMNS($AB$1006:AC1006),$AB$1006:$AQ$1006,0)))),"Fix")))</f>
        <v>0</v>
      </c>
      <c r="D918" s="5">
        <f>IF(OR(INDEX($V$2:$V$1001,MATCH(ROWS($U$2:U918),$U$2:$U$1001,0),1)&gt;=100000,INDEX($AB$1005:$AQ$1005,1,MATCH(COLUMNS($AB$1006:AD1006),$AB$1006:$AQ$1006,0))&gt;=100000), " ",IF(INDEX($AB$2:$AQ$1001,MATCH(ROWS($U$2:U918),$U$2:$U$1001,0),MATCH(COLUMNS($AB$1006:AD1006),$AB$1006:$AQ$1006,0)), HYPERLINK("#",""), HYPERLINK(CONCATENATE("#Metadata!", ADDRESS(INDEX($W$2:$W$1001,MATCH(ROWS($U$2:U918),$U$2:$U$1001,0),0), INDEX($AB$1004:$AQ$1004,1,MATCH(COLUMNS($AB$1006:AD1006),$AB$1006:$AQ$1006,0)))),"Fix")))</f>
        <v>0</v>
      </c>
      <c r="E918" s="5">
        <f>IF(OR(INDEX($V$2:$V$1001,MATCH(ROWS($U$2:U918),$U$2:$U$1001,0),1)&gt;=100000,INDEX($AB$1005:$AQ$1005,1,MATCH(COLUMNS($AB$1006:AE1006),$AB$1006:$AQ$1006,0))&gt;=100000), " ",IF(INDEX($AB$2:$AQ$1001,MATCH(ROWS($U$2:U918),$U$2:$U$1001,0),MATCH(COLUMNS($AB$1006:AE1006),$AB$1006:$AQ$1006,0)), HYPERLINK("#",""), HYPERLINK(CONCATENATE("#Metadata!", ADDRESS(INDEX($W$2:$W$1001,MATCH(ROWS($U$2:U918),$U$2:$U$1001,0),0), INDEX($AB$1004:$AQ$1004,1,MATCH(COLUMNS($AB$1006:AE1006),$AB$1006:$AQ$1006,0)))),"Fix")))</f>
        <v>0</v>
      </c>
      <c r="F918" s="5">
        <f>IF(OR(INDEX($V$2:$V$1001,MATCH(ROWS($U$2:U918),$U$2:$U$1001,0),1)&gt;=100000,INDEX($AB$1005:$AQ$1005,1,MATCH(COLUMNS($AB$1006:AF1006),$AB$1006:$AQ$1006,0))&gt;=100000), " ",IF(INDEX($AB$2:$AQ$1001,MATCH(ROWS($U$2:U918),$U$2:$U$1001,0),MATCH(COLUMNS($AB$1006:AF1006),$AB$1006:$AQ$1006,0)), HYPERLINK("#",""), HYPERLINK(CONCATENATE("#Metadata!", ADDRESS(INDEX($W$2:$W$1001,MATCH(ROWS($U$2:U918),$U$2:$U$1001,0),0), INDEX($AB$1004:$AQ$1004,1,MATCH(COLUMNS($AB$1006:AF1006),$AB$1006:$AQ$1006,0)))),"Fix")))</f>
        <v>0</v>
      </c>
      <c r="G918" s="5">
        <f>IF(OR(INDEX($V$2:$V$1001,MATCH(ROWS($U$2:U918),$U$2:$U$1001,0),1)&gt;=100000,INDEX($AB$1005:$AQ$1005,1,MATCH(COLUMNS($AB$1006:AG1006),$AB$1006:$AQ$1006,0))&gt;=100000), " ",IF(INDEX($AB$2:$AQ$1001,MATCH(ROWS($U$2:U918),$U$2:$U$1001,0),MATCH(COLUMNS($AB$1006:AG1006),$AB$1006:$AQ$1006,0)), HYPERLINK("#",""), HYPERLINK(CONCATENATE("#Metadata!", ADDRESS(INDEX($W$2:$W$1001,MATCH(ROWS($U$2:U918),$U$2:$U$1001,0),0), INDEX($AB$1004:$AQ$1004,1,MATCH(COLUMNS($AB$1006:AG1006),$AB$1006:$AQ$1006,0)))),"Fix")))</f>
        <v>0</v>
      </c>
      <c r="H918" s="5">
        <f>IF(OR(INDEX($V$2:$V$1001,MATCH(ROWS($U$2:U918),$U$2:$U$1001,0),1)&gt;=100000,INDEX($AB$1005:$AQ$1005,1,MATCH(COLUMNS($AB$1006:AH1006),$AB$1006:$AQ$1006,0))&gt;=100000), " ",IF(INDEX($AB$2:$AQ$1001,MATCH(ROWS($U$2:U918),$U$2:$U$1001,0),MATCH(COLUMNS($AB$1006:AH1006),$AB$1006:$AQ$1006,0)), HYPERLINK("#",""), HYPERLINK(CONCATENATE("#Metadata!", ADDRESS(INDEX($W$2:$W$1001,MATCH(ROWS($U$2:U918),$U$2:$U$1001,0),0), INDEX($AB$1004:$AQ$1004,1,MATCH(COLUMNS($AB$1006:AH1006),$AB$1006:$AQ$1006,0)))),"Fix")))</f>
        <v>0</v>
      </c>
      <c r="I918" s="5">
        <f>IF(OR(INDEX($V$2:$V$1001,MATCH(ROWS($U$2:U918),$U$2:$U$1001,0),1)&gt;=100000,INDEX($AB$1005:$AQ$1005,1,MATCH(COLUMNS($AB$1006:AI1006),$AB$1006:$AQ$1006,0))&gt;=100000), " ",IF(INDEX($AB$2:$AQ$1001,MATCH(ROWS($U$2:U918),$U$2:$U$1001,0),MATCH(COLUMNS($AB$1006:AI1006),$AB$1006:$AQ$1006,0)), HYPERLINK("#",""), HYPERLINK(CONCATENATE("#Metadata!", ADDRESS(INDEX($W$2:$W$1001,MATCH(ROWS($U$2:U918),$U$2:$U$1001,0),0), INDEX($AB$1004:$AQ$1004,1,MATCH(COLUMNS($AB$1006:AI1006),$AB$1006:$AQ$1006,0)))),"Fix")))</f>
        <v>0</v>
      </c>
      <c r="J918" s="5">
        <f>IF(OR(INDEX($V$2:$V$1001,MATCH(ROWS($U$2:U918),$U$2:$U$1001,0),1)&gt;=100000,INDEX($AB$1005:$AQ$1005,1,MATCH(COLUMNS($AB$1006:AJ1006),$AB$1006:$AQ$1006,0))&gt;=100000), " ",IF(INDEX($AB$2:$AQ$1001,MATCH(ROWS($U$2:U918),$U$2:$U$1001,0),MATCH(COLUMNS($AB$1006:AJ1006),$AB$1006:$AQ$1006,0)), HYPERLINK("#",""), HYPERLINK(CONCATENATE("#Metadata!", ADDRESS(INDEX($W$2:$W$1001,MATCH(ROWS($U$2:U918),$U$2:$U$1001,0),0), INDEX($AB$1004:$AQ$1004,1,MATCH(COLUMNS($AB$1006:AJ1006),$AB$1006:$AQ$1006,0)))),"Fix")))</f>
        <v>0</v>
      </c>
      <c r="K918" s="5">
        <f>IF(OR(INDEX($V$2:$V$1001,MATCH(ROWS($U$2:U918),$U$2:$U$1001,0),1)&gt;=100000,INDEX($AB$1005:$AQ$1005,1,MATCH(COLUMNS($AB$1006:AK1006),$AB$1006:$AQ$1006,0))&gt;=100000), " ",IF(INDEX($AB$2:$AQ$1001,MATCH(ROWS($U$2:U918),$U$2:$U$1001,0),MATCH(COLUMNS($AB$1006:AK1006),$AB$1006:$AQ$1006,0)), HYPERLINK("#",""), HYPERLINK(CONCATENATE("#Metadata!", ADDRESS(INDEX($W$2:$W$1001,MATCH(ROWS($U$2:U918),$U$2:$U$1001,0),0), INDEX($AB$1004:$AQ$1004,1,MATCH(COLUMNS($AB$1006:AK1006),$AB$1006:$AQ$1006,0)))),"Fix")))</f>
        <v>0</v>
      </c>
      <c r="L918" s="5">
        <f>IF(OR(INDEX($V$2:$V$1001,MATCH(ROWS($U$2:U918),$U$2:$U$1001,0),1)&gt;=100000,INDEX($AB$1005:$AQ$1005,1,MATCH(COLUMNS($AB$1006:AL1006),$AB$1006:$AQ$1006,0))&gt;=100000), " ",IF(INDEX($AB$2:$AQ$1001,MATCH(ROWS($U$2:U918),$U$2:$U$1001,0),MATCH(COLUMNS($AB$1006:AL1006),$AB$1006:$AQ$1006,0)), HYPERLINK("#",""), HYPERLINK(CONCATENATE("#Metadata!", ADDRESS(INDEX($W$2:$W$1001,MATCH(ROWS($U$2:U918),$U$2:$U$1001,0),0), INDEX($AB$1004:$AQ$1004,1,MATCH(COLUMNS($AB$1006:AL1006),$AB$1006:$AQ$1006,0)))),"Fix")))</f>
        <v>0</v>
      </c>
      <c r="M918" s="5">
        <f>IF(OR(INDEX($V$2:$V$1001,MATCH(ROWS($U$2:U918),$U$2:$U$1001,0),1)&gt;=100000,INDEX($AB$1005:$AQ$1005,1,MATCH(COLUMNS($AB$1006:AM1006),$AB$1006:$AQ$1006,0))&gt;=100000), " ",IF(INDEX($AB$2:$AQ$1001,MATCH(ROWS($U$2:U918),$U$2:$U$1001,0),MATCH(COLUMNS($AB$1006:AM1006),$AB$1006:$AQ$1006,0)), HYPERLINK("#",""), HYPERLINK(CONCATENATE("#Metadata!", ADDRESS(INDEX($W$2:$W$1001,MATCH(ROWS($U$2:U918),$U$2:$U$1001,0),0), INDEX($AB$1004:$AQ$1004,1,MATCH(COLUMNS($AB$1006:AM1006),$AB$1006:$AQ$1006,0)))),"Fix")))</f>
        <v>0</v>
      </c>
      <c r="N918" s="5">
        <f>IF(OR(INDEX($V$2:$V$1001,MATCH(ROWS($U$2:U918),$U$2:$U$1001,0),1)&gt;=100000,INDEX($AB$1005:$AQ$1005,1,MATCH(COLUMNS($AB$1006:AN1006),$AB$1006:$AQ$1006,0))&gt;=100000), " ",IF(INDEX($AB$2:$AQ$1001,MATCH(ROWS($U$2:U918),$U$2:$U$1001,0),MATCH(COLUMNS($AB$1006:AN1006),$AB$1006:$AQ$1006,0)), HYPERLINK("#",""), HYPERLINK(CONCATENATE("#Metadata!", ADDRESS(INDEX($W$2:$W$1001,MATCH(ROWS($U$2:U918),$U$2:$U$1001,0),0), INDEX($AB$1004:$AQ$1004,1,MATCH(COLUMNS($AB$1006:AN1006),$AB$1006:$AQ$1006,0)))),"Fix")))</f>
        <v>0</v>
      </c>
      <c r="O918" s="5">
        <f>IF(OR(INDEX($V$2:$V$1001,MATCH(ROWS($U$2:U918),$U$2:$U$1001,0),1)&gt;=100000,INDEX($AB$1005:$AQ$1005,1,MATCH(COLUMNS($AB$1006:AO1006),$AB$1006:$AQ$1006,0))&gt;=100000), " ",IF(INDEX($AB$2:$AQ$1001,MATCH(ROWS($U$2:U918),$U$2:$U$1001,0),MATCH(COLUMNS($AB$1006:AO1006),$AB$1006:$AQ$1006,0)), HYPERLINK("#",""), HYPERLINK(CONCATENATE("#Metadata!", ADDRESS(INDEX($W$2:$W$1001,MATCH(ROWS($U$2:U918),$U$2:$U$1001,0),0), INDEX($AB$1004:$AQ$1004,1,MATCH(COLUMNS($AB$1006:AO1006),$AB$1006:$AQ$1006,0)))),"Fix")))</f>
        <v>0</v>
      </c>
      <c r="P918" s="5">
        <f>IF(OR(INDEX($V$2:$V$1001,MATCH(ROWS($U$2:U918),$U$2:$U$1001,0),1)&gt;=100000,INDEX($AB$1005:$AQ$1005,1,MATCH(COLUMNS($AB$1006:AP1006),$AB$1006:$AQ$1006,0))&gt;=100000), " ",IF(INDEX($AB$2:$AQ$1001,MATCH(ROWS($U$2:U918),$U$2:$U$1001,0),MATCH(COLUMNS($AB$1006:AP1006),$AB$1006:$AQ$1006,0)), HYPERLINK("#",""), HYPERLINK(CONCATENATE("#Metadata!", ADDRESS(INDEX($W$2:$W$1001,MATCH(ROWS($U$2:U918),$U$2:$U$1001,0),0), INDEX($AB$1004:$AQ$1004,1,MATCH(COLUMNS($AB$1006:AP1006),$AB$1006:$AQ$1006,0)))),"Fix")))</f>
        <v>0</v>
      </c>
      <c r="Q918" s="5">
        <f>IF(OR(INDEX($V$2:$V$1001,MATCH(ROWS($U$2:U918),$U$2:$U$1001,0),1)&gt;=100000,INDEX($AB$1005:$AQ$1005,1,MATCH(COLUMNS($AB$1006:AQ1006),$AB$1006:$AQ$1006,0))&gt;=100000), " ",IF(INDEX($AB$2:$AQ$1001,MATCH(ROWS($U$2:U918),$U$2:$U$1001,0),MATCH(COLUMNS($AB$1006:AQ1006),$AB$1006:$AQ$1006,0)), HYPERLINK("#",""), HYPERLINK(CONCATENATE("#Metadata!", ADDRESS(INDEX($W$2:$W$1001,MATCH(ROWS($U$2:U918),$U$2:$U$1001,0),0), INDEX($AB$1004:$AQ$1004,1,MATCH(COLUMNS($AB$1006:AQ1006),$AB$1006:$AQ$1006,0)))),"Fix")))</f>
        <v>0</v>
      </c>
      <c r="U918">
        <v>0</v>
      </c>
      <c r="V918">
        <v>0</v>
      </c>
      <c r="W918">
        <v>0</v>
      </c>
      <c r="X918">
        <f>IF(Y918,TRUE,AND(AB918:AQ918))</f>
        <v>0</v>
      </c>
      <c r="Y918">
        <f>COUNTBLANK(Metadata!B918:Q918)=COLUMNS(Metadata!B918:Q918)</f>
        <v>0</v>
      </c>
      <c r="Z918">
        <v>0</v>
      </c>
      <c r="AB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AC918">
        <f>AND(IF(Metadata!C918="",FALSE,TRUE),exact(Metadata!C918,"urban biome"))</f>
        <v>0</v>
      </c>
      <c r="AD918">
        <f>AND(IF(Metadata!D918="",FALSE,TRUE),exact(Metadata!D918,"human-associated habitat"))</f>
        <v>0</v>
      </c>
      <c r="AE918">
        <f>AND(IF(Metadata!E918="",FALSE,TRUE),OR(exact(Metadata!E918,"human-associated"),exact(Metadata!E918,"human-skin"),exact(Metadata!E918,"human-oral"),exact(Metadata!E918,"human-gut"),exact(Metadata!E918,"human-vaginal")))</f>
        <v>0</v>
      </c>
      <c r="AF918">
        <f>AND(IF(Metadata!F918="",FALSE,ISNUMBER(VALUE(Metadata!F918))),Metadata!F918&gt;0)</f>
        <v>0</v>
      </c>
      <c r="AG918">
        <f>AND(IF(Metadata!G918="",FALSE,TRUE),exact(Metadata!G918,"years"))</f>
        <v>0</v>
      </c>
      <c r="AH918">
        <f>OR(AND(IF(Metadata!H918="",FALSE,TRUE),OR(exact(Metadata!H918,"not applicable"),exact(Metadata!H918,"not collected"),exact(Metadata!H918,"not provided"),exact(Metadata!H918,"restricted access"))),AND(IF(Metadata!H918="",FALSE,ISNUMBER(VALUE(Metadata!H918))),Metadata!H918&gt;0))</f>
        <v>0</v>
      </c>
      <c r="AI918">
        <f>AND(IF(Metadata!I918="",FALSE,TRUE),exact(Metadata!I918,"human"))</f>
        <v>0</v>
      </c>
      <c r="AJ918">
        <f>AND(IF(Metadata!J918="",FALSE,ISNUMBER(VALUE(Metadata!J918))),Metadata!J918&gt;0)</f>
        <v>0</v>
      </c>
      <c r="AK918">
        <f>AND(IF(Metadata!K918="",FALSE,TRUE),exact(Metadata!K918,"cm"))</f>
        <v>0</v>
      </c>
      <c r="AL918">
        <f>AND(IF(Metadata!L918="",FALSE,TRUE),exact(Metadata!L918,"Homo sapiens"))</f>
        <v>0</v>
      </c>
      <c r="AM918">
        <f>AND(IF(Metadata!M918="",FALSE,TRUE),exact(Metadata!M918,"9606"))</f>
        <v>0</v>
      </c>
      <c r="AN918">
        <f>AND(IF(Metadata!N918="",FALSE,ISNUMBER(VALUE(Metadata!N918))),Metadata!N918&gt;0)</f>
        <v>0</v>
      </c>
      <c r="AO918">
        <f>AND(IF(Metadata!O918="",FALSE,TRUE),exact(Metadata!O918,"kg"))</f>
        <v>0</v>
      </c>
      <c r="AP918">
        <f>OR(AND(IF(Metadata!P918="",FALSE,TRUE),exact(Metadata!P918,"not provided")),IF(Metadata!P918="",FALSE,TRUE))</f>
        <v>0</v>
      </c>
      <c r="AQ918">
        <f>OR(AND(IF(Metadata!Q918="",FALSE,TRUE),exact(Metadata!Q918,"not provided")),IF(Metadata!Q918="",FALSE,TRUE))</f>
        <v>0</v>
      </c>
    </row>
    <row r="919" spans="1:43">
      <c r="A919" s="4">
        <f>IF(B919=" "," ",HYPERLINK(CONCATENATE("#metadata!",ADDRESS(INDEX($W$2:$W$1001,MATCH(ROWS($U$2:U919),$U$2:$U$1001,0),0),2)),INDEX($Z$2:$Z$1001,MATCH(ROWS($U$2:U919),$U$2:$U$1001,0),0)))</f>
        <v>0</v>
      </c>
      <c r="B919" s="5">
        <f>IF(OR(INDEX($V$2:$V$1001,MATCH(ROWS($U$2:U919),$U$2:$U$1001,0),1)&gt;=100000,INDEX($AB$1005:$AQ$1005,1,MATCH(COLUMNS($AB$1006:AB1006),$AB$1006:$AQ$1006,0))&gt;=100000), " ",IF(INDEX($AB$2:$AQ$1001,MATCH(ROWS($U$2:U919),$U$2:$U$1001,0),MATCH(COLUMNS($AB$1006:AB1006),$AB$1006:$AQ$1006,0)), HYPERLINK("#",""), HYPERLINK(CONCATENATE("#Metadata!", ADDRESS(INDEX($W$2:$W$1001,MATCH(ROWS($U$2:U919),$U$2:$U$1001,0),0), INDEX($AB$1004:$AQ$1004,1,MATCH(COLUMNS($AB$1006:AB1006),$AB$1006:$AQ$1006,0)))),"Fix")))</f>
        <v>0</v>
      </c>
      <c r="C919" s="5">
        <f>IF(OR(INDEX($V$2:$V$1001,MATCH(ROWS($U$2:U919),$U$2:$U$1001,0),1)&gt;=100000,INDEX($AB$1005:$AQ$1005,1,MATCH(COLUMNS($AB$1006:AC1006),$AB$1006:$AQ$1006,0))&gt;=100000), " ",IF(INDEX($AB$2:$AQ$1001,MATCH(ROWS($U$2:U919),$U$2:$U$1001,0),MATCH(COLUMNS($AB$1006:AC1006),$AB$1006:$AQ$1006,0)), HYPERLINK("#",""), HYPERLINK(CONCATENATE("#Metadata!", ADDRESS(INDEX($W$2:$W$1001,MATCH(ROWS($U$2:U919),$U$2:$U$1001,0),0), INDEX($AB$1004:$AQ$1004,1,MATCH(COLUMNS($AB$1006:AC1006),$AB$1006:$AQ$1006,0)))),"Fix")))</f>
        <v>0</v>
      </c>
      <c r="D919" s="5">
        <f>IF(OR(INDEX($V$2:$V$1001,MATCH(ROWS($U$2:U919),$U$2:$U$1001,0),1)&gt;=100000,INDEX($AB$1005:$AQ$1005,1,MATCH(COLUMNS($AB$1006:AD1006),$AB$1006:$AQ$1006,0))&gt;=100000), " ",IF(INDEX($AB$2:$AQ$1001,MATCH(ROWS($U$2:U919),$U$2:$U$1001,0),MATCH(COLUMNS($AB$1006:AD1006),$AB$1006:$AQ$1006,0)), HYPERLINK("#",""), HYPERLINK(CONCATENATE("#Metadata!", ADDRESS(INDEX($W$2:$W$1001,MATCH(ROWS($U$2:U919),$U$2:$U$1001,0),0), INDEX($AB$1004:$AQ$1004,1,MATCH(COLUMNS($AB$1006:AD1006),$AB$1006:$AQ$1006,0)))),"Fix")))</f>
        <v>0</v>
      </c>
      <c r="E919" s="5">
        <f>IF(OR(INDEX($V$2:$V$1001,MATCH(ROWS($U$2:U919),$U$2:$U$1001,0),1)&gt;=100000,INDEX($AB$1005:$AQ$1005,1,MATCH(COLUMNS($AB$1006:AE1006),$AB$1006:$AQ$1006,0))&gt;=100000), " ",IF(INDEX($AB$2:$AQ$1001,MATCH(ROWS($U$2:U919),$U$2:$U$1001,0),MATCH(COLUMNS($AB$1006:AE1006),$AB$1006:$AQ$1006,0)), HYPERLINK("#",""), HYPERLINK(CONCATENATE("#Metadata!", ADDRESS(INDEX($W$2:$W$1001,MATCH(ROWS($U$2:U919),$U$2:$U$1001,0),0), INDEX($AB$1004:$AQ$1004,1,MATCH(COLUMNS($AB$1006:AE1006),$AB$1006:$AQ$1006,0)))),"Fix")))</f>
        <v>0</v>
      </c>
      <c r="F919" s="5">
        <f>IF(OR(INDEX($V$2:$V$1001,MATCH(ROWS($U$2:U919),$U$2:$U$1001,0),1)&gt;=100000,INDEX($AB$1005:$AQ$1005,1,MATCH(COLUMNS($AB$1006:AF1006),$AB$1006:$AQ$1006,0))&gt;=100000), " ",IF(INDEX($AB$2:$AQ$1001,MATCH(ROWS($U$2:U919),$U$2:$U$1001,0),MATCH(COLUMNS($AB$1006:AF1006),$AB$1006:$AQ$1006,0)), HYPERLINK("#",""), HYPERLINK(CONCATENATE("#Metadata!", ADDRESS(INDEX($W$2:$W$1001,MATCH(ROWS($U$2:U919),$U$2:$U$1001,0),0), INDEX($AB$1004:$AQ$1004,1,MATCH(COLUMNS($AB$1006:AF1006),$AB$1006:$AQ$1006,0)))),"Fix")))</f>
        <v>0</v>
      </c>
      <c r="G919" s="5">
        <f>IF(OR(INDEX($V$2:$V$1001,MATCH(ROWS($U$2:U919),$U$2:$U$1001,0),1)&gt;=100000,INDEX($AB$1005:$AQ$1005,1,MATCH(COLUMNS($AB$1006:AG1006),$AB$1006:$AQ$1006,0))&gt;=100000), " ",IF(INDEX($AB$2:$AQ$1001,MATCH(ROWS($U$2:U919),$U$2:$U$1001,0),MATCH(COLUMNS($AB$1006:AG1006),$AB$1006:$AQ$1006,0)), HYPERLINK("#",""), HYPERLINK(CONCATENATE("#Metadata!", ADDRESS(INDEX($W$2:$W$1001,MATCH(ROWS($U$2:U919),$U$2:$U$1001,0),0), INDEX($AB$1004:$AQ$1004,1,MATCH(COLUMNS($AB$1006:AG1006),$AB$1006:$AQ$1006,0)))),"Fix")))</f>
        <v>0</v>
      </c>
      <c r="H919" s="5">
        <f>IF(OR(INDEX($V$2:$V$1001,MATCH(ROWS($U$2:U919),$U$2:$U$1001,0),1)&gt;=100000,INDEX($AB$1005:$AQ$1005,1,MATCH(COLUMNS($AB$1006:AH1006),$AB$1006:$AQ$1006,0))&gt;=100000), " ",IF(INDEX($AB$2:$AQ$1001,MATCH(ROWS($U$2:U919),$U$2:$U$1001,0),MATCH(COLUMNS($AB$1006:AH1006),$AB$1006:$AQ$1006,0)), HYPERLINK("#",""), HYPERLINK(CONCATENATE("#Metadata!", ADDRESS(INDEX($W$2:$W$1001,MATCH(ROWS($U$2:U919),$U$2:$U$1001,0),0), INDEX($AB$1004:$AQ$1004,1,MATCH(COLUMNS($AB$1006:AH1006),$AB$1006:$AQ$1006,0)))),"Fix")))</f>
        <v>0</v>
      </c>
      <c r="I919" s="5">
        <f>IF(OR(INDEX($V$2:$V$1001,MATCH(ROWS($U$2:U919),$U$2:$U$1001,0),1)&gt;=100000,INDEX($AB$1005:$AQ$1005,1,MATCH(COLUMNS($AB$1006:AI1006),$AB$1006:$AQ$1006,0))&gt;=100000), " ",IF(INDEX($AB$2:$AQ$1001,MATCH(ROWS($U$2:U919),$U$2:$U$1001,0),MATCH(COLUMNS($AB$1006:AI1006),$AB$1006:$AQ$1006,0)), HYPERLINK("#",""), HYPERLINK(CONCATENATE("#Metadata!", ADDRESS(INDEX($W$2:$W$1001,MATCH(ROWS($U$2:U919),$U$2:$U$1001,0),0), INDEX($AB$1004:$AQ$1004,1,MATCH(COLUMNS($AB$1006:AI1006),$AB$1006:$AQ$1006,0)))),"Fix")))</f>
        <v>0</v>
      </c>
      <c r="J919" s="5">
        <f>IF(OR(INDEX($V$2:$V$1001,MATCH(ROWS($U$2:U919),$U$2:$U$1001,0),1)&gt;=100000,INDEX($AB$1005:$AQ$1005,1,MATCH(COLUMNS($AB$1006:AJ1006),$AB$1006:$AQ$1006,0))&gt;=100000), " ",IF(INDEX($AB$2:$AQ$1001,MATCH(ROWS($U$2:U919),$U$2:$U$1001,0),MATCH(COLUMNS($AB$1006:AJ1006),$AB$1006:$AQ$1006,0)), HYPERLINK("#",""), HYPERLINK(CONCATENATE("#Metadata!", ADDRESS(INDEX($W$2:$W$1001,MATCH(ROWS($U$2:U919),$U$2:$U$1001,0),0), INDEX($AB$1004:$AQ$1004,1,MATCH(COLUMNS($AB$1006:AJ1006),$AB$1006:$AQ$1006,0)))),"Fix")))</f>
        <v>0</v>
      </c>
      <c r="K919" s="5">
        <f>IF(OR(INDEX($V$2:$V$1001,MATCH(ROWS($U$2:U919),$U$2:$U$1001,0),1)&gt;=100000,INDEX($AB$1005:$AQ$1005,1,MATCH(COLUMNS($AB$1006:AK1006),$AB$1006:$AQ$1006,0))&gt;=100000), " ",IF(INDEX($AB$2:$AQ$1001,MATCH(ROWS($U$2:U919),$U$2:$U$1001,0),MATCH(COLUMNS($AB$1006:AK1006),$AB$1006:$AQ$1006,0)), HYPERLINK("#",""), HYPERLINK(CONCATENATE("#Metadata!", ADDRESS(INDEX($W$2:$W$1001,MATCH(ROWS($U$2:U919),$U$2:$U$1001,0),0), INDEX($AB$1004:$AQ$1004,1,MATCH(COLUMNS($AB$1006:AK1006),$AB$1006:$AQ$1006,0)))),"Fix")))</f>
        <v>0</v>
      </c>
      <c r="L919" s="5">
        <f>IF(OR(INDEX($V$2:$V$1001,MATCH(ROWS($U$2:U919),$U$2:$U$1001,0),1)&gt;=100000,INDEX($AB$1005:$AQ$1005,1,MATCH(COLUMNS($AB$1006:AL1006),$AB$1006:$AQ$1006,0))&gt;=100000), " ",IF(INDEX($AB$2:$AQ$1001,MATCH(ROWS($U$2:U919),$U$2:$U$1001,0),MATCH(COLUMNS($AB$1006:AL1006),$AB$1006:$AQ$1006,0)), HYPERLINK("#",""), HYPERLINK(CONCATENATE("#Metadata!", ADDRESS(INDEX($W$2:$W$1001,MATCH(ROWS($U$2:U919),$U$2:$U$1001,0),0), INDEX($AB$1004:$AQ$1004,1,MATCH(COLUMNS($AB$1006:AL1006),$AB$1006:$AQ$1006,0)))),"Fix")))</f>
        <v>0</v>
      </c>
      <c r="M919" s="5">
        <f>IF(OR(INDEX($V$2:$V$1001,MATCH(ROWS($U$2:U919),$U$2:$U$1001,0),1)&gt;=100000,INDEX($AB$1005:$AQ$1005,1,MATCH(COLUMNS($AB$1006:AM1006),$AB$1006:$AQ$1006,0))&gt;=100000), " ",IF(INDEX($AB$2:$AQ$1001,MATCH(ROWS($U$2:U919),$U$2:$U$1001,0),MATCH(COLUMNS($AB$1006:AM1006),$AB$1006:$AQ$1006,0)), HYPERLINK("#",""), HYPERLINK(CONCATENATE("#Metadata!", ADDRESS(INDEX($W$2:$W$1001,MATCH(ROWS($U$2:U919),$U$2:$U$1001,0),0), INDEX($AB$1004:$AQ$1004,1,MATCH(COLUMNS($AB$1006:AM1006),$AB$1006:$AQ$1006,0)))),"Fix")))</f>
        <v>0</v>
      </c>
      <c r="N919" s="5">
        <f>IF(OR(INDEX($V$2:$V$1001,MATCH(ROWS($U$2:U919),$U$2:$U$1001,0),1)&gt;=100000,INDEX($AB$1005:$AQ$1005,1,MATCH(COLUMNS($AB$1006:AN1006),$AB$1006:$AQ$1006,0))&gt;=100000), " ",IF(INDEX($AB$2:$AQ$1001,MATCH(ROWS($U$2:U919),$U$2:$U$1001,0),MATCH(COLUMNS($AB$1006:AN1006),$AB$1006:$AQ$1006,0)), HYPERLINK("#",""), HYPERLINK(CONCATENATE("#Metadata!", ADDRESS(INDEX($W$2:$W$1001,MATCH(ROWS($U$2:U919),$U$2:$U$1001,0),0), INDEX($AB$1004:$AQ$1004,1,MATCH(COLUMNS($AB$1006:AN1006),$AB$1006:$AQ$1006,0)))),"Fix")))</f>
        <v>0</v>
      </c>
      <c r="O919" s="5">
        <f>IF(OR(INDEX($V$2:$V$1001,MATCH(ROWS($U$2:U919),$U$2:$U$1001,0),1)&gt;=100000,INDEX($AB$1005:$AQ$1005,1,MATCH(COLUMNS($AB$1006:AO1006),$AB$1006:$AQ$1006,0))&gt;=100000), " ",IF(INDEX($AB$2:$AQ$1001,MATCH(ROWS($U$2:U919),$U$2:$U$1001,0),MATCH(COLUMNS($AB$1006:AO1006),$AB$1006:$AQ$1006,0)), HYPERLINK("#",""), HYPERLINK(CONCATENATE("#Metadata!", ADDRESS(INDEX($W$2:$W$1001,MATCH(ROWS($U$2:U919),$U$2:$U$1001,0),0), INDEX($AB$1004:$AQ$1004,1,MATCH(COLUMNS($AB$1006:AO1006),$AB$1006:$AQ$1006,0)))),"Fix")))</f>
        <v>0</v>
      </c>
      <c r="P919" s="5">
        <f>IF(OR(INDEX($V$2:$V$1001,MATCH(ROWS($U$2:U919),$U$2:$U$1001,0),1)&gt;=100000,INDEX($AB$1005:$AQ$1005,1,MATCH(COLUMNS($AB$1006:AP1006),$AB$1006:$AQ$1006,0))&gt;=100000), " ",IF(INDEX($AB$2:$AQ$1001,MATCH(ROWS($U$2:U919),$U$2:$U$1001,0),MATCH(COLUMNS($AB$1006:AP1006),$AB$1006:$AQ$1006,0)), HYPERLINK("#",""), HYPERLINK(CONCATENATE("#Metadata!", ADDRESS(INDEX($W$2:$W$1001,MATCH(ROWS($U$2:U919),$U$2:$U$1001,0),0), INDEX($AB$1004:$AQ$1004,1,MATCH(COLUMNS($AB$1006:AP1006),$AB$1006:$AQ$1006,0)))),"Fix")))</f>
        <v>0</v>
      </c>
      <c r="Q919" s="5">
        <f>IF(OR(INDEX($V$2:$V$1001,MATCH(ROWS($U$2:U919),$U$2:$U$1001,0),1)&gt;=100000,INDEX($AB$1005:$AQ$1005,1,MATCH(COLUMNS($AB$1006:AQ1006),$AB$1006:$AQ$1006,0))&gt;=100000), " ",IF(INDEX($AB$2:$AQ$1001,MATCH(ROWS($U$2:U919),$U$2:$U$1001,0),MATCH(COLUMNS($AB$1006:AQ1006),$AB$1006:$AQ$1006,0)), HYPERLINK("#",""), HYPERLINK(CONCATENATE("#Metadata!", ADDRESS(INDEX($W$2:$W$1001,MATCH(ROWS($U$2:U919),$U$2:$U$1001,0),0), INDEX($AB$1004:$AQ$1004,1,MATCH(COLUMNS($AB$1006:AQ1006),$AB$1006:$AQ$1006,0)))),"Fix")))</f>
        <v>0</v>
      </c>
      <c r="U919">
        <v>0</v>
      </c>
      <c r="V919">
        <v>0</v>
      </c>
      <c r="W919">
        <v>0</v>
      </c>
      <c r="X919">
        <f>IF(Y919,TRUE,AND(AB919:AQ919))</f>
        <v>0</v>
      </c>
      <c r="Y919">
        <f>COUNTBLANK(Metadata!B919:Q919)=COLUMNS(Metadata!B919:Q919)</f>
        <v>0</v>
      </c>
      <c r="Z919">
        <v>0</v>
      </c>
      <c r="AB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AC919">
        <f>AND(IF(Metadata!C919="",FALSE,TRUE),exact(Metadata!C919,"urban biome"))</f>
        <v>0</v>
      </c>
      <c r="AD919">
        <f>AND(IF(Metadata!D919="",FALSE,TRUE),exact(Metadata!D919,"human-associated habitat"))</f>
        <v>0</v>
      </c>
      <c r="AE919">
        <f>AND(IF(Metadata!E919="",FALSE,TRUE),OR(exact(Metadata!E919,"human-associated"),exact(Metadata!E919,"human-skin"),exact(Metadata!E919,"human-oral"),exact(Metadata!E919,"human-gut"),exact(Metadata!E919,"human-vaginal")))</f>
        <v>0</v>
      </c>
      <c r="AF919">
        <f>AND(IF(Metadata!F919="",FALSE,ISNUMBER(VALUE(Metadata!F919))),Metadata!F919&gt;0)</f>
        <v>0</v>
      </c>
      <c r="AG919">
        <f>AND(IF(Metadata!G919="",FALSE,TRUE),exact(Metadata!G919,"years"))</f>
        <v>0</v>
      </c>
      <c r="AH919">
        <f>OR(AND(IF(Metadata!H919="",FALSE,TRUE),OR(exact(Metadata!H919,"not applicable"),exact(Metadata!H919,"not collected"),exact(Metadata!H919,"not provided"),exact(Metadata!H919,"restricted access"))),AND(IF(Metadata!H919="",FALSE,ISNUMBER(VALUE(Metadata!H919))),Metadata!H919&gt;0))</f>
        <v>0</v>
      </c>
      <c r="AI919">
        <f>AND(IF(Metadata!I919="",FALSE,TRUE),exact(Metadata!I919,"human"))</f>
        <v>0</v>
      </c>
      <c r="AJ919">
        <f>AND(IF(Metadata!J919="",FALSE,ISNUMBER(VALUE(Metadata!J919))),Metadata!J919&gt;0)</f>
        <v>0</v>
      </c>
      <c r="AK919">
        <f>AND(IF(Metadata!K919="",FALSE,TRUE),exact(Metadata!K919,"cm"))</f>
        <v>0</v>
      </c>
      <c r="AL919">
        <f>AND(IF(Metadata!L919="",FALSE,TRUE),exact(Metadata!L919,"Homo sapiens"))</f>
        <v>0</v>
      </c>
      <c r="AM919">
        <f>AND(IF(Metadata!M919="",FALSE,TRUE),exact(Metadata!M919,"9606"))</f>
        <v>0</v>
      </c>
      <c r="AN919">
        <f>AND(IF(Metadata!N919="",FALSE,ISNUMBER(VALUE(Metadata!N919))),Metadata!N919&gt;0)</f>
        <v>0</v>
      </c>
      <c r="AO919">
        <f>AND(IF(Metadata!O919="",FALSE,TRUE),exact(Metadata!O919,"kg"))</f>
        <v>0</v>
      </c>
      <c r="AP919">
        <f>OR(AND(IF(Metadata!P919="",FALSE,TRUE),exact(Metadata!P919,"not provided")),IF(Metadata!P919="",FALSE,TRUE))</f>
        <v>0</v>
      </c>
      <c r="AQ919">
        <f>OR(AND(IF(Metadata!Q919="",FALSE,TRUE),exact(Metadata!Q919,"not provided")),IF(Metadata!Q919="",FALSE,TRUE))</f>
        <v>0</v>
      </c>
    </row>
    <row r="920" spans="1:43">
      <c r="A920" s="4">
        <f>IF(B920=" "," ",HYPERLINK(CONCATENATE("#metadata!",ADDRESS(INDEX($W$2:$W$1001,MATCH(ROWS($U$2:U920),$U$2:$U$1001,0),0),2)),INDEX($Z$2:$Z$1001,MATCH(ROWS($U$2:U920),$U$2:$U$1001,0),0)))</f>
        <v>0</v>
      </c>
      <c r="B920" s="5">
        <f>IF(OR(INDEX($V$2:$V$1001,MATCH(ROWS($U$2:U920),$U$2:$U$1001,0),1)&gt;=100000,INDEX($AB$1005:$AQ$1005,1,MATCH(COLUMNS($AB$1006:AB1006),$AB$1006:$AQ$1006,0))&gt;=100000), " ",IF(INDEX($AB$2:$AQ$1001,MATCH(ROWS($U$2:U920),$U$2:$U$1001,0),MATCH(COLUMNS($AB$1006:AB1006),$AB$1006:$AQ$1006,0)), HYPERLINK("#",""), HYPERLINK(CONCATENATE("#Metadata!", ADDRESS(INDEX($W$2:$W$1001,MATCH(ROWS($U$2:U920),$U$2:$U$1001,0),0), INDEX($AB$1004:$AQ$1004,1,MATCH(COLUMNS($AB$1006:AB1006),$AB$1006:$AQ$1006,0)))),"Fix")))</f>
        <v>0</v>
      </c>
      <c r="C920" s="5">
        <f>IF(OR(INDEX($V$2:$V$1001,MATCH(ROWS($U$2:U920),$U$2:$U$1001,0),1)&gt;=100000,INDEX($AB$1005:$AQ$1005,1,MATCH(COLUMNS($AB$1006:AC1006),$AB$1006:$AQ$1006,0))&gt;=100000), " ",IF(INDEX($AB$2:$AQ$1001,MATCH(ROWS($U$2:U920),$U$2:$U$1001,0),MATCH(COLUMNS($AB$1006:AC1006),$AB$1006:$AQ$1006,0)), HYPERLINK("#",""), HYPERLINK(CONCATENATE("#Metadata!", ADDRESS(INDEX($W$2:$W$1001,MATCH(ROWS($U$2:U920),$U$2:$U$1001,0),0), INDEX($AB$1004:$AQ$1004,1,MATCH(COLUMNS($AB$1006:AC1006),$AB$1006:$AQ$1006,0)))),"Fix")))</f>
        <v>0</v>
      </c>
      <c r="D920" s="5">
        <f>IF(OR(INDEX($V$2:$V$1001,MATCH(ROWS($U$2:U920),$U$2:$U$1001,0),1)&gt;=100000,INDEX($AB$1005:$AQ$1005,1,MATCH(COLUMNS($AB$1006:AD1006),$AB$1006:$AQ$1006,0))&gt;=100000), " ",IF(INDEX($AB$2:$AQ$1001,MATCH(ROWS($U$2:U920),$U$2:$U$1001,0),MATCH(COLUMNS($AB$1006:AD1006),$AB$1006:$AQ$1006,0)), HYPERLINK("#",""), HYPERLINK(CONCATENATE("#Metadata!", ADDRESS(INDEX($W$2:$W$1001,MATCH(ROWS($U$2:U920),$U$2:$U$1001,0),0), INDEX($AB$1004:$AQ$1004,1,MATCH(COLUMNS($AB$1006:AD1006),$AB$1006:$AQ$1006,0)))),"Fix")))</f>
        <v>0</v>
      </c>
      <c r="E920" s="5">
        <f>IF(OR(INDEX($V$2:$V$1001,MATCH(ROWS($U$2:U920),$U$2:$U$1001,0),1)&gt;=100000,INDEX($AB$1005:$AQ$1005,1,MATCH(COLUMNS($AB$1006:AE1006),$AB$1006:$AQ$1006,0))&gt;=100000), " ",IF(INDEX($AB$2:$AQ$1001,MATCH(ROWS($U$2:U920),$U$2:$U$1001,0),MATCH(COLUMNS($AB$1006:AE1006),$AB$1006:$AQ$1006,0)), HYPERLINK("#",""), HYPERLINK(CONCATENATE("#Metadata!", ADDRESS(INDEX($W$2:$W$1001,MATCH(ROWS($U$2:U920),$U$2:$U$1001,0),0), INDEX($AB$1004:$AQ$1004,1,MATCH(COLUMNS($AB$1006:AE1006),$AB$1006:$AQ$1006,0)))),"Fix")))</f>
        <v>0</v>
      </c>
      <c r="F920" s="5">
        <f>IF(OR(INDEX($V$2:$V$1001,MATCH(ROWS($U$2:U920),$U$2:$U$1001,0),1)&gt;=100000,INDEX($AB$1005:$AQ$1005,1,MATCH(COLUMNS($AB$1006:AF1006),$AB$1006:$AQ$1006,0))&gt;=100000), " ",IF(INDEX($AB$2:$AQ$1001,MATCH(ROWS($U$2:U920),$U$2:$U$1001,0),MATCH(COLUMNS($AB$1006:AF1006),$AB$1006:$AQ$1006,0)), HYPERLINK("#",""), HYPERLINK(CONCATENATE("#Metadata!", ADDRESS(INDEX($W$2:$W$1001,MATCH(ROWS($U$2:U920),$U$2:$U$1001,0),0), INDEX($AB$1004:$AQ$1004,1,MATCH(COLUMNS($AB$1006:AF1006),$AB$1006:$AQ$1006,0)))),"Fix")))</f>
        <v>0</v>
      </c>
      <c r="G920" s="5">
        <f>IF(OR(INDEX($V$2:$V$1001,MATCH(ROWS($U$2:U920),$U$2:$U$1001,0),1)&gt;=100000,INDEX($AB$1005:$AQ$1005,1,MATCH(COLUMNS($AB$1006:AG1006),$AB$1006:$AQ$1006,0))&gt;=100000), " ",IF(INDEX($AB$2:$AQ$1001,MATCH(ROWS($U$2:U920),$U$2:$U$1001,0),MATCH(COLUMNS($AB$1006:AG1006),$AB$1006:$AQ$1006,0)), HYPERLINK("#",""), HYPERLINK(CONCATENATE("#Metadata!", ADDRESS(INDEX($W$2:$W$1001,MATCH(ROWS($U$2:U920),$U$2:$U$1001,0),0), INDEX($AB$1004:$AQ$1004,1,MATCH(COLUMNS($AB$1006:AG1006),$AB$1006:$AQ$1006,0)))),"Fix")))</f>
        <v>0</v>
      </c>
      <c r="H920" s="5">
        <f>IF(OR(INDEX($V$2:$V$1001,MATCH(ROWS($U$2:U920),$U$2:$U$1001,0),1)&gt;=100000,INDEX($AB$1005:$AQ$1005,1,MATCH(COLUMNS($AB$1006:AH1006),$AB$1006:$AQ$1006,0))&gt;=100000), " ",IF(INDEX($AB$2:$AQ$1001,MATCH(ROWS($U$2:U920),$U$2:$U$1001,0),MATCH(COLUMNS($AB$1006:AH1006),$AB$1006:$AQ$1006,0)), HYPERLINK("#",""), HYPERLINK(CONCATENATE("#Metadata!", ADDRESS(INDEX($W$2:$W$1001,MATCH(ROWS($U$2:U920),$U$2:$U$1001,0),0), INDEX($AB$1004:$AQ$1004,1,MATCH(COLUMNS($AB$1006:AH1006),$AB$1006:$AQ$1006,0)))),"Fix")))</f>
        <v>0</v>
      </c>
      <c r="I920" s="5">
        <f>IF(OR(INDEX($V$2:$V$1001,MATCH(ROWS($U$2:U920),$U$2:$U$1001,0),1)&gt;=100000,INDEX($AB$1005:$AQ$1005,1,MATCH(COLUMNS($AB$1006:AI1006),$AB$1006:$AQ$1006,0))&gt;=100000), " ",IF(INDEX($AB$2:$AQ$1001,MATCH(ROWS($U$2:U920),$U$2:$U$1001,0),MATCH(COLUMNS($AB$1006:AI1006),$AB$1006:$AQ$1006,0)), HYPERLINK("#",""), HYPERLINK(CONCATENATE("#Metadata!", ADDRESS(INDEX($W$2:$W$1001,MATCH(ROWS($U$2:U920),$U$2:$U$1001,0),0), INDEX($AB$1004:$AQ$1004,1,MATCH(COLUMNS($AB$1006:AI1006),$AB$1006:$AQ$1006,0)))),"Fix")))</f>
        <v>0</v>
      </c>
      <c r="J920" s="5">
        <f>IF(OR(INDEX($V$2:$V$1001,MATCH(ROWS($U$2:U920),$U$2:$U$1001,0),1)&gt;=100000,INDEX($AB$1005:$AQ$1005,1,MATCH(COLUMNS($AB$1006:AJ1006),$AB$1006:$AQ$1006,0))&gt;=100000), " ",IF(INDEX($AB$2:$AQ$1001,MATCH(ROWS($U$2:U920),$U$2:$U$1001,0),MATCH(COLUMNS($AB$1006:AJ1006),$AB$1006:$AQ$1006,0)), HYPERLINK("#",""), HYPERLINK(CONCATENATE("#Metadata!", ADDRESS(INDEX($W$2:$W$1001,MATCH(ROWS($U$2:U920),$U$2:$U$1001,0),0), INDEX($AB$1004:$AQ$1004,1,MATCH(COLUMNS($AB$1006:AJ1006),$AB$1006:$AQ$1006,0)))),"Fix")))</f>
        <v>0</v>
      </c>
      <c r="K920" s="5">
        <f>IF(OR(INDEX($V$2:$V$1001,MATCH(ROWS($U$2:U920),$U$2:$U$1001,0),1)&gt;=100000,INDEX($AB$1005:$AQ$1005,1,MATCH(COLUMNS($AB$1006:AK1006),$AB$1006:$AQ$1006,0))&gt;=100000), " ",IF(INDEX($AB$2:$AQ$1001,MATCH(ROWS($U$2:U920),$U$2:$U$1001,0),MATCH(COLUMNS($AB$1006:AK1006),$AB$1006:$AQ$1006,0)), HYPERLINK("#",""), HYPERLINK(CONCATENATE("#Metadata!", ADDRESS(INDEX($W$2:$W$1001,MATCH(ROWS($U$2:U920),$U$2:$U$1001,0),0), INDEX($AB$1004:$AQ$1004,1,MATCH(COLUMNS($AB$1006:AK1006),$AB$1006:$AQ$1006,0)))),"Fix")))</f>
        <v>0</v>
      </c>
      <c r="L920" s="5">
        <f>IF(OR(INDEX($V$2:$V$1001,MATCH(ROWS($U$2:U920),$U$2:$U$1001,0),1)&gt;=100000,INDEX($AB$1005:$AQ$1005,1,MATCH(COLUMNS($AB$1006:AL1006),$AB$1006:$AQ$1006,0))&gt;=100000), " ",IF(INDEX($AB$2:$AQ$1001,MATCH(ROWS($U$2:U920),$U$2:$U$1001,0),MATCH(COLUMNS($AB$1006:AL1006),$AB$1006:$AQ$1006,0)), HYPERLINK("#",""), HYPERLINK(CONCATENATE("#Metadata!", ADDRESS(INDEX($W$2:$W$1001,MATCH(ROWS($U$2:U920),$U$2:$U$1001,0),0), INDEX($AB$1004:$AQ$1004,1,MATCH(COLUMNS($AB$1006:AL1006),$AB$1006:$AQ$1006,0)))),"Fix")))</f>
        <v>0</v>
      </c>
      <c r="M920" s="5">
        <f>IF(OR(INDEX($V$2:$V$1001,MATCH(ROWS($U$2:U920),$U$2:$U$1001,0),1)&gt;=100000,INDEX($AB$1005:$AQ$1005,1,MATCH(COLUMNS($AB$1006:AM1006),$AB$1006:$AQ$1006,0))&gt;=100000), " ",IF(INDEX($AB$2:$AQ$1001,MATCH(ROWS($U$2:U920),$U$2:$U$1001,0),MATCH(COLUMNS($AB$1006:AM1006),$AB$1006:$AQ$1006,0)), HYPERLINK("#",""), HYPERLINK(CONCATENATE("#Metadata!", ADDRESS(INDEX($W$2:$W$1001,MATCH(ROWS($U$2:U920),$U$2:$U$1001,0),0), INDEX($AB$1004:$AQ$1004,1,MATCH(COLUMNS($AB$1006:AM1006),$AB$1006:$AQ$1006,0)))),"Fix")))</f>
        <v>0</v>
      </c>
      <c r="N920" s="5">
        <f>IF(OR(INDEX($V$2:$V$1001,MATCH(ROWS($U$2:U920),$U$2:$U$1001,0),1)&gt;=100000,INDEX($AB$1005:$AQ$1005,1,MATCH(COLUMNS($AB$1006:AN1006),$AB$1006:$AQ$1006,0))&gt;=100000), " ",IF(INDEX($AB$2:$AQ$1001,MATCH(ROWS($U$2:U920),$U$2:$U$1001,0),MATCH(COLUMNS($AB$1006:AN1006),$AB$1006:$AQ$1006,0)), HYPERLINK("#",""), HYPERLINK(CONCATENATE("#Metadata!", ADDRESS(INDEX($W$2:$W$1001,MATCH(ROWS($U$2:U920),$U$2:$U$1001,0),0), INDEX($AB$1004:$AQ$1004,1,MATCH(COLUMNS($AB$1006:AN1006),$AB$1006:$AQ$1006,0)))),"Fix")))</f>
        <v>0</v>
      </c>
      <c r="O920" s="5">
        <f>IF(OR(INDEX($V$2:$V$1001,MATCH(ROWS($U$2:U920),$U$2:$U$1001,0),1)&gt;=100000,INDEX($AB$1005:$AQ$1005,1,MATCH(COLUMNS($AB$1006:AO1006),$AB$1006:$AQ$1006,0))&gt;=100000), " ",IF(INDEX($AB$2:$AQ$1001,MATCH(ROWS($U$2:U920),$U$2:$U$1001,0),MATCH(COLUMNS($AB$1006:AO1006),$AB$1006:$AQ$1006,0)), HYPERLINK("#",""), HYPERLINK(CONCATENATE("#Metadata!", ADDRESS(INDEX($W$2:$W$1001,MATCH(ROWS($U$2:U920),$U$2:$U$1001,0),0), INDEX($AB$1004:$AQ$1004,1,MATCH(COLUMNS($AB$1006:AO1006),$AB$1006:$AQ$1006,0)))),"Fix")))</f>
        <v>0</v>
      </c>
      <c r="P920" s="5">
        <f>IF(OR(INDEX($V$2:$V$1001,MATCH(ROWS($U$2:U920),$U$2:$U$1001,0),1)&gt;=100000,INDEX($AB$1005:$AQ$1005,1,MATCH(COLUMNS($AB$1006:AP1006),$AB$1006:$AQ$1006,0))&gt;=100000), " ",IF(INDEX($AB$2:$AQ$1001,MATCH(ROWS($U$2:U920),$U$2:$U$1001,0),MATCH(COLUMNS($AB$1006:AP1006),$AB$1006:$AQ$1006,0)), HYPERLINK("#",""), HYPERLINK(CONCATENATE("#Metadata!", ADDRESS(INDEX($W$2:$W$1001,MATCH(ROWS($U$2:U920),$U$2:$U$1001,0),0), INDEX($AB$1004:$AQ$1004,1,MATCH(COLUMNS($AB$1006:AP1006),$AB$1006:$AQ$1006,0)))),"Fix")))</f>
        <v>0</v>
      </c>
      <c r="Q920" s="5">
        <f>IF(OR(INDEX($V$2:$V$1001,MATCH(ROWS($U$2:U920),$U$2:$U$1001,0),1)&gt;=100000,INDEX($AB$1005:$AQ$1005,1,MATCH(COLUMNS($AB$1006:AQ1006),$AB$1006:$AQ$1006,0))&gt;=100000), " ",IF(INDEX($AB$2:$AQ$1001,MATCH(ROWS($U$2:U920),$U$2:$U$1001,0),MATCH(COLUMNS($AB$1006:AQ1006),$AB$1006:$AQ$1006,0)), HYPERLINK("#",""), HYPERLINK(CONCATENATE("#Metadata!", ADDRESS(INDEX($W$2:$W$1001,MATCH(ROWS($U$2:U920),$U$2:$U$1001,0),0), INDEX($AB$1004:$AQ$1004,1,MATCH(COLUMNS($AB$1006:AQ1006),$AB$1006:$AQ$1006,0)))),"Fix")))</f>
        <v>0</v>
      </c>
      <c r="U920">
        <v>0</v>
      </c>
      <c r="V920">
        <v>0</v>
      </c>
      <c r="W920">
        <v>0</v>
      </c>
      <c r="X920">
        <f>IF(Y920,TRUE,AND(AB920:AQ920))</f>
        <v>0</v>
      </c>
      <c r="Y920">
        <f>COUNTBLANK(Metadata!B920:Q920)=COLUMNS(Metadata!B920:Q920)</f>
        <v>0</v>
      </c>
      <c r="Z920">
        <v>0</v>
      </c>
      <c r="AB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AC920">
        <f>AND(IF(Metadata!C920="",FALSE,TRUE),exact(Metadata!C920,"urban biome"))</f>
        <v>0</v>
      </c>
      <c r="AD920">
        <f>AND(IF(Metadata!D920="",FALSE,TRUE),exact(Metadata!D920,"human-associated habitat"))</f>
        <v>0</v>
      </c>
      <c r="AE920">
        <f>AND(IF(Metadata!E920="",FALSE,TRUE),OR(exact(Metadata!E920,"human-associated"),exact(Metadata!E920,"human-skin"),exact(Metadata!E920,"human-oral"),exact(Metadata!E920,"human-gut"),exact(Metadata!E920,"human-vaginal")))</f>
        <v>0</v>
      </c>
      <c r="AF920">
        <f>AND(IF(Metadata!F920="",FALSE,ISNUMBER(VALUE(Metadata!F920))),Metadata!F920&gt;0)</f>
        <v>0</v>
      </c>
      <c r="AG920">
        <f>AND(IF(Metadata!G920="",FALSE,TRUE),exact(Metadata!G920,"years"))</f>
        <v>0</v>
      </c>
      <c r="AH920">
        <f>OR(AND(IF(Metadata!H920="",FALSE,TRUE),OR(exact(Metadata!H920,"not applicable"),exact(Metadata!H920,"not collected"),exact(Metadata!H920,"not provided"),exact(Metadata!H920,"restricted access"))),AND(IF(Metadata!H920="",FALSE,ISNUMBER(VALUE(Metadata!H920))),Metadata!H920&gt;0))</f>
        <v>0</v>
      </c>
      <c r="AI920">
        <f>AND(IF(Metadata!I920="",FALSE,TRUE),exact(Metadata!I920,"human"))</f>
        <v>0</v>
      </c>
      <c r="AJ920">
        <f>AND(IF(Metadata!J920="",FALSE,ISNUMBER(VALUE(Metadata!J920))),Metadata!J920&gt;0)</f>
        <v>0</v>
      </c>
      <c r="AK920">
        <f>AND(IF(Metadata!K920="",FALSE,TRUE),exact(Metadata!K920,"cm"))</f>
        <v>0</v>
      </c>
      <c r="AL920">
        <f>AND(IF(Metadata!L920="",FALSE,TRUE),exact(Metadata!L920,"Homo sapiens"))</f>
        <v>0</v>
      </c>
      <c r="AM920">
        <f>AND(IF(Metadata!M920="",FALSE,TRUE),exact(Metadata!M920,"9606"))</f>
        <v>0</v>
      </c>
      <c r="AN920">
        <f>AND(IF(Metadata!N920="",FALSE,ISNUMBER(VALUE(Metadata!N920))),Metadata!N920&gt;0)</f>
        <v>0</v>
      </c>
      <c r="AO920">
        <f>AND(IF(Metadata!O920="",FALSE,TRUE),exact(Metadata!O920,"kg"))</f>
        <v>0</v>
      </c>
      <c r="AP920">
        <f>OR(AND(IF(Metadata!P920="",FALSE,TRUE),exact(Metadata!P920,"not provided")),IF(Metadata!P920="",FALSE,TRUE))</f>
        <v>0</v>
      </c>
      <c r="AQ920">
        <f>OR(AND(IF(Metadata!Q920="",FALSE,TRUE),exact(Metadata!Q920,"not provided")),IF(Metadata!Q920="",FALSE,TRUE))</f>
        <v>0</v>
      </c>
    </row>
    <row r="921" spans="1:43">
      <c r="A921" s="4">
        <f>IF(B921=" "," ",HYPERLINK(CONCATENATE("#metadata!",ADDRESS(INDEX($W$2:$W$1001,MATCH(ROWS($U$2:U921),$U$2:$U$1001,0),0),2)),INDEX($Z$2:$Z$1001,MATCH(ROWS($U$2:U921),$U$2:$U$1001,0),0)))</f>
        <v>0</v>
      </c>
      <c r="B921" s="5">
        <f>IF(OR(INDEX($V$2:$V$1001,MATCH(ROWS($U$2:U921),$U$2:$U$1001,0),1)&gt;=100000,INDEX($AB$1005:$AQ$1005,1,MATCH(COLUMNS($AB$1006:AB1006),$AB$1006:$AQ$1006,0))&gt;=100000), " ",IF(INDEX($AB$2:$AQ$1001,MATCH(ROWS($U$2:U921),$U$2:$U$1001,0),MATCH(COLUMNS($AB$1006:AB1006),$AB$1006:$AQ$1006,0)), HYPERLINK("#",""), HYPERLINK(CONCATENATE("#Metadata!", ADDRESS(INDEX($W$2:$W$1001,MATCH(ROWS($U$2:U921),$U$2:$U$1001,0),0), INDEX($AB$1004:$AQ$1004,1,MATCH(COLUMNS($AB$1006:AB1006),$AB$1006:$AQ$1006,0)))),"Fix")))</f>
        <v>0</v>
      </c>
      <c r="C921" s="5">
        <f>IF(OR(INDEX($V$2:$V$1001,MATCH(ROWS($U$2:U921),$U$2:$U$1001,0),1)&gt;=100000,INDEX($AB$1005:$AQ$1005,1,MATCH(COLUMNS($AB$1006:AC1006),$AB$1006:$AQ$1006,0))&gt;=100000), " ",IF(INDEX($AB$2:$AQ$1001,MATCH(ROWS($U$2:U921),$U$2:$U$1001,0),MATCH(COLUMNS($AB$1006:AC1006),$AB$1006:$AQ$1006,0)), HYPERLINK("#",""), HYPERLINK(CONCATENATE("#Metadata!", ADDRESS(INDEX($W$2:$W$1001,MATCH(ROWS($U$2:U921),$U$2:$U$1001,0),0), INDEX($AB$1004:$AQ$1004,1,MATCH(COLUMNS($AB$1006:AC1006),$AB$1006:$AQ$1006,0)))),"Fix")))</f>
        <v>0</v>
      </c>
      <c r="D921" s="5">
        <f>IF(OR(INDEX($V$2:$V$1001,MATCH(ROWS($U$2:U921),$U$2:$U$1001,0),1)&gt;=100000,INDEX($AB$1005:$AQ$1005,1,MATCH(COLUMNS($AB$1006:AD1006),$AB$1006:$AQ$1006,0))&gt;=100000), " ",IF(INDEX($AB$2:$AQ$1001,MATCH(ROWS($U$2:U921),$U$2:$U$1001,0),MATCH(COLUMNS($AB$1006:AD1006),$AB$1006:$AQ$1006,0)), HYPERLINK("#",""), HYPERLINK(CONCATENATE("#Metadata!", ADDRESS(INDEX($W$2:$W$1001,MATCH(ROWS($U$2:U921),$U$2:$U$1001,0),0), INDEX($AB$1004:$AQ$1004,1,MATCH(COLUMNS($AB$1006:AD1006),$AB$1006:$AQ$1006,0)))),"Fix")))</f>
        <v>0</v>
      </c>
      <c r="E921" s="5">
        <f>IF(OR(INDEX($V$2:$V$1001,MATCH(ROWS($U$2:U921),$U$2:$U$1001,0),1)&gt;=100000,INDEX($AB$1005:$AQ$1005,1,MATCH(COLUMNS($AB$1006:AE1006),$AB$1006:$AQ$1006,0))&gt;=100000), " ",IF(INDEX($AB$2:$AQ$1001,MATCH(ROWS($U$2:U921),$U$2:$U$1001,0),MATCH(COLUMNS($AB$1006:AE1006),$AB$1006:$AQ$1006,0)), HYPERLINK("#",""), HYPERLINK(CONCATENATE("#Metadata!", ADDRESS(INDEX($W$2:$W$1001,MATCH(ROWS($U$2:U921),$U$2:$U$1001,0),0), INDEX($AB$1004:$AQ$1004,1,MATCH(COLUMNS($AB$1006:AE1006),$AB$1006:$AQ$1006,0)))),"Fix")))</f>
        <v>0</v>
      </c>
      <c r="F921" s="5">
        <f>IF(OR(INDEX($V$2:$V$1001,MATCH(ROWS($U$2:U921),$U$2:$U$1001,0),1)&gt;=100000,INDEX($AB$1005:$AQ$1005,1,MATCH(COLUMNS($AB$1006:AF1006),$AB$1006:$AQ$1006,0))&gt;=100000), " ",IF(INDEX($AB$2:$AQ$1001,MATCH(ROWS($U$2:U921),$U$2:$U$1001,0),MATCH(COLUMNS($AB$1006:AF1006),$AB$1006:$AQ$1006,0)), HYPERLINK("#",""), HYPERLINK(CONCATENATE("#Metadata!", ADDRESS(INDEX($W$2:$W$1001,MATCH(ROWS($U$2:U921),$U$2:$U$1001,0),0), INDEX($AB$1004:$AQ$1004,1,MATCH(COLUMNS($AB$1006:AF1006),$AB$1006:$AQ$1006,0)))),"Fix")))</f>
        <v>0</v>
      </c>
      <c r="G921" s="5">
        <f>IF(OR(INDEX($V$2:$V$1001,MATCH(ROWS($U$2:U921),$U$2:$U$1001,0),1)&gt;=100000,INDEX($AB$1005:$AQ$1005,1,MATCH(COLUMNS($AB$1006:AG1006),$AB$1006:$AQ$1006,0))&gt;=100000), " ",IF(INDEX($AB$2:$AQ$1001,MATCH(ROWS($U$2:U921),$U$2:$U$1001,0),MATCH(COLUMNS($AB$1006:AG1006),$AB$1006:$AQ$1006,0)), HYPERLINK("#",""), HYPERLINK(CONCATENATE("#Metadata!", ADDRESS(INDEX($W$2:$W$1001,MATCH(ROWS($U$2:U921),$U$2:$U$1001,0),0), INDEX($AB$1004:$AQ$1004,1,MATCH(COLUMNS($AB$1006:AG1006),$AB$1006:$AQ$1006,0)))),"Fix")))</f>
        <v>0</v>
      </c>
      <c r="H921" s="5">
        <f>IF(OR(INDEX($V$2:$V$1001,MATCH(ROWS($U$2:U921),$U$2:$U$1001,0),1)&gt;=100000,INDEX($AB$1005:$AQ$1005,1,MATCH(COLUMNS($AB$1006:AH1006),$AB$1006:$AQ$1006,0))&gt;=100000), " ",IF(INDEX($AB$2:$AQ$1001,MATCH(ROWS($U$2:U921),$U$2:$U$1001,0),MATCH(COLUMNS($AB$1006:AH1006),$AB$1006:$AQ$1006,0)), HYPERLINK("#",""), HYPERLINK(CONCATENATE("#Metadata!", ADDRESS(INDEX($W$2:$W$1001,MATCH(ROWS($U$2:U921),$U$2:$U$1001,0),0), INDEX($AB$1004:$AQ$1004,1,MATCH(COLUMNS($AB$1006:AH1006),$AB$1006:$AQ$1006,0)))),"Fix")))</f>
        <v>0</v>
      </c>
      <c r="I921" s="5">
        <f>IF(OR(INDEX($V$2:$V$1001,MATCH(ROWS($U$2:U921),$U$2:$U$1001,0),1)&gt;=100000,INDEX($AB$1005:$AQ$1005,1,MATCH(COLUMNS($AB$1006:AI1006),$AB$1006:$AQ$1006,0))&gt;=100000), " ",IF(INDEX($AB$2:$AQ$1001,MATCH(ROWS($U$2:U921),$U$2:$U$1001,0),MATCH(COLUMNS($AB$1006:AI1006),$AB$1006:$AQ$1006,0)), HYPERLINK("#",""), HYPERLINK(CONCATENATE("#Metadata!", ADDRESS(INDEX($W$2:$W$1001,MATCH(ROWS($U$2:U921),$U$2:$U$1001,0),0), INDEX($AB$1004:$AQ$1004,1,MATCH(COLUMNS($AB$1006:AI1006),$AB$1006:$AQ$1006,0)))),"Fix")))</f>
        <v>0</v>
      </c>
      <c r="J921" s="5">
        <f>IF(OR(INDEX($V$2:$V$1001,MATCH(ROWS($U$2:U921),$U$2:$U$1001,0),1)&gt;=100000,INDEX($AB$1005:$AQ$1005,1,MATCH(COLUMNS($AB$1006:AJ1006),$AB$1006:$AQ$1006,0))&gt;=100000), " ",IF(INDEX($AB$2:$AQ$1001,MATCH(ROWS($U$2:U921),$U$2:$U$1001,0),MATCH(COLUMNS($AB$1006:AJ1006),$AB$1006:$AQ$1006,0)), HYPERLINK("#",""), HYPERLINK(CONCATENATE("#Metadata!", ADDRESS(INDEX($W$2:$W$1001,MATCH(ROWS($U$2:U921),$U$2:$U$1001,0),0), INDEX($AB$1004:$AQ$1004,1,MATCH(COLUMNS($AB$1006:AJ1006),$AB$1006:$AQ$1006,0)))),"Fix")))</f>
        <v>0</v>
      </c>
      <c r="K921" s="5">
        <f>IF(OR(INDEX($V$2:$V$1001,MATCH(ROWS($U$2:U921),$U$2:$U$1001,0),1)&gt;=100000,INDEX($AB$1005:$AQ$1005,1,MATCH(COLUMNS($AB$1006:AK1006),$AB$1006:$AQ$1006,0))&gt;=100000), " ",IF(INDEX($AB$2:$AQ$1001,MATCH(ROWS($U$2:U921),$U$2:$U$1001,0),MATCH(COLUMNS($AB$1006:AK1006),$AB$1006:$AQ$1006,0)), HYPERLINK("#",""), HYPERLINK(CONCATENATE("#Metadata!", ADDRESS(INDEX($W$2:$W$1001,MATCH(ROWS($U$2:U921),$U$2:$U$1001,0),0), INDEX($AB$1004:$AQ$1004,1,MATCH(COLUMNS($AB$1006:AK1006),$AB$1006:$AQ$1006,0)))),"Fix")))</f>
        <v>0</v>
      </c>
      <c r="L921" s="5">
        <f>IF(OR(INDEX($V$2:$V$1001,MATCH(ROWS($U$2:U921),$U$2:$U$1001,0),1)&gt;=100000,INDEX($AB$1005:$AQ$1005,1,MATCH(COLUMNS($AB$1006:AL1006),$AB$1006:$AQ$1006,0))&gt;=100000), " ",IF(INDEX($AB$2:$AQ$1001,MATCH(ROWS($U$2:U921),$U$2:$U$1001,0),MATCH(COLUMNS($AB$1006:AL1006),$AB$1006:$AQ$1006,0)), HYPERLINK("#",""), HYPERLINK(CONCATENATE("#Metadata!", ADDRESS(INDEX($W$2:$W$1001,MATCH(ROWS($U$2:U921),$U$2:$U$1001,0),0), INDEX($AB$1004:$AQ$1004,1,MATCH(COLUMNS($AB$1006:AL1006),$AB$1006:$AQ$1006,0)))),"Fix")))</f>
        <v>0</v>
      </c>
      <c r="M921" s="5">
        <f>IF(OR(INDEX($V$2:$V$1001,MATCH(ROWS($U$2:U921),$U$2:$U$1001,0),1)&gt;=100000,INDEX($AB$1005:$AQ$1005,1,MATCH(COLUMNS($AB$1006:AM1006),$AB$1006:$AQ$1006,0))&gt;=100000), " ",IF(INDEX($AB$2:$AQ$1001,MATCH(ROWS($U$2:U921),$U$2:$U$1001,0),MATCH(COLUMNS($AB$1006:AM1006),$AB$1006:$AQ$1006,0)), HYPERLINK("#",""), HYPERLINK(CONCATENATE("#Metadata!", ADDRESS(INDEX($W$2:$W$1001,MATCH(ROWS($U$2:U921),$U$2:$U$1001,0),0), INDEX($AB$1004:$AQ$1004,1,MATCH(COLUMNS($AB$1006:AM1006),$AB$1006:$AQ$1006,0)))),"Fix")))</f>
        <v>0</v>
      </c>
      <c r="N921" s="5">
        <f>IF(OR(INDEX($V$2:$V$1001,MATCH(ROWS($U$2:U921),$U$2:$U$1001,0),1)&gt;=100000,INDEX($AB$1005:$AQ$1005,1,MATCH(COLUMNS($AB$1006:AN1006),$AB$1006:$AQ$1006,0))&gt;=100000), " ",IF(INDEX($AB$2:$AQ$1001,MATCH(ROWS($U$2:U921),$U$2:$U$1001,0),MATCH(COLUMNS($AB$1006:AN1006),$AB$1006:$AQ$1006,0)), HYPERLINK("#",""), HYPERLINK(CONCATENATE("#Metadata!", ADDRESS(INDEX($W$2:$W$1001,MATCH(ROWS($U$2:U921),$U$2:$U$1001,0),0), INDEX($AB$1004:$AQ$1004,1,MATCH(COLUMNS($AB$1006:AN1006),$AB$1006:$AQ$1006,0)))),"Fix")))</f>
        <v>0</v>
      </c>
      <c r="O921" s="5">
        <f>IF(OR(INDEX($V$2:$V$1001,MATCH(ROWS($U$2:U921),$U$2:$U$1001,0),1)&gt;=100000,INDEX($AB$1005:$AQ$1005,1,MATCH(COLUMNS($AB$1006:AO1006),$AB$1006:$AQ$1006,0))&gt;=100000), " ",IF(INDEX($AB$2:$AQ$1001,MATCH(ROWS($U$2:U921),$U$2:$U$1001,0),MATCH(COLUMNS($AB$1006:AO1006),$AB$1006:$AQ$1006,0)), HYPERLINK("#",""), HYPERLINK(CONCATENATE("#Metadata!", ADDRESS(INDEX($W$2:$W$1001,MATCH(ROWS($U$2:U921),$U$2:$U$1001,0),0), INDEX($AB$1004:$AQ$1004,1,MATCH(COLUMNS($AB$1006:AO1006),$AB$1006:$AQ$1006,0)))),"Fix")))</f>
        <v>0</v>
      </c>
      <c r="P921" s="5">
        <f>IF(OR(INDEX($V$2:$V$1001,MATCH(ROWS($U$2:U921),$U$2:$U$1001,0),1)&gt;=100000,INDEX($AB$1005:$AQ$1005,1,MATCH(COLUMNS($AB$1006:AP1006),$AB$1006:$AQ$1006,0))&gt;=100000), " ",IF(INDEX($AB$2:$AQ$1001,MATCH(ROWS($U$2:U921),$U$2:$U$1001,0),MATCH(COLUMNS($AB$1006:AP1006),$AB$1006:$AQ$1006,0)), HYPERLINK("#",""), HYPERLINK(CONCATENATE("#Metadata!", ADDRESS(INDEX($W$2:$W$1001,MATCH(ROWS($U$2:U921),$U$2:$U$1001,0),0), INDEX($AB$1004:$AQ$1004,1,MATCH(COLUMNS($AB$1006:AP1006),$AB$1006:$AQ$1006,0)))),"Fix")))</f>
        <v>0</v>
      </c>
      <c r="Q921" s="5">
        <f>IF(OR(INDEX($V$2:$V$1001,MATCH(ROWS($U$2:U921),$U$2:$U$1001,0),1)&gt;=100000,INDEX($AB$1005:$AQ$1005,1,MATCH(COLUMNS($AB$1006:AQ1006),$AB$1006:$AQ$1006,0))&gt;=100000), " ",IF(INDEX($AB$2:$AQ$1001,MATCH(ROWS($U$2:U921),$U$2:$U$1001,0),MATCH(COLUMNS($AB$1006:AQ1006),$AB$1006:$AQ$1006,0)), HYPERLINK("#",""), HYPERLINK(CONCATENATE("#Metadata!", ADDRESS(INDEX($W$2:$W$1001,MATCH(ROWS($U$2:U921),$U$2:$U$1001,0),0), INDEX($AB$1004:$AQ$1004,1,MATCH(COLUMNS($AB$1006:AQ1006),$AB$1006:$AQ$1006,0)))),"Fix")))</f>
        <v>0</v>
      </c>
      <c r="U921">
        <v>0</v>
      </c>
      <c r="V921">
        <v>0</v>
      </c>
      <c r="W921">
        <v>0</v>
      </c>
      <c r="X921">
        <f>IF(Y921,TRUE,AND(AB921:AQ921))</f>
        <v>0</v>
      </c>
      <c r="Y921">
        <f>COUNTBLANK(Metadata!B921:Q921)=COLUMNS(Metadata!B921:Q921)</f>
        <v>0</v>
      </c>
      <c r="Z921">
        <v>0</v>
      </c>
      <c r="AB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AC921">
        <f>AND(IF(Metadata!C921="",FALSE,TRUE),exact(Metadata!C921,"urban biome"))</f>
        <v>0</v>
      </c>
      <c r="AD921">
        <f>AND(IF(Metadata!D921="",FALSE,TRUE),exact(Metadata!D921,"human-associated habitat"))</f>
        <v>0</v>
      </c>
      <c r="AE921">
        <f>AND(IF(Metadata!E921="",FALSE,TRUE),OR(exact(Metadata!E921,"human-associated"),exact(Metadata!E921,"human-skin"),exact(Metadata!E921,"human-oral"),exact(Metadata!E921,"human-gut"),exact(Metadata!E921,"human-vaginal")))</f>
        <v>0</v>
      </c>
      <c r="AF921">
        <f>AND(IF(Metadata!F921="",FALSE,ISNUMBER(VALUE(Metadata!F921))),Metadata!F921&gt;0)</f>
        <v>0</v>
      </c>
      <c r="AG921">
        <f>AND(IF(Metadata!G921="",FALSE,TRUE),exact(Metadata!G921,"years"))</f>
        <v>0</v>
      </c>
      <c r="AH921">
        <f>OR(AND(IF(Metadata!H921="",FALSE,TRUE),OR(exact(Metadata!H921,"not applicable"),exact(Metadata!H921,"not collected"),exact(Metadata!H921,"not provided"),exact(Metadata!H921,"restricted access"))),AND(IF(Metadata!H921="",FALSE,ISNUMBER(VALUE(Metadata!H921))),Metadata!H921&gt;0))</f>
        <v>0</v>
      </c>
      <c r="AI921">
        <f>AND(IF(Metadata!I921="",FALSE,TRUE),exact(Metadata!I921,"human"))</f>
        <v>0</v>
      </c>
      <c r="AJ921">
        <f>AND(IF(Metadata!J921="",FALSE,ISNUMBER(VALUE(Metadata!J921))),Metadata!J921&gt;0)</f>
        <v>0</v>
      </c>
      <c r="AK921">
        <f>AND(IF(Metadata!K921="",FALSE,TRUE),exact(Metadata!K921,"cm"))</f>
        <v>0</v>
      </c>
      <c r="AL921">
        <f>AND(IF(Metadata!L921="",FALSE,TRUE),exact(Metadata!L921,"Homo sapiens"))</f>
        <v>0</v>
      </c>
      <c r="AM921">
        <f>AND(IF(Metadata!M921="",FALSE,TRUE),exact(Metadata!M921,"9606"))</f>
        <v>0</v>
      </c>
      <c r="AN921">
        <f>AND(IF(Metadata!N921="",FALSE,ISNUMBER(VALUE(Metadata!N921))),Metadata!N921&gt;0)</f>
        <v>0</v>
      </c>
      <c r="AO921">
        <f>AND(IF(Metadata!O921="",FALSE,TRUE),exact(Metadata!O921,"kg"))</f>
        <v>0</v>
      </c>
      <c r="AP921">
        <f>OR(AND(IF(Metadata!P921="",FALSE,TRUE),exact(Metadata!P921,"not provided")),IF(Metadata!P921="",FALSE,TRUE))</f>
        <v>0</v>
      </c>
      <c r="AQ921">
        <f>OR(AND(IF(Metadata!Q921="",FALSE,TRUE),exact(Metadata!Q921,"not provided")),IF(Metadata!Q921="",FALSE,TRUE))</f>
        <v>0</v>
      </c>
    </row>
    <row r="922" spans="1:43">
      <c r="A922" s="4">
        <f>IF(B922=" "," ",HYPERLINK(CONCATENATE("#metadata!",ADDRESS(INDEX($W$2:$W$1001,MATCH(ROWS($U$2:U922),$U$2:$U$1001,0),0),2)),INDEX($Z$2:$Z$1001,MATCH(ROWS($U$2:U922),$U$2:$U$1001,0),0)))</f>
        <v>0</v>
      </c>
      <c r="B922" s="5">
        <f>IF(OR(INDEX($V$2:$V$1001,MATCH(ROWS($U$2:U922),$U$2:$U$1001,0),1)&gt;=100000,INDEX($AB$1005:$AQ$1005,1,MATCH(COLUMNS($AB$1006:AB1006),$AB$1006:$AQ$1006,0))&gt;=100000), " ",IF(INDEX($AB$2:$AQ$1001,MATCH(ROWS($U$2:U922),$U$2:$U$1001,0),MATCH(COLUMNS($AB$1006:AB1006),$AB$1006:$AQ$1006,0)), HYPERLINK("#",""), HYPERLINK(CONCATENATE("#Metadata!", ADDRESS(INDEX($W$2:$W$1001,MATCH(ROWS($U$2:U922),$U$2:$U$1001,0),0), INDEX($AB$1004:$AQ$1004,1,MATCH(COLUMNS($AB$1006:AB1006),$AB$1006:$AQ$1006,0)))),"Fix")))</f>
        <v>0</v>
      </c>
      <c r="C922" s="5">
        <f>IF(OR(INDEX($V$2:$V$1001,MATCH(ROWS($U$2:U922),$U$2:$U$1001,0),1)&gt;=100000,INDEX($AB$1005:$AQ$1005,1,MATCH(COLUMNS($AB$1006:AC1006),$AB$1006:$AQ$1006,0))&gt;=100000), " ",IF(INDEX($AB$2:$AQ$1001,MATCH(ROWS($U$2:U922),$U$2:$U$1001,0),MATCH(COLUMNS($AB$1006:AC1006),$AB$1006:$AQ$1006,0)), HYPERLINK("#",""), HYPERLINK(CONCATENATE("#Metadata!", ADDRESS(INDEX($W$2:$W$1001,MATCH(ROWS($U$2:U922),$U$2:$U$1001,0),0), INDEX($AB$1004:$AQ$1004,1,MATCH(COLUMNS($AB$1006:AC1006),$AB$1006:$AQ$1006,0)))),"Fix")))</f>
        <v>0</v>
      </c>
      <c r="D922" s="5">
        <f>IF(OR(INDEX($V$2:$V$1001,MATCH(ROWS($U$2:U922),$U$2:$U$1001,0),1)&gt;=100000,INDEX($AB$1005:$AQ$1005,1,MATCH(COLUMNS($AB$1006:AD1006),$AB$1006:$AQ$1006,0))&gt;=100000), " ",IF(INDEX($AB$2:$AQ$1001,MATCH(ROWS($U$2:U922),$U$2:$U$1001,0),MATCH(COLUMNS($AB$1006:AD1006),$AB$1006:$AQ$1006,0)), HYPERLINK("#",""), HYPERLINK(CONCATENATE("#Metadata!", ADDRESS(INDEX($W$2:$W$1001,MATCH(ROWS($U$2:U922),$U$2:$U$1001,0),0), INDEX($AB$1004:$AQ$1004,1,MATCH(COLUMNS($AB$1006:AD1006),$AB$1006:$AQ$1006,0)))),"Fix")))</f>
        <v>0</v>
      </c>
      <c r="E922" s="5">
        <f>IF(OR(INDEX($V$2:$V$1001,MATCH(ROWS($U$2:U922),$U$2:$U$1001,0),1)&gt;=100000,INDEX($AB$1005:$AQ$1005,1,MATCH(COLUMNS($AB$1006:AE1006),$AB$1006:$AQ$1006,0))&gt;=100000), " ",IF(INDEX($AB$2:$AQ$1001,MATCH(ROWS($U$2:U922),$U$2:$U$1001,0),MATCH(COLUMNS($AB$1006:AE1006),$AB$1006:$AQ$1006,0)), HYPERLINK("#",""), HYPERLINK(CONCATENATE("#Metadata!", ADDRESS(INDEX($W$2:$W$1001,MATCH(ROWS($U$2:U922),$U$2:$U$1001,0),0), INDEX($AB$1004:$AQ$1004,1,MATCH(COLUMNS($AB$1006:AE1006),$AB$1006:$AQ$1006,0)))),"Fix")))</f>
        <v>0</v>
      </c>
      <c r="F922" s="5">
        <f>IF(OR(INDEX($V$2:$V$1001,MATCH(ROWS($U$2:U922),$U$2:$U$1001,0),1)&gt;=100000,INDEX($AB$1005:$AQ$1005,1,MATCH(COLUMNS($AB$1006:AF1006),$AB$1006:$AQ$1006,0))&gt;=100000), " ",IF(INDEX($AB$2:$AQ$1001,MATCH(ROWS($U$2:U922),$U$2:$U$1001,0),MATCH(COLUMNS($AB$1006:AF1006),$AB$1006:$AQ$1006,0)), HYPERLINK("#",""), HYPERLINK(CONCATENATE("#Metadata!", ADDRESS(INDEX($W$2:$W$1001,MATCH(ROWS($U$2:U922),$U$2:$U$1001,0),0), INDEX($AB$1004:$AQ$1004,1,MATCH(COLUMNS($AB$1006:AF1006),$AB$1006:$AQ$1006,0)))),"Fix")))</f>
        <v>0</v>
      </c>
      <c r="G922" s="5">
        <f>IF(OR(INDEX($V$2:$V$1001,MATCH(ROWS($U$2:U922),$U$2:$U$1001,0),1)&gt;=100000,INDEX($AB$1005:$AQ$1005,1,MATCH(COLUMNS($AB$1006:AG1006),$AB$1006:$AQ$1006,0))&gt;=100000), " ",IF(INDEX($AB$2:$AQ$1001,MATCH(ROWS($U$2:U922),$U$2:$U$1001,0),MATCH(COLUMNS($AB$1006:AG1006),$AB$1006:$AQ$1006,0)), HYPERLINK("#",""), HYPERLINK(CONCATENATE("#Metadata!", ADDRESS(INDEX($W$2:$W$1001,MATCH(ROWS($U$2:U922),$U$2:$U$1001,0),0), INDEX($AB$1004:$AQ$1004,1,MATCH(COLUMNS($AB$1006:AG1006),$AB$1006:$AQ$1006,0)))),"Fix")))</f>
        <v>0</v>
      </c>
      <c r="H922" s="5">
        <f>IF(OR(INDEX($V$2:$V$1001,MATCH(ROWS($U$2:U922),$U$2:$U$1001,0),1)&gt;=100000,INDEX($AB$1005:$AQ$1005,1,MATCH(COLUMNS($AB$1006:AH1006),$AB$1006:$AQ$1006,0))&gt;=100000), " ",IF(INDEX($AB$2:$AQ$1001,MATCH(ROWS($U$2:U922),$U$2:$U$1001,0),MATCH(COLUMNS($AB$1006:AH1006),$AB$1006:$AQ$1006,0)), HYPERLINK("#",""), HYPERLINK(CONCATENATE("#Metadata!", ADDRESS(INDEX($W$2:$W$1001,MATCH(ROWS($U$2:U922),$U$2:$U$1001,0),0), INDEX($AB$1004:$AQ$1004,1,MATCH(COLUMNS($AB$1006:AH1006),$AB$1006:$AQ$1006,0)))),"Fix")))</f>
        <v>0</v>
      </c>
      <c r="I922" s="5">
        <f>IF(OR(INDEX($V$2:$V$1001,MATCH(ROWS($U$2:U922),$U$2:$U$1001,0),1)&gt;=100000,INDEX($AB$1005:$AQ$1005,1,MATCH(COLUMNS($AB$1006:AI1006),$AB$1006:$AQ$1006,0))&gt;=100000), " ",IF(INDEX($AB$2:$AQ$1001,MATCH(ROWS($U$2:U922),$U$2:$U$1001,0),MATCH(COLUMNS($AB$1006:AI1006),$AB$1006:$AQ$1006,0)), HYPERLINK("#",""), HYPERLINK(CONCATENATE("#Metadata!", ADDRESS(INDEX($W$2:$W$1001,MATCH(ROWS($U$2:U922),$U$2:$U$1001,0),0), INDEX($AB$1004:$AQ$1004,1,MATCH(COLUMNS($AB$1006:AI1006),$AB$1006:$AQ$1006,0)))),"Fix")))</f>
        <v>0</v>
      </c>
      <c r="J922" s="5">
        <f>IF(OR(INDEX($V$2:$V$1001,MATCH(ROWS($U$2:U922),$U$2:$U$1001,0),1)&gt;=100000,INDEX($AB$1005:$AQ$1005,1,MATCH(COLUMNS($AB$1006:AJ1006),$AB$1006:$AQ$1006,0))&gt;=100000), " ",IF(INDEX($AB$2:$AQ$1001,MATCH(ROWS($U$2:U922),$U$2:$U$1001,0),MATCH(COLUMNS($AB$1006:AJ1006),$AB$1006:$AQ$1006,0)), HYPERLINK("#",""), HYPERLINK(CONCATENATE("#Metadata!", ADDRESS(INDEX($W$2:$W$1001,MATCH(ROWS($U$2:U922),$U$2:$U$1001,0),0), INDEX($AB$1004:$AQ$1004,1,MATCH(COLUMNS($AB$1006:AJ1006),$AB$1006:$AQ$1006,0)))),"Fix")))</f>
        <v>0</v>
      </c>
      <c r="K922" s="5">
        <f>IF(OR(INDEX($V$2:$V$1001,MATCH(ROWS($U$2:U922),$U$2:$U$1001,0),1)&gt;=100000,INDEX($AB$1005:$AQ$1005,1,MATCH(COLUMNS($AB$1006:AK1006),$AB$1006:$AQ$1006,0))&gt;=100000), " ",IF(INDEX($AB$2:$AQ$1001,MATCH(ROWS($U$2:U922),$U$2:$U$1001,0),MATCH(COLUMNS($AB$1006:AK1006),$AB$1006:$AQ$1006,0)), HYPERLINK("#",""), HYPERLINK(CONCATENATE("#Metadata!", ADDRESS(INDEX($W$2:$W$1001,MATCH(ROWS($U$2:U922),$U$2:$U$1001,0),0), INDEX($AB$1004:$AQ$1004,1,MATCH(COLUMNS($AB$1006:AK1006),$AB$1006:$AQ$1006,0)))),"Fix")))</f>
        <v>0</v>
      </c>
      <c r="L922" s="5">
        <f>IF(OR(INDEX($V$2:$V$1001,MATCH(ROWS($U$2:U922),$U$2:$U$1001,0),1)&gt;=100000,INDEX($AB$1005:$AQ$1005,1,MATCH(COLUMNS($AB$1006:AL1006),$AB$1006:$AQ$1006,0))&gt;=100000), " ",IF(INDEX($AB$2:$AQ$1001,MATCH(ROWS($U$2:U922),$U$2:$U$1001,0),MATCH(COLUMNS($AB$1006:AL1006),$AB$1006:$AQ$1006,0)), HYPERLINK("#",""), HYPERLINK(CONCATENATE("#Metadata!", ADDRESS(INDEX($W$2:$W$1001,MATCH(ROWS($U$2:U922),$U$2:$U$1001,0),0), INDEX($AB$1004:$AQ$1004,1,MATCH(COLUMNS($AB$1006:AL1006),$AB$1006:$AQ$1006,0)))),"Fix")))</f>
        <v>0</v>
      </c>
      <c r="M922" s="5">
        <f>IF(OR(INDEX($V$2:$V$1001,MATCH(ROWS($U$2:U922),$U$2:$U$1001,0),1)&gt;=100000,INDEX($AB$1005:$AQ$1005,1,MATCH(COLUMNS($AB$1006:AM1006),$AB$1006:$AQ$1006,0))&gt;=100000), " ",IF(INDEX($AB$2:$AQ$1001,MATCH(ROWS($U$2:U922),$U$2:$U$1001,0),MATCH(COLUMNS($AB$1006:AM1006),$AB$1006:$AQ$1006,0)), HYPERLINK("#",""), HYPERLINK(CONCATENATE("#Metadata!", ADDRESS(INDEX($W$2:$W$1001,MATCH(ROWS($U$2:U922),$U$2:$U$1001,0),0), INDEX($AB$1004:$AQ$1004,1,MATCH(COLUMNS($AB$1006:AM1006),$AB$1006:$AQ$1006,0)))),"Fix")))</f>
        <v>0</v>
      </c>
      <c r="N922" s="5">
        <f>IF(OR(INDEX($V$2:$V$1001,MATCH(ROWS($U$2:U922),$U$2:$U$1001,0),1)&gt;=100000,INDEX($AB$1005:$AQ$1005,1,MATCH(COLUMNS($AB$1006:AN1006),$AB$1006:$AQ$1006,0))&gt;=100000), " ",IF(INDEX($AB$2:$AQ$1001,MATCH(ROWS($U$2:U922),$U$2:$U$1001,0),MATCH(COLUMNS($AB$1006:AN1006),$AB$1006:$AQ$1006,0)), HYPERLINK("#",""), HYPERLINK(CONCATENATE("#Metadata!", ADDRESS(INDEX($W$2:$W$1001,MATCH(ROWS($U$2:U922),$U$2:$U$1001,0),0), INDEX($AB$1004:$AQ$1004,1,MATCH(COLUMNS($AB$1006:AN1006),$AB$1006:$AQ$1006,0)))),"Fix")))</f>
        <v>0</v>
      </c>
      <c r="O922" s="5">
        <f>IF(OR(INDEX($V$2:$V$1001,MATCH(ROWS($U$2:U922),$U$2:$U$1001,0),1)&gt;=100000,INDEX($AB$1005:$AQ$1005,1,MATCH(COLUMNS($AB$1006:AO1006),$AB$1006:$AQ$1006,0))&gt;=100000), " ",IF(INDEX($AB$2:$AQ$1001,MATCH(ROWS($U$2:U922),$U$2:$U$1001,0),MATCH(COLUMNS($AB$1006:AO1006),$AB$1006:$AQ$1006,0)), HYPERLINK("#",""), HYPERLINK(CONCATENATE("#Metadata!", ADDRESS(INDEX($W$2:$W$1001,MATCH(ROWS($U$2:U922),$U$2:$U$1001,0),0), INDEX($AB$1004:$AQ$1004,1,MATCH(COLUMNS($AB$1006:AO1006),$AB$1006:$AQ$1006,0)))),"Fix")))</f>
        <v>0</v>
      </c>
      <c r="P922" s="5">
        <f>IF(OR(INDEX($V$2:$V$1001,MATCH(ROWS($U$2:U922),$U$2:$U$1001,0),1)&gt;=100000,INDEX($AB$1005:$AQ$1005,1,MATCH(COLUMNS($AB$1006:AP1006),$AB$1006:$AQ$1006,0))&gt;=100000), " ",IF(INDEX($AB$2:$AQ$1001,MATCH(ROWS($U$2:U922),$U$2:$U$1001,0),MATCH(COLUMNS($AB$1006:AP1006),$AB$1006:$AQ$1006,0)), HYPERLINK("#",""), HYPERLINK(CONCATENATE("#Metadata!", ADDRESS(INDEX($W$2:$W$1001,MATCH(ROWS($U$2:U922),$U$2:$U$1001,0),0), INDEX($AB$1004:$AQ$1004,1,MATCH(COLUMNS($AB$1006:AP1006),$AB$1006:$AQ$1006,0)))),"Fix")))</f>
        <v>0</v>
      </c>
      <c r="Q922" s="5">
        <f>IF(OR(INDEX($V$2:$V$1001,MATCH(ROWS($U$2:U922),$U$2:$U$1001,0),1)&gt;=100000,INDEX($AB$1005:$AQ$1005,1,MATCH(COLUMNS($AB$1006:AQ1006),$AB$1006:$AQ$1006,0))&gt;=100000), " ",IF(INDEX($AB$2:$AQ$1001,MATCH(ROWS($U$2:U922),$U$2:$U$1001,0),MATCH(COLUMNS($AB$1006:AQ1006),$AB$1006:$AQ$1006,0)), HYPERLINK("#",""), HYPERLINK(CONCATENATE("#Metadata!", ADDRESS(INDEX($W$2:$W$1001,MATCH(ROWS($U$2:U922),$U$2:$U$1001,0),0), INDEX($AB$1004:$AQ$1004,1,MATCH(COLUMNS($AB$1006:AQ1006),$AB$1006:$AQ$1006,0)))),"Fix")))</f>
        <v>0</v>
      </c>
      <c r="U922">
        <v>0</v>
      </c>
      <c r="V922">
        <v>0</v>
      </c>
      <c r="W922">
        <v>0</v>
      </c>
      <c r="X922">
        <f>IF(Y922,TRUE,AND(AB922:AQ922))</f>
        <v>0</v>
      </c>
      <c r="Y922">
        <f>COUNTBLANK(Metadata!B922:Q922)=COLUMNS(Metadata!B922:Q922)</f>
        <v>0</v>
      </c>
      <c r="Z922">
        <v>0</v>
      </c>
      <c r="AB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AC922">
        <f>AND(IF(Metadata!C922="",FALSE,TRUE),exact(Metadata!C922,"urban biome"))</f>
        <v>0</v>
      </c>
      <c r="AD922">
        <f>AND(IF(Metadata!D922="",FALSE,TRUE),exact(Metadata!D922,"human-associated habitat"))</f>
        <v>0</v>
      </c>
      <c r="AE922">
        <f>AND(IF(Metadata!E922="",FALSE,TRUE),OR(exact(Metadata!E922,"human-associated"),exact(Metadata!E922,"human-skin"),exact(Metadata!E922,"human-oral"),exact(Metadata!E922,"human-gut"),exact(Metadata!E922,"human-vaginal")))</f>
        <v>0</v>
      </c>
      <c r="AF922">
        <f>AND(IF(Metadata!F922="",FALSE,ISNUMBER(VALUE(Metadata!F922))),Metadata!F922&gt;0)</f>
        <v>0</v>
      </c>
      <c r="AG922">
        <f>AND(IF(Metadata!G922="",FALSE,TRUE),exact(Metadata!G922,"years"))</f>
        <v>0</v>
      </c>
      <c r="AH922">
        <f>OR(AND(IF(Metadata!H922="",FALSE,TRUE),OR(exact(Metadata!H922,"not applicable"),exact(Metadata!H922,"not collected"),exact(Metadata!H922,"not provided"),exact(Metadata!H922,"restricted access"))),AND(IF(Metadata!H922="",FALSE,ISNUMBER(VALUE(Metadata!H922))),Metadata!H922&gt;0))</f>
        <v>0</v>
      </c>
      <c r="AI922">
        <f>AND(IF(Metadata!I922="",FALSE,TRUE),exact(Metadata!I922,"human"))</f>
        <v>0</v>
      </c>
      <c r="AJ922">
        <f>AND(IF(Metadata!J922="",FALSE,ISNUMBER(VALUE(Metadata!J922))),Metadata!J922&gt;0)</f>
        <v>0</v>
      </c>
      <c r="AK922">
        <f>AND(IF(Metadata!K922="",FALSE,TRUE),exact(Metadata!K922,"cm"))</f>
        <v>0</v>
      </c>
      <c r="AL922">
        <f>AND(IF(Metadata!L922="",FALSE,TRUE),exact(Metadata!L922,"Homo sapiens"))</f>
        <v>0</v>
      </c>
      <c r="AM922">
        <f>AND(IF(Metadata!M922="",FALSE,TRUE),exact(Metadata!M922,"9606"))</f>
        <v>0</v>
      </c>
      <c r="AN922">
        <f>AND(IF(Metadata!N922="",FALSE,ISNUMBER(VALUE(Metadata!N922))),Metadata!N922&gt;0)</f>
        <v>0</v>
      </c>
      <c r="AO922">
        <f>AND(IF(Metadata!O922="",FALSE,TRUE),exact(Metadata!O922,"kg"))</f>
        <v>0</v>
      </c>
      <c r="AP922">
        <f>OR(AND(IF(Metadata!P922="",FALSE,TRUE),exact(Metadata!P922,"not provided")),IF(Metadata!P922="",FALSE,TRUE))</f>
        <v>0</v>
      </c>
      <c r="AQ922">
        <f>OR(AND(IF(Metadata!Q922="",FALSE,TRUE),exact(Metadata!Q922,"not provided")),IF(Metadata!Q922="",FALSE,TRUE))</f>
        <v>0</v>
      </c>
    </row>
    <row r="923" spans="1:43">
      <c r="A923" s="4">
        <f>IF(B923=" "," ",HYPERLINK(CONCATENATE("#metadata!",ADDRESS(INDEX($W$2:$W$1001,MATCH(ROWS($U$2:U923),$U$2:$U$1001,0),0),2)),INDEX($Z$2:$Z$1001,MATCH(ROWS($U$2:U923),$U$2:$U$1001,0),0)))</f>
        <v>0</v>
      </c>
      <c r="B923" s="5">
        <f>IF(OR(INDEX($V$2:$V$1001,MATCH(ROWS($U$2:U923),$U$2:$U$1001,0),1)&gt;=100000,INDEX($AB$1005:$AQ$1005,1,MATCH(COLUMNS($AB$1006:AB1006),$AB$1006:$AQ$1006,0))&gt;=100000), " ",IF(INDEX($AB$2:$AQ$1001,MATCH(ROWS($U$2:U923),$U$2:$U$1001,0),MATCH(COLUMNS($AB$1006:AB1006),$AB$1006:$AQ$1006,0)), HYPERLINK("#",""), HYPERLINK(CONCATENATE("#Metadata!", ADDRESS(INDEX($W$2:$W$1001,MATCH(ROWS($U$2:U923),$U$2:$U$1001,0),0), INDEX($AB$1004:$AQ$1004,1,MATCH(COLUMNS($AB$1006:AB1006),$AB$1006:$AQ$1006,0)))),"Fix")))</f>
        <v>0</v>
      </c>
      <c r="C923" s="5">
        <f>IF(OR(INDEX($V$2:$V$1001,MATCH(ROWS($U$2:U923),$U$2:$U$1001,0),1)&gt;=100000,INDEX($AB$1005:$AQ$1005,1,MATCH(COLUMNS($AB$1006:AC1006),$AB$1006:$AQ$1006,0))&gt;=100000), " ",IF(INDEX($AB$2:$AQ$1001,MATCH(ROWS($U$2:U923),$U$2:$U$1001,0),MATCH(COLUMNS($AB$1006:AC1006),$AB$1006:$AQ$1006,0)), HYPERLINK("#",""), HYPERLINK(CONCATENATE("#Metadata!", ADDRESS(INDEX($W$2:$W$1001,MATCH(ROWS($U$2:U923),$U$2:$U$1001,0),0), INDEX($AB$1004:$AQ$1004,1,MATCH(COLUMNS($AB$1006:AC1006),$AB$1006:$AQ$1006,0)))),"Fix")))</f>
        <v>0</v>
      </c>
      <c r="D923" s="5">
        <f>IF(OR(INDEX($V$2:$V$1001,MATCH(ROWS($U$2:U923),$U$2:$U$1001,0),1)&gt;=100000,INDEX($AB$1005:$AQ$1005,1,MATCH(COLUMNS($AB$1006:AD1006),$AB$1006:$AQ$1006,0))&gt;=100000), " ",IF(INDEX($AB$2:$AQ$1001,MATCH(ROWS($U$2:U923),$U$2:$U$1001,0),MATCH(COLUMNS($AB$1006:AD1006),$AB$1006:$AQ$1006,0)), HYPERLINK("#",""), HYPERLINK(CONCATENATE("#Metadata!", ADDRESS(INDEX($W$2:$W$1001,MATCH(ROWS($U$2:U923),$U$2:$U$1001,0),0), INDEX($AB$1004:$AQ$1004,1,MATCH(COLUMNS($AB$1006:AD1006),$AB$1006:$AQ$1006,0)))),"Fix")))</f>
        <v>0</v>
      </c>
      <c r="E923" s="5">
        <f>IF(OR(INDEX($V$2:$V$1001,MATCH(ROWS($U$2:U923),$U$2:$U$1001,0),1)&gt;=100000,INDEX($AB$1005:$AQ$1005,1,MATCH(COLUMNS($AB$1006:AE1006),$AB$1006:$AQ$1006,0))&gt;=100000), " ",IF(INDEX($AB$2:$AQ$1001,MATCH(ROWS($U$2:U923),$U$2:$U$1001,0),MATCH(COLUMNS($AB$1006:AE1006),$AB$1006:$AQ$1006,0)), HYPERLINK("#",""), HYPERLINK(CONCATENATE("#Metadata!", ADDRESS(INDEX($W$2:$W$1001,MATCH(ROWS($U$2:U923),$U$2:$U$1001,0),0), INDEX($AB$1004:$AQ$1004,1,MATCH(COLUMNS($AB$1006:AE1006),$AB$1006:$AQ$1006,0)))),"Fix")))</f>
        <v>0</v>
      </c>
      <c r="F923" s="5">
        <f>IF(OR(INDEX($V$2:$V$1001,MATCH(ROWS($U$2:U923),$U$2:$U$1001,0),1)&gt;=100000,INDEX($AB$1005:$AQ$1005,1,MATCH(COLUMNS($AB$1006:AF1006),$AB$1006:$AQ$1006,0))&gt;=100000), " ",IF(INDEX($AB$2:$AQ$1001,MATCH(ROWS($U$2:U923),$U$2:$U$1001,0),MATCH(COLUMNS($AB$1006:AF1006),$AB$1006:$AQ$1006,0)), HYPERLINK("#",""), HYPERLINK(CONCATENATE("#Metadata!", ADDRESS(INDEX($W$2:$W$1001,MATCH(ROWS($U$2:U923),$U$2:$U$1001,0),0), INDEX($AB$1004:$AQ$1004,1,MATCH(COLUMNS($AB$1006:AF1006),$AB$1006:$AQ$1006,0)))),"Fix")))</f>
        <v>0</v>
      </c>
      <c r="G923" s="5">
        <f>IF(OR(INDEX($V$2:$V$1001,MATCH(ROWS($U$2:U923),$U$2:$U$1001,0),1)&gt;=100000,INDEX($AB$1005:$AQ$1005,1,MATCH(COLUMNS($AB$1006:AG1006),$AB$1006:$AQ$1006,0))&gt;=100000), " ",IF(INDEX($AB$2:$AQ$1001,MATCH(ROWS($U$2:U923),$U$2:$U$1001,0),MATCH(COLUMNS($AB$1006:AG1006),$AB$1006:$AQ$1006,0)), HYPERLINK("#",""), HYPERLINK(CONCATENATE("#Metadata!", ADDRESS(INDEX($W$2:$W$1001,MATCH(ROWS($U$2:U923),$U$2:$U$1001,0),0), INDEX($AB$1004:$AQ$1004,1,MATCH(COLUMNS($AB$1006:AG1006),$AB$1006:$AQ$1006,0)))),"Fix")))</f>
        <v>0</v>
      </c>
      <c r="H923" s="5">
        <f>IF(OR(INDEX($V$2:$V$1001,MATCH(ROWS($U$2:U923),$U$2:$U$1001,0),1)&gt;=100000,INDEX($AB$1005:$AQ$1005,1,MATCH(COLUMNS($AB$1006:AH1006),$AB$1006:$AQ$1006,0))&gt;=100000), " ",IF(INDEX($AB$2:$AQ$1001,MATCH(ROWS($U$2:U923),$U$2:$U$1001,0),MATCH(COLUMNS($AB$1006:AH1006),$AB$1006:$AQ$1006,0)), HYPERLINK("#",""), HYPERLINK(CONCATENATE("#Metadata!", ADDRESS(INDEX($W$2:$W$1001,MATCH(ROWS($U$2:U923),$U$2:$U$1001,0),0), INDEX($AB$1004:$AQ$1004,1,MATCH(COLUMNS($AB$1006:AH1006),$AB$1006:$AQ$1006,0)))),"Fix")))</f>
        <v>0</v>
      </c>
      <c r="I923" s="5">
        <f>IF(OR(INDEX($V$2:$V$1001,MATCH(ROWS($U$2:U923),$U$2:$U$1001,0),1)&gt;=100000,INDEX($AB$1005:$AQ$1005,1,MATCH(COLUMNS($AB$1006:AI1006),$AB$1006:$AQ$1006,0))&gt;=100000), " ",IF(INDEX($AB$2:$AQ$1001,MATCH(ROWS($U$2:U923),$U$2:$U$1001,0),MATCH(COLUMNS($AB$1006:AI1006),$AB$1006:$AQ$1006,0)), HYPERLINK("#",""), HYPERLINK(CONCATENATE("#Metadata!", ADDRESS(INDEX($W$2:$W$1001,MATCH(ROWS($U$2:U923),$U$2:$U$1001,0),0), INDEX($AB$1004:$AQ$1004,1,MATCH(COLUMNS($AB$1006:AI1006),$AB$1006:$AQ$1006,0)))),"Fix")))</f>
        <v>0</v>
      </c>
      <c r="J923" s="5">
        <f>IF(OR(INDEX($V$2:$V$1001,MATCH(ROWS($U$2:U923),$U$2:$U$1001,0),1)&gt;=100000,INDEX($AB$1005:$AQ$1005,1,MATCH(COLUMNS($AB$1006:AJ1006),$AB$1006:$AQ$1006,0))&gt;=100000), " ",IF(INDEX($AB$2:$AQ$1001,MATCH(ROWS($U$2:U923),$U$2:$U$1001,0),MATCH(COLUMNS($AB$1006:AJ1006),$AB$1006:$AQ$1006,0)), HYPERLINK("#",""), HYPERLINK(CONCATENATE("#Metadata!", ADDRESS(INDEX($W$2:$W$1001,MATCH(ROWS($U$2:U923),$U$2:$U$1001,0),0), INDEX($AB$1004:$AQ$1004,1,MATCH(COLUMNS($AB$1006:AJ1006),$AB$1006:$AQ$1006,0)))),"Fix")))</f>
        <v>0</v>
      </c>
      <c r="K923" s="5">
        <f>IF(OR(INDEX($V$2:$V$1001,MATCH(ROWS($U$2:U923),$U$2:$U$1001,0),1)&gt;=100000,INDEX($AB$1005:$AQ$1005,1,MATCH(COLUMNS($AB$1006:AK1006),$AB$1006:$AQ$1006,0))&gt;=100000), " ",IF(INDEX($AB$2:$AQ$1001,MATCH(ROWS($U$2:U923),$U$2:$U$1001,0),MATCH(COLUMNS($AB$1006:AK1006),$AB$1006:$AQ$1006,0)), HYPERLINK("#",""), HYPERLINK(CONCATENATE("#Metadata!", ADDRESS(INDEX($W$2:$W$1001,MATCH(ROWS($U$2:U923),$U$2:$U$1001,0),0), INDEX($AB$1004:$AQ$1004,1,MATCH(COLUMNS($AB$1006:AK1006),$AB$1006:$AQ$1006,0)))),"Fix")))</f>
        <v>0</v>
      </c>
      <c r="L923" s="5">
        <f>IF(OR(INDEX($V$2:$V$1001,MATCH(ROWS($U$2:U923),$U$2:$U$1001,0),1)&gt;=100000,INDEX($AB$1005:$AQ$1005,1,MATCH(COLUMNS($AB$1006:AL1006),$AB$1006:$AQ$1006,0))&gt;=100000), " ",IF(INDEX($AB$2:$AQ$1001,MATCH(ROWS($U$2:U923),$U$2:$U$1001,0),MATCH(COLUMNS($AB$1006:AL1006),$AB$1006:$AQ$1006,0)), HYPERLINK("#",""), HYPERLINK(CONCATENATE("#Metadata!", ADDRESS(INDEX($W$2:$W$1001,MATCH(ROWS($U$2:U923),$U$2:$U$1001,0),0), INDEX($AB$1004:$AQ$1004,1,MATCH(COLUMNS($AB$1006:AL1006),$AB$1006:$AQ$1006,0)))),"Fix")))</f>
        <v>0</v>
      </c>
      <c r="M923" s="5">
        <f>IF(OR(INDEX($V$2:$V$1001,MATCH(ROWS($U$2:U923),$U$2:$U$1001,0),1)&gt;=100000,INDEX($AB$1005:$AQ$1005,1,MATCH(COLUMNS($AB$1006:AM1006),$AB$1006:$AQ$1006,0))&gt;=100000), " ",IF(INDEX($AB$2:$AQ$1001,MATCH(ROWS($U$2:U923),$U$2:$U$1001,0),MATCH(COLUMNS($AB$1006:AM1006),$AB$1006:$AQ$1006,0)), HYPERLINK("#",""), HYPERLINK(CONCATENATE("#Metadata!", ADDRESS(INDEX($W$2:$W$1001,MATCH(ROWS($U$2:U923),$U$2:$U$1001,0),0), INDEX($AB$1004:$AQ$1004,1,MATCH(COLUMNS($AB$1006:AM1006),$AB$1006:$AQ$1006,0)))),"Fix")))</f>
        <v>0</v>
      </c>
      <c r="N923" s="5">
        <f>IF(OR(INDEX($V$2:$V$1001,MATCH(ROWS($U$2:U923),$U$2:$U$1001,0),1)&gt;=100000,INDEX($AB$1005:$AQ$1005,1,MATCH(COLUMNS($AB$1006:AN1006),$AB$1006:$AQ$1006,0))&gt;=100000), " ",IF(INDEX($AB$2:$AQ$1001,MATCH(ROWS($U$2:U923),$U$2:$U$1001,0),MATCH(COLUMNS($AB$1006:AN1006),$AB$1006:$AQ$1006,0)), HYPERLINK("#",""), HYPERLINK(CONCATENATE("#Metadata!", ADDRESS(INDEX($W$2:$W$1001,MATCH(ROWS($U$2:U923),$U$2:$U$1001,0),0), INDEX($AB$1004:$AQ$1004,1,MATCH(COLUMNS($AB$1006:AN1006),$AB$1006:$AQ$1006,0)))),"Fix")))</f>
        <v>0</v>
      </c>
      <c r="O923" s="5">
        <f>IF(OR(INDEX($V$2:$V$1001,MATCH(ROWS($U$2:U923),$U$2:$U$1001,0),1)&gt;=100000,INDEX($AB$1005:$AQ$1005,1,MATCH(COLUMNS($AB$1006:AO1006),$AB$1006:$AQ$1006,0))&gt;=100000), " ",IF(INDEX($AB$2:$AQ$1001,MATCH(ROWS($U$2:U923),$U$2:$U$1001,0),MATCH(COLUMNS($AB$1006:AO1006),$AB$1006:$AQ$1006,0)), HYPERLINK("#",""), HYPERLINK(CONCATENATE("#Metadata!", ADDRESS(INDEX($W$2:$W$1001,MATCH(ROWS($U$2:U923),$U$2:$U$1001,0),0), INDEX($AB$1004:$AQ$1004,1,MATCH(COLUMNS($AB$1006:AO1006),$AB$1006:$AQ$1006,0)))),"Fix")))</f>
        <v>0</v>
      </c>
      <c r="P923" s="5">
        <f>IF(OR(INDEX($V$2:$V$1001,MATCH(ROWS($U$2:U923),$U$2:$U$1001,0),1)&gt;=100000,INDEX($AB$1005:$AQ$1005,1,MATCH(COLUMNS($AB$1006:AP1006),$AB$1006:$AQ$1006,0))&gt;=100000), " ",IF(INDEX($AB$2:$AQ$1001,MATCH(ROWS($U$2:U923),$U$2:$U$1001,0),MATCH(COLUMNS($AB$1006:AP1006),$AB$1006:$AQ$1006,0)), HYPERLINK("#",""), HYPERLINK(CONCATENATE("#Metadata!", ADDRESS(INDEX($W$2:$W$1001,MATCH(ROWS($U$2:U923),$U$2:$U$1001,0),0), INDEX($AB$1004:$AQ$1004,1,MATCH(COLUMNS($AB$1006:AP1006),$AB$1006:$AQ$1006,0)))),"Fix")))</f>
        <v>0</v>
      </c>
      <c r="Q923" s="5">
        <f>IF(OR(INDEX($V$2:$V$1001,MATCH(ROWS($U$2:U923),$U$2:$U$1001,0),1)&gt;=100000,INDEX($AB$1005:$AQ$1005,1,MATCH(COLUMNS($AB$1006:AQ1006),$AB$1006:$AQ$1006,0))&gt;=100000), " ",IF(INDEX($AB$2:$AQ$1001,MATCH(ROWS($U$2:U923),$U$2:$U$1001,0),MATCH(COLUMNS($AB$1006:AQ1006),$AB$1006:$AQ$1006,0)), HYPERLINK("#",""), HYPERLINK(CONCATENATE("#Metadata!", ADDRESS(INDEX($W$2:$W$1001,MATCH(ROWS($U$2:U923),$U$2:$U$1001,0),0), INDEX($AB$1004:$AQ$1004,1,MATCH(COLUMNS($AB$1006:AQ1006),$AB$1006:$AQ$1006,0)))),"Fix")))</f>
        <v>0</v>
      </c>
      <c r="U923">
        <v>0</v>
      </c>
      <c r="V923">
        <v>0</v>
      </c>
      <c r="W923">
        <v>0</v>
      </c>
      <c r="X923">
        <f>IF(Y923,TRUE,AND(AB923:AQ923))</f>
        <v>0</v>
      </c>
      <c r="Y923">
        <f>COUNTBLANK(Metadata!B923:Q923)=COLUMNS(Metadata!B923:Q923)</f>
        <v>0</v>
      </c>
      <c r="Z923">
        <v>0</v>
      </c>
      <c r="AB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AC923">
        <f>AND(IF(Metadata!C923="",FALSE,TRUE),exact(Metadata!C923,"urban biome"))</f>
        <v>0</v>
      </c>
      <c r="AD923">
        <f>AND(IF(Metadata!D923="",FALSE,TRUE),exact(Metadata!D923,"human-associated habitat"))</f>
        <v>0</v>
      </c>
      <c r="AE923">
        <f>AND(IF(Metadata!E923="",FALSE,TRUE),OR(exact(Metadata!E923,"human-associated"),exact(Metadata!E923,"human-skin"),exact(Metadata!E923,"human-oral"),exact(Metadata!E923,"human-gut"),exact(Metadata!E923,"human-vaginal")))</f>
        <v>0</v>
      </c>
      <c r="AF923">
        <f>AND(IF(Metadata!F923="",FALSE,ISNUMBER(VALUE(Metadata!F923))),Metadata!F923&gt;0)</f>
        <v>0</v>
      </c>
      <c r="AG923">
        <f>AND(IF(Metadata!G923="",FALSE,TRUE),exact(Metadata!G923,"years"))</f>
        <v>0</v>
      </c>
      <c r="AH923">
        <f>OR(AND(IF(Metadata!H923="",FALSE,TRUE),OR(exact(Metadata!H923,"not applicable"),exact(Metadata!H923,"not collected"),exact(Metadata!H923,"not provided"),exact(Metadata!H923,"restricted access"))),AND(IF(Metadata!H923="",FALSE,ISNUMBER(VALUE(Metadata!H923))),Metadata!H923&gt;0))</f>
        <v>0</v>
      </c>
      <c r="AI923">
        <f>AND(IF(Metadata!I923="",FALSE,TRUE),exact(Metadata!I923,"human"))</f>
        <v>0</v>
      </c>
      <c r="AJ923">
        <f>AND(IF(Metadata!J923="",FALSE,ISNUMBER(VALUE(Metadata!J923))),Metadata!J923&gt;0)</f>
        <v>0</v>
      </c>
      <c r="AK923">
        <f>AND(IF(Metadata!K923="",FALSE,TRUE),exact(Metadata!K923,"cm"))</f>
        <v>0</v>
      </c>
      <c r="AL923">
        <f>AND(IF(Metadata!L923="",FALSE,TRUE),exact(Metadata!L923,"Homo sapiens"))</f>
        <v>0</v>
      </c>
      <c r="AM923">
        <f>AND(IF(Metadata!M923="",FALSE,TRUE),exact(Metadata!M923,"9606"))</f>
        <v>0</v>
      </c>
      <c r="AN923">
        <f>AND(IF(Metadata!N923="",FALSE,ISNUMBER(VALUE(Metadata!N923))),Metadata!N923&gt;0)</f>
        <v>0</v>
      </c>
      <c r="AO923">
        <f>AND(IF(Metadata!O923="",FALSE,TRUE),exact(Metadata!O923,"kg"))</f>
        <v>0</v>
      </c>
      <c r="AP923">
        <f>OR(AND(IF(Metadata!P923="",FALSE,TRUE),exact(Metadata!P923,"not provided")),IF(Metadata!P923="",FALSE,TRUE))</f>
        <v>0</v>
      </c>
      <c r="AQ923">
        <f>OR(AND(IF(Metadata!Q923="",FALSE,TRUE),exact(Metadata!Q923,"not provided")),IF(Metadata!Q923="",FALSE,TRUE))</f>
        <v>0</v>
      </c>
    </row>
    <row r="924" spans="1:43">
      <c r="A924" s="4">
        <f>IF(B924=" "," ",HYPERLINK(CONCATENATE("#metadata!",ADDRESS(INDEX($W$2:$W$1001,MATCH(ROWS($U$2:U924),$U$2:$U$1001,0),0),2)),INDEX($Z$2:$Z$1001,MATCH(ROWS($U$2:U924),$U$2:$U$1001,0),0)))</f>
        <v>0</v>
      </c>
      <c r="B924" s="5">
        <f>IF(OR(INDEX($V$2:$V$1001,MATCH(ROWS($U$2:U924),$U$2:$U$1001,0),1)&gt;=100000,INDEX($AB$1005:$AQ$1005,1,MATCH(COLUMNS($AB$1006:AB1006),$AB$1006:$AQ$1006,0))&gt;=100000), " ",IF(INDEX($AB$2:$AQ$1001,MATCH(ROWS($U$2:U924),$U$2:$U$1001,0),MATCH(COLUMNS($AB$1006:AB1006),$AB$1006:$AQ$1006,0)), HYPERLINK("#",""), HYPERLINK(CONCATENATE("#Metadata!", ADDRESS(INDEX($W$2:$W$1001,MATCH(ROWS($U$2:U924),$U$2:$U$1001,0),0), INDEX($AB$1004:$AQ$1004,1,MATCH(COLUMNS($AB$1006:AB1006),$AB$1006:$AQ$1006,0)))),"Fix")))</f>
        <v>0</v>
      </c>
      <c r="C924" s="5">
        <f>IF(OR(INDEX($V$2:$V$1001,MATCH(ROWS($U$2:U924),$U$2:$U$1001,0),1)&gt;=100000,INDEX($AB$1005:$AQ$1005,1,MATCH(COLUMNS($AB$1006:AC1006),$AB$1006:$AQ$1006,0))&gt;=100000), " ",IF(INDEX($AB$2:$AQ$1001,MATCH(ROWS($U$2:U924),$U$2:$U$1001,0),MATCH(COLUMNS($AB$1006:AC1006),$AB$1006:$AQ$1006,0)), HYPERLINK("#",""), HYPERLINK(CONCATENATE("#Metadata!", ADDRESS(INDEX($W$2:$W$1001,MATCH(ROWS($U$2:U924),$U$2:$U$1001,0),0), INDEX($AB$1004:$AQ$1004,1,MATCH(COLUMNS($AB$1006:AC1006),$AB$1006:$AQ$1006,0)))),"Fix")))</f>
        <v>0</v>
      </c>
      <c r="D924" s="5">
        <f>IF(OR(INDEX($V$2:$V$1001,MATCH(ROWS($U$2:U924),$U$2:$U$1001,0),1)&gt;=100000,INDEX($AB$1005:$AQ$1005,1,MATCH(COLUMNS($AB$1006:AD1006),$AB$1006:$AQ$1006,0))&gt;=100000), " ",IF(INDEX($AB$2:$AQ$1001,MATCH(ROWS($U$2:U924),$U$2:$U$1001,0),MATCH(COLUMNS($AB$1006:AD1006),$AB$1006:$AQ$1006,0)), HYPERLINK("#",""), HYPERLINK(CONCATENATE("#Metadata!", ADDRESS(INDEX($W$2:$W$1001,MATCH(ROWS($U$2:U924),$U$2:$U$1001,0),0), INDEX($AB$1004:$AQ$1004,1,MATCH(COLUMNS($AB$1006:AD1006),$AB$1006:$AQ$1006,0)))),"Fix")))</f>
        <v>0</v>
      </c>
      <c r="E924" s="5">
        <f>IF(OR(INDEX($V$2:$V$1001,MATCH(ROWS($U$2:U924),$U$2:$U$1001,0),1)&gt;=100000,INDEX($AB$1005:$AQ$1005,1,MATCH(COLUMNS($AB$1006:AE1006),$AB$1006:$AQ$1006,0))&gt;=100000), " ",IF(INDEX($AB$2:$AQ$1001,MATCH(ROWS($U$2:U924),$U$2:$U$1001,0),MATCH(COLUMNS($AB$1006:AE1006),$AB$1006:$AQ$1006,0)), HYPERLINK("#",""), HYPERLINK(CONCATENATE("#Metadata!", ADDRESS(INDEX($W$2:$W$1001,MATCH(ROWS($U$2:U924),$U$2:$U$1001,0),0), INDEX($AB$1004:$AQ$1004,1,MATCH(COLUMNS($AB$1006:AE1006),$AB$1006:$AQ$1006,0)))),"Fix")))</f>
        <v>0</v>
      </c>
      <c r="F924" s="5">
        <f>IF(OR(INDEX($V$2:$V$1001,MATCH(ROWS($U$2:U924),$U$2:$U$1001,0),1)&gt;=100000,INDEX($AB$1005:$AQ$1005,1,MATCH(COLUMNS($AB$1006:AF1006),$AB$1006:$AQ$1006,0))&gt;=100000), " ",IF(INDEX($AB$2:$AQ$1001,MATCH(ROWS($U$2:U924),$U$2:$U$1001,0),MATCH(COLUMNS($AB$1006:AF1006),$AB$1006:$AQ$1006,0)), HYPERLINK("#",""), HYPERLINK(CONCATENATE("#Metadata!", ADDRESS(INDEX($W$2:$W$1001,MATCH(ROWS($U$2:U924),$U$2:$U$1001,0),0), INDEX($AB$1004:$AQ$1004,1,MATCH(COLUMNS($AB$1006:AF1006),$AB$1006:$AQ$1006,0)))),"Fix")))</f>
        <v>0</v>
      </c>
      <c r="G924" s="5">
        <f>IF(OR(INDEX($V$2:$V$1001,MATCH(ROWS($U$2:U924),$U$2:$U$1001,0),1)&gt;=100000,INDEX($AB$1005:$AQ$1005,1,MATCH(COLUMNS($AB$1006:AG1006),$AB$1006:$AQ$1006,0))&gt;=100000), " ",IF(INDEX($AB$2:$AQ$1001,MATCH(ROWS($U$2:U924),$U$2:$U$1001,0),MATCH(COLUMNS($AB$1006:AG1006),$AB$1006:$AQ$1006,0)), HYPERLINK("#",""), HYPERLINK(CONCATENATE("#Metadata!", ADDRESS(INDEX($W$2:$W$1001,MATCH(ROWS($U$2:U924),$U$2:$U$1001,0),0), INDEX($AB$1004:$AQ$1004,1,MATCH(COLUMNS($AB$1006:AG1006),$AB$1006:$AQ$1006,0)))),"Fix")))</f>
        <v>0</v>
      </c>
      <c r="H924" s="5">
        <f>IF(OR(INDEX($V$2:$V$1001,MATCH(ROWS($U$2:U924),$U$2:$U$1001,0),1)&gt;=100000,INDEX($AB$1005:$AQ$1005,1,MATCH(COLUMNS($AB$1006:AH1006),$AB$1006:$AQ$1006,0))&gt;=100000), " ",IF(INDEX($AB$2:$AQ$1001,MATCH(ROWS($U$2:U924),$U$2:$U$1001,0),MATCH(COLUMNS($AB$1006:AH1006),$AB$1006:$AQ$1006,0)), HYPERLINK("#",""), HYPERLINK(CONCATENATE("#Metadata!", ADDRESS(INDEX($W$2:$W$1001,MATCH(ROWS($U$2:U924),$U$2:$U$1001,0),0), INDEX($AB$1004:$AQ$1004,1,MATCH(COLUMNS($AB$1006:AH1006),$AB$1006:$AQ$1006,0)))),"Fix")))</f>
        <v>0</v>
      </c>
      <c r="I924" s="5">
        <f>IF(OR(INDEX($V$2:$V$1001,MATCH(ROWS($U$2:U924),$U$2:$U$1001,0),1)&gt;=100000,INDEX($AB$1005:$AQ$1005,1,MATCH(COLUMNS($AB$1006:AI1006),$AB$1006:$AQ$1006,0))&gt;=100000), " ",IF(INDEX($AB$2:$AQ$1001,MATCH(ROWS($U$2:U924),$U$2:$U$1001,0),MATCH(COLUMNS($AB$1006:AI1006),$AB$1006:$AQ$1006,0)), HYPERLINK("#",""), HYPERLINK(CONCATENATE("#Metadata!", ADDRESS(INDEX($W$2:$W$1001,MATCH(ROWS($U$2:U924),$U$2:$U$1001,0),0), INDEX($AB$1004:$AQ$1004,1,MATCH(COLUMNS($AB$1006:AI1006),$AB$1006:$AQ$1006,0)))),"Fix")))</f>
        <v>0</v>
      </c>
      <c r="J924" s="5">
        <f>IF(OR(INDEX($V$2:$V$1001,MATCH(ROWS($U$2:U924),$U$2:$U$1001,0),1)&gt;=100000,INDEX($AB$1005:$AQ$1005,1,MATCH(COLUMNS($AB$1006:AJ1006),$AB$1006:$AQ$1006,0))&gt;=100000), " ",IF(INDEX($AB$2:$AQ$1001,MATCH(ROWS($U$2:U924),$U$2:$U$1001,0),MATCH(COLUMNS($AB$1006:AJ1006),$AB$1006:$AQ$1006,0)), HYPERLINK("#",""), HYPERLINK(CONCATENATE("#Metadata!", ADDRESS(INDEX($W$2:$W$1001,MATCH(ROWS($U$2:U924),$U$2:$U$1001,0),0), INDEX($AB$1004:$AQ$1004,1,MATCH(COLUMNS($AB$1006:AJ1006),$AB$1006:$AQ$1006,0)))),"Fix")))</f>
        <v>0</v>
      </c>
      <c r="K924" s="5">
        <f>IF(OR(INDEX($V$2:$V$1001,MATCH(ROWS($U$2:U924),$U$2:$U$1001,0),1)&gt;=100000,INDEX($AB$1005:$AQ$1005,1,MATCH(COLUMNS($AB$1006:AK1006),$AB$1006:$AQ$1006,0))&gt;=100000), " ",IF(INDEX($AB$2:$AQ$1001,MATCH(ROWS($U$2:U924),$U$2:$U$1001,0),MATCH(COLUMNS($AB$1006:AK1006),$AB$1006:$AQ$1006,0)), HYPERLINK("#",""), HYPERLINK(CONCATENATE("#Metadata!", ADDRESS(INDEX($W$2:$W$1001,MATCH(ROWS($U$2:U924),$U$2:$U$1001,0),0), INDEX($AB$1004:$AQ$1004,1,MATCH(COLUMNS($AB$1006:AK1006),$AB$1006:$AQ$1006,0)))),"Fix")))</f>
        <v>0</v>
      </c>
      <c r="L924" s="5">
        <f>IF(OR(INDEX($V$2:$V$1001,MATCH(ROWS($U$2:U924),$U$2:$U$1001,0),1)&gt;=100000,INDEX($AB$1005:$AQ$1005,1,MATCH(COLUMNS($AB$1006:AL1006),$AB$1006:$AQ$1006,0))&gt;=100000), " ",IF(INDEX($AB$2:$AQ$1001,MATCH(ROWS($U$2:U924),$U$2:$U$1001,0),MATCH(COLUMNS($AB$1006:AL1006),$AB$1006:$AQ$1006,0)), HYPERLINK("#",""), HYPERLINK(CONCATENATE("#Metadata!", ADDRESS(INDEX($W$2:$W$1001,MATCH(ROWS($U$2:U924),$U$2:$U$1001,0),0), INDEX($AB$1004:$AQ$1004,1,MATCH(COLUMNS($AB$1006:AL1006),$AB$1006:$AQ$1006,0)))),"Fix")))</f>
        <v>0</v>
      </c>
      <c r="M924" s="5">
        <f>IF(OR(INDEX($V$2:$V$1001,MATCH(ROWS($U$2:U924),$U$2:$U$1001,0),1)&gt;=100000,INDEX($AB$1005:$AQ$1005,1,MATCH(COLUMNS($AB$1006:AM1006),$AB$1006:$AQ$1006,0))&gt;=100000), " ",IF(INDEX($AB$2:$AQ$1001,MATCH(ROWS($U$2:U924),$U$2:$U$1001,0),MATCH(COLUMNS($AB$1006:AM1006),$AB$1006:$AQ$1006,0)), HYPERLINK("#",""), HYPERLINK(CONCATENATE("#Metadata!", ADDRESS(INDEX($W$2:$W$1001,MATCH(ROWS($U$2:U924),$U$2:$U$1001,0),0), INDEX($AB$1004:$AQ$1004,1,MATCH(COLUMNS($AB$1006:AM1006),$AB$1006:$AQ$1006,0)))),"Fix")))</f>
        <v>0</v>
      </c>
      <c r="N924" s="5">
        <f>IF(OR(INDEX($V$2:$V$1001,MATCH(ROWS($U$2:U924),$U$2:$U$1001,0),1)&gt;=100000,INDEX($AB$1005:$AQ$1005,1,MATCH(COLUMNS($AB$1006:AN1006),$AB$1006:$AQ$1006,0))&gt;=100000), " ",IF(INDEX($AB$2:$AQ$1001,MATCH(ROWS($U$2:U924),$U$2:$U$1001,0),MATCH(COLUMNS($AB$1006:AN1006),$AB$1006:$AQ$1006,0)), HYPERLINK("#",""), HYPERLINK(CONCATENATE("#Metadata!", ADDRESS(INDEX($W$2:$W$1001,MATCH(ROWS($U$2:U924),$U$2:$U$1001,0),0), INDEX($AB$1004:$AQ$1004,1,MATCH(COLUMNS($AB$1006:AN1006),$AB$1006:$AQ$1006,0)))),"Fix")))</f>
        <v>0</v>
      </c>
      <c r="O924" s="5">
        <f>IF(OR(INDEX($V$2:$V$1001,MATCH(ROWS($U$2:U924),$U$2:$U$1001,0),1)&gt;=100000,INDEX($AB$1005:$AQ$1005,1,MATCH(COLUMNS($AB$1006:AO1006),$AB$1006:$AQ$1006,0))&gt;=100000), " ",IF(INDEX($AB$2:$AQ$1001,MATCH(ROWS($U$2:U924),$U$2:$U$1001,0),MATCH(COLUMNS($AB$1006:AO1006),$AB$1006:$AQ$1006,0)), HYPERLINK("#",""), HYPERLINK(CONCATENATE("#Metadata!", ADDRESS(INDEX($W$2:$W$1001,MATCH(ROWS($U$2:U924),$U$2:$U$1001,0),0), INDEX($AB$1004:$AQ$1004,1,MATCH(COLUMNS($AB$1006:AO1006),$AB$1006:$AQ$1006,0)))),"Fix")))</f>
        <v>0</v>
      </c>
      <c r="P924" s="5">
        <f>IF(OR(INDEX($V$2:$V$1001,MATCH(ROWS($U$2:U924),$U$2:$U$1001,0),1)&gt;=100000,INDEX($AB$1005:$AQ$1005,1,MATCH(COLUMNS($AB$1006:AP1006),$AB$1006:$AQ$1006,0))&gt;=100000), " ",IF(INDEX($AB$2:$AQ$1001,MATCH(ROWS($U$2:U924),$U$2:$U$1001,0),MATCH(COLUMNS($AB$1006:AP1006),$AB$1006:$AQ$1006,0)), HYPERLINK("#",""), HYPERLINK(CONCATENATE("#Metadata!", ADDRESS(INDEX($W$2:$W$1001,MATCH(ROWS($U$2:U924),$U$2:$U$1001,0),0), INDEX($AB$1004:$AQ$1004,1,MATCH(COLUMNS($AB$1006:AP1006),$AB$1006:$AQ$1006,0)))),"Fix")))</f>
        <v>0</v>
      </c>
      <c r="Q924" s="5">
        <f>IF(OR(INDEX($V$2:$V$1001,MATCH(ROWS($U$2:U924),$U$2:$U$1001,0),1)&gt;=100000,INDEX($AB$1005:$AQ$1005,1,MATCH(COLUMNS($AB$1006:AQ1006),$AB$1006:$AQ$1006,0))&gt;=100000), " ",IF(INDEX($AB$2:$AQ$1001,MATCH(ROWS($U$2:U924),$U$2:$U$1001,0),MATCH(COLUMNS($AB$1006:AQ1006),$AB$1006:$AQ$1006,0)), HYPERLINK("#",""), HYPERLINK(CONCATENATE("#Metadata!", ADDRESS(INDEX($W$2:$W$1001,MATCH(ROWS($U$2:U924),$U$2:$U$1001,0),0), INDEX($AB$1004:$AQ$1004,1,MATCH(COLUMNS($AB$1006:AQ1006),$AB$1006:$AQ$1006,0)))),"Fix")))</f>
        <v>0</v>
      </c>
      <c r="U924">
        <v>0</v>
      </c>
      <c r="V924">
        <v>0</v>
      </c>
      <c r="W924">
        <v>0</v>
      </c>
      <c r="X924">
        <f>IF(Y924,TRUE,AND(AB924:AQ924))</f>
        <v>0</v>
      </c>
      <c r="Y924">
        <f>COUNTBLANK(Metadata!B924:Q924)=COLUMNS(Metadata!B924:Q924)</f>
        <v>0</v>
      </c>
      <c r="Z924">
        <v>0</v>
      </c>
      <c r="AB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AC924">
        <f>AND(IF(Metadata!C924="",FALSE,TRUE),exact(Metadata!C924,"urban biome"))</f>
        <v>0</v>
      </c>
      <c r="AD924">
        <f>AND(IF(Metadata!D924="",FALSE,TRUE),exact(Metadata!D924,"human-associated habitat"))</f>
        <v>0</v>
      </c>
      <c r="AE924">
        <f>AND(IF(Metadata!E924="",FALSE,TRUE),OR(exact(Metadata!E924,"human-associated"),exact(Metadata!E924,"human-skin"),exact(Metadata!E924,"human-oral"),exact(Metadata!E924,"human-gut"),exact(Metadata!E924,"human-vaginal")))</f>
        <v>0</v>
      </c>
      <c r="AF924">
        <f>AND(IF(Metadata!F924="",FALSE,ISNUMBER(VALUE(Metadata!F924))),Metadata!F924&gt;0)</f>
        <v>0</v>
      </c>
      <c r="AG924">
        <f>AND(IF(Metadata!G924="",FALSE,TRUE),exact(Metadata!G924,"years"))</f>
        <v>0</v>
      </c>
      <c r="AH924">
        <f>OR(AND(IF(Metadata!H924="",FALSE,TRUE),OR(exact(Metadata!H924,"not applicable"),exact(Metadata!H924,"not collected"),exact(Metadata!H924,"not provided"),exact(Metadata!H924,"restricted access"))),AND(IF(Metadata!H924="",FALSE,ISNUMBER(VALUE(Metadata!H924))),Metadata!H924&gt;0))</f>
        <v>0</v>
      </c>
      <c r="AI924">
        <f>AND(IF(Metadata!I924="",FALSE,TRUE),exact(Metadata!I924,"human"))</f>
        <v>0</v>
      </c>
      <c r="AJ924">
        <f>AND(IF(Metadata!J924="",FALSE,ISNUMBER(VALUE(Metadata!J924))),Metadata!J924&gt;0)</f>
        <v>0</v>
      </c>
      <c r="AK924">
        <f>AND(IF(Metadata!K924="",FALSE,TRUE),exact(Metadata!K924,"cm"))</f>
        <v>0</v>
      </c>
      <c r="AL924">
        <f>AND(IF(Metadata!L924="",FALSE,TRUE),exact(Metadata!L924,"Homo sapiens"))</f>
        <v>0</v>
      </c>
      <c r="AM924">
        <f>AND(IF(Metadata!M924="",FALSE,TRUE),exact(Metadata!M924,"9606"))</f>
        <v>0</v>
      </c>
      <c r="AN924">
        <f>AND(IF(Metadata!N924="",FALSE,ISNUMBER(VALUE(Metadata!N924))),Metadata!N924&gt;0)</f>
        <v>0</v>
      </c>
      <c r="AO924">
        <f>AND(IF(Metadata!O924="",FALSE,TRUE),exact(Metadata!O924,"kg"))</f>
        <v>0</v>
      </c>
      <c r="AP924">
        <f>OR(AND(IF(Metadata!P924="",FALSE,TRUE),exact(Metadata!P924,"not provided")),IF(Metadata!P924="",FALSE,TRUE))</f>
        <v>0</v>
      </c>
      <c r="AQ924">
        <f>OR(AND(IF(Metadata!Q924="",FALSE,TRUE),exact(Metadata!Q924,"not provided")),IF(Metadata!Q924="",FALSE,TRUE))</f>
        <v>0</v>
      </c>
    </row>
    <row r="925" spans="1:43">
      <c r="A925" s="4">
        <f>IF(B925=" "," ",HYPERLINK(CONCATENATE("#metadata!",ADDRESS(INDEX($W$2:$W$1001,MATCH(ROWS($U$2:U925),$U$2:$U$1001,0),0),2)),INDEX($Z$2:$Z$1001,MATCH(ROWS($U$2:U925),$U$2:$U$1001,0),0)))</f>
        <v>0</v>
      </c>
      <c r="B925" s="5">
        <f>IF(OR(INDEX($V$2:$V$1001,MATCH(ROWS($U$2:U925),$U$2:$U$1001,0),1)&gt;=100000,INDEX($AB$1005:$AQ$1005,1,MATCH(COLUMNS($AB$1006:AB1006),$AB$1006:$AQ$1006,0))&gt;=100000), " ",IF(INDEX($AB$2:$AQ$1001,MATCH(ROWS($U$2:U925),$U$2:$U$1001,0),MATCH(COLUMNS($AB$1006:AB1006),$AB$1006:$AQ$1006,0)), HYPERLINK("#",""), HYPERLINK(CONCATENATE("#Metadata!", ADDRESS(INDEX($W$2:$W$1001,MATCH(ROWS($U$2:U925),$U$2:$U$1001,0),0), INDEX($AB$1004:$AQ$1004,1,MATCH(COLUMNS($AB$1006:AB1006),$AB$1006:$AQ$1006,0)))),"Fix")))</f>
        <v>0</v>
      </c>
      <c r="C925" s="5">
        <f>IF(OR(INDEX($V$2:$V$1001,MATCH(ROWS($U$2:U925),$U$2:$U$1001,0),1)&gt;=100000,INDEX($AB$1005:$AQ$1005,1,MATCH(COLUMNS($AB$1006:AC1006),$AB$1006:$AQ$1006,0))&gt;=100000), " ",IF(INDEX($AB$2:$AQ$1001,MATCH(ROWS($U$2:U925),$U$2:$U$1001,0),MATCH(COLUMNS($AB$1006:AC1006),$AB$1006:$AQ$1006,0)), HYPERLINK("#",""), HYPERLINK(CONCATENATE("#Metadata!", ADDRESS(INDEX($W$2:$W$1001,MATCH(ROWS($U$2:U925),$U$2:$U$1001,0),0), INDEX($AB$1004:$AQ$1004,1,MATCH(COLUMNS($AB$1006:AC1006),$AB$1006:$AQ$1006,0)))),"Fix")))</f>
        <v>0</v>
      </c>
      <c r="D925" s="5">
        <f>IF(OR(INDEX($V$2:$V$1001,MATCH(ROWS($U$2:U925),$U$2:$U$1001,0),1)&gt;=100000,INDEX($AB$1005:$AQ$1005,1,MATCH(COLUMNS($AB$1006:AD1006),$AB$1006:$AQ$1006,0))&gt;=100000), " ",IF(INDEX($AB$2:$AQ$1001,MATCH(ROWS($U$2:U925),$U$2:$U$1001,0),MATCH(COLUMNS($AB$1006:AD1006),$AB$1006:$AQ$1006,0)), HYPERLINK("#",""), HYPERLINK(CONCATENATE("#Metadata!", ADDRESS(INDEX($W$2:$W$1001,MATCH(ROWS($U$2:U925),$U$2:$U$1001,0),0), INDEX($AB$1004:$AQ$1004,1,MATCH(COLUMNS($AB$1006:AD1006),$AB$1006:$AQ$1006,0)))),"Fix")))</f>
        <v>0</v>
      </c>
      <c r="E925" s="5">
        <f>IF(OR(INDEX($V$2:$V$1001,MATCH(ROWS($U$2:U925),$U$2:$U$1001,0),1)&gt;=100000,INDEX($AB$1005:$AQ$1005,1,MATCH(COLUMNS($AB$1006:AE1006),$AB$1006:$AQ$1006,0))&gt;=100000), " ",IF(INDEX($AB$2:$AQ$1001,MATCH(ROWS($U$2:U925),$U$2:$U$1001,0),MATCH(COLUMNS($AB$1006:AE1006),$AB$1006:$AQ$1006,0)), HYPERLINK("#",""), HYPERLINK(CONCATENATE("#Metadata!", ADDRESS(INDEX($W$2:$W$1001,MATCH(ROWS($U$2:U925),$U$2:$U$1001,0),0), INDEX($AB$1004:$AQ$1004,1,MATCH(COLUMNS($AB$1006:AE1006),$AB$1006:$AQ$1006,0)))),"Fix")))</f>
        <v>0</v>
      </c>
      <c r="F925" s="5">
        <f>IF(OR(INDEX($V$2:$V$1001,MATCH(ROWS($U$2:U925),$U$2:$U$1001,0),1)&gt;=100000,INDEX($AB$1005:$AQ$1005,1,MATCH(COLUMNS($AB$1006:AF1006),$AB$1006:$AQ$1006,0))&gt;=100000), " ",IF(INDEX($AB$2:$AQ$1001,MATCH(ROWS($U$2:U925),$U$2:$U$1001,0),MATCH(COLUMNS($AB$1006:AF1006),$AB$1006:$AQ$1006,0)), HYPERLINK("#",""), HYPERLINK(CONCATENATE("#Metadata!", ADDRESS(INDEX($W$2:$W$1001,MATCH(ROWS($U$2:U925),$U$2:$U$1001,0),0), INDEX($AB$1004:$AQ$1004,1,MATCH(COLUMNS($AB$1006:AF1006),$AB$1006:$AQ$1006,0)))),"Fix")))</f>
        <v>0</v>
      </c>
      <c r="G925" s="5">
        <f>IF(OR(INDEX($V$2:$V$1001,MATCH(ROWS($U$2:U925),$U$2:$U$1001,0),1)&gt;=100000,INDEX($AB$1005:$AQ$1005,1,MATCH(COLUMNS($AB$1006:AG1006),$AB$1006:$AQ$1006,0))&gt;=100000), " ",IF(INDEX($AB$2:$AQ$1001,MATCH(ROWS($U$2:U925),$U$2:$U$1001,0),MATCH(COLUMNS($AB$1006:AG1006),$AB$1006:$AQ$1006,0)), HYPERLINK("#",""), HYPERLINK(CONCATENATE("#Metadata!", ADDRESS(INDEX($W$2:$W$1001,MATCH(ROWS($U$2:U925),$U$2:$U$1001,0),0), INDEX($AB$1004:$AQ$1004,1,MATCH(COLUMNS($AB$1006:AG1006),$AB$1006:$AQ$1006,0)))),"Fix")))</f>
        <v>0</v>
      </c>
      <c r="H925" s="5">
        <f>IF(OR(INDEX($V$2:$V$1001,MATCH(ROWS($U$2:U925),$U$2:$U$1001,0),1)&gt;=100000,INDEX($AB$1005:$AQ$1005,1,MATCH(COLUMNS($AB$1006:AH1006),$AB$1006:$AQ$1006,0))&gt;=100000), " ",IF(INDEX($AB$2:$AQ$1001,MATCH(ROWS($U$2:U925),$U$2:$U$1001,0),MATCH(COLUMNS($AB$1006:AH1006),$AB$1006:$AQ$1006,0)), HYPERLINK("#",""), HYPERLINK(CONCATENATE("#Metadata!", ADDRESS(INDEX($W$2:$W$1001,MATCH(ROWS($U$2:U925),$U$2:$U$1001,0),0), INDEX($AB$1004:$AQ$1004,1,MATCH(COLUMNS($AB$1006:AH1006),$AB$1006:$AQ$1006,0)))),"Fix")))</f>
        <v>0</v>
      </c>
      <c r="I925" s="5">
        <f>IF(OR(INDEX($V$2:$V$1001,MATCH(ROWS($U$2:U925),$U$2:$U$1001,0),1)&gt;=100000,INDEX($AB$1005:$AQ$1005,1,MATCH(COLUMNS($AB$1006:AI1006),$AB$1006:$AQ$1006,0))&gt;=100000), " ",IF(INDEX($AB$2:$AQ$1001,MATCH(ROWS($U$2:U925),$U$2:$U$1001,0),MATCH(COLUMNS($AB$1006:AI1006),$AB$1006:$AQ$1006,0)), HYPERLINK("#",""), HYPERLINK(CONCATENATE("#Metadata!", ADDRESS(INDEX($W$2:$W$1001,MATCH(ROWS($U$2:U925),$U$2:$U$1001,0),0), INDEX($AB$1004:$AQ$1004,1,MATCH(COLUMNS($AB$1006:AI1006),$AB$1006:$AQ$1006,0)))),"Fix")))</f>
        <v>0</v>
      </c>
      <c r="J925" s="5">
        <f>IF(OR(INDEX($V$2:$V$1001,MATCH(ROWS($U$2:U925),$U$2:$U$1001,0),1)&gt;=100000,INDEX($AB$1005:$AQ$1005,1,MATCH(COLUMNS($AB$1006:AJ1006),$AB$1006:$AQ$1006,0))&gt;=100000), " ",IF(INDEX($AB$2:$AQ$1001,MATCH(ROWS($U$2:U925),$U$2:$U$1001,0),MATCH(COLUMNS($AB$1006:AJ1006),$AB$1006:$AQ$1006,0)), HYPERLINK("#",""), HYPERLINK(CONCATENATE("#Metadata!", ADDRESS(INDEX($W$2:$W$1001,MATCH(ROWS($U$2:U925),$U$2:$U$1001,0),0), INDEX($AB$1004:$AQ$1004,1,MATCH(COLUMNS($AB$1006:AJ1006),$AB$1006:$AQ$1006,0)))),"Fix")))</f>
        <v>0</v>
      </c>
      <c r="K925" s="5">
        <f>IF(OR(INDEX($V$2:$V$1001,MATCH(ROWS($U$2:U925),$U$2:$U$1001,0),1)&gt;=100000,INDEX($AB$1005:$AQ$1005,1,MATCH(COLUMNS($AB$1006:AK1006),$AB$1006:$AQ$1006,0))&gt;=100000), " ",IF(INDEX($AB$2:$AQ$1001,MATCH(ROWS($U$2:U925),$U$2:$U$1001,0),MATCH(COLUMNS($AB$1006:AK1006),$AB$1006:$AQ$1006,0)), HYPERLINK("#",""), HYPERLINK(CONCATENATE("#Metadata!", ADDRESS(INDEX($W$2:$W$1001,MATCH(ROWS($U$2:U925),$U$2:$U$1001,0),0), INDEX($AB$1004:$AQ$1004,1,MATCH(COLUMNS($AB$1006:AK1006),$AB$1006:$AQ$1006,0)))),"Fix")))</f>
        <v>0</v>
      </c>
      <c r="L925" s="5">
        <f>IF(OR(INDEX($V$2:$V$1001,MATCH(ROWS($U$2:U925),$U$2:$U$1001,0),1)&gt;=100000,INDEX($AB$1005:$AQ$1005,1,MATCH(COLUMNS($AB$1006:AL1006),$AB$1006:$AQ$1006,0))&gt;=100000), " ",IF(INDEX($AB$2:$AQ$1001,MATCH(ROWS($U$2:U925),$U$2:$U$1001,0),MATCH(COLUMNS($AB$1006:AL1006),$AB$1006:$AQ$1006,0)), HYPERLINK("#",""), HYPERLINK(CONCATENATE("#Metadata!", ADDRESS(INDEX($W$2:$W$1001,MATCH(ROWS($U$2:U925),$U$2:$U$1001,0),0), INDEX($AB$1004:$AQ$1004,1,MATCH(COLUMNS($AB$1006:AL1006),$AB$1006:$AQ$1006,0)))),"Fix")))</f>
        <v>0</v>
      </c>
      <c r="M925" s="5">
        <f>IF(OR(INDEX($V$2:$V$1001,MATCH(ROWS($U$2:U925),$U$2:$U$1001,0),1)&gt;=100000,INDEX($AB$1005:$AQ$1005,1,MATCH(COLUMNS($AB$1006:AM1006),$AB$1006:$AQ$1006,0))&gt;=100000), " ",IF(INDEX($AB$2:$AQ$1001,MATCH(ROWS($U$2:U925),$U$2:$U$1001,0),MATCH(COLUMNS($AB$1006:AM1006),$AB$1006:$AQ$1006,0)), HYPERLINK("#",""), HYPERLINK(CONCATENATE("#Metadata!", ADDRESS(INDEX($W$2:$W$1001,MATCH(ROWS($U$2:U925),$U$2:$U$1001,0),0), INDEX($AB$1004:$AQ$1004,1,MATCH(COLUMNS($AB$1006:AM1006),$AB$1006:$AQ$1006,0)))),"Fix")))</f>
        <v>0</v>
      </c>
      <c r="N925" s="5">
        <f>IF(OR(INDEX($V$2:$V$1001,MATCH(ROWS($U$2:U925),$U$2:$U$1001,0),1)&gt;=100000,INDEX($AB$1005:$AQ$1005,1,MATCH(COLUMNS($AB$1006:AN1006),$AB$1006:$AQ$1006,0))&gt;=100000), " ",IF(INDEX($AB$2:$AQ$1001,MATCH(ROWS($U$2:U925),$U$2:$U$1001,0),MATCH(COLUMNS($AB$1006:AN1006),$AB$1006:$AQ$1006,0)), HYPERLINK("#",""), HYPERLINK(CONCATENATE("#Metadata!", ADDRESS(INDEX($W$2:$W$1001,MATCH(ROWS($U$2:U925),$U$2:$U$1001,0),0), INDEX($AB$1004:$AQ$1004,1,MATCH(COLUMNS($AB$1006:AN1006),$AB$1006:$AQ$1006,0)))),"Fix")))</f>
        <v>0</v>
      </c>
      <c r="O925" s="5">
        <f>IF(OR(INDEX($V$2:$V$1001,MATCH(ROWS($U$2:U925),$U$2:$U$1001,0),1)&gt;=100000,INDEX($AB$1005:$AQ$1005,1,MATCH(COLUMNS($AB$1006:AO1006),$AB$1006:$AQ$1006,0))&gt;=100000), " ",IF(INDEX($AB$2:$AQ$1001,MATCH(ROWS($U$2:U925),$U$2:$U$1001,0),MATCH(COLUMNS($AB$1006:AO1006),$AB$1006:$AQ$1006,0)), HYPERLINK("#",""), HYPERLINK(CONCATENATE("#Metadata!", ADDRESS(INDEX($W$2:$W$1001,MATCH(ROWS($U$2:U925),$U$2:$U$1001,0),0), INDEX($AB$1004:$AQ$1004,1,MATCH(COLUMNS($AB$1006:AO1006),$AB$1006:$AQ$1006,0)))),"Fix")))</f>
        <v>0</v>
      </c>
      <c r="P925" s="5">
        <f>IF(OR(INDEX($V$2:$V$1001,MATCH(ROWS($U$2:U925),$U$2:$U$1001,0),1)&gt;=100000,INDEX($AB$1005:$AQ$1005,1,MATCH(COLUMNS($AB$1006:AP1006),$AB$1006:$AQ$1006,0))&gt;=100000), " ",IF(INDEX($AB$2:$AQ$1001,MATCH(ROWS($U$2:U925),$U$2:$U$1001,0),MATCH(COLUMNS($AB$1006:AP1006),$AB$1006:$AQ$1006,0)), HYPERLINK("#",""), HYPERLINK(CONCATENATE("#Metadata!", ADDRESS(INDEX($W$2:$W$1001,MATCH(ROWS($U$2:U925),$U$2:$U$1001,0),0), INDEX($AB$1004:$AQ$1004,1,MATCH(COLUMNS($AB$1006:AP1006),$AB$1006:$AQ$1006,0)))),"Fix")))</f>
        <v>0</v>
      </c>
      <c r="Q925" s="5">
        <f>IF(OR(INDEX($V$2:$V$1001,MATCH(ROWS($U$2:U925),$U$2:$U$1001,0),1)&gt;=100000,INDEX($AB$1005:$AQ$1005,1,MATCH(COLUMNS($AB$1006:AQ1006),$AB$1006:$AQ$1006,0))&gt;=100000), " ",IF(INDEX($AB$2:$AQ$1001,MATCH(ROWS($U$2:U925),$U$2:$U$1001,0),MATCH(COLUMNS($AB$1006:AQ1006),$AB$1006:$AQ$1006,0)), HYPERLINK("#",""), HYPERLINK(CONCATENATE("#Metadata!", ADDRESS(INDEX($W$2:$W$1001,MATCH(ROWS($U$2:U925),$U$2:$U$1001,0),0), INDEX($AB$1004:$AQ$1004,1,MATCH(COLUMNS($AB$1006:AQ1006),$AB$1006:$AQ$1006,0)))),"Fix")))</f>
        <v>0</v>
      </c>
      <c r="U925">
        <v>0</v>
      </c>
      <c r="V925">
        <v>0</v>
      </c>
      <c r="W925">
        <v>0</v>
      </c>
      <c r="X925">
        <f>IF(Y925,TRUE,AND(AB925:AQ925))</f>
        <v>0</v>
      </c>
      <c r="Y925">
        <f>COUNTBLANK(Metadata!B925:Q925)=COLUMNS(Metadata!B925:Q925)</f>
        <v>0</v>
      </c>
      <c r="Z925">
        <v>0</v>
      </c>
      <c r="AB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AC925">
        <f>AND(IF(Metadata!C925="",FALSE,TRUE),exact(Metadata!C925,"urban biome"))</f>
        <v>0</v>
      </c>
      <c r="AD925">
        <f>AND(IF(Metadata!D925="",FALSE,TRUE),exact(Metadata!D925,"human-associated habitat"))</f>
        <v>0</v>
      </c>
      <c r="AE925">
        <f>AND(IF(Metadata!E925="",FALSE,TRUE),OR(exact(Metadata!E925,"human-associated"),exact(Metadata!E925,"human-skin"),exact(Metadata!E925,"human-oral"),exact(Metadata!E925,"human-gut"),exact(Metadata!E925,"human-vaginal")))</f>
        <v>0</v>
      </c>
      <c r="AF925">
        <f>AND(IF(Metadata!F925="",FALSE,ISNUMBER(VALUE(Metadata!F925))),Metadata!F925&gt;0)</f>
        <v>0</v>
      </c>
      <c r="AG925">
        <f>AND(IF(Metadata!G925="",FALSE,TRUE),exact(Metadata!G925,"years"))</f>
        <v>0</v>
      </c>
      <c r="AH925">
        <f>OR(AND(IF(Metadata!H925="",FALSE,TRUE),OR(exact(Metadata!H925,"not applicable"),exact(Metadata!H925,"not collected"),exact(Metadata!H925,"not provided"),exact(Metadata!H925,"restricted access"))),AND(IF(Metadata!H925="",FALSE,ISNUMBER(VALUE(Metadata!H925))),Metadata!H925&gt;0))</f>
        <v>0</v>
      </c>
      <c r="AI925">
        <f>AND(IF(Metadata!I925="",FALSE,TRUE),exact(Metadata!I925,"human"))</f>
        <v>0</v>
      </c>
      <c r="AJ925">
        <f>AND(IF(Metadata!J925="",FALSE,ISNUMBER(VALUE(Metadata!J925))),Metadata!J925&gt;0)</f>
        <v>0</v>
      </c>
      <c r="AK925">
        <f>AND(IF(Metadata!K925="",FALSE,TRUE),exact(Metadata!K925,"cm"))</f>
        <v>0</v>
      </c>
      <c r="AL925">
        <f>AND(IF(Metadata!L925="",FALSE,TRUE),exact(Metadata!L925,"Homo sapiens"))</f>
        <v>0</v>
      </c>
      <c r="AM925">
        <f>AND(IF(Metadata!M925="",FALSE,TRUE),exact(Metadata!M925,"9606"))</f>
        <v>0</v>
      </c>
      <c r="AN925">
        <f>AND(IF(Metadata!N925="",FALSE,ISNUMBER(VALUE(Metadata!N925))),Metadata!N925&gt;0)</f>
        <v>0</v>
      </c>
      <c r="AO925">
        <f>AND(IF(Metadata!O925="",FALSE,TRUE),exact(Metadata!O925,"kg"))</f>
        <v>0</v>
      </c>
      <c r="AP925">
        <f>OR(AND(IF(Metadata!P925="",FALSE,TRUE),exact(Metadata!P925,"not provided")),IF(Metadata!P925="",FALSE,TRUE))</f>
        <v>0</v>
      </c>
      <c r="AQ925">
        <f>OR(AND(IF(Metadata!Q925="",FALSE,TRUE),exact(Metadata!Q925,"not provided")),IF(Metadata!Q925="",FALSE,TRUE))</f>
        <v>0</v>
      </c>
    </row>
    <row r="926" spans="1:43">
      <c r="A926" s="4">
        <f>IF(B926=" "," ",HYPERLINK(CONCATENATE("#metadata!",ADDRESS(INDEX($W$2:$W$1001,MATCH(ROWS($U$2:U926),$U$2:$U$1001,0),0),2)),INDEX($Z$2:$Z$1001,MATCH(ROWS($U$2:U926),$U$2:$U$1001,0),0)))</f>
        <v>0</v>
      </c>
      <c r="B926" s="5">
        <f>IF(OR(INDEX($V$2:$V$1001,MATCH(ROWS($U$2:U926),$U$2:$U$1001,0),1)&gt;=100000,INDEX($AB$1005:$AQ$1005,1,MATCH(COLUMNS($AB$1006:AB1006),$AB$1006:$AQ$1006,0))&gt;=100000), " ",IF(INDEX($AB$2:$AQ$1001,MATCH(ROWS($U$2:U926),$U$2:$U$1001,0),MATCH(COLUMNS($AB$1006:AB1006),$AB$1006:$AQ$1006,0)), HYPERLINK("#",""), HYPERLINK(CONCATENATE("#Metadata!", ADDRESS(INDEX($W$2:$W$1001,MATCH(ROWS($U$2:U926),$U$2:$U$1001,0),0), INDEX($AB$1004:$AQ$1004,1,MATCH(COLUMNS($AB$1006:AB1006),$AB$1006:$AQ$1006,0)))),"Fix")))</f>
        <v>0</v>
      </c>
      <c r="C926" s="5">
        <f>IF(OR(INDEX($V$2:$V$1001,MATCH(ROWS($U$2:U926),$U$2:$U$1001,0),1)&gt;=100000,INDEX($AB$1005:$AQ$1005,1,MATCH(COLUMNS($AB$1006:AC1006),$AB$1006:$AQ$1006,0))&gt;=100000), " ",IF(INDEX($AB$2:$AQ$1001,MATCH(ROWS($U$2:U926),$U$2:$U$1001,0),MATCH(COLUMNS($AB$1006:AC1006),$AB$1006:$AQ$1006,0)), HYPERLINK("#",""), HYPERLINK(CONCATENATE("#Metadata!", ADDRESS(INDEX($W$2:$W$1001,MATCH(ROWS($U$2:U926),$U$2:$U$1001,0),0), INDEX($AB$1004:$AQ$1004,1,MATCH(COLUMNS($AB$1006:AC1006),$AB$1006:$AQ$1006,0)))),"Fix")))</f>
        <v>0</v>
      </c>
      <c r="D926" s="5">
        <f>IF(OR(INDEX($V$2:$V$1001,MATCH(ROWS($U$2:U926),$U$2:$U$1001,0),1)&gt;=100000,INDEX($AB$1005:$AQ$1005,1,MATCH(COLUMNS($AB$1006:AD1006),$AB$1006:$AQ$1006,0))&gt;=100000), " ",IF(INDEX($AB$2:$AQ$1001,MATCH(ROWS($U$2:U926),$U$2:$U$1001,0),MATCH(COLUMNS($AB$1006:AD1006),$AB$1006:$AQ$1006,0)), HYPERLINK("#",""), HYPERLINK(CONCATENATE("#Metadata!", ADDRESS(INDEX($W$2:$W$1001,MATCH(ROWS($U$2:U926),$U$2:$U$1001,0),0), INDEX($AB$1004:$AQ$1004,1,MATCH(COLUMNS($AB$1006:AD1006),$AB$1006:$AQ$1006,0)))),"Fix")))</f>
        <v>0</v>
      </c>
      <c r="E926" s="5">
        <f>IF(OR(INDEX($V$2:$V$1001,MATCH(ROWS($U$2:U926),$U$2:$U$1001,0),1)&gt;=100000,INDEX($AB$1005:$AQ$1005,1,MATCH(COLUMNS($AB$1006:AE1006),$AB$1006:$AQ$1006,0))&gt;=100000), " ",IF(INDEX($AB$2:$AQ$1001,MATCH(ROWS($U$2:U926),$U$2:$U$1001,0),MATCH(COLUMNS($AB$1006:AE1006),$AB$1006:$AQ$1006,0)), HYPERLINK("#",""), HYPERLINK(CONCATENATE("#Metadata!", ADDRESS(INDEX($W$2:$W$1001,MATCH(ROWS($U$2:U926),$U$2:$U$1001,0),0), INDEX($AB$1004:$AQ$1004,1,MATCH(COLUMNS($AB$1006:AE1006),$AB$1006:$AQ$1006,0)))),"Fix")))</f>
        <v>0</v>
      </c>
      <c r="F926" s="5">
        <f>IF(OR(INDEX($V$2:$V$1001,MATCH(ROWS($U$2:U926),$U$2:$U$1001,0),1)&gt;=100000,INDEX($AB$1005:$AQ$1005,1,MATCH(COLUMNS($AB$1006:AF1006),$AB$1006:$AQ$1006,0))&gt;=100000), " ",IF(INDEX($AB$2:$AQ$1001,MATCH(ROWS($U$2:U926),$U$2:$U$1001,0),MATCH(COLUMNS($AB$1006:AF1006),$AB$1006:$AQ$1006,0)), HYPERLINK("#",""), HYPERLINK(CONCATENATE("#Metadata!", ADDRESS(INDEX($W$2:$W$1001,MATCH(ROWS($U$2:U926),$U$2:$U$1001,0),0), INDEX($AB$1004:$AQ$1004,1,MATCH(COLUMNS($AB$1006:AF1006),$AB$1006:$AQ$1006,0)))),"Fix")))</f>
        <v>0</v>
      </c>
      <c r="G926" s="5">
        <f>IF(OR(INDEX($V$2:$V$1001,MATCH(ROWS($U$2:U926),$U$2:$U$1001,0),1)&gt;=100000,INDEX($AB$1005:$AQ$1005,1,MATCH(COLUMNS($AB$1006:AG1006),$AB$1006:$AQ$1006,0))&gt;=100000), " ",IF(INDEX($AB$2:$AQ$1001,MATCH(ROWS($U$2:U926),$U$2:$U$1001,0),MATCH(COLUMNS($AB$1006:AG1006),$AB$1006:$AQ$1006,0)), HYPERLINK("#",""), HYPERLINK(CONCATENATE("#Metadata!", ADDRESS(INDEX($W$2:$W$1001,MATCH(ROWS($U$2:U926),$U$2:$U$1001,0),0), INDEX($AB$1004:$AQ$1004,1,MATCH(COLUMNS($AB$1006:AG1006),$AB$1006:$AQ$1006,0)))),"Fix")))</f>
        <v>0</v>
      </c>
      <c r="H926" s="5">
        <f>IF(OR(INDEX($V$2:$V$1001,MATCH(ROWS($U$2:U926),$U$2:$U$1001,0),1)&gt;=100000,INDEX($AB$1005:$AQ$1005,1,MATCH(COLUMNS($AB$1006:AH1006),$AB$1006:$AQ$1006,0))&gt;=100000), " ",IF(INDEX($AB$2:$AQ$1001,MATCH(ROWS($U$2:U926),$U$2:$U$1001,0),MATCH(COLUMNS($AB$1006:AH1006),$AB$1006:$AQ$1006,0)), HYPERLINK("#",""), HYPERLINK(CONCATENATE("#Metadata!", ADDRESS(INDEX($W$2:$W$1001,MATCH(ROWS($U$2:U926),$U$2:$U$1001,0),0), INDEX($AB$1004:$AQ$1004,1,MATCH(COLUMNS($AB$1006:AH1006),$AB$1006:$AQ$1006,0)))),"Fix")))</f>
        <v>0</v>
      </c>
      <c r="I926" s="5">
        <f>IF(OR(INDEX($V$2:$V$1001,MATCH(ROWS($U$2:U926),$U$2:$U$1001,0),1)&gt;=100000,INDEX($AB$1005:$AQ$1005,1,MATCH(COLUMNS($AB$1006:AI1006),$AB$1006:$AQ$1006,0))&gt;=100000), " ",IF(INDEX($AB$2:$AQ$1001,MATCH(ROWS($U$2:U926),$U$2:$U$1001,0),MATCH(COLUMNS($AB$1006:AI1006),$AB$1006:$AQ$1006,0)), HYPERLINK("#",""), HYPERLINK(CONCATENATE("#Metadata!", ADDRESS(INDEX($W$2:$W$1001,MATCH(ROWS($U$2:U926),$U$2:$U$1001,0),0), INDEX($AB$1004:$AQ$1004,1,MATCH(COLUMNS($AB$1006:AI1006),$AB$1006:$AQ$1006,0)))),"Fix")))</f>
        <v>0</v>
      </c>
      <c r="J926" s="5">
        <f>IF(OR(INDEX($V$2:$V$1001,MATCH(ROWS($U$2:U926),$U$2:$U$1001,0),1)&gt;=100000,INDEX($AB$1005:$AQ$1005,1,MATCH(COLUMNS($AB$1006:AJ1006),$AB$1006:$AQ$1006,0))&gt;=100000), " ",IF(INDEX($AB$2:$AQ$1001,MATCH(ROWS($U$2:U926),$U$2:$U$1001,0),MATCH(COLUMNS($AB$1006:AJ1006),$AB$1006:$AQ$1006,0)), HYPERLINK("#",""), HYPERLINK(CONCATENATE("#Metadata!", ADDRESS(INDEX($W$2:$W$1001,MATCH(ROWS($U$2:U926),$U$2:$U$1001,0),0), INDEX($AB$1004:$AQ$1004,1,MATCH(COLUMNS($AB$1006:AJ1006),$AB$1006:$AQ$1006,0)))),"Fix")))</f>
        <v>0</v>
      </c>
      <c r="K926" s="5">
        <f>IF(OR(INDEX($V$2:$V$1001,MATCH(ROWS($U$2:U926),$U$2:$U$1001,0),1)&gt;=100000,INDEX($AB$1005:$AQ$1005,1,MATCH(COLUMNS($AB$1006:AK1006),$AB$1006:$AQ$1006,0))&gt;=100000), " ",IF(INDEX($AB$2:$AQ$1001,MATCH(ROWS($U$2:U926),$U$2:$U$1001,0),MATCH(COLUMNS($AB$1006:AK1006),$AB$1006:$AQ$1006,0)), HYPERLINK("#",""), HYPERLINK(CONCATENATE("#Metadata!", ADDRESS(INDEX($W$2:$W$1001,MATCH(ROWS($U$2:U926),$U$2:$U$1001,0),0), INDEX($AB$1004:$AQ$1004,1,MATCH(COLUMNS($AB$1006:AK1006),$AB$1006:$AQ$1006,0)))),"Fix")))</f>
        <v>0</v>
      </c>
      <c r="L926" s="5">
        <f>IF(OR(INDEX($V$2:$V$1001,MATCH(ROWS($U$2:U926),$U$2:$U$1001,0),1)&gt;=100000,INDEX($AB$1005:$AQ$1005,1,MATCH(COLUMNS($AB$1006:AL1006),$AB$1006:$AQ$1006,0))&gt;=100000), " ",IF(INDEX($AB$2:$AQ$1001,MATCH(ROWS($U$2:U926),$U$2:$U$1001,0),MATCH(COLUMNS($AB$1006:AL1006),$AB$1006:$AQ$1006,0)), HYPERLINK("#",""), HYPERLINK(CONCATENATE("#Metadata!", ADDRESS(INDEX($W$2:$W$1001,MATCH(ROWS($U$2:U926),$U$2:$U$1001,0),0), INDEX($AB$1004:$AQ$1004,1,MATCH(COLUMNS($AB$1006:AL1006),$AB$1006:$AQ$1006,0)))),"Fix")))</f>
        <v>0</v>
      </c>
      <c r="M926" s="5">
        <f>IF(OR(INDEX($V$2:$V$1001,MATCH(ROWS($U$2:U926),$U$2:$U$1001,0),1)&gt;=100000,INDEX($AB$1005:$AQ$1005,1,MATCH(COLUMNS($AB$1006:AM1006),$AB$1006:$AQ$1006,0))&gt;=100000), " ",IF(INDEX($AB$2:$AQ$1001,MATCH(ROWS($U$2:U926),$U$2:$U$1001,0),MATCH(COLUMNS($AB$1006:AM1006),$AB$1006:$AQ$1006,0)), HYPERLINK("#",""), HYPERLINK(CONCATENATE("#Metadata!", ADDRESS(INDEX($W$2:$W$1001,MATCH(ROWS($U$2:U926),$U$2:$U$1001,0),0), INDEX($AB$1004:$AQ$1004,1,MATCH(COLUMNS($AB$1006:AM1006),$AB$1006:$AQ$1006,0)))),"Fix")))</f>
        <v>0</v>
      </c>
      <c r="N926" s="5">
        <f>IF(OR(INDEX($V$2:$V$1001,MATCH(ROWS($U$2:U926),$U$2:$U$1001,0),1)&gt;=100000,INDEX($AB$1005:$AQ$1005,1,MATCH(COLUMNS($AB$1006:AN1006),$AB$1006:$AQ$1006,0))&gt;=100000), " ",IF(INDEX($AB$2:$AQ$1001,MATCH(ROWS($U$2:U926),$U$2:$U$1001,0),MATCH(COLUMNS($AB$1006:AN1006),$AB$1006:$AQ$1006,0)), HYPERLINK("#",""), HYPERLINK(CONCATENATE("#Metadata!", ADDRESS(INDEX($W$2:$W$1001,MATCH(ROWS($U$2:U926),$U$2:$U$1001,0),0), INDEX($AB$1004:$AQ$1004,1,MATCH(COLUMNS($AB$1006:AN1006),$AB$1006:$AQ$1006,0)))),"Fix")))</f>
        <v>0</v>
      </c>
      <c r="O926" s="5">
        <f>IF(OR(INDEX($V$2:$V$1001,MATCH(ROWS($U$2:U926),$U$2:$U$1001,0),1)&gt;=100000,INDEX($AB$1005:$AQ$1005,1,MATCH(COLUMNS($AB$1006:AO1006),$AB$1006:$AQ$1006,0))&gt;=100000), " ",IF(INDEX($AB$2:$AQ$1001,MATCH(ROWS($U$2:U926),$U$2:$U$1001,0),MATCH(COLUMNS($AB$1006:AO1006),$AB$1006:$AQ$1006,0)), HYPERLINK("#",""), HYPERLINK(CONCATENATE("#Metadata!", ADDRESS(INDEX($W$2:$W$1001,MATCH(ROWS($U$2:U926),$U$2:$U$1001,0),0), INDEX($AB$1004:$AQ$1004,1,MATCH(COLUMNS($AB$1006:AO1006),$AB$1006:$AQ$1006,0)))),"Fix")))</f>
        <v>0</v>
      </c>
      <c r="P926" s="5">
        <f>IF(OR(INDEX($V$2:$V$1001,MATCH(ROWS($U$2:U926),$U$2:$U$1001,0),1)&gt;=100000,INDEX($AB$1005:$AQ$1005,1,MATCH(COLUMNS($AB$1006:AP1006),$AB$1006:$AQ$1006,0))&gt;=100000), " ",IF(INDEX($AB$2:$AQ$1001,MATCH(ROWS($U$2:U926),$U$2:$U$1001,0),MATCH(COLUMNS($AB$1006:AP1006),$AB$1006:$AQ$1006,0)), HYPERLINK("#",""), HYPERLINK(CONCATENATE("#Metadata!", ADDRESS(INDEX($W$2:$W$1001,MATCH(ROWS($U$2:U926),$U$2:$U$1001,0),0), INDEX($AB$1004:$AQ$1004,1,MATCH(COLUMNS($AB$1006:AP1006),$AB$1006:$AQ$1006,0)))),"Fix")))</f>
        <v>0</v>
      </c>
      <c r="Q926" s="5">
        <f>IF(OR(INDEX($V$2:$V$1001,MATCH(ROWS($U$2:U926),$U$2:$U$1001,0),1)&gt;=100000,INDEX($AB$1005:$AQ$1005,1,MATCH(COLUMNS($AB$1006:AQ1006),$AB$1006:$AQ$1006,0))&gt;=100000), " ",IF(INDEX($AB$2:$AQ$1001,MATCH(ROWS($U$2:U926),$U$2:$U$1001,0),MATCH(COLUMNS($AB$1006:AQ1006),$AB$1006:$AQ$1006,0)), HYPERLINK("#",""), HYPERLINK(CONCATENATE("#Metadata!", ADDRESS(INDEX($W$2:$W$1001,MATCH(ROWS($U$2:U926),$U$2:$U$1001,0),0), INDEX($AB$1004:$AQ$1004,1,MATCH(COLUMNS($AB$1006:AQ1006),$AB$1006:$AQ$1006,0)))),"Fix")))</f>
        <v>0</v>
      </c>
      <c r="U926">
        <v>0</v>
      </c>
      <c r="V926">
        <v>0</v>
      </c>
      <c r="W926">
        <v>0</v>
      </c>
      <c r="X926">
        <f>IF(Y926,TRUE,AND(AB926:AQ926))</f>
        <v>0</v>
      </c>
      <c r="Y926">
        <f>COUNTBLANK(Metadata!B926:Q926)=COLUMNS(Metadata!B926:Q926)</f>
        <v>0</v>
      </c>
      <c r="Z926">
        <v>0</v>
      </c>
      <c r="AB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AC926">
        <f>AND(IF(Metadata!C926="",FALSE,TRUE),exact(Metadata!C926,"urban biome"))</f>
        <v>0</v>
      </c>
      <c r="AD926">
        <f>AND(IF(Metadata!D926="",FALSE,TRUE),exact(Metadata!D926,"human-associated habitat"))</f>
        <v>0</v>
      </c>
      <c r="AE926">
        <f>AND(IF(Metadata!E926="",FALSE,TRUE),OR(exact(Metadata!E926,"human-associated"),exact(Metadata!E926,"human-skin"),exact(Metadata!E926,"human-oral"),exact(Metadata!E926,"human-gut"),exact(Metadata!E926,"human-vaginal")))</f>
        <v>0</v>
      </c>
      <c r="AF926">
        <f>AND(IF(Metadata!F926="",FALSE,ISNUMBER(VALUE(Metadata!F926))),Metadata!F926&gt;0)</f>
        <v>0</v>
      </c>
      <c r="AG926">
        <f>AND(IF(Metadata!G926="",FALSE,TRUE),exact(Metadata!G926,"years"))</f>
        <v>0</v>
      </c>
      <c r="AH926">
        <f>OR(AND(IF(Metadata!H926="",FALSE,TRUE),OR(exact(Metadata!H926,"not applicable"),exact(Metadata!H926,"not collected"),exact(Metadata!H926,"not provided"),exact(Metadata!H926,"restricted access"))),AND(IF(Metadata!H926="",FALSE,ISNUMBER(VALUE(Metadata!H926))),Metadata!H926&gt;0))</f>
        <v>0</v>
      </c>
      <c r="AI926">
        <f>AND(IF(Metadata!I926="",FALSE,TRUE),exact(Metadata!I926,"human"))</f>
        <v>0</v>
      </c>
      <c r="AJ926">
        <f>AND(IF(Metadata!J926="",FALSE,ISNUMBER(VALUE(Metadata!J926))),Metadata!J926&gt;0)</f>
        <v>0</v>
      </c>
      <c r="AK926">
        <f>AND(IF(Metadata!K926="",FALSE,TRUE),exact(Metadata!K926,"cm"))</f>
        <v>0</v>
      </c>
      <c r="AL926">
        <f>AND(IF(Metadata!L926="",FALSE,TRUE),exact(Metadata!L926,"Homo sapiens"))</f>
        <v>0</v>
      </c>
      <c r="AM926">
        <f>AND(IF(Metadata!M926="",FALSE,TRUE),exact(Metadata!M926,"9606"))</f>
        <v>0</v>
      </c>
      <c r="AN926">
        <f>AND(IF(Metadata!N926="",FALSE,ISNUMBER(VALUE(Metadata!N926))),Metadata!N926&gt;0)</f>
        <v>0</v>
      </c>
      <c r="AO926">
        <f>AND(IF(Metadata!O926="",FALSE,TRUE),exact(Metadata!O926,"kg"))</f>
        <v>0</v>
      </c>
      <c r="AP926">
        <f>OR(AND(IF(Metadata!P926="",FALSE,TRUE),exact(Metadata!P926,"not provided")),IF(Metadata!P926="",FALSE,TRUE))</f>
        <v>0</v>
      </c>
      <c r="AQ926">
        <f>OR(AND(IF(Metadata!Q926="",FALSE,TRUE),exact(Metadata!Q926,"not provided")),IF(Metadata!Q926="",FALSE,TRUE))</f>
        <v>0</v>
      </c>
    </row>
    <row r="927" spans="1:43">
      <c r="A927" s="4">
        <f>IF(B927=" "," ",HYPERLINK(CONCATENATE("#metadata!",ADDRESS(INDEX($W$2:$W$1001,MATCH(ROWS($U$2:U927),$U$2:$U$1001,0),0),2)),INDEX($Z$2:$Z$1001,MATCH(ROWS($U$2:U927),$U$2:$U$1001,0),0)))</f>
        <v>0</v>
      </c>
      <c r="B927" s="5">
        <f>IF(OR(INDEX($V$2:$V$1001,MATCH(ROWS($U$2:U927),$U$2:$U$1001,0),1)&gt;=100000,INDEX($AB$1005:$AQ$1005,1,MATCH(COLUMNS($AB$1006:AB1006),$AB$1006:$AQ$1006,0))&gt;=100000), " ",IF(INDEX($AB$2:$AQ$1001,MATCH(ROWS($U$2:U927),$U$2:$U$1001,0),MATCH(COLUMNS($AB$1006:AB1006),$AB$1006:$AQ$1006,0)), HYPERLINK("#",""), HYPERLINK(CONCATENATE("#Metadata!", ADDRESS(INDEX($W$2:$W$1001,MATCH(ROWS($U$2:U927),$U$2:$U$1001,0),0), INDEX($AB$1004:$AQ$1004,1,MATCH(COLUMNS($AB$1006:AB1006),$AB$1006:$AQ$1006,0)))),"Fix")))</f>
        <v>0</v>
      </c>
      <c r="C927" s="5">
        <f>IF(OR(INDEX($V$2:$V$1001,MATCH(ROWS($U$2:U927),$U$2:$U$1001,0),1)&gt;=100000,INDEX($AB$1005:$AQ$1005,1,MATCH(COLUMNS($AB$1006:AC1006),$AB$1006:$AQ$1006,0))&gt;=100000), " ",IF(INDEX($AB$2:$AQ$1001,MATCH(ROWS($U$2:U927),$U$2:$U$1001,0),MATCH(COLUMNS($AB$1006:AC1006),$AB$1006:$AQ$1006,0)), HYPERLINK("#",""), HYPERLINK(CONCATENATE("#Metadata!", ADDRESS(INDEX($W$2:$W$1001,MATCH(ROWS($U$2:U927),$U$2:$U$1001,0),0), INDEX($AB$1004:$AQ$1004,1,MATCH(COLUMNS($AB$1006:AC1006),$AB$1006:$AQ$1006,0)))),"Fix")))</f>
        <v>0</v>
      </c>
      <c r="D927" s="5">
        <f>IF(OR(INDEX($V$2:$V$1001,MATCH(ROWS($U$2:U927),$U$2:$U$1001,0),1)&gt;=100000,INDEX($AB$1005:$AQ$1005,1,MATCH(COLUMNS($AB$1006:AD1006),$AB$1006:$AQ$1006,0))&gt;=100000), " ",IF(INDEX($AB$2:$AQ$1001,MATCH(ROWS($U$2:U927),$U$2:$U$1001,0),MATCH(COLUMNS($AB$1006:AD1006),$AB$1006:$AQ$1006,0)), HYPERLINK("#",""), HYPERLINK(CONCATENATE("#Metadata!", ADDRESS(INDEX($W$2:$W$1001,MATCH(ROWS($U$2:U927),$U$2:$U$1001,0),0), INDEX($AB$1004:$AQ$1004,1,MATCH(COLUMNS($AB$1006:AD1006),$AB$1006:$AQ$1006,0)))),"Fix")))</f>
        <v>0</v>
      </c>
      <c r="E927" s="5">
        <f>IF(OR(INDEX($V$2:$V$1001,MATCH(ROWS($U$2:U927),$U$2:$U$1001,0),1)&gt;=100000,INDEX($AB$1005:$AQ$1005,1,MATCH(COLUMNS($AB$1006:AE1006),$AB$1006:$AQ$1006,0))&gt;=100000), " ",IF(INDEX($AB$2:$AQ$1001,MATCH(ROWS($U$2:U927),$U$2:$U$1001,0),MATCH(COLUMNS($AB$1006:AE1006),$AB$1006:$AQ$1006,0)), HYPERLINK("#",""), HYPERLINK(CONCATENATE("#Metadata!", ADDRESS(INDEX($W$2:$W$1001,MATCH(ROWS($U$2:U927),$U$2:$U$1001,0),0), INDEX($AB$1004:$AQ$1004,1,MATCH(COLUMNS($AB$1006:AE1006),$AB$1006:$AQ$1006,0)))),"Fix")))</f>
        <v>0</v>
      </c>
      <c r="F927" s="5">
        <f>IF(OR(INDEX($V$2:$V$1001,MATCH(ROWS($U$2:U927),$U$2:$U$1001,0),1)&gt;=100000,INDEX($AB$1005:$AQ$1005,1,MATCH(COLUMNS($AB$1006:AF1006),$AB$1006:$AQ$1006,0))&gt;=100000), " ",IF(INDEX($AB$2:$AQ$1001,MATCH(ROWS($U$2:U927),$U$2:$U$1001,0),MATCH(COLUMNS($AB$1006:AF1006),$AB$1006:$AQ$1006,0)), HYPERLINK("#",""), HYPERLINK(CONCATENATE("#Metadata!", ADDRESS(INDEX($W$2:$W$1001,MATCH(ROWS($U$2:U927),$U$2:$U$1001,0),0), INDEX($AB$1004:$AQ$1004,1,MATCH(COLUMNS($AB$1006:AF1006),$AB$1006:$AQ$1006,0)))),"Fix")))</f>
        <v>0</v>
      </c>
      <c r="G927" s="5">
        <f>IF(OR(INDEX($V$2:$V$1001,MATCH(ROWS($U$2:U927),$U$2:$U$1001,0),1)&gt;=100000,INDEX($AB$1005:$AQ$1005,1,MATCH(COLUMNS($AB$1006:AG1006),$AB$1006:$AQ$1006,0))&gt;=100000), " ",IF(INDEX($AB$2:$AQ$1001,MATCH(ROWS($U$2:U927),$U$2:$U$1001,0),MATCH(COLUMNS($AB$1006:AG1006),$AB$1006:$AQ$1006,0)), HYPERLINK("#",""), HYPERLINK(CONCATENATE("#Metadata!", ADDRESS(INDEX($W$2:$W$1001,MATCH(ROWS($U$2:U927),$U$2:$U$1001,0),0), INDEX($AB$1004:$AQ$1004,1,MATCH(COLUMNS($AB$1006:AG1006),$AB$1006:$AQ$1006,0)))),"Fix")))</f>
        <v>0</v>
      </c>
      <c r="H927" s="5">
        <f>IF(OR(INDEX($V$2:$V$1001,MATCH(ROWS($U$2:U927),$U$2:$U$1001,0),1)&gt;=100000,INDEX($AB$1005:$AQ$1005,1,MATCH(COLUMNS($AB$1006:AH1006),$AB$1006:$AQ$1006,0))&gt;=100000), " ",IF(INDEX($AB$2:$AQ$1001,MATCH(ROWS($U$2:U927),$U$2:$U$1001,0),MATCH(COLUMNS($AB$1006:AH1006),$AB$1006:$AQ$1006,0)), HYPERLINK("#",""), HYPERLINK(CONCATENATE("#Metadata!", ADDRESS(INDEX($W$2:$W$1001,MATCH(ROWS($U$2:U927),$U$2:$U$1001,0),0), INDEX($AB$1004:$AQ$1004,1,MATCH(COLUMNS($AB$1006:AH1006),$AB$1006:$AQ$1006,0)))),"Fix")))</f>
        <v>0</v>
      </c>
      <c r="I927" s="5">
        <f>IF(OR(INDEX($V$2:$V$1001,MATCH(ROWS($U$2:U927),$U$2:$U$1001,0),1)&gt;=100000,INDEX($AB$1005:$AQ$1005,1,MATCH(COLUMNS($AB$1006:AI1006),$AB$1006:$AQ$1006,0))&gt;=100000), " ",IF(INDEX($AB$2:$AQ$1001,MATCH(ROWS($U$2:U927),$U$2:$U$1001,0),MATCH(COLUMNS($AB$1006:AI1006),$AB$1006:$AQ$1006,0)), HYPERLINK("#",""), HYPERLINK(CONCATENATE("#Metadata!", ADDRESS(INDEX($W$2:$W$1001,MATCH(ROWS($U$2:U927),$U$2:$U$1001,0),0), INDEX($AB$1004:$AQ$1004,1,MATCH(COLUMNS($AB$1006:AI1006),$AB$1006:$AQ$1006,0)))),"Fix")))</f>
        <v>0</v>
      </c>
      <c r="J927" s="5">
        <f>IF(OR(INDEX($V$2:$V$1001,MATCH(ROWS($U$2:U927),$U$2:$U$1001,0),1)&gt;=100000,INDEX($AB$1005:$AQ$1005,1,MATCH(COLUMNS($AB$1006:AJ1006),$AB$1006:$AQ$1006,0))&gt;=100000), " ",IF(INDEX($AB$2:$AQ$1001,MATCH(ROWS($U$2:U927),$U$2:$U$1001,0),MATCH(COLUMNS($AB$1006:AJ1006),$AB$1006:$AQ$1006,0)), HYPERLINK("#",""), HYPERLINK(CONCATENATE("#Metadata!", ADDRESS(INDEX($W$2:$W$1001,MATCH(ROWS($U$2:U927),$U$2:$U$1001,0),0), INDEX($AB$1004:$AQ$1004,1,MATCH(COLUMNS($AB$1006:AJ1006),$AB$1006:$AQ$1006,0)))),"Fix")))</f>
        <v>0</v>
      </c>
      <c r="K927" s="5">
        <f>IF(OR(INDEX($V$2:$V$1001,MATCH(ROWS($U$2:U927),$U$2:$U$1001,0),1)&gt;=100000,INDEX($AB$1005:$AQ$1005,1,MATCH(COLUMNS($AB$1006:AK1006),$AB$1006:$AQ$1006,0))&gt;=100000), " ",IF(INDEX($AB$2:$AQ$1001,MATCH(ROWS($U$2:U927),$U$2:$U$1001,0),MATCH(COLUMNS($AB$1006:AK1006),$AB$1006:$AQ$1006,0)), HYPERLINK("#",""), HYPERLINK(CONCATENATE("#Metadata!", ADDRESS(INDEX($W$2:$W$1001,MATCH(ROWS($U$2:U927),$U$2:$U$1001,0),0), INDEX($AB$1004:$AQ$1004,1,MATCH(COLUMNS($AB$1006:AK1006),$AB$1006:$AQ$1006,0)))),"Fix")))</f>
        <v>0</v>
      </c>
      <c r="L927" s="5">
        <f>IF(OR(INDEX($V$2:$V$1001,MATCH(ROWS($U$2:U927),$U$2:$U$1001,0),1)&gt;=100000,INDEX($AB$1005:$AQ$1005,1,MATCH(COLUMNS($AB$1006:AL1006),$AB$1006:$AQ$1006,0))&gt;=100000), " ",IF(INDEX($AB$2:$AQ$1001,MATCH(ROWS($U$2:U927),$U$2:$U$1001,0),MATCH(COLUMNS($AB$1006:AL1006),$AB$1006:$AQ$1006,0)), HYPERLINK("#",""), HYPERLINK(CONCATENATE("#Metadata!", ADDRESS(INDEX($W$2:$W$1001,MATCH(ROWS($U$2:U927),$U$2:$U$1001,0),0), INDEX($AB$1004:$AQ$1004,1,MATCH(COLUMNS($AB$1006:AL1006),$AB$1006:$AQ$1006,0)))),"Fix")))</f>
        <v>0</v>
      </c>
      <c r="M927" s="5">
        <f>IF(OR(INDEX($V$2:$V$1001,MATCH(ROWS($U$2:U927),$U$2:$U$1001,0),1)&gt;=100000,INDEX($AB$1005:$AQ$1005,1,MATCH(COLUMNS($AB$1006:AM1006),$AB$1006:$AQ$1006,0))&gt;=100000), " ",IF(INDEX($AB$2:$AQ$1001,MATCH(ROWS($U$2:U927),$U$2:$U$1001,0),MATCH(COLUMNS($AB$1006:AM1006),$AB$1006:$AQ$1006,0)), HYPERLINK("#",""), HYPERLINK(CONCATENATE("#Metadata!", ADDRESS(INDEX($W$2:$W$1001,MATCH(ROWS($U$2:U927),$U$2:$U$1001,0),0), INDEX($AB$1004:$AQ$1004,1,MATCH(COLUMNS($AB$1006:AM1006),$AB$1006:$AQ$1006,0)))),"Fix")))</f>
        <v>0</v>
      </c>
      <c r="N927" s="5">
        <f>IF(OR(INDEX($V$2:$V$1001,MATCH(ROWS($U$2:U927),$U$2:$U$1001,0),1)&gt;=100000,INDEX($AB$1005:$AQ$1005,1,MATCH(COLUMNS($AB$1006:AN1006),$AB$1006:$AQ$1006,0))&gt;=100000), " ",IF(INDEX($AB$2:$AQ$1001,MATCH(ROWS($U$2:U927),$U$2:$U$1001,0),MATCH(COLUMNS($AB$1006:AN1006),$AB$1006:$AQ$1006,0)), HYPERLINK("#",""), HYPERLINK(CONCATENATE("#Metadata!", ADDRESS(INDEX($W$2:$W$1001,MATCH(ROWS($U$2:U927),$U$2:$U$1001,0),0), INDEX($AB$1004:$AQ$1004,1,MATCH(COLUMNS($AB$1006:AN1006),$AB$1006:$AQ$1006,0)))),"Fix")))</f>
        <v>0</v>
      </c>
      <c r="O927" s="5">
        <f>IF(OR(INDEX($V$2:$V$1001,MATCH(ROWS($U$2:U927),$U$2:$U$1001,0),1)&gt;=100000,INDEX($AB$1005:$AQ$1005,1,MATCH(COLUMNS($AB$1006:AO1006),$AB$1006:$AQ$1006,0))&gt;=100000), " ",IF(INDEX($AB$2:$AQ$1001,MATCH(ROWS($U$2:U927),$U$2:$U$1001,0),MATCH(COLUMNS($AB$1006:AO1006),$AB$1006:$AQ$1006,0)), HYPERLINK("#",""), HYPERLINK(CONCATENATE("#Metadata!", ADDRESS(INDEX($W$2:$W$1001,MATCH(ROWS($U$2:U927),$U$2:$U$1001,0),0), INDEX($AB$1004:$AQ$1004,1,MATCH(COLUMNS($AB$1006:AO1006),$AB$1006:$AQ$1006,0)))),"Fix")))</f>
        <v>0</v>
      </c>
      <c r="P927" s="5">
        <f>IF(OR(INDEX($V$2:$V$1001,MATCH(ROWS($U$2:U927),$U$2:$U$1001,0),1)&gt;=100000,INDEX($AB$1005:$AQ$1005,1,MATCH(COLUMNS($AB$1006:AP1006),$AB$1006:$AQ$1006,0))&gt;=100000), " ",IF(INDEX($AB$2:$AQ$1001,MATCH(ROWS($U$2:U927),$U$2:$U$1001,0),MATCH(COLUMNS($AB$1006:AP1006),$AB$1006:$AQ$1006,0)), HYPERLINK("#",""), HYPERLINK(CONCATENATE("#Metadata!", ADDRESS(INDEX($W$2:$W$1001,MATCH(ROWS($U$2:U927),$U$2:$U$1001,0),0), INDEX($AB$1004:$AQ$1004,1,MATCH(COLUMNS($AB$1006:AP1006),$AB$1006:$AQ$1006,0)))),"Fix")))</f>
        <v>0</v>
      </c>
      <c r="Q927" s="5">
        <f>IF(OR(INDEX($V$2:$V$1001,MATCH(ROWS($U$2:U927),$U$2:$U$1001,0),1)&gt;=100000,INDEX($AB$1005:$AQ$1005,1,MATCH(COLUMNS($AB$1006:AQ1006),$AB$1006:$AQ$1006,0))&gt;=100000), " ",IF(INDEX($AB$2:$AQ$1001,MATCH(ROWS($U$2:U927),$U$2:$U$1001,0),MATCH(COLUMNS($AB$1006:AQ1006),$AB$1006:$AQ$1006,0)), HYPERLINK("#",""), HYPERLINK(CONCATENATE("#Metadata!", ADDRESS(INDEX($W$2:$W$1001,MATCH(ROWS($U$2:U927),$U$2:$U$1001,0),0), INDEX($AB$1004:$AQ$1004,1,MATCH(COLUMNS($AB$1006:AQ1006),$AB$1006:$AQ$1006,0)))),"Fix")))</f>
        <v>0</v>
      </c>
      <c r="U927">
        <v>0</v>
      </c>
      <c r="V927">
        <v>0</v>
      </c>
      <c r="W927">
        <v>0</v>
      </c>
      <c r="X927">
        <f>IF(Y927,TRUE,AND(AB927:AQ927))</f>
        <v>0</v>
      </c>
      <c r="Y927">
        <f>COUNTBLANK(Metadata!B927:Q927)=COLUMNS(Metadata!B927:Q927)</f>
        <v>0</v>
      </c>
      <c r="Z927">
        <v>0</v>
      </c>
      <c r="AB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AC927">
        <f>AND(IF(Metadata!C927="",FALSE,TRUE),exact(Metadata!C927,"urban biome"))</f>
        <v>0</v>
      </c>
      <c r="AD927">
        <f>AND(IF(Metadata!D927="",FALSE,TRUE),exact(Metadata!D927,"human-associated habitat"))</f>
        <v>0</v>
      </c>
      <c r="AE927">
        <f>AND(IF(Metadata!E927="",FALSE,TRUE),OR(exact(Metadata!E927,"human-associated"),exact(Metadata!E927,"human-skin"),exact(Metadata!E927,"human-oral"),exact(Metadata!E927,"human-gut"),exact(Metadata!E927,"human-vaginal")))</f>
        <v>0</v>
      </c>
      <c r="AF927">
        <f>AND(IF(Metadata!F927="",FALSE,ISNUMBER(VALUE(Metadata!F927))),Metadata!F927&gt;0)</f>
        <v>0</v>
      </c>
      <c r="AG927">
        <f>AND(IF(Metadata!G927="",FALSE,TRUE),exact(Metadata!G927,"years"))</f>
        <v>0</v>
      </c>
      <c r="AH927">
        <f>OR(AND(IF(Metadata!H927="",FALSE,TRUE),OR(exact(Metadata!H927,"not applicable"),exact(Metadata!H927,"not collected"),exact(Metadata!H927,"not provided"),exact(Metadata!H927,"restricted access"))),AND(IF(Metadata!H927="",FALSE,ISNUMBER(VALUE(Metadata!H927))),Metadata!H927&gt;0))</f>
        <v>0</v>
      </c>
      <c r="AI927">
        <f>AND(IF(Metadata!I927="",FALSE,TRUE),exact(Metadata!I927,"human"))</f>
        <v>0</v>
      </c>
      <c r="AJ927">
        <f>AND(IF(Metadata!J927="",FALSE,ISNUMBER(VALUE(Metadata!J927))),Metadata!J927&gt;0)</f>
        <v>0</v>
      </c>
      <c r="AK927">
        <f>AND(IF(Metadata!K927="",FALSE,TRUE),exact(Metadata!K927,"cm"))</f>
        <v>0</v>
      </c>
      <c r="AL927">
        <f>AND(IF(Metadata!L927="",FALSE,TRUE),exact(Metadata!L927,"Homo sapiens"))</f>
        <v>0</v>
      </c>
      <c r="AM927">
        <f>AND(IF(Metadata!M927="",FALSE,TRUE),exact(Metadata!M927,"9606"))</f>
        <v>0</v>
      </c>
      <c r="AN927">
        <f>AND(IF(Metadata!N927="",FALSE,ISNUMBER(VALUE(Metadata!N927))),Metadata!N927&gt;0)</f>
        <v>0</v>
      </c>
      <c r="AO927">
        <f>AND(IF(Metadata!O927="",FALSE,TRUE),exact(Metadata!O927,"kg"))</f>
        <v>0</v>
      </c>
      <c r="AP927">
        <f>OR(AND(IF(Metadata!P927="",FALSE,TRUE),exact(Metadata!P927,"not provided")),IF(Metadata!P927="",FALSE,TRUE))</f>
        <v>0</v>
      </c>
      <c r="AQ927">
        <f>OR(AND(IF(Metadata!Q927="",FALSE,TRUE),exact(Metadata!Q927,"not provided")),IF(Metadata!Q927="",FALSE,TRUE))</f>
        <v>0</v>
      </c>
    </row>
    <row r="928" spans="1:43">
      <c r="A928" s="4">
        <f>IF(B928=" "," ",HYPERLINK(CONCATENATE("#metadata!",ADDRESS(INDEX($W$2:$W$1001,MATCH(ROWS($U$2:U928),$U$2:$U$1001,0),0),2)),INDEX($Z$2:$Z$1001,MATCH(ROWS($U$2:U928),$U$2:$U$1001,0),0)))</f>
        <v>0</v>
      </c>
      <c r="B928" s="5">
        <f>IF(OR(INDEX($V$2:$V$1001,MATCH(ROWS($U$2:U928),$U$2:$U$1001,0),1)&gt;=100000,INDEX($AB$1005:$AQ$1005,1,MATCH(COLUMNS($AB$1006:AB1006),$AB$1006:$AQ$1006,0))&gt;=100000), " ",IF(INDEX($AB$2:$AQ$1001,MATCH(ROWS($U$2:U928),$U$2:$U$1001,0),MATCH(COLUMNS($AB$1006:AB1006),$AB$1006:$AQ$1006,0)), HYPERLINK("#",""), HYPERLINK(CONCATENATE("#Metadata!", ADDRESS(INDEX($W$2:$W$1001,MATCH(ROWS($U$2:U928),$U$2:$U$1001,0),0), INDEX($AB$1004:$AQ$1004,1,MATCH(COLUMNS($AB$1006:AB1006),$AB$1006:$AQ$1006,0)))),"Fix")))</f>
        <v>0</v>
      </c>
      <c r="C928" s="5">
        <f>IF(OR(INDEX($V$2:$V$1001,MATCH(ROWS($U$2:U928),$U$2:$U$1001,0),1)&gt;=100000,INDEX($AB$1005:$AQ$1005,1,MATCH(COLUMNS($AB$1006:AC1006),$AB$1006:$AQ$1006,0))&gt;=100000), " ",IF(INDEX($AB$2:$AQ$1001,MATCH(ROWS($U$2:U928),$U$2:$U$1001,0),MATCH(COLUMNS($AB$1006:AC1006),$AB$1006:$AQ$1006,0)), HYPERLINK("#",""), HYPERLINK(CONCATENATE("#Metadata!", ADDRESS(INDEX($W$2:$W$1001,MATCH(ROWS($U$2:U928),$U$2:$U$1001,0),0), INDEX($AB$1004:$AQ$1004,1,MATCH(COLUMNS($AB$1006:AC1006),$AB$1006:$AQ$1006,0)))),"Fix")))</f>
        <v>0</v>
      </c>
      <c r="D928" s="5">
        <f>IF(OR(INDEX($V$2:$V$1001,MATCH(ROWS($U$2:U928),$U$2:$U$1001,0),1)&gt;=100000,INDEX($AB$1005:$AQ$1005,1,MATCH(COLUMNS($AB$1006:AD1006),$AB$1006:$AQ$1006,0))&gt;=100000), " ",IF(INDEX($AB$2:$AQ$1001,MATCH(ROWS($U$2:U928),$U$2:$U$1001,0),MATCH(COLUMNS($AB$1006:AD1006),$AB$1006:$AQ$1006,0)), HYPERLINK("#",""), HYPERLINK(CONCATENATE("#Metadata!", ADDRESS(INDEX($W$2:$W$1001,MATCH(ROWS($U$2:U928),$U$2:$U$1001,0),0), INDEX($AB$1004:$AQ$1004,1,MATCH(COLUMNS($AB$1006:AD1006),$AB$1006:$AQ$1006,0)))),"Fix")))</f>
        <v>0</v>
      </c>
      <c r="E928" s="5">
        <f>IF(OR(INDEX($V$2:$V$1001,MATCH(ROWS($U$2:U928),$U$2:$U$1001,0),1)&gt;=100000,INDEX($AB$1005:$AQ$1005,1,MATCH(COLUMNS($AB$1006:AE1006),$AB$1006:$AQ$1006,0))&gt;=100000), " ",IF(INDEX($AB$2:$AQ$1001,MATCH(ROWS($U$2:U928),$U$2:$U$1001,0),MATCH(COLUMNS($AB$1006:AE1006),$AB$1006:$AQ$1006,0)), HYPERLINK("#",""), HYPERLINK(CONCATENATE("#Metadata!", ADDRESS(INDEX($W$2:$W$1001,MATCH(ROWS($U$2:U928),$U$2:$U$1001,0),0), INDEX($AB$1004:$AQ$1004,1,MATCH(COLUMNS($AB$1006:AE1006),$AB$1006:$AQ$1006,0)))),"Fix")))</f>
        <v>0</v>
      </c>
      <c r="F928" s="5">
        <f>IF(OR(INDEX($V$2:$V$1001,MATCH(ROWS($U$2:U928),$U$2:$U$1001,0),1)&gt;=100000,INDEX($AB$1005:$AQ$1005,1,MATCH(COLUMNS($AB$1006:AF1006),$AB$1006:$AQ$1006,0))&gt;=100000), " ",IF(INDEX($AB$2:$AQ$1001,MATCH(ROWS($U$2:U928),$U$2:$U$1001,0),MATCH(COLUMNS($AB$1006:AF1006),$AB$1006:$AQ$1006,0)), HYPERLINK("#",""), HYPERLINK(CONCATENATE("#Metadata!", ADDRESS(INDEX($W$2:$W$1001,MATCH(ROWS($U$2:U928),$U$2:$U$1001,0),0), INDEX($AB$1004:$AQ$1004,1,MATCH(COLUMNS($AB$1006:AF1006),$AB$1006:$AQ$1006,0)))),"Fix")))</f>
        <v>0</v>
      </c>
      <c r="G928" s="5">
        <f>IF(OR(INDEX($V$2:$V$1001,MATCH(ROWS($U$2:U928),$U$2:$U$1001,0),1)&gt;=100000,INDEX($AB$1005:$AQ$1005,1,MATCH(COLUMNS($AB$1006:AG1006),$AB$1006:$AQ$1006,0))&gt;=100000), " ",IF(INDEX($AB$2:$AQ$1001,MATCH(ROWS($U$2:U928),$U$2:$U$1001,0),MATCH(COLUMNS($AB$1006:AG1006),$AB$1006:$AQ$1006,0)), HYPERLINK("#",""), HYPERLINK(CONCATENATE("#Metadata!", ADDRESS(INDEX($W$2:$W$1001,MATCH(ROWS($U$2:U928),$U$2:$U$1001,0),0), INDEX($AB$1004:$AQ$1004,1,MATCH(COLUMNS($AB$1006:AG1006),$AB$1006:$AQ$1006,0)))),"Fix")))</f>
        <v>0</v>
      </c>
      <c r="H928" s="5">
        <f>IF(OR(INDEX($V$2:$V$1001,MATCH(ROWS($U$2:U928),$U$2:$U$1001,0),1)&gt;=100000,INDEX($AB$1005:$AQ$1005,1,MATCH(COLUMNS($AB$1006:AH1006),$AB$1006:$AQ$1006,0))&gt;=100000), " ",IF(INDEX($AB$2:$AQ$1001,MATCH(ROWS($U$2:U928),$U$2:$U$1001,0),MATCH(COLUMNS($AB$1006:AH1006),$AB$1006:$AQ$1006,0)), HYPERLINK("#",""), HYPERLINK(CONCATENATE("#Metadata!", ADDRESS(INDEX($W$2:$W$1001,MATCH(ROWS($U$2:U928),$U$2:$U$1001,0),0), INDEX($AB$1004:$AQ$1004,1,MATCH(COLUMNS($AB$1006:AH1006),$AB$1006:$AQ$1006,0)))),"Fix")))</f>
        <v>0</v>
      </c>
      <c r="I928" s="5">
        <f>IF(OR(INDEX($V$2:$V$1001,MATCH(ROWS($U$2:U928),$U$2:$U$1001,0),1)&gt;=100000,INDEX($AB$1005:$AQ$1005,1,MATCH(COLUMNS($AB$1006:AI1006),$AB$1006:$AQ$1006,0))&gt;=100000), " ",IF(INDEX($AB$2:$AQ$1001,MATCH(ROWS($U$2:U928),$U$2:$U$1001,0),MATCH(COLUMNS($AB$1006:AI1006),$AB$1006:$AQ$1006,0)), HYPERLINK("#",""), HYPERLINK(CONCATENATE("#Metadata!", ADDRESS(INDEX($W$2:$W$1001,MATCH(ROWS($U$2:U928),$U$2:$U$1001,0),0), INDEX($AB$1004:$AQ$1004,1,MATCH(COLUMNS($AB$1006:AI1006),$AB$1006:$AQ$1006,0)))),"Fix")))</f>
        <v>0</v>
      </c>
      <c r="J928" s="5">
        <f>IF(OR(INDEX($V$2:$V$1001,MATCH(ROWS($U$2:U928),$U$2:$U$1001,0),1)&gt;=100000,INDEX($AB$1005:$AQ$1005,1,MATCH(COLUMNS($AB$1006:AJ1006),$AB$1006:$AQ$1006,0))&gt;=100000), " ",IF(INDEX($AB$2:$AQ$1001,MATCH(ROWS($U$2:U928),$U$2:$U$1001,0),MATCH(COLUMNS($AB$1006:AJ1006),$AB$1006:$AQ$1006,0)), HYPERLINK("#",""), HYPERLINK(CONCATENATE("#Metadata!", ADDRESS(INDEX($W$2:$W$1001,MATCH(ROWS($U$2:U928),$U$2:$U$1001,0),0), INDEX($AB$1004:$AQ$1004,1,MATCH(COLUMNS($AB$1006:AJ1006),$AB$1006:$AQ$1006,0)))),"Fix")))</f>
        <v>0</v>
      </c>
      <c r="K928" s="5">
        <f>IF(OR(INDEX($V$2:$V$1001,MATCH(ROWS($U$2:U928),$U$2:$U$1001,0),1)&gt;=100000,INDEX($AB$1005:$AQ$1005,1,MATCH(COLUMNS($AB$1006:AK1006),$AB$1006:$AQ$1006,0))&gt;=100000), " ",IF(INDEX($AB$2:$AQ$1001,MATCH(ROWS($U$2:U928),$U$2:$U$1001,0),MATCH(COLUMNS($AB$1006:AK1006),$AB$1006:$AQ$1006,0)), HYPERLINK("#",""), HYPERLINK(CONCATENATE("#Metadata!", ADDRESS(INDEX($W$2:$W$1001,MATCH(ROWS($U$2:U928),$U$2:$U$1001,0),0), INDEX($AB$1004:$AQ$1004,1,MATCH(COLUMNS($AB$1006:AK1006),$AB$1006:$AQ$1006,0)))),"Fix")))</f>
        <v>0</v>
      </c>
      <c r="L928" s="5">
        <f>IF(OR(INDEX($V$2:$V$1001,MATCH(ROWS($U$2:U928),$U$2:$U$1001,0),1)&gt;=100000,INDEX($AB$1005:$AQ$1005,1,MATCH(COLUMNS($AB$1006:AL1006),$AB$1006:$AQ$1006,0))&gt;=100000), " ",IF(INDEX($AB$2:$AQ$1001,MATCH(ROWS($U$2:U928),$U$2:$U$1001,0),MATCH(COLUMNS($AB$1006:AL1006),$AB$1006:$AQ$1006,0)), HYPERLINK("#",""), HYPERLINK(CONCATENATE("#Metadata!", ADDRESS(INDEX($W$2:$W$1001,MATCH(ROWS($U$2:U928),$U$2:$U$1001,0),0), INDEX($AB$1004:$AQ$1004,1,MATCH(COLUMNS($AB$1006:AL1006),$AB$1006:$AQ$1006,0)))),"Fix")))</f>
        <v>0</v>
      </c>
      <c r="M928" s="5">
        <f>IF(OR(INDEX($V$2:$V$1001,MATCH(ROWS($U$2:U928),$U$2:$U$1001,0),1)&gt;=100000,INDEX($AB$1005:$AQ$1005,1,MATCH(COLUMNS($AB$1006:AM1006),$AB$1006:$AQ$1006,0))&gt;=100000), " ",IF(INDEX($AB$2:$AQ$1001,MATCH(ROWS($U$2:U928),$U$2:$U$1001,0),MATCH(COLUMNS($AB$1006:AM1006),$AB$1006:$AQ$1006,0)), HYPERLINK("#",""), HYPERLINK(CONCATENATE("#Metadata!", ADDRESS(INDEX($W$2:$W$1001,MATCH(ROWS($U$2:U928),$U$2:$U$1001,0),0), INDEX($AB$1004:$AQ$1004,1,MATCH(COLUMNS($AB$1006:AM1006),$AB$1006:$AQ$1006,0)))),"Fix")))</f>
        <v>0</v>
      </c>
      <c r="N928" s="5">
        <f>IF(OR(INDEX($V$2:$V$1001,MATCH(ROWS($U$2:U928),$U$2:$U$1001,0),1)&gt;=100000,INDEX($AB$1005:$AQ$1005,1,MATCH(COLUMNS($AB$1006:AN1006),$AB$1006:$AQ$1006,0))&gt;=100000), " ",IF(INDEX($AB$2:$AQ$1001,MATCH(ROWS($U$2:U928),$U$2:$U$1001,0),MATCH(COLUMNS($AB$1006:AN1006),$AB$1006:$AQ$1006,0)), HYPERLINK("#",""), HYPERLINK(CONCATENATE("#Metadata!", ADDRESS(INDEX($W$2:$W$1001,MATCH(ROWS($U$2:U928),$U$2:$U$1001,0),0), INDEX($AB$1004:$AQ$1004,1,MATCH(COLUMNS($AB$1006:AN1006),$AB$1006:$AQ$1006,0)))),"Fix")))</f>
        <v>0</v>
      </c>
      <c r="O928" s="5">
        <f>IF(OR(INDEX($V$2:$V$1001,MATCH(ROWS($U$2:U928),$U$2:$U$1001,0),1)&gt;=100000,INDEX($AB$1005:$AQ$1005,1,MATCH(COLUMNS($AB$1006:AO1006),$AB$1006:$AQ$1006,0))&gt;=100000), " ",IF(INDEX($AB$2:$AQ$1001,MATCH(ROWS($U$2:U928),$U$2:$U$1001,0),MATCH(COLUMNS($AB$1006:AO1006),$AB$1006:$AQ$1006,0)), HYPERLINK("#",""), HYPERLINK(CONCATENATE("#Metadata!", ADDRESS(INDEX($W$2:$W$1001,MATCH(ROWS($U$2:U928),$U$2:$U$1001,0),0), INDEX($AB$1004:$AQ$1004,1,MATCH(COLUMNS($AB$1006:AO1006),$AB$1006:$AQ$1006,0)))),"Fix")))</f>
        <v>0</v>
      </c>
      <c r="P928" s="5">
        <f>IF(OR(INDEX($V$2:$V$1001,MATCH(ROWS($U$2:U928),$U$2:$U$1001,0),1)&gt;=100000,INDEX($AB$1005:$AQ$1005,1,MATCH(COLUMNS($AB$1006:AP1006),$AB$1006:$AQ$1006,0))&gt;=100000), " ",IF(INDEX($AB$2:$AQ$1001,MATCH(ROWS($U$2:U928),$U$2:$U$1001,0),MATCH(COLUMNS($AB$1006:AP1006),$AB$1006:$AQ$1006,0)), HYPERLINK("#",""), HYPERLINK(CONCATENATE("#Metadata!", ADDRESS(INDEX($W$2:$W$1001,MATCH(ROWS($U$2:U928),$U$2:$U$1001,0),0), INDEX($AB$1004:$AQ$1004,1,MATCH(COLUMNS($AB$1006:AP1006),$AB$1006:$AQ$1006,0)))),"Fix")))</f>
        <v>0</v>
      </c>
      <c r="Q928" s="5">
        <f>IF(OR(INDEX($V$2:$V$1001,MATCH(ROWS($U$2:U928),$U$2:$U$1001,0),1)&gt;=100000,INDEX($AB$1005:$AQ$1005,1,MATCH(COLUMNS($AB$1006:AQ1006),$AB$1006:$AQ$1006,0))&gt;=100000), " ",IF(INDEX($AB$2:$AQ$1001,MATCH(ROWS($U$2:U928),$U$2:$U$1001,0),MATCH(COLUMNS($AB$1006:AQ1006),$AB$1006:$AQ$1006,0)), HYPERLINK("#",""), HYPERLINK(CONCATENATE("#Metadata!", ADDRESS(INDEX($W$2:$W$1001,MATCH(ROWS($U$2:U928),$U$2:$U$1001,0),0), INDEX($AB$1004:$AQ$1004,1,MATCH(COLUMNS($AB$1006:AQ1006),$AB$1006:$AQ$1006,0)))),"Fix")))</f>
        <v>0</v>
      </c>
      <c r="U928">
        <v>0</v>
      </c>
      <c r="V928">
        <v>0</v>
      </c>
      <c r="W928">
        <v>0</v>
      </c>
      <c r="X928">
        <f>IF(Y928,TRUE,AND(AB928:AQ928))</f>
        <v>0</v>
      </c>
      <c r="Y928">
        <f>COUNTBLANK(Metadata!B928:Q928)=COLUMNS(Metadata!B928:Q928)</f>
        <v>0</v>
      </c>
      <c r="Z928">
        <v>0</v>
      </c>
      <c r="AB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AC928">
        <f>AND(IF(Metadata!C928="",FALSE,TRUE),exact(Metadata!C928,"urban biome"))</f>
        <v>0</v>
      </c>
      <c r="AD928">
        <f>AND(IF(Metadata!D928="",FALSE,TRUE),exact(Metadata!D928,"human-associated habitat"))</f>
        <v>0</v>
      </c>
      <c r="AE928">
        <f>AND(IF(Metadata!E928="",FALSE,TRUE),OR(exact(Metadata!E928,"human-associated"),exact(Metadata!E928,"human-skin"),exact(Metadata!E928,"human-oral"),exact(Metadata!E928,"human-gut"),exact(Metadata!E928,"human-vaginal")))</f>
        <v>0</v>
      </c>
      <c r="AF928">
        <f>AND(IF(Metadata!F928="",FALSE,ISNUMBER(VALUE(Metadata!F928))),Metadata!F928&gt;0)</f>
        <v>0</v>
      </c>
      <c r="AG928">
        <f>AND(IF(Metadata!G928="",FALSE,TRUE),exact(Metadata!G928,"years"))</f>
        <v>0</v>
      </c>
      <c r="AH928">
        <f>OR(AND(IF(Metadata!H928="",FALSE,TRUE),OR(exact(Metadata!H928,"not applicable"),exact(Metadata!H928,"not collected"),exact(Metadata!H928,"not provided"),exact(Metadata!H928,"restricted access"))),AND(IF(Metadata!H928="",FALSE,ISNUMBER(VALUE(Metadata!H928))),Metadata!H928&gt;0))</f>
        <v>0</v>
      </c>
      <c r="AI928">
        <f>AND(IF(Metadata!I928="",FALSE,TRUE),exact(Metadata!I928,"human"))</f>
        <v>0</v>
      </c>
      <c r="AJ928">
        <f>AND(IF(Metadata!J928="",FALSE,ISNUMBER(VALUE(Metadata!J928))),Metadata!J928&gt;0)</f>
        <v>0</v>
      </c>
      <c r="AK928">
        <f>AND(IF(Metadata!K928="",FALSE,TRUE),exact(Metadata!K928,"cm"))</f>
        <v>0</v>
      </c>
      <c r="AL928">
        <f>AND(IF(Metadata!L928="",FALSE,TRUE),exact(Metadata!L928,"Homo sapiens"))</f>
        <v>0</v>
      </c>
      <c r="AM928">
        <f>AND(IF(Metadata!M928="",FALSE,TRUE),exact(Metadata!M928,"9606"))</f>
        <v>0</v>
      </c>
      <c r="AN928">
        <f>AND(IF(Metadata!N928="",FALSE,ISNUMBER(VALUE(Metadata!N928))),Metadata!N928&gt;0)</f>
        <v>0</v>
      </c>
      <c r="AO928">
        <f>AND(IF(Metadata!O928="",FALSE,TRUE),exact(Metadata!O928,"kg"))</f>
        <v>0</v>
      </c>
      <c r="AP928">
        <f>OR(AND(IF(Metadata!P928="",FALSE,TRUE),exact(Metadata!P928,"not provided")),IF(Metadata!P928="",FALSE,TRUE))</f>
        <v>0</v>
      </c>
      <c r="AQ928">
        <f>OR(AND(IF(Metadata!Q928="",FALSE,TRUE),exact(Metadata!Q928,"not provided")),IF(Metadata!Q928="",FALSE,TRUE))</f>
        <v>0</v>
      </c>
    </row>
    <row r="929" spans="1:43">
      <c r="A929" s="4">
        <f>IF(B929=" "," ",HYPERLINK(CONCATENATE("#metadata!",ADDRESS(INDEX($W$2:$W$1001,MATCH(ROWS($U$2:U929),$U$2:$U$1001,0),0),2)),INDEX($Z$2:$Z$1001,MATCH(ROWS($U$2:U929),$U$2:$U$1001,0),0)))</f>
        <v>0</v>
      </c>
      <c r="B929" s="5">
        <f>IF(OR(INDEX($V$2:$V$1001,MATCH(ROWS($U$2:U929),$U$2:$U$1001,0),1)&gt;=100000,INDEX($AB$1005:$AQ$1005,1,MATCH(COLUMNS($AB$1006:AB1006),$AB$1006:$AQ$1006,0))&gt;=100000), " ",IF(INDEX($AB$2:$AQ$1001,MATCH(ROWS($U$2:U929),$U$2:$U$1001,0),MATCH(COLUMNS($AB$1006:AB1006),$AB$1006:$AQ$1006,0)), HYPERLINK("#",""), HYPERLINK(CONCATENATE("#Metadata!", ADDRESS(INDEX($W$2:$W$1001,MATCH(ROWS($U$2:U929),$U$2:$U$1001,0),0), INDEX($AB$1004:$AQ$1004,1,MATCH(COLUMNS($AB$1006:AB1006),$AB$1006:$AQ$1006,0)))),"Fix")))</f>
        <v>0</v>
      </c>
      <c r="C929" s="5">
        <f>IF(OR(INDEX($V$2:$V$1001,MATCH(ROWS($U$2:U929),$U$2:$U$1001,0),1)&gt;=100000,INDEX($AB$1005:$AQ$1005,1,MATCH(COLUMNS($AB$1006:AC1006),$AB$1006:$AQ$1006,0))&gt;=100000), " ",IF(INDEX($AB$2:$AQ$1001,MATCH(ROWS($U$2:U929),$U$2:$U$1001,0),MATCH(COLUMNS($AB$1006:AC1006),$AB$1006:$AQ$1006,0)), HYPERLINK("#",""), HYPERLINK(CONCATENATE("#Metadata!", ADDRESS(INDEX($W$2:$W$1001,MATCH(ROWS($U$2:U929),$U$2:$U$1001,0),0), INDEX($AB$1004:$AQ$1004,1,MATCH(COLUMNS($AB$1006:AC1006),$AB$1006:$AQ$1006,0)))),"Fix")))</f>
        <v>0</v>
      </c>
      <c r="D929" s="5">
        <f>IF(OR(INDEX($V$2:$V$1001,MATCH(ROWS($U$2:U929),$U$2:$U$1001,0),1)&gt;=100000,INDEX($AB$1005:$AQ$1005,1,MATCH(COLUMNS($AB$1006:AD1006),$AB$1006:$AQ$1006,0))&gt;=100000), " ",IF(INDEX($AB$2:$AQ$1001,MATCH(ROWS($U$2:U929),$U$2:$U$1001,0),MATCH(COLUMNS($AB$1006:AD1006),$AB$1006:$AQ$1006,0)), HYPERLINK("#",""), HYPERLINK(CONCATENATE("#Metadata!", ADDRESS(INDEX($W$2:$W$1001,MATCH(ROWS($U$2:U929),$U$2:$U$1001,0),0), INDEX($AB$1004:$AQ$1004,1,MATCH(COLUMNS($AB$1006:AD1006),$AB$1006:$AQ$1006,0)))),"Fix")))</f>
        <v>0</v>
      </c>
      <c r="E929" s="5">
        <f>IF(OR(INDEX($V$2:$V$1001,MATCH(ROWS($U$2:U929),$U$2:$U$1001,0),1)&gt;=100000,INDEX($AB$1005:$AQ$1005,1,MATCH(COLUMNS($AB$1006:AE1006),$AB$1006:$AQ$1006,0))&gt;=100000), " ",IF(INDEX($AB$2:$AQ$1001,MATCH(ROWS($U$2:U929),$U$2:$U$1001,0),MATCH(COLUMNS($AB$1006:AE1006),$AB$1006:$AQ$1006,0)), HYPERLINK("#",""), HYPERLINK(CONCATENATE("#Metadata!", ADDRESS(INDEX($W$2:$W$1001,MATCH(ROWS($U$2:U929),$U$2:$U$1001,0),0), INDEX($AB$1004:$AQ$1004,1,MATCH(COLUMNS($AB$1006:AE1006),$AB$1006:$AQ$1006,0)))),"Fix")))</f>
        <v>0</v>
      </c>
      <c r="F929" s="5">
        <f>IF(OR(INDEX($V$2:$V$1001,MATCH(ROWS($U$2:U929),$U$2:$U$1001,0),1)&gt;=100000,INDEX($AB$1005:$AQ$1005,1,MATCH(COLUMNS($AB$1006:AF1006),$AB$1006:$AQ$1006,0))&gt;=100000), " ",IF(INDEX($AB$2:$AQ$1001,MATCH(ROWS($U$2:U929),$U$2:$U$1001,0),MATCH(COLUMNS($AB$1006:AF1006),$AB$1006:$AQ$1006,0)), HYPERLINK("#",""), HYPERLINK(CONCATENATE("#Metadata!", ADDRESS(INDEX($W$2:$W$1001,MATCH(ROWS($U$2:U929),$U$2:$U$1001,0),0), INDEX($AB$1004:$AQ$1004,1,MATCH(COLUMNS($AB$1006:AF1006),$AB$1006:$AQ$1006,0)))),"Fix")))</f>
        <v>0</v>
      </c>
      <c r="G929" s="5">
        <f>IF(OR(INDEX($V$2:$V$1001,MATCH(ROWS($U$2:U929),$U$2:$U$1001,0),1)&gt;=100000,INDEX($AB$1005:$AQ$1005,1,MATCH(COLUMNS($AB$1006:AG1006),$AB$1006:$AQ$1006,0))&gt;=100000), " ",IF(INDEX($AB$2:$AQ$1001,MATCH(ROWS($U$2:U929),$U$2:$U$1001,0),MATCH(COLUMNS($AB$1006:AG1006),$AB$1006:$AQ$1006,0)), HYPERLINK("#",""), HYPERLINK(CONCATENATE("#Metadata!", ADDRESS(INDEX($W$2:$W$1001,MATCH(ROWS($U$2:U929),$U$2:$U$1001,0),0), INDEX($AB$1004:$AQ$1004,1,MATCH(COLUMNS($AB$1006:AG1006),$AB$1006:$AQ$1006,0)))),"Fix")))</f>
        <v>0</v>
      </c>
      <c r="H929" s="5">
        <f>IF(OR(INDEX($V$2:$V$1001,MATCH(ROWS($U$2:U929),$U$2:$U$1001,0),1)&gt;=100000,INDEX($AB$1005:$AQ$1005,1,MATCH(COLUMNS($AB$1006:AH1006),$AB$1006:$AQ$1006,0))&gt;=100000), " ",IF(INDEX($AB$2:$AQ$1001,MATCH(ROWS($U$2:U929),$U$2:$U$1001,0),MATCH(COLUMNS($AB$1006:AH1006),$AB$1006:$AQ$1006,0)), HYPERLINK("#",""), HYPERLINK(CONCATENATE("#Metadata!", ADDRESS(INDEX($W$2:$W$1001,MATCH(ROWS($U$2:U929),$U$2:$U$1001,0),0), INDEX($AB$1004:$AQ$1004,1,MATCH(COLUMNS($AB$1006:AH1006),$AB$1006:$AQ$1006,0)))),"Fix")))</f>
        <v>0</v>
      </c>
      <c r="I929" s="5">
        <f>IF(OR(INDEX($V$2:$V$1001,MATCH(ROWS($U$2:U929),$U$2:$U$1001,0),1)&gt;=100000,INDEX($AB$1005:$AQ$1005,1,MATCH(COLUMNS($AB$1006:AI1006),$AB$1006:$AQ$1006,0))&gt;=100000), " ",IF(INDEX($AB$2:$AQ$1001,MATCH(ROWS($U$2:U929),$U$2:$U$1001,0),MATCH(COLUMNS($AB$1006:AI1006),$AB$1006:$AQ$1006,0)), HYPERLINK("#",""), HYPERLINK(CONCATENATE("#Metadata!", ADDRESS(INDEX($W$2:$W$1001,MATCH(ROWS($U$2:U929),$U$2:$U$1001,0),0), INDEX($AB$1004:$AQ$1004,1,MATCH(COLUMNS($AB$1006:AI1006),$AB$1006:$AQ$1006,0)))),"Fix")))</f>
        <v>0</v>
      </c>
      <c r="J929" s="5">
        <f>IF(OR(INDEX($V$2:$V$1001,MATCH(ROWS($U$2:U929),$U$2:$U$1001,0),1)&gt;=100000,INDEX($AB$1005:$AQ$1005,1,MATCH(COLUMNS($AB$1006:AJ1006),$AB$1006:$AQ$1006,0))&gt;=100000), " ",IF(INDEX($AB$2:$AQ$1001,MATCH(ROWS($U$2:U929),$U$2:$U$1001,0),MATCH(COLUMNS($AB$1006:AJ1006),$AB$1006:$AQ$1006,0)), HYPERLINK("#",""), HYPERLINK(CONCATENATE("#Metadata!", ADDRESS(INDEX($W$2:$W$1001,MATCH(ROWS($U$2:U929),$U$2:$U$1001,0),0), INDEX($AB$1004:$AQ$1004,1,MATCH(COLUMNS($AB$1006:AJ1006),$AB$1006:$AQ$1006,0)))),"Fix")))</f>
        <v>0</v>
      </c>
      <c r="K929" s="5">
        <f>IF(OR(INDEX($V$2:$V$1001,MATCH(ROWS($U$2:U929),$U$2:$U$1001,0),1)&gt;=100000,INDEX($AB$1005:$AQ$1005,1,MATCH(COLUMNS($AB$1006:AK1006),$AB$1006:$AQ$1006,0))&gt;=100000), " ",IF(INDEX($AB$2:$AQ$1001,MATCH(ROWS($U$2:U929),$U$2:$U$1001,0),MATCH(COLUMNS($AB$1006:AK1006),$AB$1006:$AQ$1006,0)), HYPERLINK("#",""), HYPERLINK(CONCATENATE("#Metadata!", ADDRESS(INDEX($W$2:$W$1001,MATCH(ROWS($U$2:U929),$U$2:$U$1001,0),0), INDEX($AB$1004:$AQ$1004,1,MATCH(COLUMNS($AB$1006:AK1006),$AB$1006:$AQ$1006,0)))),"Fix")))</f>
        <v>0</v>
      </c>
      <c r="L929" s="5">
        <f>IF(OR(INDEX($V$2:$V$1001,MATCH(ROWS($U$2:U929),$U$2:$U$1001,0),1)&gt;=100000,INDEX($AB$1005:$AQ$1005,1,MATCH(COLUMNS($AB$1006:AL1006),$AB$1006:$AQ$1006,0))&gt;=100000), " ",IF(INDEX($AB$2:$AQ$1001,MATCH(ROWS($U$2:U929),$U$2:$U$1001,0),MATCH(COLUMNS($AB$1006:AL1006),$AB$1006:$AQ$1006,0)), HYPERLINK("#",""), HYPERLINK(CONCATENATE("#Metadata!", ADDRESS(INDEX($W$2:$W$1001,MATCH(ROWS($U$2:U929),$U$2:$U$1001,0),0), INDEX($AB$1004:$AQ$1004,1,MATCH(COLUMNS($AB$1006:AL1006),$AB$1006:$AQ$1006,0)))),"Fix")))</f>
        <v>0</v>
      </c>
      <c r="M929" s="5">
        <f>IF(OR(INDEX($V$2:$V$1001,MATCH(ROWS($U$2:U929),$U$2:$U$1001,0),1)&gt;=100000,INDEX($AB$1005:$AQ$1005,1,MATCH(COLUMNS($AB$1006:AM1006),$AB$1006:$AQ$1006,0))&gt;=100000), " ",IF(INDEX($AB$2:$AQ$1001,MATCH(ROWS($U$2:U929),$U$2:$U$1001,0),MATCH(COLUMNS($AB$1006:AM1006),$AB$1006:$AQ$1006,0)), HYPERLINK("#",""), HYPERLINK(CONCATENATE("#Metadata!", ADDRESS(INDEX($W$2:$W$1001,MATCH(ROWS($U$2:U929),$U$2:$U$1001,0),0), INDEX($AB$1004:$AQ$1004,1,MATCH(COLUMNS($AB$1006:AM1006),$AB$1006:$AQ$1006,0)))),"Fix")))</f>
        <v>0</v>
      </c>
      <c r="N929" s="5">
        <f>IF(OR(INDEX($V$2:$V$1001,MATCH(ROWS($U$2:U929),$U$2:$U$1001,0),1)&gt;=100000,INDEX($AB$1005:$AQ$1005,1,MATCH(COLUMNS($AB$1006:AN1006),$AB$1006:$AQ$1006,0))&gt;=100000), " ",IF(INDEX($AB$2:$AQ$1001,MATCH(ROWS($U$2:U929),$U$2:$U$1001,0),MATCH(COLUMNS($AB$1006:AN1006),$AB$1006:$AQ$1006,0)), HYPERLINK("#",""), HYPERLINK(CONCATENATE("#Metadata!", ADDRESS(INDEX($W$2:$W$1001,MATCH(ROWS($U$2:U929),$U$2:$U$1001,0),0), INDEX($AB$1004:$AQ$1004,1,MATCH(COLUMNS($AB$1006:AN1006),$AB$1006:$AQ$1006,0)))),"Fix")))</f>
        <v>0</v>
      </c>
      <c r="O929" s="5">
        <f>IF(OR(INDEX($V$2:$V$1001,MATCH(ROWS($U$2:U929),$U$2:$U$1001,0),1)&gt;=100000,INDEX($AB$1005:$AQ$1005,1,MATCH(COLUMNS($AB$1006:AO1006),$AB$1006:$AQ$1006,0))&gt;=100000), " ",IF(INDEX($AB$2:$AQ$1001,MATCH(ROWS($U$2:U929),$U$2:$U$1001,0),MATCH(COLUMNS($AB$1006:AO1006),$AB$1006:$AQ$1006,0)), HYPERLINK("#",""), HYPERLINK(CONCATENATE("#Metadata!", ADDRESS(INDEX($W$2:$W$1001,MATCH(ROWS($U$2:U929),$U$2:$U$1001,0),0), INDEX($AB$1004:$AQ$1004,1,MATCH(COLUMNS($AB$1006:AO1006),$AB$1006:$AQ$1006,0)))),"Fix")))</f>
        <v>0</v>
      </c>
      <c r="P929" s="5">
        <f>IF(OR(INDEX($V$2:$V$1001,MATCH(ROWS($U$2:U929),$U$2:$U$1001,0),1)&gt;=100000,INDEX($AB$1005:$AQ$1005,1,MATCH(COLUMNS($AB$1006:AP1006),$AB$1006:$AQ$1006,0))&gt;=100000), " ",IF(INDEX($AB$2:$AQ$1001,MATCH(ROWS($U$2:U929),$U$2:$U$1001,0),MATCH(COLUMNS($AB$1006:AP1006),$AB$1006:$AQ$1006,0)), HYPERLINK("#",""), HYPERLINK(CONCATENATE("#Metadata!", ADDRESS(INDEX($W$2:$W$1001,MATCH(ROWS($U$2:U929),$U$2:$U$1001,0),0), INDEX($AB$1004:$AQ$1004,1,MATCH(COLUMNS($AB$1006:AP1006),$AB$1006:$AQ$1006,0)))),"Fix")))</f>
        <v>0</v>
      </c>
      <c r="Q929" s="5">
        <f>IF(OR(INDEX($V$2:$V$1001,MATCH(ROWS($U$2:U929),$U$2:$U$1001,0),1)&gt;=100000,INDEX($AB$1005:$AQ$1005,1,MATCH(COLUMNS($AB$1006:AQ1006),$AB$1006:$AQ$1006,0))&gt;=100000), " ",IF(INDEX($AB$2:$AQ$1001,MATCH(ROWS($U$2:U929),$U$2:$U$1001,0),MATCH(COLUMNS($AB$1006:AQ1006),$AB$1006:$AQ$1006,0)), HYPERLINK("#",""), HYPERLINK(CONCATENATE("#Metadata!", ADDRESS(INDEX($W$2:$W$1001,MATCH(ROWS($U$2:U929),$U$2:$U$1001,0),0), INDEX($AB$1004:$AQ$1004,1,MATCH(COLUMNS($AB$1006:AQ1006),$AB$1006:$AQ$1006,0)))),"Fix")))</f>
        <v>0</v>
      </c>
      <c r="U929">
        <v>0</v>
      </c>
      <c r="V929">
        <v>0</v>
      </c>
      <c r="W929">
        <v>0</v>
      </c>
      <c r="X929">
        <f>IF(Y929,TRUE,AND(AB929:AQ929))</f>
        <v>0</v>
      </c>
      <c r="Y929">
        <f>COUNTBLANK(Metadata!B929:Q929)=COLUMNS(Metadata!B929:Q929)</f>
        <v>0</v>
      </c>
      <c r="Z929">
        <v>0</v>
      </c>
      <c r="AB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AC929">
        <f>AND(IF(Metadata!C929="",FALSE,TRUE),exact(Metadata!C929,"urban biome"))</f>
        <v>0</v>
      </c>
      <c r="AD929">
        <f>AND(IF(Metadata!D929="",FALSE,TRUE),exact(Metadata!D929,"human-associated habitat"))</f>
        <v>0</v>
      </c>
      <c r="AE929">
        <f>AND(IF(Metadata!E929="",FALSE,TRUE),OR(exact(Metadata!E929,"human-associated"),exact(Metadata!E929,"human-skin"),exact(Metadata!E929,"human-oral"),exact(Metadata!E929,"human-gut"),exact(Metadata!E929,"human-vaginal")))</f>
        <v>0</v>
      </c>
      <c r="AF929">
        <f>AND(IF(Metadata!F929="",FALSE,ISNUMBER(VALUE(Metadata!F929))),Metadata!F929&gt;0)</f>
        <v>0</v>
      </c>
      <c r="AG929">
        <f>AND(IF(Metadata!G929="",FALSE,TRUE),exact(Metadata!G929,"years"))</f>
        <v>0</v>
      </c>
      <c r="AH929">
        <f>OR(AND(IF(Metadata!H929="",FALSE,TRUE),OR(exact(Metadata!H929,"not applicable"),exact(Metadata!H929,"not collected"),exact(Metadata!H929,"not provided"),exact(Metadata!H929,"restricted access"))),AND(IF(Metadata!H929="",FALSE,ISNUMBER(VALUE(Metadata!H929))),Metadata!H929&gt;0))</f>
        <v>0</v>
      </c>
      <c r="AI929">
        <f>AND(IF(Metadata!I929="",FALSE,TRUE),exact(Metadata!I929,"human"))</f>
        <v>0</v>
      </c>
      <c r="AJ929">
        <f>AND(IF(Metadata!J929="",FALSE,ISNUMBER(VALUE(Metadata!J929))),Metadata!J929&gt;0)</f>
        <v>0</v>
      </c>
      <c r="AK929">
        <f>AND(IF(Metadata!K929="",FALSE,TRUE),exact(Metadata!K929,"cm"))</f>
        <v>0</v>
      </c>
      <c r="AL929">
        <f>AND(IF(Metadata!L929="",FALSE,TRUE),exact(Metadata!L929,"Homo sapiens"))</f>
        <v>0</v>
      </c>
      <c r="AM929">
        <f>AND(IF(Metadata!M929="",FALSE,TRUE),exact(Metadata!M929,"9606"))</f>
        <v>0</v>
      </c>
      <c r="AN929">
        <f>AND(IF(Metadata!N929="",FALSE,ISNUMBER(VALUE(Metadata!N929))),Metadata!N929&gt;0)</f>
        <v>0</v>
      </c>
      <c r="AO929">
        <f>AND(IF(Metadata!O929="",FALSE,TRUE),exact(Metadata!O929,"kg"))</f>
        <v>0</v>
      </c>
      <c r="AP929">
        <f>OR(AND(IF(Metadata!P929="",FALSE,TRUE),exact(Metadata!P929,"not provided")),IF(Metadata!P929="",FALSE,TRUE))</f>
        <v>0</v>
      </c>
      <c r="AQ929">
        <f>OR(AND(IF(Metadata!Q929="",FALSE,TRUE),exact(Metadata!Q929,"not provided")),IF(Metadata!Q929="",FALSE,TRUE))</f>
        <v>0</v>
      </c>
    </row>
    <row r="930" spans="1:43">
      <c r="A930" s="4">
        <f>IF(B930=" "," ",HYPERLINK(CONCATENATE("#metadata!",ADDRESS(INDEX($W$2:$W$1001,MATCH(ROWS($U$2:U930),$U$2:$U$1001,0),0),2)),INDEX($Z$2:$Z$1001,MATCH(ROWS($U$2:U930),$U$2:$U$1001,0),0)))</f>
        <v>0</v>
      </c>
      <c r="B930" s="5">
        <f>IF(OR(INDEX($V$2:$V$1001,MATCH(ROWS($U$2:U930),$U$2:$U$1001,0),1)&gt;=100000,INDEX($AB$1005:$AQ$1005,1,MATCH(COLUMNS($AB$1006:AB1006),$AB$1006:$AQ$1006,0))&gt;=100000), " ",IF(INDEX($AB$2:$AQ$1001,MATCH(ROWS($U$2:U930),$U$2:$U$1001,0),MATCH(COLUMNS($AB$1006:AB1006),$AB$1006:$AQ$1006,0)), HYPERLINK("#",""), HYPERLINK(CONCATENATE("#Metadata!", ADDRESS(INDEX($W$2:$W$1001,MATCH(ROWS($U$2:U930),$U$2:$U$1001,0),0), INDEX($AB$1004:$AQ$1004,1,MATCH(COLUMNS($AB$1006:AB1006),$AB$1006:$AQ$1006,0)))),"Fix")))</f>
        <v>0</v>
      </c>
      <c r="C930" s="5">
        <f>IF(OR(INDEX($V$2:$V$1001,MATCH(ROWS($U$2:U930),$U$2:$U$1001,0),1)&gt;=100000,INDEX($AB$1005:$AQ$1005,1,MATCH(COLUMNS($AB$1006:AC1006),$AB$1006:$AQ$1006,0))&gt;=100000), " ",IF(INDEX($AB$2:$AQ$1001,MATCH(ROWS($U$2:U930),$U$2:$U$1001,0),MATCH(COLUMNS($AB$1006:AC1006),$AB$1006:$AQ$1006,0)), HYPERLINK("#",""), HYPERLINK(CONCATENATE("#Metadata!", ADDRESS(INDEX($W$2:$W$1001,MATCH(ROWS($U$2:U930),$U$2:$U$1001,0),0), INDEX($AB$1004:$AQ$1004,1,MATCH(COLUMNS($AB$1006:AC1006),$AB$1006:$AQ$1006,0)))),"Fix")))</f>
        <v>0</v>
      </c>
      <c r="D930" s="5">
        <f>IF(OR(INDEX($V$2:$V$1001,MATCH(ROWS($U$2:U930),$U$2:$U$1001,0),1)&gt;=100000,INDEX($AB$1005:$AQ$1005,1,MATCH(COLUMNS($AB$1006:AD1006),$AB$1006:$AQ$1006,0))&gt;=100000), " ",IF(INDEX($AB$2:$AQ$1001,MATCH(ROWS($U$2:U930),$U$2:$U$1001,0),MATCH(COLUMNS($AB$1006:AD1006),$AB$1006:$AQ$1006,0)), HYPERLINK("#",""), HYPERLINK(CONCATENATE("#Metadata!", ADDRESS(INDEX($W$2:$W$1001,MATCH(ROWS($U$2:U930),$U$2:$U$1001,0),0), INDEX($AB$1004:$AQ$1004,1,MATCH(COLUMNS($AB$1006:AD1006),$AB$1006:$AQ$1006,0)))),"Fix")))</f>
        <v>0</v>
      </c>
      <c r="E930" s="5">
        <f>IF(OR(INDEX($V$2:$V$1001,MATCH(ROWS($U$2:U930),$U$2:$U$1001,0),1)&gt;=100000,INDEX($AB$1005:$AQ$1005,1,MATCH(COLUMNS($AB$1006:AE1006),$AB$1006:$AQ$1006,0))&gt;=100000), " ",IF(INDEX($AB$2:$AQ$1001,MATCH(ROWS($U$2:U930),$U$2:$U$1001,0),MATCH(COLUMNS($AB$1006:AE1006),$AB$1006:$AQ$1006,0)), HYPERLINK("#",""), HYPERLINK(CONCATENATE("#Metadata!", ADDRESS(INDEX($W$2:$W$1001,MATCH(ROWS($U$2:U930),$U$2:$U$1001,0),0), INDEX($AB$1004:$AQ$1004,1,MATCH(COLUMNS($AB$1006:AE1006),$AB$1006:$AQ$1006,0)))),"Fix")))</f>
        <v>0</v>
      </c>
      <c r="F930" s="5">
        <f>IF(OR(INDEX($V$2:$V$1001,MATCH(ROWS($U$2:U930),$U$2:$U$1001,0),1)&gt;=100000,INDEX($AB$1005:$AQ$1005,1,MATCH(COLUMNS($AB$1006:AF1006),$AB$1006:$AQ$1006,0))&gt;=100000), " ",IF(INDEX($AB$2:$AQ$1001,MATCH(ROWS($U$2:U930),$U$2:$U$1001,0),MATCH(COLUMNS($AB$1006:AF1006),$AB$1006:$AQ$1006,0)), HYPERLINK("#",""), HYPERLINK(CONCATENATE("#Metadata!", ADDRESS(INDEX($W$2:$W$1001,MATCH(ROWS($U$2:U930),$U$2:$U$1001,0),0), INDEX($AB$1004:$AQ$1004,1,MATCH(COLUMNS($AB$1006:AF1006),$AB$1006:$AQ$1006,0)))),"Fix")))</f>
        <v>0</v>
      </c>
      <c r="G930" s="5">
        <f>IF(OR(INDEX($V$2:$V$1001,MATCH(ROWS($U$2:U930),$U$2:$U$1001,0),1)&gt;=100000,INDEX($AB$1005:$AQ$1005,1,MATCH(COLUMNS($AB$1006:AG1006),$AB$1006:$AQ$1006,0))&gt;=100000), " ",IF(INDEX($AB$2:$AQ$1001,MATCH(ROWS($U$2:U930),$U$2:$U$1001,0),MATCH(COLUMNS($AB$1006:AG1006),$AB$1006:$AQ$1006,0)), HYPERLINK("#",""), HYPERLINK(CONCATENATE("#Metadata!", ADDRESS(INDEX($W$2:$W$1001,MATCH(ROWS($U$2:U930),$U$2:$U$1001,0),0), INDEX($AB$1004:$AQ$1004,1,MATCH(COLUMNS($AB$1006:AG1006),$AB$1006:$AQ$1006,0)))),"Fix")))</f>
        <v>0</v>
      </c>
      <c r="H930" s="5">
        <f>IF(OR(INDEX($V$2:$V$1001,MATCH(ROWS($U$2:U930),$U$2:$U$1001,0),1)&gt;=100000,INDEX($AB$1005:$AQ$1005,1,MATCH(COLUMNS($AB$1006:AH1006),$AB$1006:$AQ$1006,0))&gt;=100000), " ",IF(INDEX($AB$2:$AQ$1001,MATCH(ROWS($U$2:U930),$U$2:$U$1001,0),MATCH(COLUMNS($AB$1006:AH1006),$AB$1006:$AQ$1006,0)), HYPERLINK("#",""), HYPERLINK(CONCATENATE("#Metadata!", ADDRESS(INDEX($W$2:$W$1001,MATCH(ROWS($U$2:U930),$U$2:$U$1001,0),0), INDEX($AB$1004:$AQ$1004,1,MATCH(COLUMNS($AB$1006:AH1006),$AB$1006:$AQ$1006,0)))),"Fix")))</f>
        <v>0</v>
      </c>
      <c r="I930" s="5">
        <f>IF(OR(INDEX($V$2:$V$1001,MATCH(ROWS($U$2:U930),$U$2:$U$1001,0),1)&gt;=100000,INDEX($AB$1005:$AQ$1005,1,MATCH(COLUMNS($AB$1006:AI1006),$AB$1006:$AQ$1006,0))&gt;=100000), " ",IF(INDEX($AB$2:$AQ$1001,MATCH(ROWS($U$2:U930),$U$2:$U$1001,0),MATCH(COLUMNS($AB$1006:AI1006),$AB$1006:$AQ$1006,0)), HYPERLINK("#",""), HYPERLINK(CONCATENATE("#Metadata!", ADDRESS(INDEX($W$2:$W$1001,MATCH(ROWS($U$2:U930),$U$2:$U$1001,0),0), INDEX($AB$1004:$AQ$1004,1,MATCH(COLUMNS($AB$1006:AI1006),$AB$1006:$AQ$1006,0)))),"Fix")))</f>
        <v>0</v>
      </c>
      <c r="J930" s="5">
        <f>IF(OR(INDEX($V$2:$V$1001,MATCH(ROWS($U$2:U930),$U$2:$U$1001,0),1)&gt;=100000,INDEX($AB$1005:$AQ$1005,1,MATCH(COLUMNS($AB$1006:AJ1006),$AB$1006:$AQ$1006,0))&gt;=100000), " ",IF(INDEX($AB$2:$AQ$1001,MATCH(ROWS($U$2:U930),$U$2:$U$1001,0),MATCH(COLUMNS($AB$1006:AJ1006),$AB$1006:$AQ$1006,0)), HYPERLINK("#",""), HYPERLINK(CONCATENATE("#Metadata!", ADDRESS(INDEX($W$2:$W$1001,MATCH(ROWS($U$2:U930),$U$2:$U$1001,0),0), INDEX($AB$1004:$AQ$1004,1,MATCH(COLUMNS($AB$1006:AJ1006),$AB$1006:$AQ$1006,0)))),"Fix")))</f>
        <v>0</v>
      </c>
      <c r="K930" s="5">
        <f>IF(OR(INDEX($V$2:$V$1001,MATCH(ROWS($U$2:U930),$U$2:$U$1001,0),1)&gt;=100000,INDEX($AB$1005:$AQ$1005,1,MATCH(COLUMNS($AB$1006:AK1006),$AB$1006:$AQ$1006,0))&gt;=100000), " ",IF(INDEX($AB$2:$AQ$1001,MATCH(ROWS($U$2:U930),$U$2:$U$1001,0),MATCH(COLUMNS($AB$1006:AK1006),$AB$1006:$AQ$1006,0)), HYPERLINK("#",""), HYPERLINK(CONCATENATE("#Metadata!", ADDRESS(INDEX($W$2:$W$1001,MATCH(ROWS($U$2:U930),$U$2:$U$1001,0),0), INDEX($AB$1004:$AQ$1004,1,MATCH(COLUMNS($AB$1006:AK1006),$AB$1006:$AQ$1006,0)))),"Fix")))</f>
        <v>0</v>
      </c>
      <c r="L930" s="5">
        <f>IF(OR(INDEX($V$2:$V$1001,MATCH(ROWS($U$2:U930),$U$2:$U$1001,0),1)&gt;=100000,INDEX($AB$1005:$AQ$1005,1,MATCH(COLUMNS($AB$1006:AL1006),$AB$1006:$AQ$1006,0))&gt;=100000), " ",IF(INDEX($AB$2:$AQ$1001,MATCH(ROWS($U$2:U930),$U$2:$U$1001,0),MATCH(COLUMNS($AB$1006:AL1006),$AB$1006:$AQ$1006,0)), HYPERLINK("#",""), HYPERLINK(CONCATENATE("#Metadata!", ADDRESS(INDEX($W$2:$W$1001,MATCH(ROWS($U$2:U930),$U$2:$U$1001,0),0), INDEX($AB$1004:$AQ$1004,1,MATCH(COLUMNS($AB$1006:AL1006),$AB$1006:$AQ$1006,0)))),"Fix")))</f>
        <v>0</v>
      </c>
      <c r="M930" s="5">
        <f>IF(OR(INDEX($V$2:$V$1001,MATCH(ROWS($U$2:U930),$U$2:$U$1001,0),1)&gt;=100000,INDEX($AB$1005:$AQ$1005,1,MATCH(COLUMNS($AB$1006:AM1006),$AB$1006:$AQ$1006,0))&gt;=100000), " ",IF(INDEX($AB$2:$AQ$1001,MATCH(ROWS($U$2:U930),$U$2:$U$1001,0),MATCH(COLUMNS($AB$1006:AM1006),$AB$1006:$AQ$1006,0)), HYPERLINK("#",""), HYPERLINK(CONCATENATE("#Metadata!", ADDRESS(INDEX($W$2:$W$1001,MATCH(ROWS($U$2:U930),$U$2:$U$1001,0),0), INDEX($AB$1004:$AQ$1004,1,MATCH(COLUMNS($AB$1006:AM1006),$AB$1006:$AQ$1006,0)))),"Fix")))</f>
        <v>0</v>
      </c>
      <c r="N930" s="5">
        <f>IF(OR(INDEX($V$2:$V$1001,MATCH(ROWS($U$2:U930),$U$2:$U$1001,0),1)&gt;=100000,INDEX($AB$1005:$AQ$1005,1,MATCH(COLUMNS($AB$1006:AN1006),$AB$1006:$AQ$1006,0))&gt;=100000), " ",IF(INDEX($AB$2:$AQ$1001,MATCH(ROWS($U$2:U930),$U$2:$U$1001,0),MATCH(COLUMNS($AB$1006:AN1006),$AB$1006:$AQ$1006,0)), HYPERLINK("#",""), HYPERLINK(CONCATENATE("#Metadata!", ADDRESS(INDEX($W$2:$W$1001,MATCH(ROWS($U$2:U930),$U$2:$U$1001,0),0), INDEX($AB$1004:$AQ$1004,1,MATCH(COLUMNS($AB$1006:AN1006),$AB$1006:$AQ$1006,0)))),"Fix")))</f>
        <v>0</v>
      </c>
      <c r="O930" s="5">
        <f>IF(OR(INDEX($V$2:$V$1001,MATCH(ROWS($U$2:U930),$U$2:$U$1001,0),1)&gt;=100000,INDEX($AB$1005:$AQ$1005,1,MATCH(COLUMNS($AB$1006:AO1006),$AB$1006:$AQ$1006,0))&gt;=100000), " ",IF(INDEX($AB$2:$AQ$1001,MATCH(ROWS($U$2:U930),$U$2:$U$1001,0),MATCH(COLUMNS($AB$1006:AO1006),$AB$1006:$AQ$1006,0)), HYPERLINK("#",""), HYPERLINK(CONCATENATE("#Metadata!", ADDRESS(INDEX($W$2:$W$1001,MATCH(ROWS($U$2:U930),$U$2:$U$1001,0),0), INDEX($AB$1004:$AQ$1004,1,MATCH(COLUMNS($AB$1006:AO1006),$AB$1006:$AQ$1006,0)))),"Fix")))</f>
        <v>0</v>
      </c>
      <c r="P930" s="5">
        <f>IF(OR(INDEX($V$2:$V$1001,MATCH(ROWS($U$2:U930),$U$2:$U$1001,0),1)&gt;=100000,INDEX($AB$1005:$AQ$1005,1,MATCH(COLUMNS($AB$1006:AP1006),$AB$1006:$AQ$1006,0))&gt;=100000), " ",IF(INDEX($AB$2:$AQ$1001,MATCH(ROWS($U$2:U930),$U$2:$U$1001,0),MATCH(COLUMNS($AB$1006:AP1006),$AB$1006:$AQ$1006,0)), HYPERLINK("#",""), HYPERLINK(CONCATENATE("#Metadata!", ADDRESS(INDEX($W$2:$W$1001,MATCH(ROWS($U$2:U930),$U$2:$U$1001,0),0), INDEX($AB$1004:$AQ$1004,1,MATCH(COLUMNS($AB$1006:AP1006),$AB$1006:$AQ$1006,0)))),"Fix")))</f>
        <v>0</v>
      </c>
      <c r="Q930" s="5">
        <f>IF(OR(INDEX($V$2:$V$1001,MATCH(ROWS($U$2:U930),$U$2:$U$1001,0),1)&gt;=100000,INDEX($AB$1005:$AQ$1005,1,MATCH(COLUMNS($AB$1006:AQ1006),$AB$1006:$AQ$1006,0))&gt;=100000), " ",IF(INDEX($AB$2:$AQ$1001,MATCH(ROWS($U$2:U930),$U$2:$U$1001,0),MATCH(COLUMNS($AB$1006:AQ1006),$AB$1006:$AQ$1006,0)), HYPERLINK("#",""), HYPERLINK(CONCATENATE("#Metadata!", ADDRESS(INDEX($W$2:$W$1001,MATCH(ROWS($U$2:U930),$U$2:$U$1001,0),0), INDEX($AB$1004:$AQ$1004,1,MATCH(COLUMNS($AB$1006:AQ1006),$AB$1006:$AQ$1006,0)))),"Fix")))</f>
        <v>0</v>
      </c>
      <c r="U930">
        <v>0</v>
      </c>
      <c r="V930">
        <v>0</v>
      </c>
      <c r="W930">
        <v>0</v>
      </c>
      <c r="X930">
        <f>IF(Y930,TRUE,AND(AB930:AQ930))</f>
        <v>0</v>
      </c>
      <c r="Y930">
        <f>COUNTBLANK(Metadata!B930:Q930)=COLUMNS(Metadata!B930:Q930)</f>
        <v>0</v>
      </c>
      <c r="Z930">
        <v>0</v>
      </c>
      <c r="AB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AC930">
        <f>AND(IF(Metadata!C930="",FALSE,TRUE),exact(Metadata!C930,"urban biome"))</f>
        <v>0</v>
      </c>
      <c r="AD930">
        <f>AND(IF(Metadata!D930="",FALSE,TRUE),exact(Metadata!D930,"human-associated habitat"))</f>
        <v>0</v>
      </c>
      <c r="AE930">
        <f>AND(IF(Metadata!E930="",FALSE,TRUE),OR(exact(Metadata!E930,"human-associated"),exact(Metadata!E930,"human-skin"),exact(Metadata!E930,"human-oral"),exact(Metadata!E930,"human-gut"),exact(Metadata!E930,"human-vaginal")))</f>
        <v>0</v>
      </c>
      <c r="AF930">
        <f>AND(IF(Metadata!F930="",FALSE,ISNUMBER(VALUE(Metadata!F930))),Metadata!F930&gt;0)</f>
        <v>0</v>
      </c>
      <c r="AG930">
        <f>AND(IF(Metadata!G930="",FALSE,TRUE),exact(Metadata!G930,"years"))</f>
        <v>0</v>
      </c>
      <c r="AH930">
        <f>OR(AND(IF(Metadata!H930="",FALSE,TRUE),OR(exact(Metadata!H930,"not applicable"),exact(Metadata!H930,"not collected"),exact(Metadata!H930,"not provided"),exact(Metadata!H930,"restricted access"))),AND(IF(Metadata!H930="",FALSE,ISNUMBER(VALUE(Metadata!H930))),Metadata!H930&gt;0))</f>
        <v>0</v>
      </c>
      <c r="AI930">
        <f>AND(IF(Metadata!I930="",FALSE,TRUE),exact(Metadata!I930,"human"))</f>
        <v>0</v>
      </c>
      <c r="AJ930">
        <f>AND(IF(Metadata!J930="",FALSE,ISNUMBER(VALUE(Metadata!J930))),Metadata!J930&gt;0)</f>
        <v>0</v>
      </c>
      <c r="AK930">
        <f>AND(IF(Metadata!K930="",FALSE,TRUE),exact(Metadata!K930,"cm"))</f>
        <v>0</v>
      </c>
      <c r="AL930">
        <f>AND(IF(Metadata!L930="",FALSE,TRUE),exact(Metadata!L930,"Homo sapiens"))</f>
        <v>0</v>
      </c>
      <c r="AM930">
        <f>AND(IF(Metadata!M930="",FALSE,TRUE),exact(Metadata!M930,"9606"))</f>
        <v>0</v>
      </c>
      <c r="AN930">
        <f>AND(IF(Metadata!N930="",FALSE,ISNUMBER(VALUE(Metadata!N930))),Metadata!N930&gt;0)</f>
        <v>0</v>
      </c>
      <c r="AO930">
        <f>AND(IF(Metadata!O930="",FALSE,TRUE),exact(Metadata!O930,"kg"))</f>
        <v>0</v>
      </c>
      <c r="AP930">
        <f>OR(AND(IF(Metadata!P930="",FALSE,TRUE),exact(Metadata!P930,"not provided")),IF(Metadata!P930="",FALSE,TRUE))</f>
        <v>0</v>
      </c>
      <c r="AQ930">
        <f>OR(AND(IF(Metadata!Q930="",FALSE,TRUE),exact(Metadata!Q930,"not provided")),IF(Metadata!Q930="",FALSE,TRUE))</f>
        <v>0</v>
      </c>
    </row>
    <row r="931" spans="1:43">
      <c r="A931" s="4">
        <f>IF(B931=" "," ",HYPERLINK(CONCATENATE("#metadata!",ADDRESS(INDEX($W$2:$W$1001,MATCH(ROWS($U$2:U931),$U$2:$U$1001,0),0),2)),INDEX($Z$2:$Z$1001,MATCH(ROWS($U$2:U931),$U$2:$U$1001,0),0)))</f>
        <v>0</v>
      </c>
      <c r="B931" s="5">
        <f>IF(OR(INDEX($V$2:$V$1001,MATCH(ROWS($U$2:U931),$U$2:$U$1001,0),1)&gt;=100000,INDEX($AB$1005:$AQ$1005,1,MATCH(COLUMNS($AB$1006:AB1006),$AB$1006:$AQ$1006,0))&gt;=100000), " ",IF(INDEX($AB$2:$AQ$1001,MATCH(ROWS($U$2:U931),$U$2:$U$1001,0),MATCH(COLUMNS($AB$1006:AB1006),$AB$1006:$AQ$1006,0)), HYPERLINK("#",""), HYPERLINK(CONCATENATE("#Metadata!", ADDRESS(INDEX($W$2:$W$1001,MATCH(ROWS($U$2:U931),$U$2:$U$1001,0),0), INDEX($AB$1004:$AQ$1004,1,MATCH(COLUMNS($AB$1006:AB1006),$AB$1006:$AQ$1006,0)))),"Fix")))</f>
        <v>0</v>
      </c>
      <c r="C931" s="5">
        <f>IF(OR(INDEX($V$2:$V$1001,MATCH(ROWS($U$2:U931),$U$2:$U$1001,0),1)&gt;=100000,INDEX($AB$1005:$AQ$1005,1,MATCH(COLUMNS($AB$1006:AC1006),$AB$1006:$AQ$1006,0))&gt;=100000), " ",IF(INDEX($AB$2:$AQ$1001,MATCH(ROWS($U$2:U931),$U$2:$U$1001,0),MATCH(COLUMNS($AB$1006:AC1006),$AB$1006:$AQ$1006,0)), HYPERLINK("#",""), HYPERLINK(CONCATENATE("#Metadata!", ADDRESS(INDEX($W$2:$W$1001,MATCH(ROWS($U$2:U931),$U$2:$U$1001,0),0), INDEX($AB$1004:$AQ$1004,1,MATCH(COLUMNS($AB$1006:AC1006),$AB$1006:$AQ$1006,0)))),"Fix")))</f>
        <v>0</v>
      </c>
      <c r="D931" s="5">
        <f>IF(OR(INDEX($V$2:$V$1001,MATCH(ROWS($U$2:U931),$U$2:$U$1001,0),1)&gt;=100000,INDEX($AB$1005:$AQ$1005,1,MATCH(COLUMNS($AB$1006:AD1006),$AB$1006:$AQ$1006,0))&gt;=100000), " ",IF(INDEX($AB$2:$AQ$1001,MATCH(ROWS($U$2:U931),$U$2:$U$1001,0),MATCH(COLUMNS($AB$1006:AD1006),$AB$1006:$AQ$1006,0)), HYPERLINK("#",""), HYPERLINK(CONCATENATE("#Metadata!", ADDRESS(INDEX($W$2:$W$1001,MATCH(ROWS($U$2:U931),$U$2:$U$1001,0),0), INDEX($AB$1004:$AQ$1004,1,MATCH(COLUMNS($AB$1006:AD1006),$AB$1006:$AQ$1006,0)))),"Fix")))</f>
        <v>0</v>
      </c>
      <c r="E931" s="5">
        <f>IF(OR(INDEX($V$2:$V$1001,MATCH(ROWS($U$2:U931),$U$2:$U$1001,0),1)&gt;=100000,INDEX($AB$1005:$AQ$1005,1,MATCH(COLUMNS($AB$1006:AE1006),$AB$1006:$AQ$1006,0))&gt;=100000), " ",IF(INDEX($AB$2:$AQ$1001,MATCH(ROWS($U$2:U931),$U$2:$U$1001,0),MATCH(COLUMNS($AB$1006:AE1006),$AB$1006:$AQ$1006,0)), HYPERLINK("#",""), HYPERLINK(CONCATENATE("#Metadata!", ADDRESS(INDEX($W$2:$W$1001,MATCH(ROWS($U$2:U931),$U$2:$U$1001,0),0), INDEX($AB$1004:$AQ$1004,1,MATCH(COLUMNS($AB$1006:AE1006),$AB$1006:$AQ$1006,0)))),"Fix")))</f>
        <v>0</v>
      </c>
      <c r="F931" s="5">
        <f>IF(OR(INDEX($V$2:$V$1001,MATCH(ROWS($U$2:U931),$U$2:$U$1001,0),1)&gt;=100000,INDEX($AB$1005:$AQ$1005,1,MATCH(COLUMNS($AB$1006:AF1006),$AB$1006:$AQ$1006,0))&gt;=100000), " ",IF(INDEX($AB$2:$AQ$1001,MATCH(ROWS($U$2:U931),$U$2:$U$1001,0),MATCH(COLUMNS($AB$1006:AF1006),$AB$1006:$AQ$1006,0)), HYPERLINK("#",""), HYPERLINK(CONCATENATE("#Metadata!", ADDRESS(INDEX($W$2:$W$1001,MATCH(ROWS($U$2:U931),$U$2:$U$1001,0),0), INDEX($AB$1004:$AQ$1004,1,MATCH(COLUMNS($AB$1006:AF1006),$AB$1006:$AQ$1006,0)))),"Fix")))</f>
        <v>0</v>
      </c>
      <c r="G931" s="5">
        <f>IF(OR(INDEX($V$2:$V$1001,MATCH(ROWS($U$2:U931),$U$2:$U$1001,0),1)&gt;=100000,INDEX($AB$1005:$AQ$1005,1,MATCH(COLUMNS($AB$1006:AG1006),$AB$1006:$AQ$1006,0))&gt;=100000), " ",IF(INDEX($AB$2:$AQ$1001,MATCH(ROWS($U$2:U931),$U$2:$U$1001,0),MATCH(COLUMNS($AB$1006:AG1006),$AB$1006:$AQ$1006,0)), HYPERLINK("#",""), HYPERLINK(CONCATENATE("#Metadata!", ADDRESS(INDEX($W$2:$W$1001,MATCH(ROWS($U$2:U931),$U$2:$U$1001,0),0), INDEX($AB$1004:$AQ$1004,1,MATCH(COLUMNS($AB$1006:AG1006),$AB$1006:$AQ$1006,0)))),"Fix")))</f>
        <v>0</v>
      </c>
      <c r="H931" s="5">
        <f>IF(OR(INDEX($V$2:$V$1001,MATCH(ROWS($U$2:U931),$U$2:$U$1001,0),1)&gt;=100000,INDEX($AB$1005:$AQ$1005,1,MATCH(COLUMNS($AB$1006:AH1006),$AB$1006:$AQ$1006,0))&gt;=100000), " ",IF(INDEX($AB$2:$AQ$1001,MATCH(ROWS($U$2:U931),$U$2:$U$1001,0),MATCH(COLUMNS($AB$1006:AH1006),$AB$1006:$AQ$1006,0)), HYPERLINK("#",""), HYPERLINK(CONCATENATE("#Metadata!", ADDRESS(INDEX($W$2:$W$1001,MATCH(ROWS($U$2:U931),$U$2:$U$1001,0),0), INDEX($AB$1004:$AQ$1004,1,MATCH(COLUMNS($AB$1006:AH1006),$AB$1006:$AQ$1006,0)))),"Fix")))</f>
        <v>0</v>
      </c>
      <c r="I931" s="5">
        <f>IF(OR(INDEX($V$2:$V$1001,MATCH(ROWS($U$2:U931),$U$2:$U$1001,0),1)&gt;=100000,INDEX($AB$1005:$AQ$1005,1,MATCH(COLUMNS($AB$1006:AI1006),$AB$1006:$AQ$1006,0))&gt;=100000), " ",IF(INDEX($AB$2:$AQ$1001,MATCH(ROWS($U$2:U931),$U$2:$U$1001,0),MATCH(COLUMNS($AB$1006:AI1006),$AB$1006:$AQ$1006,0)), HYPERLINK("#",""), HYPERLINK(CONCATENATE("#Metadata!", ADDRESS(INDEX($W$2:$W$1001,MATCH(ROWS($U$2:U931),$U$2:$U$1001,0),0), INDEX($AB$1004:$AQ$1004,1,MATCH(COLUMNS($AB$1006:AI1006),$AB$1006:$AQ$1006,0)))),"Fix")))</f>
        <v>0</v>
      </c>
      <c r="J931" s="5">
        <f>IF(OR(INDEX($V$2:$V$1001,MATCH(ROWS($U$2:U931),$U$2:$U$1001,0),1)&gt;=100000,INDEX($AB$1005:$AQ$1005,1,MATCH(COLUMNS($AB$1006:AJ1006),$AB$1006:$AQ$1006,0))&gt;=100000), " ",IF(INDEX($AB$2:$AQ$1001,MATCH(ROWS($U$2:U931),$U$2:$U$1001,0),MATCH(COLUMNS($AB$1006:AJ1006),$AB$1006:$AQ$1006,0)), HYPERLINK("#",""), HYPERLINK(CONCATENATE("#Metadata!", ADDRESS(INDEX($W$2:$W$1001,MATCH(ROWS($U$2:U931),$U$2:$U$1001,0),0), INDEX($AB$1004:$AQ$1004,1,MATCH(COLUMNS($AB$1006:AJ1006),$AB$1006:$AQ$1006,0)))),"Fix")))</f>
        <v>0</v>
      </c>
      <c r="K931" s="5">
        <f>IF(OR(INDEX($V$2:$V$1001,MATCH(ROWS($U$2:U931),$U$2:$U$1001,0),1)&gt;=100000,INDEX($AB$1005:$AQ$1005,1,MATCH(COLUMNS($AB$1006:AK1006),$AB$1006:$AQ$1006,0))&gt;=100000), " ",IF(INDEX($AB$2:$AQ$1001,MATCH(ROWS($U$2:U931),$U$2:$U$1001,0),MATCH(COLUMNS($AB$1006:AK1006),$AB$1006:$AQ$1006,0)), HYPERLINK("#",""), HYPERLINK(CONCATENATE("#Metadata!", ADDRESS(INDEX($W$2:$W$1001,MATCH(ROWS($U$2:U931),$U$2:$U$1001,0),0), INDEX($AB$1004:$AQ$1004,1,MATCH(COLUMNS($AB$1006:AK1006),$AB$1006:$AQ$1006,0)))),"Fix")))</f>
        <v>0</v>
      </c>
      <c r="L931" s="5">
        <f>IF(OR(INDEX($V$2:$V$1001,MATCH(ROWS($U$2:U931),$U$2:$U$1001,0),1)&gt;=100000,INDEX($AB$1005:$AQ$1005,1,MATCH(COLUMNS($AB$1006:AL1006),$AB$1006:$AQ$1006,0))&gt;=100000), " ",IF(INDEX($AB$2:$AQ$1001,MATCH(ROWS($U$2:U931),$U$2:$U$1001,0),MATCH(COLUMNS($AB$1006:AL1006),$AB$1006:$AQ$1006,0)), HYPERLINK("#",""), HYPERLINK(CONCATENATE("#Metadata!", ADDRESS(INDEX($W$2:$W$1001,MATCH(ROWS($U$2:U931),$U$2:$U$1001,0),0), INDEX($AB$1004:$AQ$1004,1,MATCH(COLUMNS($AB$1006:AL1006),$AB$1006:$AQ$1006,0)))),"Fix")))</f>
        <v>0</v>
      </c>
      <c r="M931" s="5">
        <f>IF(OR(INDEX($V$2:$V$1001,MATCH(ROWS($U$2:U931),$U$2:$U$1001,0),1)&gt;=100000,INDEX($AB$1005:$AQ$1005,1,MATCH(COLUMNS($AB$1006:AM1006),$AB$1006:$AQ$1006,0))&gt;=100000), " ",IF(INDEX($AB$2:$AQ$1001,MATCH(ROWS($U$2:U931),$U$2:$U$1001,0),MATCH(COLUMNS($AB$1006:AM1006),$AB$1006:$AQ$1006,0)), HYPERLINK("#",""), HYPERLINK(CONCATENATE("#Metadata!", ADDRESS(INDEX($W$2:$W$1001,MATCH(ROWS($U$2:U931),$U$2:$U$1001,0),0), INDEX($AB$1004:$AQ$1004,1,MATCH(COLUMNS($AB$1006:AM1006),$AB$1006:$AQ$1006,0)))),"Fix")))</f>
        <v>0</v>
      </c>
      <c r="N931" s="5">
        <f>IF(OR(INDEX($V$2:$V$1001,MATCH(ROWS($U$2:U931),$U$2:$U$1001,0),1)&gt;=100000,INDEX($AB$1005:$AQ$1005,1,MATCH(COLUMNS($AB$1006:AN1006),$AB$1006:$AQ$1006,0))&gt;=100000), " ",IF(INDEX($AB$2:$AQ$1001,MATCH(ROWS($U$2:U931),$U$2:$U$1001,0),MATCH(COLUMNS($AB$1006:AN1006),$AB$1006:$AQ$1006,0)), HYPERLINK("#",""), HYPERLINK(CONCATENATE("#Metadata!", ADDRESS(INDEX($W$2:$W$1001,MATCH(ROWS($U$2:U931),$U$2:$U$1001,0),0), INDEX($AB$1004:$AQ$1004,1,MATCH(COLUMNS($AB$1006:AN1006),$AB$1006:$AQ$1006,0)))),"Fix")))</f>
        <v>0</v>
      </c>
      <c r="O931" s="5">
        <f>IF(OR(INDEX($V$2:$V$1001,MATCH(ROWS($U$2:U931),$U$2:$U$1001,0),1)&gt;=100000,INDEX($AB$1005:$AQ$1005,1,MATCH(COLUMNS($AB$1006:AO1006),$AB$1006:$AQ$1006,0))&gt;=100000), " ",IF(INDEX($AB$2:$AQ$1001,MATCH(ROWS($U$2:U931),$U$2:$U$1001,0),MATCH(COLUMNS($AB$1006:AO1006),$AB$1006:$AQ$1006,0)), HYPERLINK("#",""), HYPERLINK(CONCATENATE("#Metadata!", ADDRESS(INDEX($W$2:$W$1001,MATCH(ROWS($U$2:U931),$U$2:$U$1001,0),0), INDEX($AB$1004:$AQ$1004,1,MATCH(COLUMNS($AB$1006:AO1006),$AB$1006:$AQ$1006,0)))),"Fix")))</f>
        <v>0</v>
      </c>
      <c r="P931" s="5">
        <f>IF(OR(INDEX($V$2:$V$1001,MATCH(ROWS($U$2:U931),$U$2:$U$1001,0),1)&gt;=100000,INDEX($AB$1005:$AQ$1005,1,MATCH(COLUMNS($AB$1006:AP1006),$AB$1006:$AQ$1006,0))&gt;=100000), " ",IF(INDEX($AB$2:$AQ$1001,MATCH(ROWS($U$2:U931),$U$2:$U$1001,0),MATCH(COLUMNS($AB$1006:AP1006),$AB$1006:$AQ$1006,0)), HYPERLINK("#",""), HYPERLINK(CONCATENATE("#Metadata!", ADDRESS(INDEX($W$2:$W$1001,MATCH(ROWS($U$2:U931),$U$2:$U$1001,0),0), INDEX($AB$1004:$AQ$1004,1,MATCH(COLUMNS($AB$1006:AP1006),$AB$1006:$AQ$1006,0)))),"Fix")))</f>
        <v>0</v>
      </c>
      <c r="Q931" s="5">
        <f>IF(OR(INDEX($V$2:$V$1001,MATCH(ROWS($U$2:U931),$U$2:$U$1001,0),1)&gt;=100000,INDEX($AB$1005:$AQ$1005,1,MATCH(COLUMNS($AB$1006:AQ1006),$AB$1006:$AQ$1006,0))&gt;=100000), " ",IF(INDEX($AB$2:$AQ$1001,MATCH(ROWS($U$2:U931),$U$2:$U$1001,0),MATCH(COLUMNS($AB$1006:AQ1006),$AB$1006:$AQ$1006,0)), HYPERLINK("#",""), HYPERLINK(CONCATENATE("#Metadata!", ADDRESS(INDEX($W$2:$W$1001,MATCH(ROWS($U$2:U931),$U$2:$U$1001,0),0), INDEX($AB$1004:$AQ$1004,1,MATCH(COLUMNS($AB$1006:AQ1006),$AB$1006:$AQ$1006,0)))),"Fix")))</f>
        <v>0</v>
      </c>
      <c r="U931">
        <v>0</v>
      </c>
      <c r="V931">
        <v>0</v>
      </c>
      <c r="W931">
        <v>0</v>
      </c>
      <c r="X931">
        <f>IF(Y931,TRUE,AND(AB931:AQ931))</f>
        <v>0</v>
      </c>
      <c r="Y931">
        <f>COUNTBLANK(Metadata!B931:Q931)=COLUMNS(Metadata!B931:Q931)</f>
        <v>0</v>
      </c>
      <c r="Z931">
        <v>0</v>
      </c>
      <c r="AB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AC931">
        <f>AND(IF(Metadata!C931="",FALSE,TRUE),exact(Metadata!C931,"urban biome"))</f>
        <v>0</v>
      </c>
      <c r="AD931">
        <f>AND(IF(Metadata!D931="",FALSE,TRUE),exact(Metadata!D931,"human-associated habitat"))</f>
        <v>0</v>
      </c>
      <c r="AE931">
        <f>AND(IF(Metadata!E931="",FALSE,TRUE),OR(exact(Metadata!E931,"human-associated"),exact(Metadata!E931,"human-skin"),exact(Metadata!E931,"human-oral"),exact(Metadata!E931,"human-gut"),exact(Metadata!E931,"human-vaginal")))</f>
        <v>0</v>
      </c>
      <c r="AF931">
        <f>AND(IF(Metadata!F931="",FALSE,ISNUMBER(VALUE(Metadata!F931))),Metadata!F931&gt;0)</f>
        <v>0</v>
      </c>
      <c r="AG931">
        <f>AND(IF(Metadata!G931="",FALSE,TRUE),exact(Metadata!G931,"years"))</f>
        <v>0</v>
      </c>
      <c r="AH931">
        <f>OR(AND(IF(Metadata!H931="",FALSE,TRUE),OR(exact(Metadata!H931,"not applicable"),exact(Metadata!H931,"not collected"),exact(Metadata!H931,"not provided"),exact(Metadata!H931,"restricted access"))),AND(IF(Metadata!H931="",FALSE,ISNUMBER(VALUE(Metadata!H931))),Metadata!H931&gt;0))</f>
        <v>0</v>
      </c>
      <c r="AI931">
        <f>AND(IF(Metadata!I931="",FALSE,TRUE),exact(Metadata!I931,"human"))</f>
        <v>0</v>
      </c>
      <c r="AJ931">
        <f>AND(IF(Metadata!J931="",FALSE,ISNUMBER(VALUE(Metadata!J931))),Metadata!J931&gt;0)</f>
        <v>0</v>
      </c>
      <c r="AK931">
        <f>AND(IF(Metadata!K931="",FALSE,TRUE),exact(Metadata!K931,"cm"))</f>
        <v>0</v>
      </c>
      <c r="AL931">
        <f>AND(IF(Metadata!L931="",FALSE,TRUE),exact(Metadata!L931,"Homo sapiens"))</f>
        <v>0</v>
      </c>
      <c r="AM931">
        <f>AND(IF(Metadata!M931="",FALSE,TRUE),exact(Metadata!M931,"9606"))</f>
        <v>0</v>
      </c>
      <c r="AN931">
        <f>AND(IF(Metadata!N931="",FALSE,ISNUMBER(VALUE(Metadata!N931))),Metadata!N931&gt;0)</f>
        <v>0</v>
      </c>
      <c r="AO931">
        <f>AND(IF(Metadata!O931="",FALSE,TRUE),exact(Metadata!O931,"kg"))</f>
        <v>0</v>
      </c>
      <c r="AP931">
        <f>OR(AND(IF(Metadata!P931="",FALSE,TRUE),exact(Metadata!P931,"not provided")),IF(Metadata!P931="",FALSE,TRUE))</f>
        <v>0</v>
      </c>
      <c r="AQ931">
        <f>OR(AND(IF(Metadata!Q931="",FALSE,TRUE),exact(Metadata!Q931,"not provided")),IF(Metadata!Q931="",FALSE,TRUE))</f>
        <v>0</v>
      </c>
    </row>
    <row r="932" spans="1:43">
      <c r="A932" s="4">
        <f>IF(B932=" "," ",HYPERLINK(CONCATENATE("#metadata!",ADDRESS(INDEX($W$2:$W$1001,MATCH(ROWS($U$2:U932),$U$2:$U$1001,0),0),2)),INDEX($Z$2:$Z$1001,MATCH(ROWS($U$2:U932),$U$2:$U$1001,0),0)))</f>
        <v>0</v>
      </c>
      <c r="B932" s="5">
        <f>IF(OR(INDEX($V$2:$V$1001,MATCH(ROWS($U$2:U932),$U$2:$U$1001,0),1)&gt;=100000,INDEX($AB$1005:$AQ$1005,1,MATCH(COLUMNS($AB$1006:AB1006),$AB$1006:$AQ$1006,0))&gt;=100000), " ",IF(INDEX($AB$2:$AQ$1001,MATCH(ROWS($U$2:U932),$U$2:$U$1001,0),MATCH(COLUMNS($AB$1006:AB1006),$AB$1006:$AQ$1006,0)), HYPERLINK("#",""), HYPERLINK(CONCATENATE("#Metadata!", ADDRESS(INDEX($W$2:$W$1001,MATCH(ROWS($U$2:U932),$U$2:$U$1001,0),0), INDEX($AB$1004:$AQ$1004,1,MATCH(COLUMNS($AB$1006:AB1006),$AB$1006:$AQ$1006,0)))),"Fix")))</f>
        <v>0</v>
      </c>
      <c r="C932" s="5">
        <f>IF(OR(INDEX($V$2:$V$1001,MATCH(ROWS($U$2:U932),$U$2:$U$1001,0),1)&gt;=100000,INDEX($AB$1005:$AQ$1005,1,MATCH(COLUMNS($AB$1006:AC1006),$AB$1006:$AQ$1006,0))&gt;=100000), " ",IF(INDEX($AB$2:$AQ$1001,MATCH(ROWS($U$2:U932),$U$2:$U$1001,0),MATCH(COLUMNS($AB$1006:AC1006),$AB$1006:$AQ$1006,0)), HYPERLINK("#",""), HYPERLINK(CONCATENATE("#Metadata!", ADDRESS(INDEX($W$2:$W$1001,MATCH(ROWS($U$2:U932),$U$2:$U$1001,0),0), INDEX($AB$1004:$AQ$1004,1,MATCH(COLUMNS($AB$1006:AC1006),$AB$1006:$AQ$1006,0)))),"Fix")))</f>
        <v>0</v>
      </c>
      <c r="D932" s="5">
        <f>IF(OR(INDEX($V$2:$V$1001,MATCH(ROWS($U$2:U932),$U$2:$U$1001,0),1)&gt;=100000,INDEX($AB$1005:$AQ$1005,1,MATCH(COLUMNS($AB$1006:AD1006),$AB$1006:$AQ$1006,0))&gt;=100000), " ",IF(INDEX($AB$2:$AQ$1001,MATCH(ROWS($U$2:U932),$U$2:$U$1001,0),MATCH(COLUMNS($AB$1006:AD1006),$AB$1006:$AQ$1006,0)), HYPERLINK("#",""), HYPERLINK(CONCATENATE("#Metadata!", ADDRESS(INDEX($W$2:$W$1001,MATCH(ROWS($U$2:U932),$U$2:$U$1001,0),0), INDEX($AB$1004:$AQ$1004,1,MATCH(COLUMNS($AB$1006:AD1006),$AB$1006:$AQ$1006,0)))),"Fix")))</f>
        <v>0</v>
      </c>
      <c r="E932" s="5">
        <f>IF(OR(INDEX($V$2:$V$1001,MATCH(ROWS($U$2:U932),$U$2:$U$1001,0),1)&gt;=100000,INDEX($AB$1005:$AQ$1005,1,MATCH(COLUMNS($AB$1006:AE1006),$AB$1006:$AQ$1006,0))&gt;=100000), " ",IF(INDEX($AB$2:$AQ$1001,MATCH(ROWS($U$2:U932),$U$2:$U$1001,0),MATCH(COLUMNS($AB$1006:AE1006),$AB$1006:$AQ$1006,0)), HYPERLINK("#",""), HYPERLINK(CONCATENATE("#Metadata!", ADDRESS(INDEX($W$2:$W$1001,MATCH(ROWS($U$2:U932),$U$2:$U$1001,0),0), INDEX($AB$1004:$AQ$1004,1,MATCH(COLUMNS($AB$1006:AE1006),$AB$1006:$AQ$1006,0)))),"Fix")))</f>
        <v>0</v>
      </c>
      <c r="F932" s="5">
        <f>IF(OR(INDEX($V$2:$V$1001,MATCH(ROWS($U$2:U932),$U$2:$U$1001,0),1)&gt;=100000,INDEX($AB$1005:$AQ$1005,1,MATCH(COLUMNS($AB$1006:AF1006),$AB$1006:$AQ$1006,0))&gt;=100000), " ",IF(INDEX($AB$2:$AQ$1001,MATCH(ROWS($U$2:U932),$U$2:$U$1001,0),MATCH(COLUMNS($AB$1006:AF1006),$AB$1006:$AQ$1006,0)), HYPERLINK("#",""), HYPERLINK(CONCATENATE("#Metadata!", ADDRESS(INDEX($W$2:$W$1001,MATCH(ROWS($U$2:U932),$U$2:$U$1001,0),0), INDEX($AB$1004:$AQ$1004,1,MATCH(COLUMNS($AB$1006:AF1006),$AB$1006:$AQ$1006,0)))),"Fix")))</f>
        <v>0</v>
      </c>
      <c r="G932" s="5">
        <f>IF(OR(INDEX($V$2:$V$1001,MATCH(ROWS($U$2:U932),$U$2:$U$1001,0),1)&gt;=100000,INDEX($AB$1005:$AQ$1005,1,MATCH(COLUMNS($AB$1006:AG1006),$AB$1006:$AQ$1006,0))&gt;=100000), " ",IF(INDEX($AB$2:$AQ$1001,MATCH(ROWS($U$2:U932),$U$2:$U$1001,0),MATCH(COLUMNS($AB$1006:AG1006),$AB$1006:$AQ$1006,0)), HYPERLINK("#",""), HYPERLINK(CONCATENATE("#Metadata!", ADDRESS(INDEX($W$2:$W$1001,MATCH(ROWS($U$2:U932),$U$2:$U$1001,0),0), INDEX($AB$1004:$AQ$1004,1,MATCH(COLUMNS($AB$1006:AG1006),$AB$1006:$AQ$1006,0)))),"Fix")))</f>
        <v>0</v>
      </c>
      <c r="H932" s="5">
        <f>IF(OR(INDEX($V$2:$V$1001,MATCH(ROWS($U$2:U932),$U$2:$U$1001,0),1)&gt;=100000,INDEX($AB$1005:$AQ$1005,1,MATCH(COLUMNS($AB$1006:AH1006),$AB$1006:$AQ$1006,0))&gt;=100000), " ",IF(INDEX($AB$2:$AQ$1001,MATCH(ROWS($U$2:U932),$U$2:$U$1001,0),MATCH(COLUMNS($AB$1006:AH1006),$AB$1006:$AQ$1006,0)), HYPERLINK("#",""), HYPERLINK(CONCATENATE("#Metadata!", ADDRESS(INDEX($W$2:$W$1001,MATCH(ROWS($U$2:U932),$U$2:$U$1001,0),0), INDEX($AB$1004:$AQ$1004,1,MATCH(COLUMNS($AB$1006:AH1006),$AB$1006:$AQ$1006,0)))),"Fix")))</f>
        <v>0</v>
      </c>
      <c r="I932" s="5">
        <f>IF(OR(INDEX($V$2:$V$1001,MATCH(ROWS($U$2:U932),$U$2:$U$1001,0),1)&gt;=100000,INDEX($AB$1005:$AQ$1005,1,MATCH(COLUMNS($AB$1006:AI1006),$AB$1006:$AQ$1006,0))&gt;=100000), " ",IF(INDEX($AB$2:$AQ$1001,MATCH(ROWS($U$2:U932),$U$2:$U$1001,0),MATCH(COLUMNS($AB$1006:AI1006),$AB$1006:$AQ$1006,0)), HYPERLINK("#",""), HYPERLINK(CONCATENATE("#Metadata!", ADDRESS(INDEX($W$2:$W$1001,MATCH(ROWS($U$2:U932),$U$2:$U$1001,0),0), INDEX($AB$1004:$AQ$1004,1,MATCH(COLUMNS($AB$1006:AI1006),$AB$1006:$AQ$1006,0)))),"Fix")))</f>
        <v>0</v>
      </c>
      <c r="J932" s="5">
        <f>IF(OR(INDEX($V$2:$V$1001,MATCH(ROWS($U$2:U932),$U$2:$U$1001,0),1)&gt;=100000,INDEX($AB$1005:$AQ$1005,1,MATCH(COLUMNS($AB$1006:AJ1006),$AB$1006:$AQ$1006,0))&gt;=100000), " ",IF(INDEX($AB$2:$AQ$1001,MATCH(ROWS($U$2:U932),$U$2:$U$1001,0),MATCH(COLUMNS($AB$1006:AJ1006),$AB$1006:$AQ$1006,0)), HYPERLINK("#",""), HYPERLINK(CONCATENATE("#Metadata!", ADDRESS(INDEX($W$2:$W$1001,MATCH(ROWS($U$2:U932),$U$2:$U$1001,0),0), INDEX($AB$1004:$AQ$1004,1,MATCH(COLUMNS($AB$1006:AJ1006),$AB$1006:$AQ$1006,0)))),"Fix")))</f>
        <v>0</v>
      </c>
      <c r="K932" s="5">
        <f>IF(OR(INDEX($V$2:$V$1001,MATCH(ROWS($U$2:U932),$U$2:$U$1001,0),1)&gt;=100000,INDEX($AB$1005:$AQ$1005,1,MATCH(COLUMNS($AB$1006:AK1006),$AB$1006:$AQ$1006,0))&gt;=100000), " ",IF(INDEX($AB$2:$AQ$1001,MATCH(ROWS($U$2:U932),$U$2:$U$1001,0),MATCH(COLUMNS($AB$1006:AK1006),$AB$1006:$AQ$1006,0)), HYPERLINK("#",""), HYPERLINK(CONCATENATE("#Metadata!", ADDRESS(INDEX($W$2:$W$1001,MATCH(ROWS($U$2:U932),$U$2:$U$1001,0),0), INDEX($AB$1004:$AQ$1004,1,MATCH(COLUMNS($AB$1006:AK1006),$AB$1006:$AQ$1006,0)))),"Fix")))</f>
        <v>0</v>
      </c>
      <c r="L932" s="5">
        <f>IF(OR(INDEX($V$2:$V$1001,MATCH(ROWS($U$2:U932),$U$2:$U$1001,0),1)&gt;=100000,INDEX($AB$1005:$AQ$1005,1,MATCH(COLUMNS($AB$1006:AL1006),$AB$1006:$AQ$1006,0))&gt;=100000), " ",IF(INDEX($AB$2:$AQ$1001,MATCH(ROWS($U$2:U932),$U$2:$U$1001,0),MATCH(COLUMNS($AB$1006:AL1006),$AB$1006:$AQ$1006,0)), HYPERLINK("#",""), HYPERLINK(CONCATENATE("#Metadata!", ADDRESS(INDEX($W$2:$W$1001,MATCH(ROWS($U$2:U932),$U$2:$U$1001,0),0), INDEX($AB$1004:$AQ$1004,1,MATCH(COLUMNS($AB$1006:AL1006),$AB$1006:$AQ$1006,0)))),"Fix")))</f>
        <v>0</v>
      </c>
      <c r="M932" s="5">
        <f>IF(OR(INDEX($V$2:$V$1001,MATCH(ROWS($U$2:U932),$U$2:$U$1001,0),1)&gt;=100000,INDEX($AB$1005:$AQ$1005,1,MATCH(COLUMNS($AB$1006:AM1006),$AB$1006:$AQ$1006,0))&gt;=100000), " ",IF(INDEX($AB$2:$AQ$1001,MATCH(ROWS($U$2:U932),$U$2:$U$1001,0),MATCH(COLUMNS($AB$1006:AM1006),$AB$1006:$AQ$1006,0)), HYPERLINK("#",""), HYPERLINK(CONCATENATE("#Metadata!", ADDRESS(INDEX($W$2:$W$1001,MATCH(ROWS($U$2:U932),$U$2:$U$1001,0),0), INDEX($AB$1004:$AQ$1004,1,MATCH(COLUMNS($AB$1006:AM1006),$AB$1006:$AQ$1006,0)))),"Fix")))</f>
        <v>0</v>
      </c>
      <c r="N932" s="5">
        <f>IF(OR(INDEX($V$2:$V$1001,MATCH(ROWS($U$2:U932),$U$2:$U$1001,0),1)&gt;=100000,INDEX($AB$1005:$AQ$1005,1,MATCH(COLUMNS($AB$1006:AN1006),$AB$1006:$AQ$1006,0))&gt;=100000), " ",IF(INDEX($AB$2:$AQ$1001,MATCH(ROWS($U$2:U932),$U$2:$U$1001,0),MATCH(COLUMNS($AB$1006:AN1006),$AB$1006:$AQ$1006,0)), HYPERLINK("#",""), HYPERLINK(CONCATENATE("#Metadata!", ADDRESS(INDEX($W$2:$W$1001,MATCH(ROWS($U$2:U932),$U$2:$U$1001,0),0), INDEX($AB$1004:$AQ$1004,1,MATCH(COLUMNS($AB$1006:AN1006),$AB$1006:$AQ$1006,0)))),"Fix")))</f>
        <v>0</v>
      </c>
      <c r="O932" s="5">
        <f>IF(OR(INDEX($V$2:$V$1001,MATCH(ROWS($U$2:U932),$U$2:$U$1001,0),1)&gt;=100000,INDEX($AB$1005:$AQ$1005,1,MATCH(COLUMNS($AB$1006:AO1006),$AB$1006:$AQ$1006,0))&gt;=100000), " ",IF(INDEX($AB$2:$AQ$1001,MATCH(ROWS($U$2:U932),$U$2:$U$1001,0),MATCH(COLUMNS($AB$1006:AO1006),$AB$1006:$AQ$1006,0)), HYPERLINK("#",""), HYPERLINK(CONCATENATE("#Metadata!", ADDRESS(INDEX($W$2:$W$1001,MATCH(ROWS($U$2:U932),$U$2:$U$1001,0),0), INDEX($AB$1004:$AQ$1004,1,MATCH(COLUMNS($AB$1006:AO1006),$AB$1006:$AQ$1006,0)))),"Fix")))</f>
        <v>0</v>
      </c>
      <c r="P932" s="5">
        <f>IF(OR(INDEX($V$2:$V$1001,MATCH(ROWS($U$2:U932),$U$2:$U$1001,0),1)&gt;=100000,INDEX($AB$1005:$AQ$1005,1,MATCH(COLUMNS($AB$1006:AP1006),$AB$1006:$AQ$1006,0))&gt;=100000), " ",IF(INDEX($AB$2:$AQ$1001,MATCH(ROWS($U$2:U932),$U$2:$U$1001,0),MATCH(COLUMNS($AB$1006:AP1006),$AB$1006:$AQ$1006,0)), HYPERLINK("#",""), HYPERLINK(CONCATENATE("#Metadata!", ADDRESS(INDEX($W$2:$W$1001,MATCH(ROWS($U$2:U932),$U$2:$U$1001,0),0), INDEX($AB$1004:$AQ$1004,1,MATCH(COLUMNS($AB$1006:AP1006),$AB$1006:$AQ$1006,0)))),"Fix")))</f>
        <v>0</v>
      </c>
      <c r="Q932" s="5">
        <f>IF(OR(INDEX($V$2:$V$1001,MATCH(ROWS($U$2:U932),$U$2:$U$1001,0),1)&gt;=100000,INDEX($AB$1005:$AQ$1005,1,MATCH(COLUMNS($AB$1006:AQ1006),$AB$1006:$AQ$1006,0))&gt;=100000), " ",IF(INDEX($AB$2:$AQ$1001,MATCH(ROWS($U$2:U932),$U$2:$U$1001,0),MATCH(COLUMNS($AB$1006:AQ1006),$AB$1006:$AQ$1006,0)), HYPERLINK("#",""), HYPERLINK(CONCATENATE("#Metadata!", ADDRESS(INDEX($W$2:$W$1001,MATCH(ROWS($U$2:U932),$U$2:$U$1001,0),0), INDEX($AB$1004:$AQ$1004,1,MATCH(COLUMNS($AB$1006:AQ1006),$AB$1006:$AQ$1006,0)))),"Fix")))</f>
        <v>0</v>
      </c>
      <c r="U932">
        <v>0</v>
      </c>
      <c r="V932">
        <v>0</v>
      </c>
      <c r="W932">
        <v>0</v>
      </c>
      <c r="X932">
        <f>IF(Y932,TRUE,AND(AB932:AQ932))</f>
        <v>0</v>
      </c>
      <c r="Y932">
        <f>COUNTBLANK(Metadata!B932:Q932)=COLUMNS(Metadata!B932:Q932)</f>
        <v>0</v>
      </c>
      <c r="Z932">
        <v>0</v>
      </c>
      <c r="AB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AC932">
        <f>AND(IF(Metadata!C932="",FALSE,TRUE),exact(Metadata!C932,"urban biome"))</f>
        <v>0</v>
      </c>
      <c r="AD932">
        <f>AND(IF(Metadata!D932="",FALSE,TRUE),exact(Metadata!D932,"human-associated habitat"))</f>
        <v>0</v>
      </c>
      <c r="AE932">
        <f>AND(IF(Metadata!E932="",FALSE,TRUE),OR(exact(Metadata!E932,"human-associated"),exact(Metadata!E932,"human-skin"),exact(Metadata!E932,"human-oral"),exact(Metadata!E932,"human-gut"),exact(Metadata!E932,"human-vaginal")))</f>
        <v>0</v>
      </c>
      <c r="AF932">
        <f>AND(IF(Metadata!F932="",FALSE,ISNUMBER(VALUE(Metadata!F932))),Metadata!F932&gt;0)</f>
        <v>0</v>
      </c>
      <c r="AG932">
        <f>AND(IF(Metadata!G932="",FALSE,TRUE),exact(Metadata!G932,"years"))</f>
        <v>0</v>
      </c>
      <c r="AH932">
        <f>OR(AND(IF(Metadata!H932="",FALSE,TRUE),OR(exact(Metadata!H932,"not applicable"),exact(Metadata!H932,"not collected"),exact(Metadata!H932,"not provided"),exact(Metadata!H932,"restricted access"))),AND(IF(Metadata!H932="",FALSE,ISNUMBER(VALUE(Metadata!H932))),Metadata!H932&gt;0))</f>
        <v>0</v>
      </c>
      <c r="AI932">
        <f>AND(IF(Metadata!I932="",FALSE,TRUE),exact(Metadata!I932,"human"))</f>
        <v>0</v>
      </c>
      <c r="AJ932">
        <f>AND(IF(Metadata!J932="",FALSE,ISNUMBER(VALUE(Metadata!J932))),Metadata!J932&gt;0)</f>
        <v>0</v>
      </c>
      <c r="AK932">
        <f>AND(IF(Metadata!K932="",FALSE,TRUE),exact(Metadata!K932,"cm"))</f>
        <v>0</v>
      </c>
      <c r="AL932">
        <f>AND(IF(Metadata!L932="",FALSE,TRUE),exact(Metadata!L932,"Homo sapiens"))</f>
        <v>0</v>
      </c>
      <c r="AM932">
        <f>AND(IF(Metadata!M932="",FALSE,TRUE),exact(Metadata!M932,"9606"))</f>
        <v>0</v>
      </c>
      <c r="AN932">
        <f>AND(IF(Metadata!N932="",FALSE,ISNUMBER(VALUE(Metadata!N932))),Metadata!N932&gt;0)</f>
        <v>0</v>
      </c>
      <c r="AO932">
        <f>AND(IF(Metadata!O932="",FALSE,TRUE),exact(Metadata!O932,"kg"))</f>
        <v>0</v>
      </c>
      <c r="AP932">
        <f>OR(AND(IF(Metadata!P932="",FALSE,TRUE),exact(Metadata!P932,"not provided")),IF(Metadata!P932="",FALSE,TRUE))</f>
        <v>0</v>
      </c>
      <c r="AQ932">
        <f>OR(AND(IF(Metadata!Q932="",FALSE,TRUE),exact(Metadata!Q932,"not provided")),IF(Metadata!Q932="",FALSE,TRUE))</f>
        <v>0</v>
      </c>
    </row>
    <row r="933" spans="1:43">
      <c r="A933" s="4">
        <f>IF(B933=" "," ",HYPERLINK(CONCATENATE("#metadata!",ADDRESS(INDEX($W$2:$W$1001,MATCH(ROWS($U$2:U933),$U$2:$U$1001,0),0),2)),INDEX($Z$2:$Z$1001,MATCH(ROWS($U$2:U933),$U$2:$U$1001,0),0)))</f>
        <v>0</v>
      </c>
      <c r="B933" s="5">
        <f>IF(OR(INDEX($V$2:$V$1001,MATCH(ROWS($U$2:U933),$U$2:$U$1001,0),1)&gt;=100000,INDEX($AB$1005:$AQ$1005,1,MATCH(COLUMNS($AB$1006:AB1006),$AB$1006:$AQ$1006,0))&gt;=100000), " ",IF(INDEX($AB$2:$AQ$1001,MATCH(ROWS($U$2:U933),$U$2:$U$1001,0),MATCH(COLUMNS($AB$1006:AB1006),$AB$1006:$AQ$1006,0)), HYPERLINK("#",""), HYPERLINK(CONCATENATE("#Metadata!", ADDRESS(INDEX($W$2:$W$1001,MATCH(ROWS($U$2:U933),$U$2:$U$1001,0),0), INDEX($AB$1004:$AQ$1004,1,MATCH(COLUMNS($AB$1006:AB1006),$AB$1006:$AQ$1006,0)))),"Fix")))</f>
        <v>0</v>
      </c>
      <c r="C933" s="5">
        <f>IF(OR(INDEX($V$2:$V$1001,MATCH(ROWS($U$2:U933),$U$2:$U$1001,0),1)&gt;=100000,INDEX($AB$1005:$AQ$1005,1,MATCH(COLUMNS($AB$1006:AC1006),$AB$1006:$AQ$1006,0))&gt;=100000), " ",IF(INDEX($AB$2:$AQ$1001,MATCH(ROWS($U$2:U933),$U$2:$U$1001,0),MATCH(COLUMNS($AB$1006:AC1006),$AB$1006:$AQ$1006,0)), HYPERLINK("#",""), HYPERLINK(CONCATENATE("#Metadata!", ADDRESS(INDEX($W$2:$W$1001,MATCH(ROWS($U$2:U933),$U$2:$U$1001,0),0), INDEX($AB$1004:$AQ$1004,1,MATCH(COLUMNS($AB$1006:AC1006),$AB$1006:$AQ$1006,0)))),"Fix")))</f>
        <v>0</v>
      </c>
      <c r="D933" s="5">
        <f>IF(OR(INDEX($V$2:$V$1001,MATCH(ROWS($U$2:U933),$U$2:$U$1001,0),1)&gt;=100000,INDEX($AB$1005:$AQ$1005,1,MATCH(COLUMNS($AB$1006:AD1006),$AB$1006:$AQ$1006,0))&gt;=100000), " ",IF(INDEX($AB$2:$AQ$1001,MATCH(ROWS($U$2:U933),$U$2:$U$1001,0),MATCH(COLUMNS($AB$1006:AD1006),$AB$1006:$AQ$1006,0)), HYPERLINK("#",""), HYPERLINK(CONCATENATE("#Metadata!", ADDRESS(INDEX($W$2:$W$1001,MATCH(ROWS($U$2:U933),$U$2:$U$1001,0),0), INDEX($AB$1004:$AQ$1004,1,MATCH(COLUMNS($AB$1006:AD1006),$AB$1006:$AQ$1006,0)))),"Fix")))</f>
        <v>0</v>
      </c>
      <c r="E933" s="5">
        <f>IF(OR(INDEX($V$2:$V$1001,MATCH(ROWS($U$2:U933),$U$2:$U$1001,0),1)&gt;=100000,INDEX($AB$1005:$AQ$1005,1,MATCH(COLUMNS($AB$1006:AE1006),$AB$1006:$AQ$1006,0))&gt;=100000), " ",IF(INDEX($AB$2:$AQ$1001,MATCH(ROWS($U$2:U933),$U$2:$U$1001,0),MATCH(COLUMNS($AB$1006:AE1006),$AB$1006:$AQ$1006,0)), HYPERLINK("#",""), HYPERLINK(CONCATENATE("#Metadata!", ADDRESS(INDEX($W$2:$W$1001,MATCH(ROWS($U$2:U933),$U$2:$U$1001,0),0), INDEX($AB$1004:$AQ$1004,1,MATCH(COLUMNS($AB$1006:AE1006),$AB$1006:$AQ$1006,0)))),"Fix")))</f>
        <v>0</v>
      </c>
      <c r="F933" s="5">
        <f>IF(OR(INDEX($V$2:$V$1001,MATCH(ROWS($U$2:U933),$U$2:$U$1001,0),1)&gt;=100000,INDEX($AB$1005:$AQ$1005,1,MATCH(COLUMNS($AB$1006:AF1006),$AB$1006:$AQ$1006,0))&gt;=100000), " ",IF(INDEX($AB$2:$AQ$1001,MATCH(ROWS($U$2:U933),$U$2:$U$1001,0),MATCH(COLUMNS($AB$1006:AF1006),$AB$1006:$AQ$1006,0)), HYPERLINK("#",""), HYPERLINK(CONCATENATE("#Metadata!", ADDRESS(INDEX($W$2:$W$1001,MATCH(ROWS($U$2:U933),$U$2:$U$1001,0),0), INDEX($AB$1004:$AQ$1004,1,MATCH(COLUMNS($AB$1006:AF1006),$AB$1006:$AQ$1006,0)))),"Fix")))</f>
        <v>0</v>
      </c>
      <c r="G933" s="5">
        <f>IF(OR(INDEX($V$2:$V$1001,MATCH(ROWS($U$2:U933),$U$2:$U$1001,0),1)&gt;=100000,INDEX($AB$1005:$AQ$1005,1,MATCH(COLUMNS($AB$1006:AG1006),$AB$1006:$AQ$1006,0))&gt;=100000), " ",IF(INDEX($AB$2:$AQ$1001,MATCH(ROWS($U$2:U933),$U$2:$U$1001,0),MATCH(COLUMNS($AB$1006:AG1006),$AB$1006:$AQ$1006,0)), HYPERLINK("#",""), HYPERLINK(CONCATENATE("#Metadata!", ADDRESS(INDEX($W$2:$W$1001,MATCH(ROWS($U$2:U933),$U$2:$U$1001,0),0), INDEX($AB$1004:$AQ$1004,1,MATCH(COLUMNS($AB$1006:AG1006),$AB$1006:$AQ$1006,0)))),"Fix")))</f>
        <v>0</v>
      </c>
      <c r="H933" s="5">
        <f>IF(OR(INDEX($V$2:$V$1001,MATCH(ROWS($U$2:U933),$U$2:$U$1001,0),1)&gt;=100000,INDEX($AB$1005:$AQ$1005,1,MATCH(COLUMNS($AB$1006:AH1006),$AB$1006:$AQ$1006,0))&gt;=100000), " ",IF(INDEX($AB$2:$AQ$1001,MATCH(ROWS($U$2:U933),$U$2:$U$1001,0),MATCH(COLUMNS($AB$1006:AH1006),$AB$1006:$AQ$1006,0)), HYPERLINK("#",""), HYPERLINK(CONCATENATE("#Metadata!", ADDRESS(INDEX($W$2:$W$1001,MATCH(ROWS($U$2:U933),$U$2:$U$1001,0),0), INDEX($AB$1004:$AQ$1004,1,MATCH(COLUMNS($AB$1006:AH1006),$AB$1006:$AQ$1006,0)))),"Fix")))</f>
        <v>0</v>
      </c>
      <c r="I933" s="5">
        <f>IF(OR(INDEX($V$2:$V$1001,MATCH(ROWS($U$2:U933),$U$2:$U$1001,0),1)&gt;=100000,INDEX($AB$1005:$AQ$1005,1,MATCH(COLUMNS($AB$1006:AI1006),$AB$1006:$AQ$1006,0))&gt;=100000), " ",IF(INDEX($AB$2:$AQ$1001,MATCH(ROWS($U$2:U933),$U$2:$U$1001,0),MATCH(COLUMNS($AB$1006:AI1006),$AB$1006:$AQ$1006,0)), HYPERLINK("#",""), HYPERLINK(CONCATENATE("#Metadata!", ADDRESS(INDEX($W$2:$W$1001,MATCH(ROWS($U$2:U933),$U$2:$U$1001,0),0), INDEX($AB$1004:$AQ$1004,1,MATCH(COLUMNS($AB$1006:AI1006),$AB$1006:$AQ$1006,0)))),"Fix")))</f>
        <v>0</v>
      </c>
      <c r="J933" s="5">
        <f>IF(OR(INDEX($V$2:$V$1001,MATCH(ROWS($U$2:U933),$U$2:$U$1001,0),1)&gt;=100000,INDEX($AB$1005:$AQ$1005,1,MATCH(COLUMNS($AB$1006:AJ1006),$AB$1006:$AQ$1006,0))&gt;=100000), " ",IF(INDEX($AB$2:$AQ$1001,MATCH(ROWS($U$2:U933),$U$2:$U$1001,0),MATCH(COLUMNS($AB$1006:AJ1006),$AB$1006:$AQ$1006,0)), HYPERLINK("#",""), HYPERLINK(CONCATENATE("#Metadata!", ADDRESS(INDEX($W$2:$W$1001,MATCH(ROWS($U$2:U933),$U$2:$U$1001,0),0), INDEX($AB$1004:$AQ$1004,1,MATCH(COLUMNS($AB$1006:AJ1006),$AB$1006:$AQ$1006,0)))),"Fix")))</f>
        <v>0</v>
      </c>
      <c r="K933" s="5">
        <f>IF(OR(INDEX($V$2:$V$1001,MATCH(ROWS($U$2:U933),$U$2:$U$1001,0),1)&gt;=100000,INDEX($AB$1005:$AQ$1005,1,MATCH(COLUMNS($AB$1006:AK1006),$AB$1006:$AQ$1006,0))&gt;=100000), " ",IF(INDEX($AB$2:$AQ$1001,MATCH(ROWS($U$2:U933),$U$2:$U$1001,0),MATCH(COLUMNS($AB$1006:AK1006),$AB$1006:$AQ$1006,0)), HYPERLINK("#",""), HYPERLINK(CONCATENATE("#Metadata!", ADDRESS(INDEX($W$2:$W$1001,MATCH(ROWS($U$2:U933),$U$2:$U$1001,0),0), INDEX($AB$1004:$AQ$1004,1,MATCH(COLUMNS($AB$1006:AK1006),$AB$1006:$AQ$1006,0)))),"Fix")))</f>
        <v>0</v>
      </c>
      <c r="L933" s="5">
        <f>IF(OR(INDEX($V$2:$V$1001,MATCH(ROWS($U$2:U933),$U$2:$U$1001,0),1)&gt;=100000,INDEX($AB$1005:$AQ$1005,1,MATCH(COLUMNS($AB$1006:AL1006),$AB$1006:$AQ$1006,0))&gt;=100000), " ",IF(INDEX($AB$2:$AQ$1001,MATCH(ROWS($U$2:U933),$U$2:$U$1001,0),MATCH(COLUMNS($AB$1006:AL1006),$AB$1006:$AQ$1006,0)), HYPERLINK("#",""), HYPERLINK(CONCATENATE("#Metadata!", ADDRESS(INDEX($W$2:$W$1001,MATCH(ROWS($U$2:U933),$U$2:$U$1001,0),0), INDEX($AB$1004:$AQ$1004,1,MATCH(COLUMNS($AB$1006:AL1006),$AB$1006:$AQ$1006,0)))),"Fix")))</f>
        <v>0</v>
      </c>
      <c r="M933" s="5">
        <f>IF(OR(INDEX($V$2:$V$1001,MATCH(ROWS($U$2:U933),$U$2:$U$1001,0),1)&gt;=100000,INDEX($AB$1005:$AQ$1005,1,MATCH(COLUMNS($AB$1006:AM1006),$AB$1006:$AQ$1006,0))&gt;=100000), " ",IF(INDEX($AB$2:$AQ$1001,MATCH(ROWS($U$2:U933),$U$2:$U$1001,0),MATCH(COLUMNS($AB$1006:AM1006),$AB$1006:$AQ$1006,0)), HYPERLINK("#",""), HYPERLINK(CONCATENATE("#Metadata!", ADDRESS(INDEX($W$2:$W$1001,MATCH(ROWS($U$2:U933),$U$2:$U$1001,0),0), INDEX($AB$1004:$AQ$1004,1,MATCH(COLUMNS($AB$1006:AM1006),$AB$1006:$AQ$1006,0)))),"Fix")))</f>
        <v>0</v>
      </c>
      <c r="N933" s="5">
        <f>IF(OR(INDEX($V$2:$V$1001,MATCH(ROWS($U$2:U933),$U$2:$U$1001,0),1)&gt;=100000,INDEX($AB$1005:$AQ$1005,1,MATCH(COLUMNS($AB$1006:AN1006),$AB$1006:$AQ$1006,0))&gt;=100000), " ",IF(INDEX($AB$2:$AQ$1001,MATCH(ROWS($U$2:U933),$U$2:$U$1001,0),MATCH(COLUMNS($AB$1006:AN1006),$AB$1006:$AQ$1006,0)), HYPERLINK("#",""), HYPERLINK(CONCATENATE("#Metadata!", ADDRESS(INDEX($W$2:$W$1001,MATCH(ROWS($U$2:U933),$U$2:$U$1001,0),0), INDEX($AB$1004:$AQ$1004,1,MATCH(COLUMNS($AB$1006:AN1006),$AB$1006:$AQ$1006,0)))),"Fix")))</f>
        <v>0</v>
      </c>
      <c r="O933" s="5">
        <f>IF(OR(INDEX($V$2:$V$1001,MATCH(ROWS($U$2:U933),$U$2:$U$1001,0),1)&gt;=100000,INDEX($AB$1005:$AQ$1005,1,MATCH(COLUMNS($AB$1006:AO1006),$AB$1006:$AQ$1006,0))&gt;=100000), " ",IF(INDEX($AB$2:$AQ$1001,MATCH(ROWS($U$2:U933),$U$2:$U$1001,0),MATCH(COLUMNS($AB$1006:AO1006),$AB$1006:$AQ$1006,0)), HYPERLINK("#",""), HYPERLINK(CONCATENATE("#Metadata!", ADDRESS(INDEX($W$2:$W$1001,MATCH(ROWS($U$2:U933),$U$2:$U$1001,0),0), INDEX($AB$1004:$AQ$1004,1,MATCH(COLUMNS($AB$1006:AO1006),$AB$1006:$AQ$1006,0)))),"Fix")))</f>
        <v>0</v>
      </c>
      <c r="P933" s="5">
        <f>IF(OR(INDEX($V$2:$V$1001,MATCH(ROWS($U$2:U933),$U$2:$U$1001,0),1)&gt;=100000,INDEX($AB$1005:$AQ$1005,1,MATCH(COLUMNS($AB$1006:AP1006),$AB$1006:$AQ$1006,0))&gt;=100000), " ",IF(INDEX($AB$2:$AQ$1001,MATCH(ROWS($U$2:U933),$U$2:$U$1001,0),MATCH(COLUMNS($AB$1006:AP1006),$AB$1006:$AQ$1006,0)), HYPERLINK("#",""), HYPERLINK(CONCATENATE("#Metadata!", ADDRESS(INDEX($W$2:$W$1001,MATCH(ROWS($U$2:U933),$U$2:$U$1001,0),0), INDEX($AB$1004:$AQ$1004,1,MATCH(COLUMNS($AB$1006:AP1006),$AB$1006:$AQ$1006,0)))),"Fix")))</f>
        <v>0</v>
      </c>
      <c r="Q933" s="5">
        <f>IF(OR(INDEX($V$2:$V$1001,MATCH(ROWS($U$2:U933),$U$2:$U$1001,0),1)&gt;=100000,INDEX($AB$1005:$AQ$1005,1,MATCH(COLUMNS($AB$1006:AQ1006),$AB$1006:$AQ$1006,0))&gt;=100000), " ",IF(INDEX($AB$2:$AQ$1001,MATCH(ROWS($U$2:U933),$U$2:$U$1001,0),MATCH(COLUMNS($AB$1006:AQ1006),$AB$1006:$AQ$1006,0)), HYPERLINK("#",""), HYPERLINK(CONCATENATE("#Metadata!", ADDRESS(INDEX($W$2:$W$1001,MATCH(ROWS($U$2:U933),$U$2:$U$1001,0),0), INDEX($AB$1004:$AQ$1004,1,MATCH(COLUMNS($AB$1006:AQ1006),$AB$1006:$AQ$1006,0)))),"Fix")))</f>
        <v>0</v>
      </c>
      <c r="U933">
        <v>0</v>
      </c>
      <c r="V933">
        <v>0</v>
      </c>
      <c r="W933">
        <v>0</v>
      </c>
      <c r="X933">
        <f>IF(Y933,TRUE,AND(AB933:AQ933))</f>
        <v>0</v>
      </c>
      <c r="Y933">
        <f>COUNTBLANK(Metadata!B933:Q933)=COLUMNS(Metadata!B933:Q933)</f>
        <v>0</v>
      </c>
      <c r="Z933">
        <v>0</v>
      </c>
      <c r="AB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AC933">
        <f>AND(IF(Metadata!C933="",FALSE,TRUE),exact(Metadata!C933,"urban biome"))</f>
        <v>0</v>
      </c>
      <c r="AD933">
        <f>AND(IF(Metadata!D933="",FALSE,TRUE),exact(Metadata!D933,"human-associated habitat"))</f>
        <v>0</v>
      </c>
      <c r="AE933">
        <f>AND(IF(Metadata!E933="",FALSE,TRUE),OR(exact(Metadata!E933,"human-associated"),exact(Metadata!E933,"human-skin"),exact(Metadata!E933,"human-oral"),exact(Metadata!E933,"human-gut"),exact(Metadata!E933,"human-vaginal")))</f>
        <v>0</v>
      </c>
      <c r="AF933">
        <f>AND(IF(Metadata!F933="",FALSE,ISNUMBER(VALUE(Metadata!F933))),Metadata!F933&gt;0)</f>
        <v>0</v>
      </c>
      <c r="AG933">
        <f>AND(IF(Metadata!G933="",FALSE,TRUE),exact(Metadata!G933,"years"))</f>
        <v>0</v>
      </c>
      <c r="AH933">
        <f>OR(AND(IF(Metadata!H933="",FALSE,TRUE),OR(exact(Metadata!H933,"not applicable"),exact(Metadata!H933,"not collected"),exact(Metadata!H933,"not provided"),exact(Metadata!H933,"restricted access"))),AND(IF(Metadata!H933="",FALSE,ISNUMBER(VALUE(Metadata!H933))),Metadata!H933&gt;0))</f>
        <v>0</v>
      </c>
      <c r="AI933">
        <f>AND(IF(Metadata!I933="",FALSE,TRUE),exact(Metadata!I933,"human"))</f>
        <v>0</v>
      </c>
      <c r="AJ933">
        <f>AND(IF(Metadata!J933="",FALSE,ISNUMBER(VALUE(Metadata!J933))),Metadata!J933&gt;0)</f>
        <v>0</v>
      </c>
      <c r="AK933">
        <f>AND(IF(Metadata!K933="",FALSE,TRUE),exact(Metadata!K933,"cm"))</f>
        <v>0</v>
      </c>
      <c r="AL933">
        <f>AND(IF(Metadata!L933="",FALSE,TRUE),exact(Metadata!L933,"Homo sapiens"))</f>
        <v>0</v>
      </c>
      <c r="AM933">
        <f>AND(IF(Metadata!M933="",FALSE,TRUE),exact(Metadata!M933,"9606"))</f>
        <v>0</v>
      </c>
      <c r="AN933">
        <f>AND(IF(Metadata!N933="",FALSE,ISNUMBER(VALUE(Metadata!N933))),Metadata!N933&gt;0)</f>
        <v>0</v>
      </c>
      <c r="AO933">
        <f>AND(IF(Metadata!O933="",FALSE,TRUE),exact(Metadata!O933,"kg"))</f>
        <v>0</v>
      </c>
      <c r="AP933">
        <f>OR(AND(IF(Metadata!P933="",FALSE,TRUE),exact(Metadata!P933,"not provided")),IF(Metadata!P933="",FALSE,TRUE))</f>
        <v>0</v>
      </c>
      <c r="AQ933">
        <f>OR(AND(IF(Metadata!Q933="",FALSE,TRUE),exact(Metadata!Q933,"not provided")),IF(Metadata!Q933="",FALSE,TRUE))</f>
        <v>0</v>
      </c>
    </row>
    <row r="934" spans="1:43">
      <c r="A934" s="4">
        <f>IF(B934=" "," ",HYPERLINK(CONCATENATE("#metadata!",ADDRESS(INDEX($W$2:$W$1001,MATCH(ROWS($U$2:U934),$U$2:$U$1001,0),0),2)),INDEX($Z$2:$Z$1001,MATCH(ROWS($U$2:U934),$U$2:$U$1001,0),0)))</f>
        <v>0</v>
      </c>
      <c r="B934" s="5">
        <f>IF(OR(INDEX($V$2:$V$1001,MATCH(ROWS($U$2:U934),$U$2:$U$1001,0),1)&gt;=100000,INDEX($AB$1005:$AQ$1005,1,MATCH(COLUMNS($AB$1006:AB1006),$AB$1006:$AQ$1006,0))&gt;=100000), " ",IF(INDEX($AB$2:$AQ$1001,MATCH(ROWS($U$2:U934),$U$2:$U$1001,0),MATCH(COLUMNS($AB$1006:AB1006),$AB$1006:$AQ$1006,0)), HYPERLINK("#",""), HYPERLINK(CONCATENATE("#Metadata!", ADDRESS(INDEX($W$2:$W$1001,MATCH(ROWS($U$2:U934),$U$2:$U$1001,0),0), INDEX($AB$1004:$AQ$1004,1,MATCH(COLUMNS($AB$1006:AB1006),$AB$1006:$AQ$1006,0)))),"Fix")))</f>
        <v>0</v>
      </c>
      <c r="C934" s="5">
        <f>IF(OR(INDEX($V$2:$V$1001,MATCH(ROWS($U$2:U934),$U$2:$U$1001,0),1)&gt;=100000,INDEX($AB$1005:$AQ$1005,1,MATCH(COLUMNS($AB$1006:AC1006),$AB$1006:$AQ$1006,0))&gt;=100000), " ",IF(INDEX($AB$2:$AQ$1001,MATCH(ROWS($U$2:U934),$U$2:$U$1001,0),MATCH(COLUMNS($AB$1006:AC1006),$AB$1006:$AQ$1006,0)), HYPERLINK("#",""), HYPERLINK(CONCATENATE("#Metadata!", ADDRESS(INDEX($W$2:$W$1001,MATCH(ROWS($U$2:U934),$U$2:$U$1001,0),0), INDEX($AB$1004:$AQ$1004,1,MATCH(COLUMNS($AB$1006:AC1006),$AB$1006:$AQ$1006,0)))),"Fix")))</f>
        <v>0</v>
      </c>
      <c r="D934" s="5">
        <f>IF(OR(INDEX($V$2:$V$1001,MATCH(ROWS($U$2:U934),$U$2:$U$1001,0),1)&gt;=100000,INDEX($AB$1005:$AQ$1005,1,MATCH(COLUMNS($AB$1006:AD1006),$AB$1006:$AQ$1006,0))&gt;=100000), " ",IF(INDEX($AB$2:$AQ$1001,MATCH(ROWS($U$2:U934),$U$2:$U$1001,0),MATCH(COLUMNS($AB$1006:AD1006),$AB$1006:$AQ$1006,0)), HYPERLINK("#",""), HYPERLINK(CONCATENATE("#Metadata!", ADDRESS(INDEX($W$2:$W$1001,MATCH(ROWS($U$2:U934),$U$2:$U$1001,0),0), INDEX($AB$1004:$AQ$1004,1,MATCH(COLUMNS($AB$1006:AD1006),$AB$1006:$AQ$1006,0)))),"Fix")))</f>
        <v>0</v>
      </c>
      <c r="E934" s="5">
        <f>IF(OR(INDEX($V$2:$V$1001,MATCH(ROWS($U$2:U934),$U$2:$U$1001,0),1)&gt;=100000,INDEX($AB$1005:$AQ$1005,1,MATCH(COLUMNS($AB$1006:AE1006),$AB$1006:$AQ$1006,0))&gt;=100000), " ",IF(INDEX($AB$2:$AQ$1001,MATCH(ROWS($U$2:U934),$U$2:$U$1001,0),MATCH(COLUMNS($AB$1006:AE1006),$AB$1006:$AQ$1006,0)), HYPERLINK("#",""), HYPERLINK(CONCATENATE("#Metadata!", ADDRESS(INDEX($W$2:$W$1001,MATCH(ROWS($U$2:U934),$U$2:$U$1001,0),0), INDEX($AB$1004:$AQ$1004,1,MATCH(COLUMNS($AB$1006:AE1006),$AB$1006:$AQ$1006,0)))),"Fix")))</f>
        <v>0</v>
      </c>
      <c r="F934" s="5">
        <f>IF(OR(INDEX($V$2:$V$1001,MATCH(ROWS($U$2:U934),$U$2:$U$1001,0),1)&gt;=100000,INDEX($AB$1005:$AQ$1005,1,MATCH(COLUMNS($AB$1006:AF1006),$AB$1006:$AQ$1006,0))&gt;=100000), " ",IF(INDEX($AB$2:$AQ$1001,MATCH(ROWS($U$2:U934),$U$2:$U$1001,0),MATCH(COLUMNS($AB$1006:AF1006),$AB$1006:$AQ$1006,0)), HYPERLINK("#",""), HYPERLINK(CONCATENATE("#Metadata!", ADDRESS(INDEX($W$2:$W$1001,MATCH(ROWS($U$2:U934),$U$2:$U$1001,0),0), INDEX($AB$1004:$AQ$1004,1,MATCH(COLUMNS($AB$1006:AF1006),$AB$1006:$AQ$1006,0)))),"Fix")))</f>
        <v>0</v>
      </c>
      <c r="G934" s="5">
        <f>IF(OR(INDEX($V$2:$V$1001,MATCH(ROWS($U$2:U934),$U$2:$U$1001,0),1)&gt;=100000,INDEX($AB$1005:$AQ$1005,1,MATCH(COLUMNS($AB$1006:AG1006),$AB$1006:$AQ$1006,0))&gt;=100000), " ",IF(INDEX($AB$2:$AQ$1001,MATCH(ROWS($U$2:U934),$U$2:$U$1001,0),MATCH(COLUMNS($AB$1006:AG1006),$AB$1006:$AQ$1006,0)), HYPERLINK("#",""), HYPERLINK(CONCATENATE("#Metadata!", ADDRESS(INDEX($W$2:$W$1001,MATCH(ROWS($U$2:U934),$U$2:$U$1001,0),0), INDEX($AB$1004:$AQ$1004,1,MATCH(COLUMNS($AB$1006:AG1006),$AB$1006:$AQ$1006,0)))),"Fix")))</f>
        <v>0</v>
      </c>
      <c r="H934" s="5">
        <f>IF(OR(INDEX($V$2:$V$1001,MATCH(ROWS($U$2:U934),$U$2:$U$1001,0),1)&gt;=100000,INDEX($AB$1005:$AQ$1005,1,MATCH(COLUMNS($AB$1006:AH1006),$AB$1006:$AQ$1006,0))&gt;=100000), " ",IF(INDEX($AB$2:$AQ$1001,MATCH(ROWS($U$2:U934),$U$2:$U$1001,0),MATCH(COLUMNS($AB$1006:AH1006),$AB$1006:$AQ$1006,0)), HYPERLINK("#",""), HYPERLINK(CONCATENATE("#Metadata!", ADDRESS(INDEX($W$2:$W$1001,MATCH(ROWS($U$2:U934),$U$2:$U$1001,0),0), INDEX($AB$1004:$AQ$1004,1,MATCH(COLUMNS($AB$1006:AH1006),$AB$1006:$AQ$1006,0)))),"Fix")))</f>
        <v>0</v>
      </c>
      <c r="I934" s="5">
        <f>IF(OR(INDEX($V$2:$V$1001,MATCH(ROWS($U$2:U934),$U$2:$U$1001,0),1)&gt;=100000,INDEX($AB$1005:$AQ$1005,1,MATCH(COLUMNS($AB$1006:AI1006),$AB$1006:$AQ$1006,0))&gt;=100000), " ",IF(INDEX($AB$2:$AQ$1001,MATCH(ROWS($U$2:U934),$U$2:$U$1001,0),MATCH(COLUMNS($AB$1006:AI1006),$AB$1006:$AQ$1006,0)), HYPERLINK("#",""), HYPERLINK(CONCATENATE("#Metadata!", ADDRESS(INDEX($W$2:$W$1001,MATCH(ROWS($U$2:U934),$U$2:$U$1001,0),0), INDEX($AB$1004:$AQ$1004,1,MATCH(COLUMNS($AB$1006:AI1006),$AB$1006:$AQ$1006,0)))),"Fix")))</f>
        <v>0</v>
      </c>
      <c r="J934" s="5">
        <f>IF(OR(INDEX($V$2:$V$1001,MATCH(ROWS($U$2:U934),$U$2:$U$1001,0),1)&gt;=100000,INDEX($AB$1005:$AQ$1005,1,MATCH(COLUMNS($AB$1006:AJ1006),$AB$1006:$AQ$1006,0))&gt;=100000), " ",IF(INDEX($AB$2:$AQ$1001,MATCH(ROWS($U$2:U934),$U$2:$U$1001,0),MATCH(COLUMNS($AB$1006:AJ1006),$AB$1006:$AQ$1006,0)), HYPERLINK("#",""), HYPERLINK(CONCATENATE("#Metadata!", ADDRESS(INDEX($W$2:$W$1001,MATCH(ROWS($U$2:U934),$U$2:$U$1001,0),0), INDEX($AB$1004:$AQ$1004,1,MATCH(COLUMNS($AB$1006:AJ1006),$AB$1006:$AQ$1006,0)))),"Fix")))</f>
        <v>0</v>
      </c>
      <c r="K934" s="5">
        <f>IF(OR(INDEX($V$2:$V$1001,MATCH(ROWS($U$2:U934),$U$2:$U$1001,0),1)&gt;=100000,INDEX($AB$1005:$AQ$1005,1,MATCH(COLUMNS($AB$1006:AK1006),$AB$1006:$AQ$1006,0))&gt;=100000), " ",IF(INDEX($AB$2:$AQ$1001,MATCH(ROWS($U$2:U934),$U$2:$U$1001,0),MATCH(COLUMNS($AB$1006:AK1006),$AB$1006:$AQ$1006,0)), HYPERLINK("#",""), HYPERLINK(CONCATENATE("#Metadata!", ADDRESS(INDEX($W$2:$W$1001,MATCH(ROWS($U$2:U934),$U$2:$U$1001,0),0), INDEX($AB$1004:$AQ$1004,1,MATCH(COLUMNS($AB$1006:AK1006),$AB$1006:$AQ$1006,0)))),"Fix")))</f>
        <v>0</v>
      </c>
      <c r="L934" s="5">
        <f>IF(OR(INDEX($V$2:$V$1001,MATCH(ROWS($U$2:U934),$U$2:$U$1001,0),1)&gt;=100000,INDEX($AB$1005:$AQ$1005,1,MATCH(COLUMNS($AB$1006:AL1006),$AB$1006:$AQ$1006,0))&gt;=100000), " ",IF(INDEX($AB$2:$AQ$1001,MATCH(ROWS($U$2:U934),$U$2:$U$1001,0),MATCH(COLUMNS($AB$1006:AL1006),$AB$1006:$AQ$1006,0)), HYPERLINK("#",""), HYPERLINK(CONCATENATE("#Metadata!", ADDRESS(INDEX($W$2:$W$1001,MATCH(ROWS($U$2:U934),$U$2:$U$1001,0),0), INDEX($AB$1004:$AQ$1004,1,MATCH(COLUMNS($AB$1006:AL1006),$AB$1006:$AQ$1006,0)))),"Fix")))</f>
        <v>0</v>
      </c>
      <c r="M934" s="5">
        <f>IF(OR(INDEX($V$2:$V$1001,MATCH(ROWS($U$2:U934),$U$2:$U$1001,0),1)&gt;=100000,INDEX($AB$1005:$AQ$1005,1,MATCH(COLUMNS($AB$1006:AM1006),$AB$1006:$AQ$1006,0))&gt;=100000), " ",IF(INDEX($AB$2:$AQ$1001,MATCH(ROWS($U$2:U934),$U$2:$U$1001,0),MATCH(COLUMNS($AB$1006:AM1006),$AB$1006:$AQ$1006,0)), HYPERLINK("#",""), HYPERLINK(CONCATENATE("#Metadata!", ADDRESS(INDEX($W$2:$W$1001,MATCH(ROWS($U$2:U934),$U$2:$U$1001,0),0), INDEX($AB$1004:$AQ$1004,1,MATCH(COLUMNS($AB$1006:AM1006),$AB$1006:$AQ$1006,0)))),"Fix")))</f>
        <v>0</v>
      </c>
      <c r="N934" s="5">
        <f>IF(OR(INDEX($V$2:$V$1001,MATCH(ROWS($U$2:U934),$U$2:$U$1001,0),1)&gt;=100000,INDEX($AB$1005:$AQ$1005,1,MATCH(COLUMNS($AB$1006:AN1006),$AB$1006:$AQ$1006,0))&gt;=100000), " ",IF(INDEX($AB$2:$AQ$1001,MATCH(ROWS($U$2:U934),$U$2:$U$1001,0),MATCH(COLUMNS($AB$1006:AN1006),$AB$1006:$AQ$1006,0)), HYPERLINK("#",""), HYPERLINK(CONCATENATE("#Metadata!", ADDRESS(INDEX($W$2:$W$1001,MATCH(ROWS($U$2:U934),$U$2:$U$1001,0),0), INDEX($AB$1004:$AQ$1004,1,MATCH(COLUMNS($AB$1006:AN1006),$AB$1006:$AQ$1006,0)))),"Fix")))</f>
        <v>0</v>
      </c>
      <c r="O934" s="5">
        <f>IF(OR(INDEX($V$2:$V$1001,MATCH(ROWS($U$2:U934),$U$2:$U$1001,0),1)&gt;=100000,INDEX($AB$1005:$AQ$1005,1,MATCH(COLUMNS($AB$1006:AO1006),$AB$1006:$AQ$1006,0))&gt;=100000), " ",IF(INDEX($AB$2:$AQ$1001,MATCH(ROWS($U$2:U934),$U$2:$U$1001,0),MATCH(COLUMNS($AB$1006:AO1006),$AB$1006:$AQ$1006,0)), HYPERLINK("#",""), HYPERLINK(CONCATENATE("#Metadata!", ADDRESS(INDEX($W$2:$W$1001,MATCH(ROWS($U$2:U934),$U$2:$U$1001,0),0), INDEX($AB$1004:$AQ$1004,1,MATCH(COLUMNS($AB$1006:AO1006),$AB$1006:$AQ$1006,0)))),"Fix")))</f>
        <v>0</v>
      </c>
      <c r="P934" s="5">
        <f>IF(OR(INDEX($V$2:$V$1001,MATCH(ROWS($U$2:U934),$U$2:$U$1001,0),1)&gt;=100000,INDEX($AB$1005:$AQ$1005,1,MATCH(COLUMNS($AB$1006:AP1006),$AB$1006:$AQ$1006,0))&gt;=100000), " ",IF(INDEX($AB$2:$AQ$1001,MATCH(ROWS($U$2:U934),$U$2:$U$1001,0),MATCH(COLUMNS($AB$1006:AP1006),$AB$1006:$AQ$1006,0)), HYPERLINK("#",""), HYPERLINK(CONCATENATE("#Metadata!", ADDRESS(INDEX($W$2:$W$1001,MATCH(ROWS($U$2:U934),$U$2:$U$1001,0),0), INDEX($AB$1004:$AQ$1004,1,MATCH(COLUMNS($AB$1006:AP1006),$AB$1006:$AQ$1006,0)))),"Fix")))</f>
        <v>0</v>
      </c>
      <c r="Q934" s="5">
        <f>IF(OR(INDEX($V$2:$V$1001,MATCH(ROWS($U$2:U934),$U$2:$U$1001,0),1)&gt;=100000,INDEX($AB$1005:$AQ$1005,1,MATCH(COLUMNS($AB$1006:AQ1006),$AB$1006:$AQ$1006,0))&gt;=100000), " ",IF(INDEX($AB$2:$AQ$1001,MATCH(ROWS($U$2:U934),$U$2:$U$1001,0),MATCH(COLUMNS($AB$1006:AQ1006),$AB$1006:$AQ$1006,0)), HYPERLINK("#",""), HYPERLINK(CONCATENATE("#Metadata!", ADDRESS(INDEX($W$2:$W$1001,MATCH(ROWS($U$2:U934),$U$2:$U$1001,0),0), INDEX($AB$1004:$AQ$1004,1,MATCH(COLUMNS($AB$1006:AQ1006),$AB$1006:$AQ$1006,0)))),"Fix")))</f>
        <v>0</v>
      </c>
      <c r="U934">
        <v>0</v>
      </c>
      <c r="V934">
        <v>0</v>
      </c>
      <c r="W934">
        <v>0</v>
      </c>
      <c r="X934">
        <f>IF(Y934,TRUE,AND(AB934:AQ934))</f>
        <v>0</v>
      </c>
      <c r="Y934">
        <f>COUNTBLANK(Metadata!B934:Q934)=COLUMNS(Metadata!B934:Q934)</f>
        <v>0</v>
      </c>
      <c r="Z934">
        <v>0</v>
      </c>
      <c r="AB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AC934">
        <f>AND(IF(Metadata!C934="",FALSE,TRUE),exact(Metadata!C934,"urban biome"))</f>
        <v>0</v>
      </c>
      <c r="AD934">
        <f>AND(IF(Metadata!D934="",FALSE,TRUE),exact(Metadata!D934,"human-associated habitat"))</f>
        <v>0</v>
      </c>
      <c r="AE934">
        <f>AND(IF(Metadata!E934="",FALSE,TRUE),OR(exact(Metadata!E934,"human-associated"),exact(Metadata!E934,"human-skin"),exact(Metadata!E934,"human-oral"),exact(Metadata!E934,"human-gut"),exact(Metadata!E934,"human-vaginal")))</f>
        <v>0</v>
      </c>
      <c r="AF934">
        <f>AND(IF(Metadata!F934="",FALSE,ISNUMBER(VALUE(Metadata!F934))),Metadata!F934&gt;0)</f>
        <v>0</v>
      </c>
      <c r="AG934">
        <f>AND(IF(Metadata!G934="",FALSE,TRUE),exact(Metadata!G934,"years"))</f>
        <v>0</v>
      </c>
      <c r="AH934">
        <f>OR(AND(IF(Metadata!H934="",FALSE,TRUE),OR(exact(Metadata!H934,"not applicable"),exact(Metadata!H934,"not collected"),exact(Metadata!H934,"not provided"),exact(Metadata!H934,"restricted access"))),AND(IF(Metadata!H934="",FALSE,ISNUMBER(VALUE(Metadata!H934))),Metadata!H934&gt;0))</f>
        <v>0</v>
      </c>
      <c r="AI934">
        <f>AND(IF(Metadata!I934="",FALSE,TRUE),exact(Metadata!I934,"human"))</f>
        <v>0</v>
      </c>
      <c r="AJ934">
        <f>AND(IF(Metadata!J934="",FALSE,ISNUMBER(VALUE(Metadata!J934))),Metadata!J934&gt;0)</f>
        <v>0</v>
      </c>
      <c r="AK934">
        <f>AND(IF(Metadata!K934="",FALSE,TRUE),exact(Metadata!K934,"cm"))</f>
        <v>0</v>
      </c>
      <c r="AL934">
        <f>AND(IF(Metadata!L934="",FALSE,TRUE),exact(Metadata!L934,"Homo sapiens"))</f>
        <v>0</v>
      </c>
      <c r="AM934">
        <f>AND(IF(Metadata!M934="",FALSE,TRUE),exact(Metadata!M934,"9606"))</f>
        <v>0</v>
      </c>
      <c r="AN934">
        <f>AND(IF(Metadata!N934="",FALSE,ISNUMBER(VALUE(Metadata!N934))),Metadata!N934&gt;0)</f>
        <v>0</v>
      </c>
      <c r="AO934">
        <f>AND(IF(Metadata!O934="",FALSE,TRUE),exact(Metadata!O934,"kg"))</f>
        <v>0</v>
      </c>
      <c r="AP934">
        <f>OR(AND(IF(Metadata!P934="",FALSE,TRUE),exact(Metadata!P934,"not provided")),IF(Metadata!P934="",FALSE,TRUE))</f>
        <v>0</v>
      </c>
      <c r="AQ934">
        <f>OR(AND(IF(Metadata!Q934="",FALSE,TRUE),exact(Metadata!Q934,"not provided")),IF(Metadata!Q934="",FALSE,TRUE))</f>
        <v>0</v>
      </c>
    </row>
    <row r="935" spans="1:43">
      <c r="A935" s="4">
        <f>IF(B935=" "," ",HYPERLINK(CONCATENATE("#metadata!",ADDRESS(INDEX($W$2:$W$1001,MATCH(ROWS($U$2:U935),$U$2:$U$1001,0),0),2)),INDEX($Z$2:$Z$1001,MATCH(ROWS($U$2:U935),$U$2:$U$1001,0),0)))</f>
        <v>0</v>
      </c>
      <c r="B935" s="5">
        <f>IF(OR(INDEX($V$2:$V$1001,MATCH(ROWS($U$2:U935),$U$2:$U$1001,0),1)&gt;=100000,INDEX($AB$1005:$AQ$1005,1,MATCH(COLUMNS($AB$1006:AB1006),$AB$1006:$AQ$1006,0))&gt;=100000), " ",IF(INDEX($AB$2:$AQ$1001,MATCH(ROWS($U$2:U935),$U$2:$U$1001,0),MATCH(COLUMNS($AB$1006:AB1006),$AB$1006:$AQ$1006,0)), HYPERLINK("#",""), HYPERLINK(CONCATENATE("#Metadata!", ADDRESS(INDEX($W$2:$W$1001,MATCH(ROWS($U$2:U935),$U$2:$U$1001,0),0), INDEX($AB$1004:$AQ$1004,1,MATCH(COLUMNS($AB$1006:AB1006),$AB$1006:$AQ$1006,0)))),"Fix")))</f>
        <v>0</v>
      </c>
      <c r="C935" s="5">
        <f>IF(OR(INDEX($V$2:$V$1001,MATCH(ROWS($U$2:U935),$U$2:$U$1001,0),1)&gt;=100000,INDEX($AB$1005:$AQ$1005,1,MATCH(COLUMNS($AB$1006:AC1006),$AB$1006:$AQ$1006,0))&gt;=100000), " ",IF(INDEX($AB$2:$AQ$1001,MATCH(ROWS($U$2:U935),$U$2:$U$1001,0),MATCH(COLUMNS($AB$1006:AC1006),$AB$1006:$AQ$1006,0)), HYPERLINK("#",""), HYPERLINK(CONCATENATE("#Metadata!", ADDRESS(INDEX($W$2:$W$1001,MATCH(ROWS($U$2:U935),$U$2:$U$1001,0),0), INDEX($AB$1004:$AQ$1004,1,MATCH(COLUMNS($AB$1006:AC1006),$AB$1006:$AQ$1006,0)))),"Fix")))</f>
        <v>0</v>
      </c>
      <c r="D935" s="5">
        <f>IF(OR(INDEX($V$2:$V$1001,MATCH(ROWS($U$2:U935),$U$2:$U$1001,0),1)&gt;=100000,INDEX($AB$1005:$AQ$1005,1,MATCH(COLUMNS($AB$1006:AD1006),$AB$1006:$AQ$1006,0))&gt;=100000), " ",IF(INDEX($AB$2:$AQ$1001,MATCH(ROWS($U$2:U935),$U$2:$U$1001,0),MATCH(COLUMNS($AB$1006:AD1006),$AB$1006:$AQ$1006,0)), HYPERLINK("#",""), HYPERLINK(CONCATENATE("#Metadata!", ADDRESS(INDEX($W$2:$W$1001,MATCH(ROWS($U$2:U935),$U$2:$U$1001,0),0), INDEX($AB$1004:$AQ$1004,1,MATCH(COLUMNS($AB$1006:AD1006),$AB$1006:$AQ$1006,0)))),"Fix")))</f>
        <v>0</v>
      </c>
      <c r="E935" s="5">
        <f>IF(OR(INDEX($V$2:$V$1001,MATCH(ROWS($U$2:U935),$U$2:$U$1001,0),1)&gt;=100000,INDEX($AB$1005:$AQ$1005,1,MATCH(COLUMNS($AB$1006:AE1006),$AB$1006:$AQ$1006,0))&gt;=100000), " ",IF(INDEX($AB$2:$AQ$1001,MATCH(ROWS($U$2:U935),$U$2:$U$1001,0),MATCH(COLUMNS($AB$1006:AE1006),$AB$1006:$AQ$1006,0)), HYPERLINK("#",""), HYPERLINK(CONCATENATE("#Metadata!", ADDRESS(INDEX($W$2:$W$1001,MATCH(ROWS($U$2:U935),$U$2:$U$1001,0),0), INDEX($AB$1004:$AQ$1004,1,MATCH(COLUMNS($AB$1006:AE1006),$AB$1006:$AQ$1006,0)))),"Fix")))</f>
        <v>0</v>
      </c>
      <c r="F935" s="5">
        <f>IF(OR(INDEX($V$2:$V$1001,MATCH(ROWS($U$2:U935),$U$2:$U$1001,0),1)&gt;=100000,INDEX($AB$1005:$AQ$1005,1,MATCH(COLUMNS($AB$1006:AF1006),$AB$1006:$AQ$1006,0))&gt;=100000), " ",IF(INDEX($AB$2:$AQ$1001,MATCH(ROWS($U$2:U935),$U$2:$U$1001,0),MATCH(COLUMNS($AB$1006:AF1006),$AB$1006:$AQ$1006,0)), HYPERLINK("#",""), HYPERLINK(CONCATENATE("#Metadata!", ADDRESS(INDEX($W$2:$W$1001,MATCH(ROWS($U$2:U935),$U$2:$U$1001,0),0), INDEX($AB$1004:$AQ$1004,1,MATCH(COLUMNS($AB$1006:AF1006),$AB$1006:$AQ$1006,0)))),"Fix")))</f>
        <v>0</v>
      </c>
      <c r="G935" s="5">
        <f>IF(OR(INDEX($V$2:$V$1001,MATCH(ROWS($U$2:U935),$U$2:$U$1001,0),1)&gt;=100000,INDEX($AB$1005:$AQ$1005,1,MATCH(COLUMNS($AB$1006:AG1006),$AB$1006:$AQ$1006,0))&gt;=100000), " ",IF(INDEX($AB$2:$AQ$1001,MATCH(ROWS($U$2:U935),$U$2:$U$1001,0),MATCH(COLUMNS($AB$1006:AG1006),$AB$1006:$AQ$1006,0)), HYPERLINK("#",""), HYPERLINK(CONCATENATE("#Metadata!", ADDRESS(INDEX($W$2:$W$1001,MATCH(ROWS($U$2:U935),$U$2:$U$1001,0),0), INDEX($AB$1004:$AQ$1004,1,MATCH(COLUMNS($AB$1006:AG1006),$AB$1006:$AQ$1006,0)))),"Fix")))</f>
        <v>0</v>
      </c>
      <c r="H935" s="5">
        <f>IF(OR(INDEX($V$2:$V$1001,MATCH(ROWS($U$2:U935),$U$2:$U$1001,0),1)&gt;=100000,INDEX($AB$1005:$AQ$1005,1,MATCH(COLUMNS($AB$1006:AH1006),$AB$1006:$AQ$1006,0))&gt;=100000), " ",IF(INDEX($AB$2:$AQ$1001,MATCH(ROWS($U$2:U935),$U$2:$U$1001,0),MATCH(COLUMNS($AB$1006:AH1006),$AB$1006:$AQ$1006,0)), HYPERLINK("#",""), HYPERLINK(CONCATENATE("#Metadata!", ADDRESS(INDEX($W$2:$W$1001,MATCH(ROWS($U$2:U935),$U$2:$U$1001,0),0), INDEX($AB$1004:$AQ$1004,1,MATCH(COLUMNS($AB$1006:AH1006),$AB$1006:$AQ$1006,0)))),"Fix")))</f>
        <v>0</v>
      </c>
      <c r="I935" s="5">
        <f>IF(OR(INDEX($V$2:$V$1001,MATCH(ROWS($U$2:U935),$U$2:$U$1001,0),1)&gt;=100000,INDEX($AB$1005:$AQ$1005,1,MATCH(COLUMNS($AB$1006:AI1006),$AB$1006:$AQ$1006,0))&gt;=100000), " ",IF(INDEX($AB$2:$AQ$1001,MATCH(ROWS($U$2:U935),$U$2:$U$1001,0),MATCH(COLUMNS($AB$1006:AI1006),$AB$1006:$AQ$1006,0)), HYPERLINK("#",""), HYPERLINK(CONCATENATE("#Metadata!", ADDRESS(INDEX($W$2:$W$1001,MATCH(ROWS($U$2:U935),$U$2:$U$1001,0),0), INDEX($AB$1004:$AQ$1004,1,MATCH(COLUMNS($AB$1006:AI1006),$AB$1006:$AQ$1006,0)))),"Fix")))</f>
        <v>0</v>
      </c>
      <c r="J935" s="5">
        <f>IF(OR(INDEX($V$2:$V$1001,MATCH(ROWS($U$2:U935),$U$2:$U$1001,0),1)&gt;=100000,INDEX($AB$1005:$AQ$1005,1,MATCH(COLUMNS($AB$1006:AJ1006),$AB$1006:$AQ$1006,0))&gt;=100000), " ",IF(INDEX($AB$2:$AQ$1001,MATCH(ROWS($U$2:U935),$U$2:$U$1001,0),MATCH(COLUMNS($AB$1006:AJ1006),$AB$1006:$AQ$1006,0)), HYPERLINK("#",""), HYPERLINK(CONCATENATE("#Metadata!", ADDRESS(INDEX($W$2:$W$1001,MATCH(ROWS($U$2:U935),$U$2:$U$1001,0),0), INDEX($AB$1004:$AQ$1004,1,MATCH(COLUMNS($AB$1006:AJ1006),$AB$1006:$AQ$1006,0)))),"Fix")))</f>
        <v>0</v>
      </c>
      <c r="K935" s="5">
        <f>IF(OR(INDEX($V$2:$V$1001,MATCH(ROWS($U$2:U935),$U$2:$U$1001,0),1)&gt;=100000,INDEX($AB$1005:$AQ$1005,1,MATCH(COLUMNS($AB$1006:AK1006),$AB$1006:$AQ$1006,0))&gt;=100000), " ",IF(INDEX($AB$2:$AQ$1001,MATCH(ROWS($U$2:U935),$U$2:$U$1001,0),MATCH(COLUMNS($AB$1006:AK1006),$AB$1006:$AQ$1006,0)), HYPERLINK("#",""), HYPERLINK(CONCATENATE("#Metadata!", ADDRESS(INDEX($W$2:$W$1001,MATCH(ROWS($U$2:U935),$U$2:$U$1001,0),0), INDEX($AB$1004:$AQ$1004,1,MATCH(COLUMNS($AB$1006:AK1006),$AB$1006:$AQ$1006,0)))),"Fix")))</f>
        <v>0</v>
      </c>
      <c r="L935" s="5">
        <f>IF(OR(INDEX($V$2:$V$1001,MATCH(ROWS($U$2:U935),$U$2:$U$1001,0),1)&gt;=100000,INDEX($AB$1005:$AQ$1005,1,MATCH(COLUMNS($AB$1006:AL1006),$AB$1006:$AQ$1006,0))&gt;=100000), " ",IF(INDEX($AB$2:$AQ$1001,MATCH(ROWS($U$2:U935),$U$2:$U$1001,0),MATCH(COLUMNS($AB$1006:AL1006),$AB$1006:$AQ$1006,0)), HYPERLINK("#",""), HYPERLINK(CONCATENATE("#Metadata!", ADDRESS(INDEX($W$2:$W$1001,MATCH(ROWS($U$2:U935),$U$2:$U$1001,0),0), INDEX($AB$1004:$AQ$1004,1,MATCH(COLUMNS($AB$1006:AL1006),$AB$1006:$AQ$1006,0)))),"Fix")))</f>
        <v>0</v>
      </c>
      <c r="M935" s="5">
        <f>IF(OR(INDEX($V$2:$V$1001,MATCH(ROWS($U$2:U935),$U$2:$U$1001,0),1)&gt;=100000,INDEX($AB$1005:$AQ$1005,1,MATCH(COLUMNS($AB$1006:AM1006),$AB$1006:$AQ$1006,0))&gt;=100000), " ",IF(INDEX($AB$2:$AQ$1001,MATCH(ROWS($U$2:U935),$U$2:$U$1001,0),MATCH(COLUMNS($AB$1006:AM1006),$AB$1006:$AQ$1006,0)), HYPERLINK("#",""), HYPERLINK(CONCATENATE("#Metadata!", ADDRESS(INDEX($W$2:$W$1001,MATCH(ROWS($U$2:U935),$U$2:$U$1001,0),0), INDEX($AB$1004:$AQ$1004,1,MATCH(COLUMNS($AB$1006:AM1006),$AB$1006:$AQ$1006,0)))),"Fix")))</f>
        <v>0</v>
      </c>
      <c r="N935" s="5">
        <f>IF(OR(INDEX($V$2:$V$1001,MATCH(ROWS($U$2:U935),$U$2:$U$1001,0),1)&gt;=100000,INDEX($AB$1005:$AQ$1005,1,MATCH(COLUMNS($AB$1006:AN1006),$AB$1006:$AQ$1006,0))&gt;=100000), " ",IF(INDEX($AB$2:$AQ$1001,MATCH(ROWS($U$2:U935),$U$2:$U$1001,0),MATCH(COLUMNS($AB$1006:AN1006),$AB$1006:$AQ$1006,0)), HYPERLINK("#",""), HYPERLINK(CONCATENATE("#Metadata!", ADDRESS(INDEX($W$2:$W$1001,MATCH(ROWS($U$2:U935),$U$2:$U$1001,0),0), INDEX($AB$1004:$AQ$1004,1,MATCH(COLUMNS($AB$1006:AN1006),$AB$1006:$AQ$1006,0)))),"Fix")))</f>
        <v>0</v>
      </c>
      <c r="O935" s="5">
        <f>IF(OR(INDEX($V$2:$V$1001,MATCH(ROWS($U$2:U935),$U$2:$U$1001,0),1)&gt;=100000,INDEX($AB$1005:$AQ$1005,1,MATCH(COLUMNS($AB$1006:AO1006),$AB$1006:$AQ$1006,0))&gt;=100000), " ",IF(INDEX($AB$2:$AQ$1001,MATCH(ROWS($U$2:U935),$U$2:$U$1001,0),MATCH(COLUMNS($AB$1006:AO1006),$AB$1006:$AQ$1006,0)), HYPERLINK("#",""), HYPERLINK(CONCATENATE("#Metadata!", ADDRESS(INDEX($W$2:$W$1001,MATCH(ROWS($U$2:U935),$U$2:$U$1001,0),0), INDEX($AB$1004:$AQ$1004,1,MATCH(COLUMNS($AB$1006:AO1006),$AB$1006:$AQ$1006,0)))),"Fix")))</f>
        <v>0</v>
      </c>
      <c r="P935" s="5">
        <f>IF(OR(INDEX($V$2:$V$1001,MATCH(ROWS($U$2:U935),$U$2:$U$1001,0),1)&gt;=100000,INDEX($AB$1005:$AQ$1005,1,MATCH(COLUMNS($AB$1006:AP1006),$AB$1006:$AQ$1006,0))&gt;=100000), " ",IF(INDEX($AB$2:$AQ$1001,MATCH(ROWS($U$2:U935),$U$2:$U$1001,0),MATCH(COLUMNS($AB$1006:AP1006),$AB$1006:$AQ$1006,0)), HYPERLINK("#",""), HYPERLINK(CONCATENATE("#Metadata!", ADDRESS(INDEX($W$2:$W$1001,MATCH(ROWS($U$2:U935),$U$2:$U$1001,0),0), INDEX($AB$1004:$AQ$1004,1,MATCH(COLUMNS($AB$1006:AP1006),$AB$1006:$AQ$1006,0)))),"Fix")))</f>
        <v>0</v>
      </c>
      <c r="Q935" s="5">
        <f>IF(OR(INDEX($V$2:$V$1001,MATCH(ROWS($U$2:U935),$U$2:$U$1001,0),1)&gt;=100000,INDEX($AB$1005:$AQ$1005,1,MATCH(COLUMNS($AB$1006:AQ1006),$AB$1006:$AQ$1006,0))&gt;=100000), " ",IF(INDEX($AB$2:$AQ$1001,MATCH(ROWS($U$2:U935),$U$2:$U$1001,0),MATCH(COLUMNS($AB$1006:AQ1006),$AB$1006:$AQ$1006,0)), HYPERLINK("#",""), HYPERLINK(CONCATENATE("#Metadata!", ADDRESS(INDEX($W$2:$W$1001,MATCH(ROWS($U$2:U935),$U$2:$U$1001,0),0), INDEX($AB$1004:$AQ$1004,1,MATCH(COLUMNS($AB$1006:AQ1006),$AB$1006:$AQ$1006,0)))),"Fix")))</f>
        <v>0</v>
      </c>
      <c r="U935">
        <v>0</v>
      </c>
      <c r="V935">
        <v>0</v>
      </c>
      <c r="W935">
        <v>0</v>
      </c>
      <c r="X935">
        <f>IF(Y935,TRUE,AND(AB935:AQ935))</f>
        <v>0</v>
      </c>
      <c r="Y935">
        <f>COUNTBLANK(Metadata!B935:Q935)=COLUMNS(Metadata!B935:Q935)</f>
        <v>0</v>
      </c>
      <c r="Z935">
        <v>0</v>
      </c>
      <c r="AB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AC935">
        <f>AND(IF(Metadata!C935="",FALSE,TRUE),exact(Metadata!C935,"urban biome"))</f>
        <v>0</v>
      </c>
      <c r="AD935">
        <f>AND(IF(Metadata!D935="",FALSE,TRUE),exact(Metadata!D935,"human-associated habitat"))</f>
        <v>0</v>
      </c>
      <c r="AE935">
        <f>AND(IF(Metadata!E935="",FALSE,TRUE),OR(exact(Metadata!E935,"human-associated"),exact(Metadata!E935,"human-skin"),exact(Metadata!E935,"human-oral"),exact(Metadata!E935,"human-gut"),exact(Metadata!E935,"human-vaginal")))</f>
        <v>0</v>
      </c>
      <c r="AF935">
        <f>AND(IF(Metadata!F935="",FALSE,ISNUMBER(VALUE(Metadata!F935))),Metadata!F935&gt;0)</f>
        <v>0</v>
      </c>
      <c r="AG935">
        <f>AND(IF(Metadata!G935="",FALSE,TRUE),exact(Metadata!G935,"years"))</f>
        <v>0</v>
      </c>
      <c r="AH935">
        <f>OR(AND(IF(Metadata!H935="",FALSE,TRUE),OR(exact(Metadata!H935,"not applicable"),exact(Metadata!H935,"not collected"),exact(Metadata!H935,"not provided"),exact(Metadata!H935,"restricted access"))),AND(IF(Metadata!H935="",FALSE,ISNUMBER(VALUE(Metadata!H935))),Metadata!H935&gt;0))</f>
        <v>0</v>
      </c>
      <c r="AI935">
        <f>AND(IF(Metadata!I935="",FALSE,TRUE),exact(Metadata!I935,"human"))</f>
        <v>0</v>
      </c>
      <c r="AJ935">
        <f>AND(IF(Metadata!J935="",FALSE,ISNUMBER(VALUE(Metadata!J935))),Metadata!J935&gt;0)</f>
        <v>0</v>
      </c>
      <c r="AK935">
        <f>AND(IF(Metadata!K935="",FALSE,TRUE),exact(Metadata!K935,"cm"))</f>
        <v>0</v>
      </c>
      <c r="AL935">
        <f>AND(IF(Metadata!L935="",FALSE,TRUE),exact(Metadata!L935,"Homo sapiens"))</f>
        <v>0</v>
      </c>
      <c r="AM935">
        <f>AND(IF(Metadata!M935="",FALSE,TRUE),exact(Metadata!M935,"9606"))</f>
        <v>0</v>
      </c>
      <c r="AN935">
        <f>AND(IF(Metadata!N935="",FALSE,ISNUMBER(VALUE(Metadata!N935))),Metadata!N935&gt;0)</f>
        <v>0</v>
      </c>
      <c r="AO935">
        <f>AND(IF(Metadata!O935="",FALSE,TRUE),exact(Metadata!O935,"kg"))</f>
        <v>0</v>
      </c>
      <c r="AP935">
        <f>OR(AND(IF(Metadata!P935="",FALSE,TRUE),exact(Metadata!P935,"not provided")),IF(Metadata!P935="",FALSE,TRUE))</f>
        <v>0</v>
      </c>
      <c r="AQ935">
        <f>OR(AND(IF(Metadata!Q935="",FALSE,TRUE),exact(Metadata!Q935,"not provided")),IF(Metadata!Q935="",FALSE,TRUE))</f>
        <v>0</v>
      </c>
    </row>
    <row r="936" spans="1:43">
      <c r="A936" s="4">
        <f>IF(B936=" "," ",HYPERLINK(CONCATENATE("#metadata!",ADDRESS(INDEX($W$2:$W$1001,MATCH(ROWS($U$2:U936),$U$2:$U$1001,0),0),2)),INDEX($Z$2:$Z$1001,MATCH(ROWS($U$2:U936),$U$2:$U$1001,0),0)))</f>
        <v>0</v>
      </c>
      <c r="B936" s="5">
        <f>IF(OR(INDEX($V$2:$V$1001,MATCH(ROWS($U$2:U936),$U$2:$U$1001,0),1)&gt;=100000,INDEX($AB$1005:$AQ$1005,1,MATCH(COLUMNS($AB$1006:AB1006),$AB$1006:$AQ$1006,0))&gt;=100000), " ",IF(INDEX($AB$2:$AQ$1001,MATCH(ROWS($U$2:U936),$U$2:$U$1001,0),MATCH(COLUMNS($AB$1006:AB1006),$AB$1006:$AQ$1006,0)), HYPERLINK("#",""), HYPERLINK(CONCATENATE("#Metadata!", ADDRESS(INDEX($W$2:$W$1001,MATCH(ROWS($U$2:U936),$U$2:$U$1001,0),0), INDEX($AB$1004:$AQ$1004,1,MATCH(COLUMNS($AB$1006:AB1006),$AB$1006:$AQ$1006,0)))),"Fix")))</f>
        <v>0</v>
      </c>
      <c r="C936" s="5">
        <f>IF(OR(INDEX($V$2:$V$1001,MATCH(ROWS($U$2:U936),$U$2:$U$1001,0),1)&gt;=100000,INDEX($AB$1005:$AQ$1005,1,MATCH(COLUMNS($AB$1006:AC1006),$AB$1006:$AQ$1006,0))&gt;=100000), " ",IF(INDEX($AB$2:$AQ$1001,MATCH(ROWS($U$2:U936),$U$2:$U$1001,0),MATCH(COLUMNS($AB$1006:AC1006),$AB$1006:$AQ$1006,0)), HYPERLINK("#",""), HYPERLINK(CONCATENATE("#Metadata!", ADDRESS(INDEX($W$2:$W$1001,MATCH(ROWS($U$2:U936),$U$2:$U$1001,0),0), INDEX($AB$1004:$AQ$1004,1,MATCH(COLUMNS($AB$1006:AC1006),$AB$1006:$AQ$1006,0)))),"Fix")))</f>
        <v>0</v>
      </c>
      <c r="D936" s="5">
        <f>IF(OR(INDEX($V$2:$V$1001,MATCH(ROWS($U$2:U936),$U$2:$U$1001,0),1)&gt;=100000,INDEX($AB$1005:$AQ$1005,1,MATCH(COLUMNS($AB$1006:AD1006),$AB$1006:$AQ$1006,0))&gt;=100000), " ",IF(INDEX($AB$2:$AQ$1001,MATCH(ROWS($U$2:U936),$U$2:$U$1001,0),MATCH(COLUMNS($AB$1006:AD1006),$AB$1006:$AQ$1006,0)), HYPERLINK("#",""), HYPERLINK(CONCATENATE("#Metadata!", ADDRESS(INDEX($W$2:$W$1001,MATCH(ROWS($U$2:U936),$U$2:$U$1001,0),0), INDEX($AB$1004:$AQ$1004,1,MATCH(COLUMNS($AB$1006:AD1006),$AB$1006:$AQ$1006,0)))),"Fix")))</f>
        <v>0</v>
      </c>
      <c r="E936" s="5">
        <f>IF(OR(INDEX($V$2:$V$1001,MATCH(ROWS($U$2:U936),$U$2:$U$1001,0),1)&gt;=100000,INDEX($AB$1005:$AQ$1005,1,MATCH(COLUMNS($AB$1006:AE1006),$AB$1006:$AQ$1006,0))&gt;=100000), " ",IF(INDEX($AB$2:$AQ$1001,MATCH(ROWS($U$2:U936),$U$2:$U$1001,0),MATCH(COLUMNS($AB$1006:AE1006),$AB$1006:$AQ$1006,0)), HYPERLINK("#",""), HYPERLINK(CONCATENATE("#Metadata!", ADDRESS(INDEX($W$2:$W$1001,MATCH(ROWS($U$2:U936),$U$2:$U$1001,0),0), INDEX($AB$1004:$AQ$1004,1,MATCH(COLUMNS($AB$1006:AE1006),$AB$1006:$AQ$1006,0)))),"Fix")))</f>
        <v>0</v>
      </c>
      <c r="F936" s="5">
        <f>IF(OR(INDEX($V$2:$V$1001,MATCH(ROWS($U$2:U936),$U$2:$U$1001,0),1)&gt;=100000,INDEX($AB$1005:$AQ$1005,1,MATCH(COLUMNS($AB$1006:AF1006),$AB$1006:$AQ$1006,0))&gt;=100000), " ",IF(INDEX($AB$2:$AQ$1001,MATCH(ROWS($U$2:U936),$U$2:$U$1001,0),MATCH(COLUMNS($AB$1006:AF1006),$AB$1006:$AQ$1006,0)), HYPERLINK("#",""), HYPERLINK(CONCATENATE("#Metadata!", ADDRESS(INDEX($W$2:$W$1001,MATCH(ROWS($U$2:U936),$U$2:$U$1001,0),0), INDEX($AB$1004:$AQ$1004,1,MATCH(COLUMNS($AB$1006:AF1006),$AB$1006:$AQ$1006,0)))),"Fix")))</f>
        <v>0</v>
      </c>
      <c r="G936" s="5">
        <f>IF(OR(INDEX($V$2:$V$1001,MATCH(ROWS($U$2:U936),$U$2:$U$1001,0),1)&gt;=100000,INDEX($AB$1005:$AQ$1005,1,MATCH(COLUMNS($AB$1006:AG1006),$AB$1006:$AQ$1006,0))&gt;=100000), " ",IF(INDEX($AB$2:$AQ$1001,MATCH(ROWS($U$2:U936),$U$2:$U$1001,0),MATCH(COLUMNS($AB$1006:AG1006),$AB$1006:$AQ$1006,0)), HYPERLINK("#",""), HYPERLINK(CONCATENATE("#Metadata!", ADDRESS(INDEX($W$2:$W$1001,MATCH(ROWS($U$2:U936),$U$2:$U$1001,0),0), INDEX($AB$1004:$AQ$1004,1,MATCH(COLUMNS($AB$1006:AG1006),$AB$1006:$AQ$1006,0)))),"Fix")))</f>
        <v>0</v>
      </c>
      <c r="H936" s="5">
        <f>IF(OR(INDEX($V$2:$V$1001,MATCH(ROWS($U$2:U936),$U$2:$U$1001,0),1)&gt;=100000,INDEX($AB$1005:$AQ$1005,1,MATCH(COLUMNS($AB$1006:AH1006),$AB$1006:$AQ$1006,0))&gt;=100000), " ",IF(INDEX($AB$2:$AQ$1001,MATCH(ROWS($U$2:U936),$U$2:$U$1001,0),MATCH(COLUMNS($AB$1006:AH1006),$AB$1006:$AQ$1006,0)), HYPERLINK("#",""), HYPERLINK(CONCATENATE("#Metadata!", ADDRESS(INDEX($W$2:$W$1001,MATCH(ROWS($U$2:U936),$U$2:$U$1001,0),0), INDEX($AB$1004:$AQ$1004,1,MATCH(COLUMNS($AB$1006:AH1006),$AB$1006:$AQ$1006,0)))),"Fix")))</f>
        <v>0</v>
      </c>
      <c r="I936" s="5">
        <f>IF(OR(INDEX($V$2:$V$1001,MATCH(ROWS($U$2:U936),$U$2:$U$1001,0),1)&gt;=100000,INDEX($AB$1005:$AQ$1005,1,MATCH(COLUMNS($AB$1006:AI1006),$AB$1006:$AQ$1006,0))&gt;=100000), " ",IF(INDEX($AB$2:$AQ$1001,MATCH(ROWS($U$2:U936),$U$2:$U$1001,0),MATCH(COLUMNS($AB$1006:AI1006),$AB$1006:$AQ$1006,0)), HYPERLINK("#",""), HYPERLINK(CONCATENATE("#Metadata!", ADDRESS(INDEX($W$2:$W$1001,MATCH(ROWS($U$2:U936),$U$2:$U$1001,0),0), INDEX($AB$1004:$AQ$1004,1,MATCH(COLUMNS($AB$1006:AI1006),$AB$1006:$AQ$1006,0)))),"Fix")))</f>
        <v>0</v>
      </c>
      <c r="J936" s="5">
        <f>IF(OR(INDEX($V$2:$V$1001,MATCH(ROWS($U$2:U936),$U$2:$U$1001,0),1)&gt;=100000,INDEX($AB$1005:$AQ$1005,1,MATCH(COLUMNS($AB$1006:AJ1006),$AB$1006:$AQ$1006,0))&gt;=100000), " ",IF(INDEX($AB$2:$AQ$1001,MATCH(ROWS($U$2:U936),$U$2:$U$1001,0),MATCH(COLUMNS($AB$1006:AJ1006),$AB$1006:$AQ$1006,0)), HYPERLINK("#",""), HYPERLINK(CONCATENATE("#Metadata!", ADDRESS(INDEX($W$2:$W$1001,MATCH(ROWS($U$2:U936),$U$2:$U$1001,0),0), INDEX($AB$1004:$AQ$1004,1,MATCH(COLUMNS($AB$1006:AJ1006),$AB$1006:$AQ$1006,0)))),"Fix")))</f>
        <v>0</v>
      </c>
      <c r="K936" s="5">
        <f>IF(OR(INDEX($V$2:$V$1001,MATCH(ROWS($U$2:U936),$U$2:$U$1001,0),1)&gt;=100000,INDEX($AB$1005:$AQ$1005,1,MATCH(COLUMNS($AB$1006:AK1006),$AB$1006:$AQ$1006,0))&gt;=100000), " ",IF(INDEX($AB$2:$AQ$1001,MATCH(ROWS($U$2:U936),$U$2:$U$1001,0),MATCH(COLUMNS($AB$1006:AK1006),$AB$1006:$AQ$1006,0)), HYPERLINK("#",""), HYPERLINK(CONCATENATE("#Metadata!", ADDRESS(INDEX($W$2:$W$1001,MATCH(ROWS($U$2:U936),$U$2:$U$1001,0),0), INDEX($AB$1004:$AQ$1004,1,MATCH(COLUMNS($AB$1006:AK1006),$AB$1006:$AQ$1006,0)))),"Fix")))</f>
        <v>0</v>
      </c>
      <c r="L936" s="5">
        <f>IF(OR(INDEX($V$2:$V$1001,MATCH(ROWS($U$2:U936),$U$2:$U$1001,0),1)&gt;=100000,INDEX($AB$1005:$AQ$1005,1,MATCH(COLUMNS($AB$1006:AL1006),$AB$1006:$AQ$1006,0))&gt;=100000), " ",IF(INDEX($AB$2:$AQ$1001,MATCH(ROWS($U$2:U936),$U$2:$U$1001,0),MATCH(COLUMNS($AB$1006:AL1006),$AB$1006:$AQ$1006,0)), HYPERLINK("#",""), HYPERLINK(CONCATENATE("#Metadata!", ADDRESS(INDEX($W$2:$W$1001,MATCH(ROWS($U$2:U936),$U$2:$U$1001,0),0), INDEX($AB$1004:$AQ$1004,1,MATCH(COLUMNS($AB$1006:AL1006),$AB$1006:$AQ$1006,0)))),"Fix")))</f>
        <v>0</v>
      </c>
      <c r="M936" s="5">
        <f>IF(OR(INDEX($V$2:$V$1001,MATCH(ROWS($U$2:U936),$U$2:$U$1001,0),1)&gt;=100000,INDEX($AB$1005:$AQ$1005,1,MATCH(COLUMNS($AB$1006:AM1006),$AB$1006:$AQ$1006,0))&gt;=100000), " ",IF(INDEX($AB$2:$AQ$1001,MATCH(ROWS($U$2:U936),$U$2:$U$1001,0),MATCH(COLUMNS($AB$1006:AM1006),$AB$1006:$AQ$1006,0)), HYPERLINK("#",""), HYPERLINK(CONCATENATE("#Metadata!", ADDRESS(INDEX($W$2:$W$1001,MATCH(ROWS($U$2:U936),$U$2:$U$1001,0),0), INDEX($AB$1004:$AQ$1004,1,MATCH(COLUMNS($AB$1006:AM1006),$AB$1006:$AQ$1006,0)))),"Fix")))</f>
        <v>0</v>
      </c>
      <c r="N936" s="5">
        <f>IF(OR(INDEX($V$2:$V$1001,MATCH(ROWS($U$2:U936),$U$2:$U$1001,0),1)&gt;=100000,INDEX($AB$1005:$AQ$1005,1,MATCH(COLUMNS($AB$1006:AN1006),$AB$1006:$AQ$1006,0))&gt;=100000), " ",IF(INDEX($AB$2:$AQ$1001,MATCH(ROWS($U$2:U936),$U$2:$U$1001,0),MATCH(COLUMNS($AB$1006:AN1006),$AB$1006:$AQ$1006,0)), HYPERLINK("#",""), HYPERLINK(CONCATENATE("#Metadata!", ADDRESS(INDEX($W$2:$W$1001,MATCH(ROWS($U$2:U936),$U$2:$U$1001,0),0), INDEX($AB$1004:$AQ$1004,1,MATCH(COLUMNS($AB$1006:AN1006),$AB$1006:$AQ$1006,0)))),"Fix")))</f>
        <v>0</v>
      </c>
      <c r="O936" s="5">
        <f>IF(OR(INDEX($V$2:$V$1001,MATCH(ROWS($U$2:U936),$U$2:$U$1001,0),1)&gt;=100000,INDEX($AB$1005:$AQ$1005,1,MATCH(COLUMNS($AB$1006:AO1006),$AB$1006:$AQ$1006,0))&gt;=100000), " ",IF(INDEX($AB$2:$AQ$1001,MATCH(ROWS($U$2:U936),$U$2:$U$1001,0),MATCH(COLUMNS($AB$1006:AO1006),$AB$1006:$AQ$1006,0)), HYPERLINK("#",""), HYPERLINK(CONCATENATE("#Metadata!", ADDRESS(INDEX($W$2:$W$1001,MATCH(ROWS($U$2:U936),$U$2:$U$1001,0),0), INDEX($AB$1004:$AQ$1004,1,MATCH(COLUMNS($AB$1006:AO1006),$AB$1006:$AQ$1006,0)))),"Fix")))</f>
        <v>0</v>
      </c>
      <c r="P936" s="5">
        <f>IF(OR(INDEX($V$2:$V$1001,MATCH(ROWS($U$2:U936),$U$2:$U$1001,0),1)&gt;=100000,INDEX($AB$1005:$AQ$1005,1,MATCH(COLUMNS($AB$1006:AP1006),$AB$1006:$AQ$1006,0))&gt;=100000), " ",IF(INDEX($AB$2:$AQ$1001,MATCH(ROWS($U$2:U936),$U$2:$U$1001,0),MATCH(COLUMNS($AB$1006:AP1006),$AB$1006:$AQ$1006,0)), HYPERLINK("#",""), HYPERLINK(CONCATENATE("#Metadata!", ADDRESS(INDEX($W$2:$W$1001,MATCH(ROWS($U$2:U936),$U$2:$U$1001,0),0), INDEX($AB$1004:$AQ$1004,1,MATCH(COLUMNS($AB$1006:AP1006),$AB$1006:$AQ$1006,0)))),"Fix")))</f>
        <v>0</v>
      </c>
      <c r="Q936" s="5">
        <f>IF(OR(INDEX($V$2:$V$1001,MATCH(ROWS($U$2:U936),$U$2:$U$1001,0),1)&gt;=100000,INDEX($AB$1005:$AQ$1005,1,MATCH(COLUMNS($AB$1006:AQ1006),$AB$1006:$AQ$1006,0))&gt;=100000), " ",IF(INDEX($AB$2:$AQ$1001,MATCH(ROWS($U$2:U936),$U$2:$U$1001,0),MATCH(COLUMNS($AB$1006:AQ1006),$AB$1006:$AQ$1006,0)), HYPERLINK("#",""), HYPERLINK(CONCATENATE("#Metadata!", ADDRESS(INDEX($W$2:$W$1001,MATCH(ROWS($U$2:U936),$U$2:$U$1001,0),0), INDEX($AB$1004:$AQ$1004,1,MATCH(COLUMNS($AB$1006:AQ1006),$AB$1006:$AQ$1006,0)))),"Fix")))</f>
        <v>0</v>
      </c>
      <c r="U936">
        <v>0</v>
      </c>
      <c r="V936">
        <v>0</v>
      </c>
      <c r="W936">
        <v>0</v>
      </c>
      <c r="X936">
        <f>IF(Y936,TRUE,AND(AB936:AQ936))</f>
        <v>0</v>
      </c>
      <c r="Y936">
        <f>COUNTBLANK(Metadata!B936:Q936)=COLUMNS(Metadata!B936:Q936)</f>
        <v>0</v>
      </c>
      <c r="Z936">
        <v>0</v>
      </c>
      <c r="AB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AC936">
        <f>AND(IF(Metadata!C936="",FALSE,TRUE),exact(Metadata!C936,"urban biome"))</f>
        <v>0</v>
      </c>
      <c r="AD936">
        <f>AND(IF(Metadata!D936="",FALSE,TRUE),exact(Metadata!D936,"human-associated habitat"))</f>
        <v>0</v>
      </c>
      <c r="AE936">
        <f>AND(IF(Metadata!E936="",FALSE,TRUE),OR(exact(Metadata!E936,"human-associated"),exact(Metadata!E936,"human-skin"),exact(Metadata!E936,"human-oral"),exact(Metadata!E936,"human-gut"),exact(Metadata!E936,"human-vaginal")))</f>
        <v>0</v>
      </c>
      <c r="AF936">
        <f>AND(IF(Metadata!F936="",FALSE,ISNUMBER(VALUE(Metadata!F936))),Metadata!F936&gt;0)</f>
        <v>0</v>
      </c>
      <c r="AG936">
        <f>AND(IF(Metadata!G936="",FALSE,TRUE),exact(Metadata!G936,"years"))</f>
        <v>0</v>
      </c>
      <c r="AH936">
        <f>OR(AND(IF(Metadata!H936="",FALSE,TRUE),OR(exact(Metadata!H936,"not applicable"),exact(Metadata!H936,"not collected"),exact(Metadata!H936,"not provided"),exact(Metadata!H936,"restricted access"))),AND(IF(Metadata!H936="",FALSE,ISNUMBER(VALUE(Metadata!H936))),Metadata!H936&gt;0))</f>
        <v>0</v>
      </c>
      <c r="AI936">
        <f>AND(IF(Metadata!I936="",FALSE,TRUE),exact(Metadata!I936,"human"))</f>
        <v>0</v>
      </c>
      <c r="AJ936">
        <f>AND(IF(Metadata!J936="",FALSE,ISNUMBER(VALUE(Metadata!J936))),Metadata!J936&gt;0)</f>
        <v>0</v>
      </c>
      <c r="AK936">
        <f>AND(IF(Metadata!K936="",FALSE,TRUE),exact(Metadata!K936,"cm"))</f>
        <v>0</v>
      </c>
      <c r="AL936">
        <f>AND(IF(Metadata!L936="",FALSE,TRUE),exact(Metadata!L936,"Homo sapiens"))</f>
        <v>0</v>
      </c>
      <c r="AM936">
        <f>AND(IF(Metadata!M936="",FALSE,TRUE),exact(Metadata!M936,"9606"))</f>
        <v>0</v>
      </c>
      <c r="AN936">
        <f>AND(IF(Metadata!N936="",FALSE,ISNUMBER(VALUE(Metadata!N936))),Metadata!N936&gt;0)</f>
        <v>0</v>
      </c>
      <c r="AO936">
        <f>AND(IF(Metadata!O936="",FALSE,TRUE),exact(Metadata!O936,"kg"))</f>
        <v>0</v>
      </c>
      <c r="AP936">
        <f>OR(AND(IF(Metadata!P936="",FALSE,TRUE),exact(Metadata!P936,"not provided")),IF(Metadata!P936="",FALSE,TRUE))</f>
        <v>0</v>
      </c>
      <c r="AQ936">
        <f>OR(AND(IF(Metadata!Q936="",FALSE,TRUE),exact(Metadata!Q936,"not provided")),IF(Metadata!Q936="",FALSE,TRUE))</f>
        <v>0</v>
      </c>
    </row>
    <row r="937" spans="1:43">
      <c r="A937" s="4">
        <f>IF(B937=" "," ",HYPERLINK(CONCATENATE("#metadata!",ADDRESS(INDEX($W$2:$W$1001,MATCH(ROWS($U$2:U937),$U$2:$U$1001,0),0),2)),INDEX($Z$2:$Z$1001,MATCH(ROWS($U$2:U937),$U$2:$U$1001,0),0)))</f>
        <v>0</v>
      </c>
      <c r="B937" s="5">
        <f>IF(OR(INDEX($V$2:$V$1001,MATCH(ROWS($U$2:U937),$U$2:$U$1001,0),1)&gt;=100000,INDEX($AB$1005:$AQ$1005,1,MATCH(COLUMNS($AB$1006:AB1006),$AB$1006:$AQ$1006,0))&gt;=100000), " ",IF(INDEX($AB$2:$AQ$1001,MATCH(ROWS($U$2:U937),$U$2:$U$1001,0),MATCH(COLUMNS($AB$1006:AB1006),$AB$1006:$AQ$1006,0)), HYPERLINK("#",""), HYPERLINK(CONCATENATE("#Metadata!", ADDRESS(INDEX($W$2:$W$1001,MATCH(ROWS($U$2:U937),$U$2:$U$1001,0),0), INDEX($AB$1004:$AQ$1004,1,MATCH(COLUMNS($AB$1006:AB1006),$AB$1006:$AQ$1006,0)))),"Fix")))</f>
        <v>0</v>
      </c>
      <c r="C937" s="5">
        <f>IF(OR(INDEX($V$2:$V$1001,MATCH(ROWS($U$2:U937),$U$2:$U$1001,0),1)&gt;=100000,INDEX($AB$1005:$AQ$1005,1,MATCH(COLUMNS($AB$1006:AC1006),$AB$1006:$AQ$1006,0))&gt;=100000), " ",IF(INDEX($AB$2:$AQ$1001,MATCH(ROWS($U$2:U937),$U$2:$U$1001,0),MATCH(COLUMNS($AB$1006:AC1006),$AB$1006:$AQ$1006,0)), HYPERLINK("#",""), HYPERLINK(CONCATENATE("#Metadata!", ADDRESS(INDEX($W$2:$W$1001,MATCH(ROWS($U$2:U937),$U$2:$U$1001,0),0), INDEX($AB$1004:$AQ$1004,1,MATCH(COLUMNS($AB$1006:AC1006),$AB$1006:$AQ$1006,0)))),"Fix")))</f>
        <v>0</v>
      </c>
      <c r="D937" s="5">
        <f>IF(OR(INDEX($V$2:$V$1001,MATCH(ROWS($U$2:U937),$U$2:$U$1001,0),1)&gt;=100000,INDEX($AB$1005:$AQ$1005,1,MATCH(COLUMNS($AB$1006:AD1006),$AB$1006:$AQ$1006,0))&gt;=100000), " ",IF(INDEX($AB$2:$AQ$1001,MATCH(ROWS($U$2:U937),$U$2:$U$1001,0),MATCH(COLUMNS($AB$1006:AD1006),$AB$1006:$AQ$1006,0)), HYPERLINK("#",""), HYPERLINK(CONCATENATE("#Metadata!", ADDRESS(INDEX($W$2:$W$1001,MATCH(ROWS($U$2:U937),$U$2:$U$1001,0),0), INDEX($AB$1004:$AQ$1004,1,MATCH(COLUMNS($AB$1006:AD1006),$AB$1006:$AQ$1006,0)))),"Fix")))</f>
        <v>0</v>
      </c>
      <c r="E937" s="5">
        <f>IF(OR(INDEX($V$2:$V$1001,MATCH(ROWS($U$2:U937),$U$2:$U$1001,0),1)&gt;=100000,INDEX($AB$1005:$AQ$1005,1,MATCH(COLUMNS($AB$1006:AE1006),$AB$1006:$AQ$1006,0))&gt;=100000), " ",IF(INDEX($AB$2:$AQ$1001,MATCH(ROWS($U$2:U937),$U$2:$U$1001,0),MATCH(COLUMNS($AB$1006:AE1006),$AB$1006:$AQ$1006,0)), HYPERLINK("#",""), HYPERLINK(CONCATENATE("#Metadata!", ADDRESS(INDEX($W$2:$W$1001,MATCH(ROWS($U$2:U937),$U$2:$U$1001,0),0), INDEX($AB$1004:$AQ$1004,1,MATCH(COLUMNS($AB$1006:AE1006),$AB$1006:$AQ$1006,0)))),"Fix")))</f>
        <v>0</v>
      </c>
      <c r="F937" s="5">
        <f>IF(OR(INDEX($V$2:$V$1001,MATCH(ROWS($U$2:U937),$U$2:$U$1001,0),1)&gt;=100000,INDEX($AB$1005:$AQ$1005,1,MATCH(COLUMNS($AB$1006:AF1006),$AB$1006:$AQ$1006,0))&gt;=100000), " ",IF(INDEX($AB$2:$AQ$1001,MATCH(ROWS($U$2:U937),$U$2:$U$1001,0),MATCH(COLUMNS($AB$1006:AF1006),$AB$1006:$AQ$1006,0)), HYPERLINK("#",""), HYPERLINK(CONCATENATE("#Metadata!", ADDRESS(INDEX($W$2:$W$1001,MATCH(ROWS($U$2:U937),$U$2:$U$1001,0),0), INDEX($AB$1004:$AQ$1004,1,MATCH(COLUMNS($AB$1006:AF1006),$AB$1006:$AQ$1006,0)))),"Fix")))</f>
        <v>0</v>
      </c>
      <c r="G937" s="5">
        <f>IF(OR(INDEX($V$2:$V$1001,MATCH(ROWS($U$2:U937),$U$2:$U$1001,0),1)&gt;=100000,INDEX($AB$1005:$AQ$1005,1,MATCH(COLUMNS($AB$1006:AG1006),$AB$1006:$AQ$1006,0))&gt;=100000), " ",IF(INDEX($AB$2:$AQ$1001,MATCH(ROWS($U$2:U937),$U$2:$U$1001,0),MATCH(COLUMNS($AB$1006:AG1006),$AB$1006:$AQ$1006,0)), HYPERLINK("#",""), HYPERLINK(CONCATENATE("#Metadata!", ADDRESS(INDEX($W$2:$W$1001,MATCH(ROWS($U$2:U937),$U$2:$U$1001,0),0), INDEX($AB$1004:$AQ$1004,1,MATCH(COLUMNS($AB$1006:AG1006),$AB$1006:$AQ$1006,0)))),"Fix")))</f>
        <v>0</v>
      </c>
      <c r="H937" s="5">
        <f>IF(OR(INDEX($V$2:$V$1001,MATCH(ROWS($U$2:U937),$U$2:$U$1001,0),1)&gt;=100000,INDEX($AB$1005:$AQ$1005,1,MATCH(COLUMNS($AB$1006:AH1006),$AB$1006:$AQ$1006,0))&gt;=100000), " ",IF(INDEX($AB$2:$AQ$1001,MATCH(ROWS($U$2:U937),$U$2:$U$1001,0),MATCH(COLUMNS($AB$1006:AH1006),$AB$1006:$AQ$1006,0)), HYPERLINK("#",""), HYPERLINK(CONCATENATE("#Metadata!", ADDRESS(INDEX($W$2:$W$1001,MATCH(ROWS($U$2:U937),$U$2:$U$1001,0),0), INDEX($AB$1004:$AQ$1004,1,MATCH(COLUMNS($AB$1006:AH1006),$AB$1006:$AQ$1006,0)))),"Fix")))</f>
        <v>0</v>
      </c>
      <c r="I937" s="5">
        <f>IF(OR(INDEX($V$2:$V$1001,MATCH(ROWS($U$2:U937),$U$2:$U$1001,0),1)&gt;=100000,INDEX($AB$1005:$AQ$1005,1,MATCH(COLUMNS($AB$1006:AI1006),$AB$1006:$AQ$1006,0))&gt;=100000), " ",IF(INDEX($AB$2:$AQ$1001,MATCH(ROWS($U$2:U937),$U$2:$U$1001,0),MATCH(COLUMNS($AB$1006:AI1006),$AB$1006:$AQ$1006,0)), HYPERLINK("#",""), HYPERLINK(CONCATENATE("#Metadata!", ADDRESS(INDEX($W$2:$W$1001,MATCH(ROWS($U$2:U937),$U$2:$U$1001,0),0), INDEX($AB$1004:$AQ$1004,1,MATCH(COLUMNS($AB$1006:AI1006),$AB$1006:$AQ$1006,0)))),"Fix")))</f>
        <v>0</v>
      </c>
      <c r="J937" s="5">
        <f>IF(OR(INDEX($V$2:$V$1001,MATCH(ROWS($U$2:U937),$U$2:$U$1001,0),1)&gt;=100000,INDEX($AB$1005:$AQ$1005,1,MATCH(COLUMNS($AB$1006:AJ1006),$AB$1006:$AQ$1006,0))&gt;=100000), " ",IF(INDEX($AB$2:$AQ$1001,MATCH(ROWS($U$2:U937),$U$2:$U$1001,0),MATCH(COLUMNS($AB$1006:AJ1006),$AB$1006:$AQ$1006,0)), HYPERLINK("#",""), HYPERLINK(CONCATENATE("#Metadata!", ADDRESS(INDEX($W$2:$W$1001,MATCH(ROWS($U$2:U937),$U$2:$U$1001,0),0), INDEX($AB$1004:$AQ$1004,1,MATCH(COLUMNS($AB$1006:AJ1006),$AB$1006:$AQ$1006,0)))),"Fix")))</f>
        <v>0</v>
      </c>
      <c r="K937" s="5">
        <f>IF(OR(INDEX($V$2:$V$1001,MATCH(ROWS($U$2:U937),$U$2:$U$1001,0),1)&gt;=100000,INDEX($AB$1005:$AQ$1005,1,MATCH(COLUMNS($AB$1006:AK1006),$AB$1006:$AQ$1006,0))&gt;=100000), " ",IF(INDEX($AB$2:$AQ$1001,MATCH(ROWS($U$2:U937),$U$2:$U$1001,0),MATCH(COLUMNS($AB$1006:AK1006),$AB$1006:$AQ$1006,0)), HYPERLINK("#",""), HYPERLINK(CONCATENATE("#Metadata!", ADDRESS(INDEX($W$2:$W$1001,MATCH(ROWS($U$2:U937),$U$2:$U$1001,0),0), INDEX($AB$1004:$AQ$1004,1,MATCH(COLUMNS($AB$1006:AK1006),$AB$1006:$AQ$1006,0)))),"Fix")))</f>
        <v>0</v>
      </c>
      <c r="L937" s="5">
        <f>IF(OR(INDEX($V$2:$V$1001,MATCH(ROWS($U$2:U937),$U$2:$U$1001,0),1)&gt;=100000,INDEX($AB$1005:$AQ$1005,1,MATCH(COLUMNS($AB$1006:AL1006),$AB$1006:$AQ$1006,0))&gt;=100000), " ",IF(INDEX($AB$2:$AQ$1001,MATCH(ROWS($U$2:U937),$U$2:$U$1001,0),MATCH(COLUMNS($AB$1006:AL1006),$AB$1006:$AQ$1006,0)), HYPERLINK("#",""), HYPERLINK(CONCATENATE("#Metadata!", ADDRESS(INDEX($W$2:$W$1001,MATCH(ROWS($U$2:U937),$U$2:$U$1001,0),0), INDEX($AB$1004:$AQ$1004,1,MATCH(COLUMNS($AB$1006:AL1006),$AB$1006:$AQ$1006,0)))),"Fix")))</f>
        <v>0</v>
      </c>
      <c r="M937" s="5">
        <f>IF(OR(INDEX($V$2:$V$1001,MATCH(ROWS($U$2:U937),$U$2:$U$1001,0),1)&gt;=100000,INDEX($AB$1005:$AQ$1005,1,MATCH(COLUMNS($AB$1006:AM1006),$AB$1006:$AQ$1006,0))&gt;=100000), " ",IF(INDEX($AB$2:$AQ$1001,MATCH(ROWS($U$2:U937),$U$2:$U$1001,0),MATCH(COLUMNS($AB$1006:AM1006),$AB$1006:$AQ$1006,0)), HYPERLINK("#",""), HYPERLINK(CONCATENATE("#Metadata!", ADDRESS(INDEX($W$2:$W$1001,MATCH(ROWS($U$2:U937),$U$2:$U$1001,0),0), INDEX($AB$1004:$AQ$1004,1,MATCH(COLUMNS($AB$1006:AM1006),$AB$1006:$AQ$1006,0)))),"Fix")))</f>
        <v>0</v>
      </c>
      <c r="N937" s="5">
        <f>IF(OR(INDEX($V$2:$V$1001,MATCH(ROWS($U$2:U937),$U$2:$U$1001,0),1)&gt;=100000,INDEX($AB$1005:$AQ$1005,1,MATCH(COLUMNS($AB$1006:AN1006),$AB$1006:$AQ$1006,0))&gt;=100000), " ",IF(INDEX($AB$2:$AQ$1001,MATCH(ROWS($U$2:U937),$U$2:$U$1001,0),MATCH(COLUMNS($AB$1006:AN1006),$AB$1006:$AQ$1006,0)), HYPERLINK("#",""), HYPERLINK(CONCATENATE("#Metadata!", ADDRESS(INDEX($W$2:$W$1001,MATCH(ROWS($U$2:U937),$U$2:$U$1001,0),0), INDEX($AB$1004:$AQ$1004,1,MATCH(COLUMNS($AB$1006:AN1006),$AB$1006:$AQ$1006,0)))),"Fix")))</f>
        <v>0</v>
      </c>
      <c r="O937" s="5">
        <f>IF(OR(INDEX($V$2:$V$1001,MATCH(ROWS($U$2:U937),$U$2:$U$1001,0),1)&gt;=100000,INDEX($AB$1005:$AQ$1005,1,MATCH(COLUMNS($AB$1006:AO1006),$AB$1006:$AQ$1006,0))&gt;=100000), " ",IF(INDEX($AB$2:$AQ$1001,MATCH(ROWS($U$2:U937),$U$2:$U$1001,0),MATCH(COLUMNS($AB$1006:AO1006),$AB$1006:$AQ$1006,0)), HYPERLINK("#",""), HYPERLINK(CONCATENATE("#Metadata!", ADDRESS(INDEX($W$2:$W$1001,MATCH(ROWS($U$2:U937),$U$2:$U$1001,0),0), INDEX($AB$1004:$AQ$1004,1,MATCH(COLUMNS($AB$1006:AO1006),$AB$1006:$AQ$1006,0)))),"Fix")))</f>
        <v>0</v>
      </c>
      <c r="P937" s="5">
        <f>IF(OR(INDEX($V$2:$V$1001,MATCH(ROWS($U$2:U937),$U$2:$U$1001,0),1)&gt;=100000,INDEX($AB$1005:$AQ$1005,1,MATCH(COLUMNS($AB$1006:AP1006),$AB$1006:$AQ$1006,0))&gt;=100000), " ",IF(INDEX($AB$2:$AQ$1001,MATCH(ROWS($U$2:U937),$U$2:$U$1001,0),MATCH(COLUMNS($AB$1006:AP1006),$AB$1006:$AQ$1006,0)), HYPERLINK("#",""), HYPERLINK(CONCATENATE("#Metadata!", ADDRESS(INDEX($W$2:$W$1001,MATCH(ROWS($U$2:U937),$U$2:$U$1001,0),0), INDEX($AB$1004:$AQ$1004,1,MATCH(COLUMNS($AB$1006:AP1006),$AB$1006:$AQ$1006,0)))),"Fix")))</f>
        <v>0</v>
      </c>
      <c r="Q937" s="5">
        <f>IF(OR(INDEX($V$2:$V$1001,MATCH(ROWS($U$2:U937),$U$2:$U$1001,0),1)&gt;=100000,INDEX($AB$1005:$AQ$1005,1,MATCH(COLUMNS($AB$1006:AQ1006),$AB$1006:$AQ$1006,0))&gt;=100000), " ",IF(INDEX($AB$2:$AQ$1001,MATCH(ROWS($U$2:U937),$U$2:$U$1001,0),MATCH(COLUMNS($AB$1006:AQ1006),$AB$1006:$AQ$1006,0)), HYPERLINK("#",""), HYPERLINK(CONCATENATE("#Metadata!", ADDRESS(INDEX($W$2:$W$1001,MATCH(ROWS($U$2:U937),$U$2:$U$1001,0),0), INDEX($AB$1004:$AQ$1004,1,MATCH(COLUMNS($AB$1006:AQ1006),$AB$1006:$AQ$1006,0)))),"Fix")))</f>
        <v>0</v>
      </c>
      <c r="U937">
        <v>0</v>
      </c>
      <c r="V937">
        <v>0</v>
      </c>
      <c r="W937">
        <v>0</v>
      </c>
      <c r="X937">
        <f>IF(Y937,TRUE,AND(AB937:AQ937))</f>
        <v>0</v>
      </c>
      <c r="Y937">
        <f>COUNTBLANK(Metadata!B937:Q937)=COLUMNS(Metadata!B937:Q937)</f>
        <v>0</v>
      </c>
      <c r="Z937">
        <v>0</v>
      </c>
      <c r="AB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AC937">
        <f>AND(IF(Metadata!C937="",FALSE,TRUE),exact(Metadata!C937,"urban biome"))</f>
        <v>0</v>
      </c>
      <c r="AD937">
        <f>AND(IF(Metadata!D937="",FALSE,TRUE),exact(Metadata!D937,"human-associated habitat"))</f>
        <v>0</v>
      </c>
      <c r="AE937">
        <f>AND(IF(Metadata!E937="",FALSE,TRUE),OR(exact(Metadata!E937,"human-associated"),exact(Metadata!E937,"human-skin"),exact(Metadata!E937,"human-oral"),exact(Metadata!E937,"human-gut"),exact(Metadata!E937,"human-vaginal")))</f>
        <v>0</v>
      </c>
      <c r="AF937">
        <f>AND(IF(Metadata!F937="",FALSE,ISNUMBER(VALUE(Metadata!F937))),Metadata!F937&gt;0)</f>
        <v>0</v>
      </c>
      <c r="AG937">
        <f>AND(IF(Metadata!G937="",FALSE,TRUE),exact(Metadata!G937,"years"))</f>
        <v>0</v>
      </c>
      <c r="AH937">
        <f>OR(AND(IF(Metadata!H937="",FALSE,TRUE),OR(exact(Metadata!H937,"not applicable"),exact(Metadata!H937,"not collected"),exact(Metadata!H937,"not provided"),exact(Metadata!H937,"restricted access"))),AND(IF(Metadata!H937="",FALSE,ISNUMBER(VALUE(Metadata!H937))),Metadata!H937&gt;0))</f>
        <v>0</v>
      </c>
      <c r="AI937">
        <f>AND(IF(Metadata!I937="",FALSE,TRUE),exact(Metadata!I937,"human"))</f>
        <v>0</v>
      </c>
      <c r="AJ937">
        <f>AND(IF(Metadata!J937="",FALSE,ISNUMBER(VALUE(Metadata!J937))),Metadata!J937&gt;0)</f>
        <v>0</v>
      </c>
      <c r="AK937">
        <f>AND(IF(Metadata!K937="",FALSE,TRUE),exact(Metadata!K937,"cm"))</f>
        <v>0</v>
      </c>
      <c r="AL937">
        <f>AND(IF(Metadata!L937="",FALSE,TRUE),exact(Metadata!L937,"Homo sapiens"))</f>
        <v>0</v>
      </c>
      <c r="AM937">
        <f>AND(IF(Metadata!M937="",FALSE,TRUE),exact(Metadata!M937,"9606"))</f>
        <v>0</v>
      </c>
      <c r="AN937">
        <f>AND(IF(Metadata!N937="",FALSE,ISNUMBER(VALUE(Metadata!N937))),Metadata!N937&gt;0)</f>
        <v>0</v>
      </c>
      <c r="AO937">
        <f>AND(IF(Metadata!O937="",FALSE,TRUE),exact(Metadata!O937,"kg"))</f>
        <v>0</v>
      </c>
      <c r="AP937">
        <f>OR(AND(IF(Metadata!P937="",FALSE,TRUE),exact(Metadata!P937,"not provided")),IF(Metadata!P937="",FALSE,TRUE))</f>
        <v>0</v>
      </c>
      <c r="AQ937">
        <f>OR(AND(IF(Metadata!Q937="",FALSE,TRUE),exact(Metadata!Q937,"not provided")),IF(Metadata!Q937="",FALSE,TRUE))</f>
        <v>0</v>
      </c>
    </row>
    <row r="938" spans="1:43">
      <c r="A938" s="4">
        <f>IF(B938=" "," ",HYPERLINK(CONCATENATE("#metadata!",ADDRESS(INDEX($W$2:$W$1001,MATCH(ROWS($U$2:U938),$U$2:$U$1001,0),0),2)),INDEX($Z$2:$Z$1001,MATCH(ROWS($U$2:U938),$U$2:$U$1001,0),0)))</f>
        <v>0</v>
      </c>
      <c r="B938" s="5">
        <f>IF(OR(INDEX($V$2:$V$1001,MATCH(ROWS($U$2:U938),$U$2:$U$1001,0),1)&gt;=100000,INDEX($AB$1005:$AQ$1005,1,MATCH(COLUMNS($AB$1006:AB1006),$AB$1006:$AQ$1006,0))&gt;=100000), " ",IF(INDEX($AB$2:$AQ$1001,MATCH(ROWS($U$2:U938),$U$2:$U$1001,0),MATCH(COLUMNS($AB$1006:AB1006),$AB$1006:$AQ$1006,0)), HYPERLINK("#",""), HYPERLINK(CONCATENATE("#Metadata!", ADDRESS(INDEX($W$2:$W$1001,MATCH(ROWS($U$2:U938),$U$2:$U$1001,0),0), INDEX($AB$1004:$AQ$1004,1,MATCH(COLUMNS($AB$1006:AB1006),$AB$1006:$AQ$1006,0)))),"Fix")))</f>
        <v>0</v>
      </c>
      <c r="C938" s="5">
        <f>IF(OR(INDEX($V$2:$V$1001,MATCH(ROWS($U$2:U938),$U$2:$U$1001,0),1)&gt;=100000,INDEX($AB$1005:$AQ$1005,1,MATCH(COLUMNS($AB$1006:AC1006),$AB$1006:$AQ$1006,0))&gt;=100000), " ",IF(INDEX($AB$2:$AQ$1001,MATCH(ROWS($U$2:U938),$U$2:$U$1001,0),MATCH(COLUMNS($AB$1006:AC1006),$AB$1006:$AQ$1006,0)), HYPERLINK("#",""), HYPERLINK(CONCATENATE("#Metadata!", ADDRESS(INDEX($W$2:$W$1001,MATCH(ROWS($U$2:U938),$U$2:$U$1001,0),0), INDEX($AB$1004:$AQ$1004,1,MATCH(COLUMNS($AB$1006:AC1006),$AB$1006:$AQ$1006,0)))),"Fix")))</f>
        <v>0</v>
      </c>
      <c r="D938" s="5">
        <f>IF(OR(INDEX($V$2:$V$1001,MATCH(ROWS($U$2:U938),$U$2:$U$1001,0),1)&gt;=100000,INDEX($AB$1005:$AQ$1005,1,MATCH(COLUMNS($AB$1006:AD1006),$AB$1006:$AQ$1006,0))&gt;=100000), " ",IF(INDEX($AB$2:$AQ$1001,MATCH(ROWS($U$2:U938),$U$2:$U$1001,0),MATCH(COLUMNS($AB$1006:AD1006),$AB$1006:$AQ$1006,0)), HYPERLINK("#",""), HYPERLINK(CONCATENATE("#Metadata!", ADDRESS(INDEX($W$2:$W$1001,MATCH(ROWS($U$2:U938),$U$2:$U$1001,0),0), INDEX($AB$1004:$AQ$1004,1,MATCH(COLUMNS($AB$1006:AD1006),$AB$1006:$AQ$1006,0)))),"Fix")))</f>
        <v>0</v>
      </c>
      <c r="E938" s="5">
        <f>IF(OR(INDEX($V$2:$V$1001,MATCH(ROWS($U$2:U938),$U$2:$U$1001,0),1)&gt;=100000,INDEX($AB$1005:$AQ$1005,1,MATCH(COLUMNS($AB$1006:AE1006),$AB$1006:$AQ$1006,0))&gt;=100000), " ",IF(INDEX($AB$2:$AQ$1001,MATCH(ROWS($U$2:U938),$U$2:$U$1001,0),MATCH(COLUMNS($AB$1006:AE1006),$AB$1006:$AQ$1006,0)), HYPERLINK("#",""), HYPERLINK(CONCATENATE("#Metadata!", ADDRESS(INDEX($W$2:$W$1001,MATCH(ROWS($U$2:U938),$U$2:$U$1001,0),0), INDEX($AB$1004:$AQ$1004,1,MATCH(COLUMNS($AB$1006:AE1006),$AB$1006:$AQ$1006,0)))),"Fix")))</f>
        <v>0</v>
      </c>
      <c r="F938" s="5">
        <f>IF(OR(INDEX($V$2:$V$1001,MATCH(ROWS($U$2:U938),$U$2:$U$1001,0),1)&gt;=100000,INDEX($AB$1005:$AQ$1005,1,MATCH(COLUMNS($AB$1006:AF1006),$AB$1006:$AQ$1006,0))&gt;=100000), " ",IF(INDEX($AB$2:$AQ$1001,MATCH(ROWS($U$2:U938),$U$2:$U$1001,0),MATCH(COLUMNS($AB$1006:AF1006),$AB$1006:$AQ$1006,0)), HYPERLINK("#",""), HYPERLINK(CONCATENATE("#Metadata!", ADDRESS(INDEX($W$2:$W$1001,MATCH(ROWS($U$2:U938),$U$2:$U$1001,0),0), INDEX($AB$1004:$AQ$1004,1,MATCH(COLUMNS($AB$1006:AF1006),$AB$1006:$AQ$1006,0)))),"Fix")))</f>
        <v>0</v>
      </c>
      <c r="G938" s="5">
        <f>IF(OR(INDEX($V$2:$V$1001,MATCH(ROWS($U$2:U938),$U$2:$U$1001,0),1)&gt;=100000,INDEX($AB$1005:$AQ$1005,1,MATCH(COLUMNS($AB$1006:AG1006),$AB$1006:$AQ$1006,0))&gt;=100000), " ",IF(INDEX($AB$2:$AQ$1001,MATCH(ROWS($U$2:U938),$U$2:$U$1001,0),MATCH(COLUMNS($AB$1006:AG1006),$AB$1006:$AQ$1006,0)), HYPERLINK("#",""), HYPERLINK(CONCATENATE("#Metadata!", ADDRESS(INDEX($W$2:$W$1001,MATCH(ROWS($U$2:U938),$U$2:$U$1001,0),0), INDEX($AB$1004:$AQ$1004,1,MATCH(COLUMNS($AB$1006:AG1006),$AB$1006:$AQ$1006,0)))),"Fix")))</f>
        <v>0</v>
      </c>
      <c r="H938" s="5">
        <f>IF(OR(INDEX($V$2:$V$1001,MATCH(ROWS($U$2:U938),$U$2:$U$1001,0),1)&gt;=100000,INDEX($AB$1005:$AQ$1005,1,MATCH(COLUMNS($AB$1006:AH1006),$AB$1006:$AQ$1006,0))&gt;=100000), " ",IF(INDEX($AB$2:$AQ$1001,MATCH(ROWS($U$2:U938),$U$2:$U$1001,0),MATCH(COLUMNS($AB$1006:AH1006),$AB$1006:$AQ$1006,0)), HYPERLINK("#",""), HYPERLINK(CONCATENATE("#Metadata!", ADDRESS(INDEX($W$2:$W$1001,MATCH(ROWS($U$2:U938),$U$2:$U$1001,0),0), INDEX($AB$1004:$AQ$1004,1,MATCH(COLUMNS($AB$1006:AH1006),$AB$1006:$AQ$1006,0)))),"Fix")))</f>
        <v>0</v>
      </c>
      <c r="I938" s="5">
        <f>IF(OR(INDEX($V$2:$V$1001,MATCH(ROWS($U$2:U938),$U$2:$U$1001,0),1)&gt;=100000,INDEX($AB$1005:$AQ$1005,1,MATCH(COLUMNS($AB$1006:AI1006),$AB$1006:$AQ$1006,0))&gt;=100000), " ",IF(INDEX($AB$2:$AQ$1001,MATCH(ROWS($U$2:U938),$U$2:$U$1001,0),MATCH(COLUMNS($AB$1006:AI1006),$AB$1006:$AQ$1006,0)), HYPERLINK("#",""), HYPERLINK(CONCATENATE("#Metadata!", ADDRESS(INDEX($W$2:$W$1001,MATCH(ROWS($U$2:U938),$U$2:$U$1001,0),0), INDEX($AB$1004:$AQ$1004,1,MATCH(COLUMNS($AB$1006:AI1006),$AB$1006:$AQ$1006,0)))),"Fix")))</f>
        <v>0</v>
      </c>
      <c r="J938" s="5">
        <f>IF(OR(INDEX($V$2:$V$1001,MATCH(ROWS($U$2:U938),$U$2:$U$1001,0),1)&gt;=100000,INDEX($AB$1005:$AQ$1005,1,MATCH(COLUMNS($AB$1006:AJ1006),$AB$1006:$AQ$1006,0))&gt;=100000), " ",IF(INDEX($AB$2:$AQ$1001,MATCH(ROWS($U$2:U938),$U$2:$U$1001,0),MATCH(COLUMNS($AB$1006:AJ1006),$AB$1006:$AQ$1006,0)), HYPERLINK("#",""), HYPERLINK(CONCATENATE("#Metadata!", ADDRESS(INDEX($W$2:$W$1001,MATCH(ROWS($U$2:U938),$U$2:$U$1001,0),0), INDEX($AB$1004:$AQ$1004,1,MATCH(COLUMNS($AB$1006:AJ1006),$AB$1006:$AQ$1006,0)))),"Fix")))</f>
        <v>0</v>
      </c>
      <c r="K938" s="5">
        <f>IF(OR(INDEX($V$2:$V$1001,MATCH(ROWS($U$2:U938),$U$2:$U$1001,0),1)&gt;=100000,INDEX($AB$1005:$AQ$1005,1,MATCH(COLUMNS($AB$1006:AK1006),$AB$1006:$AQ$1006,0))&gt;=100000), " ",IF(INDEX($AB$2:$AQ$1001,MATCH(ROWS($U$2:U938),$U$2:$U$1001,0),MATCH(COLUMNS($AB$1006:AK1006),$AB$1006:$AQ$1006,0)), HYPERLINK("#",""), HYPERLINK(CONCATENATE("#Metadata!", ADDRESS(INDEX($W$2:$W$1001,MATCH(ROWS($U$2:U938),$U$2:$U$1001,0),0), INDEX($AB$1004:$AQ$1004,1,MATCH(COLUMNS($AB$1006:AK1006),$AB$1006:$AQ$1006,0)))),"Fix")))</f>
        <v>0</v>
      </c>
      <c r="L938" s="5">
        <f>IF(OR(INDEX($V$2:$V$1001,MATCH(ROWS($U$2:U938),$U$2:$U$1001,0),1)&gt;=100000,INDEX($AB$1005:$AQ$1005,1,MATCH(COLUMNS($AB$1006:AL1006),$AB$1006:$AQ$1006,0))&gt;=100000), " ",IF(INDEX($AB$2:$AQ$1001,MATCH(ROWS($U$2:U938),$U$2:$U$1001,0),MATCH(COLUMNS($AB$1006:AL1006),$AB$1006:$AQ$1006,0)), HYPERLINK("#",""), HYPERLINK(CONCATENATE("#Metadata!", ADDRESS(INDEX($W$2:$W$1001,MATCH(ROWS($U$2:U938),$U$2:$U$1001,0),0), INDEX($AB$1004:$AQ$1004,1,MATCH(COLUMNS($AB$1006:AL1006),$AB$1006:$AQ$1006,0)))),"Fix")))</f>
        <v>0</v>
      </c>
      <c r="M938" s="5">
        <f>IF(OR(INDEX($V$2:$V$1001,MATCH(ROWS($U$2:U938),$U$2:$U$1001,0),1)&gt;=100000,INDEX($AB$1005:$AQ$1005,1,MATCH(COLUMNS($AB$1006:AM1006),$AB$1006:$AQ$1006,0))&gt;=100000), " ",IF(INDEX($AB$2:$AQ$1001,MATCH(ROWS($U$2:U938),$U$2:$U$1001,0),MATCH(COLUMNS($AB$1006:AM1006),$AB$1006:$AQ$1006,0)), HYPERLINK("#",""), HYPERLINK(CONCATENATE("#Metadata!", ADDRESS(INDEX($W$2:$W$1001,MATCH(ROWS($U$2:U938),$U$2:$U$1001,0),0), INDEX($AB$1004:$AQ$1004,1,MATCH(COLUMNS($AB$1006:AM1006),$AB$1006:$AQ$1006,0)))),"Fix")))</f>
        <v>0</v>
      </c>
      <c r="N938" s="5">
        <f>IF(OR(INDEX($V$2:$V$1001,MATCH(ROWS($U$2:U938),$U$2:$U$1001,0),1)&gt;=100000,INDEX($AB$1005:$AQ$1005,1,MATCH(COLUMNS($AB$1006:AN1006),$AB$1006:$AQ$1006,0))&gt;=100000), " ",IF(INDEX($AB$2:$AQ$1001,MATCH(ROWS($U$2:U938),$U$2:$U$1001,0),MATCH(COLUMNS($AB$1006:AN1006),$AB$1006:$AQ$1006,0)), HYPERLINK("#",""), HYPERLINK(CONCATENATE("#Metadata!", ADDRESS(INDEX($W$2:$W$1001,MATCH(ROWS($U$2:U938),$U$2:$U$1001,0),0), INDEX($AB$1004:$AQ$1004,1,MATCH(COLUMNS($AB$1006:AN1006),$AB$1006:$AQ$1006,0)))),"Fix")))</f>
        <v>0</v>
      </c>
      <c r="O938" s="5">
        <f>IF(OR(INDEX($V$2:$V$1001,MATCH(ROWS($U$2:U938),$U$2:$U$1001,0),1)&gt;=100000,INDEX($AB$1005:$AQ$1005,1,MATCH(COLUMNS($AB$1006:AO1006),$AB$1006:$AQ$1006,0))&gt;=100000), " ",IF(INDEX($AB$2:$AQ$1001,MATCH(ROWS($U$2:U938),$U$2:$U$1001,0),MATCH(COLUMNS($AB$1006:AO1006),$AB$1006:$AQ$1006,0)), HYPERLINK("#",""), HYPERLINK(CONCATENATE("#Metadata!", ADDRESS(INDEX($W$2:$W$1001,MATCH(ROWS($U$2:U938),$U$2:$U$1001,0),0), INDEX($AB$1004:$AQ$1004,1,MATCH(COLUMNS($AB$1006:AO1006),$AB$1006:$AQ$1006,0)))),"Fix")))</f>
        <v>0</v>
      </c>
      <c r="P938" s="5">
        <f>IF(OR(INDEX($V$2:$V$1001,MATCH(ROWS($U$2:U938),$U$2:$U$1001,0),1)&gt;=100000,INDEX($AB$1005:$AQ$1005,1,MATCH(COLUMNS($AB$1006:AP1006),$AB$1006:$AQ$1006,0))&gt;=100000), " ",IF(INDEX($AB$2:$AQ$1001,MATCH(ROWS($U$2:U938),$U$2:$U$1001,0),MATCH(COLUMNS($AB$1006:AP1006),$AB$1006:$AQ$1006,0)), HYPERLINK("#",""), HYPERLINK(CONCATENATE("#Metadata!", ADDRESS(INDEX($W$2:$W$1001,MATCH(ROWS($U$2:U938),$U$2:$U$1001,0),0), INDEX($AB$1004:$AQ$1004,1,MATCH(COLUMNS($AB$1006:AP1006),$AB$1006:$AQ$1006,0)))),"Fix")))</f>
        <v>0</v>
      </c>
      <c r="Q938" s="5">
        <f>IF(OR(INDEX($V$2:$V$1001,MATCH(ROWS($U$2:U938),$U$2:$U$1001,0),1)&gt;=100000,INDEX($AB$1005:$AQ$1005,1,MATCH(COLUMNS($AB$1006:AQ1006),$AB$1006:$AQ$1006,0))&gt;=100000), " ",IF(INDEX($AB$2:$AQ$1001,MATCH(ROWS($U$2:U938),$U$2:$U$1001,0),MATCH(COLUMNS($AB$1006:AQ1006),$AB$1006:$AQ$1006,0)), HYPERLINK("#",""), HYPERLINK(CONCATENATE("#Metadata!", ADDRESS(INDEX($W$2:$W$1001,MATCH(ROWS($U$2:U938),$U$2:$U$1001,0),0), INDEX($AB$1004:$AQ$1004,1,MATCH(COLUMNS($AB$1006:AQ1006),$AB$1006:$AQ$1006,0)))),"Fix")))</f>
        <v>0</v>
      </c>
      <c r="U938">
        <v>0</v>
      </c>
      <c r="V938">
        <v>0</v>
      </c>
      <c r="W938">
        <v>0</v>
      </c>
      <c r="X938">
        <f>IF(Y938,TRUE,AND(AB938:AQ938))</f>
        <v>0</v>
      </c>
      <c r="Y938">
        <f>COUNTBLANK(Metadata!B938:Q938)=COLUMNS(Metadata!B938:Q938)</f>
        <v>0</v>
      </c>
      <c r="Z938">
        <v>0</v>
      </c>
      <c r="AB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AC938">
        <f>AND(IF(Metadata!C938="",FALSE,TRUE),exact(Metadata!C938,"urban biome"))</f>
        <v>0</v>
      </c>
      <c r="AD938">
        <f>AND(IF(Metadata!D938="",FALSE,TRUE),exact(Metadata!D938,"human-associated habitat"))</f>
        <v>0</v>
      </c>
      <c r="AE938">
        <f>AND(IF(Metadata!E938="",FALSE,TRUE),OR(exact(Metadata!E938,"human-associated"),exact(Metadata!E938,"human-skin"),exact(Metadata!E938,"human-oral"),exact(Metadata!E938,"human-gut"),exact(Metadata!E938,"human-vaginal")))</f>
        <v>0</v>
      </c>
      <c r="AF938">
        <f>AND(IF(Metadata!F938="",FALSE,ISNUMBER(VALUE(Metadata!F938))),Metadata!F938&gt;0)</f>
        <v>0</v>
      </c>
      <c r="AG938">
        <f>AND(IF(Metadata!G938="",FALSE,TRUE),exact(Metadata!G938,"years"))</f>
        <v>0</v>
      </c>
      <c r="AH938">
        <f>OR(AND(IF(Metadata!H938="",FALSE,TRUE),OR(exact(Metadata!H938,"not applicable"),exact(Metadata!H938,"not collected"),exact(Metadata!H938,"not provided"),exact(Metadata!H938,"restricted access"))),AND(IF(Metadata!H938="",FALSE,ISNUMBER(VALUE(Metadata!H938))),Metadata!H938&gt;0))</f>
        <v>0</v>
      </c>
      <c r="AI938">
        <f>AND(IF(Metadata!I938="",FALSE,TRUE),exact(Metadata!I938,"human"))</f>
        <v>0</v>
      </c>
      <c r="AJ938">
        <f>AND(IF(Metadata!J938="",FALSE,ISNUMBER(VALUE(Metadata!J938))),Metadata!J938&gt;0)</f>
        <v>0</v>
      </c>
      <c r="AK938">
        <f>AND(IF(Metadata!K938="",FALSE,TRUE),exact(Metadata!K938,"cm"))</f>
        <v>0</v>
      </c>
      <c r="AL938">
        <f>AND(IF(Metadata!L938="",FALSE,TRUE),exact(Metadata!L938,"Homo sapiens"))</f>
        <v>0</v>
      </c>
      <c r="AM938">
        <f>AND(IF(Metadata!M938="",FALSE,TRUE),exact(Metadata!M938,"9606"))</f>
        <v>0</v>
      </c>
      <c r="AN938">
        <f>AND(IF(Metadata!N938="",FALSE,ISNUMBER(VALUE(Metadata!N938))),Metadata!N938&gt;0)</f>
        <v>0</v>
      </c>
      <c r="AO938">
        <f>AND(IF(Metadata!O938="",FALSE,TRUE),exact(Metadata!O938,"kg"))</f>
        <v>0</v>
      </c>
      <c r="AP938">
        <f>OR(AND(IF(Metadata!P938="",FALSE,TRUE),exact(Metadata!P938,"not provided")),IF(Metadata!P938="",FALSE,TRUE))</f>
        <v>0</v>
      </c>
      <c r="AQ938">
        <f>OR(AND(IF(Metadata!Q938="",FALSE,TRUE),exact(Metadata!Q938,"not provided")),IF(Metadata!Q938="",FALSE,TRUE))</f>
        <v>0</v>
      </c>
    </row>
    <row r="939" spans="1:43">
      <c r="A939" s="4">
        <f>IF(B939=" "," ",HYPERLINK(CONCATENATE("#metadata!",ADDRESS(INDEX($W$2:$W$1001,MATCH(ROWS($U$2:U939),$U$2:$U$1001,0),0),2)),INDEX($Z$2:$Z$1001,MATCH(ROWS($U$2:U939),$U$2:$U$1001,0),0)))</f>
        <v>0</v>
      </c>
      <c r="B939" s="5">
        <f>IF(OR(INDEX($V$2:$V$1001,MATCH(ROWS($U$2:U939),$U$2:$U$1001,0),1)&gt;=100000,INDEX($AB$1005:$AQ$1005,1,MATCH(COLUMNS($AB$1006:AB1006),$AB$1006:$AQ$1006,0))&gt;=100000), " ",IF(INDEX($AB$2:$AQ$1001,MATCH(ROWS($U$2:U939),$U$2:$U$1001,0),MATCH(COLUMNS($AB$1006:AB1006),$AB$1006:$AQ$1006,0)), HYPERLINK("#",""), HYPERLINK(CONCATENATE("#Metadata!", ADDRESS(INDEX($W$2:$W$1001,MATCH(ROWS($U$2:U939),$U$2:$U$1001,0),0), INDEX($AB$1004:$AQ$1004,1,MATCH(COLUMNS($AB$1006:AB1006),$AB$1006:$AQ$1006,0)))),"Fix")))</f>
        <v>0</v>
      </c>
      <c r="C939" s="5">
        <f>IF(OR(INDEX($V$2:$V$1001,MATCH(ROWS($U$2:U939),$U$2:$U$1001,0),1)&gt;=100000,INDEX($AB$1005:$AQ$1005,1,MATCH(COLUMNS($AB$1006:AC1006),$AB$1006:$AQ$1006,0))&gt;=100000), " ",IF(INDEX($AB$2:$AQ$1001,MATCH(ROWS($U$2:U939),$U$2:$U$1001,0),MATCH(COLUMNS($AB$1006:AC1006),$AB$1006:$AQ$1006,0)), HYPERLINK("#",""), HYPERLINK(CONCATENATE("#Metadata!", ADDRESS(INDEX($W$2:$W$1001,MATCH(ROWS($U$2:U939),$U$2:$U$1001,0),0), INDEX($AB$1004:$AQ$1004,1,MATCH(COLUMNS($AB$1006:AC1006),$AB$1006:$AQ$1006,0)))),"Fix")))</f>
        <v>0</v>
      </c>
      <c r="D939" s="5">
        <f>IF(OR(INDEX($V$2:$V$1001,MATCH(ROWS($U$2:U939),$U$2:$U$1001,0),1)&gt;=100000,INDEX($AB$1005:$AQ$1005,1,MATCH(COLUMNS($AB$1006:AD1006),$AB$1006:$AQ$1006,0))&gt;=100000), " ",IF(INDEX($AB$2:$AQ$1001,MATCH(ROWS($U$2:U939),$U$2:$U$1001,0),MATCH(COLUMNS($AB$1006:AD1006),$AB$1006:$AQ$1006,0)), HYPERLINK("#",""), HYPERLINK(CONCATENATE("#Metadata!", ADDRESS(INDEX($W$2:$W$1001,MATCH(ROWS($U$2:U939),$U$2:$U$1001,0),0), INDEX($AB$1004:$AQ$1004,1,MATCH(COLUMNS($AB$1006:AD1006),$AB$1006:$AQ$1006,0)))),"Fix")))</f>
        <v>0</v>
      </c>
      <c r="E939" s="5">
        <f>IF(OR(INDEX($V$2:$V$1001,MATCH(ROWS($U$2:U939),$U$2:$U$1001,0),1)&gt;=100000,INDEX($AB$1005:$AQ$1005,1,MATCH(COLUMNS($AB$1006:AE1006),$AB$1006:$AQ$1006,0))&gt;=100000), " ",IF(INDEX($AB$2:$AQ$1001,MATCH(ROWS($U$2:U939),$U$2:$U$1001,0),MATCH(COLUMNS($AB$1006:AE1006),$AB$1006:$AQ$1006,0)), HYPERLINK("#",""), HYPERLINK(CONCATENATE("#Metadata!", ADDRESS(INDEX($W$2:$W$1001,MATCH(ROWS($U$2:U939),$U$2:$U$1001,0),0), INDEX($AB$1004:$AQ$1004,1,MATCH(COLUMNS($AB$1006:AE1006),$AB$1006:$AQ$1006,0)))),"Fix")))</f>
        <v>0</v>
      </c>
      <c r="F939" s="5">
        <f>IF(OR(INDEX($V$2:$V$1001,MATCH(ROWS($U$2:U939),$U$2:$U$1001,0),1)&gt;=100000,INDEX($AB$1005:$AQ$1005,1,MATCH(COLUMNS($AB$1006:AF1006),$AB$1006:$AQ$1006,0))&gt;=100000), " ",IF(INDEX($AB$2:$AQ$1001,MATCH(ROWS($U$2:U939),$U$2:$U$1001,0),MATCH(COLUMNS($AB$1006:AF1006),$AB$1006:$AQ$1006,0)), HYPERLINK("#",""), HYPERLINK(CONCATENATE("#Metadata!", ADDRESS(INDEX($W$2:$W$1001,MATCH(ROWS($U$2:U939),$U$2:$U$1001,0),0), INDEX($AB$1004:$AQ$1004,1,MATCH(COLUMNS($AB$1006:AF1006),$AB$1006:$AQ$1006,0)))),"Fix")))</f>
        <v>0</v>
      </c>
      <c r="G939" s="5">
        <f>IF(OR(INDEX($V$2:$V$1001,MATCH(ROWS($U$2:U939),$U$2:$U$1001,0),1)&gt;=100000,INDEX($AB$1005:$AQ$1005,1,MATCH(COLUMNS($AB$1006:AG1006),$AB$1006:$AQ$1006,0))&gt;=100000), " ",IF(INDEX($AB$2:$AQ$1001,MATCH(ROWS($U$2:U939),$U$2:$U$1001,0),MATCH(COLUMNS($AB$1006:AG1006),$AB$1006:$AQ$1006,0)), HYPERLINK("#",""), HYPERLINK(CONCATENATE("#Metadata!", ADDRESS(INDEX($W$2:$W$1001,MATCH(ROWS($U$2:U939),$U$2:$U$1001,0),0), INDEX($AB$1004:$AQ$1004,1,MATCH(COLUMNS($AB$1006:AG1006),$AB$1006:$AQ$1006,0)))),"Fix")))</f>
        <v>0</v>
      </c>
      <c r="H939" s="5">
        <f>IF(OR(INDEX($V$2:$V$1001,MATCH(ROWS($U$2:U939),$U$2:$U$1001,0),1)&gt;=100000,INDEX($AB$1005:$AQ$1005,1,MATCH(COLUMNS($AB$1006:AH1006),$AB$1006:$AQ$1006,0))&gt;=100000), " ",IF(INDEX($AB$2:$AQ$1001,MATCH(ROWS($U$2:U939),$U$2:$U$1001,0),MATCH(COLUMNS($AB$1006:AH1006),$AB$1006:$AQ$1006,0)), HYPERLINK("#",""), HYPERLINK(CONCATENATE("#Metadata!", ADDRESS(INDEX($W$2:$W$1001,MATCH(ROWS($U$2:U939),$U$2:$U$1001,0),0), INDEX($AB$1004:$AQ$1004,1,MATCH(COLUMNS($AB$1006:AH1006),$AB$1006:$AQ$1006,0)))),"Fix")))</f>
        <v>0</v>
      </c>
      <c r="I939" s="5">
        <f>IF(OR(INDEX($V$2:$V$1001,MATCH(ROWS($U$2:U939),$U$2:$U$1001,0),1)&gt;=100000,INDEX($AB$1005:$AQ$1005,1,MATCH(COLUMNS($AB$1006:AI1006),$AB$1006:$AQ$1006,0))&gt;=100000), " ",IF(INDEX($AB$2:$AQ$1001,MATCH(ROWS($U$2:U939),$U$2:$U$1001,0),MATCH(COLUMNS($AB$1006:AI1006),$AB$1006:$AQ$1006,0)), HYPERLINK("#",""), HYPERLINK(CONCATENATE("#Metadata!", ADDRESS(INDEX($W$2:$W$1001,MATCH(ROWS($U$2:U939),$U$2:$U$1001,0),0), INDEX($AB$1004:$AQ$1004,1,MATCH(COLUMNS($AB$1006:AI1006),$AB$1006:$AQ$1006,0)))),"Fix")))</f>
        <v>0</v>
      </c>
      <c r="J939" s="5">
        <f>IF(OR(INDEX($V$2:$V$1001,MATCH(ROWS($U$2:U939),$U$2:$U$1001,0),1)&gt;=100000,INDEX($AB$1005:$AQ$1005,1,MATCH(COLUMNS($AB$1006:AJ1006),$AB$1006:$AQ$1006,0))&gt;=100000), " ",IF(INDEX($AB$2:$AQ$1001,MATCH(ROWS($U$2:U939),$U$2:$U$1001,0),MATCH(COLUMNS($AB$1006:AJ1006),$AB$1006:$AQ$1006,0)), HYPERLINK("#",""), HYPERLINK(CONCATENATE("#Metadata!", ADDRESS(INDEX($W$2:$W$1001,MATCH(ROWS($U$2:U939),$U$2:$U$1001,0),0), INDEX($AB$1004:$AQ$1004,1,MATCH(COLUMNS($AB$1006:AJ1006),$AB$1006:$AQ$1006,0)))),"Fix")))</f>
        <v>0</v>
      </c>
      <c r="K939" s="5">
        <f>IF(OR(INDEX($V$2:$V$1001,MATCH(ROWS($U$2:U939),$U$2:$U$1001,0),1)&gt;=100000,INDEX($AB$1005:$AQ$1005,1,MATCH(COLUMNS($AB$1006:AK1006),$AB$1006:$AQ$1006,0))&gt;=100000), " ",IF(INDEX($AB$2:$AQ$1001,MATCH(ROWS($U$2:U939),$U$2:$U$1001,0),MATCH(COLUMNS($AB$1006:AK1006),$AB$1006:$AQ$1006,0)), HYPERLINK("#",""), HYPERLINK(CONCATENATE("#Metadata!", ADDRESS(INDEX($W$2:$W$1001,MATCH(ROWS($U$2:U939),$U$2:$U$1001,0),0), INDEX($AB$1004:$AQ$1004,1,MATCH(COLUMNS($AB$1006:AK1006),$AB$1006:$AQ$1006,0)))),"Fix")))</f>
        <v>0</v>
      </c>
      <c r="L939" s="5">
        <f>IF(OR(INDEX($V$2:$V$1001,MATCH(ROWS($U$2:U939),$U$2:$U$1001,0),1)&gt;=100000,INDEX($AB$1005:$AQ$1005,1,MATCH(COLUMNS($AB$1006:AL1006),$AB$1006:$AQ$1006,0))&gt;=100000), " ",IF(INDEX($AB$2:$AQ$1001,MATCH(ROWS($U$2:U939),$U$2:$U$1001,0),MATCH(COLUMNS($AB$1006:AL1006),$AB$1006:$AQ$1006,0)), HYPERLINK("#",""), HYPERLINK(CONCATENATE("#Metadata!", ADDRESS(INDEX($W$2:$W$1001,MATCH(ROWS($U$2:U939),$U$2:$U$1001,0),0), INDEX($AB$1004:$AQ$1004,1,MATCH(COLUMNS($AB$1006:AL1006),$AB$1006:$AQ$1006,0)))),"Fix")))</f>
        <v>0</v>
      </c>
      <c r="M939" s="5">
        <f>IF(OR(INDEX($V$2:$V$1001,MATCH(ROWS($U$2:U939),$U$2:$U$1001,0),1)&gt;=100000,INDEX($AB$1005:$AQ$1005,1,MATCH(COLUMNS($AB$1006:AM1006),$AB$1006:$AQ$1006,0))&gt;=100000), " ",IF(INDEX($AB$2:$AQ$1001,MATCH(ROWS($U$2:U939),$U$2:$U$1001,0),MATCH(COLUMNS($AB$1006:AM1006),$AB$1006:$AQ$1006,0)), HYPERLINK("#",""), HYPERLINK(CONCATENATE("#Metadata!", ADDRESS(INDEX($W$2:$W$1001,MATCH(ROWS($U$2:U939),$U$2:$U$1001,0),0), INDEX($AB$1004:$AQ$1004,1,MATCH(COLUMNS($AB$1006:AM1006),$AB$1006:$AQ$1006,0)))),"Fix")))</f>
        <v>0</v>
      </c>
      <c r="N939" s="5">
        <f>IF(OR(INDEX($V$2:$V$1001,MATCH(ROWS($U$2:U939),$U$2:$U$1001,0),1)&gt;=100000,INDEX($AB$1005:$AQ$1005,1,MATCH(COLUMNS($AB$1006:AN1006),$AB$1006:$AQ$1006,0))&gt;=100000), " ",IF(INDEX($AB$2:$AQ$1001,MATCH(ROWS($U$2:U939),$U$2:$U$1001,0),MATCH(COLUMNS($AB$1006:AN1006),$AB$1006:$AQ$1006,0)), HYPERLINK("#",""), HYPERLINK(CONCATENATE("#Metadata!", ADDRESS(INDEX($W$2:$W$1001,MATCH(ROWS($U$2:U939),$U$2:$U$1001,0),0), INDEX($AB$1004:$AQ$1004,1,MATCH(COLUMNS($AB$1006:AN1006),$AB$1006:$AQ$1006,0)))),"Fix")))</f>
        <v>0</v>
      </c>
      <c r="O939" s="5">
        <f>IF(OR(INDEX($V$2:$V$1001,MATCH(ROWS($U$2:U939),$U$2:$U$1001,0),1)&gt;=100000,INDEX($AB$1005:$AQ$1005,1,MATCH(COLUMNS($AB$1006:AO1006),$AB$1006:$AQ$1006,0))&gt;=100000), " ",IF(INDEX($AB$2:$AQ$1001,MATCH(ROWS($U$2:U939),$U$2:$U$1001,0),MATCH(COLUMNS($AB$1006:AO1006),$AB$1006:$AQ$1006,0)), HYPERLINK("#",""), HYPERLINK(CONCATENATE("#Metadata!", ADDRESS(INDEX($W$2:$W$1001,MATCH(ROWS($U$2:U939),$U$2:$U$1001,0),0), INDEX($AB$1004:$AQ$1004,1,MATCH(COLUMNS($AB$1006:AO1006),$AB$1006:$AQ$1006,0)))),"Fix")))</f>
        <v>0</v>
      </c>
      <c r="P939" s="5">
        <f>IF(OR(INDEX($V$2:$V$1001,MATCH(ROWS($U$2:U939),$U$2:$U$1001,0),1)&gt;=100000,INDEX($AB$1005:$AQ$1005,1,MATCH(COLUMNS($AB$1006:AP1006),$AB$1006:$AQ$1006,0))&gt;=100000), " ",IF(INDEX($AB$2:$AQ$1001,MATCH(ROWS($U$2:U939),$U$2:$U$1001,0),MATCH(COLUMNS($AB$1006:AP1006),$AB$1006:$AQ$1006,0)), HYPERLINK("#",""), HYPERLINK(CONCATENATE("#Metadata!", ADDRESS(INDEX($W$2:$W$1001,MATCH(ROWS($U$2:U939),$U$2:$U$1001,0),0), INDEX($AB$1004:$AQ$1004,1,MATCH(COLUMNS($AB$1006:AP1006),$AB$1006:$AQ$1006,0)))),"Fix")))</f>
        <v>0</v>
      </c>
      <c r="Q939" s="5">
        <f>IF(OR(INDEX($V$2:$V$1001,MATCH(ROWS($U$2:U939),$U$2:$U$1001,0),1)&gt;=100000,INDEX($AB$1005:$AQ$1005,1,MATCH(COLUMNS($AB$1006:AQ1006),$AB$1006:$AQ$1006,0))&gt;=100000), " ",IF(INDEX($AB$2:$AQ$1001,MATCH(ROWS($U$2:U939),$U$2:$U$1001,0),MATCH(COLUMNS($AB$1006:AQ1006),$AB$1006:$AQ$1006,0)), HYPERLINK("#",""), HYPERLINK(CONCATENATE("#Metadata!", ADDRESS(INDEX($W$2:$W$1001,MATCH(ROWS($U$2:U939),$U$2:$U$1001,0),0), INDEX($AB$1004:$AQ$1004,1,MATCH(COLUMNS($AB$1006:AQ1006),$AB$1006:$AQ$1006,0)))),"Fix")))</f>
        <v>0</v>
      </c>
      <c r="U939">
        <v>0</v>
      </c>
      <c r="V939">
        <v>0</v>
      </c>
      <c r="W939">
        <v>0</v>
      </c>
      <c r="X939">
        <f>IF(Y939,TRUE,AND(AB939:AQ939))</f>
        <v>0</v>
      </c>
      <c r="Y939">
        <f>COUNTBLANK(Metadata!B939:Q939)=COLUMNS(Metadata!B939:Q939)</f>
        <v>0</v>
      </c>
      <c r="Z939">
        <v>0</v>
      </c>
      <c r="AB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AC939">
        <f>AND(IF(Metadata!C939="",FALSE,TRUE),exact(Metadata!C939,"urban biome"))</f>
        <v>0</v>
      </c>
      <c r="AD939">
        <f>AND(IF(Metadata!D939="",FALSE,TRUE),exact(Metadata!D939,"human-associated habitat"))</f>
        <v>0</v>
      </c>
      <c r="AE939">
        <f>AND(IF(Metadata!E939="",FALSE,TRUE),OR(exact(Metadata!E939,"human-associated"),exact(Metadata!E939,"human-skin"),exact(Metadata!E939,"human-oral"),exact(Metadata!E939,"human-gut"),exact(Metadata!E939,"human-vaginal")))</f>
        <v>0</v>
      </c>
      <c r="AF939">
        <f>AND(IF(Metadata!F939="",FALSE,ISNUMBER(VALUE(Metadata!F939))),Metadata!F939&gt;0)</f>
        <v>0</v>
      </c>
      <c r="AG939">
        <f>AND(IF(Metadata!G939="",FALSE,TRUE),exact(Metadata!G939,"years"))</f>
        <v>0</v>
      </c>
      <c r="AH939">
        <f>OR(AND(IF(Metadata!H939="",FALSE,TRUE),OR(exact(Metadata!H939,"not applicable"),exact(Metadata!H939,"not collected"),exact(Metadata!H939,"not provided"),exact(Metadata!H939,"restricted access"))),AND(IF(Metadata!H939="",FALSE,ISNUMBER(VALUE(Metadata!H939))),Metadata!H939&gt;0))</f>
        <v>0</v>
      </c>
      <c r="AI939">
        <f>AND(IF(Metadata!I939="",FALSE,TRUE),exact(Metadata!I939,"human"))</f>
        <v>0</v>
      </c>
      <c r="AJ939">
        <f>AND(IF(Metadata!J939="",FALSE,ISNUMBER(VALUE(Metadata!J939))),Metadata!J939&gt;0)</f>
        <v>0</v>
      </c>
      <c r="AK939">
        <f>AND(IF(Metadata!K939="",FALSE,TRUE),exact(Metadata!K939,"cm"))</f>
        <v>0</v>
      </c>
      <c r="AL939">
        <f>AND(IF(Metadata!L939="",FALSE,TRUE),exact(Metadata!L939,"Homo sapiens"))</f>
        <v>0</v>
      </c>
      <c r="AM939">
        <f>AND(IF(Metadata!M939="",FALSE,TRUE),exact(Metadata!M939,"9606"))</f>
        <v>0</v>
      </c>
      <c r="AN939">
        <f>AND(IF(Metadata!N939="",FALSE,ISNUMBER(VALUE(Metadata!N939))),Metadata!N939&gt;0)</f>
        <v>0</v>
      </c>
      <c r="AO939">
        <f>AND(IF(Metadata!O939="",FALSE,TRUE),exact(Metadata!O939,"kg"))</f>
        <v>0</v>
      </c>
      <c r="AP939">
        <f>OR(AND(IF(Metadata!P939="",FALSE,TRUE),exact(Metadata!P939,"not provided")),IF(Metadata!P939="",FALSE,TRUE))</f>
        <v>0</v>
      </c>
      <c r="AQ939">
        <f>OR(AND(IF(Metadata!Q939="",FALSE,TRUE),exact(Metadata!Q939,"not provided")),IF(Metadata!Q939="",FALSE,TRUE))</f>
        <v>0</v>
      </c>
    </row>
    <row r="940" spans="1:43">
      <c r="A940" s="4">
        <f>IF(B940=" "," ",HYPERLINK(CONCATENATE("#metadata!",ADDRESS(INDEX($W$2:$W$1001,MATCH(ROWS($U$2:U940),$U$2:$U$1001,0),0),2)),INDEX($Z$2:$Z$1001,MATCH(ROWS($U$2:U940),$U$2:$U$1001,0),0)))</f>
        <v>0</v>
      </c>
      <c r="B940" s="5">
        <f>IF(OR(INDEX($V$2:$V$1001,MATCH(ROWS($U$2:U940),$U$2:$U$1001,0),1)&gt;=100000,INDEX($AB$1005:$AQ$1005,1,MATCH(COLUMNS($AB$1006:AB1006),$AB$1006:$AQ$1006,0))&gt;=100000), " ",IF(INDEX($AB$2:$AQ$1001,MATCH(ROWS($U$2:U940),$U$2:$U$1001,0),MATCH(COLUMNS($AB$1006:AB1006),$AB$1006:$AQ$1006,0)), HYPERLINK("#",""), HYPERLINK(CONCATENATE("#Metadata!", ADDRESS(INDEX($W$2:$W$1001,MATCH(ROWS($U$2:U940),$U$2:$U$1001,0),0), INDEX($AB$1004:$AQ$1004,1,MATCH(COLUMNS($AB$1006:AB1006),$AB$1006:$AQ$1006,0)))),"Fix")))</f>
        <v>0</v>
      </c>
      <c r="C940" s="5">
        <f>IF(OR(INDEX($V$2:$V$1001,MATCH(ROWS($U$2:U940),$U$2:$U$1001,0),1)&gt;=100000,INDEX($AB$1005:$AQ$1005,1,MATCH(COLUMNS($AB$1006:AC1006),$AB$1006:$AQ$1006,0))&gt;=100000), " ",IF(INDEX($AB$2:$AQ$1001,MATCH(ROWS($U$2:U940),$U$2:$U$1001,0),MATCH(COLUMNS($AB$1006:AC1006),$AB$1006:$AQ$1006,0)), HYPERLINK("#",""), HYPERLINK(CONCATENATE("#Metadata!", ADDRESS(INDEX($W$2:$W$1001,MATCH(ROWS($U$2:U940),$U$2:$U$1001,0),0), INDEX($AB$1004:$AQ$1004,1,MATCH(COLUMNS($AB$1006:AC1006),$AB$1006:$AQ$1006,0)))),"Fix")))</f>
        <v>0</v>
      </c>
      <c r="D940" s="5">
        <f>IF(OR(INDEX($V$2:$V$1001,MATCH(ROWS($U$2:U940),$U$2:$U$1001,0),1)&gt;=100000,INDEX($AB$1005:$AQ$1005,1,MATCH(COLUMNS($AB$1006:AD1006),$AB$1006:$AQ$1006,0))&gt;=100000), " ",IF(INDEX($AB$2:$AQ$1001,MATCH(ROWS($U$2:U940),$U$2:$U$1001,0),MATCH(COLUMNS($AB$1006:AD1006),$AB$1006:$AQ$1006,0)), HYPERLINK("#",""), HYPERLINK(CONCATENATE("#Metadata!", ADDRESS(INDEX($W$2:$W$1001,MATCH(ROWS($U$2:U940),$U$2:$U$1001,0),0), INDEX($AB$1004:$AQ$1004,1,MATCH(COLUMNS($AB$1006:AD1006),$AB$1006:$AQ$1006,0)))),"Fix")))</f>
        <v>0</v>
      </c>
      <c r="E940" s="5">
        <f>IF(OR(INDEX($V$2:$V$1001,MATCH(ROWS($U$2:U940),$U$2:$U$1001,0),1)&gt;=100000,INDEX($AB$1005:$AQ$1005,1,MATCH(COLUMNS($AB$1006:AE1006),$AB$1006:$AQ$1006,0))&gt;=100000), " ",IF(INDEX($AB$2:$AQ$1001,MATCH(ROWS($U$2:U940),$U$2:$U$1001,0),MATCH(COLUMNS($AB$1006:AE1006),$AB$1006:$AQ$1006,0)), HYPERLINK("#",""), HYPERLINK(CONCATENATE("#Metadata!", ADDRESS(INDEX($W$2:$W$1001,MATCH(ROWS($U$2:U940),$U$2:$U$1001,0),0), INDEX($AB$1004:$AQ$1004,1,MATCH(COLUMNS($AB$1006:AE1006),$AB$1006:$AQ$1006,0)))),"Fix")))</f>
        <v>0</v>
      </c>
      <c r="F940" s="5">
        <f>IF(OR(INDEX($V$2:$V$1001,MATCH(ROWS($U$2:U940),$U$2:$U$1001,0),1)&gt;=100000,INDEX($AB$1005:$AQ$1005,1,MATCH(COLUMNS($AB$1006:AF1006),$AB$1006:$AQ$1006,0))&gt;=100000), " ",IF(INDEX($AB$2:$AQ$1001,MATCH(ROWS($U$2:U940),$U$2:$U$1001,0),MATCH(COLUMNS($AB$1006:AF1006),$AB$1006:$AQ$1006,0)), HYPERLINK("#",""), HYPERLINK(CONCATENATE("#Metadata!", ADDRESS(INDEX($W$2:$W$1001,MATCH(ROWS($U$2:U940),$U$2:$U$1001,0),0), INDEX($AB$1004:$AQ$1004,1,MATCH(COLUMNS($AB$1006:AF1006),$AB$1006:$AQ$1006,0)))),"Fix")))</f>
        <v>0</v>
      </c>
      <c r="G940" s="5">
        <f>IF(OR(INDEX($V$2:$V$1001,MATCH(ROWS($U$2:U940),$U$2:$U$1001,0),1)&gt;=100000,INDEX($AB$1005:$AQ$1005,1,MATCH(COLUMNS($AB$1006:AG1006),$AB$1006:$AQ$1006,0))&gt;=100000), " ",IF(INDEX($AB$2:$AQ$1001,MATCH(ROWS($U$2:U940),$U$2:$U$1001,0),MATCH(COLUMNS($AB$1006:AG1006),$AB$1006:$AQ$1006,0)), HYPERLINK("#",""), HYPERLINK(CONCATENATE("#Metadata!", ADDRESS(INDEX($W$2:$W$1001,MATCH(ROWS($U$2:U940),$U$2:$U$1001,0),0), INDEX($AB$1004:$AQ$1004,1,MATCH(COLUMNS($AB$1006:AG1006),$AB$1006:$AQ$1006,0)))),"Fix")))</f>
        <v>0</v>
      </c>
      <c r="H940" s="5">
        <f>IF(OR(INDEX($V$2:$V$1001,MATCH(ROWS($U$2:U940),$U$2:$U$1001,0),1)&gt;=100000,INDEX($AB$1005:$AQ$1005,1,MATCH(COLUMNS($AB$1006:AH1006),$AB$1006:$AQ$1006,0))&gt;=100000), " ",IF(INDEX($AB$2:$AQ$1001,MATCH(ROWS($U$2:U940),$U$2:$U$1001,0),MATCH(COLUMNS($AB$1006:AH1006),$AB$1006:$AQ$1006,0)), HYPERLINK("#",""), HYPERLINK(CONCATENATE("#Metadata!", ADDRESS(INDEX($W$2:$W$1001,MATCH(ROWS($U$2:U940),$U$2:$U$1001,0),0), INDEX($AB$1004:$AQ$1004,1,MATCH(COLUMNS($AB$1006:AH1006),$AB$1006:$AQ$1006,0)))),"Fix")))</f>
        <v>0</v>
      </c>
      <c r="I940" s="5">
        <f>IF(OR(INDEX($V$2:$V$1001,MATCH(ROWS($U$2:U940),$U$2:$U$1001,0),1)&gt;=100000,INDEX($AB$1005:$AQ$1005,1,MATCH(COLUMNS($AB$1006:AI1006),$AB$1006:$AQ$1006,0))&gt;=100000), " ",IF(INDEX($AB$2:$AQ$1001,MATCH(ROWS($U$2:U940),$U$2:$U$1001,0),MATCH(COLUMNS($AB$1006:AI1006),$AB$1006:$AQ$1006,0)), HYPERLINK("#",""), HYPERLINK(CONCATENATE("#Metadata!", ADDRESS(INDEX($W$2:$W$1001,MATCH(ROWS($U$2:U940),$U$2:$U$1001,0),0), INDEX($AB$1004:$AQ$1004,1,MATCH(COLUMNS($AB$1006:AI1006),$AB$1006:$AQ$1006,0)))),"Fix")))</f>
        <v>0</v>
      </c>
      <c r="J940" s="5">
        <f>IF(OR(INDEX($V$2:$V$1001,MATCH(ROWS($U$2:U940),$U$2:$U$1001,0),1)&gt;=100000,INDEX($AB$1005:$AQ$1005,1,MATCH(COLUMNS($AB$1006:AJ1006),$AB$1006:$AQ$1006,0))&gt;=100000), " ",IF(INDEX($AB$2:$AQ$1001,MATCH(ROWS($U$2:U940),$U$2:$U$1001,0),MATCH(COLUMNS($AB$1006:AJ1006),$AB$1006:$AQ$1006,0)), HYPERLINK("#",""), HYPERLINK(CONCATENATE("#Metadata!", ADDRESS(INDEX($W$2:$W$1001,MATCH(ROWS($U$2:U940),$U$2:$U$1001,0),0), INDEX($AB$1004:$AQ$1004,1,MATCH(COLUMNS($AB$1006:AJ1006),$AB$1006:$AQ$1006,0)))),"Fix")))</f>
        <v>0</v>
      </c>
      <c r="K940" s="5">
        <f>IF(OR(INDEX($V$2:$V$1001,MATCH(ROWS($U$2:U940),$U$2:$U$1001,0),1)&gt;=100000,INDEX($AB$1005:$AQ$1005,1,MATCH(COLUMNS($AB$1006:AK1006),$AB$1006:$AQ$1006,0))&gt;=100000), " ",IF(INDEX($AB$2:$AQ$1001,MATCH(ROWS($U$2:U940),$U$2:$U$1001,0),MATCH(COLUMNS($AB$1006:AK1006),$AB$1006:$AQ$1006,0)), HYPERLINK("#",""), HYPERLINK(CONCATENATE("#Metadata!", ADDRESS(INDEX($W$2:$W$1001,MATCH(ROWS($U$2:U940),$U$2:$U$1001,0),0), INDEX($AB$1004:$AQ$1004,1,MATCH(COLUMNS($AB$1006:AK1006),$AB$1006:$AQ$1006,0)))),"Fix")))</f>
        <v>0</v>
      </c>
      <c r="L940" s="5">
        <f>IF(OR(INDEX($V$2:$V$1001,MATCH(ROWS($U$2:U940),$U$2:$U$1001,0),1)&gt;=100000,INDEX($AB$1005:$AQ$1005,1,MATCH(COLUMNS($AB$1006:AL1006),$AB$1006:$AQ$1006,0))&gt;=100000), " ",IF(INDEX($AB$2:$AQ$1001,MATCH(ROWS($U$2:U940),$U$2:$U$1001,0),MATCH(COLUMNS($AB$1006:AL1006),$AB$1006:$AQ$1006,0)), HYPERLINK("#",""), HYPERLINK(CONCATENATE("#Metadata!", ADDRESS(INDEX($W$2:$W$1001,MATCH(ROWS($U$2:U940),$U$2:$U$1001,0),0), INDEX($AB$1004:$AQ$1004,1,MATCH(COLUMNS($AB$1006:AL1006),$AB$1006:$AQ$1006,0)))),"Fix")))</f>
        <v>0</v>
      </c>
      <c r="M940" s="5">
        <f>IF(OR(INDEX($V$2:$V$1001,MATCH(ROWS($U$2:U940),$U$2:$U$1001,0),1)&gt;=100000,INDEX($AB$1005:$AQ$1005,1,MATCH(COLUMNS($AB$1006:AM1006),$AB$1006:$AQ$1006,0))&gt;=100000), " ",IF(INDEX($AB$2:$AQ$1001,MATCH(ROWS($U$2:U940),$U$2:$U$1001,0),MATCH(COLUMNS($AB$1006:AM1006),$AB$1006:$AQ$1006,0)), HYPERLINK("#",""), HYPERLINK(CONCATENATE("#Metadata!", ADDRESS(INDEX($W$2:$W$1001,MATCH(ROWS($U$2:U940),$U$2:$U$1001,0),0), INDEX($AB$1004:$AQ$1004,1,MATCH(COLUMNS($AB$1006:AM1006),$AB$1006:$AQ$1006,0)))),"Fix")))</f>
        <v>0</v>
      </c>
      <c r="N940" s="5">
        <f>IF(OR(INDEX($V$2:$V$1001,MATCH(ROWS($U$2:U940),$U$2:$U$1001,0),1)&gt;=100000,INDEX($AB$1005:$AQ$1005,1,MATCH(COLUMNS($AB$1006:AN1006),$AB$1006:$AQ$1006,0))&gt;=100000), " ",IF(INDEX($AB$2:$AQ$1001,MATCH(ROWS($U$2:U940),$U$2:$U$1001,0),MATCH(COLUMNS($AB$1006:AN1006),$AB$1006:$AQ$1006,0)), HYPERLINK("#",""), HYPERLINK(CONCATENATE("#Metadata!", ADDRESS(INDEX($W$2:$W$1001,MATCH(ROWS($U$2:U940),$U$2:$U$1001,0),0), INDEX($AB$1004:$AQ$1004,1,MATCH(COLUMNS($AB$1006:AN1006),$AB$1006:$AQ$1006,0)))),"Fix")))</f>
        <v>0</v>
      </c>
      <c r="O940" s="5">
        <f>IF(OR(INDEX($V$2:$V$1001,MATCH(ROWS($U$2:U940),$U$2:$U$1001,0),1)&gt;=100000,INDEX($AB$1005:$AQ$1005,1,MATCH(COLUMNS($AB$1006:AO1006),$AB$1006:$AQ$1006,0))&gt;=100000), " ",IF(INDEX($AB$2:$AQ$1001,MATCH(ROWS($U$2:U940),$U$2:$U$1001,0),MATCH(COLUMNS($AB$1006:AO1006),$AB$1006:$AQ$1006,0)), HYPERLINK("#",""), HYPERLINK(CONCATENATE("#Metadata!", ADDRESS(INDEX($W$2:$W$1001,MATCH(ROWS($U$2:U940),$U$2:$U$1001,0),0), INDEX($AB$1004:$AQ$1004,1,MATCH(COLUMNS($AB$1006:AO1006),$AB$1006:$AQ$1006,0)))),"Fix")))</f>
        <v>0</v>
      </c>
      <c r="P940" s="5">
        <f>IF(OR(INDEX($V$2:$V$1001,MATCH(ROWS($U$2:U940),$U$2:$U$1001,0),1)&gt;=100000,INDEX($AB$1005:$AQ$1005,1,MATCH(COLUMNS($AB$1006:AP1006),$AB$1006:$AQ$1006,0))&gt;=100000), " ",IF(INDEX($AB$2:$AQ$1001,MATCH(ROWS($U$2:U940),$U$2:$U$1001,0),MATCH(COLUMNS($AB$1006:AP1006),$AB$1006:$AQ$1006,0)), HYPERLINK("#",""), HYPERLINK(CONCATENATE("#Metadata!", ADDRESS(INDEX($W$2:$W$1001,MATCH(ROWS($U$2:U940),$U$2:$U$1001,0),0), INDEX($AB$1004:$AQ$1004,1,MATCH(COLUMNS($AB$1006:AP1006),$AB$1006:$AQ$1006,0)))),"Fix")))</f>
        <v>0</v>
      </c>
      <c r="Q940" s="5">
        <f>IF(OR(INDEX($V$2:$V$1001,MATCH(ROWS($U$2:U940),$U$2:$U$1001,0),1)&gt;=100000,INDEX($AB$1005:$AQ$1005,1,MATCH(COLUMNS($AB$1006:AQ1006),$AB$1006:$AQ$1006,0))&gt;=100000), " ",IF(INDEX($AB$2:$AQ$1001,MATCH(ROWS($U$2:U940),$U$2:$U$1001,0),MATCH(COLUMNS($AB$1006:AQ1006),$AB$1006:$AQ$1006,0)), HYPERLINK("#",""), HYPERLINK(CONCATENATE("#Metadata!", ADDRESS(INDEX($W$2:$W$1001,MATCH(ROWS($U$2:U940),$U$2:$U$1001,0),0), INDEX($AB$1004:$AQ$1004,1,MATCH(COLUMNS($AB$1006:AQ1006),$AB$1006:$AQ$1006,0)))),"Fix")))</f>
        <v>0</v>
      </c>
      <c r="U940">
        <v>0</v>
      </c>
      <c r="V940">
        <v>0</v>
      </c>
      <c r="W940">
        <v>0</v>
      </c>
      <c r="X940">
        <f>IF(Y940,TRUE,AND(AB940:AQ940))</f>
        <v>0</v>
      </c>
      <c r="Y940">
        <f>COUNTBLANK(Metadata!B940:Q940)=COLUMNS(Metadata!B940:Q940)</f>
        <v>0</v>
      </c>
      <c r="Z940">
        <v>0</v>
      </c>
      <c r="AB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AC940">
        <f>AND(IF(Metadata!C940="",FALSE,TRUE),exact(Metadata!C940,"urban biome"))</f>
        <v>0</v>
      </c>
      <c r="AD940">
        <f>AND(IF(Metadata!D940="",FALSE,TRUE),exact(Metadata!D940,"human-associated habitat"))</f>
        <v>0</v>
      </c>
      <c r="AE940">
        <f>AND(IF(Metadata!E940="",FALSE,TRUE),OR(exact(Metadata!E940,"human-associated"),exact(Metadata!E940,"human-skin"),exact(Metadata!E940,"human-oral"),exact(Metadata!E940,"human-gut"),exact(Metadata!E940,"human-vaginal")))</f>
        <v>0</v>
      </c>
      <c r="AF940">
        <f>AND(IF(Metadata!F940="",FALSE,ISNUMBER(VALUE(Metadata!F940))),Metadata!F940&gt;0)</f>
        <v>0</v>
      </c>
      <c r="AG940">
        <f>AND(IF(Metadata!G940="",FALSE,TRUE),exact(Metadata!G940,"years"))</f>
        <v>0</v>
      </c>
      <c r="AH940">
        <f>OR(AND(IF(Metadata!H940="",FALSE,TRUE),OR(exact(Metadata!H940,"not applicable"),exact(Metadata!H940,"not collected"),exact(Metadata!H940,"not provided"),exact(Metadata!H940,"restricted access"))),AND(IF(Metadata!H940="",FALSE,ISNUMBER(VALUE(Metadata!H940))),Metadata!H940&gt;0))</f>
        <v>0</v>
      </c>
      <c r="AI940">
        <f>AND(IF(Metadata!I940="",FALSE,TRUE),exact(Metadata!I940,"human"))</f>
        <v>0</v>
      </c>
      <c r="AJ940">
        <f>AND(IF(Metadata!J940="",FALSE,ISNUMBER(VALUE(Metadata!J940))),Metadata!J940&gt;0)</f>
        <v>0</v>
      </c>
      <c r="AK940">
        <f>AND(IF(Metadata!K940="",FALSE,TRUE),exact(Metadata!K940,"cm"))</f>
        <v>0</v>
      </c>
      <c r="AL940">
        <f>AND(IF(Metadata!L940="",FALSE,TRUE),exact(Metadata!L940,"Homo sapiens"))</f>
        <v>0</v>
      </c>
      <c r="AM940">
        <f>AND(IF(Metadata!M940="",FALSE,TRUE),exact(Metadata!M940,"9606"))</f>
        <v>0</v>
      </c>
      <c r="AN940">
        <f>AND(IF(Metadata!N940="",FALSE,ISNUMBER(VALUE(Metadata!N940))),Metadata!N940&gt;0)</f>
        <v>0</v>
      </c>
      <c r="AO940">
        <f>AND(IF(Metadata!O940="",FALSE,TRUE),exact(Metadata!O940,"kg"))</f>
        <v>0</v>
      </c>
      <c r="AP940">
        <f>OR(AND(IF(Metadata!P940="",FALSE,TRUE),exact(Metadata!P940,"not provided")),IF(Metadata!P940="",FALSE,TRUE))</f>
        <v>0</v>
      </c>
      <c r="AQ940">
        <f>OR(AND(IF(Metadata!Q940="",FALSE,TRUE),exact(Metadata!Q940,"not provided")),IF(Metadata!Q940="",FALSE,TRUE))</f>
        <v>0</v>
      </c>
    </row>
    <row r="941" spans="1:43">
      <c r="A941" s="4">
        <f>IF(B941=" "," ",HYPERLINK(CONCATENATE("#metadata!",ADDRESS(INDEX($W$2:$W$1001,MATCH(ROWS($U$2:U941),$U$2:$U$1001,0),0),2)),INDEX($Z$2:$Z$1001,MATCH(ROWS($U$2:U941),$U$2:$U$1001,0),0)))</f>
        <v>0</v>
      </c>
      <c r="B941" s="5">
        <f>IF(OR(INDEX($V$2:$V$1001,MATCH(ROWS($U$2:U941),$U$2:$U$1001,0),1)&gt;=100000,INDEX($AB$1005:$AQ$1005,1,MATCH(COLUMNS($AB$1006:AB1006),$AB$1006:$AQ$1006,0))&gt;=100000), " ",IF(INDEX($AB$2:$AQ$1001,MATCH(ROWS($U$2:U941),$U$2:$U$1001,0),MATCH(COLUMNS($AB$1006:AB1006),$AB$1006:$AQ$1006,0)), HYPERLINK("#",""), HYPERLINK(CONCATENATE("#Metadata!", ADDRESS(INDEX($W$2:$W$1001,MATCH(ROWS($U$2:U941),$U$2:$U$1001,0),0), INDEX($AB$1004:$AQ$1004,1,MATCH(COLUMNS($AB$1006:AB1006),$AB$1006:$AQ$1006,0)))),"Fix")))</f>
        <v>0</v>
      </c>
      <c r="C941" s="5">
        <f>IF(OR(INDEX($V$2:$V$1001,MATCH(ROWS($U$2:U941),$U$2:$U$1001,0),1)&gt;=100000,INDEX($AB$1005:$AQ$1005,1,MATCH(COLUMNS($AB$1006:AC1006),$AB$1006:$AQ$1006,0))&gt;=100000), " ",IF(INDEX($AB$2:$AQ$1001,MATCH(ROWS($U$2:U941),$U$2:$U$1001,0),MATCH(COLUMNS($AB$1006:AC1006),$AB$1006:$AQ$1006,0)), HYPERLINK("#",""), HYPERLINK(CONCATENATE("#Metadata!", ADDRESS(INDEX($W$2:$W$1001,MATCH(ROWS($U$2:U941),$U$2:$U$1001,0),0), INDEX($AB$1004:$AQ$1004,1,MATCH(COLUMNS($AB$1006:AC1006),$AB$1006:$AQ$1006,0)))),"Fix")))</f>
        <v>0</v>
      </c>
      <c r="D941" s="5">
        <f>IF(OR(INDEX($V$2:$V$1001,MATCH(ROWS($U$2:U941),$U$2:$U$1001,0),1)&gt;=100000,INDEX($AB$1005:$AQ$1005,1,MATCH(COLUMNS($AB$1006:AD1006),$AB$1006:$AQ$1006,0))&gt;=100000), " ",IF(INDEX($AB$2:$AQ$1001,MATCH(ROWS($U$2:U941),$U$2:$U$1001,0),MATCH(COLUMNS($AB$1006:AD1006),$AB$1006:$AQ$1006,0)), HYPERLINK("#",""), HYPERLINK(CONCATENATE("#Metadata!", ADDRESS(INDEX($W$2:$W$1001,MATCH(ROWS($U$2:U941),$U$2:$U$1001,0),0), INDEX($AB$1004:$AQ$1004,1,MATCH(COLUMNS($AB$1006:AD1006),$AB$1006:$AQ$1006,0)))),"Fix")))</f>
        <v>0</v>
      </c>
      <c r="E941" s="5">
        <f>IF(OR(INDEX($V$2:$V$1001,MATCH(ROWS($U$2:U941),$U$2:$U$1001,0),1)&gt;=100000,INDEX($AB$1005:$AQ$1005,1,MATCH(COLUMNS($AB$1006:AE1006),$AB$1006:$AQ$1006,0))&gt;=100000), " ",IF(INDEX($AB$2:$AQ$1001,MATCH(ROWS($U$2:U941),$U$2:$U$1001,0),MATCH(COLUMNS($AB$1006:AE1006),$AB$1006:$AQ$1006,0)), HYPERLINK("#",""), HYPERLINK(CONCATENATE("#Metadata!", ADDRESS(INDEX($W$2:$W$1001,MATCH(ROWS($U$2:U941),$U$2:$U$1001,0),0), INDEX($AB$1004:$AQ$1004,1,MATCH(COLUMNS($AB$1006:AE1006),$AB$1006:$AQ$1006,0)))),"Fix")))</f>
        <v>0</v>
      </c>
      <c r="F941" s="5">
        <f>IF(OR(INDEX($V$2:$V$1001,MATCH(ROWS($U$2:U941),$U$2:$U$1001,0),1)&gt;=100000,INDEX($AB$1005:$AQ$1005,1,MATCH(COLUMNS($AB$1006:AF1006),$AB$1006:$AQ$1006,0))&gt;=100000), " ",IF(INDEX($AB$2:$AQ$1001,MATCH(ROWS($U$2:U941),$U$2:$U$1001,0),MATCH(COLUMNS($AB$1006:AF1006),$AB$1006:$AQ$1006,0)), HYPERLINK("#",""), HYPERLINK(CONCATENATE("#Metadata!", ADDRESS(INDEX($W$2:$W$1001,MATCH(ROWS($U$2:U941),$U$2:$U$1001,0),0), INDEX($AB$1004:$AQ$1004,1,MATCH(COLUMNS($AB$1006:AF1006),$AB$1006:$AQ$1006,0)))),"Fix")))</f>
        <v>0</v>
      </c>
      <c r="G941" s="5">
        <f>IF(OR(INDEX($V$2:$V$1001,MATCH(ROWS($U$2:U941),$U$2:$U$1001,0),1)&gt;=100000,INDEX($AB$1005:$AQ$1005,1,MATCH(COLUMNS($AB$1006:AG1006),$AB$1006:$AQ$1006,0))&gt;=100000), " ",IF(INDEX($AB$2:$AQ$1001,MATCH(ROWS($U$2:U941),$U$2:$U$1001,0),MATCH(COLUMNS($AB$1006:AG1006),$AB$1006:$AQ$1006,0)), HYPERLINK("#",""), HYPERLINK(CONCATENATE("#Metadata!", ADDRESS(INDEX($W$2:$W$1001,MATCH(ROWS($U$2:U941),$U$2:$U$1001,0),0), INDEX($AB$1004:$AQ$1004,1,MATCH(COLUMNS($AB$1006:AG1006),$AB$1006:$AQ$1006,0)))),"Fix")))</f>
        <v>0</v>
      </c>
      <c r="H941" s="5">
        <f>IF(OR(INDEX($V$2:$V$1001,MATCH(ROWS($U$2:U941),$U$2:$U$1001,0),1)&gt;=100000,INDEX($AB$1005:$AQ$1005,1,MATCH(COLUMNS($AB$1006:AH1006),$AB$1006:$AQ$1006,0))&gt;=100000), " ",IF(INDEX($AB$2:$AQ$1001,MATCH(ROWS($U$2:U941),$U$2:$U$1001,0),MATCH(COLUMNS($AB$1006:AH1006),$AB$1006:$AQ$1006,0)), HYPERLINK("#",""), HYPERLINK(CONCATENATE("#Metadata!", ADDRESS(INDEX($W$2:$W$1001,MATCH(ROWS($U$2:U941),$U$2:$U$1001,0),0), INDEX($AB$1004:$AQ$1004,1,MATCH(COLUMNS($AB$1006:AH1006),$AB$1006:$AQ$1006,0)))),"Fix")))</f>
        <v>0</v>
      </c>
      <c r="I941" s="5">
        <f>IF(OR(INDEX($V$2:$V$1001,MATCH(ROWS($U$2:U941),$U$2:$U$1001,0),1)&gt;=100000,INDEX($AB$1005:$AQ$1005,1,MATCH(COLUMNS($AB$1006:AI1006),$AB$1006:$AQ$1006,0))&gt;=100000), " ",IF(INDEX($AB$2:$AQ$1001,MATCH(ROWS($U$2:U941),$U$2:$U$1001,0),MATCH(COLUMNS($AB$1006:AI1006),$AB$1006:$AQ$1006,0)), HYPERLINK("#",""), HYPERLINK(CONCATENATE("#Metadata!", ADDRESS(INDEX($W$2:$W$1001,MATCH(ROWS($U$2:U941),$U$2:$U$1001,0),0), INDEX($AB$1004:$AQ$1004,1,MATCH(COLUMNS($AB$1006:AI1006),$AB$1006:$AQ$1006,0)))),"Fix")))</f>
        <v>0</v>
      </c>
      <c r="J941" s="5">
        <f>IF(OR(INDEX($V$2:$V$1001,MATCH(ROWS($U$2:U941),$U$2:$U$1001,0),1)&gt;=100000,INDEX($AB$1005:$AQ$1005,1,MATCH(COLUMNS($AB$1006:AJ1006),$AB$1006:$AQ$1006,0))&gt;=100000), " ",IF(INDEX($AB$2:$AQ$1001,MATCH(ROWS($U$2:U941),$U$2:$U$1001,0),MATCH(COLUMNS($AB$1006:AJ1006),$AB$1006:$AQ$1006,0)), HYPERLINK("#",""), HYPERLINK(CONCATENATE("#Metadata!", ADDRESS(INDEX($W$2:$W$1001,MATCH(ROWS($U$2:U941),$U$2:$U$1001,0),0), INDEX($AB$1004:$AQ$1004,1,MATCH(COLUMNS($AB$1006:AJ1006),$AB$1006:$AQ$1006,0)))),"Fix")))</f>
        <v>0</v>
      </c>
      <c r="K941" s="5">
        <f>IF(OR(INDEX($V$2:$V$1001,MATCH(ROWS($U$2:U941),$U$2:$U$1001,0),1)&gt;=100000,INDEX($AB$1005:$AQ$1005,1,MATCH(COLUMNS($AB$1006:AK1006),$AB$1006:$AQ$1006,0))&gt;=100000), " ",IF(INDEX($AB$2:$AQ$1001,MATCH(ROWS($U$2:U941),$U$2:$U$1001,0),MATCH(COLUMNS($AB$1006:AK1006),$AB$1006:$AQ$1006,0)), HYPERLINK("#",""), HYPERLINK(CONCATENATE("#Metadata!", ADDRESS(INDEX($W$2:$W$1001,MATCH(ROWS($U$2:U941),$U$2:$U$1001,0),0), INDEX($AB$1004:$AQ$1004,1,MATCH(COLUMNS($AB$1006:AK1006),$AB$1006:$AQ$1006,0)))),"Fix")))</f>
        <v>0</v>
      </c>
      <c r="L941" s="5">
        <f>IF(OR(INDEX($V$2:$V$1001,MATCH(ROWS($U$2:U941),$U$2:$U$1001,0),1)&gt;=100000,INDEX($AB$1005:$AQ$1005,1,MATCH(COLUMNS($AB$1006:AL1006),$AB$1006:$AQ$1006,0))&gt;=100000), " ",IF(INDEX($AB$2:$AQ$1001,MATCH(ROWS($U$2:U941),$U$2:$U$1001,0),MATCH(COLUMNS($AB$1006:AL1006),$AB$1006:$AQ$1006,0)), HYPERLINK("#",""), HYPERLINK(CONCATENATE("#Metadata!", ADDRESS(INDEX($W$2:$W$1001,MATCH(ROWS($U$2:U941),$U$2:$U$1001,0),0), INDEX($AB$1004:$AQ$1004,1,MATCH(COLUMNS($AB$1006:AL1006),$AB$1006:$AQ$1006,0)))),"Fix")))</f>
        <v>0</v>
      </c>
      <c r="M941" s="5">
        <f>IF(OR(INDEX($V$2:$V$1001,MATCH(ROWS($U$2:U941),$U$2:$U$1001,0),1)&gt;=100000,INDEX($AB$1005:$AQ$1005,1,MATCH(COLUMNS($AB$1006:AM1006),$AB$1006:$AQ$1006,0))&gt;=100000), " ",IF(INDEX($AB$2:$AQ$1001,MATCH(ROWS($U$2:U941),$U$2:$U$1001,0),MATCH(COLUMNS($AB$1006:AM1006),$AB$1006:$AQ$1006,0)), HYPERLINK("#",""), HYPERLINK(CONCATENATE("#Metadata!", ADDRESS(INDEX($W$2:$W$1001,MATCH(ROWS($U$2:U941),$U$2:$U$1001,0),0), INDEX($AB$1004:$AQ$1004,1,MATCH(COLUMNS($AB$1006:AM1006),$AB$1006:$AQ$1006,0)))),"Fix")))</f>
        <v>0</v>
      </c>
      <c r="N941" s="5">
        <f>IF(OR(INDEX($V$2:$V$1001,MATCH(ROWS($U$2:U941),$U$2:$U$1001,0),1)&gt;=100000,INDEX($AB$1005:$AQ$1005,1,MATCH(COLUMNS($AB$1006:AN1006),$AB$1006:$AQ$1006,0))&gt;=100000), " ",IF(INDEX($AB$2:$AQ$1001,MATCH(ROWS($U$2:U941),$U$2:$U$1001,0),MATCH(COLUMNS($AB$1006:AN1006),$AB$1006:$AQ$1006,0)), HYPERLINK("#",""), HYPERLINK(CONCATENATE("#Metadata!", ADDRESS(INDEX($W$2:$W$1001,MATCH(ROWS($U$2:U941),$U$2:$U$1001,0),0), INDEX($AB$1004:$AQ$1004,1,MATCH(COLUMNS($AB$1006:AN1006),$AB$1006:$AQ$1006,0)))),"Fix")))</f>
        <v>0</v>
      </c>
      <c r="O941" s="5">
        <f>IF(OR(INDEX($V$2:$V$1001,MATCH(ROWS($U$2:U941),$U$2:$U$1001,0),1)&gt;=100000,INDEX($AB$1005:$AQ$1005,1,MATCH(COLUMNS($AB$1006:AO1006),$AB$1006:$AQ$1006,0))&gt;=100000), " ",IF(INDEX($AB$2:$AQ$1001,MATCH(ROWS($U$2:U941),$U$2:$U$1001,0),MATCH(COLUMNS($AB$1006:AO1006),$AB$1006:$AQ$1006,0)), HYPERLINK("#",""), HYPERLINK(CONCATENATE("#Metadata!", ADDRESS(INDEX($W$2:$W$1001,MATCH(ROWS($U$2:U941),$U$2:$U$1001,0),0), INDEX($AB$1004:$AQ$1004,1,MATCH(COLUMNS($AB$1006:AO1006),$AB$1006:$AQ$1006,0)))),"Fix")))</f>
        <v>0</v>
      </c>
      <c r="P941" s="5">
        <f>IF(OR(INDEX($V$2:$V$1001,MATCH(ROWS($U$2:U941),$U$2:$U$1001,0),1)&gt;=100000,INDEX($AB$1005:$AQ$1005,1,MATCH(COLUMNS($AB$1006:AP1006),$AB$1006:$AQ$1006,0))&gt;=100000), " ",IF(INDEX($AB$2:$AQ$1001,MATCH(ROWS($U$2:U941),$U$2:$U$1001,0),MATCH(COLUMNS($AB$1006:AP1006),$AB$1006:$AQ$1006,0)), HYPERLINK("#",""), HYPERLINK(CONCATENATE("#Metadata!", ADDRESS(INDEX($W$2:$W$1001,MATCH(ROWS($U$2:U941),$U$2:$U$1001,0),0), INDEX($AB$1004:$AQ$1004,1,MATCH(COLUMNS($AB$1006:AP1006),$AB$1006:$AQ$1006,0)))),"Fix")))</f>
        <v>0</v>
      </c>
      <c r="Q941" s="5">
        <f>IF(OR(INDEX($V$2:$V$1001,MATCH(ROWS($U$2:U941),$U$2:$U$1001,0),1)&gt;=100000,INDEX($AB$1005:$AQ$1005,1,MATCH(COLUMNS($AB$1006:AQ1006),$AB$1006:$AQ$1006,0))&gt;=100000), " ",IF(INDEX($AB$2:$AQ$1001,MATCH(ROWS($U$2:U941),$U$2:$U$1001,0),MATCH(COLUMNS($AB$1006:AQ1006),$AB$1006:$AQ$1006,0)), HYPERLINK("#",""), HYPERLINK(CONCATENATE("#Metadata!", ADDRESS(INDEX($W$2:$W$1001,MATCH(ROWS($U$2:U941),$U$2:$U$1001,0),0), INDEX($AB$1004:$AQ$1004,1,MATCH(COLUMNS($AB$1006:AQ1006),$AB$1006:$AQ$1006,0)))),"Fix")))</f>
        <v>0</v>
      </c>
      <c r="U941">
        <v>0</v>
      </c>
      <c r="V941">
        <v>0</v>
      </c>
      <c r="W941">
        <v>0</v>
      </c>
      <c r="X941">
        <f>IF(Y941,TRUE,AND(AB941:AQ941))</f>
        <v>0</v>
      </c>
      <c r="Y941">
        <f>COUNTBLANK(Metadata!B941:Q941)=COLUMNS(Metadata!B941:Q941)</f>
        <v>0</v>
      </c>
      <c r="Z941">
        <v>0</v>
      </c>
      <c r="AB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AC941">
        <f>AND(IF(Metadata!C941="",FALSE,TRUE),exact(Metadata!C941,"urban biome"))</f>
        <v>0</v>
      </c>
      <c r="AD941">
        <f>AND(IF(Metadata!D941="",FALSE,TRUE),exact(Metadata!D941,"human-associated habitat"))</f>
        <v>0</v>
      </c>
      <c r="AE941">
        <f>AND(IF(Metadata!E941="",FALSE,TRUE),OR(exact(Metadata!E941,"human-associated"),exact(Metadata!E941,"human-skin"),exact(Metadata!E941,"human-oral"),exact(Metadata!E941,"human-gut"),exact(Metadata!E941,"human-vaginal")))</f>
        <v>0</v>
      </c>
      <c r="AF941">
        <f>AND(IF(Metadata!F941="",FALSE,ISNUMBER(VALUE(Metadata!F941))),Metadata!F941&gt;0)</f>
        <v>0</v>
      </c>
      <c r="AG941">
        <f>AND(IF(Metadata!G941="",FALSE,TRUE),exact(Metadata!G941,"years"))</f>
        <v>0</v>
      </c>
      <c r="AH941">
        <f>OR(AND(IF(Metadata!H941="",FALSE,TRUE),OR(exact(Metadata!H941,"not applicable"),exact(Metadata!H941,"not collected"),exact(Metadata!H941,"not provided"),exact(Metadata!H941,"restricted access"))),AND(IF(Metadata!H941="",FALSE,ISNUMBER(VALUE(Metadata!H941))),Metadata!H941&gt;0))</f>
        <v>0</v>
      </c>
      <c r="AI941">
        <f>AND(IF(Metadata!I941="",FALSE,TRUE),exact(Metadata!I941,"human"))</f>
        <v>0</v>
      </c>
      <c r="AJ941">
        <f>AND(IF(Metadata!J941="",FALSE,ISNUMBER(VALUE(Metadata!J941))),Metadata!J941&gt;0)</f>
        <v>0</v>
      </c>
      <c r="AK941">
        <f>AND(IF(Metadata!K941="",FALSE,TRUE),exact(Metadata!K941,"cm"))</f>
        <v>0</v>
      </c>
      <c r="AL941">
        <f>AND(IF(Metadata!L941="",FALSE,TRUE),exact(Metadata!L941,"Homo sapiens"))</f>
        <v>0</v>
      </c>
      <c r="AM941">
        <f>AND(IF(Metadata!M941="",FALSE,TRUE),exact(Metadata!M941,"9606"))</f>
        <v>0</v>
      </c>
      <c r="AN941">
        <f>AND(IF(Metadata!N941="",FALSE,ISNUMBER(VALUE(Metadata!N941))),Metadata!N941&gt;0)</f>
        <v>0</v>
      </c>
      <c r="AO941">
        <f>AND(IF(Metadata!O941="",FALSE,TRUE),exact(Metadata!O941,"kg"))</f>
        <v>0</v>
      </c>
      <c r="AP941">
        <f>OR(AND(IF(Metadata!P941="",FALSE,TRUE),exact(Metadata!P941,"not provided")),IF(Metadata!P941="",FALSE,TRUE))</f>
        <v>0</v>
      </c>
      <c r="AQ941">
        <f>OR(AND(IF(Metadata!Q941="",FALSE,TRUE),exact(Metadata!Q941,"not provided")),IF(Metadata!Q941="",FALSE,TRUE))</f>
        <v>0</v>
      </c>
    </row>
    <row r="942" spans="1:43">
      <c r="A942" s="4">
        <f>IF(B942=" "," ",HYPERLINK(CONCATENATE("#metadata!",ADDRESS(INDEX($W$2:$W$1001,MATCH(ROWS($U$2:U942),$U$2:$U$1001,0),0),2)),INDEX($Z$2:$Z$1001,MATCH(ROWS($U$2:U942),$U$2:$U$1001,0),0)))</f>
        <v>0</v>
      </c>
      <c r="B942" s="5">
        <f>IF(OR(INDEX($V$2:$V$1001,MATCH(ROWS($U$2:U942),$U$2:$U$1001,0),1)&gt;=100000,INDEX($AB$1005:$AQ$1005,1,MATCH(COLUMNS($AB$1006:AB1006),$AB$1006:$AQ$1006,0))&gt;=100000), " ",IF(INDEX($AB$2:$AQ$1001,MATCH(ROWS($U$2:U942),$U$2:$U$1001,0),MATCH(COLUMNS($AB$1006:AB1006),$AB$1006:$AQ$1006,0)), HYPERLINK("#",""), HYPERLINK(CONCATENATE("#Metadata!", ADDRESS(INDEX($W$2:$W$1001,MATCH(ROWS($U$2:U942),$U$2:$U$1001,0),0), INDEX($AB$1004:$AQ$1004,1,MATCH(COLUMNS($AB$1006:AB1006),$AB$1006:$AQ$1006,0)))),"Fix")))</f>
        <v>0</v>
      </c>
      <c r="C942" s="5">
        <f>IF(OR(INDEX($V$2:$V$1001,MATCH(ROWS($U$2:U942),$U$2:$U$1001,0),1)&gt;=100000,INDEX($AB$1005:$AQ$1005,1,MATCH(COLUMNS($AB$1006:AC1006),$AB$1006:$AQ$1006,0))&gt;=100000), " ",IF(INDEX($AB$2:$AQ$1001,MATCH(ROWS($U$2:U942),$U$2:$U$1001,0),MATCH(COLUMNS($AB$1006:AC1006),$AB$1006:$AQ$1006,0)), HYPERLINK("#",""), HYPERLINK(CONCATENATE("#Metadata!", ADDRESS(INDEX($W$2:$W$1001,MATCH(ROWS($U$2:U942),$U$2:$U$1001,0),0), INDEX($AB$1004:$AQ$1004,1,MATCH(COLUMNS($AB$1006:AC1006),$AB$1006:$AQ$1006,0)))),"Fix")))</f>
        <v>0</v>
      </c>
      <c r="D942" s="5">
        <f>IF(OR(INDEX($V$2:$V$1001,MATCH(ROWS($U$2:U942),$U$2:$U$1001,0),1)&gt;=100000,INDEX($AB$1005:$AQ$1005,1,MATCH(COLUMNS($AB$1006:AD1006),$AB$1006:$AQ$1006,0))&gt;=100000), " ",IF(INDEX($AB$2:$AQ$1001,MATCH(ROWS($U$2:U942),$U$2:$U$1001,0),MATCH(COLUMNS($AB$1006:AD1006),$AB$1006:$AQ$1006,0)), HYPERLINK("#",""), HYPERLINK(CONCATENATE("#Metadata!", ADDRESS(INDEX($W$2:$W$1001,MATCH(ROWS($U$2:U942),$U$2:$U$1001,0),0), INDEX($AB$1004:$AQ$1004,1,MATCH(COLUMNS($AB$1006:AD1006),$AB$1006:$AQ$1006,0)))),"Fix")))</f>
        <v>0</v>
      </c>
      <c r="E942" s="5">
        <f>IF(OR(INDEX($V$2:$V$1001,MATCH(ROWS($U$2:U942),$U$2:$U$1001,0),1)&gt;=100000,INDEX($AB$1005:$AQ$1005,1,MATCH(COLUMNS($AB$1006:AE1006),$AB$1006:$AQ$1006,0))&gt;=100000), " ",IF(INDEX($AB$2:$AQ$1001,MATCH(ROWS($U$2:U942),$U$2:$U$1001,0),MATCH(COLUMNS($AB$1006:AE1006),$AB$1006:$AQ$1006,0)), HYPERLINK("#",""), HYPERLINK(CONCATENATE("#Metadata!", ADDRESS(INDEX($W$2:$W$1001,MATCH(ROWS($U$2:U942),$U$2:$U$1001,0),0), INDEX($AB$1004:$AQ$1004,1,MATCH(COLUMNS($AB$1006:AE1006),$AB$1006:$AQ$1006,0)))),"Fix")))</f>
        <v>0</v>
      </c>
      <c r="F942" s="5">
        <f>IF(OR(INDEX($V$2:$V$1001,MATCH(ROWS($U$2:U942),$U$2:$U$1001,0),1)&gt;=100000,INDEX($AB$1005:$AQ$1005,1,MATCH(COLUMNS($AB$1006:AF1006),$AB$1006:$AQ$1006,0))&gt;=100000), " ",IF(INDEX($AB$2:$AQ$1001,MATCH(ROWS($U$2:U942),$U$2:$U$1001,0),MATCH(COLUMNS($AB$1006:AF1006),$AB$1006:$AQ$1006,0)), HYPERLINK("#",""), HYPERLINK(CONCATENATE("#Metadata!", ADDRESS(INDEX($W$2:$W$1001,MATCH(ROWS($U$2:U942),$U$2:$U$1001,0),0), INDEX($AB$1004:$AQ$1004,1,MATCH(COLUMNS($AB$1006:AF1006),$AB$1006:$AQ$1006,0)))),"Fix")))</f>
        <v>0</v>
      </c>
      <c r="G942" s="5">
        <f>IF(OR(INDEX($V$2:$V$1001,MATCH(ROWS($U$2:U942),$U$2:$U$1001,0),1)&gt;=100000,INDEX($AB$1005:$AQ$1005,1,MATCH(COLUMNS($AB$1006:AG1006),$AB$1006:$AQ$1006,0))&gt;=100000), " ",IF(INDEX($AB$2:$AQ$1001,MATCH(ROWS($U$2:U942),$U$2:$U$1001,0),MATCH(COLUMNS($AB$1006:AG1006),$AB$1006:$AQ$1006,0)), HYPERLINK("#",""), HYPERLINK(CONCATENATE("#Metadata!", ADDRESS(INDEX($W$2:$W$1001,MATCH(ROWS($U$2:U942),$U$2:$U$1001,0),0), INDEX($AB$1004:$AQ$1004,1,MATCH(COLUMNS($AB$1006:AG1006),$AB$1006:$AQ$1006,0)))),"Fix")))</f>
        <v>0</v>
      </c>
      <c r="H942" s="5">
        <f>IF(OR(INDEX($V$2:$V$1001,MATCH(ROWS($U$2:U942),$U$2:$U$1001,0),1)&gt;=100000,INDEX($AB$1005:$AQ$1005,1,MATCH(COLUMNS($AB$1006:AH1006),$AB$1006:$AQ$1006,0))&gt;=100000), " ",IF(INDEX($AB$2:$AQ$1001,MATCH(ROWS($U$2:U942),$U$2:$U$1001,0),MATCH(COLUMNS($AB$1006:AH1006),$AB$1006:$AQ$1006,0)), HYPERLINK("#",""), HYPERLINK(CONCATENATE("#Metadata!", ADDRESS(INDEX($W$2:$W$1001,MATCH(ROWS($U$2:U942),$U$2:$U$1001,0),0), INDEX($AB$1004:$AQ$1004,1,MATCH(COLUMNS($AB$1006:AH1006),$AB$1006:$AQ$1006,0)))),"Fix")))</f>
        <v>0</v>
      </c>
      <c r="I942" s="5">
        <f>IF(OR(INDEX($V$2:$V$1001,MATCH(ROWS($U$2:U942),$U$2:$U$1001,0),1)&gt;=100000,INDEX($AB$1005:$AQ$1005,1,MATCH(COLUMNS($AB$1006:AI1006),$AB$1006:$AQ$1006,0))&gt;=100000), " ",IF(INDEX($AB$2:$AQ$1001,MATCH(ROWS($U$2:U942),$U$2:$U$1001,0),MATCH(COLUMNS($AB$1006:AI1006),$AB$1006:$AQ$1006,0)), HYPERLINK("#",""), HYPERLINK(CONCATENATE("#Metadata!", ADDRESS(INDEX($W$2:$W$1001,MATCH(ROWS($U$2:U942),$U$2:$U$1001,0),0), INDEX($AB$1004:$AQ$1004,1,MATCH(COLUMNS($AB$1006:AI1006),$AB$1006:$AQ$1006,0)))),"Fix")))</f>
        <v>0</v>
      </c>
      <c r="J942" s="5">
        <f>IF(OR(INDEX($V$2:$V$1001,MATCH(ROWS($U$2:U942),$U$2:$U$1001,0),1)&gt;=100000,INDEX($AB$1005:$AQ$1005,1,MATCH(COLUMNS($AB$1006:AJ1006),$AB$1006:$AQ$1006,0))&gt;=100000), " ",IF(INDEX($AB$2:$AQ$1001,MATCH(ROWS($U$2:U942),$U$2:$U$1001,0),MATCH(COLUMNS($AB$1006:AJ1006),$AB$1006:$AQ$1006,0)), HYPERLINK("#",""), HYPERLINK(CONCATENATE("#Metadata!", ADDRESS(INDEX($W$2:$W$1001,MATCH(ROWS($U$2:U942),$U$2:$U$1001,0),0), INDEX($AB$1004:$AQ$1004,1,MATCH(COLUMNS($AB$1006:AJ1006),$AB$1006:$AQ$1006,0)))),"Fix")))</f>
        <v>0</v>
      </c>
      <c r="K942" s="5">
        <f>IF(OR(INDEX($V$2:$V$1001,MATCH(ROWS($U$2:U942),$U$2:$U$1001,0),1)&gt;=100000,INDEX($AB$1005:$AQ$1005,1,MATCH(COLUMNS($AB$1006:AK1006),$AB$1006:$AQ$1006,0))&gt;=100000), " ",IF(INDEX($AB$2:$AQ$1001,MATCH(ROWS($U$2:U942),$U$2:$U$1001,0),MATCH(COLUMNS($AB$1006:AK1006),$AB$1006:$AQ$1006,0)), HYPERLINK("#",""), HYPERLINK(CONCATENATE("#Metadata!", ADDRESS(INDEX($W$2:$W$1001,MATCH(ROWS($U$2:U942),$U$2:$U$1001,0),0), INDEX($AB$1004:$AQ$1004,1,MATCH(COLUMNS($AB$1006:AK1006),$AB$1006:$AQ$1006,0)))),"Fix")))</f>
        <v>0</v>
      </c>
      <c r="L942" s="5">
        <f>IF(OR(INDEX($V$2:$V$1001,MATCH(ROWS($U$2:U942),$U$2:$U$1001,0),1)&gt;=100000,INDEX($AB$1005:$AQ$1005,1,MATCH(COLUMNS($AB$1006:AL1006),$AB$1006:$AQ$1006,0))&gt;=100000), " ",IF(INDEX($AB$2:$AQ$1001,MATCH(ROWS($U$2:U942),$U$2:$U$1001,0),MATCH(COLUMNS($AB$1006:AL1006),$AB$1006:$AQ$1006,0)), HYPERLINK("#",""), HYPERLINK(CONCATENATE("#Metadata!", ADDRESS(INDEX($W$2:$W$1001,MATCH(ROWS($U$2:U942),$U$2:$U$1001,0),0), INDEX($AB$1004:$AQ$1004,1,MATCH(COLUMNS($AB$1006:AL1006),$AB$1006:$AQ$1006,0)))),"Fix")))</f>
        <v>0</v>
      </c>
      <c r="M942" s="5">
        <f>IF(OR(INDEX($V$2:$V$1001,MATCH(ROWS($U$2:U942),$U$2:$U$1001,0),1)&gt;=100000,INDEX($AB$1005:$AQ$1005,1,MATCH(COLUMNS($AB$1006:AM1006),$AB$1006:$AQ$1006,0))&gt;=100000), " ",IF(INDEX($AB$2:$AQ$1001,MATCH(ROWS($U$2:U942),$U$2:$U$1001,0),MATCH(COLUMNS($AB$1006:AM1006),$AB$1006:$AQ$1006,0)), HYPERLINK("#",""), HYPERLINK(CONCATENATE("#Metadata!", ADDRESS(INDEX($W$2:$W$1001,MATCH(ROWS($U$2:U942),$U$2:$U$1001,0),0), INDEX($AB$1004:$AQ$1004,1,MATCH(COLUMNS($AB$1006:AM1006),$AB$1006:$AQ$1006,0)))),"Fix")))</f>
        <v>0</v>
      </c>
      <c r="N942" s="5">
        <f>IF(OR(INDEX($V$2:$V$1001,MATCH(ROWS($U$2:U942),$U$2:$U$1001,0),1)&gt;=100000,INDEX($AB$1005:$AQ$1005,1,MATCH(COLUMNS($AB$1006:AN1006),$AB$1006:$AQ$1006,0))&gt;=100000), " ",IF(INDEX($AB$2:$AQ$1001,MATCH(ROWS($U$2:U942),$U$2:$U$1001,0),MATCH(COLUMNS($AB$1006:AN1006),$AB$1006:$AQ$1006,0)), HYPERLINK("#",""), HYPERLINK(CONCATENATE("#Metadata!", ADDRESS(INDEX($W$2:$W$1001,MATCH(ROWS($U$2:U942),$U$2:$U$1001,0),0), INDEX($AB$1004:$AQ$1004,1,MATCH(COLUMNS($AB$1006:AN1006),$AB$1006:$AQ$1006,0)))),"Fix")))</f>
        <v>0</v>
      </c>
      <c r="O942" s="5">
        <f>IF(OR(INDEX($V$2:$V$1001,MATCH(ROWS($U$2:U942),$U$2:$U$1001,0),1)&gt;=100000,INDEX($AB$1005:$AQ$1005,1,MATCH(COLUMNS($AB$1006:AO1006),$AB$1006:$AQ$1006,0))&gt;=100000), " ",IF(INDEX($AB$2:$AQ$1001,MATCH(ROWS($U$2:U942),$U$2:$U$1001,0),MATCH(COLUMNS($AB$1006:AO1006),$AB$1006:$AQ$1006,0)), HYPERLINK("#",""), HYPERLINK(CONCATENATE("#Metadata!", ADDRESS(INDEX($W$2:$W$1001,MATCH(ROWS($U$2:U942),$U$2:$U$1001,0),0), INDEX($AB$1004:$AQ$1004,1,MATCH(COLUMNS($AB$1006:AO1006),$AB$1006:$AQ$1006,0)))),"Fix")))</f>
        <v>0</v>
      </c>
      <c r="P942" s="5">
        <f>IF(OR(INDEX($V$2:$V$1001,MATCH(ROWS($U$2:U942),$U$2:$U$1001,0),1)&gt;=100000,INDEX($AB$1005:$AQ$1005,1,MATCH(COLUMNS($AB$1006:AP1006),$AB$1006:$AQ$1006,0))&gt;=100000), " ",IF(INDEX($AB$2:$AQ$1001,MATCH(ROWS($U$2:U942),$U$2:$U$1001,0),MATCH(COLUMNS($AB$1006:AP1006),$AB$1006:$AQ$1006,0)), HYPERLINK("#",""), HYPERLINK(CONCATENATE("#Metadata!", ADDRESS(INDEX($W$2:$W$1001,MATCH(ROWS($U$2:U942),$U$2:$U$1001,0),0), INDEX($AB$1004:$AQ$1004,1,MATCH(COLUMNS($AB$1006:AP1006),$AB$1006:$AQ$1006,0)))),"Fix")))</f>
        <v>0</v>
      </c>
      <c r="Q942" s="5">
        <f>IF(OR(INDEX($V$2:$V$1001,MATCH(ROWS($U$2:U942),$U$2:$U$1001,0),1)&gt;=100000,INDEX($AB$1005:$AQ$1005,1,MATCH(COLUMNS($AB$1006:AQ1006),$AB$1006:$AQ$1006,0))&gt;=100000), " ",IF(INDEX($AB$2:$AQ$1001,MATCH(ROWS($U$2:U942),$U$2:$U$1001,0),MATCH(COLUMNS($AB$1006:AQ1006),$AB$1006:$AQ$1006,0)), HYPERLINK("#",""), HYPERLINK(CONCATENATE("#Metadata!", ADDRESS(INDEX($W$2:$W$1001,MATCH(ROWS($U$2:U942),$U$2:$U$1001,0),0), INDEX($AB$1004:$AQ$1004,1,MATCH(COLUMNS($AB$1006:AQ1006),$AB$1006:$AQ$1006,0)))),"Fix")))</f>
        <v>0</v>
      </c>
      <c r="U942">
        <v>0</v>
      </c>
      <c r="V942">
        <v>0</v>
      </c>
      <c r="W942">
        <v>0</v>
      </c>
      <c r="X942">
        <f>IF(Y942,TRUE,AND(AB942:AQ942))</f>
        <v>0</v>
      </c>
      <c r="Y942">
        <f>COUNTBLANK(Metadata!B942:Q942)=COLUMNS(Metadata!B942:Q942)</f>
        <v>0</v>
      </c>
      <c r="Z942">
        <v>0</v>
      </c>
      <c r="AB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AC942">
        <f>AND(IF(Metadata!C942="",FALSE,TRUE),exact(Metadata!C942,"urban biome"))</f>
        <v>0</v>
      </c>
      <c r="AD942">
        <f>AND(IF(Metadata!D942="",FALSE,TRUE),exact(Metadata!D942,"human-associated habitat"))</f>
        <v>0</v>
      </c>
      <c r="AE942">
        <f>AND(IF(Metadata!E942="",FALSE,TRUE),OR(exact(Metadata!E942,"human-associated"),exact(Metadata!E942,"human-skin"),exact(Metadata!E942,"human-oral"),exact(Metadata!E942,"human-gut"),exact(Metadata!E942,"human-vaginal")))</f>
        <v>0</v>
      </c>
      <c r="AF942">
        <f>AND(IF(Metadata!F942="",FALSE,ISNUMBER(VALUE(Metadata!F942))),Metadata!F942&gt;0)</f>
        <v>0</v>
      </c>
      <c r="AG942">
        <f>AND(IF(Metadata!G942="",FALSE,TRUE),exact(Metadata!G942,"years"))</f>
        <v>0</v>
      </c>
      <c r="AH942">
        <f>OR(AND(IF(Metadata!H942="",FALSE,TRUE),OR(exact(Metadata!H942,"not applicable"),exact(Metadata!H942,"not collected"),exact(Metadata!H942,"not provided"),exact(Metadata!H942,"restricted access"))),AND(IF(Metadata!H942="",FALSE,ISNUMBER(VALUE(Metadata!H942))),Metadata!H942&gt;0))</f>
        <v>0</v>
      </c>
      <c r="AI942">
        <f>AND(IF(Metadata!I942="",FALSE,TRUE),exact(Metadata!I942,"human"))</f>
        <v>0</v>
      </c>
      <c r="AJ942">
        <f>AND(IF(Metadata!J942="",FALSE,ISNUMBER(VALUE(Metadata!J942))),Metadata!J942&gt;0)</f>
        <v>0</v>
      </c>
      <c r="AK942">
        <f>AND(IF(Metadata!K942="",FALSE,TRUE),exact(Metadata!K942,"cm"))</f>
        <v>0</v>
      </c>
      <c r="AL942">
        <f>AND(IF(Metadata!L942="",FALSE,TRUE),exact(Metadata!L942,"Homo sapiens"))</f>
        <v>0</v>
      </c>
      <c r="AM942">
        <f>AND(IF(Metadata!M942="",FALSE,TRUE),exact(Metadata!M942,"9606"))</f>
        <v>0</v>
      </c>
      <c r="AN942">
        <f>AND(IF(Metadata!N942="",FALSE,ISNUMBER(VALUE(Metadata!N942))),Metadata!N942&gt;0)</f>
        <v>0</v>
      </c>
      <c r="AO942">
        <f>AND(IF(Metadata!O942="",FALSE,TRUE),exact(Metadata!O942,"kg"))</f>
        <v>0</v>
      </c>
      <c r="AP942">
        <f>OR(AND(IF(Metadata!P942="",FALSE,TRUE),exact(Metadata!P942,"not provided")),IF(Metadata!P942="",FALSE,TRUE))</f>
        <v>0</v>
      </c>
      <c r="AQ942">
        <f>OR(AND(IF(Metadata!Q942="",FALSE,TRUE),exact(Metadata!Q942,"not provided")),IF(Metadata!Q942="",FALSE,TRUE))</f>
        <v>0</v>
      </c>
    </row>
    <row r="943" spans="1:43">
      <c r="A943" s="4">
        <f>IF(B943=" "," ",HYPERLINK(CONCATENATE("#metadata!",ADDRESS(INDEX($W$2:$W$1001,MATCH(ROWS($U$2:U943),$U$2:$U$1001,0),0),2)),INDEX($Z$2:$Z$1001,MATCH(ROWS($U$2:U943),$U$2:$U$1001,0),0)))</f>
        <v>0</v>
      </c>
      <c r="B943" s="5">
        <f>IF(OR(INDEX($V$2:$V$1001,MATCH(ROWS($U$2:U943),$U$2:$U$1001,0),1)&gt;=100000,INDEX($AB$1005:$AQ$1005,1,MATCH(COLUMNS($AB$1006:AB1006),$AB$1006:$AQ$1006,0))&gt;=100000), " ",IF(INDEX($AB$2:$AQ$1001,MATCH(ROWS($U$2:U943),$U$2:$U$1001,0),MATCH(COLUMNS($AB$1006:AB1006),$AB$1006:$AQ$1006,0)), HYPERLINK("#",""), HYPERLINK(CONCATENATE("#Metadata!", ADDRESS(INDEX($W$2:$W$1001,MATCH(ROWS($U$2:U943),$U$2:$U$1001,0),0), INDEX($AB$1004:$AQ$1004,1,MATCH(COLUMNS($AB$1006:AB1006),$AB$1006:$AQ$1006,0)))),"Fix")))</f>
        <v>0</v>
      </c>
      <c r="C943" s="5">
        <f>IF(OR(INDEX($V$2:$V$1001,MATCH(ROWS($U$2:U943),$U$2:$U$1001,0),1)&gt;=100000,INDEX($AB$1005:$AQ$1005,1,MATCH(COLUMNS($AB$1006:AC1006),$AB$1006:$AQ$1006,0))&gt;=100000), " ",IF(INDEX($AB$2:$AQ$1001,MATCH(ROWS($U$2:U943),$U$2:$U$1001,0),MATCH(COLUMNS($AB$1006:AC1006),$AB$1006:$AQ$1006,0)), HYPERLINK("#",""), HYPERLINK(CONCATENATE("#Metadata!", ADDRESS(INDEX($W$2:$W$1001,MATCH(ROWS($U$2:U943),$U$2:$U$1001,0),0), INDEX($AB$1004:$AQ$1004,1,MATCH(COLUMNS($AB$1006:AC1006),$AB$1006:$AQ$1006,0)))),"Fix")))</f>
        <v>0</v>
      </c>
      <c r="D943" s="5">
        <f>IF(OR(INDEX($V$2:$V$1001,MATCH(ROWS($U$2:U943),$U$2:$U$1001,0),1)&gt;=100000,INDEX($AB$1005:$AQ$1005,1,MATCH(COLUMNS($AB$1006:AD1006),$AB$1006:$AQ$1006,0))&gt;=100000), " ",IF(INDEX($AB$2:$AQ$1001,MATCH(ROWS($U$2:U943),$U$2:$U$1001,0),MATCH(COLUMNS($AB$1006:AD1006),$AB$1006:$AQ$1006,0)), HYPERLINK("#",""), HYPERLINK(CONCATENATE("#Metadata!", ADDRESS(INDEX($W$2:$W$1001,MATCH(ROWS($U$2:U943),$U$2:$U$1001,0),0), INDEX($AB$1004:$AQ$1004,1,MATCH(COLUMNS($AB$1006:AD1006),$AB$1006:$AQ$1006,0)))),"Fix")))</f>
        <v>0</v>
      </c>
      <c r="E943" s="5">
        <f>IF(OR(INDEX($V$2:$V$1001,MATCH(ROWS($U$2:U943),$U$2:$U$1001,0),1)&gt;=100000,INDEX($AB$1005:$AQ$1005,1,MATCH(COLUMNS($AB$1006:AE1006),$AB$1006:$AQ$1006,0))&gt;=100000), " ",IF(INDEX($AB$2:$AQ$1001,MATCH(ROWS($U$2:U943),$U$2:$U$1001,0),MATCH(COLUMNS($AB$1006:AE1006),$AB$1006:$AQ$1006,0)), HYPERLINK("#",""), HYPERLINK(CONCATENATE("#Metadata!", ADDRESS(INDEX($W$2:$W$1001,MATCH(ROWS($U$2:U943),$U$2:$U$1001,0),0), INDEX($AB$1004:$AQ$1004,1,MATCH(COLUMNS($AB$1006:AE1006),$AB$1006:$AQ$1006,0)))),"Fix")))</f>
        <v>0</v>
      </c>
      <c r="F943" s="5">
        <f>IF(OR(INDEX($V$2:$V$1001,MATCH(ROWS($U$2:U943),$U$2:$U$1001,0),1)&gt;=100000,INDEX($AB$1005:$AQ$1005,1,MATCH(COLUMNS($AB$1006:AF1006),$AB$1006:$AQ$1006,0))&gt;=100000), " ",IF(INDEX($AB$2:$AQ$1001,MATCH(ROWS($U$2:U943),$U$2:$U$1001,0),MATCH(COLUMNS($AB$1006:AF1006),$AB$1006:$AQ$1006,0)), HYPERLINK("#",""), HYPERLINK(CONCATENATE("#Metadata!", ADDRESS(INDEX($W$2:$W$1001,MATCH(ROWS($U$2:U943),$U$2:$U$1001,0),0), INDEX($AB$1004:$AQ$1004,1,MATCH(COLUMNS($AB$1006:AF1006),$AB$1006:$AQ$1006,0)))),"Fix")))</f>
        <v>0</v>
      </c>
      <c r="G943" s="5">
        <f>IF(OR(INDEX($V$2:$V$1001,MATCH(ROWS($U$2:U943),$U$2:$U$1001,0),1)&gt;=100000,INDEX($AB$1005:$AQ$1005,1,MATCH(COLUMNS($AB$1006:AG1006),$AB$1006:$AQ$1006,0))&gt;=100000), " ",IF(INDEX($AB$2:$AQ$1001,MATCH(ROWS($U$2:U943),$U$2:$U$1001,0),MATCH(COLUMNS($AB$1006:AG1006),$AB$1006:$AQ$1006,0)), HYPERLINK("#",""), HYPERLINK(CONCATENATE("#Metadata!", ADDRESS(INDEX($W$2:$W$1001,MATCH(ROWS($U$2:U943),$U$2:$U$1001,0),0), INDEX($AB$1004:$AQ$1004,1,MATCH(COLUMNS($AB$1006:AG1006),$AB$1006:$AQ$1006,0)))),"Fix")))</f>
        <v>0</v>
      </c>
      <c r="H943" s="5">
        <f>IF(OR(INDEX($V$2:$V$1001,MATCH(ROWS($U$2:U943),$U$2:$U$1001,0),1)&gt;=100000,INDEX($AB$1005:$AQ$1005,1,MATCH(COLUMNS($AB$1006:AH1006),$AB$1006:$AQ$1006,0))&gt;=100000), " ",IF(INDEX($AB$2:$AQ$1001,MATCH(ROWS($U$2:U943),$U$2:$U$1001,0),MATCH(COLUMNS($AB$1006:AH1006),$AB$1006:$AQ$1006,0)), HYPERLINK("#",""), HYPERLINK(CONCATENATE("#Metadata!", ADDRESS(INDEX($W$2:$W$1001,MATCH(ROWS($U$2:U943),$U$2:$U$1001,0),0), INDEX($AB$1004:$AQ$1004,1,MATCH(COLUMNS($AB$1006:AH1006),$AB$1006:$AQ$1006,0)))),"Fix")))</f>
        <v>0</v>
      </c>
      <c r="I943" s="5">
        <f>IF(OR(INDEX($V$2:$V$1001,MATCH(ROWS($U$2:U943),$U$2:$U$1001,0),1)&gt;=100000,INDEX($AB$1005:$AQ$1005,1,MATCH(COLUMNS($AB$1006:AI1006),$AB$1006:$AQ$1006,0))&gt;=100000), " ",IF(INDEX($AB$2:$AQ$1001,MATCH(ROWS($U$2:U943),$U$2:$U$1001,0),MATCH(COLUMNS($AB$1006:AI1006),$AB$1006:$AQ$1006,0)), HYPERLINK("#",""), HYPERLINK(CONCATENATE("#Metadata!", ADDRESS(INDEX($W$2:$W$1001,MATCH(ROWS($U$2:U943),$U$2:$U$1001,0),0), INDEX($AB$1004:$AQ$1004,1,MATCH(COLUMNS($AB$1006:AI1006),$AB$1006:$AQ$1006,0)))),"Fix")))</f>
        <v>0</v>
      </c>
      <c r="J943" s="5">
        <f>IF(OR(INDEX($V$2:$V$1001,MATCH(ROWS($U$2:U943),$U$2:$U$1001,0),1)&gt;=100000,INDEX($AB$1005:$AQ$1005,1,MATCH(COLUMNS($AB$1006:AJ1006),$AB$1006:$AQ$1006,0))&gt;=100000), " ",IF(INDEX($AB$2:$AQ$1001,MATCH(ROWS($U$2:U943),$U$2:$U$1001,0),MATCH(COLUMNS($AB$1006:AJ1006),$AB$1006:$AQ$1006,0)), HYPERLINK("#",""), HYPERLINK(CONCATENATE("#Metadata!", ADDRESS(INDEX($W$2:$W$1001,MATCH(ROWS($U$2:U943),$U$2:$U$1001,0),0), INDEX($AB$1004:$AQ$1004,1,MATCH(COLUMNS($AB$1006:AJ1006),$AB$1006:$AQ$1006,0)))),"Fix")))</f>
        <v>0</v>
      </c>
      <c r="K943" s="5">
        <f>IF(OR(INDEX($V$2:$V$1001,MATCH(ROWS($U$2:U943),$U$2:$U$1001,0),1)&gt;=100000,INDEX($AB$1005:$AQ$1005,1,MATCH(COLUMNS($AB$1006:AK1006),$AB$1006:$AQ$1006,0))&gt;=100000), " ",IF(INDEX($AB$2:$AQ$1001,MATCH(ROWS($U$2:U943),$U$2:$U$1001,0),MATCH(COLUMNS($AB$1006:AK1006),$AB$1006:$AQ$1006,0)), HYPERLINK("#",""), HYPERLINK(CONCATENATE("#Metadata!", ADDRESS(INDEX($W$2:$W$1001,MATCH(ROWS($U$2:U943),$U$2:$U$1001,0),0), INDEX($AB$1004:$AQ$1004,1,MATCH(COLUMNS($AB$1006:AK1006),$AB$1006:$AQ$1006,0)))),"Fix")))</f>
        <v>0</v>
      </c>
      <c r="L943" s="5">
        <f>IF(OR(INDEX($V$2:$V$1001,MATCH(ROWS($U$2:U943),$U$2:$U$1001,0),1)&gt;=100000,INDEX($AB$1005:$AQ$1005,1,MATCH(COLUMNS($AB$1006:AL1006),$AB$1006:$AQ$1006,0))&gt;=100000), " ",IF(INDEX($AB$2:$AQ$1001,MATCH(ROWS($U$2:U943),$U$2:$U$1001,0),MATCH(COLUMNS($AB$1006:AL1006),$AB$1006:$AQ$1006,0)), HYPERLINK("#",""), HYPERLINK(CONCATENATE("#Metadata!", ADDRESS(INDEX($W$2:$W$1001,MATCH(ROWS($U$2:U943),$U$2:$U$1001,0),0), INDEX($AB$1004:$AQ$1004,1,MATCH(COLUMNS($AB$1006:AL1006),$AB$1006:$AQ$1006,0)))),"Fix")))</f>
        <v>0</v>
      </c>
      <c r="M943" s="5">
        <f>IF(OR(INDEX($V$2:$V$1001,MATCH(ROWS($U$2:U943),$U$2:$U$1001,0),1)&gt;=100000,INDEX($AB$1005:$AQ$1005,1,MATCH(COLUMNS($AB$1006:AM1006),$AB$1006:$AQ$1006,0))&gt;=100000), " ",IF(INDEX($AB$2:$AQ$1001,MATCH(ROWS($U$2:U943),$U$2:$U$1001,0),MATCH(COLUMNS($AB$1006:AM1006),$AB$1006:$AQ$1006,0)), HYPERLINK("#",""), HYPERLINK(CONCATENATE("#Metadata!", ADDRESS(INDEX($W$2:$W$1001,MATCH(ROWS($U$2:U943),$U$2:$U$1001,0),0), INDEX($AB$1004:$AQ$1004,1,MATCH(COLUMNS($AB$1006:AM1006),$AB$1006:$AQ$1006,0)))),"Fix")))</f>
        <v>0</v>
      </c>
      <c r="N943" s="5">
        <f>IF(OR(INDEX($V$2:$V$1001,MATCH(ROWS($U$2:U943),$U$2:$U$1001,0),1)&gt;=100000,INDEX($AB$1005:$AQ$1005,1,MATCH(COLUMNS($AB$1006:AN1006),$AB$1006:$AQ$1006,0))&gt;=100000), " ",IF(INDEX($AB$2:$AQ$1001,MATCH(ROWS($U$2:U943),$U$2:$U$1001,0),MATCH(COLUMNS($AB$1006:AN1006),$AB$1006:$AQ$1006,0)), HYPERLINK("#",""), HYPERLINK(CONCATENATE("#Metadata!", ADDRESS(INDEX($W$2:$W$1001,MATCH(ROWS($U$2:U943),$U$2:$U$1001,0),0), INDEX($AB$1004:$AQ$1004,1,MATCH(COLUMNS($AB$1006:AN1006),$AB$1006:$AQ$1006,0)))),"Fix")))</f>
        <v>0</v>
      </c>
      <c r="O943" s="5">
        <f>IF(OR(INDEX($V$2:$V$1001,MATCH(ROWS($U$2:U943),$U$2:$U$1001,0),1)&gt;=100000,INDEX($AB$1005:$AQ$1005,1,MATCH(COLUMNS($AB$1006:AO1006),$AB$1006:$AQ$1006,0))&gt;=100000), " ",IF(INDEX($AB$2:$AQ$1001,MATCH(ROWS($U$2:U943),$U$2:$U$1001,0),MATCH(COLUMNS($AB$1006:AO1006),$AB$1006:$AQ$1006,0)), HYPERLINK("#",""), HYPERLINK(CONCATENATE("#Metadata!", ADDRESS(INDEX($W$2:$W$1001,MATCH(ROWS($U$2:U943),$U$2:$U$1001,0),0), INDEX($AB$1004:$AQ$1004,1,MATCH(COLUMNS($AB$1006:AO1006),$AB$1006:$AQ$1006,0)))),"Fix")))</f>
        <v>0</v>
      </c>
      <c r="P943" s="5">
        <f>IF(OR(INDEX($V$2:$V$1001,MATCH(ROWS($U$2:U943),$U$2:$U$1001,0),1)&gt;=100000,INDEX($AB$1005:$AQ$1005,1,MATCH(COLUMNS($AB$1006:AP1006),$AB$1006:$AQ$1006,0))&gt;=100000), " ",IF(INDEX($AB$2:$AQ$1001,MATCH(ROWS($U$2:U943),$U$2:$U$1001,0),MATCH(COLUMNS($AB$1006:AP1006),$AB$1006:$AQ$1006,0)), HYPERLINK("#",""), HYPERLINK(CONCATENATE("#Metadata!", ADDRESS(INDEX($W$2:$W$1001,MATCH(ROWS($U$2:U943),$U$2:$U$1001,0),0), INDEX($AB$1004:$AQ$1004,1,MATCH(COLUMNS($AB$1006:AP1006),$AB$1006:$AQ$1006,0)))),"Fix")))</f>
        <v>0</v>
      </c>
      <c r="Q943" s="5">
        <f>IF(OR(INDEX($V$2:$V$1001,MATCH(ROWS($U$2:U943),$U$2:$U$1001,0),1)&gt;=100000,INDEX($AB$1005:$AQ$1005,1,MATCH(COLUMNS($AB$1006:AQ1006),$AB$1006:$AQ$1006,0))&gt;=100000), " ",IF(INDEX($AB$2:$AQ$1001,MATCH(ROWS($U$2:U943),$U$2:$U$1001,0),MATCH(COLUMNS($AB$1006:AQ1006),$AB$1006:$AQ$1006,0)), HYPERLINK("#",""), HYPERLINK(CONCATENATE("#Metadata!", ADDRESS(INDEX($W$2:$W$1001,MATCH(ROWS($U$2:U943),$U$2:$U$1001,0),0), INDEX($AB$1004:$AQ$1004,1,MATCH(COLUMNS($AB$1006:AQ1006),$AB$1006:$AQ$1006,0)))),"Fix")))</f>
        <v>0</v>
      </c>
      <c r="U943">
        <v>0</v>
      </c>
      <c r="V943">
        <v>0</v>
      </c>
      <c r="W943">
        <v>0</v>
      </c>
      <c r="X943">
        <f>IF(Y943,TRUE,AND(AB943:AQ943))</f>
        <v>0</v>
      </c>
      <c r="Y943">
        <f>COUNTBLANK(Metadata!B943:Q943)=COLUMNS(Metadata!B943:Q943)</f>
        <v>0</v>
      </c>
      <c r="Z943">
        <v>0</v>
      </c>
      <c r="AB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AC943">
        <f>AND(IF(Metadata!C943="",FALSE,TRUE),exact(Metadata!C943,"urban biome"))</f>
        <v>0</v>
      </c>
      <c r="AD943">
        <f>AND(IF(Metadata!D943="",FALSE,TRUE),exact(Metadata!D943,"human-associated habitat"))</f>
        <v>0</v>
      </c>
      <c r="AE943">
        <f>AND(IF(Metadata!E943="",FALSE,TRUE),OR(exact(Metadata!E943,"human-associated"),exact(Metadata!E943,"human-skin"),exact(Metadata!E943,"human-oral"),exact(Metadata!E943,"human-gut"),exact(Metadata!E943,"human-vaginal")))</f>
        <v>0</v>
      </c>
      <c r="AF943">
        <f>AND(IF(Metadata!F943="",FALSE,ISNUMBER(VALUE(Metadata!F943))),Metadata!F943&gt;0)</f>
        <v>0</v>
      </c>
      <c r="AG943">
        <f>AND(IF(Metadata!G943="",FALSE,TRUE),exact(Metadata!G943,"years"))</f>
        <v>0</v>
      </c>
      <c r="AH943">
        <f>OR(AND(IF(Metadata!H943="",FALSE,TRUE),OR(exact(Metadata!H943,"not applicable"),exact(Metadata!H943,"not collected"),exact(Metadata!H943,"not provided"),exact(Metadata!H943,"restricted access"))),AND(IF(Metadata!H943="",FALSE,ISNUMBER(VALUE(Metadata!H943))),Metadata!H943&gt;0))</f>
        <v>0</v>
      </c>
      <c r="AI943">
        <f>AND(IF(Metadata!I943="",FALSE,TRUE),exact(Metadata!I943,"human"))</f>
        <v>0</v>
      </c>
      <c r="AJ943">
        <f>AND(IF(Metadata!J943="",FALSE,ISNUMBER(VALUE(Metadata!J943))),Metadata!J943&gt;0)</f>
        <v>0</v>
      </c>
      <c r="AK943">
        <f>AND(IF(Metadata!K943="",FALSE,TRUE),exact(Metadata!K943,"cm"))</f>
        <v>0</v>
      </c>
      <c r="AL943">
        <f>AND(IF(Metadata!L943="",FALSE,TRUE),exact(Metadata!L943,"Homo sapiens"))</f>
        <v>0</v>
      </c>
      <c r="AM943">
        <f>AND(IF(Metadata!M943="",FALSE,TRUE),exact(Metadata!M943,"9606"))</f>
        <v>0</v>
      </c>
      <c r="AN943">
        <f>AND(IF(Metadata!N943="",FALSE,ISNUMBER(VALUE(Metadata!N943))),Metadata!N943&gt;0)</f>
        <v>0</v>
      </c>
      <c r="AO943">
        <f>AND(IF(Metadata!O943="",FALSE,TRUE),exact(Metadata!O943,"kg"))</f>
        <v>0</v>
      </c>
      <c r="AP943">
        <f>OR(AND(IF(Metadata!P943="",FALSE,TRUE),exact(Metadata!P943,"not provided")),IF(Metadata!P943="",FALSE,TRUE))</f>
        <v>0</v>
      </c>
      <c r="AQ943">
        <f>OR(AND(IF(Metadata!Q943="",FALSE,TRUE),exact(Metadata!Q943,"not provided")),IF(Metadata!Q943="",FALSE,TRUE))</f>
        <v>0</v>
      </c>
    </row>
    <row r="944" spans="1:43">
      <c r="A944" s="4">
        <f>IF(B944=" "," ",HYPERLINK(CONCATENATE("#metadata!",ADDRESS(INDEX($W$2:$W$1001,MATCH(ROWS($U$2:U944),$U$2:$U$1001,0),0),2)),INDEX($Z$2:$Z$1001,MATCH(ROWS($U$2:U944),$U$2:$U$1001,0),0)))</f>
        <v>0</v>
      </c>
      <c r="B944" s="5">
        <f>IF(OR(INDEX($V$2:$V$1001,MATCH(ROWS($U$2:U944),$U$2:$U$1001,0),1)&gt;=100000,INDEX($AB$1005:$AQ$1005,1,MATCH(COLUMNS($AB$1006:AB1006),$AB$1006:$AQ$1006,0))&gt;=100000), " ",IF(INDEX($AB$2:$AQ$1001,MATCH(ROWS($U$2:U944),$U$2:$U$1001,0),MATCH(COLUMNS($AB$1006:AB1006),$AB$1006:$AQ$1006,0)), HYPERLINK("#",""), HYPERLINK(CONCATENATE("#Metadata!", ADDRESS(INDEX($W$2:$W$1001,MATCH(ROWS($U$2:U944),$U$2:$U$1001,0),0), INDEX($AB$1004:$AQ$1004,1,MATCH(COLUMNS($AB$1006:AB1006),$AB$1006:$AQ$1006,0)))),"Fix")))</f>
        <v>0</v>
      </c>
      <c r="C944" s="5">
        <f>IF(OR(INDEX($V$2:$V$1001,MATCH(ROWS($U$2:U944),$U$2:$U$1001,0),1)&gt;=100000,INDEX($AB$1005:$AQ$1005,1,MATCH(COLUMNS($AB$1006:AC1006),$AB$1006:$AQ$1006,0))&gt;=100000), " ",IF(INDEX($AB$2:$AQ$1001,MATCH(ROWS($U$2:U944),$U$2:$U$1001,0),MATCH(COLUMNS($AB$1006:AC1006),$AB$1006:$AQ$1006,0)), HYPERLINK("#",""), HYPERLINK(CONCATENATE("#Metadata!", ADDRESS(INDEX($W$2:$W$1001,MATCH(ROWS($U$2:U944),$U$2:$U$1001,0),0), INDEX($AB$1004:$AQ$1004,1,MATCH(COLUMNS($AB$1006:AC1006),$AB$1006:$AQ$1006,0)))),"Fix")))</f>
        <v>0</v>
      </c>
      <c r="D944" s="5">
        <f>IF(OR(INDEX($V$2:$V$1001,MATCH(ROWS($U$2:U944),$U$2:$U$1001,0),1)&gt;=100000,INDEX($AB$1005:$AQ$1005,1,MATCH(COLUMNS($AB$1006:AD1006),$AB$1006:$AQ$1006,0))&gt;=100000), " ",IF(INDEX($AB$2:$AQ$1001,MATCH(ROWS($U$2:U944),$U$2:$U$1001,0),MATCH(COLUMNS($AB$1006:AD1006),$AB$1006:$AQ$1006,0)), HYPERLINK("#",""), HYPERLINK(CONCATENATE("#Metadata!", ADDRESS(INDEX($W$2:$W$1001,MATCH(ROWS($U$2:U944),$U$2:$U$1001,0),0), INDEX($AB$1004:$AQ$1004,1,MATCH(COLUMNS($AB$1006:AD1006),$AB$1006:$AQ$1006,0)))),"Fix")))</f>
        <v>0</v>
      </c>
      <c r="E944" s="5">
        <f>IF(OR(INDEX($V$2:$V$1001,MATCH(ROWS($U$2:U944),$U$2:$U$1001,0),1)&gt;=100000,INDEX($AB$1005:$AQ$1005,1,MATCH(COLUMNS($AB$1006:AE1006),$AB$1006:$AQ$1006,0))&gt;=100000), " ",IF(INDEX($AB$2:$AQ$1001,MATCH(ROWS($U$2:U944),$U$2:$U$1001,0),MATCH(COLUMNS($AB$1006:AE1006),$AB$1006:$AQ$1006,0)), HYPERLINK("#",""), HYPERLINK(CONCATENATE("#Metadata!", ADDRESS(INDEX($W$2:$W$1001,MATCH(ROWS($U$2:U944),$U$2:$U$1001,0),0), INDEX($AB$1004:$AQ$1004,1,MATCH(COLUMNS($AB$1006:AE1006),$AB$1006:$AQ$1006,0)))),"Fix")))</f>
        <v>0</v>
      </c>
      <c r="F944" s="5">
        <f>IF(OR(INDEX($V$2:$V$1001,MATCH(ROWS($U$2:U944),$U$2:$U$1001,0),1)&gt;=100000,INDEX($AB$1005:$AQ$1005,1,MATCH(COLUMNS($AB$1006:AF1006),$AB$1006:$AQ$1006,0))&gt;=100000), " ",IF(INDEX($AB$2:$AQ$1001,MATCH(ROWS($U$2:U944),$U$2:$U$1001,0),MATCH(COLUMNS($AB$1006:AF1006),$AB$1006:$AQ$1006,0)), HYPERLINK("#",""), HYPERLINK(CONCATENATE("#Metadata!", ADDRESS(INDEX($W$2:$W$1001,MATCH(ROWS($U$2:U944),$U$2:$U$1001,0),0), INDEX($AB$1004:$AQ$1004,1,MATCH(COLUMNS($AB$1006:AF1006),$AB$1006:$AQ$1006,0)))),"Fix")))</f>
        <v>0</v>
      </c>
      <c r="G944" s="5">
        <f>IF(OR(INDEX($V$2:$V$1001,MATCH(ROWS($U$2:U944),$U$2:$U$1001,0),1)&gt;=100000,INDEX($AB$1005:$AQ$1005,1,MATCH(COLUMNS($AB$1006:AG1006),$AB$1006:$AQ$1006,0))&gt;=100000), " ",IF(INDEX($AB$2:$AQ$1001,MATCH(ROWS($U$2:U944),$U$2:$U$1001,0),MATCH(COLUMNS($AB$1006:AG1006),$AB$1006:$AQ$1006,0)), HYPERLINK("#",""), HYPERLINK(CONCATENATE("#Metadata!", ADDRESS(INDEX($W$2:$W$1001,MATCH(ROWS($U$2:U944),$U$2:$U$1001,0),0), INDEX($AB$1004:$AQ$1004,1,MATCH(COLUMNS($AB$1006:AG1006),$AB$1006:$AQ$1006,0)))),"Fix")))</f>
        <v>0</v>
      </c>
      <c r="H944" s="5">
        <f>IF(OR(INDEX($V$2:$V$1001,MATCH(ROWS($U$2:U944),$U$2:$U$1001,0),1)&gt;=100000,INDEX($AB$1005:$AQ$1005,1,MATCH(COLUMNS($AB$1006:AH1006),$AB$1006:$AQ$1006,0))&gt;=100000), " ",IF(INDEX($AB$2:$AQ$1001,MATCH(ROWS($U$2:U944),$U$2:$U$1001,0),MATCH(COLUMNS($AB$1006:AH1006),$AB$1006:$AQ$1006,0)), HYPERLINK("#",""), HYPERLINK(CONCATENATE("#Metadata!", ADDRESS(INDEX($W$2:$W$1001,MATCH(ROWS($U$2:U944),$U$2:$U$1001,0),0), INDEX($AB$1004:$AQ$1004,1,MATCH(COLUMNS($AB$1006:AH1006),$AB$1006:$AQ$1006,0)))),"Fix")))</f>
        <v>0</v>
      </c>
      <c r="I944" s="5">
        <f>IF(OR(INDEX($V$2:$V$1001,MATCH(ROWS($U$2:U944),$U$2:$U$1001,0),1)&gt;=100000,INDEX($AB$1005:$AQ$1005,1,MATCH(COLUMNS($AB$1006:AI1006),$AB$1006:$AQ$1006,0))&gt;=100000), " ",IF(INDEX($AB$2:$AQ$1001,MATCH(ROWS($U$2:U944),$U$2:$U$1001,0),MATCH(COLUMNS($AB$1006:AI1006),$AB$1006:$AQ$1006,0)), HYPERLINK("#",""), HYPERLINK(CONCATENATE("#Metadata!", ADDRESS(INDEX($W$2:$W$1001,MATCH(ROWS($U$2:U944),$U$2:$U$1001,0),0), INDEX($AB$1004:$AQ$1004,1,MATCH(COLUMNS($AB$1006:AI1006),$AB$1006:$AQ$1006,0)))),"Fix")))</f>
        <v>0</v>
      </c>
      <c r="J944" s="5">
        <f>IF(OR(INDEX($V$2:$V$1001,MATCH(ROWS($U$2:U944),$U$2:$U$1001,0),1)&gt;=100000,INDEX($AB$1005:$AQ$1005,1,MATCH(COLUMNS($AB$1006:AJ1006),$AB$1006:$AQ$1006,0))&gt;=100000), " ",IF(INDEX($AB$2:$AQ$1001,MATCH(ROWS($U$2:U944),$U$2:$U$1001,0),MATCH(COLUMNS($AB$1006:AJ1006),$AB$1006:$AQ$1006,0)), HYPERLINK("#",""), HYPERLINK(CONCATENATE("#Metadata!", ADDRESS(INDEX($W$2:$W$1001,MATCH(ROWS($U$2:U944),$U$2:$U$1001,0),0), INDEX($AB$1004:$AQ$1004,1,MATCH(COLUMNS($AB$1006:AJ1006),$AB$1006:$AQ$1006,0)))),"Fix")))</f>
        <v>0</v>
      </c>
      <c r="K944" s="5">
        <f>IF(OR(INDEX($V$2:$V$1001,MATCH(ROWS($U$2:U944),$U$2:$U$1001,0),1)&gt;=100000,INDEX($AB$1005:$AQ$1005,1,MATCH(COLUMNS($AB$1006:AK1006),$AB$1006:$AQ$1006,0))&gt;=100000), " ",IF(INDEX($AB$2:$AQ$1001,MATCH(ROWS($U$2:U944),$U$2:$U$1001,0),MATCH(COLUMNS($AB$1006:AK1006),$AB$1006:$AQ$1006,0)), HYPERLINK("#",""), HYPERLINK(CONCATENATE("#Metadata!", ADDRESS(INDEX($W$2:$W$1001,MATCH(ROWS($U$2:U944),$U$2:$U$1001,0),0), INDEX($AB$1004:$AQ$1004,1,MATCH(COLUMNS($AB$1006:AK1006),$AB$1006:$AQ$1006,0)))),"Fix")))</f>
        <v>0</v>
      </c>
      <c r="L944" s="5">
        <f>IF(OR(INDEX($V$2:$V$1001,MATCH(ROWS($U$2:U944),$U$2:$U$1001,0),1)&gt;=100000,INDEX($AB$1005:$AQ$1005,1,MATCH(COLUMNS($AB$1006:AL1006),$AB$1006:$AQ$1006,0))&gt;=100000), " ",IF(INDEX($AB$2:$AQ$1001,MATCH(ROWS($U$2:U944),$U$2:$U$1001,0),MATCH(COLUMNS($AB$1006:AL1006),$AB$1006:$AQ$1006,0)), HYPERLINK("#",""), HYPERLINK(CONCATENATE("#Metadata!", ADDRESS(INDEX($W$2:$W$1001,MATCH(ROWS($U$2:U944),$U$2:$U$1001,0),0), INDEX($AB$1004:$AQ$1004,1,MATCH(COLUMNS($AB$1006:AL1006),$AB$1006:$AQ$1006,0)))),"Fix")))</f>
        <v>0</v>
      </c>
      <c r="M944" s="5">
        <f>IF(OR(INDEX($V$2:$V$1001,MATCH(ROWS($U$2:U944),$U$2:$U$1001,0),1)&gt;=100000,INDEX($AB$1005:$AQ$1005,1,MATCH(COLUMNS($AB$1006:AM1006),$AB$1006:$AQ$1006,0))&gt;=100000), " ",IF(INDEX($AB$2:$AQ$1001,MATCH(ROWS($U$2:U944),$U$2:$U$1001,0),MATCH(COLUMNS($AB$1006:AM1006),$AB$1006:$AQ$1006,0)), HYPERLINK("#",""), HYPERLINK(CONCATENATE("#Metadata!", ADDRESS(INDEX($W$2:$W$1001,MATCH(ROWS($U$2:U944),$U$2:$U$1001,0),0), INDEX($AB$1004:$AQ$1004,1,MATCH(COLUMNS($AB$1006:AM1006),$AB$1006:$AQ$1006,0)))),"Fix")))</f>
        <v>0</v>
      </c>
      <c r="N944" s="5">
        <f>IF(OR(INDEX($V$2:$V$1001,MATCH(ROWS($U$2:U944),$U$2:$U$1001,0),1)&gt;=100000,INDEX($AB$1005:$AQ$1005,1,MATCH(COLUMNS($AB$1006:AN1006),$AB$1006:$AQ$1006,0))&gt;=100000), " ",IF(INDEX($AB$2:$AQ$1001,MATCH(ROWS($U$2:U944),$U$2:$U$1001,0),MATCH(COLUMNS($AB$1006:AN1006),$AB$1006:$AQ$1006,0)), HYPERLINK("#",""), HYPERLINK(CONCATENATE("#Metadata!", ADDRESS(INDEX($W$2:$W$1001,MATCH(ROWS($U$2:U944),$U$2:$U$1001,0),0), INDEX($AB$1004:$AQ$1004,1,MATCH(COLUMNS($AB$1006:AN1006),$AB$1006:$AQ$1006,0)))),"Fix")))</f>
        <v>0</v>
      </c>
      <c r="O944" s="5">
        <f>IF(OR(INDEX($V$2:$V$1001,MATCH(ROWS($U$2:U944),$U$2:$U$1001,0),1)&gt;=100000,INDEX($AB$1005:$AQ$1005,1,MATCH(COLUMNS($AB$1006:AO1006),$AB$1006:$AQ$1006,0))&gt;=100000), " ",IF(INDEX($AB$2:$AQ$1001,MATCH(ROWS($U$2:U944),$U$2:$U$1001,0),MATCH(COLUMNS($AB$1006:AO1006),$AB$1006:$AQ$1006,0)), HYPERLINK("#",""), HYPERLINK(CONCATENATE("#Metadata!", ADDRESS(INDEX($W$2:$W$1001,MATCH(ROWS($U$2:U944),$U$2:$U$1001,0),0), INDEX($AB$1004:$AQ$1004,1,MATCH(COLUMNS($AB$1006:AO1006),$AB$1006:$AQ$1006,0)))),"Fix")))</f>
        <v>0</v>
      </c>
      <c r="P944" s="5">
        <f>IF(OR(INDEX($V$2:$V$1001,MATCH(ROWS($U$2:U944),$U$2:$U$1001,0),1)&gt;=100000,INDEX($AB$1005:$AQ$1005,1,MATCH(COLUMNS($AB$1006:AP1006),$AB$1006:$AQ$1006,0))&gt;=100000), " ",IF(INDEX($AB$2:$AQ$1001,MATCH(ROWS($U$2:U944),$U$2:$U$1001,0),MATCH(COLUMNS($AB$1006:AP1006),$AB$1006:$AQ$1006,0)), HYPERLINK("#",""), HYPERLINK(CONCATENATE("#Metadata!", ADDRESS(INDEX($W$2:$W$1001,MATCH(ROWS($U$2:U944),$U$2:$U$1001,0),0), INDEX($AB$1004:$AQ$1004,1,MATCH(COLUMNS($AB$1006:AP1006),$AB$1006:$AQ$1006,0)))),"Fix")))</f>
        <v>0</v>
      </c>
      <c r="Q944" s="5">
        <f>IF(OR(INDEX($V$2:$V$1001,MATCH(ROWS($U$2:U944),$U$2:$U$1001,0),1)&gt;=100000,INDEX($AB$1005:$AQ$1005,1,MATCH(COLUMNS($AB$1006:AQ1006),$AB$1006:$AQ$1006,0))&gt;=100000), " ",IF(INDEX($AB$2:$AQ$1001,MATCH(ROWS($U$2:U944),$U$2:$U$1001,0),MATCH(COLUMNS($AB$1006:AQ1006),$AB$1006:$AQ$1006,0)), HYPERLINK("#",""), HYPERLINK(CONCATENATE("#Metadata!", ADDRESS(INDEX($W$2:$W$1001,MATCH(ROWS($U$2:U944),$U$2:$U$1001,0),0), INDEX($AB$1004:$AQ$1004,1,MATCH(COLUMNS($AB$1006:AQ1006),$AB$1006:$AQ$1006,0)))),"Fix")))</f>
        <v>0</v>
      </c>
      <c r="U944">
        <v>0</v>
      </c>
      <c r="V944">
        <v>0</v>
      </c>
      <c r="W944">
        <v>0</v>
      </c>
      <c r="X944">
        <f>IF(Y944,TRUE,AND(AB944:AQ944))</f>
        <v>0</v>
      </c>
      <c r="Y944">
        <f>COUNTBLANK(Metadata!B944:Q944)=COLUMNS(Metadata!B944:Q944)</f>
        <v>0</v>
      </c>
      <c r="Z944">
        <v>0</v>
      </c>
      <c r="AB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AC944">
        <f>AND(IF(Metadata!C944="",FALSE,TRUE),exact(Metadata!C944,"urban biome"))</f>
        <v>0</v>
      </c>
      <c r="AD944">
        <f>AND(IF(Metadata!D944="",FALSE,TRUE),exact(Metadata!D944,"human-associated habitat"))</f>
        <v>0</v>
      </c>
      <c r="AE944">
        <f>AND(IF(Metadata!E944="",FALSE,TRUE),OR(exact(Metadata!E944,"human-associated"),exact(Metadata!E944,"human-skin"),exact(Metadata!E944,"human-oral"),exact(Metadata!E944,"human-gut"),exact(Metadata!E944,"human-vaginal")))</f>
        <v>0</v>
      </c>
      <c r="AF944">
        <f>AND(IF(Metadata!F944="",FALSE,ISNUMBER(VALUE(Metadata!F944))),Metadata!F944&gt;0)</f>
        <v>0</v>
      </c>
      <c r="AG944">
        <f>AND(IF(Metadata!G944="",FALSE,TRUE),exact(Metadata!G944,"years"))</f>
        <v>0</v>
      </c>
      <c r="AH944">
        <f>OR(AND(IF(Metadata!H944="",FALSE,TRUE),OR(exact(Metadata!H944,"not applicable"),exact(Metadata!H944,"not collected"),exact(Metadata!H944,"not provided"),exact(Metadata!H944,"restricted access"))),AND(IF(Metadata!H944="",FALSE,ISNUMBER(VALUE(Metadata!H944))),Metadata!H944&gt;0))</f>
        <v>0</v>
      </c>
      <c r="AI944">
        <f>AND(IF(Metadata!I944="",FALSE,TRUE),exact(Metadata!I944,"human"))</f>
        <v>0</v>
      </c>
      <c r="AJ944">
        <f>AND(IF(Metadata!J944="",FALSE,ISNUMBER(VALUE(Metadata!J944))),Metadata!J944&gt;0)</f>
        <v>0</v>
      </c>
      <c r="AK944">
        <f>AND(IF(Metadata!K944="",FALSE,TRUE),exact(Metadata!K944,"cm"))</f>
        <v>0</v>
      </c>
      <c r="AL944">
        <f>AND(IF(Metadata!L944="",FALSE,TRUE),exact(Metadata!L944,"Homo sapiens"))</f>
        <v>0</v>
      </c>
      <c r="AM944">
        <f>AND(IF(Metadata!M944="",FALSE,TRUE),exact(Metadata!M944,"9606"))</f>
        <v>0</v>
      </c>
      <c r="AN944">
        <f>AND(IF(Metadata!N944="",FALSE,ISNUMBER(VALUE(Metadata!N944))),Metadata!N944&gt;0)</f>
        <v>0</v>
      </c>
      <c r="AO944">
        <f>AND(IF(Metadata!O944="",FALSE,TRUE),exact(Metadata!O944,"kg"))</f>
        <v>0</v>
      </c>
      <c r="AP944">
        <f>OR(AND(IF(Metadata!P944="",FALSE,TRUE),exact(Metadata!P944,"not provided")),IF(Metadata!P944="",FALSE,TRUE))</f>
        <v>0</v>
      </c>
      <c r="AQ944">
        <f>OR(AND(IF(Metadata!Q944="",FALSE,TRUE),exact(Metadata!Q944,"not provided")),IF(Metadata!Q944="",FALSE,TRUE))</f>
        <v>0</v>
      </c>
    </row>
    <row r="945" spans="1:43">
      <c r="A945" s="4">
        <f>IF(B945=" "," ",HYPERLINK(CONCATENATE("#metadata!",ADDRESS(INDEX($W$2:$W$1001,MATCH(ROWS($U$2:U945),$U$2:$U$1001,0),0),2)),INDEX($Z$2:$Z$1001,MATCH(ROWS($U$2:U945),$U$2:$U$1001,0),0)))</f>
        <v>0</v>
      </c>
      <c r="B945" s="5">
        <f>IF(OR(INDEX($V$2:$V$1001,MATCH(ROWS($U$2:U945),$U$2:$U$1001,0),1)&gt;=100000,INDEX($AB$1005:$AQ$1005,1,MATCH(COLUMNS($AB$1006:AB1006),$AB$1006:$AQ$1006,0))&gt;=100000), " ",IF(INDEX($AB$2:$AQ$1001,MATCH(ROWS($U$2:U945),$U$2:$U$1001,0),MATCH(COLUMNS($AB$1006:AB1006),$AB$1006:$AQ$1006,0)), HYPERLINK("#",""), HYPERLINK(CONCATENATE("#Metadata!", ADDRESS(INDEX($W$2:$W$1001,MATCH(ROWS($U$2:U945),$U$2:$U$1001,0),0), INDEX($AB$1004:$AQ$1004,1,MATCH(COLUMNS($AB$1006:AB1006),$AB$1006:$AQ$1006,0)))),"Fix")))</f>
        <v>0</v>
      </c>
      <c r="C945" s="5">
        <f>IF(OR(INDEX($V$2:$V$1001,MATCH(ROWS($U$2:U945),$U$2:$U$1001,0),1)&gt;=100000,INDEX($AB$1005:$AQ$1005,1,MATCH(COLUMNS($AB$1006:AC1006),$AB$1006:$AQ$1006,0))&gt;=100000), " ",IF(INDEX($AB$2:$AQ$1001,MATCH(ROWS($U$2:U945),$U$2:$U$1001,0),MATCH(COLUMNS($AB$1006:AC1006),$AB$1006:$AQ$1006,0)), HYPERLINK("#",""), HYPERLINK(CONCATENATE("#Metadata!", ADDRESS(INDEX($W$2:$W$1001,MATCH(ROWS($U$2:U945),$U$2:$U$1001,0),0), INDEX($AB$1004:$AQ$1004,1,MATCH(COLUMNS($AB$1006:AC1006),$AB$1006:$AQ$1006,0)))),"Fix")))</f>
        <v>0</v>
      </c>
      <c r="D945" s="5">
        <f>IF(OR(INDEX($V$2:$V$1001,MATCH(ROWS($U$2:U945),$U$2:$U$1001,0),1)&gt;=100000,INDEX($AB$1005:$AQ$1005,1,MATCH(COLUMNS($AB$1006:AD1006),$AB$1006:$AQ$1006,0))&gt;=100000), " ",IF(INDEX($AB$2:$AQ$1001,MATCH(ROWS($U$2:U945),$U$2:$U$1001,0),MATCH(COLUMNS($AB$1006:AD1006),$AB$1006:$AQ$1006,0)), HYPERLINK("#",""), HYPERLINK(CONCATENATE("#Metadata!", ADDRESS(INDEX($W$2:$W$1001,MATCH(ROWS($U$2:U945),$U$2:$U$1001,0),0), INDEX($AB$1004:$AQ$1004,1,MATCH(COLUMNS($AB$1006:AD1006),$AB$1006:$AQ$1006,0)))),"Fix")))</f>
        <v>0</v>
      </c>
      <c r="E945" s="5">
        <f>IF(OR(INDEX($V$2:$V$1001,MATCH(ROWS($U$2:U945),$U$2:$U$1001,0),1)&gt;=100000,INDEX($AB$1005:$AQ$1005,1,MATCH(COLUMNS($AB$1006:AE1006),$AB$1006:$AQ$1006,0))&gt;=100000), " ",IF(INDEX($AB$2:$AQ$1001,MATCH(ROWS($U$2:U945),$U$2:$U$1001,0),MATCH(COLUMNS($AB$1006:AE1006),$AB$1006:$AQ$1006,0)), HYPERLINK("#",""), HYPERLINK(CONCATENATE("#Metadata!", ADDRESS(INDEX($W$2:$W$1001,MATCH(ROWS($U$2:U945),$U$2:$U$1001,0),0), INDEX($AB$1004:$AQ$1004,1,MATCH(COLUMNS($AB$1006:AE1006),$AB$1006:$AQ$1006,0)))),"Fix")))</f>
        <v>0</v>
      </c>
      <c r="F945" s="5">
        <f>IF(OR(INDEX($V$2:$V$1001,MATCH(ROWS($U$2:U945),$U$2:$U$1001,0),1)&gt;=100000,INDEX($AB$1005:$AQ$1005,1,MATCH(COLUMNS($AB$1006:AF1006),$AB$1006:$AQ$1006,0))&gt;=100000), " ",IF(INDEX($AB$2:$AQ$1001,MATCH(ROWS($U$2:U945),$U$2:$U$1001,0),MATCH(COLUMNS($AB$1006:AF1006),$AB$1006:$AQ$1006,0)), HYPERLINK("#",""), HYPERLINK(CONCATENATE("#Metadata!", ADDRESS(INDEX($W$2:$W$1001,MATCH(ROWS($U$2:U945),$U$2:$U$1001,0),0), INDEX($AB$1004:$AQ$1004,1,MATCH(COLUMNS($AB$1006:AF1006),$AB$1006:$AQ$1006,0)))),"Fix")))</f>
        <v>0</v>
      </c>
      <c r="G945" s="5">
        <f>IF(OR(INDEX($V$2:$V$1001,MATCH(ROWS($U$2:U945),$U$2:$U$1001,0),1)&gt;=100000,INDEX($AB$1005:$AQ$1005,1,MATCH(COLUMNS($AB$1006:AG1006),$AB$1006:$AQ$1006,0))&gt;=100000), " ",IF(INDEX($AB$2:$AQ$1001,MATCH(ROWS($U$2:U945),$U$2:$U$1001,0),MATCH(COLUMNS($AB$1006:AG1006),$AB$1006:$AQ$1006,0)), HYPERLINK("#",""), HYPERLINK(CONCATENATE("#Metadata!", ADDRESS(INDEX($W$2:$W$1001,MATCH(ROWS($U$2:U945),$U$2:$U$1001,0),0), INDEX($AB$1004:$AQ$1004,1,MATCH(COLUMNS($AB$1006:AG1006),$AB$1006:$AQ$1006,0)))),"Fix")))</f>
        <v>0</v>
      </c>
      <c r="H945" s="5">
        <f>IF(OR(INDEX($V$2:$V$1001,MATCH(ROWS($U$2:U945),$U$2:$U$1001,0),1)&gt;=100000,INDEX($AB$1005:$AQ$1005,1,MATCH(COLUMNS($AB$1006:AH1006),$AB$1006:$AQ$1006,0))&gt;=100000), " ",IF(INDEX($AB$2:$AQ$1001,MATCH(ROWS($U$2:U945),$U$2:$U$1001,0),MATCH(COLUMNS($AB$1006:AH1006),$AB$1006:$AQ$1006,0)), HYPERLINK("#",""), HYPERLINK(CONCATENATE("#Metadata!", ADDRESS(INDEX($W$2:$W$1001,MATCH(ROWS($U$2:U945),$U$2:$U$1001,0),0), INDEX($AB$1004:$AQ$1004,1,MATCH(COLUMNS($AB$1006:AH1006),$AB$1006:$AQ$1006,0)))),"Fix")))</f>
        <v>0</v>
      </c>
      <c r="I945" s="5">
        <f>IF(OR(INDEX($V$2:$V$1001,MATCH(ROWS($U$2:U945),$U$2:$U$1001,0),1)&gt;=100000,INDEX($AB$1005:$AQ$1005,1,MATCH(COLUMNS($AB$1006:AI1006),$AB$1006:$AQ$1006,0))&gt;=100000), " ",IF(INDEX($AB$2:$AQ$1001,MATCH(ROWS($U$2:U945),$U$2:$U$1001,0),MATCH(COLUMNS($AB$1006:AI1006),$AB$1006:$AQ$1006,0)), HYPERLINK("#",""), HYPERLINK(CONCATENATE("#Metadata!", ADDRESS(INDEX($W$2:$W$1001,MATCH(ROWS($U$2:U945),$U$2:$U$1001,0),0), INDEX($AB$1004:$AQ$1004,1,MATCH(COLUMNS($AB$1006:AI1006),$AB$1006:$AQ$1006,0)))),"Fix")))</f>
        <v>0</v>
      </c>
      <c r="J945" s="5">
        <f>IF(OR(INDEX($V$2:$V$1001,MATCH(ROWS($U$2:U945),$U$2:$U$1001,0),1)&gt;=100000,INDEX($AB$1005:$AQ$1005,1,MATCH(COLUMNS($AB$1006:AJ1006),$AB$1006:$AQ$1006,0))&gt;=100000), " ",IF(INDEX($AB$2:$AQ$1001,MATCH(ROWS($U$2:U945),$U$2:$U$1001,0),MATCH(COLUMNS($AB$1006:AJ1006),$AB$1006:$AQ$1006,0)), HYPERLINK("#",""), HYPERLINK(CONCATENATE("#Metadata!", ADDRESS(INDEX($W$2:$W$1001,MATCH(ROWS($U$2:U945),$U$2:$U$1001,0),0), INDEX($AB$1004:$AQ$1004,1,MATCH(COLUMNS($AB$1006:AJ1006),$AB$1006:$AQ$1006,0)))),"Fix")))</f>
        <v>0</v>
      </c>
      <c r="K945" s="5">
        <f>IF(OR(INDEX($V$2:$V$1001,MATCH(ROWS($U$2:U945),$U$2:$U$1001,0),1)&gt;=100000,INDEX($AB$1005:$AQ$1005,1,MATCH(COLUMNS($AB$1006:AK1006),$AB$1006:$AQ$1006,0))&gt;=100000), " ",IF(INDEX($AB$2:$AQ$1001,MATCH(ROWS($U$2:U945),$U$2:$U$1001,0),MATCH(COLUMNS($AB$1006:AK1006),$AB$1006:$AQ$1006,0)), HYPERLINK("#",""), HYPERLINK(CONCATENATE("#Metadata!", ADDRESS(INDEX($W$2:$W$1001,MATCH(ROWS($U$2:U945),$U$2:$U$1001,0),0), INDEX($AB$1004:$AQ$1004,1,MATCH(COLUMNS($AB$1006:AK1006),$AB$1006:$AQ$1006,0)))),"Fix")))</f>
        <v>0</v>
      </c>
      <c r="L945" s="5">
        <f>IF(OR(INDEX($V$2:$V$1001,MATCH(ROWS($U$2:U945),$U$2:$U$1001,0),1)&gt;=100000,INDEX($AB$1005:$AQ$1005,1,MATCH(COLUMNS($AB$1006:AL1006),$AB$1006:$AQ$1006,0))&gt;=100000), " ",IF(INDEX($AB$2:$AQ$1001,MATCH(ROWS($U$2:U945),$U$2:$U$1001,0),MATCH(COLUMNS($AB$1006:AL1006),$AB$1006:$AQ$1006,0)), HYPERLINK("#",""), HYPERLINK(CONCATENATE("#Metadata!", ADDRESS(INDEX($W$2:$W$1001,MATCH(ROWS($U$2:U945),$U$2:$U$1001,0),0), INDEX($AB$1004:$AQ$1004,1,MATCH(COLUMNS($AB$1006:AL1006),$AB$1006:$AQ$1006,0)))),"Fix")))</f>
        <v>0</v>
      </c>
      <c r="M945" s="5">
        <f>IF(OR(INDEX($V$2:$V$1001,MATCH(ROWS($U$2:U945),$U$2:$U$1001,0),1)&gt;=100000,INDEX($AB$1005:$AQ$1005,1,MATCH(COLUMNS($AB$1006:AM1006),$AB$1006:$AQ$1006,0))&gt;=100000), " ",IF(INDEX($AB$2:$AQ$1001,MATCH(ROWS($U$2:U945),$U$2:$U$1001,0),MATCH(COLUMNS($AB$1006:AM1006),$AB$1006:$AQ$1006,0)), HYPERLINK("#",""), HYPERLINK(CONCATENATE("#Metadata!", ADDRESS(INDEX($W$2:$W$1001,MATCH(ROWS($U$2:U945),$U$2:$U$1001,0),0), INDEX($AB$1004:$AQ$1004,1,MATCH(COLUMNS($AB$1006:AM1006),$AB$1006:$AQ$1006,0)))),"Fix")))</f>
        <v>0</v>
      </c>
      <c r="N945" s="5">
        <f>IF(OR(INDEX($V$2:$V$1001,MATCH(ROWS($U$2:U945),$U$2:$U$1001,0),1)&gt;=100000,INDEX($AB$1005:$AQ$1005,1,MATCH(COLUMNS($AB$1006:AN1006),$AB$1006:$AQ$1006,0))&gt;=100000), " ",IF(INDEX($AB$2:$AQ$1001,MATCH(ROWS($U$2:U945),$U$2:$U$1001,0),MATCH(COLUMNS($AB$1006:AN1006),$AB$1006:$AQ$1006,0)), HYPERLINK("#",""), HYPERLINK(CONCATENATE("#Metadata!", ADDRESS(INDEX($W$2:$W$1001,MATCH(ROWS($U$2:U945),$U$2:$U$1001,0),0), INDEX($AB$1004:$AQ$1004,1,MATCH(COLUMNS($AB$1006:AN1006),$AB$1006:$AQ$1006,0)))),"Fix")))</f>
        <v>0</v>
      </c>
      <c r="O945" s="5">
        <f>IF(OR(INDEX($V$2:$V$1001,MATCH(ROWS($U$2:U945),$U$2:$U$1001,0),1)&gt;=100000,INDEX($AB$1005:$AQ$1005,1,MATCH(COLUMNS($AB$1006:AO1006),$AB$1006:$AQ$1006,0))&gt;=100000), " ",IF(INDEX($AB$2:$AQ$1001,MATCH(ROWS($U$2:U945),$U$2:$U$1001,0),MATCH(COLUMNS($AB$1006:AO1006),$AB$1006:$AQ$1006,0)), HYPERLINK("#",""), HYPERLINK(CONCATENATE("#Metadata!", ADDRESS(INDEX($W$2:$W$1001,MATCH(ROWS($U$2:U945),$U$2:$U$1001,0),0), INDEX($AB$1004:$AQ$1004,1,MATCH(COLUMNS($AB$1006:AO1006),$AB$1006:$AQ$1006,0)))),"Fix")))</f>
        <v>0</v>
      </c>
      <c r="P945" s="5">
        <f>IF(OR(INDEX($V$2:$V$1001,MATCH(ROWS($U$2:U945),$U$2:$U$1001,0),1)&gt;=100000,INDEX($AB$1005:$AQ$1005,1,MATCH(COLUMNS($AB$1006:AP1006),$AB$1006:$AQ$1006,0))&gt;=100000), " ",IF(INDEX($AB$2:$AQ$1001,MATCH(ROWS($U$2:U945),$U$2:$U$1001,0),MATCH(COLUMNS($AB$1006:AP1006),$AB$1006:$AQ$1006,0)), HYPERLINK("#",""), HYPERLINK(CONCATENATE("#Metadata!", ADDRESS(INDEX($W$2:$W$1001,MATCH(ROWS($U$2:U945),$U$2:$U$1001,0),0), INDEX($AB$1004:$AQ$1004,1,MATCH(COLUMNS($AB$1006:AP1006),$AB$1006:$AQ$1006,0)))),"Fix")))</f>
        <v>0</v>
      </c>
      <c r="Q945" s="5">
        <f>IF(OR(INDEX($V$2:$V$1001,MATCH(ROWS($U$2:U945),$U$2:$U$1001,0),1)&gt;=100000,INDEX($AB$1005:$AQ$1005,1,MATCH(COLUMNS($AB$1006:AQ1006),$AB$1006:$AQ$1006,0))&gt;=100000), " ",IF(INDEX($AB$2:$AQ$1001,MATCH(ROWS($U$2:U945),$U$2:$U$1001,0),MATCH(COLUMNS($AB$1006:AQ1006),$AB$1006:$AQ$1006,0)), HYPERLINK("#",""), HYPERLINK(CONCATENATE("#Metadata!", ADDRESS(INDEX($W$2:$W$1001,MATCH(ROWS($U$2:U945),$U$2:$U$1001,0),0), INDEX($AB$1004:$AQ$1004,1,MATCH(COLUMNS($AB$1006:AQ1006),$AB$1006:$AQ$1006,0)))),"Fix")))</f>
        <v>0</v>
      </c>
      <c r="U945">
        <v>0</v>
      </c>
      <c r="V945">
        <v>0</v>
      </c>
      <c r="W945">
        <v>0</v>
      </c>
      <c r="X945">
        <f>IF(Y945,TRUE,AND(AB945:AQ945))</f>
        <v>0</v>
      </c>
      <c r="Y945">
        <f>COUNTBLANK(Metadata!B945:Q945)=COLUMNS(Metadata!B945:Q945)</f>
        <v>0</v>
      </c>
      <c r="Z945">
        <v>0</v>
      </c>
      <c r="AB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AC945">
        <f>AND(IF(Metadata!C945="",FALSE,TRUE),exact(Metadata!C945,"urban biome"))</f>
        <v>0</v>
      </c>
      <c r="AD945">
        <f>AND(IF(Metadata!D945="",FALSE,TRUE),exact(Metadata!D945,"human-associated habitat"))</f>
        <v>0</v>
      </c>
      <c r="AE945">
        <f>AND(IF(Metadata!E945="",FALSE,TRUE),OR(exact(Metadata!E945,"human-associated"),exact(Metadata!E945,"human-skin"),exact(Metadata!E945,"human-oral"),exact(Metadata!E945,"human-gut"),exact(Metadata!E945,"human-vaginal")))</f>
        <v>0</v>
      </c>
      <c r="AF945">
        <f>AND(IF(Metadata!F945="",FALSE,ISNUMBER(VALUE(Metadata!F945))),Metadata!F945&gt;0)</f>
        <v>0</v>
      </c>
      <c r="AG945">
        <f>AND(IF(Metadata!G945="",FALSE,TRUE),exact(Metadata!G945,"years"))</f>
        <v>0</v>
      </c>
      <c r="AH945">
        <f>OR(AND(IF(Metadata!H945="",FALSE,TRUE),OR(exact(Metadata!H945,"not applicable"),exact(Metadata!H945,"not collected"),exact(Metadata!H945,"not provided"),exact(Metadata!H945,"restricted access"))),AND(IF(Metadata!H945="",FALSE,ISNUMBER(VALUE(Metadata!H945))),Metadata!H945&gt;0))</f>
        <v>0</v>
      </c>
      <c r="AI945">
        <f>AND(IF(Metadata!I945="",FALSE,TRUE),exact(Metadata!I945,"human"))</f>
        <v>0</v>
      </c>
      <c r="AJ945">
        <f>AND(IF(Metadata!J945="",FALSE,ISNUMBER(VALUE(Metadata!J945))),Metadata!J945&gt;0)</f>
        <v>0</v>
      </c>
      <c r="AK945">
        <f>AND(IF(Metadata!K945="",FALSE,TRUE),exact(Metadata!K945,"cm"))</f>
        <v>0</v>
      </c>
      <c r="AL945">
        <f>AND(IF(Metadata!L945="",FALSE,TRUE),exact(Metadata!L945,"Homo sapiens"))</f>
        <v>0</v>
      </c>
      <c r="AM945">
        <f>AND(IF(Metadata!M945="",FALSE,TRUE),exact(Metadata!M945,"9606"))</f>
        <v>0</v>
      </c>
      <c r="AN945">
        <f>AND(IF(Metadata!N945="",FALSE,ISNUMBER(VALUE(Metadata!N945))),Metadata!N945&gt;0)</f>
        <v>0</v>
      </c>
      <c r="AO945">
        <f>AND(IF(Metadata!O945="",FALSE,TRUE),exact(Metadata!O945,"kg"))</f>
        <v>0</v>
      </c>
      <c r="AP945">
        <f>OR(AND(IF(Metadata!P945="",FALSE,TRUE),exact(Metadata!P945,"not provided")),IF(Metadata!P945="",FALSE,TRUE))</f>
        <v>0</v>
      </c>
      <c r="AQ945">
        <f>OR(AND(IF(Metadata!Q945="",FALSE,TRUE),exact(Metadata!Q945,"not provided")),IF(Metadata!Q945="",FALSE,TRUE))</f>
        <v>0</v>
      </c>
    </row>
    <row r="946" spans="1:43">
      <c r="A946" s="4">
        <f>IF(B946=" "," ",HYPERLINK(CONCATENATE("#metadata!",ADDRESS(INDEX($W$2:$W$1001,MATCH(ROWS($U$2:U946),$U$2:$U$1001,0),0),2)),INDEX($Z$2:$Z$1001,MATCH(ROWS($U$2:U946),$U$2:$U$1001,0),0)))</f>
        <v>0</v>
      </c>
      <c r="B946" s="5">
        <f>IF(OR(INDEX($V$2:$V$1001,MATCH(ROWS($U$2:U946),$U$2:$U$1001,0),1)&gt;=100000,INDEX($AB$1005:$AQ$1005,1,MATCH(COLUMNS($AB$1006:AB1006),$AB$1006:$AQ$1006,0))&gt;=100000), " ",IF(INDEX($AB$2:$AQ$1001,MATCH(ROWS($U$2:U946),$U$2:$U$1001,0),MATCH(COLUMNS($AB$1006:AB1006),$AB$1006:$AQ$1006,0)), HYPERLINK("#",""), HYPERLINK(CONCATENATE("#Metadata!", ADDRESS(INDEX($W$2:$W$1001,MATCH(ROWS($U$2:U946),$U$2:$U$1001,0),0), INDEX($AB$1004:$AQ$1004,1,MATCH(COLUMNS($AB$1006:AB1006),$AB$1006:$AQ$1006,0)))),"Fix")))</f>
        <v>0</v>
      </c>
      <c r="C946" s="5">
        <f>IF(OR(INDEX($V$2:$V$1001,MATCH(ROWS($U$2:U946),$U$2:$U$1001,0),1)&gt;=100000,INDEX($AB$1005:$AQ$1005,1,MATCH(COLUMNS($AB$1006:AC1006),$AB$1006:$AQ$1006,0))&gt;=100000), " ",IF(INDEX($AB$2:$AQ$1001,MATCH(ROWS($U$2:U946),$U$2:$U$1001,0),MATCH(COLUMNS($AB$1006:AC1006),$AB$1006:$AQ$1006,0)), HYPERLINK("#",""), HYPERLINK(CONCATENATE("#Metadata!", ADDRESS(INDEX($W$2:$W$1001,MATCH(ROWS($U$2:U946),$U$2:$U$1001,0),0), INDEX($AB$1004:$AQ$1004,1,MATCH(COLUMNS($AB$1006:AC1006),$AB$1006:$AQ$1006,0)))),"Fix")))</f>
        <v>0</v>
      </c>
      <c r="D946" s="5">
        <f>IF(OR(INDEX($V$2:$V$1001,MATCH(ROWS($U$2:U946),$U$2:$U$1001,0),1)&gt;=100000,INDEX($AB$1005:$AQ$1005,1,MATCH(COLUMNS($AB$1006:AD1006),$AB$1006:$AQ$1006,0))&gt;=100000), " ",IF(INDEX($AB$2:$AQ$1001,MATCH(ROWS($U$2:U946),$U$2:$U$1001,0),MATCH(COLUMNS($AB$1006:AD1006),$AB$1006:$AQ$1006,0)), HYPERLINK("#",""), HYPERLINK(CONCATENATE("#Metadata!", ADDRESS(INDEX($W$2:$W$1001,MATCH(ROWS($U$2:U946),$U$2:$U$1001,0),0), INDEX($AB$1004:$AQ$1004,1,MATCH(COLUMNS($AB$1006:AD1006),$AB$1006:$AQ$1006,0)))),"Fix")))</f>
        <v>0</v>
      </c>
      <c r="E946" s="5">
        <f>IF(OR(INDEX($V$2:$V$1001,MATCH(ROWS($U$2:U946),$U$2:$U$1001,0),1)&gt;=100000,INDEX($AB$1005:$AQ$1005,1,MATCH(COLUMNS($AB$1006:AE1006),$AB$1006:$AQ$1006,0))&gt;=100000), " ",IF(INDEX($AB$2:$AQ$1001,MATCH(ROWS($U$2:U946),$U$2:$U$1001,0),MATCH(COLUMNS($AB$1006:AE1006),$AB$1006:$AQ$1006,0)), HYPERLINK("#",""), HYPERLINK(CONCATENATE("#Metadata!", ADDRESS(INDEX($W$2:$W$1001,MATCH(ROWS($U$2:U946),$U$2:$U$1001,0),0), INDEX($AB$1004:$AQ$1004,1,MATCH(COLUMNS($AB$1006:AE1006),$AB$1006:$AQ$1006,0)))),"Fix")))</f>
        <v>0</v>
      </c>
      <c r="F946" s="5">
        <f>IF(OR(INDEX($V$2:$V$1001,MATCH(ROWS($U$2:U946),$U$2:$U$1001,0),1)&gt;=100000,INDEX($AB$1005:$AQ$1005,1,MATCH(COLUMNS($AB$1006:AF1006),$AB$1006:$AQ$1006,0))&gt;=100000), " ",IF(INDEX($AB$2:$AQ$1001,MATCH(ROWS($U$2:U946),$U$2:$U$1001,0),MATCH(COLUMNS($AB$1006:AF1006),$AB$1006:$AQ$1006,0)), HYPERLINK("#",""), HYPERLINK(CONCATENATE("#Metadata!", ADDRESS(INDEX($W$2:$W$1001,MATCH(ROWS($U$2:U946),$U$2:$U$1001,0),0), INDEX($AB$1004:$AQ$1004,1,MATCH(COLUMNS($AB$1006:AF1006),$AB$1006:$AQ$1006,0)))),"Fix")))</f>
        <v>0</v>
      </c>
      <c r="G946" s="5">
        <f>IF(OR(INDEX($V$2:$V$1001,MATCH(ROWS($U$2:U946),$U$2:$U$1001,0),1)&gt;=100000,INDEX($AB$1005:$AQ$1005,1,MATCH(COLUMNS($AB$1006:AG1006),$AB$1006:$AQ$1006,0))&gt;=100000), " ",IF(INDEX($AB$2:$AQ$1001,MATCH(ROWS($U$2:U946),$U$2:$U$1001,0),MATCH(COLUMNS($AB$1006:AG1006),$AB$1006:$AQ$1006,0)), HYPERLINK("#",""), HYPERLINK(CONCATENATE("#Metadata!", ADDRESS(INDEX($W$2:$W$1001,MATCH(ROWS($U$2:U946),$U$2:$U$1001,0),0), INDEX($AB$1004:$AQ$1004,1,MATCH(COLUMNS($AB$1006:AG1006),$AB$1006:$AQ$1006,0)))),"Fix")))</f>
        <v>0</v>
      </c>
      <c r="H946" s="5">
        <f>IF(OR(INDEX($V$2:$V$1001,MATCH(ROWS($U$2:U946),$U$2:$U$1001,0),1)&gt;=100000,INDEX($AB$1005:$AQ$1005,1,MATCH(COLUMNS($AB$1006:AH1006),$AB$1006:$AQ$1006,0))&gt;=100000), " ",IF(INDEX($AB$2:$AQ$1001,MATCH(ROWS($U$2:U946),$U$2:$U$1001,0),MATCH(COLUMNS($AB$1006:AH1006),$AB$1006:$AQ$1006,0)), HYPERLINK("#",""), HYPERLINK(CONCATENATE("#Metadata!", ADDRESS(INDEX($W$2:$W$1001,MATCH(ROWS($U$2:U946),$U$2:$U$1001,0),0), INDEX($AB$1004:$AQ$1004,1,MATCH(COLUMNS($AB$1006:AH1006),$AB$1006:$AQ$1006,0)))),"Fix")))</f>
        <v>0</v>
      </c>
      <c r="I946" s="5">
        <f>IF(OR(INDEX($V$2:$V$1001,MATCH(ROWS($U$2:U946),$U$2:$U$1001,0),1)&gt;=100000,INDEX($AB$1005:$AQ$1005,1,MATCH(COLUMNS($AB$1006:AI1006),$AB$1006:$AQ$1006,0))&gt;=100000), " ",IF(INDEX($AB$2:$AQ$1001,MATCH(ROWS($U$2:U946),$U$2:$U$1001,0),MATCH(COLUMNS($AB$1006:AI1006),$AB$1006:$AQ$1006,0)), HYPERLINK("#",""), HYPERLINK(CONCATENATE("#Metadata!", ADDRESS(INDEX($W$2:$W$1001,MATCH(ROWS($U$2:U946),$U$2:$U$1001,0),0), INDEX($AB$1004:$AQ$1004,1,MATCH(COLUMNS($AB$1006:AI1006),$AB$1006:$AQ$1006,0)))),"Fix")))</f>
        <v>0</v>
      </c>
      <c r="J946" s="5">
        <f>IF(OR(INDEX($V$2:$V$1001,MATCH(ROWS($U$2:U946),$U$2:$U$1001,0),1)&gt;=100000,INDEX($AB$1005:$AQ$1005,1,MATCH(COLUMNS($AB$1006:AJ1006),$AB$1006:$AQ$1006,0))&gt;=100000), " ",IF(INDEX($AB$2:$AQ$1001,MATCH(ROWS($U$2:U946),$U$2:$U$1001,0),MATCH(COLUMNS($AB$1006:AJ1006),$AB$1006:$AQ$1006,0)), HYPERLINK("#",""), HYPERLINK(CONCATENATE("#Metadata!", ADDRESS(INDEX($W$2:$W$1001,MATCH(ROWS($U$2:U946),$U$2:$U$1001,0),0), INDEX($AB$1004:$AQ$1004,1,MATCH(COLUMNS($AB$1006:AJ1006),$AB$1006:$AQ$1006,0)))),"Fix")))</f>
        <v>0</v>
      </c>
      <c r="K946" s="5">
        <f>IF(OR(INDEX($V$2:$V$1001,MATCH(ROWS($U$2:U946),$U$2:$U$1001,0),1)&gt;=100000,INDEX($AB$1005:$AQ$1005,1,MATCH(COLUMNS($AB$1006:AK1006),$AB$1006:$AQ$1006,0))&gt;=100000), " ",IF(INDEX($AB$2:$AQ$1001,MATCH(ROWS($U$2:U946),$U$2:$U$1001,0),MATCH(COLUMNS($AB$1006:AK1006),$AB$1006:$AQ$1006,0)), HYPERLINK("#",""), HYPERLINK(CONCATENATE("#Metadata!", ADDRESS(INDEX($W$2:$W$1001,MATCH(ROWS($U$2:U946),$U$2:$U$1001,0),0), INDEX($AB$1004:$AQ$1004,1,MATCH(COLUMNS($AB$1006:AK1006),$AB$1006:$AQ$1006,0)))),"Fix")))</f>
        <v>0</v>
      </c>
      <c r="L946" s="5">
        <f>IF(OR(INDEX($V$2:$V$1001,MATCH(ROWS($U$2:U946),$U$2:$U$1001,0),1)&gt;=100000,INDEX($AB$1005:$AQ$1005,1,MATCH(COLUMNS($AB$1006:AL1006),$AB$1006:$AQ$1006,0))&gt;=100000), " ",IF(INDEX($AB$2:$AQ$1001,MATCH(ROWS($U$2:U946),$U$2:$U$1001,0),MATCH(COLUMNS($AB$1006:AL1006),$AB$1006:$AQ$1006,0)), HYPERLINK("#",""), HYPERLINK(CONCATENATE("#Metadata!", ADDRESS(INDEX($W$2:$W$1001,MATCH(ROWS($U$2:U946),$U$2:$U$1001,0),0), INDEX($AB$1004:$AQ$1004,1,MATCH(COLUMNS($AB$1006:AL1006),$AB$1006:$AQ$1006,0)))),"Fix")))</f>
        <v>0</v>
      </c>
      <c r="M946" s="5">
        <f>IF(OR(INDEX($V$2:$V$1001,MATCH(ROWS($U$2:U946),$U$2:$U$1001,0),1)&gt;=100000,INDEX($AB$1005:$AQ$1005,1,MATCH(COLUMNS($AB$1006:AM1006),$AB$1006:$AQ$1006,0))&gt;=100000), " ",IF(INDEX($AB$2:$AQ$1001,MATCH(ROWS($U$2:U946),$U$2:$U$1001,0),MATCH(COLUMNS($AB$1006:AM1006),$AB$1006:$AQ$1006,0)), HYPERLINK("#",""), HYPERLINK(CONCATENATE("#Metadata!", ADDRESS(INDEX($W$2:$W$1001,MATCH(ROWS($U$2:U946),$U$2:$U$1001,0),0), INDEX($AB$1004:$AQ$1004,1,MATCH(COLUMNS($AB$1006:AM1006),$AB$1006:$AQ$1006,0)))),"Fix")))</f>
        <v>0</v>
      </c>
      <c r="N946" s="5">
        <f>IF(OR(INDEX($V$2:$V$1001,MATCH(ROWS($U$2:U946),$U$2:$U$1001,0),1)&gt;=100000,INDEX($AB$1005:$AQ$1005,1,MATCH(COLUMNS($AB$1006:AN1006),$AB$1006:$AQ$1006,0))&gt;=100000), " ",IF(INDEX($AB$2:$AQ$1001,MATCH(ROWS($U$2:U946),$U$2:$U$1001,0),MATCH(COLUMNS($AB$1006:AN1006),$AB$1006:$AQ$1006,0)), HYPERLINK("#",""), HYPERLINK(CONCATENATE("#Metadata!", ADDRESS(INDEX($W$2:$W$1001,MATCH(ROWS($U$2:U946),$U$2:$U$1001,0),0), INDEX($AB$1004:$AQ$1004,1,MATCH(COLUMNS($AB$1006:AN1006),$AB$1006:$AQ$1006,0)))),"Fix")))</f>
        <v>0</v>
      </c>
      <c r="O946" s="5">
        <f>IF(OR(INDEX($V$2:$V$1001,MATCH(ROWS($U$2:U946),$U$2:$U$1001,0),1)&gt;=100000,INDEX($AB$1005:$AQ$1005,1,MATCH(COLUMNS($AB$1006:AO1006),$AB$1006:$AQ$1006,0))&gt;=100000), " ",IF(INDEX($AB$2:$AQ$1001,MATCH(ROWS($U$2:U946),$U$2:$U$1001,0),MATCH(COLUMNS($AB$1006:AO1006),$AB$1006:$AQ$1006,0)), HYPERLINK("#",""), HYPERLINK(CONCATENATE("#Metadata!", ADDRESS(INDEX($W$2:$W$1001,MATCH(ROWS($U$2:U946),$U$2:$U$1001,0),0), INDEX($AB$1004:$AQ$1004,1,MATCH(COLUMNS($AB$1006:AO1006),$AB$1006:$AQ$1006,0)))),"Fix")))</f>
        <v>0</v>
      </c>
      <c r="P946" s="5">
        <f>IF(OR(INDEX($V$2:$V$1001,MATCH(ROWS($U$2:U946),$U$2:$U$1001,0),1)&gt;=100000,INDEX($AB$1005:$AQ$1005,1,MATCH(COLUMNS($AB$1006:AP1006),$AB$1006:$AQ$1006,0))&gt;=100000), " ",IF(INDEX($AB$2:$AQ$1001,MATCH(ROWS($U$2:U946),$U$2:$U$1001,0),MATCH(COLUMNS($AB$1006:AP1006),$AB$1006:$AQ$1006,0)), HYPERLINK("#",""), HYPERLINK(CONCATENATE("#Metadata!", ADDRESS(INDEX($W$2:$W$1001,MATCH(ROWS($U$2:U946),$U$2:$U$1001,0),0), INDEX($AB$1004:$AQ$1004,1,MATCH(COLUMNS($AB$1006:AP1006),$AB$1006:$AQ$1006,0)))),"Fix")))</f>
        <v>0</v>
      </c>
      <c r="Q946" s="5">
        <f>IF(OR(INDEX($V$2:$V$1001,MATCH(ROWS($U$2:U946),$U$2:$U$1001,0),1)&gt;=100000,INDEX($AB$1005:$AQ$1005,1,MATCH(COLUMNS($AB$1006:AQ1006),$AB$1006:$AQ$1006,0))&gt;=100000), " ",IF(INDEX($AB$2:$AQ$1001,MATCH(ROWS($U$2:U946),$U$2:$U$1001,0),MATCH(COLUMNS($AB$1006:AQ1006),$AB$1006:$AQ$1006,0)), HYPERLINK("#",""), HYPERLINK(CONCATENATE("#Metadata!", ADDRESS(INDEX($W$2:$W$1001,MATCH(ROWS($U$2:U946),$U$2:$U$1001,0),0), INDEX($AB$1004:$AQ$1004,1,MATCH(COLUMNS($AB$1006:AQ1006),$AB$1006:$AQ$1006,0)))),"Fix")))</f>
        <v>0</v>
      </c>
      <c r="U946">
        <v>0</v>
      </c>
      <c r="V946">
        <v>0</v>
      </c>
      <c r="W946">
        <v>0</v>
      </c>
      <c r="X946">
        <f>IF(Y946,TRUE,AND(AB946:AQ946))</f>
        <v>0</v>
      </c>
      <c r="Y946">
        <f>COUNTBLANK(Metadata!B946:Q946)=COLUMNS(Metadata!B946:Q946)</f>
        <v>0</v>
      </c>
      <c r="Z946">
        <v>0</v>
      </c>
      <c r="AB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AC946">
        <f>AND(IF(Metadata!C946="",FALSE,TRUE),exact(Metadata!C946,"urban biome"))</f>
        <v>0</v>
      </c>
      <c r="AD946">
        <f>AND(IF(Metadata!D946="",FALSE,TRUE),exact(Metadata!D946,"human-associated habitat"))</f>
        <v>0</v>
      </c>
      <c r="AE946">
        <f>AND(IF(Metadata!E946="",FALSE,TRUE),OR(exact(Metadata!E946,"human-associated"),exact(Metadata!E946,"human-skin"),exact(Metadata!E946,"human-oral"),exact(Metadata!E946,"human-gut"),exact(Metadata!E946,"human-vaginal")))</f>
        <v>0</v>
      </c>
      <c r="AF946">
        <f>AND(IF(Metadata!F946="",FALSE,ISNUMBER(VALUE(Metadata!F946))),Metadata!F946&gt;0)</f>
        <v>0</v>
      </c>
      <c r="AG946">
        <f>AND(IF(Metadata!G946="",FALSE,TRUE),exact(Metadata!G946,"years"))</f>
        <v>0</v>
      </c>
      <c r="AH946">
        <f>OR(AND(IF(Metadata!H946="",FALSE,TRUE),OR(exact(Metadata!H946,"not applicable"),exact(Metadata!H946,"not collected"),exact(Metadata!H946,"not provided"),exact(Metadata!H946,"restricted access"))),AND(IF(Metadata!H946="",FALSE,ISNUMBER(VALUE(Metadata!H946))),Metadata!H946&gt;0))</f>
        <v>0</v>
      </c>
      <c r="AI946">
        <f>AND(IF(Metadata!I946="",FALSE,TRUE),exact(Metadata!I946,"human"))</f>
        <v>0</v>
      </c>
      <c r="AJ946">
        <f>AND(IF(Metadata!J946="",FALSE,ISNUMBER(VALUE(Metadata!J946))),Metadata!J946&gt;0)</f>
        <v>0</v>
      </c>
      <c r="AK946">
        <f>AND(IF(Metadata!K946="",FALSE,TRUE),exact(Metadata!K946,"cm"))</f>
        <v>0</v>
      </c>
      <c r="AL946">
        <f>AND(IF(Metadata!L946="",FALSE,TRUE),exact(Metadata!L946,"Homo sapiens"))</f>
        <v>0</v>
      </c>
      <c r="AM946">
        <f>AND(IF(Metadata!M946="",FALSE,TRUE),exact(Metadata!M946,"9606"))</f>
        <v>0</v>
      </c>
      <c r="AN946">
        <f>AND(IF(Metadata!N946="",FALSE,ISNUMBER(VALUE(Metadata!N946))),Metadata!N946&gt;0)</f>
        <v>0</v>
      </c>
      <c r="AO946">
        <f>AND(IF(Metadata!O946="",FALSE,TRUE),exact(Metadata!O946,"kg"))</f>
        <v>0</v>
      </c>
      <c r="AP946">
        <f>OR(AND(IF(Metadata!P946="",FALSE,TRUE),exact(Metadata!P946,"not provided")),IF(Metadata!P946="",FALSE,TRUE))</f>
        <v>0</v>
      </c>
      <c r="AQ946">
        <f>OR(AND(IF(Metadata!Q946="",FALSE,TRUE),exact(Metadata!Q946,"not provided")),IF(Metadata!Q946="",FALSE,TRUE))</f>
        <v>0</v>
      </c>
    </row>
    <row r="947" spans="1:43">
      <c r="A947" s="4">
        <f>IF(B947=" "," ",HYPERLINK(CONCATENATE("#metadata!",ADDRESS(INDEX($W$2:$W$1001,MATCH(ROWS($U$2:U947),$U$2:$U$1001,0),0),2)),INDEX($Z$2:$Z$1001,MATCH(ROWS($U$2:U947),$U$2:$U$1001,0),0)))</f>
        <v>0</v>
      </c>
      <c r="B947" s="5">
        <f>IF(OR(INDEX($V$2:$V$1001,MATCH(ROWS($U$2:U947),$U$2:$U$1001,0),1)&gt;=100000,INDEX($AB$1005:$AQ$1005,1,MATCH(COLUMNS($AB$1006:AB1006),$AB$1006:$AQ$1006,0))&gt;=100000), " ",IF(INDEX($AB$2:$AQ$1001,MATCH(ROWS($U$2:U947),$U$2:$U$1001,0),MATCH(COLUMNS($AB$1006:AB1006),$AB$1006:$AQ$1006,0)), HYPERLINK("#",""), HYPERLINK(CONCATENATE("#Metadata!", ADDRESS(INDEX($W$2:$W$1001,MATCH(ROWS($U$2:U947),$U$2:$U$1001,0),0), INDEX($AB$1004:$AQ$1004,1,MATCH(COLUMNS($AB$1006:AB1006),$AB$1006:$AQ$1006,0)))),"Fix")))</f>
        <v>0</v>
      </c>
      <c r="C947" s="5">
        <f>IF(OR(INDEX($V$2:$V$1001,MATCH(ROWS($U$2:U947),$U$2:$U$1001,0),1)&gt;=100000,INDEX($AB$1005:$AQ$1005,1,MATCH(COLUMNS($AB$1006:AC1006),$AB$1006:$AQ$1006,0))&gt;=100000), " ",IF(INDEX($AB$2:$AQ$1001,MATCH(ROWS($U$2:U947),$U$2:$U$1001,0),MATCH(COLUMNS($AB$1006:AC1006),$AB$1006:$AQ$1006,0)), HYPERLINK("#",""), HYPERLINK(CONCATENATE("#Metadata!", ADDRESS(INDEX($W$2:$W$1001,MATCH(ROWS($U$2:U947),$U$2:$U$1001,0),0), INDEX($AB$1004:$AQ$1004,1,MATCH(COLUMNS($AB$1006:AC1006),$AB$1006:$AQ$1006,0)))),"Fix")))</f>
        <v>0</v>
      </c>
      <c r="D947" s="5">
        <f>IF(OR(INDEX($V$2:$V$1001,MATCH(ROWS($U$2:U947),$U$2:$U$1001,0),1)&gt;=100000,INDEX($AB$1005:$AQ$1005,1,MATCH(COLUMNS($AB$1006:AD1006),$AB$1006:$AQ$1006,0))&gt;=100000), " ",IF(INDEX($AB$2:$AQ$1001,MATCH(ROWS($U$2:U947),$U$2:$U$1001,0),MATCH(COLUMNS($AB$1006:AD1006),$AB$1006:$AQ$1006,0)), HYPERLINK("#",""), HYPERLINK(CONCATENATE("#Metadata!", ADDRESS(INDEX($W$2:$W$1001,MATCH(ROWS($U$2:U947),$U$2:$U$1001,0),0), INDEX($AB$1004:$AQ$1004,1,MATCH(COLUMNS($AB$1006:AD1006),$AB$1006:$AQ$1006,0)))),"Fix")))</f>
        <v>0</v>
      </c>
      <c r="E947" s="5">
        <f>IF(OR(INDEX($V$2:$V$1001,MATCH(ROWS($U$2:U947),$U$2:$U$1001,0),1)&gt;=100000,INDEX($AB$1005:$AQ$1005,1,MATCH(COLUMNS($AB$1006:AE1006),$AB$1006:$AQ$1006,0))&gt;=100000), " ",IF(INDEX($AB$2:$AQ$1001,MATCH(ROWS($U$2:U947),$U$2:$U$1001,0),MATCH(COLUMNS($AB$1006:AE1006),$AB$1006:$AQ$1006,0)), HYPERLINK("#",""), HYPERLINK(CONCATENATE("#Metadata!", ADDRESS(INDEX($W$2:$W$1001,MATCH(ROWS($U$2:U947),$U$2:$U$1001,0),0), INDEX($AB$1004:$AQ$1004,1,MATCH(COLUMNS($AB$1006:AE1006),$AB$1006:$AQ$1006,0)))),"Fix")))</f>
        <v>0</v>
      </c>
      <c r="F947" s="5">
        <f>IF(OR(INDEX($V$2:$V$1001,MATCH(ROWS($U$2:U947),$U$2:$U$1001,0),1)&gt;=100000,INDEX($AB$1005:$AQ$1005,1,MATCH(COLUMNS($AB$1006:AF1006),$AB$1006:$AQ$1006,0))&gt;=100000), " ",IF(INDEX($AB$2:$AQ$1001,MATCH(ROWS($U$2:U947),$U$2:$U$1001,0),MATCH(COLUMNS($AB$1006:AF1006),$AB$1006:$AQ$1006,0)), HYPERLINK("#",""), HYPERLINK(CONCATENATE("#Metadata!", ADDRESS(INDEX($W$2:$W$1001,MATCH(ROWS($U$2:U947),$U$2:$U$1001,0),0), INDEX($AB$1004:$AQ$1004,1,MATCH(COLUMNS($AB$1006:AF1006),$AB$1006:$AQ$1006,0)))),"Fix")))</f>
        <v>0</v>
      </c>
      <c r="G947" s="5">
        <f>IF(OR(INDEX($V$2:$V$1001,MATCH(ROWS($U$2:U947),$U$2:$U$1001,0),1)&gt;=100000,INDEX($AB$1005:$AQ$1005,1,MATCH(COLUMNS($AB$1006:AG1006),$AB$1006:$AQ$1006,0))&gt;=100000), " ",IF(INDEX($AB$2:$AQ$1001,MATCH(ROWS($U$2:U947),$U$2:$U$1001,0),MATCH(COLUMNS($AB$1006:AG1006),$AB$1006:$AQ$1006,0)), HYPERLINK("#",""), HYPERLINK(CONCATENATE("#Metadata!", ADDRESS(INDEX($W$2:$W$1001,MATCH(ROWS($U$2:U947),$U$2:$U$1001,0),0), INDEX($AB$1004:$AQ$1004,1,MATCH(COLUMNS($AB$1006:AG1006),$AB$1006:$AQ$1006,0)))),"Fix")))</f>
        <v>0</v>
      </c>
      <c r="H947" s="5">
        <f>IF(OR(INDEX($V$2:$V$1001,MATCH(ROWS($U$2:U947),$U$2:$U$1001,0),1)&gt;=100000,INDEX($AB$1005:$AQ$1005,1,MATCH(COLUMNS($AB$1006:AH1006),$AB$1006:$AQ$1006,0))&gt;=100000), " ",IF(INDEX($AB$2:$AQ$1001,MATCH(ROWS($U$2:U947),$U$2:$U$1001,0),MATCH(COLUMNS($AB$1006:AH1006),$AB$1006:$AQ$1006,0)), HYPERLINK("#",""), HYPERLINK(CONCATENATE("#Metadata!", ADDRESS(INDEX($W$2:$W$1001,MATCH(ROWS($U$2:U947),$U$2:$U$1001,0),0), INDEX($AB$1004:$AQ$1004,1,MATCH(COLUMNS($AB$1006:AH1006),$AB$1006:$AQ$1006,0)))),"Fix")))</f>
        <v>0</v>
      </c>
      <c r="I947" s="5">
        <f>IF(OR(INDEX($V$2:$V$1001,MATCH(ROWS($U$2:U947),$U$2:$U$1001,0),1)&gt;=100000,INDEX($AB$1005:$AQ$1005,1,MATCH(COLUMNS($AB$1006:AI1006),$AB$1006:$AQ$1006,0))&gt;=100000), " ",IF(INDEX($AB$2:$AQ$1001,MATCH(ROWS($U$2:U947),$U$2:$U$1001,0),MATCH(COLUMNS($AB$1006:AI1006),$AB$1006:$AQ$1006,0)), HYPERLINK("#",""), HYPERLINK(CONCATENATE("#Metadata!", ADDRESS(INDEX($W$2:$W$1001,MATCH(ROWS($U$2:U947),$U$2:$U$1001,0),0), INDEX($AB$1004:$AQ$1004,1,MATCH(COLUMNS($AB$1006:AI1006),$AB$1006:$AQ$1006,0)))),"Fix")))</f>
        <v>0</v>
      </c>
      <c r="J947" s="5">
        <f>IF(OR(INDEX($V$2:$V$1001,MATCH(ROWS($U$2:U947),$U$2:$U$1001,0),1)&gt;=100000,INDEX($AB$1005:$AQ$1005,1,MATCH(COLUMNS($AB$1006:AJ1006),$AB$1006:$AQ$1006,0))&gt;=100000), " ",IF(INDEX($AB$2:$AQ$1001,MATCH(ROWS($U$2:U947),$U$2:$U$1001,0),MATCH(COLUMNS($AB$1006:AJ1006),$AB$1006:$AQ$1006,0)), HYPERLINK("#",""), HYPERLINK(CONCATENATE("#Metadata!", ADDRESS(INDEX($W$2:$W$1001,MATCH(ROWS($U$2:U947),$U$2:$U$1001,0),0), INDEX($AB$1004:$AQ$1004,1,MATCH(COLUMNS($AB$1006:AJ1006),$AB$1006:$AQ$1006,0)))),"Fix")))</f>
        <v>0</v>
      </c>
      <c r="K947" s="5">
        <f>IF(OR(INDEX($V$2:$V$1001,MATCH(ROWS($U$2:U947),$U$2:$U$1001,0),1)&gt;=100000,INDEX($AB$1005:$AQ$1005,1,MATCH(COLUMNS($AB$1006:AK1006),$AB$1006:$AQ$1006,0))&gt;=100000), " ",IF(INDEX($AB$2:$AQ$1001,MATCH(ROWS($U$2:U947),$U$2:$U$1001,0),MATCH(COLUMNS($AB$1006:AK1006),$AB$1006:$AQ$1006,0)), HYPERLINK("#",""), HYPERLINK(CONCATENATE("#Metadata!", ADDRESS(INDEX($W$2:$W$1001,MATCH(ROWS($U$2:U947),$U$2:$U$1001,0),0), INDEX($AB$1004:$AQ$1004,1,MATCH(COLUMNS($AB$1006:AK1006),$AB$1006:$AQ$1006,0)))),"Fix")))</f>
        <v>0</v>
      </c>
      <c r="L947" s="5">
        <f>IF(OR(INDEX($V$2:$V$1001,MATCH(ROWS($U$2:U947),$U$2:$U$1001,0),1)&gt;=100000,INDEX($AB$1005:$AQ$1005,1,MATCH(COLUMNS($AB$1006:AL1006),$AB$1006:$AQ$1006,0))&gt;=100000), " ",IF(INDEX($AB$2:$AQ$1001,MATCH(ROWS($U$2:U947),$U$2:$U$1001,0),MATCH(COLUMNS($AB$1006:AL1006),$AB$1006:$AQ$1006,0)), HYPERLINK("#",""), HYPERLINK(CONCATENATE("#Metadata!", ADDRESS(INDEX($W$2:$W$1001,MATCH(ROWS($U$2:U947),$U$2:$U$1001,0),0), INDEX($AB$1004:$AQ$1004,1,MATCH(COLUMNS($AB$1006:AL1006),$AB$1006:$AQ$1006,0)))),"Fix")))</f>
        <v>0</v>
      </c>
      <c r="M947" s="5">
        <f>IF(OR(INDEX($V$2:$V$1001,MATCH(ROWS($U$2:U947),$U$2:$U$1001,0),1)&gt;=100000,INDEX($AB$1005:$AQ$1005,1,MATCH(COLUMNS($AB$1006:AM1006),$AB$1006:$AQ$1006,0))&gt;=100000), " ",IF(INDEX($AB$2:$AQ$1001,MATCH(ROWS($U$2:U947),$U$2:$U$1001,0),MATCH(COLUMNS($AB$1006:AM1006),$AB$1006:$AQ$1006,0)), HYPERLINK("#",""), HYPERLINK(CONCATENATE("#Metadata!", ADDRESS(INDEX($W$2:$W$1001,MATCH(ROWS($U$2:U947),$U$2:$U$1001,0),0), INDEX($AB$1004:$AQ$1004,1,MATCH(COLUMNS($AB$1006:AM1006),$AB$1006:$AQ$1006,0)))),"Fix")))</f>
        <v>0</v>
      </c>
      <c r="N947" s="5">
        <f>IF(OR(INDEX($V$2:$V$1001,MATCH(ROWS($U$2:U947),$U$2:$U$1001,0),1)&gt;=100000,INDEX($AB$1005:$AQ$1005,1,MATCH(COLUMNS($AB$1006:AN1006),$AB$1006:$AQ$1006,0))&gt;=100000), " ",IF(INDEX($AB$2:$AQ$1001,MATCH(ROWS($U$2:U947),$U$2:$U$1001,0),MATCH(COLUMNS($AB$1006:AN1006),$AB$1006:$AQ$1006,0)), HYPERLINK("#",""), HYPERLINK(CONCATENATE("#Metadata!", ADDRESS(INDEX($W$2:$W$1001,MATCH(ROWS($U$2:U947),$U$2:$U$1001,0),0), INDEX($AB$1004:$AQ$1004,1,MATCH(COLUMNS($AB$1006:AN1006),$AB$1006:$AQ$1006,0)))),"Fix")))</f>
        <v>0</v>
      </c>
      <c r="O947" s="5">
        <f>IF(OR(INDEX($V$2:$V$1001,MATCH(ROWS($U$2:U947),$U$2:$U$1001,0),1)&gt;=100000,INDEX($AB$1005:$AQ$1005,1,MATCH(COLUMNS($AB$1006:AO1006),$AB$1006:$AQ$1006,0))&gt;=100000), " ",IF(INDEX($AB$2:$AQ$1001,MATCH(ROWS($U$2:U947),$U$2:$U$1001,0),MATCH(COLUMNS($AB$1006:AO1006),$AB$1006:$AQ$1006,0)), HYPERLINK("#",""), HYPERLINK(CONCATENATE("#Metadata!", ADDRESS(INDEX($W$2:$W$1001,MATCH(ROWS($U$2:U947),$U$2:$U$1001,0),0), INDEX($AB$1004:$AQ$1004,1,MATCH(COLUMNS($AB$1006:AO1006),$AB$1006:$AQ$1006,0)))),"Fix")))</f>
        <v>0</v>
      </c>
      <c r="P947" s="5">
        <f>IF(OR(INDEX($V$2:$V$1001,MATCH(ROWS($U$2:U947),$U$2:$U$1001,0),1)&gt;=100000,INDEX($AB$1005:$AQ$1005,1,MATCH(COLUMNS($AB$1006:AP1006),$AB$1006:$AQ$1006,0))&gt;=100000), " ",IF(INDEX($AB$2:$AQ$1001,MATCH(ROWS($U$2:U947),$U$2:$U$1001,0),MATCH(COLUMNS($AB$1006:AP1006),$AB$1006:$AQ$1006,0)), HYPERLINK("#",""), HYPERLINK(CONCATENATE("#Metadata!", ADDRESS(INDEX($W$2:$W$1001,MATCH(ROWS($U$2:U947),$U$2:$U$1001,0),0), INDEX($AB$1004:$AQ$1004,1,MATCH(COLUMNS($AB$1006:AP1006),$AB$1006:$AQ$1006,0)))),"Fix")))</f>
        <v>0</v>
      </c>
      <c r="Q947" s="5">
        <f>IF(OR(INDEX($V$2:$V$1001,MATCH(ROWS($U$2:U947),$U$2:$U$1001,0),1)&gt;=100000,INDEX($AB$1005:$AQ$1005,1,MATCH(COLUMNS($AB$1006:AQ1006),$AB$1006:$AQ$1006,0))&gt;=100000), " ",IF(INDEX($AB$2:$AQ$1001,MATCH(ROWS($U$2:U947),$U$2:$U$1001,0),MATCH(COLUMNS($AB$1006:AQ1006),$AB$1006:$AQ$1006,0)), HYPERLINK("#",""), HYPERLINK(CONCATENATE("#Metadata!", ADDRESS(INDEX($W$2:$W$1001,MATCH(ROWS($U$2:U947),$U$2:$U$1001,0),0), INDEX($AB$1004:$AQ$1004,1,MATCH(COLUMNS($AB$1006:AQ1006),$AB$1006:$AQ$1006,0)))),"Fix")))</f>
        <v>0</v>
      </c>
      <c r="U947">
        <v>0</v>
      </c>
      <c r="V947">
        <v>0</v>
      </c>
      <c r="W947">
        <v>0</v>
      </c>
      <c r="X947">
        <f>IF(Y947,TRUE,AND(AB947:AQ947))</f>
        <v>0</v>
      </c>
      <c r="Y947">
        <f>COUNTBLANK(Metadata!B947:Q947)=COLUMNS(Metadata!B947:Q947)</f>
        <v>0</v>
      </c>
      <c r="Z947">
        <v>0</v>
      </c>
      <c r="AB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AC947">
        <f>AND(IF(Metadata!C947="",FALSE,TRUE),exact(Metadata!C947,"urban biome"))</f>
        <v>0</v>
      </c>
      <c r="AD947">
        <f>AND(IF(Metadata!D947="",FALSE,TRUE),exact(Metadata!D947,"human-associated habitat"))</f>
        <v>0</v>
      </c>
      <c r="AE947">
        <f>AND(IF(Metadata!E947="",FALSE,TRUE),OR(exact(Metadata!E947,"human-associated"),exact(Metadata!E947,"human-skin"),exact(Metadata!E947,"human-oral"),exact(Metadata!E947,"human-gut"),exact(Metadata!E947,"human-vaginal")))</f>
        <v>0</v>
      </c>
      <c r="AF947">
        <f>AND(IF(Metadata!F947="",FALSE,ISNUMBER(VALUE(Metadata!F947))),Metadata!F947&gt;0)</f>
        <v>0</v>
      </c>
      <c r="AG947">
        <f>AND(IF(Metadata!G947="",FALSE,TRUE),exact(Metadata!G947,"years"))</f>
        <v>0</v>
      </c>
      <c r="AH947">
        <f>OR(AND(IF(Metadata!H947="",FALSE,TRUE),OR(exact(Metadata!H947,"not applicable"),exact(Metadata!H947,"not collected"),exact(Metadata!H947,"not provided"),exact(Metadata!H947,"restricted access"))),AND(IF(Metadata!H947="",FALSE,ISNUMBER(VALUE(Metadata!H947))),Metadata!H947&gt;0))</f>
        <v>0</v>
      </c>
      <c r="AI947">
        <f>AND(IF(Metadata!I947="",FALSE,TRUE),exact(Metadata!I947,"human"))</f>
        <v>0</v>
      </c>
      <c r="AJ947">
        <f>AND(IF(Metadata!J947="",FALSE,ISNUMBER(VALUE(Metadata!J947))),Metadata!J947&gt;0)</f>
        <v>0</v>
      </c>
      <c r="AK947">
        <f>AND(IF(Metadata!K947="",FALSE,TRUE),exact(Metadata!K947,"cm"))</f>
        <v>0</v>
      </c>
      <c r="AL947">
        <f>AND(IF(Metadata!L947="",FALSE,TRUE),exact(Metadata!L947,"Homo sapiens"))</f>
        <v>0</v>
      </c>
      <c r="AM947">
        <f>AND(IF(Metadata!M947="",FALSE,TRUE),exact(Metadata!M947,"9606"))</f>
        <v>0</v>
      </c>
      <c r="AN947">
        <f>AND(IF(Metadata!N947="",FALSE,ISNUMBER(VALUE(Metadata!N947))),Metadata!N947&gt;0)</f>
        <v>0</v>
      </c>
      <c r="AO947">
        <f>AND(IF(Metadata!O947="",FALSE,TRUE),exact(Metadata!O947,"kg"))</f>
        <v>0</v>
      </c>
      <c r="AP947">
        <f>OR(AND(IF(Metadata!P947="",FALSE,TRUE),exact(Metadata!P947,"not provided")),IF(Metadata!P947="",FALSE,TRUE))</f>
        <v>0</v>
      </c>
      <c r="AQ947">
        <f>OR(AND(IF(Metadata!Q947="",FALSE,TRUE),exact(Metadata!Q947,"not provided")),IF(Metadata!Q947="",FALSE,TRUE))</f>
        <v>0</v>
      </c>
    </row>
    <row r="948" spans="1:43">
      <c r="A948" s="4">
        <f>IF(B948=" "," ",HYPERLINK(CONCATENATE("#metadata!",ADDRESS(INDEX($W$2:$W$1001,MATCH(ROWS($U$2:U948),$U$2:$U$1001,0),0),2)),INDEX($Z$2:$Z$1001,MATCH(ROWS($U$2:U948),$U$2:$U$1001,0),0)))</f>
        <v>0</v>
      </c>
      <c r="B948" s="5">
        <f>IF(OR(INDEX($V$2:$V$1001,MATCH(ROWS($U$2:U948),$U$2:$U$1001,0),1)&gt;=100000,INDEX($AB$1005:$AQ$1005,1,MATCH(COLUMNS($AB$1006:AB1006),$AB$1006:$AQ$1006,0))&gt;=100000), " ",IF(INDEX($AB$2:$AQ$1001,MATCH(ROWS($U$2:U948),$U$2:$U$1001,0),MATCH(COLUMNS($AB$1006:AB1006),$AB$1006:$AQ$1006,0)), HYPERLINK("#",""), HYPERLINK(CONCATENATE("#Metadata!", ADDRESS(INDEX($W$2:$W$1001,MATCH(ROWS($U$2:U948),$U$2:$U$1001,0),0), INDEX($AB$1004:$AQ$1004,1,MATCH(COLUMNS($AB$1006:AB1006),$AB$1006:$AQ$1006,0)))),"Fix")))</f>
        <v>0</v>
      </c>
      <c r="C948" s="5">
        <f>IF(OR(INDEX($V$2:$V$1001,MATCH(ROWS($U$2:U948),$U$2:$U$1001,0),1)&gt;=100000,INDEX($AB$1005:$AQ$1005,1,MATCH(COLUMNS($AB$1006:AC1006),$AB$1006:$AQ$1006,0))&gt;=100000), " ",IF(INDEX($AB$2:$AQ$1001,MATCH(ROWS($U$2:U948),$U$2:$U$1001,0),MATCH(COLUMNS($AB$1006:AC1006),$AB$1006:$AQ$1006,0)), HYPERLINK("#",""), HYPERLINK(CONCATENATE("#Metadata!", ADDRESS(INDEX($W$2:$W$1001,MATCH(ROWS($U$2:U948),$U$2:$U$1001,0),0), INDEX($AB$1004:$AQ$1004,1,MATCH(COLUMNS($AB$1006:AC1006),$AB$1006:$AQ$1006,0)))),"Fix")))</f>
        <v>0</v>
      </c>
      <c r="D948" s="5">
        <f>IF(OR(INDEX($V$2:$V$1001,MATCH(ROWS($U$2:U948),$U$2:$U$1001,0),1)&gt;=100000,INDEX($AB$1005:$AQ$1005,1,MATCH(COLUMNS($AB$1006:AD1006),$AB$1006:$AQ$1006,0))&gt;=100000), " ",IF(INDEX($AB$2:$AQ$1001,MATCH(ROWS($U$2:U948),$U$2:$U$1001,0),MATCH(COLUMNS($AB$1006:AD1006),$AB$1006:$AQ$1006,0)), HYPERLINK("#",""), HYPERLINK(CONCATENATE("#Metadata!", ADDRESS(INDEX($W$2:$W$1001,MATCH(ROWS($U$2:U948),$U$2:$U$1001,0),0), INDEX($AB$1004:$AQ$1004,1,MATCH(COLUMNS($AB$1006:AD1006),$AB$1006:$AQ$1006,0)))),"Fix")))</f>
        <v>0</v>
      </c>
      <c r="E948" s="5">
        <f>IF(OR(INDEX($V$2:$V$1001,MATCH(ROWS($U$2:U948),$U$2:$U$1001,0),1)&gt;=100000,INDEX($AB$1005:$AQ$1005,1,MATCH(COLUMNS($AB$1006:AE1006),$AB$1006:$AQ$1006,0))&gt;=100000), " ",IF(INDEX($AB$2:$AQ$1001,MATCH(ROWS($U$2:U948),$U$2:$U$1001,0),MATCH(COLUMNS($AB$1006:AE1006),$AB$1006:$AQ$1006,0)), HYPERLINK("#",""), HYPERLINK(CONCATENATE("#Metadata!", ADDRESS(INDEX($W$2:$W$1001,MATCH(ROWS($U$2:U948),$U$2:$U$1001,0),0), INDEX($AB$1004:$AQ$1004,1,MATCH(COLUMNS($AB$1006:AE1006),$AB$1006:$AQ$1006,0)))),"Fix")))</f>
        <v>0</v>
      </c>
      <c r="F948" s="5">
        <f>IF(OR(INDEX($V$2:$V$1001,MATCH(ROWS($U$2:U948),$U$2:$U$1001,0),1)&gt;=100000,INDEX($AB$1005:$AQ$1005,1,MATCH(COLUMNS($AB$1006:AF1006),$AB$1006:$AQ$1006,0))&gt;=100000), " ",IF(INDEX($AB$2:$AQ$1001,MATCH(ROWS($U$2:U948),$U$2:$U$1001,0),MATCH(COLUMNS($AB$1006:AF1006),$AB$1006:$AQ$1006,0)), HYPERLINK("#",""), HYPERLINK(CONCATENATE("#Metadata!", ADDRESS(INDEX($W$2:$W$1001,MATCH(ROWS($U$2:U948),$U$2:$U$1001,0),0), INDEX($AB$1004:$AQ$1004,1,MATCH(COLUMNS($AB$1006:AF1006),$AB$1006:$AQ$1006,0)))),"Fix")))</f>
        <v>0</v>
      </c>
      <c r="G948" s="5">
        <f>IF(OR(INDEX($V$2:$V$1001,MATCH(ROWS($U$2:U948),$U$2:$U$1001,0),1)&gt;=100000,INDEX($AB$1005:$AQ$1005,1,MATCH(COLUMNS($AB$1006:AG1006),$AB$1006:$AQ$1006,0))&gt;=100000), " ",IF(INDEX($AB$2:$AQ$1001,MATCH(ROWS($U$2:U948),$U$2:$U$1001,0),MATCH(COLUMNS($AB$1006:AG1006),$AB$1006:$AQ$1006,0)), HYPERLINK("#",""), HYPERLINK(CONCATENATE("#Metadata!", ADDRESS(INDEX($W$2:$W$1001,MATCH(ROWS($U$2:U948),$U$2:$U$1001,0),0), INDEX($AB$1004:$AQ$1004,1,MATCH(COLUMNS($AB$1006:AG1006),$AB$1006:$AQ$1006,0)))),"Fix")))</f>
        <v>0</v>
      </c>
      <c r="H948" s="5">
        <f>IF(OR(INDEX($V$2:$V$1001,MATCH(ROWS($U$2:U948),$U$2:$U$1001,0),1)&gt;=100000,INDEX($AB$1005:$AQ$1005,1,MATCH(COLUMNS($AB$1006:AH1006),$AB$1006:$AQ$1006,0))&gt;=100000), " ",IF(INDEX($AB$2:$AQ$1001,MATCH(ROWS($U$2:U948),$U$2:$U$1001,0),MATCH(COLUMNS($AB$1006:AH1006),$AB$1006:$AQ$1006,0)), HYPERLINK("#",""), HYPERLINK(CONCATENATE("#Metadata!", ADDRESS(INDEX($W$2:$W$1001,MATCH(ROWS($U$2:U948),$U$2:$U$1001,0),0), INDEX($AB$1004:$AQ$1004,1,MATCH(COLUMNS($AB$1006:AH1006),$AB$1006:$AQ$1006,0)))),"Fix")))</f>
        <v>0</v>
      </c>
      <c r="I948" s="5">
        <f>IF(OR(INDEX($V$2:$V$1001,MATCH(ROWS($U$2:U948),$U$2:$U$1001,0),1)&gt;=100000,INDEX($AB$1005:$AQ$1005,1,MATCH(COLUMNS($AB$1006:AI1006),$AB$1006:$AQ$1006,0))&gt;=100000), " ",IF(INDEX($AB$2:$AQ$1001,MATCH(ROWS($U$2:U948),$U$2:$U$1001,0),MATCH(COLUMNS($AB$1006:AI1006),$AB$1006:$AQ$1006,0)), HYPERLINK("#",""), HYPERLINK(CONCATENATE("#Metadata!", ADDRESS(INDEX($W$2:$W$1001,MATCH(ROWS($U$2:U948),$U$2:$U$1001,0),0), INDEX($AB$1004:$AQ$1004,1,MATCH(COLUMNS($AB$1006:AI1006),$AB$1006:$AQ$1006,0)))),"Fix")))</f>
        <v>0</v>
      </c>
      <c r="J948" s="5">
        <f>IF(OR(INDEX($V$2:$V$1001,MATCH(ROWS($U$2:U948),$U$2:$U$1001,0),1)&gt;=100000,INDEX($AB$1005:$AQ$1005,1,MATCH(COLUMNS($AB$1006:AJ1006),$AB$1006:$AQ$1006,0))&gt;=100000), " ",IF(INDEX($AB$2:$AQ$1001,MATCH(ROWS($U$2:U948),$U$2:$U$1001,0),MATCH(COLUMNS($AB$1006:AJ1006),$AB$1006:$AQ$1006,0)), HYPERLINK("#",""), HYPERLINK(CONCATENATE("#Metadata!", ADDRESS(INDEX($W$2:$W$1001,MATCH(ROWS($U$2:U948),$U$2:$U$1001,0),0), INDEX($AB$1004:$AQ$1004,1,MATCH(COLUMNS($AB$1006:AJ1006),$AB$1006:$AQ$1006,0)))),"Fix")))</f>
        <v>0</v>
      </c>
      <c r="K948" s="5">
        <f>IF(OR(INDEX($V$2:$V$1001,MATCH(ROWS($U$2:U948),$U$2:$U$1001,0),1)&gt;=100000,INDEX($AB$1005:$AQ$1005,1,MATCH(COLUMNS($AB$1006:AK1006),$AB$1006:$AQ$1006,0))&gt;=100000), " ",IF(INDEX($AB$2:$AQ$1001,MATCH(ROWS($U$2:U948),$U$2:$U$1001,0),MATCH(COLUMNS($AB$1006:AK1006),$AB$1006:$AQ$1006,0)), HYPERLINK("#",""), HYPERLINK(CONCATENATE("#Metadata!", ADDRESS(INDEX($W$2:$W$1001,MATCH(ROWS($U$2:U948),$U$2:$U$1001,0),0), INDEX($AB$1004:$AQ$1004,1,MATCH(COLUMNS($AB$1006:AK1006),$AB$1006:$AQ$1006,0)))),"Fix")))</f>
        <v>0</v>
      </c>
      <c r="L948" s="5">
        <f>IF(OR(INDEX($V$2:$V$1001,MATCH(ROWS($U$2:U948),$U$2:$U$1001,0),1)&gt;=100000,INDEX($AB$1005:$AQ$1005,1,MATCH(COLUMNS($AB$1006:AL1006),$AB$1006:$AQ$1006,0))&gt;=100000), " ",IF(INDEX($AB$2:$AQ$1001,MATCH(ROWS($U$2:U948),$U$2:$U$1001,0),MATCH(COLUMNS($AB$1006:AL1006),$AB$1006:$AQ$1006,0)), HYPERLINK("#",""), HYPERLINK(CONCATENATE("#Metadata!", ADDRESS(INDEX($W$2:$W$1001,MATCH(ROWS($U$2:U948),$U$2:$U$1001,0),0), INDEX($AB$1004:$AQ$1004,1,MATCH(COLUMNS($AB$1006:AL1006),$AB$1006:$AQ$1006,0)))),"Fix")))</f>
        <v>0</v>
      </c>
      <c r="M948" s="5">
        <f>IF(OR(INDEX($V$2:$V$1001,MATCH(ROWS($U$2:U948),$U$2:$U$1001,0),1)&gt;=100000,INDEX($AB$1005:$AQ$1005,1,MATCH(COLUMNS($AB$1006:AM1006),$AB$1006:$AQ$1006,0))&gt;=100000), " ",IF(INDEX($AB$2:$AQ$1001,MATCH(ROWS($U$2:U948),$U$2:$U$1001,0),MATCH(COLUMNS($AB$1006:AM1006),$AB$1006:$AQ$1006,0)), HYPERLINK("#",""), HYPERLINK(CONCATENATE("#Metadata!", ADDRESS(INDEX($W$2:$W$1001,MATCH(ROWS($U$2:U948),$U$2:$U$1001,0),0), INDEX($AB$1004:$AQ$1004,1,MATCH(COLUMNS($AB$1006:AM1006),$AB$1006:$AQ$1006,0)))),"Fix")))</f>
        <v>0</v>
      </c>
      <c r="N948" s="5">
        <f>IF(OR(INDEX($V$2:$V$1001,MATCH(ROWS($U$2:U948),$U$2:$U$1001,0),1)&gt;=100000,INDEX($AB$1005:$AQ$1005,1,MATCH(COLUMNS($AB$1006:AN1006),$AB$1006:$AQ$1006,0))&gt;=100000), " ",IF(INDEX($AB$2:$AQ$1001,MATCH(ROWS($U$2:U948),$U$2:$U$1001,0),MATCH(COLUMNS($AB$1006:AN1006),$AB$1006:$AQ$1006,0)), HYPERLINK("#",""), HYPERLINK(CONCATENATE("#Metadata!", ADDRESS(INDEX($W$2:$W$1001,MATCH(ROWS($U$2:U948),$U$2:$U$1001,0),0), INDEX($AB$1004:$AQ$1004,1,MATCH(COLUMNS($AB$1006:AN1006),$AB$1006:$AQ$1006,0)))),"Fix")))</f>
        <v>0</v>
      </c>
      <c r="O948" s="5">
        <f>IF(OR(INDEX($V$2:$V$1001,MATCH(ROWS($U$2:U948),$U$2:$U$1001,0),1)&gt;=100000,INDEX($AB$1005:$AQ$1005,1,MATCH(COLUMNS($AB$1006:AO1006),$AB$1006:$AQ$1006,0))&gt;=100000), " ",IF(INDEX($AB$2:$AQ$1001,MATCH(ROWS($U$2:U948),$U$2:$U$1001,0),MATCH(COLUMNS($AB$1006:AO1006),$AB$1006:$AQ$1006,0)), HYPERLINK("#",""), HYPERLINK(CONCATENATE("#Metadata!", ADDRESS(INDEX($W$2:$W$1001,MATCH(ROWS($U$2:U948),$U$2:$U$1001,0),0), INDEX($AB$1004:$AQ$1004,1,MATCH(COLUMNS($AB$1006:AO1006),$AB$1006:$AQ$1006,0)))),"Fix")))</f>
        <v>0</v>
      </c>
      <c r="P948" s="5">
        <f>IF(OR(INDEX($V$2:$V$1001,MATCH(ROWS($U$2:U948),$U$2:$U$1001,0),1)&gt;=100000,INDEX($AB$1005:$AQ$1005,1,MATCH(COLUMNS($AB$1006:AP1006),$AB$1006:$AQ$1006,0))&gt;=100000), " ",IF(INDEX($AB$2:$AQ$1001,MATCH(ROWS($U$2:U948),$U$2:$U$1001,0),MATCH(COLUMNS($AB$1006:AP1006),$AB$1006:$AQ$1006,0)), HYPERLINK("#",""), HYPERLINK(CONCATENATE("#Metadata!", ADDRESS(INDEX($W$2:$W$1001,MATCH(ROWS($U$2:U948),$U$2:$U$1001,0),0), INDEX($AB$1004:$AQ$1004,1,MATCH(COLUMNS($AB$1006:AP1006),$AB$1006:$AQ$1006,0)))),"Fix")))</f>
        <v>0</v>
      </c>
      <c r="Q948" s="5">
        <f>IF(OR(INDEX($V$2:$V$1001,MATCH(ROWS($U$2:U948),$U$2:$U$1001,0),1)&gt;=100000,INDEX($AB$1005:$AQ$1005,1,MATCH(COLUMNS($AB$1006:AQ1006),$AB$1006:$AQ$1006,0))&gt;=100000), " ",IF(INDEX($AB$2:$AQ$1001,MATCH(ROWS($U$2:U948),$U$2:$U$1001,0),MATCH(COLUMNS($AB$1006:AQ1006),$AB$1006:$AQ$1006,0)), HYPERLINK("#",""), HYPERLINK(CONCATENATE("#Metadata!", ADDRESS(INDEX($W$2:$W$1001,MATCH(ROWS($U$2:U948),$U$2:$U$1001,0),0), INDEX($AB$1004:$AQ$1004,1,MATCH(COLUMNS($AB$1006:AQ1006),$AB$1006:$AQ$1006,0)))),"Fix")))</f>
        <v>0</v>
      </c>
      <c r="U948">
        <v>0</v>
      </c>
      <c r="V948">
        <v>0</v>
      </c>
      <c r="W948">
        <v>0</v>
      </c>
      <c r="X948">
        <f>IF(Y948,TRUE,AND(AB948:AQ948))</f>
        <v>0</v>
      </c>
      <c r="Y948">
        <f>COUNTBLANK(Metadata!B948:Q948)=COLUMNS(Metadata!B948:Q948)</f>
        <v>0</v>
      </c>
      <c r="Z948">
        <v>0</v>
      </c>
      <c r="AB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AC948">
        <f>AND(IF(Metadata!C948="",FALSE,TRUE),exact(Metadata!C948,"urban biome"))</f>
        <v>0</v>
      </c>
      <c r="AD948">
        <f>AND(IF(Metadata!D948="",FALSE,TRUE),exact(Metadata!D948,"human-associated habitat"))</f>
        <v>0</v>
      </c>
      <c r="AE948">
        <f>AND(IF(Metadata!E948="",FALSE,TRUE),OR(exact(Metadata!E948,"human-associated"),exact(Metadata!E948,"human-skin"),exact(Metadata!E948,"human-oral"),exact(Metadata!E948,"human-gut"),exact(Metadata!E948,"human-vaginal")))</f>
        <v>0</v>
      </c>
      <c r="AF948">
        <f>AND(IF(Metadata!F948="",FALSE,ISNUMBER(VALUE(Metadata!F948))),Metadata!F948&gt;0)</f>
        <v>0</v>
      </c>
      <c r="AG948">
        <f>AND(IF(Metadata!G948="",FALSE,TRUE),exact(Metadata!G948,"years"))</f>
        <v>0</v>
      </c>
      <c r="AH948">
        <f>OR(AND(IF(Metadata!H948="",FALSE,TRUE),OR(exact(Metadata!H948,"not applicable"),exact(Metadata!H948,"not collected"),exact(Metadata!H948,"not provided"),exact(Metadata!H948,"restricted access"))),AND(IF(Metadata!H948="",FALSE,ISNUMBER(VALUE(Metadata!H948))),Metadata!H948&gt;0))</f>
        <v>0</v>
      </c>
      <c r="AI948">
        <f>AND(IF(Metadata!I948="",FALSE,TRUE),exact(Metadata!I948,"human"))</f>
        <v>0</v>
      </c>
      <c r="AJ948">
        <f>AND(IF(Metadata!J948="",FALSE,ISNUMBER(VALUE(Metadata!J948))),Metadata!J948&gt;0)</f>
        <v>0</v>
      </c>
      <c r="AK948">
        <f>AND(IF(Metadata!K948="",FALSE,TRUE),exact(Metadata!K948,"cm"))</f>
        <v>0</v>
      </c>
      <c r="AL948">
        <f>AND(IF(Metadata!L948="",FALSE,TRUE),exact(Metadata!L948,"Homo sapiens"))</f>
        <v>0</v>
      </c>
      <c r="AM948">
        <f>AND(IF(Metadata!M948="",FALSE,TRUE),exact(Metadata!M948,"9606"))</f>
        <v>0</v>
      </c>
      <c r="AN948">
        <f>AND(IF(Metadata!N948="",FALSE,ISNUMBER(VALUE(Metadata!N948))),Metadata!N948&gt;0)</f>
        <v>0</v>
      </c>
      <c r="AO948">
        <f>AND(IF(Metadata!O948="",FALSE,TRUE),exact(Metadata!O948,"kg"))</f>
        <v>0</v>
      </c>
      <c r="AP948">
        <f>OR(AND(IF(Metadata!P948="",FALSE,TRUE),exact(Metadata!P948,"not provided")),IF(Metadata!P948="",FALSE,TRUE))</f>
        <v>0</v>
      </c>
      <c r="AQ948">
        <f>OR(AND(IF(Metadata!Q948="",FALSE,TRUE),exact(Metadata!Q948,"not provided")),IF(Metadata!Q948="",FALSE,TRUE))</f>
        <v>0</v>
      </c>
    </row>
    <row r="949" spans="1:43">
      <c r="A949" s="4">
        <f>IF(B949=" "," ",HYPERLINK(CONCATENATE("#metadata!",ADDRESS(INDEX($W$2:$W$1001,MATCH(ROWS($U$2:U949),$U$2:$U$1001,0),0),2)),INDEX($Z$2:$Z$1001,MATCH(ROWS($U$2:U949),$U$2:$U$1001,0),0)))</f>
        <v>0</v>
      </c>
      <c r="B949" s="5">
        <f>IF(OR(INDEX($V$2:$V$1001,MATCH(ROWS($U$2:U949),$U$2:$U$1001,0),1)&gt;=100000,INDEX($AB$1005:$AQ$1005,1,MATCH(COLUMNS($AB$1006:AB1006),$AB$1006:$AQ$1006,0))&gt;=100000), " ",IF(INDEX($AB$2:$AQ$1001,MATCH(ROWS($U$2:U949),$U$2:$U$1001,0),MATCH(COLUMNS($AB$1006:AB1006),$AB$1006:$AQ$1006,0)), HYPERLINK("#",""), HYPERLINK(CONCATENATE("#Metadata!", ADDRESS(INDEX($W$2:$W$1001,MATCH(ROWS($U$2:U949),$U$2:$U$1001,0),0), INDEX($AB$1004:$AQ$1004,1,MATCH(COLUMNS($AB$1006:AB1006),$AB$1006:$AQ$1006,0)))),"Fix")))</f>
        <v>0</v>
      </c>
      <c r="C949" s="5">
        <f>IF(OR(INDEX($V$2:$V$1001,MATCH(ROWS($U$2:U949),$U$2:$U$1001,0),1)&gt;=100000,INDEX($AB$1005:$AQ$1005,1,MATCH(COLUMNS($AB$1006:AC1006),$AB$1006:$AQ$1006,0))&gt;=100000), " ",IF(INDEX($AB$2:$AQ$1001,MATCH(ROWS($U$2:U949),$U$2:$U$1001,0),MATCH(COLUMNS($AB$1006:AC1006),$AB$1006:$AQ$1006,0)), HYPERLINK("#",""), HYPERLINK(CONCATENATE("#Metadata!", ADDRESS(INDEX($W$2:$W$1001,MATCH(ROWS($U$2:U949),$U$2:$U$1001,0),0), INDEX($AB$1004:$AQ$1004,1,MATCH(COLUMNS($AB$1006:AC1006),$AB$1006:$AQ$1006,0)))),"Fix")))</f>
        <v>0</v>
      </c>
      <c r="D949" s="5">
        <f>IF(OR(INDEX($V$2:$V$1001,MATCH(ROWS($U$2:U949),$U$2:$U$1001,0),1)&gt;=100000,INDEX($AB$1005:$AQ$1005,1,MATCH(COLUMNS($AB$1006:AD1006),$AB$1006:$AQ$1006,0))&gt;=100000), " ",IF(INDEX($AB$2:$AQ$1001,MATCH(ROWS($U$2:U949),$U$2:$U$1001,0),MATCH(COLUMNS($AB$1006:AD1006),$AB$1006:$AQ$1006,0)), HYPERLINK("#",""), HYPERLINK(CONCATENATE("#Metadata!", ADDRESS(INDEX($W$2:$W$1001,MATCH(ROWS($U$2:U949),$U$2:$U$1001,0),0), INDEX($AB$1004:$AQ$1004,1,MATCH(COLUMNS($AB$1006:AD1006),$AB$1006:$AQ$1006,0)))),"Fix")))</f>
        <v>0</v>
      </c>
      <c r="E949" s="5">
        <f>IF(OR(INDEX($V$2:$V$1001,MATCH(ROWS($U$2:U949),$U$2:$U$1001,0),1)&gt;=100000,INDEX($AB$1005:$AQ$1005,1,MATCH(COLUMNS($AB$1006:AE1006),$AB$1006:$AQ$1006,0))&gt;=100000), " ",IF(INDEX($AB$2:$AQ$1001,MATCH(ROWS($U$2:U949),$U$2:$U$1001,0),MATCH(COLUMNS($AB$1006:AE1006),$AB$1006:$AQ$1006,0)), HYPERLINK("#",""), HYPERLINK(CONCATENATE("#Metadata!", ADDRESS(INDEX($W$2:$W$1001,MATCH(ROWS($U$2:U949),$U$2:$U$1001,0),0), INDEX($AB$1004:$AQ$1004,1,MATCH(COLUMNS($AB$1006:AE1006),$AB$1006:$AQ$1006,0)))),"Fix")))</f>
        <v>0</v>
      </c>
      <c r="F949" s="5">
        <f>IF(OR(INDEX($V$2:$V$1001,MATCH(ROWS($U$2:U949),$U$2:$U$1001,0),1)&gt;=100000,INDEX($AB$1005:$AQ$1005,1,MATCH(COLUMNS($AB$1006:AF1006),$AB$1006:$AQ$1006,0))&gt;=100000), " ",IF(INDEX($AB$2:$AQ$1001,MATCH(ROWS($U$2:U949),$U$2:$U$1001,0),MATCH(COLUMNS($AB$1006:AF1006),$AB$1006:$AQ$1006,0)), HYPERLINK("#",""), HYPERLINK(CONCATENATE("#Metadata!", ADDRESS(INDEX($W$2:$W$1001,MATCH(ROWS($U$2:U949),$U$2:$U$1001,0),0), INDEX($AB$1004:$AQ$1004,1,MATCH(COLUMNS($AB$1006:AF1006),$AB$1006:$AQ$1006,0)))),"Fix")))</f>
        <v>0</v>
      </c>
      <c r="G949" s="5">
        <f>IF(OR(INDEX($V$2:$V$1001,MATCH(ROWS($U$2:U949),$U$2:$U$1001,0),1)&gt;=100000,INDEX($AB$1005:$AQ$1005,1,MATCH(COLUMNS($AB$1006:AG1006),$AB$1006:$AQ$1006,0))&gt;=100000), " ",IF(INDEX($AB$2:$AQ$1001,MATCH(ROWS($U$2:U949),$U$2:$U$1001,0),MATCH(COLUMNS($AB$1006:AG1006),$AB$1006:$AQ$1006,0)), HYPERLINK("#",""), HYPERLINK(CONCATENATE("#Metadata!", ADDRESS(INDEX($W$2:$W$1001,MATCH(ROWS($U$2:U949),$U$2:$U$1001,0),0), INDEX($AB$1004:$AQ$1004,1,MATCH(COLUMNS($AB$1006:AG1006),$AB$1006:$AQ$1006,0)))),"Fix")))</f>
        <v>0</v>
      </c>
      <c r="H949" s="5">
        <f>IF(OR(INDEX($V$2:$V$1001,MATCH(ROWS($U$2:U949),$U$2:$U$1001,0),1)&gt;=100000,INDEX($AB$1005:$AQ$1005,1,MATCH(COLUMNS($AB$1006:AH1006),$AB$1006:$AQ$1006,0))&gt;=100000), " ",IF(INDEX($AB$2:$AQ$1001,MATCH(ROWS($U$2:U949),$U$2:$U$1001,0),MATCH(COLUMNS($AB$1006:AH1006),$AB$1006:$AQ$1006,0)), HYPERLINK("#",""), HYPERLINK(CONCATENATE("#Metadata!", ADDRESS(INDEX($W$2:$W$1001,MATCH(ROWS($U$2:U949),$U$2:$U$1001,0),0), INDEX($AB$1004:$AQ$1004,1,MATCH(COLUMNS($AB$1006:AH1006),$AB$1006:$AQ$1006,0)))),"Fix")))</f>
        <v>0</v>
      </c>
      <c r="I949" s="5">
        <f>IF(OR(INDEX($V$2:$V$1001,MATCH(ROWS($U$2:U949),$U$2:$U$1001,0),1)&gt;=100000,INDEX($AB$1005:$AQ$1005,1,MATCH(COLUMNS($AB$1006:AI1006),$AB$1006:$AQ$1006,0))&gt;=100000), " ",IF(INDEX($AB$2:$AQ$1001,MATCH(ROWS($U$2:U949),$U$2:$U$1001,0),MATCH(COLUMNS($AB$1006:AI1006),$AB$1006:$AQ$1006,0)), HYPERLINK("#",""), HYPERLINK(CONCATENATE("#Metadata!", ADDRESS(INDEX($W$2:$W$1001,MATCH(ROWS($U$2:U949),$U$2:$U$1001,0),0), INDEX($AB$1004:$AQ$1004,1,MATCH(COLUMNS($AB$1006:AI1006),$AB$1006:$AQ$1006,0)))),"Fix")))</f>
        <v>0</v>
      </c>
      <c r="J949" s="5">
        <f>IF(OR(INDEX($V$2:$V$1001,MATCH(ROWS($U$2:U949),$U$2:$U$1001,0),1)&gt;=100000,INDEX($AB$1005:$AQ$1005,1,MATCH(COLUMNS($AB$1006:AJ1006),$AB$1006:$AQ$1006,0))&gt;=100000), " ",IF(INDEX($AB$2:$AQ$1001,MATCH(ROWS($U$2:U949),$U$2:$U$1001,0),MATCH(COLUMNS($AB$1006:AJ1006),$AB$1006:$AQ$1006,0)), HYPERLINK("#",""), HYPERLINK(CONCATENATE("#Metadata!", ADDRESS(INDEX($W$2:$W$1001,MATCH(ROWS($U$2:U949),$U$2:$U$1001,0),0), INDEX($AB$1004:$AQ$1004,1,MATCH(COLUMNS($AB$1006:AJ1006),$AB$1006:$AQ$1006,0)))),"Fix")))</f>
        <v>0</v>
      </c>
      <c r="K949" s="5">
        <f>IF(OR(INDEX($V$2:$V$1001,MATCH(ROWS($U$2:U949),$U$2:$U$1001,0),1)&gt;=100000,INDEX($AB$1005:$AQ$1005,1,MATCH(COLUMNS($AB$1006:AK1006),$AB$1006:$AQ$1006,0))&gt;=100000), " ",IF(INDEX($AB$2:$AQ$1001,MATCH(ROWS($U$2:U949),$U$2:$U$1001,0),MATCH(COLUMNS($AB$1006:AK1006),$AB$1006:$AQ$1006,0)), HYPERLINK("#",""), HYPERLINK(CONCATENATE("#Metadata!", ADDRESS(INDEX($W$2:$W$1001,MATCH(ROWS($U$2:U949),$U$2:$U$1001,0),0), INDEX($AB$1004:$AQ$1004,1,MATCH(COLUMNS($AB$1006:AK1006),$AB$1006:$AQ$1006,0)))),"Fix")))</f>
        <v>0</v>
      </c>
      <c r="L949" s="5">
        <f>IF(OR(INDEX($V$2:$V$1001,MATCH(ROWS($U$2:U949),$U$2:$U$1001,0),1)&gt;=100000,INDEX($AB$1005:$AQ$1005,1,MATCH(COLUMNS($AB$1006:AL1006),$AB$1006:$AQ$1006,0))&gt;=100000), " ",IF(INDEX($AB$2:$AQ$1001,MATCH(ROWS($U$2:U949),$U$2:$U$1001,0),MATCH(COLUMNS($AB$1006:AL1006),$AB$1006:$AQ$1006,0)), HYPERLINK("#",""), HYPERLINK(CONCATENATE("#Metadata!", ADDRESS(INDEX($W$2:$W$1001,MATCH(ROWS($U$2:U949),$U$2:$U$1001,0),0), INDEX($AB$1004:$AQ$1004,1,MATCH(COLUMNS($AB$1006:AL1006),$AB$1006:$AQ$1006,0)))),"Fix")))</f>
        <v>0</v>
      </c>
      <c r="M949" s="5">
        <f>IF(OR(INDEX($V$2:$V$1001,MATCH(ROWS($U$2:U949),$U$2:$U$1001,0),1)&gt;=100000,INDEX($AB$1005:$AQ$1005,1,MATCH(COLUMNS($AB$1006:AM1006),$AB$1006:$AQ$1006,0))&gt;=100000), " ",IF(INDEX($AB$2:$AQ$1001,MATCH(ROWS($U$2:U949),$U$2:$U$1001,0),MATCH(COLUMNS($AB$1006:AM1006),$AB$1006:$AQ$1006,0)), HYPERLINK("#",""), HYPERLINK(CONCATENATE("#Metadata!", ADDRESS(INDEX($W$2:$W$1001,MATCH(ROWS($U$2:U949),$U$2:$U$1001,0),0), INDEX($AB$1004:$AQ$1004,1,MATCH(COLUMNS($AB$1006:AM1006),$AB$1006:$AQ$1006,0)))),"Fix")))</f>
        <v>0</v>
      </c>
      <c r="N949" s="5">
        <f>IF(OR(INDEX($V$2:$V$1001,MATCH(ROWS($U$2:U949),$U$2:$U$1001,0),1)&gt;=100000,INDEX($AB$1005:$AQ$1005,1,MATCH(COLUMNS($AB$1006:AN1006),$AB$1006:$AQ$1006,0))&gt;=100000), " ",IF(INDEX($AB$2:$AQ$1001,MATCH(ROWS($U$2:U949),$U$2:$U$1001,0),MATCH(COLUMNS($AB$1006:AN1006),$AB$1006:$AQ$1006,0)), HYPERLINK("#",""), HYPERLINK(CONCATENATE("#Metadata!", ADDRESS(INDEX($W$2:$W$1001,MATCH(ROWS($U$2:U949),$U$2:$U$1001,0),0), INDEX($AB$1004:$AQ$1004,1,MATCH(COLUMNS($AB$1006:AN1006),$AB$1006:$AQ$1006,0)))),"Fix")))</f>
        <v>0</v>
      </c>
      <c r="O949" s="5">
        <f>IF(OR(INDEX($V$2:$V$1001,MATCH(ROWS($U$2:U949),$U$2:$U$1001,0),1)&gt;=100000,INDEX($AB$1005:$AQ$1005,1,MATCH(COLUMNS($AB$1006:AO1006),$AB$1006:$AQ$1006,0))&gt;=100000), " ",IF(INDEX($AB$2:$AQ$1001,MATCH(ROWS($U$2:U949),$U$2:$U$1001,0),MATCH(COLUMNS($AB$1006:AO1006),$AB$1006:$AQ$1006,0)), HYPERLINK("#",""), HYPERLINK(CONCATENATE("#Metadata!", ADDRESS(INDEX($W$2:$W$1001,MATCH(ROWS($U$2:U949),$U$2:$U$1001,0),0), INDEX($AB$1004:$AQ$1004,1,MATCH(COLUMNS($AB$1006:AO1006),$AB$1006:$AQ$1006,0)))),"Fix")))</f>
        <v>0</v>
      </c>
      <c r="P949" s="5">
        <f>IF(OR(INDEX($V$2:$V$1001,MATCH(ROWS($U$2:U949),$U$2:$U$1001,0),1)&gt;=100000,INDEX($AB$1005:$AQ$1005,1,MATCH(COLUMNS($AB$1006:AP1006),$AB$1006:$AQ$1006,0))&gt;=100000), " ",IF(INDEX($AB$2:$AQ$1001,MATCH(ROWS($U$2:U949),$U$2:$U$1001,0),MATCH(COLUMNS($AB$1006:AP1006),$AB$1006:$AQ$1006,0)), HYPERLINK("#",""), HYPERLINK(CONCATENATE("#Metadata!", ADDRESS(INDEX($W$2:$W$1001,MATCH(ROWS($U$2:U949),$U$2:$U$1001,0),0), INDEX($AB$1004:$AQ$1004,1,MATCH(COLUMNS($AB$1006:AP1006),$AB$1006:$AQ$1006,0)))),"Fix")))</f>
        <v>0</v>
      </c>
      <c r="Q949" s="5">
        <f>IF(OR(INDEX($V$2:$V$1001,MATCH(ROWS($U$2:U949),$U$2:$U$1001,0),1)&gt;=100000,INDEX($AB$1005:$AQ$1005,1,MATCH(COLUMNS($AB$1006:AQ1006),$AB$1006:$AQ$1006,0))&gt;=100000), " ",IF(INDEX($AB$2:$AQ$1001,MATCH(ROWS($U$2:U949),$U$2:$U$1001,0),MATCH(COLUMNS($AB$1006:AQ1006),$AB$1006:$AQ$1006,0)), HYPERLINK("#",""), HYPERLINK(CONCATENATE("#Metadata!", ADDRESS(INDEX($W$2:$W$1001,MATCH(ROWS($U$2:U949),$U$2:$U$1001,0),0), INDEX($AB$1004:$AQ$1004,1,MATCH(COLUMNS($AB$1006:AQ1006),$AB$1006:$AQ$1006,0)))),"Fix")))</f>
        <v>0</v>
      </c>
      <c r="U949">
        <v>0</v>
      </c>
      <c r="V949">
        <v>0</v>
      </c>
      <c r="W949">
        <v>0</v>
      </c>
      <c r="X949">
        <f>IF(Y949,TRUE,AND(AB949:AQ949))</f>
        <v>0</v>
      </c>
      <c r="Y949">
        <f>COUNTBLANK(Metadata!B949:Q949)=COLUMNS(Metadata!B949:Q949)</f>
        <v>0</v>
      </c>
      <c r="Z949">
        <v>0</v>
      </c>
      <c r="AB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AC949">
        <f>AND(IF(Metadata!C949="",FALSE,TRUE),exact(Metadata!C949,"urban biome"))</f>
        <v>0</v>
      </c>
      <c r="AD949">
        <f>AND(IF(Metadata!D949="",FALSE,TRUE),exact(Metadata!D949,"human-associated habitat"))</f>
        <v>0</v>
      </c>
      <c r="AE949">
        <f>AND(IF(Metadata!E949="",FALSE,TRUE),OR(exact(Metadata!E949,"human-associated"),exact(Metadata!E949,"human-skin"),exact(Metadata!E949,"human-oral"),exact(Metadata!E949,"human-gut"),exact(Metadata!E949,"human-vaginal")))</f>
        <v>0</v>
      </c>
      <c r="AF949">
        <f>AND(IF(Metadata!F949="",FALSE,ISNUMBER(VALUE(Metadata!F949))),Metadata!F949&gt;0)</f>
        <v>0</v>
      </c>
      <c r="AG949">
        <f>AND(IF(Metadata!G949="",FALSE,TRUE),exact(Metadata!G949,"years"))</f>
        <v>0</v>
      </c>
      <c r="AH949">
        <f>OR(AND(IF(Metadata!H949="",FALSE,TRUE),OR(exact(Metadata!H949,"not applicable"),exact(Metadata!H949,"not collected"),exact(Metadata!H949,"not provided"),exact(Metadata!H949,"restricted access"))),AND(IF(Metadata!H949="",FALSE,ISNUMBER(VALUE(Metadata!H949))),Metadata!H949&gt;0))</f>
        <v>0</v>
      </c>
      <c r="AI949">
        <f>AND(IF(Metadata!I949="",FALSE,TRUE),exact(Metadata!I949,"human"))</f>
        <v>0</v>
      </c>
      <c r="AJ949">
        <f>AND(IF(Metadata!J949="",FALSE,ISNUMBER(VALUE(Metadata!J949))),Metadata!J949&gt;0)</f>
        <v>0</v>
      </c>
      <c r="AK949">
        <f>AND(IF(Metadata!K949="",FALSE,TRUE),exact(Metadata!K949,"cm"))</f>
        <v>0</v>
      </c>
      <c r="AL949">
        <f>AND(IF(Metadata!L949="",FALSE,TRUE),exact(Metadata!L949,"Homo sapiens"))</f>
        <v>0</v>
      </c>
      <c r="AM949">
        <f>AND(IF(Metadata!M949="",FALSE,TRUE),exact(Metadata!M949,"9606"))</f>
        <v>0</v>
      </c>
      <c r="AN949">
        <f>AND(IF(Metadata!N949="",FALSE,ISNUMBER(VALUE(Metadata!N949))),Metadata!N949&gt;0)</f>
        <v>0</v>
      </c>
      <c r="AO949">
        <f>AND(IF(Metadata!O949="",FALSE,TRUE),exact(Metadata!O949,"kg"))</f>
        <v>0</v>
      </c>
      <c r="AP949">
        <f>OR(AND(IF(Metadata!P949="",FALSE,TRUE),exact(Metadata!P949,"not provided")),IF(Metadata!P949="",FALSE,TRUE))</f>
        <v>0</v>
      </c>
      <c r="AQ949">
        <f>OR(AND(IF(Metadata!Q949="",FALSE,TRUE),exact(Metadata!Q949,"not provided")),IF(Metadata!Q949="",FALSE,TRUE))</f>
        <v>0</v>
      </c>
    </row>
    <row r="950" spans="1:43">
      <c r="A950" s="4">
        <f>IF(B950=" "," ",HYPERLINK(CONCATENATE("#metadata!",ADDRESS(INDEX($W$2:$W$1001,MATCH(ROWS($U$2:U950),$U$2:$U$1001,0),0),2)),INDEX($Z$2:$Z$1001,MATCH(ROWS($U$2:U950),$U$2:$U$1001,0),0)))</f>
        <v>0</v>
      </c>
      <c r="B950" s="5">
        <f>IF(OR(INDEX($V$2:$V$1001,MATCH(ROWS($U$2:U950),$U$2:$U$1001,0),1)&gt;=100000,INDEX($AB$1005:$AQ$1005,1,MATCH(COLUMNS($AB$1006:AB1006),$AB$1006:$AQ$1006,0))&gt;=100000), " ",IF(INDEX($AB$2:$AQ$1001,MATCH(ROWS($U$2:U950),$U$2:$U$1001,0),MATCH(COLUMNS($AB$1006:AB1006),$AB$1006:$AQ$1006,0)), HYPERLINK("#",""), HYPERLINK(CONCATENATE("#Metadata!", ADDRESS(INDEX($W$2:$W$1001,MATCH(ROWS($U$2:U950),$U$2:$U$1001,0),0), INDEX($AB$1004:$AQ$1004,1,MATCH(COLUMNS($AB$1006:AB1006),$AB$1006:$AQ$1006,0)))),"Fix")))</f>
        <v>0</v>
      </c>
      <c r="C950" s="5">
        <f>IF(OR(INDEX($V$2:$V$1001,MATCH(ROWS($U$2:U950),$U$2:$U$1001,0),1)&gt;=100000,INDEX($AB$1005:$AQ$1005,1,MATCH(COLUMNS($AB$1006:AC1006),$AB$1006:$AQ$1006,0))&gt;=100000), " ",IF(INDEX($AB$2:$AQ$1001,MATCH(ROWS($U$2:U950),$U$2:$U$1001,0),MATCH(COLUMNS($AB$1006:AC1006),$AB$1006:$AQ$1006,0)), HYPERLINK("#",""), HYPERLINK(CONCATENATE("#Metadata!", ADDRESS(INDEX($W$2:$W$1001,MATCH(ROWS($U$2:U950),$U$2:$U$1001,0),0), INDEX($AB$1004:$AQ$1004,1,MATCH(COLUMNS($AB$1006:AC1006),$AB$1006:$AQ$1006,0)))),"Fix")))</f>
        <v>0</v>
      </c>
      <c r="D950" s="5">
        <f>IF(OR(INDEX($V$2:$V$1001,MATCH(ROWS($U$2:U950),$U$2:$U$1001,0),1)&gt;=100000,INDEX($AB$1005:$AQ$1005,1,MATCH(COLUMNS($AB$1006:AD1006),$AB$1006:$AQ$1006,0))&gt;=100000), " ",IF(INDEX($AB$2:$AQ$1001,MATCH(ROWS($U$2:U950),$U$2:$U$1001,0),MATCH(COLUMNS($AB$1006:AD1006),$AB$1006:$AQ$1006,0)), HYPERLINK("#",""), HYPERLINK(CONCATENATE("#Metadata!", ADDRESS(INDEX($W$2:$W$1001,MATCH(ROWS($U$2:U950),$U$2:$U$1001,0),0), INDEX($AB$1004:$AQ$1004,1,MATCH(COLUMNS($AB$1006:AD1006),$AB$1006:$AQ$1006,0)))),"Fix")))</f>
        <v>0</v>
      </c>
      <c r="E950" s="5">
        <f>IF(OR(INDEX($V$2:$V$1001,MATCH(ROWS($U$2:U950),$U$2:$U$1001,0),1)&gt;=100000,INDEX($AB$1005:$AQ$1005,1,MATCH(COLUMNS($AB$1006:AE1006),$AB$1006:$AQ$1006,0))&gt;=100000), " ",IF(INDEX($AB$2:$AQ$1001,MATCH(ROWS($U$2:U950),$U$2:$U$1001,0),MATCH(COLUMNS($AB$1006:AE1006),$AB$1006:$AQ$1006,0)), HYPERLINK("#",""), HYPERLINK(CONCATENATE("#Metadata!", ADDRESS(INDEX($W$2:$W$1001,MATCH(ROWS($U$2:U950),$U$2:$U$1001,0),0), INDEX($AB$1004:$AQ$1004,1,MATCH(COLUMNS($AB$1006:AE1006),$AB$1006:$AQ$1006,0)))),"Fix")))</f>
        <v>0</v>
      </c>
      <c r="F950" s="5">
        <f>IF(OR(INDEX($V$2:$V$1001,MATCH(ROWS($U$2:U950),$U$2:$U$1001,0),1)&gt;=100000,INDEX($AB$1005:$AQ$1005,1,MATCH(COLUMNS($AB$1006:AF1006),$AB$1006:$AQ$1006,0))&gt;=100000), " ",IF(INDEX($AB$2:$AQ$1001,MATCH(ROWS($U$2:U950),$U$2:$U$1001,0),MATCH(COLUMNS($AB$1006:AF1006),$AB$1006:$AQ$1006,0)), HYPERLINK("#",""), HYPERLINK(CONCATENATE("#Metadata!", ADDRESS(INDEX($W$2:$W$1001,MATCH(ROWS($U$2:U950),$U$2:$U$1001,0),0), INDEX($AB$1004:$AQ$1004,1,MATCH(COLUMNS($AB$1006:AF1006),$AB$1006:$AQ$1006,0)))),"Fix")))</f>
        <v>0</v>
      </c>
      <c r="G950" s="5">
        <f>IF(OR(INDEX($V$2:$V$1001,MATCH(ROWS($U$2:U950),$U$2:$U$1001,0),1)&gt;=100000,INDEX($AB$1005:$AQ$1005,1,MATCH(COLUMNS($AB$1006:AG1006),$AB$1006:$AQ$1006,0))&gt;=100000), " ",IF(INDEX($AB$2:$AQ$1001,MATCH(ROWS($U$2:U950),$U$2:$U$1001,0),MATCH(COLUMNS($AB$1006:AG1006),$AB$1006:$AQ$1006,0)), HYPERLINK("#",""), HYPERLINK(CONCATENATE("#Metadata!", ADDRESS(INDEX($W$2:$W$1001,MATCH(ROWS($U$2:U950),$U$2:$U$1001,0),0), INDEX($AB$1004:$AQ$1004,1,MATCH(COLUMNS($AB$1006:AG1006),$AB$1006:$AQ$1006,0)))),"Fix")))</f>
        <v>0</v>
      </c>
      <c r="H950" s="5">
        <f>IF(OR(INDEX($V$2:$V$1001,MATCH(ROWS($U$2:U950),$U$2:$U$1001,0),1)&gt;=100000,INDEX($AB$1005:$AQ$1005,1,MATCH(COLUMNS($AB$1006:AH1006),$AB$1006:$AQ$1006,0))&gt;=100000), " ",IF(INDEX($AB$2:$AQ$1001,MATCH(ROWS($U$2:U950),$U$2:$U$1001,0),MATCH(COLUMNS($AB$1006:AH1006),$AB$1006:$AQ$1006,0)), HYPERLINK("#",""), HYPERLINK(CONCATENATE("#Metadata!", ADDRESS(INDEX($W$2:$W$1001,MATCH(ROWS($U$2:U950),$U$2:$U$1001,0),0), INDEX($AB$1004:$AQ$1004,1,MATCH(COLUMNS($AB$1006:AH1006),$AB$1006:$AQ$1006,0)))),"Fix")))</f>
        <v>0</v>
      </c>
      <c r="I950" s="5">
        <f>IF(OR(INDEX($V$2:$V$1001,MATCH(ROWS($U$2:U950),$U$2:$U$1001,0),1)&gt;=100000,INDEX($AB$1005:$AQ$1005,1,MATCH(COLUMNS($AB$1006:AI1006),$AB$1006:$AQ$1006,0))&gt;=100000), " ",IF(INDEX($AB$2:$AQ$1001,MATCH(ROWS($U$2:U950),$U$2:$U$1001,0),MATCH(COLUMNS($AB$1006:AI1006),$AB$1006:$AQ$1006,0)), HYPERLINK("#",""), HYPERLINK(CONCATENATE("#Metadata!", ADDRESS(INDEX($W$2:$W$1001,MATCH(ROWS($U$2:U950),$U$2:$U$1001,0),0), INDEX($AB$1004:$AQ$1004,1,MATCH(COLUMNS($AB$1006:AI1006),$AB$1006:$AQ$1006,0)))),"Fix")))</f>
        <v>0</v>
      </c>
      <c r="J950" s="5">
        <f>IF(OR(INDEX($V$2:$V$1001,MATCH(ROWS($U$2:U950),$U$2:$U$1001,0),1)&gt;=100000,INDEX($AB$1005:$AQ$1005,1,MATCH(COLUMNS($AB$1006:AJ1006),$AB$1006:$AQ$1006,0))&gt;=100000), " ",IF(INDEX($AB$2:$AQ$1001,MATCH(ROWS($U$2:U950),$U$2:$U$1001,0),MATCH(COLUMNS($AB$1006:AJ1006),$AB$1006:$AQ$1006,0)), HYPERLINK("#",""), HYPERLINK(CONCATENATE("#Metadata!", ADDRESS(INDEX($W$2:$W$1001,MATCH(ROWS($U$2:U950),$U$2:$U$1001,0),0), INDEX($AB$1004:$AQ$1004,1,MATCH(COLUMNS($AB$1006:AJ1006),$AB$1006:$AQ$1006,0)))),"Fix")))</f>
        <v>0</v>
      </c>
      <c r="K950" s="5">
        <f>IF(OR(INDEX($V$2:$V$1001,MATCH(ROWS($U$2:U950),$U$2:$U$1001,0),1)&gt;=100000,INDEX($AB$1005:$AQ$1005,1,MATCH(COLUMNS($AB$1006:AK1006),$AB$1006:$AQ$1006,0))&gt;=100000), " ",IF(INDEX($AB$2:$AQ$1001,MATCH(ROWS($U$2:U950),$U$2:$U$1001,0),MATCH(COLUMNS($AB$1006:AK1006),$AB$1006:$AQ$1006,0)), HYPERLINK("#",""), HYPERLINK(CONCATENATE("#Metadata!", ADDRESS(INDEX($W$2:$W$1001,MATCH(ROWS($U$2:U950),$U$2:$U$1001,0),0), INDEX($AB$1004:$AQ$1004,1,MATCH(COLUMNS($AB$1006:AK1006),$AB$1006:$AQ$1006,0)))),"Fix")))</f>
        <v>0</v>
      </c>
      <c r="L950" s="5">
        <f>IF(OR(INDEX($V$2:$V$1001,MATCH(ROWS($U$2:U950),$U$2:$U$1001,0),1)&gt;=100000,INDEX($AB$1005:$AQ$1005,1,MATCH(COLUMNS($AB$1006:AL1006),$AB$1006:$AQ$1006,0))&gt;=100000), " ",IF(INDEX($AB$2:$AQ$1001,MATCH(ROWS($U$2:U950),$U$2:$U$1001,0),MATCH(COLUMNS($AB$1006:AL1006),$AB$1006:$AQ$1006,0)), HYPERLINK("#",""), HYPERLINK(CONCATENATE("#Metadata!", ADDRESS(INDEX($W$2:$W$1001,MATCH(ROWS($U$2:U950),$U$2:$U$1001,0),0), INDEX($AB$1004:$AQ$1004,1,MATCH(COLUMNS($AB$1006:AL1006),$AB$1006:$AQ$1006,0)))),"Fix")))</f>
        <v>0</v>
      </c>
      <c r="M950" s="5">
        <f>IF(OR(INDEX($V$2:$V$1001,MATCH(ROWS($U$2:U950),$U$2:$U$1001,0),1)&gt;=100000,INDEX($AB$1005:$AQ$1005,1,MATCH(COLUMNS($AB$1006:AM1006),$AB$1006:$AQ$1006,0))&gt;=100000), " ",IF(INDEX($AB$2:$AQ$1001,MATCH(ROWS($U$2:U950),$U$2:$U$1001,0),MATCH(COLUMNS($AB$1006:AM1006),$AB$1006:$AQ$1006,0)), HYPERLINK("#",""), HYPERLINK(CONCATENATE("#Metadata!", ADDRESS(INDEX($W$2:$W$1001,MATCH(ROWS($U$2:U950),$U$2:$U$1001,0),0), INDEX($AB$1004:$AQ$1004,1,MATCH(COLUMNS($AB$1006:AM1006),$AB$1006:$AQ$1006,0)))),"Fix")))</f>
        <v>0</v>
      </c>
      <c r="N950" s="5">
        <f>IF(OR(INDEX($V$2:$V$1001,MATCH(ROWS($U$2:U950),$U$2:$U$1001,0),1)&gt;=100000,INDEX($AB$1005:$AQ$1005,1,MATCH(COLUMNS($AB$1006:AN1006),$AB$1006:$AQ$1006,0))&gt;=100000), " ",IF(INDEX($AB$2:$AQ$1001,MATCH(ROWS($U$2:U950),$U$2:$U$1001,0),MATCH(COLUMNS($AB$1006:AN1006),$AB$1006:$AQ$1006,0)), HYPERLINK("#",""), HYPERLINK(CONCATENATE("#Metadata!", ADDRESS(INDEX($W$2:$W$1001,MATCH(ROWS($U$2:U950),$U$2:$U$1001,0),0), INDEX($AB$1004:$AQ$1004,1,MATCH(COLUMNS($AB$1006:AN1006),$AB$1006:$AQ$1006,0)))),"Fix")))</f>
        <v>0</v>
      </c>
      <c r="O950" s="5">
        <f>IF(OR(INDEX($V$2:$V$1001,MATCH(ROWS($U$2:U950),$U$2:$U$1001,0),1)&gt;=100000,INDEX($AB$1005:$AQ$1005,1,MATCH(COLUMNS($AB$1006:AO1006),$AB$1006:$AQ$1006,0))&gt;=100000), " ",IF(INDEX($AB$2:$AQ$1001,MATCH(ROWS($U$2:U950),$U$2:$U$1001,0),MATCH(COLUMNS($AB$1006:AO1006),$AB$1006:$AQ$1006,0)), HYPERLINK("#",""), HYPERLINK(CONCATENATE("#Metadata!", ADDRESS(INDEX($W$2:$W$1001,MATCH(ROWS($U$2:U950),$U$2:$U$1001,0),0), INDEX($AB$1004:$AQ$1004,1,MATCH(COLUMNS($AB$1006:AO1006),$AB$1006:$AQ$1006,0)))),"Fix")))</f>
        <v>0</v>
      </c>
      <c r="P950" s="5">
        <f>IF(OR(INDEX($V$2:$V$1001,MATCH(ROWS($U$2:U950),$U$2:$U$1001,0),1)&gt;=100000,INDEX($AB$1005:$AQ$1005,1,MATCH(COLUMNS($AB$1006:AP1006),$AB$1006:$AQ$1006,0))&gt;=100000), " ",IF(INDEX($AB$2:$AQ$1001,MATCH(ROWS($U$2:U950),$U$2:$U$1001,0),MATCH(COLUMNS($AB$1006:AP1006),$AB$1006:$AQ$1006,0)), HYPERLINK("#",""), HYPERLINK(CONCATENATE("#Metadata!", ADDRESS(INDEX($W$2:$W$1001,MATCH(ROWS($U$2:U950),$U$2:$U$1001,0),0), INDEX($AB$1004:$AQ$1004,1,MATCH(COLUMNS($AB$1006:AP1006),$AB$1006:$AQ$1006,0)))),"Fix")))</f>
        <v>0</v>
      </c>
      <c r="Q950" s="5">
        <f>IF(OR(INDEX($V$2:$V$1001,MATCH(ROWS($U$2:U950),$U$2:$U$1001,0),1)&gt;=100000,INDEX($AB$1005:$AQ$1005,1,MATCH(COLUMNS($AB$1006:AQ1006),$AB$1006:$AQ$1006,0))&gt;=100000), " ",IF(INDEX($AB$2:$AQ$1001,MATCH(ROWS($U$2:U950),$U$2:$U$1001,0),MATCH(COLUMNS($AB$1006:AQ1006),$AB$1006:$AQ$1006,0)), HYPERLINK("#",""), HYPERLINK(CONCATENATE("#Metadata!", ADDRESS(INDEX($W$2:$W$1001,MATCH(ROWS($U$2:U950),$U$2:$U$1001,0),0), INDEX($AB$1004:$AQ$1004,1,MATCH(COLUMNS($AB$1006:AQ1006),$AB$1006:$AQ$1006,0)))),"Fix")))</f>
        <v>0</v>
      </c>
      <c r="U950">
        <v>0</v>
      </c>
      <c r="V950">
        <v>0</v>
      </c>
      <c r="W950">
        <v>0</v>
      </c>
      <c r="X950">
        <f>IF(Y950,TRUE,AND(AB950:AQ950))</f>
        <v>0</v>
      </c>
      <c r="Y950">
        <f>COUNTBLANK(Metadata!B950:Q950)=COLUMNS(Metadata!B950:Q950)</f>
        <v>0</v>
      </c>
      <c r="Z950">
        <v>0</v>
      </c>
      <c r="AB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AC950">
        <f>AND(IF(Metadata!C950="",FALSE,TRUE),exact(Metadata!C950,"urban biome"))</f>
        <v>0</v>
      </c>
      <c r="AD950">
        <f>AND(IF(Metadata!D950="",FALSE,TRUE),exact(Metadata!D950,"human-associated habitat"))</f>
        <v>0</v>
      </c>
      <c r="AE950">
        <f>AND(IF(Metadata!E950="",FALSE,TRUE),OR(exact(Metadata!E950,"human-associated"),exact(Metadata!E950,"human-skin"),exact(Metadata!E950,"human-oral"),exact(Metadata!E950,"human-gut"),exact(Metadata!E950,"human-vaginal")))</f>
        <v>0</v>
      </c>
      <c r="AF950">
        <f>AND(IF(Metadata!F950="",FALSE,ISNUMBER(VALUE(Metadata!F950))),Metadata!F950&gt;0)</f>
        <v>0</v>
      </c>
      <c r="AG950">
        <f>AND(IF(Metadata!G950="",FALSE,TRUE),exact(Metadata!G950,"years"))</f>
        <v>0</v>
      </c>
      <c r="AH950">
        <f>OR(AND(IF(Metadata!H950="",FALSE,TRUE),OR(exact(Metadata!H950,"not applicable"),exact(Metadata!H950,"not collected"),exact(Metadata!H950,"not provided"),exact(Metadata!H950,"restricted access"))),AND(IF(Metadata!H950="",FALSE,ISNUMBER(VALUE(Metadata!H950))),Metadata!H950&gt;0))</f>
        <v>0</v>
      </c>
      <c r="AI950">
        <f>AND(IF(Metadata!I950="",FALSE,TRUE),exact(Metadata!I950,"human"))</f>
        <v>0</v>
      </c>
      <c r="AJ950">
        <f>AND(IF(Metadata!J950="",FALSE,ISNUMBER(VALUE(Metadata!J950))),Metadata!J950&gt;0)</f>
        <v>0</v>
      </c>
      <c r="AK950">
        <f>AND(IF(Metadata!K950="",FALSE,TRUE),exact(Metadata!K950,"cm"))</f>
        <v>0</v>
      </c>
      <c r="AL950">
        <f>AND(IF(Metadata!L950="",FALSE,TRUE),exact(Metadata!L950,"Homo sapiens"))</f>
        <v>0</v>
      </c>
      <c r="AM950">
        <f>AND(IF(Metadata!M950="",FALSE,TRUE),exact(Metadata!M950,"9606"))</f>
        <v>0</v>
      </c>
      <c r="AN950">
        <f>AND(IF(Metadata!N950="",FALSE,ISNUMBER(VALUE(Metadata!N950))),Metadata!N950&gt;0)</f>
        <v>0</v>
      </c>
      <c r="AO950">
        <f>AND(IF(Metadata!O950="",FALSE,TRUE),exact(Metadata!O950,"kg"))</f>
        <v>0</v>
      </c>
      <c r="AP950">
        <f>OR(AND(IF(Metadata!P950="",FALSE,TRUE),exact(Metadata!P950,"not provided")),IF(Metadata!P950="",FALSE,TRUE))</f>
        <v>0</v>
      </c>
      <c r="AQ950">
        <f>OR(AND(IF(Metadata!Q950="",FALSE,TRUE),exact(Metadata!Q950,"not provided")),IF(Metadata!Q950="",FALSE,TRUE))</f>
        <v>0</v>
      </c>
    </row>
    <row r="951" spans="1:43">
      <c r="A951" s="4">
        <f>IF(B951=" "," ",HYPERLINK(CONCATENATE("#metadata!",ADDRESS(INDEX($W$2:$W$1001,MATCH(ROWS($U$2:U951),$U$2:$U$1001,0),0),2)),INDEX($Z$2:$Z$1001,MATCH(ROWS($U$2:U951),$U$2:$U$1001,0),0)))</f>
        <v>0</v>
      </c>
      <c r="B951" s="5">
        <f>IF(OR(INDEX($V$2:$V$1001,MATCH(ROWS($U$2:U951),$U$2:$U$1001,0),1)&gt;=100000,INDEX($AB$1005:$AQ$1005,1,MATCH(COLUMNS($AB$1006:AB1006),$AB$1006:$AQ$1006,0))&gt;=100000), " ",IF(INDEX($AB$2:$AQ$1001,MATCH(ROWS($U$2:U951),$U$2:$U$1001,0),MATCH(COLUMNS($AB$1006:AB1006),$AB$1006:$AQ$1006,0)), HYPERLINK("#",""), HYPERLINK(CONCATENATE("#Metadata!", ADDRESS(INDEX($W$2:$W$1001,MATCH(ROWS($U$2:U951),$U$2:$U$1001,0),0), INDEX($AB$1004:$AQ$1004,1,MATCH(COLUMNS($AB$1006:AB1006),$AB$1006:$AQ$1006,0)))),"Fix")))</f>
        <v>0</v>
      </c>
      <c r="C951" s="5">
        <f>IF(OR(INDEX($V$2:$V$1001,MATCH(ROWS($U$2:U951),$U$2:$U$1001,0),1)&gt;=100000,INDEX($AB$1005:$AQ$1005,1,MATCH(COLUMNS($AB$1006:AC1006),$AB$1006:$AQ$1006,0))&gt;=100000), " ",IF(INDEX($AB$2:$AQ$1001,MATCH(ROWS($U$2:U951),$U$2:$U$1001,0),MATCH(COLUMNS($AB$1006:AC1006),$AB$1006:$AQ$1006,0)), HYPERLINK("#",""), HYPERLINK(CONCATENATE("#Metadata!", ADDRESS(INDEX($W$2:$W$1001,MATCH(ROWS($U$2:U951),$U$2:$U$1001,0),0), INDEX($AB$1004:$AQ$1004,1,MATCH(COLUMNS($AB$1006:AC1006),$AB$1006:$AQ$1006,0)))),"Fix")))</f>
        <v>0</v>
      </c>
      <c r="D951" s="5">
        <f>IF(OR(INDEX($V$2:$V$1001,MATCH(ROWS($U$2:U951),$U$2:$U$1001,0),1)&gt;=100000,INDEX($AB$1005:$AQ$1005,1,MATCH(COLUMNS($AB$1006:AD1006),$AB$1006:$AQ$1006,0))&gt;=100000), " ",IF(INDEX($AB$2:$AQ$1001,MATCH(ROWS($U$2:U951),$U$2:$U$1001,0),MATCH(COLUMNS($AB$1006:AD1006),$AB$1006:$AQ$1006,0)), HYPERLINK("#",""), HYPERLINK(CONCATENATE("#Metadata!", ADDRESS(INDEX($W$2:$W$1001,MATCH(ROWS($U$2:U951),$U$2:$U$1001,0),0), INDEX($AB$1004:$AQ$1004,1,MATCH(COLUMNS($AB$1006:AD1006),$AB$1006:$AQ$1006,0)))),"Fix")))</f>
        <v>0</v>
      </c>
      <c r="E951" s="5">
        <f>IF(OR(INDEX($V$2:$V$1001,MATCH(ROWS($U$2:U951),$U$2:$U$1001,0),1)&gt;=100000,INDEX($AB$1005:$AQ$1005,1,MATCH(COLUMNS($AB$1006:AE1006),$AB$1006:$AQ$1006,0))&gt;=100000), " ",IF(INDEX($AB$2:$AQ$1001,MATCH(ROWS($U$2:U951),$U$2:$U$1001,0),MATCH(COLUMNS($AB$1006:AE1006),$AB$1006:$AQ$1006,0)), HYPERLINK("#",""), HYPERLINK(CONCATENATE("#Metadata!", ADDRESS(INDEX($W$2:$W$1001,MATCH(ROWS($U$2:U951),$U$2:$U$1001,0),0), INDEX($AB$1004:$AQ$1004,1,MATCH(COLUMNS($AB$1006:AE1006),$AB$1006:$AQ$1006,0)))),"Fix")))</f>
        <v>0</v>
      </c>
      <c r="F951" s="5">
        <f>IF(OR(INDEX($V$2:$V$1001,MATCH(ROWS($U$2:U951),$U$2:$U$1001,0),1)&gt;=100000,INDEX($AB$1005:$AQ$1005,1,MATCH(COLUMNS($AB$1006:AF1006),$AB$1006:$AQ$1006,0))&gt;=100000), " ",IF(INDEX($AB$2:$AQ$1001,MATCH(ROWS($U$2:U951),$U$2:$U$1001,0),MATCH(COLUMNS($AB$1006:AF1006),$AB$1006:$AQ$1006,0)), HYPERLINK("#",""), HYPERLINK(CONCATENATE("#Metadata!", ADDRESS(INDEX($W$2:$W$1001,MATCH(ROWS($U$2:U951),$U$2:$U$1001,0),0), INDEX($AB$1004:$AQ$1004,1,MATCH(COLUMNS($AB$1006:AF1006),$AB$1006:$AQ$1006,0)))),"Fix")))</f>
        <v>0</v>
      </c>
      <c r="G951" s="5">
        <f>IF(OR(INDEX($V$2:$V$1001,MATCH(ROWS($U$2:U951),$U$2:$U$1001,0),1)&gt;=100000,INDEX($AB$1005:$AQ$1005,1,MATCH(COLUMNS($AB$1006:AG1006),$AB$1006:$AQ$1006,0))&gt;=100000), " ",IF(INDEX($AB$2:$AQ$1001,MATCH(ROWS($U$2:U951),$U$2:$U$1001,0),MATCH(COLUMNS($AB$1006:AG1006),$AB$1006:$AQ$1006,0)), HYPERLINK("#",""), HYPERLINK(CONCATENATE("#Metadata!", ADDRESS(INDEX($W$2:$W$1001,MATCH(ROWS($U$2:U951),$U$2:$U$1001,0),0), INDEX($AB$1004:$AQ$1004,1,MATCH(COLUMNS($AB$1006:AG1006),$AB$1006:$AQ$1006,0)))),"Fix")))</f>
        <v>0</v>
      </c>
      <c r="H951" s="5">
        <f>IF(OR(INDEX($V$2:$V$1001,MATCH(ROWS($U$2:U951),$U$2:$U$1001,0),1)&gt;=100000,INDEX($AB$1005:$AQ$1005,1,MATCH(COLUMNS($AB$1006:AH1006),$AB$1006:$AQ$1006,0))&gt;=100000), " ",IF(INDEX($AB$2:$AQ$1001,MATCH(ROWS($U$2:U951),$U$2:$U$1001,0),MATCH(COLUMNS($AB$1006:AH1006),$AB$1006:$AQ$1006,0)), HYPERLINK("#",""), HYPERLINK(CONCATENATE("#Metadata!", ADDRESS(INDEX($W$2:$W$1001,MATCH(ROWS($U$2:U951),$U$2:$U$1001,0),0), INDEX($AB$1004:$AQ$1004,1,MATCH(COLUMNS($AB$1006:AH1006),$AB$1006:$AQ$1006,0)))),"Fix")))</f>
        <v>0</v>
      </c>
      <c r="I951" s="5">
        <f>IF(OR(INDEX($V$2:$V$1001,MATCH(ROWS($U$2:U951),$U$2:$U$1001,0),1)&gt;=100000,INDEX($AB$1005:$AQ$1005,1,MATCH(COLUMNS($AB$1006:AI1006),$AB$1006:$AQ$1006,0))&gt;=100000), " ",IF(INDEX($AB$2:$AQ$1001,MATCH(ROWS($U$2:U951),$U$2:$U$1001,0),MATCH(COLUMNS($AB$1006:AI1006),$AB$1006:$AQ$1006,0)), HYPERLINK("#",""), HYPERLINK(CONCATENATE("#Metadata!", ADDRESS(INDEX($W$2:$W$1001,MATCH(ROWS($U$2:U951),$U$2:$U$1001,0),0), INDEX($AB$1004:$AQ$1004,1,MATCH(COLUMNS($AB$1006:AI1006),$AB$1006:$AQ$1006,0)))),"Fix")))</f>
        <v>0</v>
      </c>
      <c r="J951" s="5">
        <f>IF(OR(INDEX($V$2:$V$1001,MATCH(ROWS($U$2:U951),$U$2:$U$1001,0),1)&gt;=100000,INDEX($AB$1005:$AQ$1005,1,MATCH(COLUMNS($AB$1006:AJ1006),$AB$1006:$AQ$1006,0))&gt;=100000), " ",IF(INDEX($AB$2:$AQ$1001,MATCH(ROWS($U$2:U951),$U$2:$U$1001,0),MATCH(COLUMNS($AB$1006:AJ1006),$AB$1006:$AQ$1006,0)), HYPERLINK("#",""), HYPERLINK(CONCATENATE("#Metadata!", ADDRESS(INDEX($W$2:$W$1001,MATCH(ROWS($U$2:U951),$U$2:$U$1001,0),0), INDEX($AB$1004:$AQ$1004,1,MATCH(COLUMNS($AB$1006:AJ1006),$AB$1006:$AQ$1006,0)))),"Fix")))</f>
        <v>0</v>
      </c>
      <c r="K951" s="5">
        <f>IF(OR(INDEX($V$2:$V$1001,MATCH(ROWS($U$2:U951),$U$2:$U$1001,0),1)&gt;=100000,INDEX($AB$1005:$AQ$1005,1,MATCH(COLUMNS($AB$1006:AK1006),$AB$1006:$AQ$1006,0))&gt;=100000), " ",IF(INDEX($AB$2:$AQ$1001,MATCH(ROWS($U$2:U951),$U$2:$U$1001,0),MATCH(COLUMNS($AB$1006:AK1006),$AB$1006:$AQ$1006,0)), HYPERLINK("#",""), HYPERLINK(CONCATENATE("#Metadata!", ADDRESS(INDEX($W$2:$W$1001,MATCH(ROWS($U$2:U951),$U$2:$U$1001,0),0), INDEX($AB$1004:$AQ$1004,1,MATCH(COLUMNS($AB$1006:AK1006),$AB$1006:$AQ$1006,0)))),"Fix")))</f>
        <v>0</v>
      </c>
      <c r="L951" s="5">
        <f>IF(OR(INDEX($V$2:$V$1001,MATCH(ROWS($U$2:U951),$U$2:$U$1001,0),1)&gt;=100000,INDEX($AB$1005:$AQ$1005,1,MATCH(COLUMNS($AB$1006:AL1006),$AB$1006:$AQ$1006,0))&gt;=100000), " ",IF(INDEX($AB$2:$AQ$1001,MATCH(ROWS($U$2:U951),$U$2:$U$1001,0),MATCH(COLUMNS($AB$1006:AL1006),$AB$1006:$AQ$1006,0)), HYPERLINK("#",""), HYPERLINK(CONCATENATE("#Metadata!", ADDRESS(INDEX($W$2:$W$1001,MATCH(ROWS($U$2:U951),$U$2:$U$1001,0),0), INDEX($AB$1004:$AQ$1004,1,MATCH(COLUMNS($AB$1006:AL1006),$AB$1006:$AQ$1006,0)))),"Fix")))</f>
        <v>0</v>
      </c>
      <c r="M951" s="5">
        <f>IF(OR(INDEX($V$2:$V$1001,MATCH(ROWS($U$2:U951),$U$2:$U$1001,0),1)&gt;=100000,INDEX($AB$1005:$AQ$1005,1,MATCH(COLUMNS($AB$1006:AM1006),$AB$1006:$AQ$1006,0))&gt;=100000), " ",IF(INDEX($AB$2:$AQ$1001,MATCH(ROWS($U$2:U951),$U$2:$U$1001,0),MATCH(COLUMNS($AB$1006:AM1006),$AB$1006:$AQ$1006,0)), HYPERLINK("#",""), HYPERLINK(CONCATENATE("#Metadata!", ADDRESS(INDEX($W$2:$W$1001,MATCH(ROWS($U$2:U951),$U$2:$U$1001,0),0), INDEX($AB$1004:$AQ$1004,1,MATCH(COLUMNS($AB$1006:AM1006),$AB$1006:$AQ$1006,0)))),"Fix")))</f>
        <v>0</v>
      </c>
      <c r="N951" s="5">
        <f>IF(OR(INDEX($V$2:$V$1001,MATCH(ROWS($U$2:U951),$U$2:$U$1001,0),1)&gt;=100000,INDEX($AB$1005:$AQ$1005,1,MATCH(COLUMNS($AB$1006:AN1006),$AB$1006:$AQ$1006,0))&gt;=100000), " ",IF(INDEX($AB$2:$AQ$1001,MATCH(ROWS($U$2:U951),$U$2:$U$1001,0),MATCH(COLUMNS($AB$1006:AN1006),$AB$1006:$AQ$1006,0)), HYPERLINK("#",""), HYPERLINK(CONCATENATE("#Metadata!", ADDRESS(INDEX($W$2:$W$1001,MATCH(ROWS($U$2:U951),$U$2:$U$1001,0),0), INDEX($AB$1004:$AQ$1004,1,MATCH(COLUMNS($AB$1006:AN1006),$AB$1006:$AQ$1006,0)))),"Fix")))</f>
        <v>0</v>
      </c>
      <c r="O951" s="5">
        <f>IF(OR(INDEX($V$2:$V$1001,MATCH(ROWS($U$2:U951),$U$2:$U$1001,0),1)&gt;=100000,INDEX($AB$1005:$AQ$1005,1,MATCH(COLUMNS($AB$1006:AO1006),$AB$1006:$AQ$1006,0))&gt;=100000), " ",IF(INDEX($AB$2:$AQ$1001,MATCH(ROWS($U$2:U951),$U$2:$U$1001,0),MATCH(COLUMNS($AB$1006:AO1006),$AB$1006:$AQ$1006,0)), HYPERLINK("#",""), HYPERLINK(CONCATENATE("#Metadata!", ADDRESS(INDEX($W$2:$W$1001,MATCH(ROWS($U$2:U951),$U$2:$U$1001,0),0), INDEX($AB$1004:$AQ$1004,1,MATCH(COLUMNS($AB$1006:AO1006),$AB$1006:$AQ$1006,0)))),"Fix")))</f>
        <v>0</v>
      </c>
      <c r="P951" s="5">
        <f>IF(OR(INDEX($V$2:$V$1001,MATCH(ROWS($U$2:U951),$U$2:$U$1001,0),1)&gt;=100000,INDEX($AB$1005:$AQ$1005,1,MATCH(COLUMNS($AB$1006:AP1006),$AB$1006:$AQ$1006,0))&gt;=100000), " ",IF(INDEX($AB$2:$AQ$1001,MATCH(ROWS($U$2:U951),$U$2:$U$1001,0),MATCH(COLUMNS($AB$1006:AP1006),$AB$1006:$AQ$1006,0)), HYPERLINK("#",""), HYPERLINK(CONCATENATE("#Metadata!", ADDRESS(INDEX($W$2:$W$1001,MATCH(ROWS($U$2:U951),$U$2:$U$1001,0),0), INDEX($AB$1004:$AQ$1004,1,MATCH(COLUMNS($AB$1006:AP1006),$AB$1006:$AQ$1006,0)))),"Fix")))</f>
        <v>0</v>
      </c>
      <c r="Q951" s="5">
        <f>IF(OR(INDEX($V$2:$V$1001,MATCH(ROWS($U$2:U951),$U$2:$U$1001,0),1)&gt;=100000,INDEX($AB$1005:$AQ$1005,1,MATCH(COLUMNS($AB$1006:AQ1006),$AB$1006:$AQ$1006,0))&gt;=100000), " ",IF(INDEX($AB$2:$AQ$1001,MATCH(ROWS($U$2:U951),$U$2:$U$1001,0),MATCH(COLUMNS($AB$1006:AQ1006),$AB$1006:$AQ$1006,0)), HYPERLINK("#",""), HYPERLINK(CONCATENATE("#Metadata!", ADDRESS(INDEX($W$2:$W$1001,MATCH(ROWS($U$2:U951),$U$2:$U$1001,0),0), INDEX($AB$1004:$AQ$1004,1,MATCH(COLUMNS($AB$1006:AQ1006),$AB$1006:$AQ$1006,0)))),"Fix")))</f>
        <v>0</v>
      </c>
      <c r="U951">
        <v>0</v>
      </c>
      <c r="V951">
        <v>0</v>
      </c>
      <c r="W951">
        <v>0</v>
      </c>
      <c r="X951">
        <f>IF(Y951,TRUE,AND(AB951:AQ951))</f>
        <v>0</v>
      </c>
      <c r="Y951">
        <f>COUNTBLANK(Metadata!B951:Q951)=COLUMNS(Metadata!B951:Q951)</f>
        <v>0</v>
      </c>
      <c r="Z951">
        <v>0</v>
      </c>
      <c r="AB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AC951">
        <f>AND(IF(Metadata!C951="",FALSE,TRUE),exact(Metadata!C951,"urban biome"))</f>
        <v>0</v>
      </c>
      <c r="AD951">
        <f>AND(IF(Metadata!D951="",FALSE,TRUE),exact(Metadata!D951,"human-associated habitat"))</f>
        <v>0</v>
      </c>
      <c r="AE951">
        <f>AND(IF(Metadata!E951="",FALSE,TRUE),OR(exact(Metadata!E951,"human-associated"),exact(Metadata!E951,"human-skin"),exact(Metadata!E951,"human-oral"),exact(Metadata!E951,"human-gut"),exact(Metadata!E951,"human-vaginal")))</f>
        <v>0</v>
      </c>
      <c r="AF951">
        <f>AND(IF(Metadata!F951="",FALSE,ISNUMBER(VALUE(Metadata!F951))),Metadata!F951&gt;0)</f>
        <v>0</v>
      </c>
      <c r="AG951">
        <f>AND(IF(Metadata!G951="",FALSE,TRUE),exact(Metadata!G951,"years"))</f>
        <v>0</v>
      </c>
      <c r="AH951">
        <f>OR(AND(IF(Metadata!H951="",FALSE,TRUE),OR(exact(Metadata!H951,"not applicable"),exact(Metadata!H951,"not collected"),exact(Metadata!H951,"not provided"),exact(Metadata!H951,"restricted access"))),AND(IF(Metadata!H951="",FALSE,ISNUMBER(VALUE(Metadata!H951))),Metadata!H951&gt;0))</f>
        <v>0</v>
      </c>
      <c r="AI951">
        <f>AND(IF(Metadata!I951="",FALSE,TRUE),exact(Metadata!I951,"human"))</f>
        <v>0</v>
      </c>
      <c r="AJ951">
        <f>AND(IF(Metadata!J951="",FALSE,ISNUMBER(VALUE(Metadata!J951))),Metadata!J951&gt;0)</f>
        <v>0</v>
      </c>
      <c r="AK951">
        <f>AND(IF(Metadata!K951="",FALSE,TRUE),exact(Metadata!K951,"cm"))</f>
        <v>0</v>
      </c>
      <c r="AL951">
        <f>AND(IF(Metadata!L951="",FALSE,TRUE),exact(Metadata!L951,"Homo sapiens"))</f>
        <v>0</v>
      </c>
      <c r="AM951">
        <f>AND(IF(Metadata!M951="",FALSE,TRUE),exact(Metadata!M951,"9606"))</f>
        <v>0</v>
      </c>
      <c r="AN951">
        <f>AND(IF(Metadata!N951="",FALSE,ISNUMBER(VALUE(Metadata!N951))),Metadata!N951&gt;0)</f>
        <v>0</v>
      </c>
      <c r="AO951">
        <f>AND(IF(Metadata!O951="",FALSE,TRUE),exact(Metadata!O951,"kg"))</f>
        <v>0</v>
      </c>
      <c r="AP951">
        <f>OR(AND(IF(Metadata!P951="",FALSE,TRUE),exact(Metadata!P951,"not provided")),IF(Metadata!P951="",FALSE,TRUE))</f>
        <v>0</v>
      </c>
      <c r="AQ951">
        <f>OR(AND(IF(Metadata!Q951="",FALSE,TRUE),exact(Metadata!Q951,"not provided")),IF(Metadata!Q951="",FALSE,TRUE))</f>
        <v>0</v>
      </c>
    </row>
    <row r="952" spans="1:43">
      <c r="A952" s="4">
        <f>IF(B952=" "," ",HYPERLINK(CONCATENATE("#metadata!",ADDRESS(INDEX($W$2:$W$1001,MATCH(ROWS($U$2:U952),$U$2:$U$1001,0),0),2)),INDEX($Z$2:$Z$1001,MATCH(ROWS($U$2:U952),$U$2:$U$1001,0),0)))</f>
        <v>0</v>
      </c>
      <c r="B952" s="5">
        <f>IF(OR(INDEX($V$2:$V$1001,MATCH(ROWS($U$2:U952),$U$2:$U$1001,0),1)&gt;=100000,INDEX($AB$1005:$AQ$1005,1,MATCH(COLUMNS($AB$1006:AB1006),$AB$1006:$AQ$1006,0))&gt;=100000), " ",IF(INDEX($AB$2:$AQ$1001,MATCH(ROWS($U$2:U952),$U$2:$U$1001,0),MATCH(COLUMNS($AB$1006:AB1006),$AB$1006:$AQ$1006,0)), HYPERLINK("#",""), HYPERLINK(CONCATENATE("#Metadata!", ADDRESS(INDEX($W$2:$W$1001,MATCH(ROWS($U$2:U952),$U$2:$U$1001,0),0), INDEX($AB$1004:$AQ$1004,1,MATCH(COLUMNS($AB$1006:AB1006),$AB$1006:$AQ$1006,0)))),"Fix")))</f>
        <v>0</v>
      </c>
      <c r="C952" s="5">
        <f>IF(OR(INDEX($V$2:$V$1001,MATCH(ROWS($U$2:U952),$U$2:$U$1001,0),1)&gt;=100000,INDEX($AB$1005:$AQ$1005,1,MATCH(COLUMNS($AB$1006:AC1006),$AB$1006:$AQ$1006,0))&gt;=100000), " ",IF(INDEX($AB$2:$AQ$1001,MATCH(ROWS($U$2:U952),$U$2:$U$1001,0),MATCH(COLUMNS($AB$1006:AC1006),$AB$1006:$AQ$1006,0)), HYPERLINK("#",""), HYPERLINK(CONCATENATE("#Metadata!", ADDRESS(INDEX($W$2:$W$1001,MATCH(ROWS($U$2:U952),$U$2:$U$1001,0),0), INDEX($AB$1004:$AQ$1004,1,MATCH(COLUMNS($AB$1006:AC1006),$AB$1006:$AQ$1006,0)))),"Fix")))</f>
        <v>0</v>
      </c>
      <c r="D952" s="5">
        <f>IF(OR(INDEX($V$2:$V$1001,MATCH(ROWS($U$2:U952),$U$2:$U$1001,0),1)&gt;=100000,INDEX($AB$1005:$AQ$1005,1,MATCH(COLUMNS($AB$1006:AD1006),$AB$1006:$AQ$1006,0))&gt;=100000), " ",IF(INDEX($AB$2:$AQ$1001,MATCH(ROWS($U$2:U952),$U$2:$U$1001,0),MATCH(COLUMNS($AB$1006:AD1006),$AB$1006:$AQ$1006,0)), HYPERLINK("#",""), HYPERLINK(CONCATENATE("#Metadata!", ADDRESS(INDEX($W$2:$W$1001,MATCH(ROWS($U$2:U952),$U$2:$U$1001,0),0), INDEX($AB$1004:$AQ$1004,1,MATCH(COLUMNS($AB$1006:AD1006),$AB$1006:$AQ$1006,0)))),"Fix")))</f>
        <v>0</v>
      </c>
      <c r="E952" s="5">
        <f>IF(OR(INDEX($V$2:$V$1001,MATCH(ROWS($U$2:U952),$U$2:$U$1001,0),1)&gt;=100000,INDEX($AB$1005:$AQ$1005,1,MATCH(COLUMNS($AB$1006:AE1006),$AB$1006:$AQ$1006,0))&gt;=100000), " ",IF(INDEX($AB$2:$AQ$1001,MATCH(ROWS($U$2:U952),$U$2:$U$1001,0),MATCH(COLUMNS($AB$1006:AE1006),$AB$1006:$AQ$1006,0)), HYPERLINK("#",""), HYPERLINK(CONCATENATE("#Metadata!", ADDRESS(INDEX($W$2:$W$1001,MATCH(ROWS($U$2:U952),$U$2:$U$1001,0),0), INDEX($AB$1004:$AQ$1004,1,MATCH(COLUMNS($AB$1006:AE1006),$AB$1006:$AQ$1006,0)))),"Fix")))</f>
        <v>0</v>
      </c>
      <c r="F952" s="5">
        <f>IF(OR(INDEX($V$2:$V$1001,MATCH(ROWS($U$2:U952),$U$2:$U$1001,0),1)&gt;=100000,INDEX($AB$1005:$AQ$1005,1,MATCH(COLUMNS($AB$1006:AF1006),$AB$1006:$AQ$1006,0))&gt;=100000), " ",IF(INDEX($AB$2:$AQ$1001,MATCH(ROWS($U$2:U952),$U$2:$U$1001,0),MATCH(COLUMNS($AB$1006:AF1006),$AB$1006:$AQ$1006,0)), HYPERLINK("#",""), HYPERLINK(CONCATENATE("#Metadata!", ADDRESS(INDEX($W$2:$W$1001,MATCH(ROWS($U$2:U952),$U$2:$U$1001,0),0), INDEX($AB$1004:$AQ$1004,1,MATCH(COLUMNS($AB$1006:AF1006),$AB$1006:$AQ$1006,0)))),"Fix")))</f>
        <v>0</v>
      </c>
      <c r="G952" s="5">
        <f>IF(OR(INDEX($V$2:$V$1001,MATCH(ROWS($U$2:U952),$U$2:$U$1001,0),1)&gt;=100000,INDEX($AB$1005:$AQ$1005,1,MATCH(COLUMNS($AB$1006:AG1006),$AB$1006:$AQ$1006,0))&gt;=100000), " ",IF(INDEX($AB$2:$AQ$1001,MATCH(ROWS($U$2:U952),$U$2:$U$1001,0),MATCH(COLUMNS($AB$1006:AG1006),$AB$1006:$AQ$1006,0)), HYPERLINK("#",""), HYPERLINK(CONCATENATE("#Metadata!", ADDRESS(INDEX($W$2:$W$1001,MATCH(ROWS($U$2:U952),$U$2:$U$1001,0),0), INDEX($AB$1004:$AQ$1004,1,MATCH(COLUMNS($AB$1006:AG1006),$AB$1006:$AQ$1006,0)))),"Fix")))</f>
        <v>0</v>
      </c>
      <c r="H952" s="5">
        <f>IF(OR(INDEX($V$2:$V$1001,MATCH(ROWS($U$2:U952),$U$2:$U$1001,0),1)&gt;=100000,INDEX($AB$1005:$AQ$1005,1,MATCH(COLUMNS($AB$1006:AH1006),$AB$1006:$AQ$1006,0))&gt;=100000), " ",IF(INDEX($AB$2:$AQ$1001,MATCH(ROWS($U$2:U952),$U$2:$U$1001,0),MATCH(COLUMNS($AB$1006:AH1006),$AB$1006:$AQ$1006,0)), HYPERLINK("#",""), HYPERLINK(CONCATENATE("#Metadata!", ADDRESS(INDEX($W$2:$W$1001,MATCH(ROWS($U$2:U952),$U$2:$U$1001,0),0), INDEX($AB$1004:$AQ$1004,1,MATCH(COLUMNS($AB$1006:AH1006),$AB$1006:$AQ$1006,0)))),"Fix")))</f>
        <v>0</v>
      </c>
      <c r="I952" s="5">
        <f>IF(OR(INDEX($V$2:$V$1001,MATCH(ROWS($U$2:U952),$U$2:$U$1001,0),1)&gt;=100000,INDEX($AB$1005:$AQ$1005,1,MATCH(COLUMNS($AB$1006:AI1006),$AB$1006:$AQ$1006,0))&gt;=100000), " ",IF(INDEX($AB$2:$AQ$1001,MATCH(ROWS($U$2:U952),$U$2:$U$1001,0),MATCH(COLUMNS($AB$1006:AI1006),$AB$1006:$AQ$1006,0)), HYPERLINK("#",""), HYPERLINK(CONCATENATE("#Metadata!", ADDRESS(INDEX($W$2:$W$1001,MATCH(ROWS($U$2:U952),$U$2:$U$1001,0),0), INDEX($AB$1004:$AQ$1004,1,MATCH(COLUMNS($AB$1006:AI1006),$AB$1006:$AQ$1006,0)))),"Fix")))</f>
        <v>0</v>
      </c>
      <c r="J952" s="5">
        <f>IF(OR(INDEX($V$2:$V$1001,MATCH(ROWS($U$2:U952),$U$2:$U$1001,0),1)&gt;=100000,INDEX($AB$1005:$AQ$1005,1,MATCH(COLUMNS($AB$1006:AJ1006),$AB$1006:$AQ$1006,0))&gt;=100000), " ",IF(INDEX($AB$2:$AQ$1001,MATCH(ROWS($U$2:U952),$U$2:$U$1001,0),MATCH(COLUMNS($AB$1006:AJ1006),$AB$1006:$AQ$1006,0)), HYPERLINK("#",""), HYPERLINK(CONCATENATE("#Metadata!", ADDRESS(INDEX($W$2:$W$1001,MATCH(ROWS($U$2:U952),$U$2:$U$1001,0),0), INDEX($AB$1004:$AQ$1004,1,MATCH(COLUMNS($AB$1006:AJ1006),$AB$1006:$AQ$1006,0)))),"Fix")))</f>
        <v>0</v>
      </c>
      <c r="K952" s="5">
        <f>IF(OR(INDEX($V$2:$V$1001,MATCH(ROWS($U$2:U952),$U$2:$U$1001,0),1)&gt;=100000,INDEX($AB$1005:$AQ$1005,1,MATCH(COLUMNS($AB$1006:AK1006),$AB$1006:$AQ$1006,0))&gt;=100000), " ",IF(INDEX($AB$2:$AQ$1001,MATCH(ROWS($U$2:U952),$U$2:$U$1001,0),MATCH(COLUMNS($AB$1006:AK1006),$AB$1006:$AQ$1006,0)), HYPERLINK("#",""), HYPERLINK(CONCATENATE("#Metadata!", ADDRESS(INDEX($W$2:$W$1001,MATCH(ROWS($U$2:U952),$U$2:$U$1001,0),0), INDEX($AB$1004:$AQ$1004,1,MATCH(COLUMNS($AB$1006:AK1006),$AB$1006:$AQ$1006,0)))),"Fix")))</f>
        <v>0</v>
      </c>
      <c r="L952" s="5">
        <f>IF(OR(INDEX($V$2:$V$1001,MATCH(ROWS($U$2:U952),$U$2:$U$1001,0),1)&gt;=100000,INDEX($AB$1005:$AQ$1005,1,MATCH(COLUMNS($AB$1006:AL1006),$AB$1006:$AQ$1006,0))&gt;=100000), " ",IF(INDEX($AB$2:$AQ$1001,MATCH(ROWS($U$2:U952),$U$2:$U$1001,0),MATCH(COLUMNS($AB$1006:AL1006),$AB$1006:$AQ$1006,0)), HYPERLINK("#",""), HYPERLINK(CONCATENATE("#Metadata!", ADDRESS(INDEX($W$2:$W$1001,MATCH(ROWS($U$2:U952),$U$2:$U$1001,0),0), INDEX($AB$1004:$AQ$1004,1,MATCH(COLUMNS($AB$1006:AL1006),$AB$1006:$AQ$1006,0)))),"Fix")))</f>
        <v>0</v>
      </c>
      <c r="M952" s="5">
        <f>IF(OR(INDEX($V$2:$V$1001,MATCH(ROWS($U$2:U952),$U$2:$U$1001,0),1)&gt;=100000,INDEX($AB$1005:$AQ$1005,1,MATCH(COLUMNS($AB$1006:AM1006),$AB$1006:$AQ$1006,0))&gt;=100000), " ",IF(INDEX($AB$2:$AQ$1001,MATCH(ROWS($U$2:U952),$U$2:$U$1001,0),MATCH(COLUMNS($AB$1006:AM1006),$AB$1006:$AQ$1006,0)), HYPERLINK("#",""), HYPERLINK(CONCATENATE("#Metadata!", ADDRESS(INDEX($W$2:$W$1001,MATCH(ROWS($U$2:U952),$U$2:$U$1001,0),0), INDEX($AB$1004:$AQ$1004,1,MATCH(COLUMNS($AB$1006:AM1006),$AB$1006:$AQ$1006,0)))),"Fix")))</f>
        <v>0</v>
      </c>
      <c r="N952" s="5">
        <f>IF(OR(INDEX($V$2:$V$1001,MATCH(ROWS($U$2:U952),$U$2:$U$1001,0),1)&gt;=100000,INDEX($AB$1005:$AQ$1005,1,MATCH(COLUMNS($AB$1006:AN1006),$AB$1006:$AQ$1006,0))&gt;=100000), " ",IF(INDEX($AB$2:$AQ$1001,MATCH(ROWS($U$2:U952),$U$2:$U$1001,0),MATCH(COLUMNS($AB$1006:AN1006),$AB$1006:$AQ$1006,0)), HYPERLINK("#",""), HYPERLINK(CONCATENATE("#Metadata!", ADDRESS(INDEX($W$2:$W$1001,MATCH(ROWS($U$2:U952),$U$2:$U$1001,0),0), INDEX($AB$1004:$AQ$1004,1,MATCH(COLUMNS($AB$1006:AN1006),$AB$1006:$AQ$1006,0)))),"Fix")))</f>
        <v>0</v>
      </c>
      <c r="O952" s="5">
        <f>IF(OR(INDEX($V$2:$V$1001,MATCH(ROWS($U$2:U952),$U$2:$U$1001,0),1)&gt;=100000,INDEX($AB$1005:$AQ$1005,1,MATCH(COLUMNS($AB$1006:AO1006),$AB$1006:$AQ$1006,0))&gt;=100000), " ",IF(INDEX($AB$2:$AQ$1001,MATCH(ROWS($U$2:U952),$U$2:$U$1001,0),MATCH(COLUMNS($AB$1006:AO1006),$AB$1006:$AQ$1006,0)), HYPERLINK("#",""), HYPERLINK(CONCATENATE("#Metadata!", ADDRESS(INDEX($W$2:$W$1001,MATCH(ROWS($U$2:U952),$U$2:$U$1001,0),0), INDEX($AB$1004:$AQ$1004,1,MATCH(COLUMNS($AB$1006:AO1006),$AB$1006:$AQ$1006,0)))),"Fix")))</f>
        <v>0</v>
      </c>
      <c r="P952" s="5">
        <f>IF(OR(INDEX($V$2:$V$1001,MATCH(ROWS($U$2:U952),$U$2:$U$1001,0),1)&gt;=100000,INDEX($AB$1005:$AQ$1005,1,MATCH(COLUMNS($AB$1006:AP1006),$AB$1006:$AQ$1006,0))&gt;=100000), " ",IF(INDEX($AB$2:$AQ$1001,MATCH(ROWS($U$2:U952),$U$2:$U$1001,0),MATCH(COLUMNS($AB$1006:AP1006),$AB$1006:$AQ$1006,0)), HYPERLINK("#",""), HYPERLINK(CONCATENATE("#Metadata!", ADDRESS(INDEX($W$2:$W$1001,MATCH(ROWS($U$2:U952),$U$2:$U$1001,0),0), INDEX($AB$1004:$AQ$1004,1,MATCH(COLUMNS($AB$1006:AP1006),$AB$1006:$AQ$1006,0)))),"Fix")))</f>
        <v>0</v>
      </c>
      <c r="Q952" s="5">
        <f>IF(OR(INDEX($V$2:$V$1001,MATCH(ROWS($U$2:U952),$U$2:$U$1001,0),1)&gt;=100000,INDEX($AB$1005:$AQ$1005,1,MATCH(COLUMNS($AB$1006:AQ1006),$AB$1006:$AQ$1006,0))&gt;=100000), " ",IF(INDEX($AB$2:$AQ$1001,MATCH(ROWS($U$2:U952),$U$2:$U$1001,0),MATCH(COLUMNS($AB$1006:AQ1006),$AB$1006:$AQ$1006,0)), HYPERLINK("#",""), HYPERLINK(CONCATENATE("#Metadata!", ADDRESS(INDEX($W$2:$W$1001,MATCH(ROWS($U$2:U952),$U$2:$U$1001,0),0), INDEX($AB$1004:$AQ$1004,1,MATCH(COLUMNS($AB$1006:AQ1006),$AB$1006:$AQ$1006,0)))),"Fix")))</f>
        <v>0</v>
      </c>
      <c r="U952">
        <v>0</v>
      </c>
      <c r="V952">
        <v>0</v>
      </c>
      <c r="W952">
        <v>0</v>
      </c>
      <c r="X952">
        <f>IF(Y952,TRUE,AND(AB952:AQ952))</f>
        <v>0</v>
      </c>
      <c r="Y952">
        <f>COUNTBLANK(Metadata!B952:Q952)=COLUMNS(Metadata!B952:Q952)</f>
        <v>0</v>
      </c>
      <c r="Z952">
        <v>0</v>
      </c>
      <c r="AB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AC952">
        <f>AND(IF(Metadata!C952="",FALSE,TRUE),exact(Metadata!C952,"urban biome"))</f>
        <v>0</v>
      </c>
      <c r="AD952">
        <f>AND(IF(Metadata!D952="",FALSE,TRUE),exact(Metadata!D952,"human-associated habitat"))</f>
        <v>0</v>
      </c>
      <c r="AE952">
        <f>AND(IF(Metadata!E952="",FALSE,TRUE),OR(exact(Metadata!E952,"human-associated"),exact(Metadata!E952,"human-skin"),exact(Metadata!E952,"human-oral"),exact(Metadata!E952,"human-gut"),exact(Metadata!E952,"human-vaginal")))</f>
        <v>0</v>
      </c>
      <c r="AF952">
        <f>AND(IF(Metadata!F952="",FALSE,ISNUMBER(VALUE(Metadata!F952))),Metadata!F952&gt;0)</f>
        <v>0</v>
      </c>
      <c r="AG952">
        <f>AND(IF(Metadata!G952="",FALSE,TRUE),exact(Metadata!G952,"years"))</f>
        <v>0</v>
      </c>
      <c r="AH952">
        <f>OR(AND(IF(Metadata!H952="",FALSE,TRUE),OR(exact(Metadata!H952,"not applicable"),exact(Metadata!H952,"not collected"),exact(Metadata!H952,"not provided"),exact(Metadata!H952,"restricted access"))),AND(IF(Metadata!H952="",FALSE,ISNUMBER(VALUE(Metadata!H952))),Metadata!H952&gt;0))</f>
        <v>0</v>
      </c>
      <c r="AI952">
        <f>AND(IF(Metadata!I952="",FALSE,TRUE),exact(Metadata!I952,"human"))</f>
        <v>0</v>
      </c>
      <c r="AJ952">
        <f>AND(IF(Metadata!J952="",FALSE,ISNUMBER(VALUE(Metadata!J952))),Metadata!J952&gt;0)</f>
        <v>0</v>
      </c>
      <c r="AK952">
        <f>AND(IF(Metadata!K952="",FALSE,TRUE),exact(Metadata!K952,"cm"))</f>
        <v>0</v>
      </c>
      <c r="AL952">
        <f>AND(IF(Metadata!L952="",FALSE,TRUE),exact(Metadata!L952,"Homo sapiens"))</f>
        <v>0</v>
      </c>
      <c r="AM952">
        <f>AND(IF(Metadata!M952="",FALSE,TRUE),exact(Metadata!M952,"9606"))</f>
        <v>0</v>
      </c>
      <c r="AN952">
        <f>AND(IF(Metadata!N952="",FALSE,ISNUMBER(VALUE(Metadata!N952))),Metadata!N952&gt;0)</f>
        <v>0</v>
      </c>
      <c r="AO952">
        <f>AND(IF(Metadata!O952="",FALSE,TRUE),exact(Metadata!O952,"kg"))</f>
        <v>0</v>
      </c>
      <c r="AP952">
        <f>OR(AND(IF(Metadata!P952="",FALSE,TRUE),exact(Metadata!P952,"not provided")),IF(Metadata!P952="",FALSE,TRUE))</f>
        <v>0</v>
      </c>
      <c r="AQ952">
        <f>OR(AND(IF(Metadata!Q952="",FALSE,TRUE),exact(Metadata!Q952,"not provided")),IF(Metadata!Q952="",FALSE,TRUE))</f>
        <v>0</v>
      </c>
    </row>
    <row r="953" spans="1:43">
      <c r="A953" s="4">
        <f>IF(B953=" "," ",HYPERLINK(CONCATENATE("#metadata!",ADDRESS(INDEX($W$2:$W$1001,MATCH(ROWS($U$2:U953),$U$2:$U$1001,0),0),2)),INDEX($Z$2:$Z$1001,MATCH(ROWS($U$2:U953),$U$2:$U$1001,0),0)))</f>
        <v>0</v>
      </c>
      <c r="B953" s="5">
        <f>IF(OR(INDEX($V$2:$V$1001,MATCH(ROWS($U$2:U953),$U$2:$U$1001,0),1)&gt;=100000,INDEX($AB$1005:$AQ$1005,1,MATCH(COLUMNS($AB$1006:AB1006),$AB$1006:$AQ$1006,0))&gt;=100000), " ",IF(INDEX($AB$2:$AQ$1001,MATCH(ROWS($U$2:U953),$U$2:$U$1001,0),MATCH(COLUMNS($AB$1006:AB1006),$AB$1006:$AQ$1006,0)), HYPERLINK("#",""), HYPERLINK(CONCATENATE("#Metadata!", ADDRESS(INDEX($W$2:$W$1001,MATCH(ROWS($U$2:U953),$U$2:$U$1001,0),0), INDEX($AB$1004:$AQ$1004,1,MATCH(COLUMNS($AB$1006:AB1006),$AB$1006:$AQ$1006,0)))),"Fix")))</f>
        <v>0</v>
      </c>
      <c r="C953" s="5">
        <f>IF(OR(INDEX($V$2:$V$1001,MATCH(ROWS($U$2:U953),$U$2:$U$1001,0),1)&gt;=100000,INDEX($AB$1005:$AQ$1005,1,MATCH(COLUMNS($AB$1006:AC1006),$AB$1006:$AQ$1006,0))&gt;=100000), " ",IF(INDEX($AB$2:$AQ$1001,MATCH(ROWS($U$2:U953),$U$2:$U$1001,0),MATCH(COLUMNS($AB$1006:AC1006),$AB$1006:$AQ$1006,0)), HYPERLINK("#",""), HYPERLINK(CONCATENATE("#Metadata!", ADDRESS(INDEX($W$2:$W$1001,MATCH(ROWS($U$2:U953),$U$2:$U$1001,0),0), INDEX($AB$1004:$AQ$1004,1,MATCH(COLUMNS($AB$1006:AC1006),$AB$1006:$AQ$1006,0)))),"Fix")))</f>
        <v>0</v>
      </c>
      <c r="D953" s="5">
        <f>IF(OR(INDEX($V$2:$V$1001,MATCH(ROWS($U$2:U953),$U$2:$U$1001,0),1)&gt;=100000,INDEX($AB$1005:$AQ$1005,1,MATCH(COLUMNS($AB$1006:AD1006),$AB$1006:$AQ$1006,0))&gt;=100000), " ",IF(INDEX($AB$2:$AQ$1001,MATCH(ROWS($U$2:U953),$U$2:$U$1001,0),MATCH(COLUMNS($AB$1006:AD1006),$AB$1006:$AQ$1006,0)), HYPERLINK("#",""), HYPERLINK(CONCATENATE("#Metadata!", ADDRESS(INDEX($W$2:$W$1001,MATCH(ROWS($U$2:U953),$U$2:$U$1001,0),0), INDEX($AB$1004:$AQ$1004,1,MATCH(COLUMNS($AB$1006:AD1006),$AB$1006:$AQ$1006,0)))),"Fix")))</f>
        <v>0</v>
      </c>
      <c r="E953" s="5">
        <f>IF(OR(INDEX($V$2:$V$1001,MATCH(ROWS($U$2:U953),$U$2:$U$1001,0),1)&gt;=100000,INDEX($AB$1005:$AQ$1005,1,MATCH(COLUMNS($AB$1006:AE1006),$AB$1006:$AQ$1006,0))&gt;=100000), " ",IF(INDEX($AB$2:$AQ$1001,MATCH(ROWS($U$2:U953),$U$2:$U$1001,0),MATCH(COLUMNS($AB$1006:AE1006),$AB$1006:$AQ$1006,0)), HYPERLINK("#",""), HYPERLINK(CONCATENATE("#Metadata!", ADDRESS(INDEX($W$2:$W$1001,MATCH(ROWS($U$2:U953),$U$2:$U$1001,0),0), INDEX($AB$1004:$AQ$1004,1,MATCH(COLUMNS($AB$1006:AE1006),$AB$1006:$AQ$1006,0)))),"Fix")))</f>
        <v>0</v>
      </c>
      <c r="F953" s="5">
        <f>IF(OR(INDEX($V$2:$V$1001,MATCH(ROWS($U$2:U953),$U$2:$U$1001,0),1)&gt;=100000,INDEX($AB$1005:$AQ$1005,1,MATCH(COLUMNS($AB$1006:AF1006),$AB$1006:$AQ$1006,0))&gt;=100000), " ",IF(INDEX($AB$2:$AQ$1001,MATCH(ROWS($U$2:U953),$U$2:$U$1001,0),MATCH(COLUMNS($AB$1006:AF1006),$AB$1006:$AQ$1006,0)), HYPERLINK("#",""), HYPERLINK(CONCATENATE("#Metadata!", ADDRESS(INDEX($W$2:$W$1001,MATCH(ROWS($U$2:U953),$U$2:$U$1001,0),0), INDEX($AB$1004:$AQ$1004,1,MATCH(COLUMNS($AB$1006:AF1006),$AB$1006:$AQ$1006,0)))),"Fix")))</f>
        <v>0</v>
      </c>
      <c r="G953" s="5">
        <f>IF(OR(INDEX($V$2:$V$1001,MATCH(ROWS($U$2:U953),$U$2:$U$1001,0),1)&gt;=100000,INDEX($AB$1005:$AQ$1005,1,MATCH(COLUMNS($AB$1006:AG1006),$AB$1006:$AQ$1006,0))&gt;=100000), " ",IF(INDEX($AB$2:$AQ$1001,MATCH(ROWS($U$2:U953),$U$2:$U$1001,0),MATCH(COLUMNS($AB$1006:AG1006),$AB$1006:$AQ$1006,0)), HYPERLINK("#",""), HYPERLINK(CONCATENATE("#Metadata!", ADDRESS(INDEX($W$2:$W$1001,MATCH(ROWS($U$2:U953),$U$2:$U$1001,0),0), INDEX($AB$1004:$AQ$1004,1,MATCH(COLUMNS($AB$1006:AG1006),$AB$1006:$AQ$1006,0)))),"Fix")))</f>
        <v>0</v>
      </c>
      <c r="H953" s="5">
        <f>IF(OR(INDEX($V$2:$V$1001,MATCH(ROWS($U$2:U953),$U$2:$U$1001,0),1)&gt;=100000,INDEX($AB$1005:$AQ$1005,1,MATCH(COLUMNS($AB$1006:AH1006),$AB$1006:$AQ$1006,0))&gt;=100000), " ",IF(INDEX($AB$2:$AQ$1001,MATCH(ROWS($U$2:U953),$U$2:$U$1001,0),MATCH(COLUMNS($AB$1006:AH1006),$AB$1006:$AQ$1006,0)), HYPERLINK("#",""), HYPERLINK(CONCATENATE("#Metadata!", ADDRESS(INDEX($W$2:$W$1001,MATCH(ROWS($U$2:U953),$U$2:$U$1001,0),0), INDEX($AB$1004:$AQ$1004,1,MATCH(COLUMNS($AB$1006:AH1006),$AB$1006:$AQ$1006,0)))),"Fix")))</f>
        <v>0</v>
      </c>
      <c r="I953" s="5">
        <f>IF(OR(INDEX($V$2:$V$1001,MATCH(ROWS($U$2:U953),$U$2:$U$1001,0),1)&gt;=100000,INDEX($AB$1005:$AQ$1005,1,MATCH(COLUMNS($AB$1006:AI1006),$AB$1006:$AQ$1006,0))&gt;=100000), " ",IF(INDEX($AB$2:$AQ$1001,MATCH(ROWS($U$2:U953),$U$2:$U$1001,0),MATCH(COLUMNS($AB$1006:AI1006),$AB$1006:$AQ$1006,0)), HYPERLINK("#",""), HYPERLINK(CONCATENATE("#Metadata!", ADDRESS(INDEX($W$2:$W$1001,MATCH(ROWS($U$2:U953),$U$2:$U$1001,0),0), INDEX($AB$1004:$AQ$1004,1,MATCH(COLUMNS($AB$1006:AI1006),$AB$1006:$AQ$1006,0)))),"Fix")))</f>
        <v>0</v>
      </c>
      <c r="J953" s="5">
        <f>IF(OR(INDEX($V$2:$V$1001,MATCH(ROWS($U$2:U953),$U$2:$U$1001,0),1)&gt;=100000,INDEX($AB$1005:$AQ$1005,1,MATCH(COLUMNS($AB$1006:AJ1006),$AB$1006:$AQ$1006,0))&gt;=100000), " ",IF(INDEX($AB$2:$AQ$1001,MATCH(ROWS($U$2:U953),$U$2:$U$1001,0),MATCH(COLUMNS($AB$1006:AJ1006),$AB$1006:$AQ$1006,0)), HYPERLINK("#",""), HYPERLINK(CONCATENATE("#Metadata!", ADDRESS(INDEX($W$2:$W$1001,MATCH(ROWS($U$2:U953),$U$2:$U$1001,0),0), INDEX($AB$1004:$AQ$1004,1,MATCH(COLUMNS($AB$1006:AJ1006),$AB$1006:$AQ$1006,0)))),"Fix")))</f>
        <v>0</v>
      </c>
      <c r="K953" s="5">
        <f>IF(OR(INDEX($V$2:$V$1001,MATCH(ROWS($U$2:U953),$U$2:$U$1001,0),1)&gt;=100000,INDEX($AB$1005:$AQ$1005,1,MATCH(COLUMNS($AB$1006:AK1006),$AB$1006:$AQ$1006,0))&gt;=100000), " ",IF(INDEX($AB$2:$AQ$1001,MATCH(ROWS($U$2:U953),$U$2:$U$1001,0),MATCH(COLUMNS($AB$1006:AK1006),$AB$1006:$AQ$1006,0)), HYPERLINK("#",""), HYPERLINK(CONCATENATE("#Metadata!", ADDRESS(INDEX($W$2:$W$1001,MATCH(ROWS($U$2:U953),$U$2:$U$1001,0),0), INDEX($AB$1004:$AQ$1004,1,MATCH(COLUMNS($AB$1006:AK1006),$AB$1006:$AQ$1006,0)))),"Fix")))</f>
        <v>0</v>
      </c>
      <c r="L953" s="5">
        <f>IF(OR(INDEX($V$2:$V$1001,MATCH(ROWS($U$2:U953),$U$2:$U$1001,0),1)&gt;=100000,INDEX($AB$1005:$AQ$1005,1,MATCH(COLUMNS($AB$1006:AL1006),$AB$1006:$AQ$1006,0))&gt;=100000), " ",IF(INDEX($AB$2:$AQ$1001,MATCH(ROWS($U$2:U953),$U$2:$U$1001,0),MATCH(COLUMNS($AB$1006:AL1006),$AB$1006:$AQ$1006,0)), HYPERLINK("#",""), HYPERLINK(CONCATENATE("#Metadata!", ADDRESS(INDEX($W$2:$W$1001,MATCH(ROWS($U$2:U953),$U$2:$U$1001,0),0), INDEX($AB$1004:$AQ$1004,1,MATCH(COLUMNS($AB$1006:AL1006),$AB$1006:$AQ$1006,0)))),"Fix")))</f>
        <v>0</v>
      </c>
      <c r="M953" s="5">
        <f>IF(OR(INDEX($V$2:$V$1001,MATCH(ROWS($U$2:U953),$U$2:$U$1001,0),1)&gt;=100000,INDEX($AB$1005:$AQ$1005,1,MATCH(COLUMNS($AB$1006:AM1006),$AB$1006:$AQ$1006,0))&gt;=100000), " ",IF(INDEX($AB$2:$AQ$1001,MATCH(ROWS($U$2:U953),$U$2:$U$1001,0),MATCH(COLUMNS($AB$1006:AM1006),$AB$1006:$AQ$1006,0)), HYPERLINK("#",""), HYPERLINK(CONCATENATE("#Metadata!", ADDRESS(INDEX($W$2:$W$1001,MATCH(ROWS($U$2:U953),$U$2:$U$1001,0),0), INDEX($AB$1004:$AQ$1004,1,MATCH(COLUMNS($AB$1006:AM1006),$AB$1006:$AQ$1006,0)))),"Fix")))</f>
        <v>0</v>
      </c>
      <c r="N953" s="5">
        <f>IF(OR(INDEX($V$2:$V$1001,MATCH(ROWS($U$2:U953),$U$2:$U$1001,0),1)&gt;=100000,INDEX($AB$1005:$AQ$1005,1,MATCH(COLUMNS($AB$1006:AN1006),$AB$1006:$AQ$1006,0))&gt;=100000), " ",IF(INDEX($AB$2:$AQ$1001,MATCH(ROWS($U$2:U953),$U$2:$U$1001,0),MATCH(COLUMNS($AB$1006:AN1006),$AB$1006:$AQ$1006,0)), HYPERLINK("#",""), HYPERLINK(CONCATENATE("#Metadata!", ADDRESS(INDEX($W$2:$W$1001,MATCH(ROWS($U$2:U953),$U$2:$U$1001,0),0), INDEX($AB$1004:$AQ$1004,1,MATCH(COLUMNS($AB$1006:AN1006),$AB$1006:$AQ$1006,0)))),"Fix")))</f>
        <v>0</v>
      </c>
      <c r="O953" s="5">
        <f>IF(OR(INDEX($V$2:$V$1001,MATCH(ROWS($U$2:U953),$U$2:$U$1001,0),1)&gt;=100000,INDEX($AB$1005:$AQ$1005,1,MATCH(COLUMNS($AB$1006:AO1006),$AB$1006:$AQ$1006,0))&gt;=100000), " ",IF(INDEX($AB$2:$AQ$1001,MATCH(ROWS($U$2:U953),$U$2:$U$1001,0),MATCH(COLUMNS($AB$1006:AO1006),$AB$1006:$AQ$1006,0)), HYPERLINK("#",""), HYPERLINK(CONCATENATE("#Metadata!", ADDRESS(INDEX($W$2:$W$1001,MATCH(ROWS($U$2:U953),$U$2:$U$1001,0),0), INDEX($AB$1004:$AQ$1004,1,MATCH(COLUMNS($AB$1006:AO1006),$AB$1006:$AQ$1006,0)))),"Fix")))</f>
        <v>0</v>
      </c>
      <c r="P953" s="5">
        <f>IF(OR(INDEX($V$2:$V$1001,MATCH(ROWS($U$2:U953),$U$2:$U$1001,0),1)&gt;=100000,INDEX($AB$1005:$AQ$1005,1,MATCH(COLUMNS($AB$1006:AP1006),$AB$1006:$AQ$1006,0))&gt;=100000), " ",IF(INDEX($AB$2:$AQ$1001,MATCH(ROWS($U$2:U953),$U$2:$U$1001,0),MATCH(COLUMNS($AB$1006:AP1006),$AB$1006:$AQ$1006,0)), HYPERLINK("#",""), HYPERLINK(CONCATENATE("#Metadata!", ADDRESS(INDEX($W$2:$W$1001,MATCH(ROWS($U$2:U953),$U$2:$U$1001,0),0), INDEX($AB$1004:$AQ$1004,1,MATCH(COLUMNS($AB$1006:AP1006),$AB$1006:$AQ$1006,0)))),"Fix")))</f>
        <v>0</v>
      </c>
      <c r="Q953" s="5">
        <f>IF(OR(INDEX($V$2:$V$1001,MATCH(ROWS($U$2:U953),$U$2:$U$1001,0),1)&gt;=100000,INDEX($AB$1005:$AQ$1005,1,MATCH(COLUMNS($AB$1006:AQ1006),$AB$1006:$AQ$1006,0))&gt;=100000), " ",IF(INDEX($AB$2:$AQ$1001,MATCH(ROWS($U$2:U953),$U$2:$U$1001,0),MATCH(COLUMNS($AB$1006:AQ1006),$AB$1006:$AQ$1006,0)), HYPERLINK("#",""), HYPERLINK(CONCATENATE("#Metadata!", ADDRESS(INDEX($W$2:$W$1001,MATCH(ROWS($U$2:U953),$U$2:$U$1001,0),0), INDEX($AB$1004:$AQ$1004,1,MATCH(COLUMNS($AB$1006:AQ1006),$AB$1006:$AQ$1006,0)))),"Fix")))</f>
        <v>0</v>
      </c>
      <c r="U953">
        <v>0</v>
      </c>
      <c r="V953">
        <v>0</v>
      </c>
      <c r="W953">
        <v>0</v>
      </c>
      <c r="X953">
        <f>IF(Y953,TRUE,AND(AB953:AQ953))</f>
        <v>0</v>
      </c>
      <c r="Y953">
        <f>COUNTBLANK(Metadata!B953:Q953)=COLUMNS(Metadata!B953:Q953)</f>
        <v>0</v>
      </c>
      <c r="Z953">
        <v>0</v>
      </c>
      <c r="AB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AC953">
        <f>AND(IF(Metadata!C953="",FALSE,TRUE),exact(Metadata!C953,"urban biome"))</f>
        <v>0</v>
      </c>
      <c r="AD953">
        <f>AND(IF(Metadata!D953="",FALSE,TRUE),exact(Metadata!D953,"human-associated habitat"))</f>
        <v>0</v>
      </c>
      <c r="AE953">
        <f>AND(IF(Metadata!E953="",FALSE,TRUE),OR(exact(Metadata!E953,"human-associated"),exact(Metadata!E953,"human-skin"),exact(Metadata!E953,"human-oral"),exact(Metadata!E953,"human-gut"),exact(Metadata!E953,"human-vaginal")))</f>
        <v>0</v>
      </c>
      <c r="AF953">
        <f>AND(IF(Metadata!F953="",FALSE,ISNUMBER(VALUE(Metadata!F953))),Metadata!F953&gt;0)</f>
        <v>0</v>
      </c>
      <c r="AG953">
        <f>AND(IF(Metadata!G953="",FALSE,TRUE),exact(Metadata!G953,"years"))</f>
        <v>0</v>
      </c>
      <c r="AH953">
        <f>OR(AND(IF(Metadata!H953="",FALSE,TRUE),OR(exact(Metadata!H953,"not applicable"),exact(Metadata!H953,"not collected"),exact(Metadata!H953,"not provided"),exact(Metadata!H953,"restricted access"))),AND(IF(Metadata!H953="",FALSE,ISNUMBER(VALUE(Metadata!H953))),Metadata!H953&gt;0))</f>
        <v>0</v>
      </c>
      <c r="AI953">
        <f>AND(IF(Metadata!I953="",FALSE,TRUE),exact(Metadata!I953,"human"))</f>
        <v>0</v>
      </c>
      <c r="AJ953">
        <f>AND(IF(Metadata!J953="",FALSE,ISNUMBER(VALUE(Metadata!J953))),Metadata!J953&gt;0)</f>
        <v>0</v>
      </c>
      <c r="AK953">
        <f>AND(IF(Metadata!K953="",FALSE,TRUE),exact(Metadata!K953,"cm"))</f>
        <v>0</v>
      </c>
      <c r="AL953">
        <f>AND(IF(Metadata!L953="",FALSE,TRUE),exact(Metadata!L953,"Homo sapiens"))</f>
        <v>0</v>
      </c>
      <c r="AM953">
        <f>AND(IF(Metadata!M953="",FALSE,TRUE),exact(Metadata!M953,"9606"))</f>
        <v>0</v>
      </c>
      <c r="AN953">
        <f>AND(IF(Metadata!N953="",FALSE,ISNUMBER(VALUE(Metadata!N953))),Metadata!N953&gt;0)</f>
        <v>0</v>
      </c>
      <c r="AO953">
        <f>AND(IF(Metadata!O953="",FALSE,TRUE),exact(Metadata!O953,"kg"))</f>
        <v>0</v>
      </c>
      <c r="AP953">
        <f>OR(AND(IF(Metadata!P953="",FALSE,TRUE),exact(Metadata!P953,"not provided")),IF(Metadata!P953="",FALSE,TRUE))</f>
        <v>0</v>
      </c>
      <c r="AQ953">
        <f>OR(AND(IF(Metadata!Q953="",FALSE,TRUE),exact(Metadata!Q953,"not provided")),IF(Metadata!Q953="",FALSE,TRUE))</f>
        <v>0</v>
      </c>
    </row>
    <row r="954" spans="1:43">
      <c r="A954" s="4">
        <f>IF(B954=" "," ",HYPERLINK(CONCATENATE("#metadata!",ADDRESS(INDEX($W$2:$W$1001,MATCH(ROWS($U$2:U954),$U$2:$U$1001,0),0),2)),INDEX($Z$2:$Z$1001,MATCH(ROWS($U$2:U954),$U$2:$U$1001,0),0)))</f>
        <v>0</v>
      </c>
      <c r="B954" s="5">
        <f>IF(OR(INDEX($V$2:$V$1001,MATCH(ROWS($U$2:U954),$U$2:$U$1001,0),1)&gt;=100000,INDEX($AB$1005:$AQ$1005,1,MATCH(COLUMNS($AB$1006:AB1006),$AB$1006:$AQ$1006,0))&gt;=100000), " ",IF(INDEX($AB$2:$AQ$1001,MATCH(ROWS($U$2:U954),$U$2:$U$1001,0),MATCH(COLUMNS($AB$1006:AB1006),$AB$1006:$AQ$1006,0)), HYPERLINK("#",""), HYPERLINK(CONCATENATE("#Metadata!", ADDRESS(INDEX($W$2:$W$1001,MATCH(ROWS($U$2:U954),$U$2:$U$1001,0),0), INDEX($AB$1004:$AQ$1004,1,MATCH(COLUMNS($AB$1006:AB1006),$AB$1006:$AQ$1006,0)))),"Fix")))</f>
        <v>0</v>
      </c>
      <c r="C954" s="5">
        <f>IF(OR(INDEX($V$2:$V$1001,MATCH(ROWS($U$2:U954),$U$2:$U$1001,0),1)&gt;=100000,INDEX($AB$1005:$AQ$1005,1,MATCH(COLUMNS($AB$1006:AC1006),$AB$1006:$AQ$1006,0))&gt;=100000), " ",IF(INDEX($AB$2:$AQ$1001,MATCH(ROWS($U$2:U954),$U$2:$U$1001,0),MATCH(COLUMNS($AB$1006:AC1006),$AB$1006:$AQ$1006,0)), HYPERLINK("#",""), HYPERLINK(CONCATENATE("#Metadata!", ADDRESS(INDEX($W$2:$W$1001,MATCH(ROWS($U$2:U954),$U$2:$U$1001,0),0), INDEX($AB$1004:$AQ$1004,1,MATCH(COLUMNS($AB$1006:AC1006),$AB$1006:$AQ$1006,0)))),"Fix")))</f>
        <v>0</v>
      </c>
      <c r="D954" s="5">
        <f>IF(OR(INDEX($V$2:$V$1001,MATCH(ROWS($U$2:U954),$U$2:$U$1001,0),1)&gt;=100000,INDEX($AB$1005:$AQ$1005,1,MATCH(COLUMNS($AB$1006:AD1006),$AB$1006:$AQ$1006,0))&gt;=100000), " ",IF(INDEX($AB$2:$AQ$1001,MATCH(ROWS($U$2:U954),$U$2:$U$1001,0),MATCH(COLUMNS($AB$1006:AD1006),$AB$1006:$AQ$1006,0)), HYPERLINK("#",""), HYPERLINK(CONCATENATE("#Metadata!", ADDRESS(INDEX($W$2:$W$1001,MATCH(ROWS($U$2:U954),$U$2:$U$1001,0),0), INDEX($AB$1004:$AQ$1004,1,MATCH(COLUMNS($AB$1006:AD1006),$AB$1006:$AQ$1006,0)))),"Fix")))</f>
        <v>0</v>
      </c>
      <c r="E954" s="5">
        <f>IF(OR(INDEX($V$2:$V$1001,MATCH(ROWS($U$2:U954),$U$2:$U$1001,0),1)&gt;=100000,INDEX($AB$1005:$AQ$1005,1,MATCH(COLUMNS($AB$1006:AE1006),$AB$1006:$AQ$1006,0))&gt;=100000), " ",IF(INDEX($AB$2:$AQ$1001,MATCH(ROWS($U$2:U954),$U$2:$U$1001,0),MATCH(COLUMNS($AB$1006:AE1006),$AB$1006:$AQ$1006,0)), HYPERLINK("#",""), HYPERLINK(CONCATENATE("#Metadata!", ADDRESS(INDEX($W$2:$W$1001,MATCH(ROWS($U$2:U954),$U$2:$U$1001,0),0), INDEX($AB$1004:$AQ$1004,1,MATCH(COLUMNS($AB$1006:AE1006),$AB$1006:$AQ$1006,0)))),"Fix")))</f>
        <v>0</v>
      </c>
      <c r="F954" s="5">
        <f>IF(OR(INDEX($V$2:$V$1001,MATCH(ROWS($U$2:U954),$U$2:$U$1001,0),1)&gt;=100000,INDEX($AB$1005:$AQ$1005,1,MATCH(COLUMNS($AB$1006:AF1006),$AB$1006:$AQ$1006,0))&gt;=100000), " ",IF(INDEX($AB$2:$AQ$1001,MATCH(ROWS($U$2:U954),$U$2:$U$1001,0),MATCH(COLUMNS($AB$1006:AF1006),$AB$1006:$AQ$1006,0)), HYPERLINK("#",""), HYPERLINK(CONCATENATE("#Metadata!", ADDRESS(INDEX($W$2:$W$1001,MATCH(ROWS($U$2:U954),$U$2:$U$1001,0),0), INDEX($AB$1004:$AQ$1004,1,MATCH(COLUMNS($AB$1006:AF1006),$AB$1006:$AQ$1006,0)))),"Fix")))</f>
        <v>0</v>
      </c>
      <c r="G954" s="5">
        <f>IF(OR(INDEX($V$2:$V$1001,MATCH(ROWS($U$2:U954),$U$2:$U$1001,0),1)&gt;=100000,INDEX($AB$1005:$AQ$1005,1,MATCH(COLUMNS($AB$1006:AG1006),$AB$1006:$AQ$1006,0))&gt;=100000), " ",IF(INDEX($AB$2:$AQ$1001,MATCH(ROWS($U$2:U954),$U$2:$U$1001,0),MATCH(COLUMNS($AB$1006:AG1006),$AB$1006:$AQ$1006,0)), HYPERLINK("#",""), HYPERLINK(CONCATENATE("#Metadata!", ADDRESS(INDEX($W$2:$W$1001,MATCH(ROWS($U$2:U954),$U$2:$U$1001,0),0), INDEX($AB$1004:$AQ$1004,1,MATCH(COLUMNS($AB$1006:AG1006),$AB$1006:$AQ$1006,0)))),"Fix")))</f>
        <v>0</v>
      </c>
      <c r="H954" s="5">
        <f>IF(OR(INDEX($V$2:$V$1001,MATCH(ROWS($U$2:U954),$U$2:$U$1001,0),1)&gt;=100000,INDEX($AB$1005:$AQ$1005,1,MATCH(COLUMNS($AB$1006:AH1006),$AB$1006:$AQ$1006,0))&gt;=100000), " ",IF(INDEX($AB$2:$AQ$1001,MATCH(ROWS($U$2:U954),$U$2:$U$1001,0),MATCH(COLUMNS($AB$1006:AH1006),$AB$1006:$AQ$1006,0)), HYPERLINK("#",""), HYPERLINK(CONCATENATE("#Metadata!", ADDRESS(INDEX($W$2:$W$1001,MATCH(ROWS($U$2:U954),$U$2:$U$1001,0),0), INDEX($AB$1004:$AQ$1004,1,MATCH(COLUMNS($AB$1006:AH1006),$AB$1006:$AQ$1006,0)))),"Fix")))</f>
        <v>0</v>
      </c>
      <c r="I954" s="5">
        <f>IF(OR(INDEX($V$2:$V$1001,MATCH(ROWS($U$2:U954),$U$2:$U$1001,0),1)&gt;=100000,INDEX($AB$1005:$AQ$1005,1,MATCH(COLUMNS($AB$1006:AI1006),$AB$1006:$AQ$1006,0))&gt;=100000), " ",IF(INDEX($AB$2:$AQ$1001,MATCH(ROWS($U$2:U954),$U$2:$U$1001,0),MATCH(COLUMNS($AB$1006:AI1006),$AB$1006:$AQ$1006,0)), HYPERLINK("#",""), HYPERLINK(CONCATENATE("#Metadata!", ADDRESS(INDEX($W$2:$W$1001,MATCH(ROWS($U$2:U954),$U$2:$U$1001,0),0), INDEX($AB$1004:$AQ$1004,1,MATCH(COLUMNS($AB$1006:AI1006),$AB$1006:$AQ$1006,0)))),"Fix")))</f>
        <v>0</v>
      </c>
      <c r="J954" s="5">
        <f>IF(OR(INDEX($V$2:$V$1001,MATCH(ROWS($U$2:U954),$U$2:$U$1001,0),1)&gt;=100000,INDEX($AB$1005:$AQ$1005,1,MATCH(COLUMNS($AB$1006:AJ1006),$AB$1006:$AQ$1006,0))&gt;=100000), " ",IF(INDEX($AB$2:$AQ$1001,MATCH(ROWS($U$2:U954),$U$2:$U$1001,0),MATCH(COLUMNS($AB$1006:AJ1006),$AB$1006:$AQ$1006,0)), HYPERLINK("#",""), HYPERLINK(CONCATENATE("#Metadata!", ADDRESS(INDEX($W$2:$W$1001,MATCH(ROWS($U$2:U954),$U$2:$U$1001,0),0), INDEX($AB$1004:$AQ$1004,1,MATCH(COLUMNS($AB$1006:AJ1006),$AB$1006:$AQ$1006,0)))),"Fix")))</f>
        <v>0</v>
      </c>
      <c r="K954" s="5">
        <f>IF(OR(INDEX($V$2:$V$1001,MATCH(ROWS($U$2:U954),$U$2:$U$1001,0),1)&gt;=100000,INDEX($AB$1005:$AQ$1005,1,MATCH(COLUMNS($AB$1006:AK1006),$AB$1006:$AQ$1006,0))&gt;=100000), " ",IF(INDEX($AB$2:$AQ$1001,MATCH(ROWS($U$2:U954),$U$2:$U$1001,0),MATCH(COLUMNS($AB$1006:AK1006),$AB$1006:$AQ$1006,0)), HYPERLINK("#",""), HYPERLINK(CONCATENATE("#Metadata!", ADDRESS(INDEX($W$2:$W$1001,MATCH(ROWS($U$2:U954),$U$2:$U$1001,0),0), INDEX($AB$1004:$AQ$1004,1,MATCH(COLUMNS($AB$1006:AK1006),$AB$1006:$AQ$1006,0)))),"Fix")))</f>
        <v>0</v>
      </c>
      <c r="L954" s="5">
        <f>IF(OR(INDEX($V$2:$V$1001,MATCH(ROWS($U$2:U954),$U$2:$U$1001,0),1)&gt;=100000,INDEX($AB$1005:$AQ$1005,1,MATCH(COLUMNS($AB$1006:AL1006),$AB$1006:$AQ$1006,0))&gt;=100000), " ",IF(INDEX($AB$2:$AQ$1001,MATCH(ROWS($U$2:U954),$U$2:$U$1001,0),MATCH(COLUMNS($AB$1006:AL1006),$AB$1006:$AQ$1006,0)), HYPERLINK("#",""), HYPERLINK(CONCATENATE("#Metadata!", ADDRESS(INDEX($W$2:$W$1001,MATCH(ROWS($U$2:U954),$U$2:$U$1001,0),0), INDEX($AB$1004:$AQ$1004,1,MATCH(COLUMNS($AB$1006:AL1006),$AB$1006:$AQ$1006,0)))),"Fix")))</f>
        <v>0</v>
      </c>
      <c r="M954" s="5">
        <f>IF(OR(INDEX($V$2:$V$1001,MATCH(ROWS($U$2:U954),$U$2:$U$1001,0),1)&gt;=100000,INDEX($AB$1005:$AQ$1005,1,MATCH(COLUMNS($AB$1006:AM1006),$AB$1006:$AQ$1006,0))&gt;=100000), " ",IF(INDEX($AB$2:$AQ$1001,MATCH(ROWS($U$2:U954),$U$2:$U$1001,0),MATCH(COLUMNS($AB$1006:AM1006),$AB$1006:$AQ$1006,0)), HYPERLINK("#",""), HYPERLINK(CONCATENATE("#Metadata!", ADDRESS(INDEX($W$2:$W$1001,MATCH(ROWS($U$2:U954),$U$2:$U$1001,0),0), INDEX($AB$1004:$AQ$1004,1,MATCH(COLUMNS($AB$1006:AM1006),$AB$1006:$AQ$1006,0)))),"Fix")))</f>
        <v>0</v>
      </c>
      <c r="N954" s="5">
        <f>IF(OR(INDEX($V$2:$V$1001,MATCH(ROWS($U$2:U954),$U$2:$U$1001,0),1)&gt;=100000,INDEX($AB$1005:$AQ$1005,1,MATCH(COLUMNS($AB$1006:AN1006),$AB$1006:$AQ$1006,0))&gt;=100000), " ",IF(INDEX($AB$2:$AQ$1001,MATCH(ROWS($U$2:U954),$U$2:$U$1001,0),MATCH(COLUMNS($AB$1006:AN1006),$AB$1006:$AQ$1006,0)), HYPERLINK("#",""), HYPERLINK(CONCATENATE("#Metadata!", ADDRESS(INDEX($W$2:$W$1001,MATCH(ROWS($U$2:U954),$U$2:$U$1001,0),0), INDEX($AB$1004:$AQ$1004,1,MATCH(COLUMNS($AB$1006:AN1006),$AB$1006:$AQ$1006,0)))),"Fix")))</f>
        <v>0</v>
      </c>
      <c r="O954" s="5">
        <f>IF(OR(INDEX($V$2:$V$1001,MATCH(ROWS($U$2:U954),$U$2:$U$1001,0),1)&gt;=100000,INDEX($AB$1005:$AQ$1005,1,MATCH(COLUMNS($AB$1006:AO1006),$AB$1006:$AQ$1006,0))&gt;=100000), " ",IF(INDEX($AB$2:$AQ$1001,MATCH(ROWS($U$2:U954),$U$2:$U$1001,0),MATCH(COLUMNS($AB$1006:AO1006),$AB$1006:$AQ$1006,0)), HYPERLINK("#",""), HYPERLINK(CONCATENATE("#Metadata!", ADDRESS(INDEX($W$2:$W$1001,MATCH(ROWS($U$2:U954),$U$2:$U$1001,0),0), INDEX($AB$1004:$AQ$1004,1,MATCH(COLUMNS($AB$1006:AO1006),$AB$1006:$AQ$1006,0)))),"Fix")))</f>
        <v>0</v>
      </c>
      <c r="P954" s="5">
        <f>IF(OR(INDEX($V$2:$V$1001,MATCH(ROWS($U$2:U954),$U$2:$U$1001,0),1)&gt;=100000,INDEX($AB$1005:$AQ$1005,1,MATCH(COLUMNS($AB$1006:AP1006),$AB$1006:$AQ$1006,0))&gt;=100000), " ",IF(INDEX($AB$2:$AQ$1001,MATCH(ROWS($U$2:U954),$U$2:$U$1001,0),MATCH(COLUMNS($AB$1006:AP1006),$AB$1006:$AQ$1006,0)), HYPERLINK("#",""), HYPERLINK(CONCATENATE("#Metadata!", ADDRESS(INDEX($W$2:$W$1001,MATCH(ROWS($U$2:U954),$U$2:$U$1001,0),0), INDEX($AB$1004:$AQ$1004,1,MATCH(COLUMNS($AB$1006:AP1006),$AB$1006:$AQ$1006,0)))),"Fix")))</f>
        <v>0</v>
      </c>
      <c r="Q954" s="5">
        <f>IF(OR(INDEX($V$2:$V$1001,MATCH(ROWS($U$2:U954),$U$2:$U$1001,0),1)&gt;=100000,INDEX($AB$1005:$AQ$1005,1,MATCH(COLUMNS($AB$1006:AQ1006),$AB$1006:$AQ$1006,0))&gt;=100000), " ",IF(INDEX($AB$2:$AQ$1001,MATCH(ROWS($U$2:U954),$U$2:$U$1001,0),MATCH(COLUMNS($AB$1006:AQ1006),$AB$1006:$AQ$1006,0)), HYPERLINK("#",""), HYPERLINK(CONCATENATE("#Metadata!", ADDRESS(INDEX($W$2:$W$1001,MATCH(ROWS($U$2:U954),$U$2:$U$1001,0),0), INDEX($AB$1004:$AQ$1004,1,MATCH(COLUMNS($AB$1006:AQ1006),$AB$1006:$AQ$1006,0)))),"Fix")))</f>
        <v>0</v>
      </c>
      <c r="U954">
        <v>0</v>
      </c>
      <c r="V954">
        <v>0</v>
      </c>
      <c r="W954">
        <v>0</v>
      </c>
      <c r="X954">
        <f>IF(Y954,TRUE,AND(AB954:AQ954))</f>
        <v>0</v>
      </c>
      <c r="Y954">
        <f>COUNTBLANK(Metadata!B954:Q954)=COLUMNS(Metadata!B954:Q954)</f>
        <v>0</v>
      </c>
      <c r="Z954">
        <v>0</v>
      </c>
      <c r="AB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AC954">
        <f>AND(IF(Metadata!C954="",FALSE,TRUE),exact(Metadata!C954,"urban biome"))</f>
        <v>0</v>
      </c>
      <c r="AD954">
        <f>AND(IF(Metadata!D954="",FALSE,TRUE),exact(Metadata!D954,"human-associated habitat"))</f>
        <v>0</v>
      </c>
      <c r="AE954">
        <f>AND(IF(Metadata!E954="",FALSE,TRUE),OR(exact(Metadata!E954,"human-associated"),exact(Metadata!E954,"human-skin"),exact(Metadata!E954,"human-oral"),exact(Metadata!E954,"human-gut"),exact(Metadata!E954,"human-vaginal")))</f>
        <v>0</v>
      </c>
      <c r="AF954">
        <f>AND(IF(Metadata!F954="",FALSE,ISNUMBER(VALUE(Metadata!F954))),Metadata!F954&gt;0)</f>
        <v>0</v>
      </c>
      <c r="AG954">
        <f>AND(IF(Metadata!G954="",FALSE,TRUE),exact(Metadata!G954,"years"))</f>
        <v>0</v>
      </c>
      <c r="AH954">
        <f>OR(AND(IF(Metadata!H954="",FALSE,TRUE),OR(exact(Metadata!H954,"not applicable"),exact(Metadata!H954,"not collected"),exact(Metadata!H954,"not provided"),exact(Metadata!H954,"restricted access"))),AND(IF(Metadata!H954="",FALSE,ISNUMBER(VALUE(Metadata!H954))),Metadata!H954&gt;0))</f>
        <v>0</v>
      </c>
      <c r="AI954">
        <f>AND(IF(Metadata!I954="",FALSE,TRUE),exact(Metadata!I954,"human"))</f>
        <v>0</v>
      </c>
      <c r="AJ954">
        <f>AND(IF(Metadata!J954="",FALSE,ISNUMBER(VALUE(Metadata!J954))),Metadata!J954&gt;0)</f>
        <v>0</v>
      </c>
      <c r="AK954">
        <f>AND(IF(Metadata!K954="",FALSE,TRUE),exact(Metadata!K954,"cm"))</f>
        <v>0</v>
      </c>
      <c r="AL954">
        <f>AND(IF(Metadata!L954="",FALSE,TRUE),exact(Metadata!L954,"Homo sapiens"))</f>
        <v>0</v>
      </c>
      <c r="AM954">
        <f>AND(IF(Metadata!M954="",FALSE,TRUE),exact(Metadata!M954,"9606"))</f>
        <v>0</v>
      </c>
      <c r="AN954">
        <f>AND(IF(Metadata!N954="",FALSE,ISNUMBER(VALUE(Metadata!N954))),Metadata!N954&gt;0)</f>
        <v>0</v>
      </c>
      <c r="AO954">
        <f>AND(IF(Metadata!O954="",FALSE,TRUE),exact(Metadata!O954,"kg"))</f>
        <v>0</v>
      </c>
      <c r="AP954">
        <f>OR(AND(IF(Metadata!P954="",FALSE,TRUE),exact(Metadata!P954,"not provided")),IF(Metadata!P954="",FALSE,TRUE))</f>
        <v>0</v>
      </c>
      <c r="AQ954">
        <f>OR(AND(IF(Metadata!Q954="",FALSE,TRUE),exact(Metadata!Q954,"not provided")),IF(Metadata!Q954="",FALSE,TRUE))</f>
        <v>0</v>
      </c>
    </row>
    <row r="955" spans="1:43">
      <c r="A955" s="4">
        <f>IF(B955=" "," ",HYPERLINK(CONCATENATE("#metadata!",ADDRESS(INDEX($W$2:$W$1001,MATCH(ROWS($U$2:U955),$U$2:$U$1001,0),0),2)),INDEX($Z$2:$Z$1001,MATCH(ROWS($U$2:U955),$U$2:$U$1001,0),0)))</f>
        <v>0</v>
      </c>
      <c r="B955" s="5">
        <f>IF(OR(INDEX($V$2:$V$1001,MATCH(ROWS($U$2:U955),$U$2:$U$1001,0),1)&gt;=100000,INDEX($AB$1005:$AQ$1005,1,MATCH(COLUMNS($AB$1006:AB1006),$AB$1006:$AQ$1006,0))&gt;=100000), " ",IF(INDEX($AB$2:$AQ$1001,MATCH(ROWS($U$2:U955),$U$2:$U$1001,0),MATCH(COLUMNS($AB$1006:AB1006),$AB$1006:$AQ$1006,0)), HYPERLINK("#",""), HYPERLINK(CONCATENATE("#Metadata!", ADDRESS(INDEX($W$2:$W$1001,MATCH(ROWS($U$2:U955),$U$2:$U$1001,0),0), INDEX($AB$1004:$AQ$1004,1,MATCH(COLUMNS($AB$1006:AB1006),$AB$1006:$AQ$1006,0)))),"Fix")))</f>
        <v>0</v>
      </c>
      <c r="C955" s="5">
        <f>IF(OR(INDEX($V$2:$V$1001,MATCH(ROWS($U$2:U955),$U$2:$U$1001,0),1)&gt;=100000,INDEX($AB$1005:$AQ$1005,1,MATCH(COLUMNS($AB$1006:AC1006),$AB$1006:$AQ$1006,0))&gt;=100000), " ",IF(INDEX($AB$2:$AQ$1001,MATCH(ROWS($U$2:U955),$U$2:$U$1001,0),MATCH(COLUMNS($AB$1006:AC1006),$AB$1006:$AQ$1006,0)), HYPERLINK("#",""), HYPERLINK(CONCATENATE("#Metadata!", ADDRESS(INDEX($W$2:$W$1001,MATCH(ROWS($U$2:U955),$U$2:$U$1001,0),0), INDEX($AB$1004:$AQ$1004,1,MATCH(COLUMNS($AB$1006:AC1006),$AB$1006:$AQ$1006,0)))),"Fix")))</f>
        <v>0</v>
      </c>
      <c r="D955" s="5">
        <f>IF(OR(INDEX($V$2:$V$1001,MATCH(ROWS($U$2:U955),$U$2:$U$1001,0),1)&gt;=100000,INDEX($AB$1005:$AQ$1005,1,MATCH(COLUMNS($AB$1006:AD1006),$AB$1006:$AQ$1006,0))&gt;=100000), " ",IF(INDEX($AB$2:$AQ$1001,MATCH(ROWS($U$2:U955),$U$2:$U$1001,0),MATCH(COLUMNS($AB$1006:AD1006),$AB$1006:$AQ$1006,0)), HYPERLINK("#",""), HYPERLINK(CONCATENATE("#Metadata!", ADDRESS(INDEX($W$2:$W$1001,MATCH(ROWS($U$2:U955),$U$2:$U$1001,0),0), INDEX($AB$1004:$AQ$1004,1,MATCH(COLUMNS($AB$1006:AD1006),$AB$1006:$AQ$1006,0)))),"Fix")))</f>
        <v>0</v>
      </c>
      <c r="E955" s="5">
        <f>IF(OR(INDEX($V$2:$V$1001,MATCH(ROWS($U$2:U955),$U$2:$U$1001,0),1)&gt;=100000,INDEX($AB$1005:$AQ$1005,1,MATCH(COLUMNS($AB$1006:AE1006),$AB$1006:$AQ$1006,0))&gt;=100000), " ",IF(INDEX($AB$2:$AQ$1001,MATCH(ROWS($U$2:U955),$U$2:$U$1001,0),MATCH(COLUMNS($AB$1006:AE1006),$AB$1006:$AQ$1006,0)), HYPERLINK("#",""), HYPERLINK(CONCATENATE("#Metadata!", ADDRESS(INDEX($W$2:$W$1001,MATCH(ROWS($U$2:U955),$U$2:$U$1001,0),0), INDEX($AB$1004:$AQ$1004,1,MATCH(COLUMNS($AB$1006:AE1006),$AB$1006:$AQ$1006,0)))),"Fix")))</f>
        <v>0</v>
      </c>
      <c r="F955" s="5">
        <f>IF(OR(INDEX($V$2:$V$1001,MATCH(ROWS($U$2:U955),$U$2:$U$1001,0),1)&gt;=100000,INDEX($AB$1005:$AQ$1005,1,MATCH(COLUMNS($AB$1006:AF1006),$AB$1006:$AQ$1006,0))&gt;=100000), " ",IF(INDEX($AB$2:$AQ$1001,MATCH(ROWS($U$2:U955),$U$2:$U$1001,0),MATCH(COLUMNS($AB$1006:AF1006),$AB$1006:$AQ$1006,0)), HYPERLINK("#",""), HYPERLINK(CONCATENATE("#Metadata!", ADDRESS(INDEX($W$2:$W$1001,MATCH(ROWS($U$2:U955),$U$2:$U$1001,0),0), INDEX($AB$1004:$AQ$1004,1,MATCH(COLUMNS($AB$1006:AF1006),$AB$1006:$AQ$1006,0)))),"Fix")))</f>
        <v>0</v>
      </c>
      <c r="G955" s="5">
        <f>IF(OR(INDEX($V$2:$V$1001,MATCH(ROWS($U$2:U955),$U$2:$U$1001,0),1)&gt;=100000,INDEX($AB$1005:$AQ$1005,1,MATCH(COLUMNS($AB$1006:AG1006),$AB$1006:$AQ$1006,0))&gt;=100000), " ",IF(INDEX($AB$2:$AQ$1001,MATCH(ROWS($U$2:U955),$U$2:$U$1001,0),MATCH(COLUMNS($AB$1006:AG1006),$AB$1006:$AQ$1006,0)), HYPERLINK("#",""), HYPERLINK(CONCATENATE("#Metadata!", ADDRESS(INDEX($W$2:$W$1001,MATCH(ROWS($U$2:U955),$U$2:$U$1001,0),0), INDEX($AB$1004:$AQ$1004,1,MATCH(COLUMNS($AB$1006:AG1006),$AB$1006:$AQ$1006,0)))),"Fix")))</f>
        <v>0</v>
      </c>
      <c r="H955" s="5">
        <f>IF(OR(INDEX($V$2:$V$1001,MATCH(ROWS($U$2:U955),$U$2:$U$1001,0),1)&gt;=100000,INDEX($AB$1005:$AQ$1005,1,MATCH(COLUMNS($AB$1006:AH1006),$AB$1006:$AQ$1006,0))&gt;=100000), " ",IF(INDEX($AB$2:$AQ$1001,MATCH(ROWS($U$2:U955),$U$2:$U$1001,0),MATCH(COLUMNS($AB$1006:AH1006),$AB$1006:$AQ$1006,0)), HYPERLINK("#",""), HYPERLINK(CONCATENATE("#Metadata!", ADDRESS(INDEX($W$2:$W$1001,MATCH(ROWS($U$2:U955),$U$2:$U$1001,0),0), INDEX($AB$1004:$AQ$1004,1,MATCH(COLUMNS($AB$1006:AH1006),$AB$1006:$AQ$1006,0)))),"Fix")))</f>
        <v>0</v>
      </c>
      <c r="I955" s="5">
        <f>IF(OR(INDEX($V$2:$V$1001,MATCH(ROWS($U$2:U955),$U$2:$U$1001,0),1)&gt;=100000,INDEX($AB$1005:$AQ$1005,1,MATCH(COLUMNS($AB$1006:AI1006),$AB$1006:$AQ$1006,0))&gt;=100000), " ",IF(INDEX($AB$2:$AQ$1001,MATCH(ROWS($U$2:U955),$U$2:$U$1001,0),MATCH(COLUMNS($AB$1006:AI1006),$AB$1006:$AQ$1006,0)), HYPERLINK("#",""), HYPERLINK(CONCATENATE("#Metadata!", ADDRESS(INDEX($W$2:$W$1001,MATCH(ROWS($U$2:U955),$U$2:$U$1001,0),0), INDEX($AB$1004:$AQ$1004,1,MATCH(COLUMNS($AB$1006:AI1006),$AB$1006:$AQ$1006,0)))),"Fix")))</f>
        <v>0</v>
      </c>
      <c r="J955" s="5">
        <f>IF(OR(INDEX($V$2:$V$1001,MATCH(ROWS($U$2:U955),$U$2:$U$1001,0),1)&gt;=100000,INDEX($AB$1005:$AQ$1005,1,MATCH(COLUMNS($AB$1006:AJ1006),$AB$1006:$AQ$1006,0))&gt;=100000), " ",IF(INDEX($AB$2:$AQ$1001,MATCH(ROWS($U$2:U955),$U$2:$U$1001,0),MATCH(COLUMNS($AB$1006:AJ1006),$AB$1006:$AQ$1006,0)), HYPERLINK("#",""), HYPERLINK(CONCATENATE("#Metadata!", ADDRESS(INDEX($W$2:$W$1001,MATCH(ROWS($U$2:U955),$U$2:$U$1001,0),0), INDEX($AB$1004:$AQ$1004,1,MATCH(COLUMNS($AB$1006:AJ1006),$AB$1006:$AQ$1006,0)))),"Fix")))</f>
        <v>0</v>
      </c>
      <c r="K955" s="5">
        <f>IF(OR(INDEX($V$2:$V$1001,MATCH(ROWS($U$2:U955),$U$2:$U$1001,0),1)&gt;=100000,INDEX($AB$1005:$AQ$1005,1,MATCH(COLUMNS($AB$1006:AK1006),$AB$1006:$AQ$1006,0))&gt;=100000), " ",IF(INDEX($AB$2:$AQ$1001,MATCH(ROWS($U$2:U955),$U$2:$U$1001,0),MATCH(COLUMNS($AB$1006:AK1006),$AB$1006:$AQ$1006,0)), HYPERLINK("#",""), HYPERLINK(CONCATENATE("#Metadata!", ADDRESS(INDEX($W$2:$W$1001,MATCH(ROWS($U$2:U955),$U$2:$U$1001,0),0), INDEX($AB$1004:$AQ$1004,1,MATCH(COLUMNS($AB$1006:AK1006),$AB$1006:$AQ$1006,0)))),"Fix")))</f>
        <v>0</v>
      </c>
      <c r="L955" s="5">
        <f>IF(OR(INDEX($V$2:$V$1001,MATCH(ROWS($U$2:U955),$U$2:$U$1001,0),1)&gt;=100000,INDEX($AB$1005:$AQ$1005,1,MATCH(COLUMNS($AB$1006:AL1006),$AB$1006:$AQ$1006,0))&gt;=100000), " ",IF(INDEX($AB$2:$AQ$1001,MATCH(ROWS($U$2:U955),$U$2:$U$1001,0),MATCH(COLUMNS($AB$1006:AL1006),$AB$1006:$AQ$1006,0)), HYPERLINK("#",""), HYPERLINK(CONCATENATE("#Metadata!", ADDRESS(INDEX($W$2:$W$1001,MATCH(ROWS($U$2:U955),$U$2:$U$1001,0),0), INDEX($AB$1004:$AQ$1004,1,MATCH(COLUMNS($AB$1006:AL1006),$AB$1006:$AQ$1006,0)))),"Fix")))</f>
        <v>0</v>
      </c>
      <c r="M955" s="5">
        <f>IF(OR(INDEX($V$2:$V$1001,MATCH(ROWS($U$2:U955),$U$2:$U$1001,0),1)&gt;=100000,INDEX($AB$1005:$AQ$1005,1,MATCH(COLUMNS($AB$1006:AM1006),$AB$1006:$AQ$1006,0))&gt;=100000), " ",IF(INDEX($AB$2:$AQ$1001,MATCH(ROWS($U$2:U955),$U$2:$U$1001,0),MATCH(COLUMNS($AB$1006:AM1006),$AB$1006:$AQ$1006,0)), HYPERLINK("#",""), HYPERLINK(CONCATENATE("#Metadata!", ADDRESS(INDEX($W$2:$W$1001,MATCH(ROWS($U$2:U955),$U$2:$U$1001,0),0), INDEX($AB$1004:$AQ$1004,1,MATCH(COLUMNS($AB$1006:AM1006),$AB$1006:$AQ$1006,0)))),"Fix")))</f>
        <v>0</v>
      </c>
      <c r="N955" s="5">
        <f>IF(OR(INDEX($V$2:$V$1001,MATCH(ROWS($U$2:U955),$U$2:$U$1001,0),1)&gt;=100000,INDEX($AB$1005:$AQ$1005,1,MATCH(COLUMNS($AB$1006:AN1006),$AB$1006:$AQ$1006,0))&gt;=100000), " ",IF(INDEX($AB$2:$AQ$1001,MATCH(ROWS($U$2:U955),$U$2:$U$1001,0),MATCH(COLUMNS($AB$1006:AN1006),$AB$1006:$AQ$1006,0)), HYPERLINK("#",""), HYPERLINK(CONCATENATE("#Metadata!", ADDRESS(INDEX($W$2:$W$1001,MATCH(ROWS($U$2:U955),$U$2:$U$1001,0),0), INDEX($AB$1004:$AQ$1004,1,MATCH(COLUMNS($AB$1006:AN1006),$AB$1006:$AQ$1006,0)))),"Fix")))</f>
        <v>0</v>
      </c>
      <c r="O955" s="5">
        <f>IF(OR(INDEX($V$2:$V$1001,MATCH(ROWS($U$2:U955),$U$2:$U$1001,0),1)&gt;=100000,INDEX($AB$1005:$AQ$1005,1,MATCH(COLUMNS($AB$1006:AO1006),$AB$1006:$AQ$1006,0))&gt;=100000), " ",IF(INDEX($AB$2:$AQ$1001,MATCH(ROWS($U$2:U955),$U$2:$U$1001,0),MATCH(COLUMNS($AB$1006:AO1006),$AB$1006:$AQ$1006,0)), HYPERLINK("#",""), HYPERLINK(CONCATENATE("#Metadata!", ADDRESS(INDEX($W$2:$W$1001,MATCH(ROWS($U$2:U955),$U$2:$U$1001,0),0), INDEX($AB$1004:$AQ$1004,1,MATCH(COLUMNS($AB$1006:AO1006),$AB$1006:$AQ$1006,0)))),"Fix")))</f>
        <v>0</v>
      </c>
      <c r="P955" s="5">
        <f>IF(OR(INDEX($V$2:$V$1001,MATCH(ROWS($U$2:U955),$U$2:$U$1001,0),1)&gt;=100000,INDEX($AB$1005:$AQ$1005,1,MATCH(COLUMNS($AB$1006:AP1006),$AB$1006:$AQ$1006,0))&gt;=100000), " ",IF(INDEX($AB$2:$AQ$1001,MATCH(ROWS($U$2:U955),$U$2:$U$1001,0),MATCH(COLUMNS($AB$1006:AP1006),$AB$1006:$AQ$1006,0)), HYPERLINK("#",""), HYPERLINK(CONCATENATE("#Metadata!", ADDRESS(INDEX($W$2:$W$1001,MATCH(ROWS($U$2:U955),$U$2:$U$1001,0),0), INDEX($AB$1004:$AQ$1004,1,MATCH(COLUMNS($AB$1006:AP1006),$AB$1006:$AQ$1006,0)))),"Fix")))</f>
        <v>0</v>
      </c>
      <c r="Q955" s="5">
        <f>IF(OR(INDEX($V$2:$V$1001,MATCH(ROWS($U$2:U955),$U$2:$U$1001,0),1)&gt;=100000,INDEX($AB$1005:$AQ$1005,1,MATCH(COLUMNS($AB$1006:AQ1006),$AB$1006:$AQ$1006,0))&gt;=100000), " ",IF(INDEX($AB$2:$AQ$1001,MATCH(ROWS($U$2:U955),$U$2:$U$1001,0),MATCH(COLUMNS($AB$1006:AQ1006),$AB$1006:$AQ$1006,0)), HYPERLINK("#",""), HYPERLINK(CONCATENATE("#Metadata!", ADDRESS(INDEX($W$2:$W$1001,MATCH(ROWS($U$2:U955),$U$2:$U$1001,0),0), INDEX($AB$1004:$AQ$1004,1,MATCH(COLUMNS($AB$1006:AQ1006),$AB$1006:$AQ$1006,0)))),"Fix")))</f>
        <v>0</v>
      </c>
      <c r="U955">
        <v>0</v>
      </c>
      <c r="V955">
        <v>0</v>
      </c>
      <c r="W955">
        <v>0</v>
      </c>
      <c r="X955">
        <f>IF(Y955,TRUE,AND(AB955:AQ955))</f>
        <v>0</v>
      </c>
      <c r="Y955">
        <f>COUNTBLANK(Metadata!B955:Q955)=COLUMNS(Metadata!B955:Q955)</f>
        <v>0</v>
      </c>
      <c r="Z955">
        <v>0</v>
      </c>
      <c r="AB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AC955">
        <f>AND(IF(Metadata!C955="",FALSE,TRUE),exact(Metadata!C955,"urban biome"))</f>
        <v>0</v>
      </c>
      <c r="AD955">
        <f>AND(IF(Metadata!D955="",FALSE,TRUE),exact(Metadata!D955,"human-associated habitat"))</f>
        <v>0</v>
      </c>
      <c r="AE955">
        <f>AND(IF(Metadata!E955="",FALSE,TRUE),OR(exact(Metadata!E955,"human-associated"),exact(Metadata!E955,"human-skin"),exact(Metadata!E955,"human-oral"),exact(Metadata!E955,"human-gut"),exact(Metadata!E955,"human-vaginal")))</f>
        <v>0</v>
      </c>
      <c r="AF955">
        <f>AND(IF(Metadata!F955="",FALSE,ISNUMBER(VALUE(Metadata!F955))),Metadata!F955&gt;0)</f>
        <v>0</v>
      </c>
      <c r="AG955">
        <f>AND(IF(Metadata!G955="",FALSE,TRUE),exact(Metadata!G955,"years"))</f>
        <v>0</v>
      </c>
      <c r="AH955">
        <f>OR(AND(IF(Metadata!H955="",FALSE,TRUE),OR(exact(Metadata!H955,"not applicable"),exact(Metadata!H955,"not collected"),exact(Metadata!H955,"not provided"),exact(Metadata!H955,"restricted access"))),AND(IF(Metadata!H955="",FALSE,ISNUMBER(VALUE(Metadata!H955))),Metadata!H955&gt;0))</f>
        <v>0</v>
      </c>
      <c r="AI955">
        <f>AND(IF(Metadata!I955="",FALSE,TRUE),exact(Metadata!I955,"human"))</f>
        <v>0</v>
      </c>
      <c r="AJ955">
        <f>AND(IF(Metadata!J955="",FALSE,ISNUMBER(VALUE(Metadata!J955))),Metadata!J955&gt;0)</f>
        <v>0</v>
      </c>
      <c r="AK955">
        <f>AND(IF(Metadata!K955="",FALSE,TRUE),exact(Metadata!K955,"cm"))</f>
        <v>0</v>
      </c>
      <c r="AL955">
        <f>AND(IF(Metadata!L955="",FALSE,TRUE),exact(Metadata!L955,"Homo sapiens"))</f>
        <v>0</v>
      </c>
      <c r="AM955">
        <f>AND(IF(Metadata!M955="",FALSE,TRUE),exact(Metadata!M955,"9606"))</f>
        <v>0</v>
      </c>
      <c r="AN955">
        <f>AND(IF(Metadata!N955="",FALSE,ISNUMBER(VALUE(Metadata!N955))),Metadata!N955&gt;0)</f>
        <v>0</v>
      </c>
      <c r="AO955">
        <f>AND(IF(Metadata!O955="",FALSE,TRUE),exact(Metadata!O955,"kg"))</f>
        <v>0</v>
      </c>
      <c r="AP955">
        <f>OR(AND(IF(Metadata!P955="",FALSE,TRUE),exact(Metadata!P955,"not provided")),IF(Metadata!P955="",FALSE,TRUE))</f>
        <v>0</v>
      </c>
      <c r="AQ955">
        <f>OR(AND(IF(Metadata!Q955="",FALSE,TRUE),exact(Metadata!Q955,"not provided")),IF(Metadata!Q955="",FALSE,TRUE))</f>
        <v>0</v>
      </c>
    </row>
    <row r="956" spans="1:43">
      <c r="A956" s="4">
        <f>IF(B956=" "," ",HYPERLINK(CONCATENATE("#metadata!",ADDRESS(INDEX($W$2:$W$1001,MATCH(ROWS($U$2:U956),$U$2:$U$1001,0),0),2)),INDEX($Z$2:$Z$1001,MATCH(ROWS($U$2:U956),$U$2:$U$1001,0),0)))</f>
        <v>0</v>
      </c>
      <c r="B956" s="5">
        <f>IF(OR(INDEX($V$2:$V$1001,MATCH(ROWS($U$2:U956),$U$2:$U$1001,0),1)&gt;=100000,INDEX($AB$1005:$AQ$1005,1,MATCH(COLUMNS($AB$1006:AB1006),$AB$1006:$AQ$1006,0))&gt;=100000), " ",IF(INDEX($AB$2:$AQ$1001,MATCH(ROWS($U$2:U956),$U$2:$U$1001,0),MATCH(COLUMNS($AB$1006:AB1006),$AB$1006:$AQ$1006,0)), HYPERLINK("#",""), HYPERLINK(CONCATENATE("#Metadata!", ADDRESS(INDEX($W$2:$W$1001,MATCH(ROWS($U$2:U956),$U$2:$U$1001,0),0), INDEX($AB$1004:$AQ$1004,1,MATCH(COLUMNS($AB$1006:AB1006),$AB$1006:$AQ$1006,0)))),"Fix")))</f>
        <v>0</v>
      </c>
      <c r="C956" s="5">
        <f>IF(OR(INDEX($V$2:$V$1001,MATCH(ROWS($U$2:U956),$U$2:$U$1001,0),1)&gt;=100000,INDEX($AB$1005:$AQ$1005,1,MATCH(COLUMNS($AB$1006:AC1006),$AB$1006:$AQ$1006,0))&gt;=100000), " ",IF(INDEX($AB$2:$AQ$1001,MATCH(ROWS($U$2:U956),$U$2:$U$1001,0),MATCH(COLUMNS($AB$1006:AC1006),$AB$1006:$AQ$1006,0)), HYPERLINK("#",""), HYPERLINK(CONCATENATE("#Metadata!", ADDRESS(INDEX($W$2:$W$1001,MATCH(ROWS($U$2:U956),$U$2:$U$1001,0),0), INDEX($AB$1004:$AQ$1004,1,MATCH(COLUMNS($AB$1006:AC1006),$AB$1006:$AQ$1006,0)))),"Fix")))</f>
        <v>0</v>
      </c>
      <c r="D956" s="5">
        <f>IF(OR(INDEX($V$2:$V$1001,MATCH(ROWS($U$2:U956),$U$2:$U$1001,0),1)&gt;=100000,INDEX($AB$1005:$AQ$1005,1,MATCH(COLUMNS($AB$1006:AD1006),$AB$1006:$AQ$1006,0))&gt;=100000), " ",IF(INDEX($AB$2:$AQ$1001,MATCH(ROWS($U$2:U956),$U$2:$U$1001,0),MATCH(COLUMNS($AB$1006:AD1006),$AB$1006:$AQ$1006,0)), HYPERLINK("#",""), HYPERLINK(CONCATENATE("#Metadata!", ADDRESS(INDEX($W$2:$W$1001,MATCH(ROWS($U$2:U956),$U$2:$U$1001,0),0), INDEX($AB$1004:$AQ$1004,1,MATCH(COLUMNS($AB$1006:AD1006),$AB$1006:$AQ$1006,0)))),"Fix")))</f>
        <v>0</v>
      </c>
      <c r="E956" s="5">
        <f>IF(OR(INDEX($V$2:$V$1001,MATCH(ROWS($U$2:U956),$U$2:$U$1001,0),1)&gt;=100000,INDEX($AB$1005:$AQ$1005,1,MATCH(COLUMNS($AB$1006:AE1006),$AB$1006:$AQ$1006,0))&gt;=100000), " ",IF(INDEX($AB$2:$AQ$1001,MATCH(ROWS($U$2:U956),$U$2:$U$1001,0),MATCH(COLUMNS($AB$1006:AE1006),$AB$1006:$AQ$1006,0)), HYPERLINK("#",""), HYPERLINK(CONCATENATE("#Metadata!", ADDRESS(INDEX($W$2:$W$1001,MATCH(ROWS($U$2:U956),$U$2:$U$1001,0),0), INDEX($AB$1004:$AQ$1004,1,MATCH(COLUMNS($AB$1006:AE1006),$AB$1006:$AQ$1006,0)))),"Fix")))</f>
        <v>0</v>
      </c>
      <c r="F956" s="5">
        <f>IF(OR(INDEX($V$2:$V$1001,MATCH(ROWS($U$2:U956),$U$2:$U$1001,0),1)&gt;=100000,INDEX($AB$1005:$AQ$1005,1,MATCH(COLUMNS($AB$1006:AF1006),$AB$1006:$AQ$1006,0))&gt;=100000), " ",IF(INDEX($AB$2:$AQ$1001,MATCH(ROWS($U$2:U956),$U$2:$U$1001,0),MATCH(COLUMNS($AB$1006:AF1006),$AB$1006:$AQ$1006,0)), HYPERLINK("#",""), HYPERLINK(CONCATENATE("#Metadata!", ADDRESS(INDEX($W$2:$W$1001,MATCH(ROWS($U$2:U956),$U$2:$U$1001,0),0), INDEX($AB$1004:$AQ$1004,1,MATCH(COLUMNS($AB$1006:AF1006),$AB$1006:$AQ$1006,0)))),"Fix")))</f>
        <v>0</v>
      </c>
      <c r="G956" s="5">
        <f>IF(OR(INDEX($V$2:$V$1001,MATCH(ROWS($U$2:U956),$U$2:$U$1001,0),1)&gt;=100000,INDEX($AB$1005:$AQ$1005,1,MATCH(COLUMNS($AB$1006:AG1006),$AB$1006:$AQ$1006,0))&gt;=100000), " ",IF(INDEX($AB$2:$AQ$1001,MATCH(ROWS($U$2:U956),$U$2:$U$1001,0),MATCH(COLUMNS($AB$1006:AG1006),$AB$1006:$AQ$1006,0)), HYPERLINK("#",""), HYPERLINK(CONCATENATE("#Metadata!", ADDRESS(INDEX($W$2:$W$1001,MATCH(ROWS($U$2:U956),$U$2:$U$1001,0),0), INDEX($AB$1004:$AQ$1004,1,MATCH(COLUMNS($AB$1006:AG1006),$AB$1006:$AQ$1006,0)))),"Fix")))</f>
        <v>0</v>
      </c>
      <c r="H956" s="5">
        <f>IF(OR(INDEX($V$2:$V$1001,MATCH(ROWS($U$2:U956),$U$2:$U$1001,0),1)&gt;=100000,INDEX($AB$1005:$AQ$1005,1,MATCH(COLUMNS($AB$1006:AH1006),$AB$1006:$AQ$1006,0))&gt;=100000), " ",IF(INDEX($AB$2:$AQ$1001,MATCH(ROWS($U$2:U956),$U$2:$U$1001,0),MATCH(COLUMNS($AB$1006:AH1006),$AB$1006:$AQ$1006,0)), HYPERLINK("#",""), HYPERLINK(CONCATENATE("#Metadata!", ADDRESS(INDEX($W$2:$W$1001,MATCH(ROWS($U$2:U956),$U$2:$U$1001,0),0), INDEX($AB$1004:$AQ$1004,1,MATCH(COLUMNS($AB$1006:AH1006),$AB$1006:$AQ$1006,0)))),"Fix")))</f>
        <v>0</v>
      </c>
      <c r="I956" s="5">
        <f>IF(OR(INDEX($V$2:$V$1001,MATCH(ROWS($U$2:U956),$U$2:$U$1001,0),1)&gt;=100000,INDEX($AB$1005:$AQ$1005,1,MATCH(COLUMNS($AB$1006:AI1006),$AB$1006:$AQ$1006,0))&gt;=100000), " ",IF(INDEX($AB$2:$AQ$1001,MATCH(ROWS($U$2:U956),$U$2:$U$1001,0),MATCH(COLUMNS($AB$1006:AI1006),$AB$1006:$AQ$1006,0)), HYPERLINK("#",""), HYPERLINK(CONCATENATE("#Metadata!", ADDRESS(INDEX($W$2:$W$1001,MATCH(ROWS($U$2:U956),$U$2:$U$1001,0),0), INDEX($AB$1004:$AQ$1004,1,MATCH(COLUMNS($AB$1006:AI1006),$AB$1006:$AQ$1006,0)))),"Fix")))</f>
        <v>0</v>
      </c>
      <c r="J956" s="5">
        <f>IF(OR(INDEX($V$2:$V$1001,MATCH(ROWS($U$2:U956),$U$2:$U$1001,0),1)&gt;=100000,INDEX($AB$1005:$AQ$1005,1,MATCH(COLUMNS($AB$1006:AJ1006),$AB$1006:$AQ$1006,0))&gt;=100000), " ",IF(INDEX($AB$2:$AQ$1001,MATCH(ROWS($U$2:U956),$U$2:$U$1001,0),MATCH(COLUMNS($AB$1006:AJ1006),$AB$1006:$AQ$1006,0)), HYPERLINK("#",""), HYPERLINK(CONCATENATE("#Metadata!", ADDRESS(INDEX($W$2:$W$1001,MATCH(ROWS($U$2:U956),$U$2:$U$1001,0),0), INDEX($AB$1004:$AQ$1004,1,MATCH(COLUMNS($AB$1006:AJ1006),$AB$1006:$AQ$1006,0)))),"Fix")))</f>
        <v>0</v>
      </c>
      <c r="K956" s="5">
        <f>IF(OR(INDEX($V$2:$V$1001,MATCH(ROWS($U$2:U956),$U$2:$U$1001,0),1)&gt;=100000,INDEX($AB$1005:$AQ$1005,1,MATCH(COLUMNS($AB$1006:AK1006),$AB$1006:$AQ$1006,0))&gt;=100000), " ",IF(INDEX($AB$2:$AQ$1001,MATCH(ROWS($U$2:U956),$U$2:$U$1001,0),MATCH(COLUMNS($AB$1006:AK1006),$AB$1006:$AQ$1006,0)), HYPERLINK("#",""), HYPERLINK(CONCATENATE("#Metadata!", ADDRESS(INDEX($W$2:$W$1001,MATCH(ROWS($U$2:U956),$U$2:$U$1001,0),0), INDEX($AB$1004:$AQ$1004,1,MATCH(COLUMNS($AB$1006:AK1006),$AB$1006:$AQ$1006,0)))),"Fix")))</f>
        <v>0</v>
      </c>
      <c r="L956" s="5">
        <f>IF(OR(INDEX($V$2:$V$1001,MATCH(ROWS($U$2:U956),$U$2:$U$1001,0),1)&gt;=100000,INDEX($AB$1005:$AQ$1005,1,MATCH(COLUMNS($AB$1006:AL1006),$AB$1006:$AQ$1006,0))&gt;=100000), " ",IF(INDEX($AB$2:$AQ$1001,MATCH(ROWS($U$2:U956),$U$2:$U$1001,0),MATCH(COLUMNS($AB$1006:AL1006),$AB$1006:$AQ$1006,0)), HYPERLINK("#",""), HYPERLINK(CONCATENATE("#Metadata!", ADDRESS(INDEX($W$2:$W$1001,MATCH(ROWS($U$2:U956),$U$2:$U$1001,0),0), INDEX($AB$1004:$AQ$1004,1,MATCH(COLUMNS($AB$1006:AL1006),$AB$1006:$AQ$1006,0)))),"Fix")))</f>
        <v>0</v>
      </c>
      <c r="M956" s="5">
        <f>IF(OR(INDEX($V$2:$V$1001,MATCH(ROWS($U$2:U956),$U$2:$U$1001,0),1)&gt;=100000,INDEX($AB$1005:$AQ$1005,1,MATCH(COLUMNS($AB$1006:AM1006),$AB$1006:$AQ$1006,0))&gt;=100000), " ",IF(INDEX($AB$2:$AQ$1001,MATCH(ROWS($U$2:U956),$U$2:$U$1001,0),MATCH(COLUMNS($AB$1006:AM1006),$AB$1006:$AQ$1006,0)), HYPERLINK("#",""), HYPERLINK(CONCATENATE("#Metadata!", ADDRESS(INDEX($W$2:$W$1001,MATCH(ROWS($U$2:U956),$U$2:$U$1001,0),0), INDEX($AB$1004:$AQ$1004,1,MATCH(COLUMNS($AB$1006:AM1006),$AB$1006:$AQ$1006,0)))),"Fix")))</f>
        <v>0</v>
      </c>
      <c r="N956" s="5">
        <f>IF(OR(INDEX($V$2:$V$1001,MATCH(ROWS($U$2:U956),$U$2:$U$1001,0),1)&gt;=100000,INDEX($AB$1005:$AQ$1005,1,MATCH(COLUMNS($AB$1006:AN1006),$AB$1006:$AQ$1006,0))&gt;=100000), " ",IF(INDEX($AB$2:$AQ$1001,MATCH(ROWS($U$2:U956),$U$2:$U$1001,0),MATCH(COLUMNS($AB$1006:AN1006),$AB$1006:$AQ$1006,0)), HYPERLINK("#",""), HYPERLINK(CONCATENATE("#Metadata!", ADDRESS(INDEX($W$2:$W$1001,MATCH(ROWS($U$2:U956),$U$2:$U$1001,0),0), INDEX($AB$1004:$AQ$1004,1,MATCH(COLUMNS($AB$1006:AN1006),$AB$1006:$AQ$1006,0)))),"Fix")))</f>
        <v>0</v>
      </c>
      <c r="O956" s="5">
        <f>IF(OR(INDEX($V$2:$V$1001,MATCH(ROWS($U$2:U956),$U$2:$U$1001,0),1)&gt;=100000,INDEX($AB$1005:$AQ$1005,1,MATCH(COLUMNS($AB$1006:AO1006),$AB$1006:$AQ$1006,0))&gt;=100000), " ",IF(INDEX($AB$2:$AQ$1001,MATCH(ROWS($U$2:U956),$U$2:$U$1001,0),MATCH(COLUMNS($AB$1006:AO1006),$AB$1006:$AQ$1006,0)), HYPERLINK("#",""), HYPERLINK(CONCATENATE("#Metadata!", ADDRESS(INDEX($W$2:$W$1001,MATCH(ROWS($U$2:U956),$U$2:$U$1001,0),0), INDEX($AB$1004:$AQ$1004,1,MATCH(COLUMNS($AB$1006:AO1006),$AB$1006:$AQ$1006,0)))),"Fix")))</f>
        <v>0</v>
      </c>
      <c r="P956" s="5">
        <f>IF(OR(INDEX($V$2:$V$1001,MATCH(ROWS($U$2:U956),$U$2:$U$1001,0),1)&gt;=100000,INDEX($AB$1005:$AQ$1005,1,MATCH(COLUMNS($AB$1006:AP1006),$AB$1006:$AQ$1006,0))&gt;=100000), " ",IF(INDEX($AB$2:$AQ$1001,MATCH(ROWS($U$2:U956),$U$2:$U$1001,0),MATCH(COLUMNS($AB$1006:AP1006),$AB$1006:$AQ$1006,0)), HYPERLINK("#",""), HYPERLINK(CONCATENATE("#Metadata!", ADDRESS(INDEX($W$2:$W$1001,MATCH(ROWS($U$2:U956),$U$2:$U$1001,0),0), INDEX($AB$1004:$AQ$1004,1,MATCH(COLUMNS($AB$1006:AP1006),$AB$1006:$AQ$1006,0)))),"Fix")))</f>
        <v>0</v>
      </c>
      <c r="Q956" s="5">
        <f>IF(OR(INDEX($V$2:$V$1001,MATCH(ROWS($U$2:U956),$U$2:$U$1001,0),1)&gt;=100000,INDEX($AB$1005:$AQ$1005,1,MATCH(COLUMNS($AB$1006:AQ1006),$AB$1006:$AQ$1006,0))&gt;=100000), " ",IF(INDEX($AB$2:$AQ$1001,MATCH(ROWS($U$2:U956),$U$2:$U$1001,0),MATCH(COLUMNS($AB$1006:AQ1006),$AB$1006:$AQ$1006,0)), HYPERLINK("#",""), HYPERLINK(CONCATENATE("#Metadata!", ADDRESS(INDEX($W$2:$W$1001,MATCH(ROWS($U$2:U956),$U$2:$U$1001,0),0), INDEX($AB$1004:$AQ$1004,1,MATCH(COLUMNS($AB$1006:AQ1006),$AB$1006:$AQ$1006,0)))),"Fix")))</f>
        <v>0</v>
      </c>
      <c r="U956">
        <v>0</v>
      </c>
      <c r="V956">
        <v>0</v>
      </c>
      <c r="W956">
        <v>0</v>
      </c>
      <c r="X956">
        <f>IF(Y956,TRUE,AND(AB956:AQ956))</f>
        <v>0</v>
      </c>
      <c r="Y956">
        <f>COUNTBLANK(Metadata!B956:Q956)=COLUMNS(Metadata!B956:Q956)</f>
        <v>0</v>
      </c>
      <c r="Z956">
        <v>0</v>
      </c>
      <c r="AB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AC956">
        <f>AND(IF(Metadata!C956="",FALSE,TRUE),exact(Metadata!C956,"urban biome"))</f>
        <v>0</v>
      </c>
      <c r="AD956">
        <f>AND(IF(Metadata!D956="",FALSE,TRUE),exact(Metadata!D956,"human-associated habitat"))</f>
        <v>0</v>
      </c>
      <c r="AE956">
        <f>AND(IF(Metadata!E956="",FALSE,TRUE),OR(exact(Metadata!E956,"human-associated"),exact(Metadata!E956,"human-skin"),exact(Metadata!E956,"human-oral"),exact(Metadata!E956,"human-gut"),exact(Metadata!E956,"human-vaginal")))</f>
        <v>0</v>
      </c>
      <c r="AF956">
        <f>AND(IF(Metadata!F956="",FALSE,ISNUMBER(VALUE(Metadata!F956))),Metadata!F956&gt;0)</f>
        <v>0</v>
      </c>
      <c r="AG956">
        <f>AND(IF(Metadata!G956="",FALSE,TRUE),exact(Metadata!G956,"years"))</f>
        <v>0</v>
      </c>
      <c r="AH956">
        <f>OR(AND(IF(Metadata!H956="",FALSE,TRUE),OR(exact(Metadata!H956,"not applicable"),exact(Metadata!H956,"not collected"),exact(Metadata!H956,"not provided"),exact(Metadata!H956,"restricted access"))),AND(IF(Metadata!H956="",FALSE,ISNUMBER(VALUE(Metadata!H956))),Metadata!H956&gt;0))</f>
        <v>0</v>
      </c>
      <c r="AI956">
        <f>AND(IF(Metadata!I956="",FALSE,TRUE),exact(Metadata!I956,"human"))</f>
        <v>0</v>
      </c>
      <c r="AJ956">
        <f>AND(IF(Metadata!J956="",FALSE,ISNUMBER(VALUE(Metadata!J956))),Metadata!J956&gt;0)</f>
        <v>0</v>
      </c>
      <c r="AK956">
        <f>AND(IF(Metadata!K956="",FALSE,TRUE),exact(Metadata!K956,"cm"))</f>
        <v>0</v>
      </c>
      <c r="AL956">
        <f>AND(IF(Metadata!L956="",FALSE,TRUE),exact(Metadata!L956,"Homo sapiens"))</f>
        <v>0</v>
      </c>
      <c r="AM956">
        <f>AND(IF(Metadata!M956="",FALSE,TRUE),exact(Metadata!M956,"9606"))</f>
        <v>0</v>
      </c>
      <c r="AN956">
        <f>AND(IF(Metadata!N956="",FALSE,ISNUMBER(VALUE(Metadata!N956))),Metadata!N956&gt;0)</f>
        <v>0</v>
      </c>
      <c r="AO956">
        <f>AND(IF(Metadata!O956="",FALSE,TRUE),exact(Metadata!O956,"kg"))</f>
        <v>0</v>
      </c>
      <c r="AP956">
        <f>OR(AND(IF(Metadata!P956="",FALSE,TRUE),exact(Metadata!P956,"not provided")),IF(Metadata!P956="",FALSE,TRUE))</f>
        <v>0</v>
      </c>
      <c r="AQ956">
        <f>OR(AND(IF(Metadata!Q956="",FALSE,TRUE),exact(Metadata!Q956,"not provided")),IF(Metadata!Q956="",FALSE,TRUE))</f>
        <v>0</v>
      </c>
    </row>
    <row r="957" spans="1:43">
      <c r="A957" s="4">
        <f>IF(B957=" "," ",HYPERLINK(CONCATENATE("#metadata!",ADDRESS(INDEX($W$2:$W$1001,MATCH(ROWS($U$2:U957),$U$2:$U$1001,0),0),2)),INDEX($Z$2:$Z$1001,MATCH(ROWS($U$2:U957),$U$2:$U$1001,0),0)))</f>
        <v>0</v>
      </c>
      <c r="B957" s="5">
        <f>IF(OR(INDEX($V$2:$V$1001,MATCH(ROWS($U$2:U957),$U$2:$U$1001,0),1)&gt;=100000,INDEX($AB$1005:$AQ$1005,1,MATCH(COLUMNS($AB$1006:AB1006),$AB$1006:$AQ$1006,0))&gt;=100000), " ",IF(INDEX($AB$2:$AQ$1001,MATCH(ROWS($U$2:U957),$U$2:$U$1001,0),MATCH(COLUMNS($AB$1006:AB1006),$AB$1006:$AQ$1006,0)), HYPERLINK("#",""), HYPERLINK(CONCATENATE("#Metadata!", ADDRESS(INDEX($W$2:$W$1001,MATCH(ROWS($U$2:U957),$U$2:$U$1001,0),0), INDEX($AB$1004:$AQ$1004,1,MATCH(COLUMNS($AB$1006:AB1006),$AB$1006:$AQ$1006,0)))),"Fix")))</f>
        <v>0</v>
      </c>
      <c r="C957" s="5">
        <f>IF(OR(INDEX($V$2:$V$1001,MATCH(ROWS($U$2:U957),$U$2:$U$1001,0),1)&gt;=100000,INDEX($AB$1005:$AQ$1005,1,MATCH(COLUMNS($AB$1006:AC1006),$AB$1006:$AQ$1006,0))&gt;=100000), " ",IF(INDEX($AB$2:$AQ$1001,MATCH(ROWS($U$2:U957),$U$2:$U$1001,0),MATCH(COLUMNS($AB$1006:AC1006),$AB$1006:$AQ$1006,0)), HYPERLINK("#",""), HYPERLINK(CONCATENATE("#Metadata!", ADDRESS(INDEX($W$2:$W$1001,MATCH(ROWS($U$2:U957),$U$2:$U$1001,0),0), INDEX($AB$1004:$AQ$1004,1,MATCH(COLUMNS($AB$1006:AC1006),$AB$1006:$AQ$1006,0)))),"Fix")))</f>
        <v>0</v>
      </c>
      <c r="D957" s="5">
        <f>IF(OR(INDEX($V$2:$V$1001,MATCH(ROWS($U$2:U957),$U$2:$U$1001,0),1)&gt;=100000,INDEX($AB$1005:$AQ$1005,1,MATCH(COLUMNS($AB$1006:AD1006),$AB$1006:$AQ$1006,0))&gt;=100000), " ",IF(INDEX($AB$2:$AQ$1001,MATCH(ROWS($U$2:U957),$U$2:$U$1001,0),MATCH(COLUMNS($AB$1006:AD1006),$AB$1006:$AQ$1006,0)), HYPERLINK("#",""), HYPERLINK(CONCATENATE("#Metadata!", ADDRESS(INDEX($W$2:$W$1001,MATCH(ROWS($U$2:U957),$U$2:$U$1001,0),0), INDEX($AB$1004:$AQ$1004,1,MATCH(COLUMNS($AB$1006:AD1006),$AB$1006:$AQ$1006,0)))),"Fix")))</f>
        <v>0</v>
      </c>
      <c r="E957" s="5">
        <f>IF(OR(INDEX($V$2:$V$1001,MATCH(ROWS($U$2:U957),$U$2:$U$1001,0),1)&gt;=100000,INDEX($AB$1005:$AQ$1005,1,MATCH(COLUMNS($AB$1006:AE1006),$AB$1006:$AQ$1006,0))&gt;=100000), " ",IF(INDEX($AB$2:$AQ$1001,MATCH(ROWS($U$2:U957),$U$2:$U$1001,0),MATCH(COLUMNS($AB$1006:AE1006),$AB$1006:$AQ$1006,0)), HYPERLINK("#",""), HYPERLINK(CONCATENATE("#Metadata!", ADDRESS(INDEX($W$2:$W$1001,MATCH(ROWS($U$2:U957),$U$2:$U$1001,0),0), INDEX($AB$1004:$AQ$1004,1,MATCH(COLUMNS($AB$1006:AE1006),$AB$1006:$AQ$1006,0)))),"Fix")))</f>
        <v>0</v>
      </c>
      <c r="F957" s="5">
        <f>IF(OR(INDEX($V$2:$V$1001,MATCH(ROWS($U$2:U957),$U$2:$U$1001,0),1)&gt;=100000,INDEX($AB$1005:$AQ$1005,1,MATCH(COLUMNS($AB$1006:AF1006),$AB$1006:$AQ$1006,0))&gt;=100000), " ",IF(INDEX($AB$2:$AQ$1001,MATCH(ROWS($U$2:U957),$U$2:$U$1001,0),MATCH(COLUMNS($AB$1006:AF1006),$AB$1006:$AQ$1006,0)), HYPERLINK("#",""), HYPERLINK(CONCATENATE("#Metadata!", ADDRESS(INDEX($W$2:$W$1001,MATCH(ROWS($U$2:U957),$U$2:$U$1001,0),0), INDEX($AB$1004:$AQ$1004,1,MATCH(COLUMNS($AB$1006:AF1006),$AB$1006:$AQ$1006,0)))),"Fix")))</f>
        <v>0</v>
      </c>
      <c r="G957" s="5">
        <f>IF(OR(INDEX($V$2:$V$1001,MATCH(ROWS($U$2:U957),$U$2:$U$1001,0),1)&gt;=100000,INDEX($AB$1005:$AQ$1005,1,MATCH(COLUMNS($AB$1006:AG1006),$AB$1006:$AQ$1006,0))&gt;=100000), " ",IF(INDEX($AB$2:$AQ$1001,MATCH(ROWS($U$2:U957),$U$2:$U$1001,0),MATCH(COLUMNS($AB$1006:AG1006),$AB$1006:$AQ$1006,0)), HYPERLINK("#",""), HYPERLINK(CONCATENATE("#Metadata!", ADDRESS(INDEX($W$2:$W$1001,MATCH(ROWS($U$2:U957),$U$2:$U$1001,0),0), INDEX($AB$1004:$AQ$1004,1,MATCH(COLUMNS($AB$1006:AG1006),$AB$1006:$AQ$1006,0)))),"Fix")))</f>
        <v>0</v>
      </c>
      <c r="H957" s="5">
        <f>IF(OR(INDEX($V$2:$V$1001,MATCH(ROWS($U$2:U957),$U$2:$U$1001,0),1)&gt;=100000,INDEX($AB$1005:$AQ$1005,1,MATCH(COLUMNS($AB$1006:AH1006),$AB$1006:$AQ$1006,0))&gt;=100000), " ",IF(INDEX($AB$2:$AQ$1001,MATCH(ROWS($U$2:U957),$U$2:$U$1001,0),MATCH(COLUMNS($AB$1006:AH1006),$AB$1006:$AQ$1006,0)), HYPERLINK("#",""), HYPERLINK(CONCATENATE("#Metadata!", ADDRESS(INDEX($W$2:$W$1001,MATCH(ROWS($U$2:U957),$U$2:$U$1001,0),0), INDEX($AB$1004:$AQ$1004,1,MATCH(COLUMNS($AB$1006:AH1006),$AB$1006:$AQ$1006,0)))),"Fix")))</f>
        <v>0</v>
      </c>
      <c r="I957" s="5">
        <f>IF(OR(INDEX($V$2:$V$1001,MATCH(ROWS($U$2:U957),$U$2:$U$1001,0),1)&gt;=100000,INDEX($AB$1005:$AQ$1005,1,MATCH(COLUMNS($AB$1006:AI1006),$AB$1006:$AQ$1006,0))&gt;=100000), " ",IF(INDEX($AB$2:$AQ$1001,MATCH(ROWS($U$2:U957),$U$2:$U$1001,0),MATCH(COLUMNS($AB$1006:AI1006),$AB$1006:$AQ$1006,0)), HYPERLINK("#",""), HYPERLINK(CONCATENATE("#Metadata!", ADDRESS(INDEX($W$2:$W$1001,MATCH(ROWS($U$2:U957),$U$2:$U$1001,0),0), INDEX($AB$1004:$AQ$1004,1,MATCH(COLUMNS($AB$1006:AI1006),$AB$1006:$AQ$1006,0)))),"Fix")))</f>
        <v>0</v>
      </c>
      <c r="J957" s="5">
        <f>IF(OR(INDEX($V$2:$V$1001,MATCH(ROWS($U$2:U957),$U$2:$U$1001,0),1)&gt;=100000,INDEX($AB$1005:$AQ$1005,1,MATCH(COLUMNS($AB$1006:AJ1006),$AB$1006:$AQ$1006,0))&gt;=100000), " ",IF(INDEX($AB$2:$AQ$1001,MATCH(ROWS($U$2:U957),$U$2:$U$1001,0),MATCH(COLUMNS($AB$1006:AJ1006),$AB$1006:$AQ$1006,0)), HYPERLINK("#",""), HYPERLINK(CONCATENATE("#Metadata!", ADDRESS(INDEX($W$2:$W$1001,MATCH(ROWS($U$2:U957),$U$2:$U$1001,0),0), INDEX($AB$1004:$AQ$1004,1,MATCH(COLUMNS($AB$1006:AJ1006),$AB$1006:$AQ$1006,0)))),"Fix")))</f>
        <v>0</v>
      </c>
      <c r="K957" s="5">
        <f>IF(OR(INDEX($V$2:$V$1001,MATCH(ROWS($U$2:U957),$U$2:$U$1001,0),1)&gt;=100000,INDEX($AB$1005:$AQ$1005,1,MATCH(COLUMNS($AB$1006:AK1006),$AB$1006:$AQ$1006,0))&gt;=100000), " ",IF(INDEX($AB$2:$AQ$1001,MATCH(ROWS($U$2:U957),$U$2:$U$1001,0),MATCH(COLUMNS($AB$1006:AK1006),$AB$1006:$AQ$1006,0)), HYPERLINK("#",""), HYPERLINK(CONCATENATE("#Metadata!", ADDRESS(INDEX($W$2:$W$1001,MATCH(ROWS($U$2:U957),$U$2:$U$1001,0),0), INDEX($AB$1004:$AQ$1004,1,MATCH(COLUMNS($AB$1006:AK1006),$AB$1006:$AQ$1006,0)))),"Fix")))</f>
        <v>0</v>
      </c>
      <c r="L957" s="5">
        <f>IF(OR(INDEX($V$2:$V$1001,MATCH(ROWS($U$2:U957),$U$2:$U$1001,0),1)&gt;=100000,INDEX($AB$1005:$AQ$1005,1,MATCH(COLUMNS($AB$1006:AL1006),$AB$1006:$AQ$1006,0))&gt;=100000), " ",IF(INDEX($AB$2:$AQ$1001,MATCH(ROWS($U$2:U957),$U$2:$U$1001,0),MATCH(COLUMNS($AB$1006:AL1006),$AB$1006:$AQ$1006,0)), HYPERLINK("#",""), HYPERLINK(CONCATENATE("#Metadata!", ADDRESS(INDEX($W$2:$W$1001,MATCH(ROWS($U$2:U957),$U$2:$U$1001,0),0), INDEX($AB$1004:$AQ$1004,1,MATCH(COLUMNS($AB$1006:AL1006),$AB$1006:$AQ$1006,0)))),"Fix")))</f>
        <v>0</v>
      </c>
      <c r="M957" s="5">
        <f>IF(OR(INDEX($V$2:$V$1001,MATCH(ROWS($U$2:U957),$U$2:$U$1001,0),1)&gt;=100000,INDEX($AB$1005:$AQ$1005,1,MATCH(COLUMNS($AB$1006:AM1006),$AB$1006:$AQ$1006,0))&gt;=100000), " ",IF(INDEX($AB$2:$AQ$1001,MATCH(ROWS($U$2:U957),$U$2:$U$1001,0),MATCH(COLUMNS($AB$1006:AM1006),$AB$1006:$AQ$1006,0)), HYPERLINK("#",""), HYPERLINK(CONCATENATE("#Metadata!", ADDRESS(INDEX($W$2:$W$1001,MATCH(ROWS($U$2:U957),$U$2:$U$1001,0),0), INDEX($AB$1004:$AQ$1004,1,MATCH(COLUMNS($AB$1006:AM1006),$AB$1006:$AQ$1006,0)))),"Fix")))</f>
        <v>0</v>
      </c>
      <c r="N957" s="5">
        <f>IF(OR(INDEX($V$2:$V$1001,MATCH(ROWS($U$2:U957),$U$2:$U$1001,0),1)&gt;=100000,INDEX($AB$1005:$AQ$1005,1,MATCH(COLUMNS($AB$1006:AN1006),$AB$1006:$AQ$1006,0))&gt;=100000), " ",IF(INDEX($AB$2:$AQ$1001,MATCH(ROWS($U$2:U957),$U$2:$U$1001,0),MATCH(COLUMNS($AB$1006:AN1006),$AB$1006:$AQ$1006,0)), HYPERLINK("#",""), HYPERLINK(CONCATENATE("#Metadata!", ADDRESS(INDEX($W$2:$W$1001,MATCH(ROWS($U$2:U957),$U$2:$U$1001,0),0), INDEX($AB$1004:$AQ$1004,1,MATCH(COLUMNS($AB$1006:AN1006),$AB$1006:$AQ$1006,0)))),"Fix")))</f>
        <v>0</v>
      </c>
      <c r="O957" s="5">
        <f>IF(OR(INDEX($V$2:$V$1001,MATCH(ROWS($U$2:U957),$U$2:$U$1001,0),1)&gt;=100000,INDEX($AB$1005:$AQ$1005,1,MATCH(COLUMNS($AB$1006:AO1006),$AB$1006:$AQ$1006,0))&gt;=100000), " ",IF(INDEX($AB$2:$AQ$1001,MATCH(ROWS($U$2:U957),$U$2:$U$1001,0),MATCH(COLUMNS($AB$1006:AO1006),$AB$1006:$AQ$1006,0)), HYPERLINK("#",""), HYPERLINK(CONCATENATE("#Metadata!", ADDRESS(INDEX($W$2:$W$1001,MATCH(ROWS($U$2:U957),$U$2:$U$1001,0),0), INDEX($AB$1004:$AQ$1004,1,MATCH(COLUMNS($AB$1006:AO1006),$AB$1006:$AQ$1006,0)))),"Fix")))</f>
        <v>0</v>
      </c>
      <c r="P957" s="5">
        <f>IF(OR(INDEX($V$2:$V$1001,MATCH(ROWS($U$2:U957),$U$2:$U$1001,0),1)&gt;=100000,INDEX($AB$1005:$AQ$1005,1,MATCH(COLUMNS($AB$1006:AP1006),$AB$1006:$AQ$1006,0))&gt;=100000), " ",IF(INDEX($AB$2:$AQ$1001,MATCH(ROWS($U$2:U957),$U$2:$U$1001,0),MATCH(COLUMNS($AB$1006:AP1006),$AB$1006:$AQ$1006,0)), HYPERLINK("#",""), HYPERLINK(CONCATENATE("#Metadata!", ADDRESS(INDEX($W$2:$W$1001,MATCH(ROWS($U$2:U957),$U$2:$U$1001,0),0), INDEX($AB$1004:$AQ$1004,1,MATCH(COLUMNS($AB$1006:AP1006),$AB$1006:$AQ$1006,0)))),"Fix")))</f>
        <v>0</v>
      </c>
      <c r="Q957" s="5">
        <f>IF(OR(INDEX($V$2:$V$1001,MATCH(ROWS($U$2:U957),$U$2:$U$1001,0),1)&gt;=100000,INDEX($AB$1005:$AQ$1005,1,MATCH(COLUMNS($AB$1006:AQ1006),$AB$1006:$AQ$1006,0))&gt;=100000), " ",IF(INDEX($AB$2:$AQ$1001,MATCH(ROWS($U$2:U957),$U$2:$U$1001,0),MATCH(COLUMNS($AB$1006:AQ1006),$AB$1006:$AQ$1006,0)), HYPERLINK("#",""), HYPERLINK(CONCATENATE("#Metadata!", ADDRESS(INDEX($W$2:$W$1001,MATCH(ROWS($U$2:U957),$U$2:$U$1001,0),0), INDEX($AB$1004:$AQ$1004,1,MATCH(COLUMNS($AB$1006:AQ1006),$AB$1006:$AQ$1006,0)))),"Fix")))</f>
        <v>0</v>
      </c>
      <c r="U957">
        <v>0</v>
      </c>
      <c r="V957">
        <v>0</v>
      </c>
      <c r="W957">
        <v>0</v>
      </c>
      <c r="X957">
        <f>IF(Y957,TRUE,AND(AB957:AQ957))</f>
        <v>0</v>
      </c>
      <c r="Y957">
        <f>COUNTBLANK(Metadata!B957:Q957)=COLUMNS(Metadata!B957:Q957)</f>
        <v>0</v>
      </c>
      <c r="Z957">
        <v>0</v>
      </c>
      <c r="AB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AC957">
        <f>AND(IF(Metadata!C957="",FALSE,TRUE),exact(Metadata!C957,"urban biome"))</f>
        <v>0</v>
      </c>
      <c r="AD957">
        <f>AND(IF(Metadata!D957="",FALSE,TRUE),exact(Metadata!D957,"human-associated habitat"))</f>
        <v>0</v>
      </c>
      <c r="AE957">
        <f>AND(IF(Metadata!E957="",FALSE,TRUE),OR(exact(Metadata!E957,"human-associated"),exact(Metadata!E957,"human-skin"),exact(Metadata!E957,"human-oral"),exact(Metadata!E957,"human-gut"),exact(Metadata!E957,"human-vaginal")))</f>
        <v>0</v>
      </c>
      <c r="AF957">
        <f>AND(IF(Metadata!F957="",FALSE,ISNUMBER(VALUE(Metadata!F957))),Metadata!F957&gt;0)</f>
        <v>0</v>
      </c>
      <c r="AG957">
        <f>AND(IF(Metadata!G957="",FALSE,TRUE),exact(Metadata!G957,"years"))</f>
        <v>0</v>
      </c>
      <c r="AH957">
        <f>OR(AND(IF(Metadata!H957="",FALSE,TRUE),OR(exact(Metadata!H957,"not applicable"),exact(Metadata!H957,"not collected"),exact(Metadata!H957,"not provided"),exact(Metadata!H957,"restricted access"))),AND(IF(Metadata!H957="",FALSE,ISNUMBER(VALUE(Metadata!H957))),Metadata!H957&gt;0))</f>
        <v>0</v>
      </c>
      <c r="AI957">
        <f>AND(IF(Metadata!I957="",FALSE,TRUE),exact(Metadata!I957,"human"))</f>
        <v>0</v>
      </c>
      <c r="AJ957">
        <f>AND(IF(Metadata!J957="",FALSE,ISNUMBER(VALUE(Metadata!J957))),Metadata!J957&gt;0)</f>
        <v>0</v>
      </c>
      <c r="AK957">
        <f>AND(IF(Metadata!K957="",FALSE,TRUE),exact(Metadata!K957,"cm"))</f>
        <v>0</v>
      </c>
      <c r="AL957">
        <f>AND(IF(Metadata!L957="",FALSE,TRUE),exact(Metadata!L957,"Homo sapiens"))</f>
        <v>0</v>
      </c>
      <c r="AM957">
        <f>AND(IF(Metadata!M957="",FALSE,TRUE),exact(Metadata!M957,"9606"))</f>
        <v>0</v>
      </c>
      <c r="AN957">
        <f>AND(IF(Metadata!N957="",FALSE,ISNUMBER(VALUE(Metadata!N957))),Metadata!N957&gt;0)</f>
        <v>0</v>
      </c>
      <c r="AO957">
        <f>AND(IF(Metadata!O957="",FALSE,TRUE),exact(Metadata!O957,"kg"))</f>
        <v>0</v>
      </c>
      <c r="AP957">
        <f>OR(AND(IF(Metadata!P957="",FALSE,TRUE),exact(Metadata!P957,"not provided")),IF(Metadata!P957="",FALSE,TRUE))</f>
        <v>0</v>
      </c>
      <c r="AQ957">
        <f>OR(AND(IF(Metadata!Q957="",FALSE,TRUE),exact(Metadata!Q957,"not provided")),IF(Metadata!Q957="",FALSE,TRUE))</f>
        <v>0</v>
      </c>
    </row>
    <row r="958" spans="1:43">
      <c r="A958" s="4">
        <f>IF(B958=" "," ",HYPERLINK(CONCATENATE("#metadata!",ADDRESS(INDEX($W$2:$W$1001,MATCH(ROWS($U$2:U958),$U$2:$U$1001,0),0),2)),INDEX($Z$2:$Z$1001,MATCH(ROWS($U$2:U958),$U$2:$U$1001,0),0)))</f>
        <v>0</v>
      </c>
      <c r="B958" s="5">
        <f>IF(OR(INDEX($V$2:$V$1001,MATCH(ROWS($U$2:U958),$U$2:$U$1001,0),1)&gt;=100000,INDEX($AB$1005:$AQ$1005,1,MATCH(COLUMNS($AB$1006:AB1006),$AB$1006:$AQ$1006,0))&gt;=100000), " ",IF(INDEX($AB$2:$AQ$1001,MATCH(ROWS($U$2:U958),$U$2:$U$1001,0),MATCH(COLUMNS($AB$1006:AB1006),$AB$1006:$AQ$1006,0)), HYPERLINK("#",""), HYPERLINK(CONCATENATE("#Metadata!", ADDRESS(INDEX($W$2:$W$1001,MATCH(ROWS($U$2:U958),$U$2:$U$1001,0),0), INDEX($AB$1004:$AQ$1004,1,MATCH(COLUMNS($AB$1006:AB1006),$AB$1006:$AQ$1006,0)))),"Fix")))</f>
        <v>0</v>
      </c>
      <c r="C958" s="5">
        <f>IF(OR(INDEX($V$2:$V$1001,MATCH(ROWS($U$2:U958),$U$2:$U$1001,0),1)&gt;=100000,INDEX($AB$1005:$AQ$1005,1,MATCH(COLUMNS($AB$1006:AC1006),$AB$1006:$AQ$1006,0))&gt;=100000), " ",IF(INDEX($AB$2:$AQ$1001,MATCH(ROWS($U$2:U958),$U$2:$U$1001,0),MATCH(COLUMNS($AB$1006:AC1006),$AB$1006:$AQ$1006,0)), HYPERLINK("#",""), HYPERLINK(CONCATENATE("#Metadata!", ADDRESS(INDEX($W$2:$W$1001,MATCH(ROWS($U$2:U958),$U$2:$U$1001,0),0), INDEX($AB$1004:$AQ$1004,1,MATCH(COLUMNS($AB$1006:AC1006),$AB$1006:$AQ$1006,0)))),"Fix")))</f>
        <v>0</v>
      </c>
      <c r="D958" s="5">
        <f>IF(OR(INDEX($V$2:$V$1001,MATCH(ROWS($U$2:U958),$U$2:$U$1001,0),1)&gt;=100000,INDEX($AB$1005:$AQ$1005,1,MATCH(COLUMNS($AB$1006:AD1006),$AB$1006:$AQ$1006,0))&gt;=100000), " ",IF(INDEX($AB$2:$AQ$1001,MATCH(ROWS($U$2:U958),$U$2:$U$1001,0),MATCH(COLUMNS($AB$1006:AD1006),$AB$1006:$AQ$1006,0)), HYPERLINK("#",""), HYPERLINK(CONCATENATE("#Metadata!", ADDRESS(INDEX($W$2:$W$1001,MATCH(ROWS($U$2:U958),$U$2:$U$1001,0),0), INDEX($AB$1004:$AQ$1004,1,MATCH(COLUMNS($AB$1006:AD1006),$AB$1006:$AQ$1006,0)))),"Fix")))</f>
        <v>0</v>
      </c>
      <c r="E958" s="5">
        <f>IF(OR(INDEX($V$2:$V$1001,MATCH(ROWS($U$2:U958),$U$2:$U$1001,0),1)&gt;=100000,INDEX($AB$1005:$AQ$1005,1,MATCH(COLUMNS($AB$1006:AE1006),$AB$1006:$AQ$1006,0))&gt;=100000), " ",IF(INDEX($AB$2:$AQ$1001,MATCH(ROWS($U$2:U958),$U$2:$U$1001,0),MATCH(COLUMNS($AB$1006:AE1006),$AB$1006:$AQ$1006,0)), HYPERLINK("#",""), HYPERLINK(CONCATENATE("#Metadata!", ADDRESS(INDEX($W$2:$W$1001,MATCH(ROWS($U$2:U958),$U$2:$U$1001,0),0), INDEX($AB$1004:$AQ$1004,1,MATCH(COLUMNS($AB$1006:AE1006),$AB$1006:$AQ$1006,0)))),"Fix")))</f>
        <v>0</v>
      </c>
      <c r="F958" s="5">
        <f>IF(OR(INDEX($V$2:$V$1001,MATCH(ROWS($U$2:U958),$U$2:$U$1001,0),1)&gt;=100000,INDEX($AB$1005:$AQ$1005,1,MATCH(COLUMNS($AB$1006:AF1006),$AB$1006:$AQ$1006,0))&gt;=100000), " ",IF(INDEX($AB$2:$AQ$1001,MATCH(ROWS($U$2:U958),$U$2:$U$1001,0),MATCH(COLUMNS($AB$1006:AF1006),$AB$1006:$AQ$1006,0)), HYPERLINK("#",""), HYPERLINK(CONCATENATE("#Metadata!", ADDRESS(INDEX($W$2:$W$1001,MATCH(ROWS($U$2:U958),$U$2:$U$1001,0),0), INDEX($AB$1004:$AQ$1004,1,MATCH(COLUMNS($AB$1006:AF1006),$AB$1006:$AQ$1006,0)))),"Fix")))</f>
        <v>0</v>
      </c>
      <c r="G958" s="5">
        <f>IF(OR(INDEX($V$2:$V$1001,MATCH(ROWS($U$2:U958),$U$2:$U$1001,0),1)&gt;=100000,INDEX($AB$1005:$AQ$1005,1,MATCH(COLUMNS($AB$1006:AG1006),$AB$1006:$AQ$1006,0))&gt;=100000), " ",IF(INDEX($AB$2:$AQ$1001,MATCH(ROWS($U$2:U958),$U$2:$U$1001,0),MATCH(COLUMNS($AB$1006:AG1006),$AB$1006:$AQ$1006,0)), HYPERLINK("#",""), HYPERLINK(CONCATENATE("#Metadata!", ADDRESS(INDEX($W$2:$W$1001,MATCH(ROWS($U$2:U958),$U$2:$U$1001,0),0), INDEX($AB$1004:$AQ$1004,1,MATCH(COLUMNS($AB$1006:AG1006),$AB$1006:$AQ$1006,0)))),"Fix")))</f>
        <v>0</v>
      </c>
      <c r="H958" s="5">
        <f>IF(OR(INDEX($V$2:$V$1001,MATCH(ROWS($U$2:U958),$U$2:$U$1001,0),1)&gt;=100000,INDEX($AB$1005:$AQ$1005,1,MATCH(COLUMNS($AB$1006:AH1006),$AB$1006:$AQ$1006,0))&gt;=100000), " ",IF(INDEX($AB$2:$AQ$1001,MATCH(ROWS($U$2:U958),$U$2:$U$1001,0),MATCH(COLUMNS($AB$1006:AH1006),$AB$1006:$AQ$1006,0)), HYPERLINK("#",""), HYPERLINK(CONCATENATE("#Metadata!", ADDRESS(INDEX($W$2:$W$1001,MATCH(ROWS($U$2:U958),$U$2:$U$1001,0),0), INDEX($AB$1004:$AQ$1004,1,MATCH(COLUMNS($AB$1006:AH1006),$AB$1006:$AQ$1006,0)))),"Fix")))</f>
        <v>0</v>
      </c>
      <c r="I958" s="5">
        <f>IF(OR(INDEX($V$2:$V$1001,MATCH(ROWS($U$2:U958),$U$2:$U$1001,0),1)&gt;=100000,INDEX($AB$1005:$AQ$1005,1,MATCH(COLUMNS($AB$1006:AI1006),$AB$1006:$AQ$1006,0))&gt;=100000), " ",IF(INDEX($AB$2:$AQ$1001,MATCH(ROWS($U$2:U958),$U$2:$U$1001,0),MATCH(COLUMNS($AB$1006:AI1006),$AB$1006:$AQ$1006,0)), HYPERLINK("#",""), HYPERLINK(CONCATENATE("#Metadata!", ADDRESS(INDEX($W$2:$W$1001,MATCH(ROWS($U$2:U958),$U$2:$U$1001,0),0), INDEX($AB$1004:$AQ$1004,1,MATCH(COLUMNS($AB$1006:AI1006),$AB$1006:$AQ$1006,0)))),"Fix")))</f>
        <v>0</v>
      </c>
      <c r="J958" s="5">
        <f>IF(OR(INDEX($V$2:$V$1001,MATCH(ROWS($U$2:U958),$U$2:$U$1001,0),1)&gt;=100000,INDEX($AB$1005:$AQ$1005,1,MATCH(COLUMNS($AB$1006:AJ1006),$AB$1006:$AQ$1006,0))&gt;=100000), " ",IF(INDEX($AB$2:$AQ$1001,MATCH(ROWS($U$2:U958),$U$2:$U$1001,0),MATCH(COLUMNS($AB$1006:AJ1006),$AB$1006:$AQ$1006,0)), HYPERLINK("#",""), HYPERLINK(CONCATENATE("#Metadata!", ADDRESS(INDEX($W$2:$W$1001,MATCH(ROWS($U$2:U958),$U$2:$U$1001,0),0), INDEX($AB$1004:$AQ$1004,1,MATCH(COLUMNS($AB$1006:AJ1006),$AB$1006:$AQ$1006,0)))),"Fix")))</f>
        <v>0</v>
      </c>
      <c r="K958" s="5">
        <f>IF(OR(INDEX($V$2:$V$1001,MATCH(ROWS($U$2:U958),$U$2:$U$1001,0),1)&gt;=100000,INDEX($AB$1005:$AQ$1005,1,MATCH(COLUMNS($AB$1006:AK1006),$AB$1006:$AQ$1006,0))&gt;=100000), " ",IF(INDEX($AB$2:$AQ$1001,MATCH(ROWS($U$2:U958),$U$2:$U$1001,0),MATCH(COLUMNS($AB$1006:AK1006),$AB$1006:$AQ$1006,0)), HYPERLINK("#",""), HYPERLINK(CONCATENATE("#Metadata!", ADDRESS(INDEX($W$2:$W$1001,MATCH(ROWS($U$2:U958),$U$2:$U$1001,0),0), INDEX($AB$1004:$AQ$1004,1,MATCH(COLUMNS($AB$1006:AK1006),$AB$1006:$AQ$1006,0)))),"Fix")))</f>
        <v>0</v>
      </c>
      <c r="L958" s="5">
        <f>IF(OR(INDEX($V$2:$V$1001,MATCH(ROWS($U$2:U958),$U$2:$U$1001,0),1)&gt;=100000,INDEX($AB$1005:$AQ$1005,1,MATCH(COLUMNS($AB$1006:AL1006),$AB$1006:$AQ$1006,0))&gt;=100000), " ",IF(INDEX($AB$2:$AQ$1001,MATCH(ROWS($U$2:U958),$U$2:$U$1001,0),MATCH(COLUMNS($AB$1006:AL1006),$AB$1006:$AQ$1006,0)), HYPERLINK("#",""), HYPERLINK(CONCATENATE("#Metadata!", ADDRESS(INDEX($W$2:$W$1001,MATCH(ROWS($U$2:U958),$U$2:$U$1001,0),0), INDEX($AB$1004:$AQ$1004,1,MATCH(COLUMNS($AB$1006:AL1006),$AB$1006:$AQ$1006,0)))),"Fix")))</f>
        <v>0</v>
      </c>
      <c r="M958" s="5">
        <f>IF(OR(INDEX($V$2:$V$1001,MATCH(ROWS($U$2:U958),$U$2:$U$1001,0),1)&gt;=100000,INDEX($AB$1005:$AQ$1005,1,MATCH(COLUMNS($AB$1006:AM1006),$AB$1006:$AQ$1006,0))&gt;=100000), " ",IF(INDEX($AB$2:$AQ$1001,MATCH(ROWS($U$2:U958),$U$2:$U$1001,0),MATCH(COLUMNS($AB$1006:AM1006),$AB$1006:$AQ$1006,0)), HYPERLINK("#",""), HYPERLINK(CONCATENATE("#Metadata!", ADDRESS(INDEX($W$2:$W$1001,MATCH(ROWS($U$2:U958),$U$2:$U$1001,0),0), INDEX($AB$1004:$AQ$1004,1,MATCH(COLUMNS($AB$1006:AM1006),$AB$1006:$AQ$1006,0)))),"Fix")))</f>
        <v>0</v>
      </c>
      <c r="N958" s="5">
        <f>IF(OR(INDEX($V$2:$V$1001,MATCH(ROWS($U$2:U958),$U$2:$U$1001,0),1)&gt;=100000,INDEX($AB$1005:$AQ$1005,1,MATCH(COLUMNS($AB$1006:AN1006),$AB$1006:$AQ$1006,0))&gt;=100000), " ",IF(INDEX($AB$2:$AQ$1001,MATCH(ROWS($U$2:U958),$U$2:$U$1001,0),MATCH(COLUMNS($AB$1006:AN1006),$AB$1006:$AQ$1006,0)), HYPERLINK("#",""), HYPERLINK(CONCATENATE("#Metadata!", ADDRESS(INDEX($W$2:$W$1001,MATCH(ROWS($U$2:U958),$U$2:$U$1001,0),0), INDEX($AB$1004:$AQ$1004,1,MATCH(COLUMNS($AB$1006:AN1006),$AB$1006:$AQ$1006,0)))),"Fix")))</f>
        <v>0</v>
      </c>
      <c r="O958" s="5">
        <f>IF(OR(INDEX($V$2:$V$1001,MATCH(ROWS($U$2:U958),$U$2:$U$1001,0),1)&gt;=100000,INDEX($AB$1005:$AQ$1005,1,MATCH(COLUMNS($AB$1006:AO1006),$AB$1006:$AQ$1006,0))&gt;=100000), " ",IF(INDEX($AB$2:$AQ$1001,MATCH(ROWS($U$2:U958),$U$2:$U$1001,0),MATCH(COLUMNS($AB$1006:AO1006),$AB$1006:$AQ$1006,0)), HYPERLINK("#",""), HYPERLINK(CONCATENATE("#Metadata!", ADDRESS(INDEX($W$2:$W$1001,MATCH(ROWS($U$2:U958),$U$2:$U$1001,0),0), INDEX($AB$1004:$AQ$1004,1,MATCH(COLUMNS($AB$1006:AO1006),$AB$1006:$AQ$1006,0)))),"Fix")))</f>
        <v>0</v>
      </c>
      <c r="P958" s="5">
        <f>IF(OR(INDEX($V$2:$V$1001,MATCH(ROWS($U$2:U958),$U$2:$U$1001,0),1)&gt;=100000,INDEX($AB$1005:$AQ$1005,1,MATCH(COLUMNS($AB$1006:AP1006),$AB$1006:$AQ$1006,0))&gt;=100000), " ",IF(INDEX($AB$2:$AQ$1001,MATCH(ROWS($U$2:U958),$U$2:$U$1001,0),MATCH(COLUMNS($AB$1006:AP1006),$AB$1006:$AQ$1006,0)), HYPERLINK("#",""), HYPERLINK(CONCATENATE("#Metadata!", ADDRESS(INDEX($W$2:$W$1001,MATCH(ROWS($U$2:U958),$U$2:$U$1001,0),0), INDEX($AB$1004:$AQ$1004,1,MATCH(COLUMNS($AB$1006:AP1006),$AB$1006:$AQ$1006,0)))),"Fix")))</f>
        <v>0</v>
      </c>
      <c r="Q958" s="5">
        <f>IF(OR(INDEX($V$2:$V$1001,MATCH(ROWS($U$2:U958),$U$2:$U$1001,0),1)&gt;=100000,INDEX($AB$1005:$AQ$1005,1,MATCH(COLUMNS($AB$1006:AQ1006),$AB$1006:$AQ$1006,0))&gt;=100000), " ",IF(INDEX($AB$2:$AQ$1001,MATCH(ROWS($U$2:U958),$U$2:$U$1001,0),MATCH(COLUMNS($AB$1006:AQ1006),$AB$1006:$AQ$1006,0)), HYPERLINK("#",""), HYPERLINK(CONCATENATE("#Metadata!", ADDRESS(INDEX($W$2:$W$1001,MATCH(ROWS($U$2:U958),$U$2:$U$1001,0),0), INDEX($AB$1004:$AQ$1004,1,MATCH(COLUMNS($AB$1006:AQ1006),$AB$1006:$AQ$1006,0)))),"Fix")))</f>
        <v>0</v>
      </c>
      <c r="U958">
        <v>0</v>
      </c>
      <c r="V958">
        <v>0</v>
      </c>
      <c r="W958">
        <v>0</v>
      </c>
      <c r="X958">
        <f>IF(Y958,TRUE,AND(AB958:AQ958))</f>
        <v>0</v>
      </c>
      <c r="Y958">
        <f>COUNTBLANK(Metadata!B958:Q958)=COLUMNS(Metadata!B958:Q958)</f>
        <v>0</v>
      </c>
      <c r="Z958">
        <v>0</v>
      </c>
      <c r="AB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AC958">
        <f>AND(IF(Metadata!C958="",FALSE,TRUE),exact(Metadata!C958,"urban biome"))</f>
        <v>0</v>
      </c>
      <c r="AD958">
        <f>AND(IF(Metadata!D958="",FALSE,TRUE),exact(Metadata!D958,"human-associated habitat"))</f>
        <v>0</v>
      </c>
      <c r="AE958">
        <f>AND(IF(Metadata!E958="",FALSE,TRUE),OR(exact(Metadata!E958,"human-associated"),exact(Metadata!E958,"human-skin"),exact(Metadata!E958,"human-oral"),exact(Metadata!E958,"human-gut"),exact(Metadata!E958,"human-vaginal")))</f>
        <v>0</v>
      </c>
      <c r="AF958">
        <f>AND(IF(Metadata!F958="",FALSE,ISNUMBER(VALUE(Metadata!F958))),Metadata!F958&gt;0)</f>
        <v>0</v>
      </c>
      <c r="AG958">
        <f>AND(IF(Metadata!G958="",FALSE,TRUE),exact(Metadata!G958,"years"))</f>
        <v>0</v>
      </c>
      <c r="AH958">
        <f>OR(AND(IF(Metadata!H958="",FALSE,TRUE),OR(exact(Metadata!H958,"not applicable"),exact(Metadata!H958,"not collected"),exact(Metadata!H958,"not provided"),exact(Metadata!H958,"restricted access"))),AND(IF(Metadata!H958="",FALSE,ISNUMBER(VALUE(Metadata!H958))),Metadata!H958&gt;0))</f>
        <v>0</v>
      </c>
      <c r="AI958">
        <f>AND(IF(Metadata!I958="",FALSE,TRUE),exact(Metadata!I958,"human"))</f>
        <v>0</v>
      </c>
      <c r="AJ958">
        <f>AND(IF(Metadata!J958="",FALSE,ISNUMBER(VALUE(Metadata!J958))),Metadata!J958&gt;0)</f>
        <v>0</v>
      </c>
      <c r="AK958">
        <f>AND(IF(Metadata!K958="",FALSE,TRUE),exact(Metadata!K958,"cm"))</f>
        <v>0</v>
      </c>
      <c r="AL958">
        <f>AND(IF(Metadata!L958="",FALSE,TRUE),exact(Metadata!L958,"Homo sapiens"))</f>
        <v>0</v>
      </c>
      <c r="AM958">
        <f>AND(IF(Metadata!M958="",FALSE,TRUE),exact(Metadata!M958,"9606"))</f>
        <v>0</v>
      </c>
      <c r="AN958">
        <f>AND(IF(Metadata!N958="",FALSE,ISNUMBER(VALUE(Metadata!N958))),Metadata!N958&gt;0)</f>
        <v>0</v>
      </c>
      <c r="AO958">
        <f>AND(IF(Metadata!O958="",FALSE,TRUE),exact(Metadata!O958,"kg"))</f>
        <v>0</v>
      </c>
      <c r="AP958">
        <f>OR(AND(IF(Metadata!P958="",FALSE,TRUE),exact(Metadata!P958,"not provided")),IF(Metadata!P958="",FALSE,TRUE))</f>
        <v>0</v>
      </c>
      <c r="AQ958">
        <f>OR(AND(IF(Metadata!Q958="",FALSE,TRUE),exact(Metadata!Q958,"not provided")),IF(Metadata!Q958="",FALSE,TRUE))</f>
        <v>0</v>
      </c>
    </row>
    <row r="959" spans="1:43">
      <c r="A959" s="4">
        <f>IF(B959=" "," ",HYPERLINK(CONCATENATE("#metadata!",ADDRESS(INDEX($W$2:$W$1001,MATCH(ROWS($U$2:U959),$U$2:$U$1001,0),0),2)),INDEX($Z$2:$Z$1001,MATCH(ROWS($U$2:U959),$U$2:$U$1001,0),0)))</f>
        <v>0</v>
      </c>
      <c r="B959" s="5">
        <f>IF(OR(INDEX($V$2:$V$1001,MATCH(ROWS($U$2:U959),$U$2:$U$1001,0),1)&gt;=100000,INDEX($AB$1005:$AQ$1005,1,MATCH(COLUMNS($AB$1006:AB1006),$AB$1006:$AQ$1006,0))&gt;=100000), " ",IF(INDEX($AB$2:$AQ$1001,MATCH(ROWS($U$2:U959),$U$2:$U$1001,0),MATCH(COLUMNS($AB$1006:AB1006),$AB$1006:$AQ$1006,0)), HYPERLINK("#",""), HYPERLINK(CONCATENATE("#Metadata!", ADDRESS(INDEX($W$2:$W$1001,MATCH(ROWS($U$2:U959),$U$2:$U$1001,0),0), INDEX($AB$1004:$AQ$1004,1,MATCH(COLUMNS($AB$1006:AB1006),$AB$1006:$AQ$1006,0)))),"Fix")))</f>
        <v>0</v>
      </c>
      <c r="C959" s="5">
        <f>IF(OR(INDEX($V$2:$V$1001,MATCH(ROWS($U$2:U959),$U$2:$U$1001,0),1)&gt;=100000,INDEX($AB$1005:$AQ$1005,1,MATCH(COLUMNS($AB$1006:AC1006),$AB$1006:$AQ$1006,0))&gt;=100000), " ",IF(INDEX($AB$2:$AQ$1001,MATCH(ROWS($U$2:U959),$U$2:$U$1001,0),MATCH(COLUMNS($AB$1006:AC1006),$AB$1006:$AQ$1006,0)), HYPERLINK("#",""), HYPERLINK(CONCATENATE("#Metadata!", ADDRESS(INDEX($W$2:$W$1001,MATCH(ROWS($U$2:U959),$U$2:$U$1001,0),0), INDEX($AB$1004:$AQ$1004,1,MATCH(COLUMNS($AB$1006:AC1006),$AB$1006:$AQ$1006,0)))),"Fix")))</f>
        <v>0</v>
      </c>
      <c r="D959" s="5">
        <f>IF(OR(INDEX($V$2:$V$1001,MATCH(ROWS($U$2:U959),$U$2:$U$1001,0),1)&gt;=100000,INDEX($AB$1005:$AQ$1005,1,MATCH(COLUMNS($AB$1006:AD1006),$AB$1006:$AQ$1006,0))&gt;=100000), " ",IF(INDEX($AB$2:$AQ$1001,MATCH(ROWS($U$2:U959),$U$2:$U$1001,0),MATCH(COLUMNS($AB$1006:AD1006),$AB$1006:$AQ$1006,0)), HYPERLINK("#",""), HYPERLINK(CONCATENATE("#Metadata!", ADDRESS(INDEX($W$2:$W$1001,MATCH(ROWS($U$2:U959),$U$2:$U$1001,0),0), INDEX($AB$1004:$AQ$1004,1,MATCH(COLUMNS($AB$1006:AD1006),$AB$1006:$AQ$1006,0)))),"Fix")))</f>
        <v>0</v>
      </c>
      <c r="E959" s="5">
        <f>IF(OR(INDEX($V$2:$V$1001,MATCH(ROWS($U$2:U959),$U$2:$U$1001,0),1)&gt;=100000,INDEX($AB$1005:$AQ$1005,1,MATCH(COLUMNS($AB$1006:AE1006),$AB$1006:$AQ$1006,0))&gt;=100000), " ",IF(INDEX($AB$2:$AQ$1001,MATCH(ROWS($U$2:U959),$U$2:$U$1001,0),MATCH(COLUMNS($AB$1006:AE1006),$AB$1006:$AQ$1006,0)), HYPERLINK("#",""), HYPERLINK(CONCATENATE("#Metadata!", ADDRESS(INDEX($W$2:$W$1001,MATCH(ROWS($U$2:U959),$U$2:$U$1001,0),0), INDEX($AB$1004:$AQ$1004,1,MATCH(COLUMNS($AB$1006:AE1006),$AB$1006:$AQ$1006,0)))),"Fix")))</f>
        <v>0</v>
      </c>
      <c r="F959" s="5">
        <f>IF(OR(INDEX($V$2:$V$1001,MATCH(ROWS($U$2:U959),$U$2:$U$1001,0),1)&gt;=100000,INDEX($AB$1005:$AQ$1005,1,MATCH(COLUMNS($AB$1006:AF1006),$AB$1006:$AQ$1006,0))&gt;=100000), " ",IF(INDEX($AB$2:$AQ$1001,MATCH(ROWS($U$2:U959),$U$2:$U$1001,0),MATCH(COLUMNS($AB$1006:AF1006),$AB$1006:$AQ$1006,0)), HYPERLINK("#",""), HYPERLINK(CONCATENATE("#Metadata!", ADDRESS(INDEX($W$2:$W$1001,MATCH(ROWS($U$2:U959),$U$2:$U$1001,0),0), INDEX($AB$1004:$AQ$1004,1,MATCH(COLUMNS($AB$1006:AF1006),$AB$1006:$AQ$1006,0)))),"Fix")))</f>
        <v>0</v>
      </c>
      <c r="G959" s="5">
        <f>IF(OR(INDEX($V$2:$V$1001,MATCH(ROWS($U$2:U959),$U$2:$U$1001,0),1)&gt;=100000,INDEX($AB$1005:$AQ$1005,1,MATCH(COLUMNS($AB$1006:AG1006),$AB$1006:$AQ$1006,0))&gt;=100000), " ",IF(INDEX($AB$2:$AQ$1001,MATCH(ROWS($U$2:U959),$U$2:$U$1001,0),MATCH(COLUMNS($AB$1006:AG1006),$AB$1006:$AQ$1006,0)), HYPERLINK("#",""), HYPERLINK(CONCATENATE("#Metadata!", ADDRESS(INDEX($W$2:$W$1001,MATCH(ROWS($U$2:U959),$U$2:$U$1001,0),0), INDEX($AB$1004:$AQ$1004,1,MATCH(COLUMNS($AB$1006:AG1006),$AB$1006:$AQ$1006,0)))),"Fix")))</f>
        <v>0</v>
      </c>
      <c r="H959" s="5">
        <f>IF(OR(INDEX($V$2:$V$1001,MATCH(ROWS($U$2:U959),$U$2:$U$1001,0),1)&gt;=100000,INDEX($AB$1005:$AQ$1005,1,MATCH(COLUMNS($AB$1006:AH1006),$AB$1006:$AQ$1006,0))&gt;=100000), " ",IF(INDEX($AB$2:$AQ$1001,MATCH(ROWS($U$2:U959),$U$2:$U$1001,0),MATCH(COLUMNS($AB$1006:AH1006),$AB$1006:$AQ$1006,0)), HYPERLINK("#",""), HYPERLINK(CONCATENATE("#Metadata!", ADDRESS(INDEX($W$2:$W$1001,MATCH(ROWS($U$2:U959),$U$2:$U$1001,0),0), INDEX($AB$1004:$AQ$1004,1,MATCH(COLUMNS($AB$1006:AH1006),$AB$1006:$AQ$1006,0)))),"Fix")))</f>
        <v>0</v>
      </c>
      <c r="I959" s="5">
        <f>IF(OR(INDEX($V$2:$V$1001,MATCH(ROWS($U$2:U959),$U$2:$U$1001,0),1)&gt;=100000,INDEX($AB$1005:$AQ$1005,1,MATCH(COLUMNS($AB$1006:AI1006),$AB$1006:$AQ$1006,0))&gt;=100000), " ",IF(INDEX($AB$2:$AQ$1001,MATCH(ROWS($U$2:U959),$U$2:$U$1001,0),MATCH(COLUMNS($AB$1006:AI1006),$AB$1006:$AQ$1006,0)), HYPERLINK("#",""), HYPERLINK(CONCATENATE("#Metadata!", ADDRESS(INDEX($W$2:$W$1001,MATCH(ROWS($U$2:U959),$U$2:$U$1001,0),0), INDEX($AB$1004:$AQ$1004,1,MATCH(COLUMNS($AB$1006:AI1006),$AB$1006:$AQ$1006,0)))),"Fix")))</f>
        <v>0</v>
      </c>
      <c r="J959" s="5">
        <f>IF(OR(INDEX($V$2:$V$1001,MATCH(ROWS($U$2:U959),$U$2:$U$1001,0),1)&gt;=100000,INDEX($AB$1005:$AQ$1005,1,MATCH(COLUMNS($AB$1006:AJ1006),$AB$1006:$AQ$1006,0))&gt;=100000), " ",IF(INDEX($AB$2:$AQ$1001,MATCH(ROWS($U$2:U959),$U$2:$U$1001,0),MATCH(COLUMNS($AB$1006:AJ1006),$AB$1006:$AQ$1006,0)), HYPERLINK("#",""), HYPERLINK(CONCATENATE("#Metadata!", ADDRESS(INDEX($W$2:$W$1001,MATCH(ROWS($U$2:U959),$U$2:$U$1001,0),0), INDEX($AB$1004:$AQ$1004,1,MATCH(COLUMNS($AB$1006:AJ1006),$AB$1006:$AQ$1006,0)))),"Fix")))</f>
        <v>0</v>
      </c>
      <c r="K959" s="5">
        <f>IF(OR(INDEX($V$2:$V$1001,MATCH(ROWS($U$2:U959),$U$2:$U$1001,0),1)&gt;=100000,INDEX($AB$1005:$AQ$1005,1,MATCH(COLUMNS($AB$1006:AK1006),$AB$1006:$AQ$1006,0))&gt;=100000), " ",IF(INDEX($AB$2:$AQ$1001,MATCH(ROWS($U$2:U959),$U$2:$U$1001,0),MATCH(COLUMNS($AB$1006:AK1006),$AB$1006:$AQ$1006,0)), HYPERLINK("#",""), HYPERLINK(CONCATENATE("#Metadata!", ADDRESS(INDEX($W$2:$W$1001,MATCH(ROWS($U$2:U959),$U$2:$U$1001,0),0), INDEX($AB$1004:$AQ$1004,1,MATCH(COLUMNS($AB$1006:AK1006),$AB$1006:$AQ$1006,0)))),"Fix")))</f>
        <v>0</v>
      </c>
      <c r="L959" s="5">
        <f>IF(OR(INDEX($V$2:$V$1001,MATCH(ROWS($U$2:U959),$U$2:$U$1001,0),1)&gt;=100000,INDEX($AB$1005:$AQ$1005,1,MATCH(COLUMNS($AB$1006:AL1006),$AB$1006:$AQ$1006,0))&gt;=100000), " ",IF(INDEX($AB$2:$AQ$1001,MATCH(ROWS($U$2:U959),$U$2:$U$1001,0),MATCH(COLUMNS($AB$1006:AL1006),$AB$1006:$AQ$1006,0)), HYPERLINK("#",""), HYPERLINK(CONCATENATE("#Metadata!", ADDRESS(INDEX($W$2:$W$1001,MATCH(ROWS($U$2:U959),$U$2:$U$1001,0),0), INDEX($AB$1004:$AQ$1004,1,MATCH(COLUMNS($AB$1006:AL1006),$AB$1006:$AQ$1006,0)))),"Fix")))</f>
        <v>0</v>
      </c>
      <c r="M959" s="5">
        <f>IF(OR(INDEX($V$2:$V$1001,MATCH(ROWS($U$2:U959),$U$2:$U$1001,0),1)&gt;=100000,INDEX($AB$1005:$AQ$1005,1,MATCH(COLUMNS($AB$1006:AM1006),$AB$1006:$AQ$1006,0))&gt;=100000), " ",IF(INDEX($AB$2:$AQ$1001,MATCH(ROWS($U$2:U959),$U$2:$U$1001,0),MATCH(COLUMNS($AB$1006:AM1006),$AB$1006:$AQ$1006,0)), HYPERLINK("#",""), HYPERLINK(CONCATENATE("#Metadata!", ADDRESS(INDEX($W$2:$W$1001,MATCH(ROWS($U$2:U959),$U$2:$U$1001,0),0), INDEX($AB$1004:$AQ$1004,1,MATCH(COLUMNS($AB$1006:AM1006),$AB$1006:$AQ$1006,0)))),"Fix")))</f>
        <v>0</v>
      </c>
      <c r="N959" s="5">
        <f>IF(OR(INDEX($V$2:$V$1001,MATCH(ROWS($U$2:U959),$U$2:$U$1001,0),1)&gt;=100000,INDEX($AB$1005:$AQ$1005,1,MATCH(COLUMNS($AB$1006:AN1006),$AB$1006:$AQ$1006,0))&gt;=100000), " ",IF(INDEX($AB$2:$AQ$1001,MATCH(ROWS($U$2:U959),$U$2:$U$1001,0),MATCH(COLUMNS($AB$1006:AN1006),$AB$1006:$AQ$1006,0)), HYPERLINK("#",""), HYPERLINK(CONCATENATE("#Metadata!", ADDRESS(INDEX($W$2:$W$1001,MATCH(ROWS($U$2:U959),$U$2:$U$1001,0),0), INDEX($AB$1004:$AQ$1004,1,MATCH(COLUMNS($AB$1006:AN1006),$AB$1006:$AQ$1006,0)))),"Fix")))</f>
        <v>0</v>
      </c>
      <c r="O959" s="5">
        <f>IF(OR(INDEX($V$2:$V$1001,MATCH(ROWS($U$2:U959),$U$2:$U$1001,0),1)&gt;=100000,INDEX($AB$1005:$AQ$1005,1,MATCH(COLUMNS($AB$1006:AO1006),$AB$1006:$AQ$1006,0))&gt;=100000), " ",IF(INDEX($AB$2:$AQ$1001,MATCH(ROWS($U$2:U959),$U$2:$U$1001,0),MATCH(COLUMNS($AB$1006:AO1006),$AB$1006:$AQ$1006,0)), HYPERLINK("#",""), HYPERLINK(CONCATENATE("#Metadata!", ADDRESS(INDEX($W$2:$W$1001,MATCH(ROWS($U$2:U959),$U$2:$U$1001,0),0), INDEX($AB$1004:$AQ$1004,1,MATCH(COLUMNS($AB$1006:AO1006),$AB$1006:$AQ$1006,0)))),"Fix")))</f>
        <v>0</v>
      </c>
      <c r="P959" s="5">
        <f>IF(OR(INDEX($V$2:$V$1001,MATCH(ROWS($U$2:U959),$U$2:$U$1001,0),1)&gt;=100000,INDEX($AB$1005:$AQ$1005,1,MATCH(COLUMNS($AB$1006:AP1006),$AB$1006:$AQ$1006,0))&gt;=100000), " ",IF(INDEX($AB$2:$AQ$1001,MATCH(ROWS($U$2:U959),$U$2:$U$1001,0),MATCH(COLUMNS($AB$1006:AP1006),$AB$1006:$AQ$1006,0)), HYPERLINK("#",""), HYPERLINK(CONCATENATE("#Metadata!", ADDRESS(INDEX($W$2:$W$1001,MATCH(ROWS($U$2:U959),$U$2:$U$1001,0),0), INDEX($AB$1004:$AQ$1004,1,MATCH(COLUMNS($AB$1006:AP1006),$AB$1006:$AQ$1006,0)))),"Fix")))</f>
        <v>0</v>
      </c>
      <c r="Q959" s="5">
        <f>IF(OR(INDEX($V$2:$V$1001,MATCH(ROWS($U$2:U959),$U$2:$U$1001,0),1)&gt;=100000,INDEX($AB$1005:$AQ$1005,1,MATCH(COLUMNS($AB$1006:AQ1006),$AB$1006:$AQ$1006,0))&gt;=100000), " ",IF(INDEX($AB$2:$AQ$1001,MATCH(ROWS($U$2:U959),$U$2:$U$1001,0),MATCH(COLUMNS($AB$1006:AQ1006),$AB$1006:$AQ$1006,0)), HYPERLINK("#",""), HYPERLINK(CONCATENATE("#Metadata!", ADDRESS(INDEX($W$2:$W$1001,MATCH(ROWS($U$2:U959),$U$2:$U$1001,0),0), INDEX($AB$1004:$AQ$1004,1,MATCH(COLUMNS($AB$1006:AQ1006),$AB$1006:$AQ$1006,0)))),"Fix")))</f>
        <v>0</v>
      </c>
      <c r="U959">
        <v>0</v>
      </c>
      <c r="V959">
        <v>0</v>
      </c>
      <c r="W959">
        <v>0</v>
      </c>
      <c r="X959">
        <f>IF(Y959,TRUE,AND(AB959:AQ959))</f>
        <v>0</v>
      </c>
      <c r="Y959">
        <f>COUNTBLANK(Metadata!B959:Q959)=COLUMNS(Metadata!B959:Q959)</f>
        <v>0</v>
      </c>
      <c r="Z959">
        <v>0</v>
      </c>
      <c r="AB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AC959">
        <f>AND(IF(Metadata!C959="",FALSE,TRUE),exact(Metadata!C959,"urban biome"))</f>
        <v>0</v>
      </c>
      <c r="AD959">
        <f>AND(IF(Metadata!D959="",FALSE,TRUE),exact(Metadata!D959,"human-associated habitat"))</f>
        <v>0</v>
      </c>
      <c r="AE959">
        <f>AND(IF(Metadata!E959="",FALSE,TRUE),OR(exact(Metadata!E959,"human-associated"),exact(Metadata!E959,"human-skin"),exact(Metadata!E959,"human-oral"),exact(Metadata!E959,"human-gut"),exact(Metadata!E959,"human-vaginal")))</f>
        <v>0</v>
      </c>
      <c r="AF959">
        <f>AND(IF(Metadata!F959="",FALSE,ISNUMBER(VALUE(Metadata!F959))),Metadata!F959&gt;0)</f>
        <v>0</v>
      </c>
      <c r="AG959">
        <f>AND(IF(Metadata!G959="",FALSE,TRUE),exact(Metadata!G959,"years"))</f>
        <v>0</v>
      </c>
      <c r="AH959">
        <f>OR(AND(IF(Metadata!H959="",FALSE,TRUE),OR(exact(Metadata!H959,"not applicable"),exact(Metadata!H959,"not collected"),exact(Metadata!H959,"not provided"),exact(Metadata!H959,"restricted access"))),AND(IF(Metadata!H959="",FALSE,ISNUMBER(VALUE(Metadata!H959))),Metadata!H959&gt;0))</f>
        <v>0</v>
      </c>
      <c r="AI959">
        <f>AND(IF(Metadata!I959="",FALSE,TRUE),exact(Metadata!I959,"human"))</f>
        <v>0</v>
      </c>
      <c r="AJ959">
        <f>AND(IF(Metadata!J959="",FALSE,ISNUMBER(VALUE(Metadata!J959))),Metadata!J959&gt;0)</f>
        <v>0</v>
      </c>
      <c r="AK959">
        <f>AND(IF(Metadata!K959="",FALSE,TRUE),exact(Metadata!K959,"cm"))</f>
        <v>0</v>
      </c>
      <c r="AL959">
        <f>AND(IF(Metadata!L959="",FALSE,TRUE),exact(Metadata!L959,"Homo sapiens"))</f>
        <v>0</v>
      </c>
      <c r="AM959">
        <f>AND(IF(Metadata!M959="",FALSE,TRUE),exact(Metadata!M959,"9606"))</f>
        <v>0</v>
      </c>
      <c r="AN959">
        <f>AND(IF(Metadata!N959="",FALSE,ISNUMBER(VALUE(Metadata!N959))),Metadata!N959&gt;0)</f>
        <v>0</v>
      </c>
      <c r="AO959">
        <f>AND(IF(Metadata!O959="",FALSE,TRUE),exact(Metadata!O959,"kg"))</f>
        <v>0</v>
      </c>
      <c r="AP959">
        <f>OR(AND(IF(Metadata!P959="",FALSE,TRUE),exact(Metadata!P959,"not provided")),IF(Metadata!P959="",FALSE,TRUE))</f>
        <v>0</v>
      </c>
      <c r="AQ959">
        <f>OR(AND(IF(Metadata!Q959="",FALSE,TRUE),exact(Metadata!Q959,"not provided")),IF(Metadata!Q959="",FALSE,TRUE))</f>
        <v>0</v>
      </c>
    </row>
    <row r="960" spans="1:43">
      <c r="A960" s="4">
        <f>IF(B960=" "," ",HYPERLINK(CONCATENATE("#metadata!",ADDRESS(INDEX($W$2:$W$1001,MATCH(ROWS($U$2:U960),$U$2:$U$1001,0),0),2)),INDEX($Z$2:$Z$1001,MATCH(ROWS($U$2:U960),$U$2:$U$1001,0),0)))</f>
        <v>0</v>
      </c>
      <c r="B960" s="5">
        <f>IF(OR(INDEX($V$2:$V$1001,MATCH(ROWS($U$2:U960),$U$2:$U$1001,0),1)&gt;=100000,INDEX($AB$1005:$AQ$1005,1,MATCH(COLUMNS($AB$1006:AB1006),$AB$1006:$AQ$1006,0))&gt;=100000), " ",IF(INDEX($AB$2:$AQ$1001,MATCH(ROWS($U$2:U960),$U$2:$U$1001,0),MATCH(COLUMNS($AB$1006:AB1006),$AB$1006:$AQ$1006,0)), HYPERLINK("#",""), HYPERLINK(CONCATENATE("#Metadata!", ADDRESS(INDEX($W$2:$W$1001,MATCH(ROWS($U$2:U960),$U$2:$U$1001,0),0), INDEX($AB$1004:$AQ$1004,1,MATCH(COLUMNS($AB$1006:AB1006),$AB$1006:$AQ$1006,0)))),"Fix")))</f>
        <v>0</v>
      </c>
      <c r="C960" s="5">
        <f>IF(OR(INDEX($V$2:$V$1001,MATCH(ROWS($U$2:U960),$U$2:$U$1001,0),1)&gt;=100000,INDEX($AB$1005:$AQ$1005,1,MATCH(COLUMNS($AB$1006:AC1006),$AB$1006:$AQ$1006,0))&gt;=100000), " ",IF(INDEX($AB$2:$AQ$1001,MATCH(ROWS($U$2:U960),$U$2:$U$1001,0),MATCH(COLUMNS($AB$1006:AC1006),$AB$1006:$AQ$1006,0)), HYPERLINK("#",""), HYPERLINK(CONCATENATE("#Metadata!", ADDRESS(INDEX($W$2:$W$1001,MATCH(ROWS($U$2:U960),$U$2:$U$1001,0),0), INDEX($AB$1004:$AQ$1004,1,MATCH(COLUMNS($AB$1006:AC1006),$AB$1006:$AQ$1006,0)))),"Fix")))</f>
        <v>0</v>
      </c>
      <c r="D960" s="5">
        <f>IF(OR(INDEX($V$2:$V$1001,MATCH(ROWS($U$2:U960),$U$2:$U$1001,0),1)&gt;=100000,INDEX($AB$1005:$AQ$1005,1,MATCH(COLUMNS($AB$1006:AD1006),$AB$1006:$AQ$1006,0))&gt;=100000), " ",IF(INDEX($AB$2:$AQ$1001,MATCH(ROWS($U$2:U960),$U$2:$U$1001,0),MATCH(COLUMNS($AB$1006:AD1006),$AB$1006:$AQ$1006,0)), HYPERLINK("#",""), HYPERLINK(CONCATENATE("#Metadata!", ADDRESS(INDEX($W$2:$W$1001,MATCH(ROWS($U$2:U960),$U$2:$U$1001,0),0), INDEX($AB$1004:$AQ$1004,1,MATCH(COLUMNS($AB$1006:AD1006),$AB$1006:$AQ$1006,0)))),"Fix")))</f>
        <v>0</v>
      </c>
      <c r="E960" s="5">
        <f>IF(OR(INDEX($V$2:$V$1001,MATCH(ROWS($U$2:U960),$U$2:$U$1001,0),1)&gt;=100000,INDEX($AB$1005:$AQ$1005,1,MATCH(COLUMNS($AB$1006:AE1006),$AB$1006:$AQ$1006,0))&gt;=100000), " ",IF(INDEX($AB$2:$AQ$1001,MATCH(ROWS($U$2:U960),$U$2:$U$1001,0),MATCH(COLUMNS($AB$1006:AE1006),$AB$1006:$AQ$1006,0)), HYPERLINK("#",""), HYPERLINK(CONCATENATE("#Metadata!", ADDRESS(INDEX($W$2:$W$1001,MATCH(ROWS($U$2:U960),$U$2:$U$1001,0),0), INDEX($AB$1004:$AQ$1004,1,MATCH(COLUMNS($AB$1006:AE1006),$AB$1006:$AQ$1006,0)))),"Fix")))</f>
        <v>0</v>
      </c>
      <c r="F960" s="5">
        <f>IF(OR(INDEX($V$2:$V$1001,MATCH(ROWS($U$2:U960),$U$2:$U$1001,0),1)&gt;=100000,INDEX($AB$1005:$AQ$1005,1,MATCH(COLUMNS($AB$1006:AF1006),$AB$1006:$AQ$1006,0))&gt;=100000), " ",IF(INDEX($AB$2:$AQ$1001,MATCH(ROWS($U$2:U960),$U$2:$U$1001,0),MATCH(COLUMNS($AB$1006:AF1006),$AB$1006:$AQ$1006,0)), HYPERLINK("#",""), HYPERLINK(CONCATENATE("#Metadata!", ADDRESS(INDEX($W$2:$W$1001,MATCH(ROWS($U$2:U960),$U$2:$U$1001,0),0), INDEX($AB$1004:$AQ$1004,1,MATCH(COLUMNS($AB$1006:AF1006),$AB$1006:$AQ$1006,0)))),"Fix")))</f>
        <v>0</v>
      </c>
      <c r="G960" s="5">
        <f>IF(OR(INDEX($V$2:$V$1001,MATCH(ROWS($U$2:U960),$U$2:$U$1001,0),1)&gt;=100000,INDEX($AB$1005:$AQ$1005,1,MATCH(COLUMNS($AB$1006:AG1006),$AB$1006:$AQ$1006,0))&gt;=100000), " ",IF(INDEX($AB$2:$AQ$1001,MATCH(ROWS($U$2:U960),$U$2:$U$1001,0),MATCH(COLUMNS($AB$1006:AG1006),$AB$1006:$AQ$1006,0)), HYPERLINK("#",""), HYPERLINK(CONCATENATE("#Metadata!", ADDRESS(INDEX($W$2:$W$1001,MATCH(ROWS($U$2:U960),$U$2:$U$1001,0),0), INDEX($AB$1004:$AQ$1004,1,MATCH(COLUMNS($AB$1006:AG1006),$AB$1006:$AQ$1006,0)))),"Fix")))</f>
        <v>0</v>
      </c>
      <c r="H960" s="5">
        <f>IF(OR(INDEX($V$2:$V$1001,MATCH(ROWS($U$2:U960),$U$2:$U$1001,0),1)&gt;=100000,INDEX($AB$1005:$AQ$1005,1,MATCH(COLUMNS($AB$1006:AH1006),$AB$1006:$AQ$1006,0))&gt;=100000), " ",IF(INDEX($AB$2:$AQ$1001,MATCH(ROWS($U$2:U960),$U$2:$U$1001,0),MATCH(COLUMNS($AB$1006:AH1006),$AB$1006:$AQ$1006,0)), HYPERLINK("#",""), HYPERLINK(CONCATENATE("#Metadata!", ADDRESS(INDEX($W$2:$W$1001,MATCH(ROWS($U$2:U960),$U$2:$U$1001,0),0), INDEX($AB$1004:$AQ$1004,1,MATCH(COLUMNS($AB$1006:AH1006),$AB$1006:$AQ$1006,0)))),"Fix")))</f>
        <v>0</v>
      </c>
      <c r="I960" s="5">
        <f>IF(OR(INDEX($V$2:$V$1001,MATCH(ROWS($U$2:U960),$U$2:$U$1001,0),1)&gt;=100000,INDEX($AB$1005:$AQ$1005,1,MATCH(COLUMNS($AB$1006:AI1006),$AB$1006:$AQ$1006,0))&gt;=100000), " ",IF(INDEX($AB$2:$AQ$1001,MATCH(ROWS($U$2:U960),$U$2:$U$1001,0),MATCH(COLUMNS($AB$1006:AI1006),$AB$1006:$AQ$1006,0)), HYPERLINK("#",""), HYPERLINK(CONCATENATE("#Metadata!", ADDRESS(INDEX($W$2:$W$1001,MATCH(ROWS($U$2:U960),$U$2:$U$1001,0),0), INDEX($AB$1004:$AQ$1004,1,MATCH(COLUMNS($AB$1006:AI1006),$AB$1006:$AQ$1006,0)))),"Fix")))</f>
        <v>0</v>
      </c>
      <c r="J960" s="5">
        <f>IF(OR(INDEX($V$2:$V$1001,MATCH(ROWS($U$2:U960),$U$2:$U$1001,0),1)&gt;=100000,INDEX($AB$1005:$AQ$1005,1,MATCH(COLUMNS($AB$1006:AJ1006),$AB$1006:$AQ$1006,0))&gt;=100000), " ",IF(INDEX($AB$2:$AQ$1001,MATCH(ROWS($U$2:U960),$U$2:$U$1001,0),MATCH(COLUMNS($AB$1006:AJ1006),$AB$1006:$AQ$1006,0)), HYPERLINK("#",""), HYPERLINK(CONCATENATE("#Metadata!", ADDRESS(INDEX($W$2:$W$1001,MATCH(ROWS($U$2:U960),$U$2:$U$1001,0),0), INDEX($AB$1004:$AQ$1004,1,MATCH(COLUMNS($AB$1006:AJ1006),$AB$1006:$AQ$1006,0)))),"Fix")))</f>
        <v>0</v>
      </c>
      <c r="K960" s="5">
        <f>IF(OR(INDEX($V$2:$V$1001,MATCH(ROWS($U$2:U960),$U$2:$U$1001,0),1)&gt;=100000,INDEX($AB$1005:$AQ$1005,1,MATCH(COLUMNS($AB$1006:AK1006),$AB$1006:$AQ$1006,0))&gt;=100000), " ",IF(INDEX($AB$2:$AQ$1001,MATCH(ROWS($U$2:U960),$U$2:$U$1001,0),MATCH(COLUMNS($AB$1006:AK1006),$AB$1006:$AQ$1006,0)), HYPERLINK("#",""), HYPERLINK(CONCATENATE("#Metadata!", ADDRESS(INDEX($W$2:$W$1001,MATCH(ROWS($U$2:U960),$U$2:$U$1001,0),0), INDEX($AB$1004:$AQ$1004,1,MATCH(COLUMNS($AB$1006:AK1006),$AB$1006:$AQ$1006,0)))),"Fix")))</f>
        <v>0</v>
      </c>
      <c r="L960" s="5">
        <f>IF(OR(INDEX($V$2:$V$1001,MATCH(ROWS($U$2:U960),$U$2:$U$1001,0),1)&gt;=100000,INDEX($AB$1005:$AQ$1005,1,MATCH(COLUMNS($AB$1006:AL1006),$AB$1006:$AQ$1006,0))&gt;=100000), " ",IF(INDEX($AB$2:$AQ$1001,MATCH(ROWS($U$2:U960),$U$2:$U$1001,0),MATCH(COLUMNS($AB$1006:AL1006),$AB$1006:$AQ$1006,0)), HYPERLINK("#",""), HYPERLINK(CONCATENATE("#Metadata!", ADDRESS(INDEX($W$2:$W$1001,MATCH(ROWS($U$2:U960),$U$2:$U$1001,0),0), INDEX($AB$1004:$AQ$1004,1,MATCH(COLUMNS($AB$1006:AL1006),$AB$1006:$AQ$1006,0)))),"Fix")))</f>
        <v>0</v>
      </c>
      <c r="M960" s="5">
        <f>IF(OR(INDEX($V$2:$V$1001,MATCH(ROWS($U$2:U960),$U$2:$U$1001,0),1)&gt;=100000,INDEX($AB$1005:$AQ$1005,1,MATCH(COLUMNS($AB$1006:AM1006),$AB$1006:$AQ$1006,0))&gt;=100000), " ",IF(INDEX($AB$2:$AQ$1001,MATCH(ROWS($U$2:U960),$U$2:$U$1001,0),MATCH(COLUMNS($AB$1006:AM1006),$AB$1006:$AQ$1006,0)), HYPERLINK("#",""), HYPERLINK(CONCATENATE("#Metadata!", ADDRESS(INDEX($W$2:$W$1001,MATCH(ROWS($U$2:U960),$U$2:$U$1001,0),0), INDEX($AB$1004:$AQ$1004,1,MATCH(COLUMNS($AB$1006:AM1006),$AB$1006:$AQ$1006,0)))),"Fix")))</f>
        <v>0</v>
      </c>
      <c r="N960" s="5">
        <f>IF(OR(INDEX($V$2:$V$1001,MATCH(ROWS($U$2:U960),$U$2:$U$1001,0),1)&gt;=100000,INDEX($AB$1005:$AQ$1005,1,MATCH(COLUMNS($AB$1006:AN1006),$AB$1006:$AQ$1006,0))&gt;=100000), " ",IF(INDEX($AB$2:$AQ$1001,MATCH(ROWS($U$2:U960),$U$2:$U$1001,0),MATCH(COLUMNS($AB$1006:AN1006),$AB$1006:$AQ$1006,0)), HYPERLINK("#",""), HYPERLINK(CONCATENATE("#Metadata!", ADDRESS(INDEX($W$2:$W$1001,MATCH(ROWS($U$2:U960),$U$2:$U$1001,0),0), INDEX($AB$1004:$AQ$1004,1,MATCH(COLUMNS($AB$1006:AN1006),$AB$1006:$AQ$1006,0)))),"Fix")))</f>
        <v>0</v>
      </c>
      <c r="O960" s="5">
        <f>IF(OR(INDEX($V$2:$V$1001,MATCH(ROWS($U$2:U960),$U$2:$U$1001,0),1)&gt;=100000,INDEX($AB$1005:$AQ$1005,1,MATCH(COLUMNS($AB$1006:AO1006),$AB$1006:$AQ$1006,0))&gt;=100000), " ",IF(INDEX($AB$2:$AQ$1001,MATCH(ROWS($U$2:U960),$U$2:$U$1001,0),MATCH(COLUMNS($AB$1006:AO1006),$AB$1006:$AQ$1006,0)), HYPERLINK("#",""), HYPERLINK(CONCATENATE("#Metadata!", ADDRESS(INDEX($W$2:$W$1001,MATCH(ROWS($U$2:U960),$U$2:$U$1001,0),0), INDEX($AB$1004:$AQ$1004,1,MATCH(COLUMNS($AB$1006:AO1006),$AB$1006:$AQ$1006,0)))),"Fix")))</f>
        <v>0</v>
      </c>
      <c r="P960" s="5">
        <f>IF(OR(INDEX($V$2:$V$1001,MATCH(ROWS($U$2:U960),$U$2:$U$1001,0),1)&gt;=100000,INDEX($AB$1005:$AQ$1005,1,MATCH(COLUMNS($AB$1006:AP1006),$AB$1006:$AQ$1006,0))&gt;=100000), " ",IF(INDEX($AB$2:$AQ$1001,MATCH(ROWS($U$2:U960),$U$2:$U$1001,0),MATCH(COLUMNS($AB$1006:AP1006),$AB$1006:$AQ$1006,0)), HYPERLINK("#",""), HYPERLINK(CONCATENATE("#Metadata!", ADDRESS(INDEX($W$2:$W$1001,MATCH(ROWS($U$2:U960),$U$2:$U$1001,0),0), INDEX($AB$1004:$AQ$1004,1,MATCH(COLUMNS($AB$1006:AP1006),$AB$1006:$AQ$1006,0)))),"Fix")))</f>
        <v>0</v>
      </c>
      <c r="Q960" s="5">
        <f>IF(OR(INDEX($V$2:$V$1001,MATCH(ROWS($U$2:U960),$U$2:$U$1001,0),1)&gt;=100000,INDEX($AB$1005:$AQ$1005,1,MATCH(COLUMNS($AB$1006:AQ1006),$AB$1006:$AQ$1006,0))&gt;=100000), " ",IF(INDEX($AB$2:$AQ$1001,MATCH(ROWS($U$2:U960),$U$2:$U$1001,0),MATCH(COLUMNS($AB$1006:AQ1006),$AB$1006:$AQ$1006,0)), HYPERLINK("#",""), HYPERLINK(CONCATENATE("#Metadata!", ADDRESS(INDEX($W$2:$W$1001,MATCH(ROWS($U$2:U960),$U$2:$U$1001,0),0), INDEX($AB$1004:$AQ$1004,1,MATCH(COLUMNS($AB$1006:AQ1006),$AB$1006:$AQ$1006,0)))),"Fix")))</f>
        <v>0</v>
      </c>
      <c r="U960">
        <v>0</v>
      </c>
      <c r="V960">
        <v>0</v>
      </c>
      <c r="W960">
        <v>0</v>
      </c>
      <c r="X960">
        <f>IF(Y960,TRUE,AND(AB960:AQ960))</f>
        <v>0</v>
      </c>
      <c r="Y960">
        <f>COUNTBLANK(Metadata!B960:Q960)=COLUMNS(Metadata!B960:Q960)</f>
        <v>0</v>
      </c>
      <c r="Z960">
        <v>0</v>
      </c>
      <c r="AB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AC960">
        <f>AND(IF(Metadata!C960="",FALSE,TRUE),exact(Metadata!C960,"urban biome"))</f>
        <v>0</v>
      </c>
      <c r="AD960">
        <f>AND(IF(Metadata!D960="",FALSE,TRUE),exact(Metadata!D960,"human-associated habitat"))</f>
        <v>0</v>
      </c>
      <c r="AE960">
        <f>AND(IF(Metadata!E960="",FALSE,TRUE),OR(exact(Metadata!E960,"human-associated"),exact(Metadata!E960,"human-skin"),exact(Metadata!E960,"human-oral"),exact(Metadata!E960,"human-gut"),exact(Metadata!E960,"human-vaginal")))</f>
        <v>0</v>
      </c>
      <c r="AF960">
        <f>AND(IF(Metadata!F960="",FALSE,ISNUMBER(VALUE(Metadata!F960))),Metadata!F960&gt;0)</f>
        <v>0</v>
      </c>
      <c r="AG960">
        <f>AND(IF(Metadata!G960="",FALSE,TRUE),exact(Metadata!G960,"years"))</f>
        <v>0</v>
      </c>
      <c r="AH960">
        <f>OR(AND(IF(Metadata!H960="",FALSE,TRUE),OR(exact(Metadata!H960,"not applicable"),exact(Metadata!H960,"not collected"),exact(Metadata!H960,"not provided"),exact(Metadata!H960,"restricted access"))),AND(IF(Metadata!H960="",FALSE,ISNUMBER(VALUE(Metadata!H960))),Metadata!H960&gt;0))</f>
        <v>0</v>
      </c>
      <c r="AI960">
        <f>AND(IF(Metadata!I960="",FALSE,TRUE),exact(Metadata!I960,"human"))</f>
        <v>0</v>
      </c>
      <c r="AJ960">
        <f>AND(IF(Metadata!J960="",FALSE,ISNUMBER(VALUE(Metadata!J960))),Metadata!J960&gt;0)</f>
        <v>0</v>
      </c>
      <c r="AK960">
        <f>AND(IF(Metadata!K960="",FALSE,TRUE),exact(Metadata!K960,"cm"))</f>
        <v>0</v>
      </c>
      <c r="AL960">
        <f>AND(IF(Metadata!L960="",FALSE,TRUE),exact(Metadata!L960,"Homo sapiens"))</f>
        <v>0</v>
      </c>
      <c r="AM960">
        <f>AND(IF(Metadata!M960="",FALSE,TRUE),exact(Metadata!M960,"9606"))</f>
        <v>0</v>
      </c>
      <c r="AN960">
        <f>AND(IF(Metadata!N960="",FALSE,ISNUMBER(VALUE(Metadata!N960))),Metadata!N960&gt;0)</f>
        <v>0</v>
      </c>
      <c r="AO960">
        <f>AND(IF(Metadata!O960="",FALSE,TRUE),exact(Metadata!O960,"kg"))</f>
        <v>0</v>
      </c>
      <c r="AP960">
        <f>OR(AND(IF(Metadata!P960="",FALSE,TRUE),exact(Metadata!P960,"not provided")),IF(Metadata!P960="",FALSE,TRUE))</f>
        <v>0</v>
      </c>
      <c r="AQ960">
        <f>OR(AND(IF(Metadata!Q960="",FALSE,TRUE),exact(Metadata!Q960,"not provided")),IF(Metadata!Q960="",FALSE,TRUE))</f>
        <v>0</v>
      </c>
    </row>
    <row r="961" spans="1:43">
      <c r="A961" s="4">
        <f>IF(B961=" "," ",HYPERLINK(CONCATENATE("#metadata!",ADDRESS(INDEX($W$2:$W$1001,MATCH(ROWS($U$2:U961),$U$2:$U$1001,0),0),2)),INDEX($Z$2:$Z$1001,MATCH(ROWS($U$2:U961),$U$2:$U$1001,0),0)))</f>
        <v>0</v>
      </c>
      <c r="B961" s="5">
        <f>IF(OR(INDEX($V$2:$V$1001,MATCH(ROWS($U$2:U961),$U$2:$U$1001,0),1)&gt;=100000,INDEX($AB$1005:$AQ$1005,1,MATCH(COLUMNS($AB$1006:AB1006),$AB$1006:$AQ$1006,0))&gt;=100000), " ",IF(INDEX($AB$2:$AQ$1001,MATCH(ROWS($U$2:U961),$U$2:$U$1001,0),MATCH(COLUMNS($AB$1006:AB1006),$AB$1006:$AQ$1006,0)), HYPERLINK("#",""), HYPERLINK(CONCATENATE("#Metadata!", ADDRESS(INDEX($W$2:$W$1001,MATCH(ROWS($U$2:U961),$U$2:$U$1001,0),0), INDEX($AB$1004:$AQ$1004,1,MATCH(COLUMNS($AB$1006:AB1006),$AB$1006:$AQ$1006,0)))),"Fix")))</f>
        <v>0</v>
      </c>
      <c r="C961" s="5">
        <f>IF(OR(INDEX($V$2:$V$1001,MATCH(ROWS($U$2:U961),$U$2:$U$1001,0),1)&gt;=100000,INDEX($AB$1005:$AQ$1005,1,MATCH(COLUMNS($AB$1006:AC1006),$AB$1006:$AQ$1006,0))&gt;=100000), " ",IF(INDEX($AB$2:$AQ$1001,MATCH(ROWS($U$2:U961),$U$2:$U$1001,0),MATCH(COLUMNS($AB$1006:AC1006),$AB$1006:$AQ$1006,0)), HYPERLINK("#",""), HYPERLINK(CONCATENATE("#Metadata!", ADDRESS(INDEX($W$2:$W$1001,MATCH(ROWS($U$2:U961),$U$2:$U$1001,0),0), INDEX($AB$1004:$AQ$1004,1,MATCH(COLUMNS($AB$1006:AC1006),$AB$1006:$AQ$1006,0)))),"Fix")))</f>
        <v>0</v>
      </c>
      <c r="D961" s="5">
        <f>IF(OR(INDEX($V$2:$V$1001,MATCH(ROWS($U$2:U961),$U$2:$U$1001,0),1)&gt;=100000,INDEX($AB$1005:$AQ$1005,1,MATCH(COLUMNS($AB$1006:AD1006),$AB$1006:$AQ$1006,0))&gt;=100000), " ",IF(INDEX($AB$2:$AQ$1001,MATCH(ROWS($U$2:U961),$U$2:$U$1001,0),MATCH(COLUMNS($AB$1006:AD1006),$AB$1006:$AQ$1006,0)), HYPERLINK("#",""), HYPERLINK(CONCATENATE("#Metadata!", ADDRESS(INDEX($W$2:$W$1001,MATCH(ROWS($U$2:U961),$U$2:$U$1001,0),0), INDEX($AB$1004:$AQ$1004,1,MATCH(COLUMNS($AB$1006:AD1006),$AB$1006:$AQ$1006,0)))),"Fix")))</f>
        <v>0</v>
      </c>
      <c r="E961" s="5">
        <f>IF(OR(INDEX($V$2:$V$1001,MATCH(ROWS($U$2:U961),$U$2:$U$1001,0),1)&gt;=100000,INDEX($AB$1005:$AQ$1005,1,MATCH(COLUMNS($AB$1006:AE1006),$AB$1006:$AQ$1006,0))&gt;=100000), " ",IF(INDEX($AB$2:$AQ$1001,MATCH(ROWS($U$2:U961),$U$2:$U$1001,0),MATCH(COLUMNS($AB$1006:AE1006),$AB$1006:$AQ$1006,0)), HYPERLINK("#",""), HYPERLINK(CONCATENATE("#Metadata!", ADDRESS(INDEX($W$2:$W$1001,MATCH(ROWS($U$2:U961),$U$2:$U$1001,0),0), INDEX($AB$1004:$AQ$1004,1,MATCH(COLUMNS($AB$1006:AE1006),$AB$1006:$AQ$1006,0)))),"Fix")))</f>
        <v>0</v>
      </c>
      <c r="F961" s="5">
        <f>IF(OR(INDEX($V$2:$V$1001,MATCH(ROWS($U$2:U961),$U$2:$U$1001,0),1)&gt;=100000,INDEX($AB$1005:$AQ$1005,1,MATCH(COLUMNS($AB$1006:AF1006),$AB$1006:$AQ$1006,0))&gt;=100000), " ",IF(INDEX($AB$2:$AQ$1001,MATCH(ROWS($U$2:U961),$U$2:$U$1001,0),MATCH(COLUMNS($AB$1006:AF1006),$AB$1006:$AQ$1006,0)), HYPERLINK("#",""), HYPERLINK(CONCATENATE("#Metadata!", ADDRESS(INDEX($W$2:$W$1001,MATCH(ROWS($U$2:U961),$U$2:$U$1001,0),0), INDEX($AB$1004:$AQ$1004,1,MATCH(COLUMNS($AB$1006:AF1006),$AB$1006:$AQ$1006,0)))),"Fix")))</f>
        <v>0</v>
      </c>
      <c r="G961" s="5">
        <f>IF(OR(INDEX($V$2:$V$1001,MATCH(ROWS($U$2:U961),$U$2:$U$1001,0),1)&gt;=100000,INDEX($AB$1005:$AQ$1005,1,MATCH(COLUMNS($AB$1006:AG1006),$AB$1006:$AQ$1006,0))&gt;=100000), " ",IF(INDEX($AB$2:$AQ$1001,MATCH(ROWS($U$2:U961),$U$2:$U$1001,0),MATCH(COLUMNS($AB$1006:AG1006),$AB$1006:$AQ$1006,0)), HYPERLINK("#",""), HYPERLINK(CONCATENATE("#Metadata!", ADDRESS(INDEX($W$2:$W$1001,MATCH(ROWS($U$2:U961),$U$2:$U$1001,0),0), INDEX($AB$1004:$AQ$1004,1,MATCH(COLUMNS($AB$1006:AG1006),$AB$1006:$AQ$1006,0)))),"Fix")))</f>
        <v>0</v>
      </c>
      <c r="H961" s="5">
        <f>IF(OR(INDEX($V$2:$V$1001,MATCH(ROWS($U$2:U961),$U$2:$U$1001,0),1)&gt;=100000,INDEX($AB$1005:$AQ$1005,1,MATCH(COLUMNS($AB$1006:AH1006),$AB$1006:$AQ$1006,0))&gt;=100000), " ",IF(INDEX($AB$2:$AQ$1001,MATCH(ROWS($U$2:U961),$U$2:$U$1001,0),MATCH(COLUMNS($AB$1006:AH1006),$AB$1006:$AQ$1006,0)), HYPERLINK("#",""), HYPERLINK(CONCATENATE("#Metadata!", ADDRESS(INDEX($W$2:$W$1001,MATCH(ROWS($U$2:U961),$U$2:$U$1001,0),0), INDEX($AB$1004:$AQ$1004,1,MATCH(COLUMNS($AB$1006:AH1006),$AB$1006:$AQ$1006,0)))),"Fix")))</f>
        <v>0</v>
      </c>
      <c r="I961" s="5">
        <f>IF(OR(INDEX($V$2:$V$1001,MATCH(ROWS($U$2:U961),$U$2:$U$1001,0),1)&gt;=100000,INDEX($AB$1005:$AQ$1005,1,MATCH(COLUMNS($AB$1006:AI1006),$AB$1006:$AQ$1006,0))&gt;=100000), " ",IF(INDEX($AB$2:$AQ$1001,MATCH(ROWS($U$2:U961),$U$2:$U$1001,0),MATCH(COLUMNS($AB$1006:AI1006),$AB$1006:$AQ$1006,0)), HYPERLINK("#",""), HYPERLINK(CONCATENATE("#Metadata!", ADDRESS(INDEX($W$2:$W$1001,MATCH(ROWS($U$2:U961),$U$2:$U$1001,0),0), INDEX($AB$1004:$AQ$1004,1,MATCH(COLUMNS($AB$1006:AI1006),$AB$1006:$AQ$1006,0)))),"Fix")))</f>
        <v>0</v>
      </c>
      <c r="J961" s="5">
        <f>IF(OR(INDEX($V$2:$V$1001,MATCH(ROWS($U$2:U961),$U$2:$U$1001,0),1)&gt;=100000,INDEX($AB$1005:$AQ$1005,1,MATCH(COLUMNS($AB$1006:AJ1006),$AB$1006:$AQ$1006,0))&gt;=100000), " ",IF(INDEX($AB$2:$AQ$1001,MATCH(ROWS($U$2:U961),$U$2:$U$1001,0),MATCH(COLUMNS($AB$1006:AJ1006),$AB$1006:$AQ$1006,0)), HYPERLINK("#",""), HYPERLINK(CONCATENATE("#Metadata!", ADDRESS(INDEX($W$2:$W$1001,MATCH(ROWS($U$2:U961),$U$2:$U$1001,0),0), INDEX($AB$1004:$AQ$1004,1,MATCH(COLUMNS($AB$1006:AJ1006),$AB$1006:$AQ$1006,0)))),"Fix")))</f>
        <v>0</v>
      </c>
      <c r="K961" s="5">
        <f>IF(OR(INDEX($V$2:$V$1001,MATCH(ROWS($U$2:U961),$U$2:$U$1001,0),1)&gt;=100000,INDEX($AB$1005:$AQ$1005,1,MATCH(COLUMNS($AB$1006:AK1006),$AB$1006:$AQ$1006,0))&gt;=100000), " ",IF(INDEX($AB$2:$AQ$1001,MATCH(ROWS($U$2:U961),$U$2:$U$1001,0),MATCH(COLUMNS($AB$1006:AK1006),$AB$1006:$AQ$1006,0)), HYPERLINK("#",""), HYPERLINK(CONCATENATE("#Metadata!", ADDRESS(INDEX($W$2:$W$1001,MATCH(ROWS($U$2:U961),$U$2:$U$1001,0),0), INDEX($AB$1004:$AQ$1004,1,MATCH(COLUMNS($AB$1006:AK1006),$AB$1006:$AQ$1006,0)))),"Fix")))</f>
        <v>0</v>
      </c>
      <c r="L961" s="5">
        <f>IF(OR(INDEX($V$2:$V$1001,MATCH(ROWS($U$2:U961),$U$2:$U$1001,0),1)&gt;=100000,INDEX($AB$1005:$AQ$1005,1,MATCH(COLUMNS($AB$1006:AL1006),$AB$1006:$AQ$1006,0))&gt;=100000), " ",IF(INDEX($AB$2:$AQ$1001,MATCH(ROWS($U$2:U961),$U$2:$U$1001,0),MATCH(COLUMNS($AB$1006:AL1006),$AB$1006:$AQ$1006,0)), HYPERLINK("#",""), HYPERLINK(CONCATENATE("#Metadata!", ADDRESS(INDEX($W$2:$W$1001,MATCH(ROWS($U$2:U961),$U$2:$U$1001,0),0), INDEX($AB$1004:$AQ$1004,1,MATCH(COLUMNS($AB$1006:AL1006),$AB$1006:$AQ$1006,0)))),"Fix")))</f>
        <v>0</v>
      </c>
      <c r="M961" s="5">
        <f>IF(OR(INDEX($V$2:$V$1001,MATCH(ROWS($U$2:U961),$U$2:$U$1001,0),1)&gt;=100000,INDEX($AB$1005:$AQ$1005,1,MATCH(COLUMNS($AB$1006:AM1006),$AB$1006:$AQ$1006,0))&gt;=100000), " ",IF(INDEX($AB$2:$AQ$1001,MATCH(ROWS($U$2:U961),$U$2:$U$1001,0),MATCH(COLUMNS($AB$1006:AM1006),$AB$1006:$AQ$1006,0)), HYPERLINK("#",""), HYPERLINK(CONCATENATE("#Metadata!", ADDRESS(INDEX($W$2:$W$1001,MATCH(ROWS($U$2:U961),$U$2:$U$1001,0),0), INDEX($AB$1004:$AQ$1004,1,MATCH(COLUMNS($AB$1006:AM1006),$AB$1006:$AQ$1006,0)))),"Fix")))</f>
        <v>0</v>
      </c>
      <c r="N961" s="5">
        <f>IF(OR(INDEX($V$2:$V$1001,MATCH(ROWS($U$2:U961),$U$2:$U$1001,0),1)&gt;=100000,INDEX($AB$1005:$AQ$1005,1,MATCH(COLUMNS($AB$1006:AN1006),$AB$1006:$AQ$1006,0))&gt;=100000), " ",IF(INDEX($AB$2:$AQ$1001,MATCH(ROWS($U$2:U961),$U$2:$U$1001,0),MATCH(COLUMNS($AB$1006:AN1006),$AB$1006:$AQ$1006,0)), HYPERLINK("#",""), HYPERLINK(CONCATENATE("#Metadata!", ADDRESS(INDEX($W$2:$W$1001,MATCH(ROWS($U$2:U961),$U$2:$U$1001,0),0), INDEX($AB$1004:$AQ$1004,1,MATCH(COLUMNS($AB$1006:AN1006),$AB$1006:$AQ$1006,0)))),"Fix")))</f>
        <v>0</v>
      </c>
      <c r="O961" s="5">
        <f>IF(OR(INDEX($V$2:$V$1001,MATCH(ROWS($U$2:U961),$U$2:$U$1001,0),1)&gt;=100000,INDEX($AB$1005:$AQ$1005,1,MATCH(COLUMNS($AB$1006:AO1006),$AB$1006:$AQ$1006,0))&gt;=100000), " ",IF(INDEX($AB$2:$AQ$1001,MATCH(ROWS($U$2:U961),$U$2:$U$1001,0),MATCH(COLUMNS($AB$1006:AO1006),$AB$1006:$AQ$1006,0)), HYPERLINK("#",""), HYPERLINK(CONCATENATE("#Metadata!", ADDRESS(INDEX($W$2:$W$1001,MATCH(ROWS($U$2:U961),$U$2:$U$1001,0),0), INDEX($AB$1004:$AQ$1004,1,MATCH(COLUMNS($AB$1006:AO1006),$AB$1006:$AQ$1006,0)))),"Fix")))</f>
        <v>0</v>
      </c>
      <c r="P961" s="5">
        <f>IF(OR(INDEX($V$2:$V$1001,MATCH(ROWS($U$2:U961),$U$2:$U$1001,0),1)&gt;=100000,INDEX($AB$1005:$AQ$1005,1,MATCH(COLUMNS($AB$1006:AP1006),$AB$1006:$AQ$1006,0))&gt;=100000), " ",IF(INDEX($AB$2:$AQ$1001,MATCH(ROWS($U$2:U961),$U$2:$U$1001,0),MATCH(COLUMNS($AB$1006:AP1006),$AB$1006:$AQ$1006,0)), HYPERLINK("#",""), HYPERLINK(CONCATENATE("#Metadata!", ADDRESS(INDEX($W$2:$W$1001,MATCH(ROWS($U$2:U961),$U$2:$U$1001,0),0), INDEX($AB$1004:$AQ$1004,1,MATCH(COLUMNS($AB$1006:AP1006),$AB$1006:$AQ$1006,0)))),"Fix")))</f>
        <v>0</v>
      </c>
      <c r="Q961" s="5">
        <f>IF(OR(INDEX($V$2:$V$1001,MATCH(ROWS($U$2:U961),$U$2:$U$1001,0),1)&gt;=100000,INDEX($AB$1005:$AQ$1005,1,MATCH(COLUMNS($AB$1006:AQ1006),$AB$1006:$AQ$1006,0))&gt;=100000), " ",IF(INDEX($AB$2:$AQ$1001,MATCH(ROWS($U$2:U961),$U$2:$U$1001,0),MATCH(COLUMNS($AB$1006:AQ1006),$AB$1006:$AQ$1006,0)), HYPERLINK("#",""), HYPERLINK(CONCATENATE("#Metadata!", ADDRESS(INDEX($W$2:$W$1001,MATCH(ROWS($U$2:U961),$U$2:$U$1001,0),0), INDEX($AB$1004:$AQ$1004,1,MATCH(COLUMNS($AB$1006:AQ1006),$AB$1006:$AQ$1006,0)))),"Fix")))</f>
        <v>0</v>
      </c>
      <c r="U961">
        <v>0</v>
      </c>
      <c r="V961">
        <v>0</v>
      </c>
      <c r="W961">
        <v>0</v>
      </c>
      <c r="X961">
        <f>IF(Y961,TRUE,AND(AB961:AQ961))</f>
        <v>0</v>
      </c>
      <c r="Y961">
        <f>COUNTBLANK(Metadata!B961:Q961)=COLUMNS(Metadata!B961:Q961)</f>
        <v>0</v>
      </c>
      <c r="Z961">
        <v>0</v>
      </c>
      <c r="AB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AC961">
        <f>AND(IF(Metadata!C961="",FALSE,TRUE),exact(Metadata!C961,"urban biome"))</f>
        <v>0</v>
      </c>
      <c r="AD961">
        <f>AND(IF(Metadata!D961="",FALSE,TRUE),exact(Metadata!D961,"human-associated habitat"))</f>
        <v>0</v>
      </c>
      <c r="AE961">
        <f>AND(IF(Metadata!E961="",FALSE,TRUE),OR(exact(Metadata!E961,"human-associated"),exact(Metadata!E961,"human-skin"),exact(Metadata!E961,"human-oral"),exact(Metadata!E961,"human-gut"),exact(Metadata!E961,"human-vaginal")))</f>
        <v>0</v>
      </c>
      <c r="AF961">
        <f>AND(IF(Metadata!F961="",FALSE,ISNUMBER(VALUE(Metadata!F961))),Metadata!F961&gt;0)</f>
        <v>0</v>
      </c>
      <c r="AG961">
        <f>AND(IF(Metadata!G961="",FALSE,TRUE),exact(Metadata!G961,"years"))</f>
        <v>0</v>
      </c>
      <c r="AH961">
        <f>OR(AND(IF(Metadata!H961="",FALSE,TRUE),OR(exact(Metadata!H961,"not applicable"),exact(Metadata!H961,"not collected"),exact(Metadata!H961,"not provided"),exact(Metadata!H961,"restricted access"))),AND(IF(Metadata!H961="",FALSE,ISNUMBER(VALUE(Metadata!H961))),Metadata!H961&gt;0))</f>
        <v>0</v>
      </c>
      <c r="AI961">
        <f>AND(IF(Metadata!I961="",FALSE,TRUE),exact(Metadata!I961,"human"))</f>
        <v>0</v>
      </c>
      <c r="AJ961">
        <f>AND(IF(Metadata!J961="",FALSE,ISNUMBER(VALUE(Metadata!J961))),Metadata!J961&gt;0)</f>
        <v>0</v>
      </c>
      <c r="AK961">
        <f>AND(IF(Metadata!K961="",FALSE,TRUE),exact(Metadata!K961,"cm"))</f>
        <v>0</v>
      </c>
      <c r="AL961">
        <f>AND(IF(Metadata!L961="",FALSE,TRUE),exact(Metadata!L961,"Homo sapiens"))</f>
        <v>0</v>
      </c>
      <c r="AM961">
        <f>AND(IF(Metadata!M961="",FALSE,TRUE),exact(Metadata!M961,"9606"))</f>
        <v>0</v>
      </c>
      <c r="AN961">
        <f>AND(IF(Metadata!N961="",FALSE,ISNUMBER(VALUE(Metadata!N961))),Metadata!N961&gt;0)</f>
        <v>0</v>
      </c>
      <c r="AO961">
        <f>AND(IF(Metadata!O961="",FALSE,TRUE),exact(Metadata!O961,"kg"))</f>
        <v>0</v>
      </c>
      <c r="AP961">
        <f>OR(AND(IF(Metadata!P961="",FALSE,TRUE),exact(Metadata!P961,"not provided")),IF(Metadata!P961="",FALSE,TRUE))</f>
        <v>0</v>
      </c>
      <c r="AQ961">
        <f>OR(AND(IF(Metadata!Q961="",FALSE,TRUE),exact(Metadata!Q961,"not provided")),IF(Metadata!Q961="",FALSE,TRUE))</f>
        <v>0</v>
      </c>
    </row>
    <row r="962" spans="1:43">
      <c r="A962" s="4">
        <f>IF(B962=" "," ",HYPERLINK(CONCATENATE("#metadata!",ADDRESS(INDEX($W$2:$W$1001,MATCH(ROWS($U$2:U962),$U$2:$U$1001,0),0),2)),INDEX($Z$2:$Z$1001,MATCH(ROWS($U$2:U962),$U$2:$U$1001,0),0)))</f>
        <v>0</v>
      </c>
      <c r="B962" s="5">
        <f>IF(OR(INDEX($V$2:$V$1001,MATCH(ROWS($U$2:U962),$U$2:$U$1001,0),1)&gt;=100000,INDEX($AB$1005:$AQ$1005,1,MATCH(COLUMNS($AB$1006:AB1006),$AB$1006:$AQ$1006,0))&gt;=100000), " ",IF(INDEX($AB$2:$AQ$1001,MATCH(ROWS($U$2:U962),$U$2:$U$1001,0),MATCH(COLUMNS($AB$1006:AB1006),$AB$1006:$AQ$1006,0)), HYPERLINK("#",""), HYPERLINK(CONCATENATE("#Metadata!", ADDRESS(INDEX($W$2:$W$1001,MATCH(ROWS($U$2:U962),$U$2:$U$1001,0),0), INDEX($AB$1004:$AQ$1004,1,MATCH(COLUMNS($AB$1006:AB1006),$AB$1006:$AQ$1006,0)))),"Fix")))</f>
        <v>0</v>
      </c>
      <c r="C962" s="5">
        <f>IF(OR(INDEX($V$2:$V$1001,MATCH(ROWS($U$2:U962),$U$2:$U$1001,0),1)&gt;=100000,INDEX($AB$1005:$AQ$1005,1,MATCH(COLUMNS($AB$1006:AC1006),$AB$1006:$AQ$1006,0))&gt;=100000), " ",IF(INDEX($AB$2:$AQ$1001,MATCH(ROWS($U$2:U962),$U$2:$U$1001,0),MATCH(COLUMNS($AB$1006:AC1006),$AB$1006:$AQ$1006,0)), HYPERLINK("#",""), HYPERLINK(CONCATENATE("#Metadata!", ADDRESS(INDEX($W$2:$W$1001,MATCH(ROWS($U$2:U962),$U$2:$U$1001,0),0), INDEX($AB$1004:$AQ$1004,1,MATCH(COLUMNS($AB$1006:AC1006),$AB$1006:$AQ$1006,0)))),"Fix")))</f>
        <v>0</v>
      </c>
      <c r="D962" s="5">
        <f>IF(OR(INDEX($V$2:$V$1001,MATCH(ROWS($U$2:U962),$U$2:$U$1001,0),1)&gt;=100000,INDEX($AB$1005:$AQ$1005,1,MATCH(COLUMNS($AB$1006:AD1006),$AB$1006:$AQ$1006,0))&gt;=100000), " ",IF(INDEX($AB$2:$AQ$1001,MATCH(ROWS($U$2:U962),$U$2:$U$1001,0),MATCH(COLUMNS($AB$1006:AD1006),$AB$1006:$AQ$1006,0)), HYPERLINK("#",""), HYPERLINK(CONCATENATE("#Metadata!", ADDRESS(INDEX($W$2:$W$1001,MATCH(ROWS($U$2:U962),$U$2:$U$1001,0),0), INDEX($AB$1004:$AQ$1004,1,MATCH(COLUMNS($AB$1006:AD1006),$AB$1006:$AQ$1006,0)))),"Fix")))</f>
        <v>0</v>
      </c>
      <c r="E962" s="5">
        <f>IF(OR(INDEX($V$2:$V$1001,MATCH(ROWS($U$2:U962),$U$2:$U$1001,0),1)&gt;=100000,INDEX($AB$1005:$AQ$1005,1,MATCH(COLUMNS($AB$1006:AE1006),$AB$1006:$AQ$1006,0))&gt;=100000), " ",IF(INDEX($AB$2:$AQ$1001,MATCH(ROWS($U$2:U962),$U$2:$U$1001,0),MATCH(COLUMNS($AB$1006:AE1006),$AB$1006:$AQ$1006,0)), HYPERLINK("#",""), HYPERLINK(CONCATENATE("#Metadata!", ADDRESS(INDEX($W$2:$W$1001,MATCH(ROWS($U$2:U962),$U$2:$U$1001,0),0), INDEX($AB$1004:$AQ$1004,1,MATCH(COLUMNS($AB$1006:AE1006),$AB$1006:$AQ$1006,0)))),"Fix")))</f>
        <v>0</v>
      </c>
      <c r="F962" s="5">
        <f>IF(OR(INDEX($V$2:$V$1001,MATCH(ROWS($U$2:U962),$U$2:$U$1001,0),1)&gt;=100000,INDEX($AB$1005:$AQ$1005,1,MATCH(COLUMNS($AB$1006:AF1006),$AB$1006:$AQ$1006,0))&gt;=100000), " ",IF(INDEX($AB$2:$AQ$1001,MATCH(ROWS($U$2:U962),$U$2:$U$1001,0),MATCH(COLUMNS($AB$1006:AF1006),$AB$1006:$AQ$1006,0)), HYPERLINK("#",""), HYPERLINK(CONCATENATE("#Metadata!", ADDRESS(INDEX($W$2:$W$1001,MATCH(ROWS($U$2:U962),$U$2:$U$1001,0),0), INDEX($AB$1004:$AQ$1004,1,MATCH(COLUMNS($AB$1006:AF1006),$AB$1006:$AQ$1006,0)))),"Fix")))</f>
        <v>0</v>
      </c>
      <c r="G962" s="5">
        <f>IF(OR(INDEX($V$2:$V$1001,MATCH(ROWS($U$2:U962),$U$2:$U$1001,0),1)&gt;=100000,INDEX($AB$1005:$AQ$1005,1,MATCH(COLUMNS($AB$1006:AG1006),$AB$1006:$AQ$1006,0))&gt;=100000), " ",IF(INDEX($AB$2:$AQ$1001,MATCH(ROWS($U$2:U962),$U$2:$U$1001,0),MATCH(COLUMNS($AB$1006:AG1006),$AB$1006:$AQ$1006,0)), HYPERLINK("#",""), HYPERLINK(CONCATENATE("#Metadata!", ADDRESS(INDEX($W$2:$W$1001,MATCH(ROWS($U$2:U962),$U$2:$U$1001,0),0), INDEX($AB$1004:$AQ$1004,1,MATCH(COLUMNS($AB$1006:AG1006),$AB$1006:$AQ$1006,0)))),"Fix")))</f>
        <v>0</v>
      </c>
      <c r="H962" s="5">
        <f>IF(OR(INDEX($V$2:$V$1001,MATCH(ROWS($U$2:U962),$U$2:$U$1001,0),1)&gt;=100000,INDEX($AB$1005:$AQ$1005,1,MATCH(COLUMNS($AB$1006:AH1006),$AB$1006:$AQ$1006,0))&gt;=100000), " ",IF(INDEX($AB$2:$AQ$1001,MATCH(ROWS($U$2:U962),$U$2:$U$1001,0),MATCH(COLUMNS($AB$1006:AH1006),$AB$1006:$AQ$1006,0)), HYPERLINK("#",""), HYPERLINK(CONCATENATE("#Metadata!", ADDRESS(INDEX($W$2:$W$1001,MATCH(ROWS($U$2:U962),$U$2:$U$1001,0),0), INDEX($AB$1004:$AQ$1004,1,MATCH(COLUMNS($AB$1006:AH1006),$AB$1006:$AQ$1006,0)))),"Fix")))</f>
        <v>0</v>
      </c>
      <c r="I962" s="5">
        <f>IF(OR(INDEX($V$2:$V$1001,MATCH(ROWS($U$2:U962),$U$2:$U$1001,0),1)&gt;=100000,INDEX($AB$1005:$AQ$1005,1,MATCH(COLUMNS($AB$1006:AI1006),$AB$1006:$AQ$1006,0))&gt;=100000), " ",IF(INDEX($AB$2:$AQ$1001,MATCH(ROWS($U$2:U962),$U$2:$U$1001,0),MATCH(COLUMNS($AB$1006:AI1006),$AB$1006:$AQ$1006,0)), HYPERLINK("#",""), HYPERLINK(CONCATENATE("#Metadata!", ADDRESS(INDEX($W$2:$W$1001,MATCH(ROWS($U$2:U962),$U$2:$U$1001,0),0), INDEX($AB$1004:$AQ$1004,1,MATCH(COLUMNS($AB$1006:AI1006),$AB$1006:$AQ$1006,0)))),"Fix")))</f>
        <v>0</v>
      </c>
      <c r="J962" s="5">
        <f>IF(OR(INDEX($V$2:$V$1001,MATCH(ROWS($U$2:U962),$U$2:$U$1001,0),1)&gt;=100000,INDEX($AB$1005:$AQ$1005,1,MATCH(COLUMNS($AB$1006:AJ1006),$AB$1006:$AQ$1006,0))&gt;=100000), " ",IF(INDEX($AB$2:$AQ$1001,MATCH(ROWS($U$2:U962),$U$2:$U$1001,0),MATCH(COLUMNS($AB$1006:AJ1006),$AB$1006:$AQ$1006,0)), HYPERLINK("#",""), HYPERLINK(CONCATENATE("#Metadata!", ADDRESS(INDEX($W$2:$W$1001,MATCH(ROWS($U$2:U962),$U$2:$U$1001,0),0), INDEX($AB$1004:$AQ$1004,1,MATCH(COLUMNS($AB$1006:AJ1006),$AB$1006:$AQ$1006,0)))),"Fix")))</f>
        <v>0</v>
      </c>
      <c r="K962" s="5">
        <f>IF(OR(INDEX($V$2:$V$1001,MATCH(ROWS($U$2:U962),$U$2:$U$1001,0),1)&gt;=100000,INDEX($AB$1005:$AQ$1005,1,MATCH(COLUMNS($AB$1006:AK1006),$AB$1006:$AQ$1006,0))&gt;=100000), " ",IF(INDEX($AB$2:$AQ$1001,MATCH(ROWS($U$2:U962),$U$2:$U$1001,0),MATCH(COLUMNS($AB$1006:AK1006),$AB$1006:$AQ$1006,0)), HYPERLINK("#",""), HYPERLINK(CONCATENATE("#Metadata!", ADDRESS(INDEX($W$2:$W$1001,MATCH(ROWS($U$2:U962),$U$2:$U$1001,0),0), INDEX($AB$1004:$AQ$1004,1,MATCH(COLUMNS($AB$1006:AK1006),$AB$1006:$AQ$1006,0)))),"Fix")))</f>
        <v>0</v>
      </c>
      <c r="L962" s="5">
        <f>IF(OR(INDEX($V$2:$V$1001,MATCH(ROWS($U$2:U962),$U$2:$U$1001,0),1)&gt;=100000,INDEX($AB$1005:$AQ$1005,1,MATCH(COLUMNS($AB$1006:AL1006),$AB$1006:$AQ$1006,0))&gt;=100000), " ",IF(INDEX($AB$2:$AQ$1001,MATCH(ROWS($U$2:U962),$U$2:$U$1001,0),MATCH(COLUMNS($AB$1006:AL1006),$AB$1006:$AQ$1006,0)), HYPERLINK("#",""), HYPERLINK(CONCATENATE("#Metadata!", ADDRESS(INDEX($W$2:$W$1001,MATCH(ROWS($U$2:U962),$U$2:$U$1001,0),0), INDEX($AB$1004:$AQ$1004,1,MATCH(COLUMNS($AB$1006:AL1006),$AB$1006:$AQ$1006,0)))),"Fix")))</f>
        <v>0</v>
      </c>
      <c r="M962" s="5">
        <f>IF(OR(INDEX($V$2:$V$1001,MATCH(ROWS($U$2:U962),$U$2:$U$1001,0),1)&gt;=100000,INDEX($AB$1005:$AQ$1005,1,MATCH(COLUMNS($AB$1006:AM1006),$AB$1006:$AQ$1006,0))&gt;=100000), " ",IF(INDEX($AB$2:$AQ$1001,MATCH(ROWS($U$2:U962),$U$2:$U$1001,0),MATCH(COLUMNS($AB$1006:AM1006),$AB$1006:$AQ$1006,0)), HYPERLINK("#",""), HYPERLINK(CONCATENATE("#Metadata!", ADDRESS(INDEX($W$2:$W$1001,MATCH(ROWS($U$2:U962),$U$2:$U$1001,0),0), INDEX($AB$1004:$AQ$1004,1,MATCH(COLUMNS($AB$1006:AM1006),$AB$1006:$AQ$1006,0)))),"Fix")))</f>
        <v>0</v>
      </c>
      <c r="N962" s="5">
        <f>IF(OR(INDEX($V$2:$V$1001,MATCH(ROWS($U$2:U962),$U$2:$U$1001,0),1)&gt;=100000,INDEX($AB$1005:$AQ$1005,1,MATCH(COLUMNS($AB$1006:AN1006),$AB$1006:$AQ$1006,0))&gt;=100000), " ",IF(INDEX($AB$2:$AQ$1001,MATCH(ROWS($U$2:U962),$U$2:$U$1001,0),MATCH(COLUMNS($AB$1006:AN1006),$AB$1006:$AQ$1006,0)), HYPERLINK("#",""), HYPERLINK(CONCATENATE("#Metadata!", ADDRESS(INDEX($W$2:$W$1001,MATCH(ROWS($U$2:U962),$U$2:$U$1001,0),0), INDEX($AB$1004:$AQ$1004,1,MATCH(COLUMNS($AB$1006:AN1006),$AB$1006:$AQ$1006,0)))),"Fix")))</f>
        <v>0</v>
      </c>
      <c r="O962" s="5">
        <f>IF(OR(INDEX($V$2:$V$1001,MATCH(ROWS($U$2:U962),$U$2:$U$1001,0),1)&gt;=100000,INDEX($AB$1005:$AQ$1005,1,MATCH(COLUMNS($AB$1006:AO1006),$AB$1006:$AQ$1006,0))&gt;=100000), " ",IF(INDEX($AB$2:$AQ$1001,MATCH(ROWS($U$2:U962),$U$2:$U$1001,0),MATCH(COLUMNS($AB$1006:AO1006),$AB$1006:$AQ$1006,0)), HYPERLINK("#",""), HYPERLINK(CONCATENATE("#Metadata!", ADDRESS(INDEX($W$2:$W$1001,MATCH(ROWS($U$2:U962),$U$2:$U$1001,0),0), INDEX($AB$1004:$AQ$1004,1,MATCH(COLUMNS($AB$1006:AO1006),$AB$1006:$AQ$1006,0)))),"Fix")))</f>
        <v>0</v>
      </c>
      <c r="P962" s="5">
        <f>IF(OR(INDEX($V$2:$V$1001,MATCH(ROWS($U$2:U962),$U$2:$U$1001,0),1)&gt;=100000,INDEX($AB$1005:$AQ$1005,1,MATCH(COLUMNS($AB$1006:AP1006),$AB$1006:$AQ$1006,0))&gt;=100000), " ",IF(INDEX($AB$2:$AQ$1001,MATCH(ROWS($U$2:U962),$U$2:$U$1001,0),MATCH(COLUMNS($AB$1006:AP1006),$AB$1006:$AQ$1006,0)), HYPERLINK("#",""), HYPERLINK(CONCATENATE("#Metadata!", ADDRESS(INDEX($W$2:$W$1001,MATCH(ROWS($U$2:U962),$U$2:$U$1001,0),0), INDEX($AB$1004:$AQ$1004,1,MATCH(COLUMNS($AB$1006:AP1006),$AB$1006:$AQ$1006,0)))),"Fix")))</f>
        <v>0</v>
      </c>
      <c r="Q962" s="5">
        <f>IF(OR(INDEX($V$2:$V$1001,MATCH(ROWS($U$2:U962),$U$2:$U$1001,0),1)&gt;=100000,INDEX($AB$1005:$AQ$1005,1,MATCH(COLUMNS($AB$1006:AQ1006),$AB$1006:$AQ$1006,0))&gt;=100000), " ",IF(INDEX($AB$2:$AQ$1001,MATCH(ROWS($U$2:U962),$U$2:$U$1001,0),MATCH(COLUMNS($AB$1006:AQ1006),$AB$1006:$AQ$1006,0)), HYPERLINK("#",""), HYPERLINK(CONCATENATE("#Metadata!", ADDRESS(INDEX($W$2:$W$1001,MATCH(ROWS($U$2:U962),$U$2:$U$1001,0),0), INDEX($AB$1004:$AQ$1004,1,MATCH(COLUMNS($AB$1006:AQ1006),$AB$1006:$AQ$1006,0)))),"Fix")))</f>
        <v>0</v>
      </c>
      <c r="U962">
        <v>0</v>
      </c>
      <c r="V962">
        <v>0</v>
      </c>
      <c r="W962">
        <v>0</v>
      </c>
      <c r="X962">
        <f>IF(Y962,TRUE,AND(AB962:AQ962))</f>
        <v>0</v>
      </c>
      <c r="Y962">
        <f>COUNTBLANK(Metadata!B962:Q962)=COLUMNS(Metadata!B962:Q962)</f>
        <v>0</v>
      </c>
      <c r="Z962">
        <v>0</v>
      </c>
      <c r="AB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AC962">
        <f>AND(IF(Metadata!C962="",FALSE,TRUE),exact(Metadata!C962,"urban biome"))</f>
        <v>0</v>
      </c>
      <c r="AD962">
        <f>AND(IF(Metadata!D962="",FALSE,TRUE),exact(Metadata!D962,"human-associated habitat"))</f>
        <v>0</v>
      </c>
      <c r="AE962">
        <f>AND(IF(Metadata!E962="",FALSE,TRUE),OR(exact(Metadata!E962,"human-associated"),exact(Metadata!E962,"human-skin"),exact(Metadata!E962,"human-oral"),exact(Metadata!E962,"human-gut"),exact(Metadata!E962,"human-vaginal")))</f>
        <v>0</v>
      </c>
      <c r="AF962">
        <f>AND(IF(Metadata!F962="",FALSE,ISNUMBER(VALUE(Metadata!F962))),Metadata!F962&gt;0)</f>
        <v>0</v>
      </c>
      <c r="AG962">
        <f>AND(IF(Metadata!G962="",FALSE,TRUE),exact(Metadata!G962,"years"))</f>
        <v>0</v>
      </c>
      <c r="AH962">
        <f>OR(AND(IF(Metadata!H962="",FALSE,TRUE),OR(exact(Metadata!H962,"not applicable"),exact(Metadata!H962,"not collected"),exact(Metadata!H962,"not provided"),exact(Metadata!H962,"restricted access"))),AND(IF(Metadata!H962="",FALSE,ISNUMBER(VALUE(Metadata!H962))),Metadata!H962&gt;0))</f>
        <v>0</v>
      </c>
      <c r="AI962">
        <f>AND(IF(Metadata!I962="",FALSE,TRUE),exact(Metadata!I962,"human"))</f>
        <v>0</v>
      </c>
      <c r="AJ962">
        <f>AND(IF(Metadata!J962="",FALSE,ISNUMBER(VALUE(Metadata!J962))),Metadata!J962&gt;0)</f>
        <v>0</v>
      </c>
      <c r="AK962">
        <f>AND(IF(Metadata!K962="",FALSE,TRUE),exact(Metadata!K962,"cm"))</f>
        <v>0</v>
      </c>
      <c r="AL962">
        <f>AND(IF(Metadata!L962="",FALSE,TRUE),exact(Metadata!L962,"Homo sapiens"))</f>
        <v>0</v>
      </c>
      <c r="AM962">
        <f>AND(IF(Metadata!M962="",FALSE,TRUE),exact(Metadata!M962,"9606"))</f>
        <v>0</v>
      </c>
      <c r="AN962">
        <f>AND(IF(Metadata!N962="",FALSE,ISNUMBER(VALUE(Metadata!N962))),Metadata!N962&gt;0)</f>
        <v>0</v>
      </c>
      <c r="AO962">
        <f>AND(IF(Metadata!O962="",FALSE,TRUE),exact(Metadata!O962,"kg"))</f>
        <v>0</v>
      </c>
      <c r="AP962">
        <f>OR(AND(IF(Metadata!P962="",FALSE,TRUE),exact(Metadata!P962,"not provided")),IF(Metadata!P962="",FALSE,TRUE))</f>
        <v>0</v>
      </c>
      <c r="AQ962">
        <f>OR(AND(IF(Metadata!Q962="",FALSE,TRUE),exact(Metadata!Q962,"not provided")),IF(Metadata!Q962="",FALSE,TRUE))</f>
        <v>0</v>
      </c>
    </row>
    <row r="963" spans="1:43">
      <c r="A963" s="4">
        <f>IF(B963=" "," ",HYPERLINK(CONCATENATE("#metadata!",ADDRESS(INDEX($W$2:$W$1001,MATCH(ROWS($U$2:U963),$U$2:$U$1001,0),0),2)),INDEX($Z$2:$Z$1001,MATCH(ROWS($U$2:U963),$U$2:$U$1001,0),0)))</f>
        <v>0</v>
      </c>
      <c r="B963" s="5">
        <f>IF(OR(INDEX($V$2:$V$1001,MATCH(ROWS($U$2:U963),$U$2:$U$1001,0),1)&gt;=100000,INDEX($AB$1005:$AQ$1005,1,MATCH(COLUMNS($AB$1006:AB1006),$AB$1006:$AQ$1006,0))&gt;=100000), " ",IF(INDEX($AB$2:$AQ$1001,MATCH(ROWS($U$2:U963),$U$2:$U$1001,0),MATCH(COLUMNS($AB$1006:AB1006),$AB$1006:$AQ$1006,0)), HYPERLINK("#",""), HYPERLINK(CONCATENATE("#Metadata!", ADDRESS(INDEX($W$2:$W$1001,MATCH(ROWS($U$2:U963),$U$2:$U$1001,0),0), INDEX($AB$1004:$AQ$1004,1,MATCH(COLUMNS($AB$1006:AB1006),$AB$1006:$AQ$1006,0)))),"Fix")))</f>
        <v>0</v>
      </c>
      <c r="C963" s="5">
        <f>IF(OR(INDEX($V$2:$V$1001,MATCH(ROWS($U$2:U963),$U$2:$U$1001,0),1)&gt;=100000,INDEX($AB$1005:$AQ$1005,1,MATCH(COLUMNS($AB$1006:AC1006),$AB$1006:$AQ$1006,0))&gt;=100000), " ",IF(INDEX($AB$2:$AQ$1001,MATCH(ROWS($U$2:U963),$U$2:$U$1001,0),MATCH(COLUMNS($AB$1006:AC1006),$AB$1006:$AQ$1006,0)), HYPERLINK("#",""), HYPERLINK(CONCATENATE("#Metadata!", ADDRESS(INDEX($W$2:$W$1001,MATCH(ROWS($U$2:U963),$U$2:$U$1001,0),0), INDEX($AB$1004:$AQ$1004,1,MATCH(COLUMNS($AB$1006:AC1006),$AB$1006:$AQ$1006,0)))),"Fix")))</f>
        <v>0</v>
      </c>
      <c r="D963" s="5">
        <f>IF(OR(INDEX($V$2:$V$1001,MATCH(ROWS($U$2:U963),$U$2:$U$1001,0),1)&gt;=100000,INDEX($AB$1005:$AQ$1005,1,MATCH(COLUMNS($AB$1006:AD1006),$AB$1006:$AQ$1006,0))&gt;=100000), " ",IF(INDEX($AB$2:$AQ$1001,MATCH(ROWS($U$2:U963),$U$2:$U$1001,0),MATCH(COLUMNS($AB$1006:AD1006),$AB$1006:$AQ$1006,0)), HYPERLINK("#",""), HYPERLINK(CONCATENATE("#Metadata!", ADDRESS(INDEX($W$2:$W$1001,MATCH(ROWS($U$2:U963),$U$2:$U$1001,0),0), INDEX($AB$1004:$AQ$1004,1,MATCH(COLUMNS($AB$1006:AD1006),$AB$1006:$AQ$1006,0)))),"Fix")))</f>
        <v>0</v>
      </c>
      <c r="E963" s="5">
        <f>IF(OR(INDEX($V$2:$V$1001,MATCH(ROWS($U$2:U963),$U$2:$U$1001,0),1)&gt;=100000,INDEX($AB$1005:$AQ$1005,1,MATCH(COLUMNS($AB$1006:AE1006),$AB$1006:$AQ$1006,0))&gt;=100000), " ",IF(INDEX($AB$2:$AQ$1001,MATCH(ROWS($U$2:U963),$U$2:$U$1001,0),MATCH(COLUMNS($AB$1006:AE1006),$AB$1006:$AQ$1006,0)), HYPERLINK("#",""), HYPERLINK(CONCATENATE("#Metadata!", ADDRESS(INDEX($W$2:$W$1001,MATCH(ROWS($U$2:U963),$U$2:$U$1001,0),0), INDEX($AB$1004:$AQ$1004,1,MATCH(COLUMNS($AB$1006:AE1006),$AB$1006:$AQ$1006,0)))),"Fix")))</f>
        <v>0</v>
      </c>
      <c r="F963" s="5">
        <f>IF(OR(INDEX($V$2:$V$1001,MATCH(ROWS($U$2:U963),$U$2:$U$1001,0),1)&gt;=100000,INDEX($AB$1005:$AQ$1005,1,MATCH(COLUMNS($AB$1006:AF1006),$AB$1006:$AQ$1006,0))&gt;=100000), " ",IF(INDEX($AB$2:$AQ$1001,MATCH(ROWS($U$2:U963),$U$2:$U$1001,0),MATCH(COLUMNS($AB$1006:AF1006),$AB$1006:$AQ$1006,0)), HYPERLINK("#",""), HYPERLINK(CONCATENATE("#Metadata!", ADDRESS(INDEX($W$2:$W$1001,MATCH(ROWS($U$2:U963),$U$2:$U$1001,0),0), INDEX($AB$1004:$AQ$1004,1,MATCH(COLUMNS($AB$1006:AF1006),$AB$1006:$AQ$1006,0)))),"Fix")))</f>
        <v>0</v>
      </c>
      <c r="G963" s="5">
        <f>IF(OR(INDEX($V$2:$V$1001,MATCH(ROWS($U$2:U963),$U$2:$U$1001,0),1)&gt;=100000,INDEX($AB$1005:$AQ$1005,1,MATCH(COLUMNS($AB$1006:AG1006),$AB$1006:$AQ$1006,0))&gt;=100000), " ",IF(INDEX($AB$2:$AQ$1001,MATCH(ROWS($U$2:U963),$U$2:$U$1001,0),MATCH(COLUMNS($AB$1006:AG1006),$AB$1006:$AQ$1006,0)), HYPERLINK("#",""), HYPERLINK(CONCATENATE("#Metadata!", ADDRESS(INDEX($W$2:$W$1001,MATCH(ROWS($U$2:U963),$U$2:$U$1001,0),0), INDEX($AB$1004:$AQ$1004,1,MATCH(COLUMNS($AB$1006:AG1006),$AB$1006:$AQ$1006,0)))),"Fix")))</f>
        <v>0</v>
      </c>
      <c r="H963" s="5">
        <f>IF(OR(INDEX($V$2:$V$1001,MATCH(ROWS($U$2:U963),$U$2:$U$1001,0),1)&gt;=100000,INDEX($AB$1005:$AQ$1005,1,MATCH(COLUMNS($AB$1006:AH1006),$AB$1006:$AQ$1006,0))&gt;=100000), " ",IF(INDEX($AB$2:$AQ$1001,MATCH(ROWS($U$2:U963),$U$2:$U$1001,0),MATCH(COLUMNS($AB$1006:AH1006),$AB$1006:$AQ$1006,0)), HYPERLINK("#",""), HYPERLINK(CONCATENATE("#Metadata!", ADDRESS(INDEX($W$2:$W$1001,MATCH(ROWS($U$2:U963),$U$2:$U$1001,0),0), INDEX($AB$1004:$AQ$1004,1,MATCH(COLUMNS($AB$1006:AH1006),$AB$1006:$AQ$1006,0)))),"Fix")))</f>
        <v>0</v>
      </c>
      <c r="I963" s="5">
        <f>IF(OR(INDEX($V$2:$V$1001,MATCH(ROWS($U$2:U963),$U$2:$U$1001,0),1)&gt;=100000,INDEX($AB$1005:$AQ$1005,1,MATCH(COLUMNS($AB$1006:AI1006),$AB$1006:$AQ$1006,0))&gt;=100000), " ",IF(INDEX($AB$2:$AQ$1001,MATCH(ROWS($U$2:U963),$U$2:$U$1001,0),MATCH(COLUMNS($AB$1006:AI1006),$AB$1006:$AQ$1006,0)), HYPERLINK("#",""), HYPERLINK(CONCATENATE("#Metadata!", ADDRESS(INDEX($W$2:$W$1001,MATCH(ROWS($U$2:U963),$U$2:$U$1001,0),0), INDEX($AB$1004:$AQ$1004,1,MATCH(COLUMNS($AB$1006:AI1006),$AB$1006:$AQ$1006,0)))),"Fix")))</f>
        <v>0</v>
      </c>
      <c r="J963" s="5">
        <f>IF(OR(INDEX($V$2:$V$1001,MATCH(ROWS($U$2:U963),$U$2:$U$1001,0),1)&gt;=100000,INDEX($AB$1005:$AQ$1005,1,MATCH(COLUMNS($AB$1006:AJ1006),$AB$1006:$AQ$1006,0))&gt;=100000), " ",IF(INDEX($AB$2:$AQ$1001,MATCH(ROWS($U$2:U963),$U$2:$U$1001,0),MATCH(COLUMNS($AB$1006:AJ1006),$AB$1006:$AQ$1006,0)), HYPERLINK("#",""), HYPERLINK(CONCATENATE("#Metadata!", ADDRESS(INDEX($W$2:$W$1001,MATCH(ROWS($U$2:U963),$U$2:$U$1001,0),0), INDEX($AB$1004:$AQ$1004,1,MATCH(COLUMNS($AB$1006:AJ1006),$AB$1006:$AQ$1006,0)))),"Fix")))</f>
        <v>0</v>
      </c>
      <c r="K963" s="5">
        <f>IF(OR(INDEX($V$2:$V$1001,MATCH(ROWS($U$2:U963),$U$2:$U$1001,0),1)&gt;=100000,INDEX($AB$1005:$AQ$1005,1,MATCH(COLUMNS($AB$1006:AK1006),$AB$1006:$AQ$1006,0))&gt;=100000), " ",IF(INDEX($AB$2:$AQ$1001,MATCH(ROWS($U$2:U963),$U$2:$U$1001,0),MATCH(COLUMNS($AB$1006:AK1006),$AB$1006:$AQ$1006,0)), HYPERLINK("#",""), HYPERLINK(CONCATENATE("#Metadata!", ADDRESS(INDEX($W$2:$W$1001,MATCH(ROWS($U$2:U963),$U$2:$U$1001,0),0), INDEX($AB$1004:$AQ$1004,1,MATCH(COLUMNS($AB$1006:AK1006),$AB$1006:$AQ$1006,0)))),"Fix")))</f>
        <v>0</v>
      </c>
      <c r="L963" s="5">
        <f>IF(OR(INDEX($V$2:$V$1001,MATCH(ROWS($U$2:U963),$U$2:$U$1001,0),1)&gt;=100000,INDEX($AB$1005:$AQ$1005,1,MATCH(COLUMNS($AB$1006:AL1006),$AB$1006:$AQ$1006,0))&gt;=100000), " ",IF(INDEX($AB$2:$AQ$1001,MATCH(ROWS($U$2:U963),$U$2:$U$1001,0),MATCH(COLUMNS($AB$1006:AL1006),$AB$1006:$AQ$1006,0)), HYPERLINK("#",""), HYPERLINK(CONCATENATE("#Metadata!", ADDRESS(INDEX($W$2:$W$1001,MATCH(ROWS($U$2:U963),$U$2:$U$1001,0),0), INDEX($AB$1004:$AQ$1004,1,MATCH(COLUMNS($AB$1006:AL1006),$AB$1006:$AQ$1006,0)))),"Fix")))</f>
        <v>0</v>
      </c>
      <c r="M963" s="5">
        <f>IF(OR(INDEX($V$2:$V$1001,MATCH(ROWS($U$2:U963),$U$2:$U$1001,0),1)&gt;=100000,INDEX($AB$1005:$AQ$1005,1,MATCH(COLUMNS($AB$1006:AM1006),$AB$1006:$AQ$1006,0))&gt;=100000), " ",IF(INDEX($AB$2:$AQ$1001,MATCH(ROWS($U$2:U963),$U$2:$U$1001,0),MATCH(COLUMNS($AB$1006:AM1006),$AB$1006:$AQ$1006,0)), HYPERLINK("#",""), HYPERLINK(CONCATENATE("#Metadata!", ADDRESS(INDEX($W$2:$W$1001,MATCH(ROWS($U$2:U963),$U$2:$U$1001,0),0), INDEX($AB$1004:$AQ$1004,1,MATCH(COLUMNS($AB$1006:AM1006),$AB$1006:$AQ$1006,0)))),"Fix")))</f>
        <v>0</v>
      </c>
      <c r="N963" s="5">
        <f>IF(OR(INDEX($V$2:$V$1001,MATCH(ROWS($U$2:U963),$U$2:$U$1001,0),1)&gt;=100000,INDEX($AB$1005:$AQ$1005,1,MATCH(COLUMNS($AB$1006:AN1006),$AB$1006:$AQ$1006,0))&gt;=100000), " ",IF(INDEX($AB$2:$AQ$1001,MATCH(ROWS($U$2:U963),$U$2:$U$1001,0),MATCH(COLUMNS($AB$1006:AN1006),$AB$1006:$AQ$1006,0)), HYPERLINK("#",""), HYPERLINK(CONCATENATE("#Metadata!", ADDRESS(INDEX($W$2:$W$1001,MATCH(ROWS($U$2:U963),$U$2:$U$1001,0),0), INDEX($AB$1004:$AQ$1004,1,MATCH(COLUMNS($AB$1006:AN1006),$AB$1006:$AQ$1006,0)))),"Fix")))</f>
        <v>0</v>
      </c>
      <c r="O963" s="5">
        <f>IF(OR(INDEX($V$2:$V$1001,MATCH(ROWS($U$2:U963),$U$2:$U$1001,0),1)&gt;=100000,INDEX($AB$1005:$AQ$1005,1,MATCH(COLUMNS($AB$1006:AO1006),$AB$1006:$AQ$1006,0))&gt;=100000), " ",IF(INDEX($AB$2:$AQ$1001,MATCH(ROWS($U$2:U963),$U$2:$U$1001,0),MATCH(COLUMNS($AB$1006:AO1006),$AB$1006:$AQ$1006,0)), HYPERLINK("#",""), HYPERLINK(CONCATENATE("#Metadata!", ADDRESS(INDEX($W$2:$W$1001,MATCH(ROWS($U$2:U963),$U$2:$U$1001,0),0), INDEX($AB$1004:$AQ$1004,1,MATCH(COLUMNS($AB$1006:AO1006),$AB$1006:$AQ$1006,0)))),"Fix")))</f>
        <v>0</v>
      </c>
      <c r="P963" s="5">
        <f>IF(OR(INDEX($V$2:$V$1001,MATCH(ROWS($U$2:U963),$U$2:$U$1001,0),1)&gt;=100000,INDEX($AB$1005:$AQ$1005,1,MATCH(COLUMNS($AB$1006:AP1006),$AB$1006:$AQ$1006,0))&gt;=100000), " ",IF(INDEX($AB$2:$AQ$1001,MATCH(ROWS($U$2:U963),$U$2:$U$1001,0),MATCH(COLUMNS($AB$1006:AP1006),$AB$1006:$AQ$1006,0)), HYPERLINK("#",""), HYPERLINK(CONCATENATE("#Metadata!", ADDRESS(INDEX($W$2:$W$1001,MATCH(ROWS($U$2:U963),$U$2:$U$1001,0),0), INDEX($AB$1004:$AQ$1004,1,MATCH(COLUMNS($AB$1006:AP1006),$AB$1006:$AQ$1006,0)))),"Fix")))</f>
        <v>0</v>
      </c>
      <c r="Q963" s="5">
        <f>IF(OR(INDEX($V$2:$V$1001,MATCH(ROWS($U$2:U963),$U$2:$U$1001,0),1)&gt;=100000,INDEX($AB$1005:$AQ$1005,1,MATCH(COLUMNS($AB$1006:AQ1006),$AB$1006:$AQ$1006,0))&gt;=100000), " ",IF(INDEX($AB$2:$AQ$1001,MATCH(ROWS($U$2:U963),$U$2:$U$1001,0),MATCH(COLUMNS($AB$1006:AQ1006),$AB$1006:$AQ$1006,0)), HYPERLINK("#",""), HYPERLINK(CONCATENATE("#Metadata!", ADDRESS(INDEX($W$2:$W$1001,MATCH(ROWS($U$2:U963),$U$2:$U$1001,0),0), INDEX($AB$1004:$AQ$1004,1,MATCH(COLUMNS($AB$1006:AQ1006),$AB$1006:$AQ$1006,0)))),"Fix")))</f>
        <v>0</v>
      </c>
      <c r="U963">
        <v>0</v>
      </c>
      <c r="V963">
        <v>0</v>
      </c>
      <c r="W963">
        <v>0</v>
      </c>
      <c r="X963">
        <f>IF(Y963,TRUE,AND(AB963:AQ963))</f>
        <v>0</v>
      </c>
      <c r="Y963">
        <f>COUNTBLANK(Metadata!B963:Q963)=COLUMNS(Metadata!B963:Q963)</f>
        <v>0</v>
      </c>
      <c r="Z963">
        <v>0</v>
      </c>
      <c r="AB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AC963">
        <f>AND(IF(Metadata!C963="",FALSE,TRUE),exact(Metadata!C963,"urban biome"))</f>
        <v>0</v>
      </c>
      <c r="AD963">
        <f>AND(IF(Metadata!D963="",FALSE,TRUE),exact(Metadata!D963,"human-associated habitat"))</f>
        <v>0</v>
      </c>
      <c r="AE963">
        <f>AND(IF(Metadata!E963="",FALSE,TRUE),OR(exact(Metadata!E963,"human-associated"),exact(Metadata!E963,"human-skin"),exact(Metadata!E963,"human-oral"),exact(Metadata!E963,"human-gut"),exact(Metadata!E963,"human-vaginal")))</f>
        <v>0</v>
      </c>
      <c r="AF963">
        <f>AND(IF(Metadata!F963="",FALSE,ISNUMBER(VALUE(Metadata!F963))),Metadata!F963&gt;0)</f>
        <v>0</v>
      </c>
      <c r="AG963">
        <f>AND(IF(Metadata!G963="",FALSE,TRUE),exact(Metadata!G963,"years"))</f>
        <v>0</v>
      </c>
      <c r="AH963">
        <f>OR(AND(IF(Metadata!H963="",FALSE,TRUE),OR(exact(Metadata!H963,"not applicable"),exact(Metadata!H963,"not collected"),exact(Metadata!H963,"not provided"),exact(Metadata!H963,"restricted access"))),AND(IF(Metadata!H963="",FALSE,ISNUMBER(VALUE(Metadata!H963))),Metadata!H963&gt;0))</f>
        <v>0</v>
      </c>
      <c r="AI963">
        <f>AND(IF(Metadata!I963="",FALSE,TRUE),exact(Metadata!I963,"human"))</f>
        <v>0</v>
      </c>
      <c r="AJ963">
        <f>AND(IF(Metadata!J963="",FALSE,ISNUMBER(VALUE(Metadata!J963))),Metadata!J963&gt;0)</f>
        <v>0</v>
      </c>
      <c r="AK963">
        <f>AND(IF(Metadata!K963="",FALSE,TRUE),exact(Metadata!K963,"cm"))</f>
        <v>0</v>
      </c>
      <c r="AL963">
        <f>AND(IF(Metadata!L963="",FALSE,TRUE),exact(Metadata!L963,"Homo sapiens"))</f>
        <v>0</v>
      </c>
      <c r="AM963">
        <f>AND(IF(Metadata!M963="",FALSE,TRUE),exact(Metadata!M963,"9606"))</f>
        <v>0</v>
      </c>
      <c r="AN963">
        <f>AND(IF(Metadata!N963="",FALSE,ISNUMBER(VALUE(Metadata!N963))),Metadata!N963&gt;0)</f>
        <v>0</v>
      </c>
      <c r="AO963">
        <f>AND(IF(Metadata!O963="",FALSE,TRUE),exact(Metadata!O963,"kg"))</f>
        <v>0</v>
      </c>
      <c r="AP963">
        <f>OR(AND(IF(Metadata!P963="",FALSE,TRUE),exact(Metadata!P963,"not provided")),IF(Metadata!P963="",FALSE,TRUE))</f>
        <v>0</v>
      </c>
      <c r="AQ963">
        <f>OR(AND(IF(Metadata!Q963="",FALSE,TRUE),exact(Metadata!Q963,"not provided")),IF(Metadata!Q963="",FALSE,TRUE))</f>
        <v>0</v>
      </c>
    </row>
    <row r="964" spans="1:43">
      <c r="A964" s="4">
        <f>IF(B964=" "," ",HYPERLINK(CONCATENATE("#metadata!",ADDRESS(INDEX($W$2:$W$1001,MATCH(ROWS($U$2:U964),$U$2:$U$1001,0),0),2)),INDEX($Z$2:$Z$1001,MATCH(ROWS($U$2:U964),$U$2:$U$1001,0),0)))</f>
        <v>0</v>
      </c>
      <c r="B964" s="5">
        <f>IF(OR(INDEX($V$2:$V$1001,MATCH(ROWS($U$2:U964),$U$2:$U$1001,0),1)&gt;=100000,INDEX($AB$1005:$AQ$1005,1,MATCH(COLUMNS($AB$1006:AB1006),$AB$1006:$AQ$1006,0))&gt;=100000), " ",IF(INDEX($AB$2:$AQ$1001,MATCH(ROWS($U$2:U964),$U$2:$U$1001,0),MATCH(COLUMNS($AB$1006:AB1006),$AB$1006:$AQ$1006,0)), HYPERLINK("#",""), HYPERLINK(CONCATENATE("#Metadata!", ADDRESS(INDEX($W$2:$W$1001,MATCH(ROWS($U$2:U964),$U$2:$U$1001,0),0), INDEX($AB$1004:$AQ$1004,1,MATCH(COLUMNS($AB$1006:AB1006),$AB$1006:$AQ$1006,0)))),"Fix")))</f>
        <v>0</v>
      </c>
      <c r="C964" s="5">
        <f>IF(OR(INDEX($V$2:$V$1001,MATCH(ROWS($U$2:U964),$U$2:$U$1001,0),1)&gt;=100000,INDEX($AB$1005:$AQ$1005,1,MATCH(COLUMNS($AB$1006:AC1006),$AB$1006:$AQ$1006,0))&gt;=100000), " ",IF(INDEX($AB$2:$AQ$1001,MATCH(ROWS($U$2:U964),$U$2:$U$1001,0),MATCH(COLUMNS($AB$1006:AC1006),$AB$1006:$AQ$1006,0)), HYPERLINK("#",""), HYPERLINK(CONCATENATE("#Metadata!", ADDRESS(INDEX($W$2:$W$1001,MATCH(ROWS($U$2:U964),$U$2:$U$1001,0),0), INDEX($AB$1004:$AQ$1004,1,MATCH(COLUMNS($AB$1006:AC1006),$AB$1006:$AQ$1006,0)))),"Fix")))</f>
        <v>0</v>
      </c>
      <c r="D964" s="5">
        <f>IF(OR(INDEX($V$2:$V$1001,MATCH(ROWS($U$2:U964),$U$2:$U$1001,0),1)&gt;=100000,INDEX($AB$1005:$AQ$1005,1,MATCH(COLUMNS($AB$1006:AD1006),$AB$1006:$AQ$1006,0))&gt;=100000), " ",IF(INDEX($AB$2:$AQ$1001,MATCH(ROWS($U$2:U964),$U$2:$U$1001,0),MATCH(COLUMNS($AB$1006:AD1006),$AB$1006:$AQ$1006,0)), HYPERLINK("#",""), HYPERLINK(CONCATENATE("#Metadata!", ADDRESS(INDEX($W$2:$W$1001,MATCH(ROWS($U$2:U964),$U$2:$U$1001,0),0), INDEX($AB$1004:$AQ$1004,1,MATCH(COLUMNS($AB$1006:AD1006),$AB$1006:$AQ$1006,0)))),"Fix")))</f>
        <v>0</v>
      </c>
      <c r="E964" s="5">
        <f>IF(OR(INDEX($V$2:$V$1001,MATCH(ROWS($U$2:U964),$U$2:$U$1001,0),1)&gt;=100000,INDEX($AB$1005:$AQ$1005,1,MATCH(COLUMNS($AB$1006:AE1006),$AB$1006:$AQ$1006,0))&gt;=100000), " ",IF(INDEX($AB$2:$AQ$1001,MATCH(ROWS($U$2:U964),$U$2:$U$1001,0),MATCH(COLUMNS($AB$1006:AE1006),$AB$1006:$AQ$1006,0)), HYPERLINK("#",""), HYPERLINK(CONCATENATE("#Metadata!", ADDRESS(INDEX($W$2:$W$1001,MATCH(ROWS($U$2:U964),$U$2:$U$1001,0),0), INDEX($AB$1004:$AQ$1004,1,MATCH(COLUMNS($AB$1006:AE1006),$AB$1006:$AQ$1006,0)))),"Fix")))</f>
        <v>0</v>
      </c>
      <c r="F964" s="5">
        <f>IF(OR(INDEX($V$2:$V$1001,MATCH(ROWS($U$2:U964),$U$2:$U$1001,0),1)&gt;=100000,INDEX($AB$1005:$AQ$1005,1,MATCH(COLUMNS($AB$1006:AF1006),$AB$1006:$AQ$1006,0))&gt;=100000), " ",IF(INDEX($AB$2:$AQ$1001,MATCH(ROWS($U$2:U964),$U$2:$U$1001,0),MATCH(COLUMNS($AB$1006:AF1006),$AB$1006:$AQ$1006,0)), HYPERLINK("#",""), HYPERLINK(CONCATENATE("#Metadata!", ADDRESS(INDEX($W$2:$W$1001,MATCH(ROWS($U$2:U964),$U$2:$U$1001,0),0), INDEX($AB$1004:$AQ$1004,1,MATCH(COLUMNS($AB$1006:AF1006),$AB$1006:$AQ$1006,0)))),"Fix")))</f>
        <v>0</v>
      </c>
      <c r="G964" s="5">
        <f>IF(OR(INDEX($V$2:$V$1001,MATCH(ROWS($U$2:U964),$U$2:$U$1001,0),1)&gt;=100000,INDEX($AB$1005:$AQ$1005,1,MATCH(COLUMNS($AB$1006:AG1006),$AB$1006:$AQ$1006,0))&gt;=100000), " ",IF(INDEX($AB$2:$AQ$1001,MATCH(ROWS($U$2:U964),$U$2:$U$1001,0),MATCH(COLUMNS($AB$1006:AG1006),$AB$1006:$AQ$1006,0)), HYPERLINK("#",""), HYPERLINK(CONCATENATE("#Metadata!", ADDRESS(INDEX($W$2:$W$1001,MATCH(ROWS($U$2:U964),$U$2:$U$1001,0),0), INDEX($AB$1004:$AQ$1004,1,MATCH(COLUMNS($AB$1006:AG1006),$AB$1006:$AQ$1006,0)))),"Fix")))</f>
        <v>0</v>
      </c>
      <c r="H964" s="5">
        <f>IF(OR(INDEX($V$2:$V$1001,MATCH(ROWS($U$2:U964),$U$2:$U$1001,0),1)&gt;=100000,INDEX($AB$1005:$AQ$1005,1,MATCH(COLUMNS($AB$1006:AH1006),$AB$1006:$AQ$1006,0))&gt;=100000), " ",IF(INDEX($AB$2:$AQ$1001,MATCH(ROWS($U$2:U964),$U$2:$U$1001,0),MATCH(COLUMNS($AB$1006:AH1006),$AB$1006:$AQ$1006,0)), HYPERLINK("#",""), HYPERLINK(CONCATENATE("#Metadata!", ADDRESS(INDEX($W$2:$W$1001,MATCH(ROWS($U$2:U964),$U$2:$U$1001,0),0), INDEX($AB$1004:$AQ$1004,1,MATCH(COLUMNS($AB$1006:AH1006),$AB$1006:$AQ$1006,0)))),"Fix")))</f>
        <v>0</v>
      </c>
      <c r="I964" s="5">
        <f>IF(OR(INDEX($V$2:$V$1001,MATCH(ROWS($U$2:U964),$U$2:$U$1001,0),1)&gt;=100000,INDEX($AB$1005:$AQ$1005,1,MATCH(COLUMNS($AB$1006:AI1006),$AB$1006:$AQ$1006,0))&gt;=100000), " ",IF(INDEX($AB$2:$AQ$1001,MATCH(ROWS($U$2:U964),$U$2:$U$1001,0),MATCH(COLUMNS($AB$1006:AI1006),$AB$1006:$AQ$1006,0)), HYPERLINK("#",""), HYPERLINK(CONCATENATE("#Metadata!", ADDRESS(INDEX($W$2:$W$1001,MATCH(ROWS($U$2:U964),$U$2:$U$1001,0),0), INDEX($AB$1004:$AQ$1004,1,MATCH(COLUMNS($AB$1006:AI1006),$AB$1006:$AQ$1006,0)))),"Fix")))</f>
        <v>0</v>
      </c>
      <c r="J964" s="5">
        <f>IF(OR(INDEX($V$2:$V$1001,MATCH(ROWS($U$2:U964),$U$2:$U$1001,0),1)&gt;=100000,INDEX($AB$1005:$AQ$1005,1,MATCH(COLUMNS($AB$1006:AJ1006),$AB$1006:$AQ$1006,0))&gt;=100000), " ",IF(INDEX($AB$2:$AQ$1001,MATCH(ROWS($U$2:U964),$U$2:$U$1001,0),MATCH(COLUMNS($AB$1006:AJ1006),$AB$1006:$AQ$1006,0)), HYPERLINK("#",""), HYPERLINK(CONCATENATE("#Metadata!", ADDRESS(INDEX($W$2:$W$1001,MATCH(ROWS($U$2:U964),$U$2:$U$1001,0),0), INDEX($AB$1004:$AQ$1004,1,MATCH(COLUMNS($AB$1006:AJ1006),$AB$1006:$AQ$1006,0)))),"Fix")))</f>
        <v>0</v>
      </c>
      <c r="K964" s="5">
        <f>IF(OR(INDEX($V$2:$V$1001,MATCH(ROWS($U$2:U964),$U$2:$U$1001,0),1)&gt;=100000,INDEX($AB$1005:$AQ$1005,1,MATCH(COLUMNS($AB$1006:AK1006),$AB$1006:$AQ$1006,0))&gt;=100000), " ",IF(INDEX($AB$2:$AQ$1001,MATCH(ROWS($U$2:U964),$U$2:$U$1001,0),MATCH(COLUMNS($AB$1006:AK1006),$AB$1006:$AQ$1006,0)), HYPERLINK("#",""), HYPERLINK(CONCATENATE("#Metadata!", ADDRESS(INDEX($W$2:$W$1001,MATCH(ROWS($U$2:U964),$U$2:$U$1001,0),0), INDEX($AB$1004:$AQ$1004,1,MATCH(COLUMNS($AB$1006:AK1006),$AB$1006:$AQ$1006,0)))),"Fix")))</f>
        <v>0</v>
      </c>
      <c r="L964" s="5">
        <f>IF(OR(INDEX($V$2:$V$1001,MATCH(ROWS($U$2:U964),$U$2:$U$1001,0),1)&gt;=100000,INDEX($AB$1005:$AQ$1005,1,MATCH(COLUMNS($AB$1006:AL1006),$AB$1006:$AQ$1006,0))&gt;=100000), " ",IF(INDEX($AB$2:$AQ$1001,MATCH(ROWS($U$2:U964),$U$2:$U$1001,0),MATCH(COLUMNS($AB$1006:AL1006),$AB$1006:$AQ$1006,0)), HYPERLINK("#",""), HYPERLINK(CONCATENATE("#Metadata!", ADDRESS(INDEX($W$2:$W$1001,MATCH(ROWS($U$2:U964),$U$2:$U$1001,0),0), INDEX($AB$1004:$AQ$1004,1,MATCH(COLUMNS($AB$1006:AL1006),$AB$1006:$AQ$1006,0)))),"Fix")))</f>
        <v>0</v>
      </c>
      <c r="M964" s="5">
        <f>IF(OR(INDEX($V$2:$V$1001,MATCH(ROWS($U$2:U964),$U$2:$U$1001,0),1)&gt;=100000,INDEX($AB$1005:$AQ$1005,1,MATCH(COLUMNS($AB$1006:AM1006),$AB$1006:$AQ$1006,0))&gt;=100000), " ",IF(INDEX($AB$2:$AQ$1001,MATCH(ROWS($U$2:U964),$U$2:$U$1001,0),MATCH(COLUMNS($AB$1006:AM1006),$AB$1006:$AQ$1006,0)), HYPERLINK("#",""), HYPERLINK(CONCATENATE("#Metadata!", ADDRESS(INDEX($W$2:$W$1001,MATCH(ROWS($U$2:U964),$U$2:$U$1001,0),0), INDEX($AB$1004:$AQ$1004,1,MATCH(COLUMNS($AB$1006:AM1006),$AB$1006:$AQ$1006,0)))),"Fix")))</f>
        <v>0</v>
      </c>
      <c r="N964" s="5">
        <f>IF(OR(INDEX($V$2:$V$1001,MATCH(ROWS($U$2:U964),$U$2:$U$1001,0),1)&gt;=100000,INDEX($AB$1005:$AQ$1005,1,MATCH(COLUMNS($AB$1006:AN1006),$AB$1006:$AQ$1006,0))&gt;=100000), " ",IF(INDEX($AB$2:$AQ$1001,MATCH(ROWS($U$2:U964),$U$2:$U$1001,0),MATCH(COLUMNS($AB$1006:AN1006),$AB$1006:$AQ$1006,0)), HYPERLINK("#",""), HYPERLINK(CONCATENATE("#Metadata!", ADDRESS(INDEX($W$2:$W$1001,MATCH(ROWS($U$2:U964),$U$2:$U$1001,0),0), INDEX($AB$1004:$AQ$1004,1,MATCH(COLUMNS($AB$1006:AN1006),$AB$1006:$AQ$1006,0)))),"Fix")))</f>
        <v>0</v>
      </c>
      <c r="O964" s="5">
        <f>IF(OR(INDEX($V$2:$V$1001,MATCH(ROWS($U$2:U964),$U$2:$U$1001,0),1)&gt;=100000,INDEX($AB$1005:$AQ$1005,1,MATCH(COLUMNS($AB$1006:AO1006),$AB$1006:$AQ$1006,0))&gt;=100000), " ",IF(INDEX($AB$2:$AQ$1001,MATCH(ROWS($U$2:U964),$U$2:$U$1001,0),MATCH(COLUMNS($AB$1006:AO1006),$AB$1006:$AQ$1006,0)), HYPERLINK("#",""), HYPERLINK(CONCATENATE("#Metadata!", ADDRESS(INDEX($W$2:$W$1001,MATCH(ROWS($U$2:U964),$U$2:$U$1001,0),0), INDEX($AB$1004:$AQ$1004,1,MATCH(COLUMNS($AB$1006:AO1006),$AB$1006:$AQ$1006,0)))),"Fix")))</f>
        <v>0</v>
      </c>
      <c r="P964" s="5">
        <f>IF(OR(INDEX($V$2:$V$1001,MATCH(ROWS($U$2:U964),$U$2:$U$1001,0),1)&gt;=100000,INDEX($AB$1005:$AQ$1005,1,MATCH(COLUMNS($AB$1006:AP1006),$AB$1006:$AQ$1006,0))&gt;=100000), " ",IF(INDEX($AB$2:$AQ$1001,MATCH(ROWS($U$2:U964),$U$2:$U$1001,0),MATCH(COLUMNS($AB$1006:AP1006),$AB$1006:$AQ$1006,0)), HYPERLINK("#",""), HYPERLINK(CONCATENATE("#Metadata!", ADDRESS(INDEX($W$2:$W$1001,MATCH(ROWS($U$2:U964),$U$2:$U$1001,0),0), INDEX($AB$1004:$AQ$1004,1,MATCH(COLUMNS($AB$1006:AP1006),$AB$1006:$AQ$1006,0)))),"Fix")))</f>
        <v>0</v>
      </c>
      <c r="Q964" s="5">
        <f>IF(OR(INDEX($V$2:$V$1001,MATCH(ROWS($U$2:U964),$U$2:$U$1001,0),1)&gt;=100000,INDEX($AB$1005:$AQ$1005,1,MATCH(COLUMNS($AB$1006:AQ1006),$AB$1006:$AQ$1006,0))&gt;=100000), " ",IF(INDEX($AB$2:$AQ$1001,MATCH(ROWS($U$2:U964),$U$2:$U$1001,0),MATCH(COLUMNS($AB$1006:AQ1006),$AB$1006:$AQ$1006,0)), HYPERLINK("#",""), HYPERLINK(CONCATENATE("#Metadata!", ADDRESS(INDEX($W$2:$W$1001,MATCH(ROWS($U$2:U964),$U$2:$U$1001,0),0), INDEX($AB$1004:$AQ$1004,1,MATCH(COLUMNS($AB$1006:AQ1006),$AB$1006:$AQ$1006,0)))),"Fix")))</f>
        <v>0</v>
      </c>
      <c r="U964">
        <v>0</v>
      </c>
      <c r="V964">
        <v>0</v>
      </c>
      <c r="W964">
        <v>0</v>
      </c>
      <c r="X964">
        <f>IF(Y964,TRUE,AND(AB964:AQ964))</f>
        <v>0</v>
      </c>
      <c r="Y964">
        <f>COUNTBLANK(Metadata!B964:Q964)=COLUMNS(Metadata!B964:Q964)</f>
        <v>0</v>
      </c>
      <c r="Z964">
        <v>0</v>
      </c>
      <c r="AB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AC964">
        <f>AND(IF(Metadata!C964="",FALSE,TRUE),exact(Metadata!C964,"urban biome"))</f>
        <v>0</v>
      </c>
      <c r="AD964">
        <f>AND(IF(Metadata!D964="",FALSE,TRUE),exact(Metadata!D964,"human-associated habitat"))</f>
        <v>0</v>
      </c>
      <c r="AE964">
        <f>AND(IF(Metadata!E964="",FALSE,TRUE),OR(exact(Metadata!E964,"human-associated"),exact(Metadata!E964,"human-skin"),exact(Metadata!E964,"human-oral"),exact(Metadata!E964,"human-gut"),exact(Metadata!E964,"human-vaginal")))</f>
        <v>0</v>
      </c>
      <c r="AF964">
        <f>AND(IF(Metadata!F964="",FALSE,ISNUMBER(VALUE(Metadata!F964))),Metadata!F964&gt;0)</f>
        <v>0</v>
      </c>
      <c r="AG964">
        <f>AND(IF(Metadata!G964="",FALSE,TRUE),exact(Metadata!G964,"years"))</f>
        <v>0</v>
      </c>
      <c r="AH964">
        <f>OR(AND(IF(Metadata!H964="",FALSE,TRUE),OR(exact(Metadata!H964,"not applicable"),exact(Metadata!H964,"not collected"),exact(Metadata!H964,"not provided"),exact(Metadata!H964,"restricted access"))),AND(IF(Metadata!H964="",FALSE,ISNUMBER(VALUE(Metadata!H964))),Metadata!H964&gt;0))</f>
        <v>0</v>
      </c>
      <c r="AI964">
        <f>AND(IF(Metadata!I964="",FALSE,TRUE),exact(Metadata!I964,"human"))</f>
        <v>0</v>
      </c>
      <c r="AJ964">
        <f>AND(IF(Metadata!J964="",FALSE,ISNUMBER(VALUE(Metadata!J964))),Metadata!J964&gt;0)</f>
        <v>0</v>
      </c>
      <c r="AK964">
        <f>AND(IF(Metadata!K964="",FALSE,TRUE),exact(Metadata!K964,"cm"))</f>
        <v>0</v>
      </c>
      <c r="AL964">
        <f>AND(IF(Metadata!L964="",FALSE,TRUE),exact(Metadata!L964,"Homo sapiens"))</f>
        <v>0</v>
      </c>
      <c r="AM964">
        <f>AND(IF(Metadata!M964="",FALSE,TRUE),exact(Metadata!M964,"9606"))</f>
        <v>0</v>
      </c>
      <c r="AN964">
        <f>AND(IF(Metadata!N964="",FALSE,ISNUMBER(VALUE(Metadata!N964))),Metadata!N964&gt;0)</f>
        <v>0</v>
      </c>
      <c r="AO964">
        <f>AND(IF(Metadata!O964="",FALSE,TRUE),exact(Metadata!O964,"kg"))</f>
        <v>0</v>
      </c>
      <c r="AP964">
        <f>OR(AND(IF(Metadata!P964="",FALSE,TRUE),exact(Metadata!P964,"not provided")),IF(Metadata!P964="",FALSE,TRUE))</f>
        <v>0</v>
      </c>
      <c r="AQ964">
        <f>OR(AND(IF(Metadata!Q964="",FALSE,TRUE),exact(Metadata!Q964,"not provided")),IF(Metadata!Q964="",FALSE,TRUE))</f>
        <v>0</v>
      </c>
    </row>
    <row r="965" spans="1:43">
      <c r="A965" s="4">
        <f>IF(B965=" "," ",HYPERLINK(CONCATENATE("#metadata!",ADDRESS(INDEX($W$2:$W$1001,MATCH(ROWS($U$2:U965),$U$2:$U$1001,0),0),2)),INDEX($Z$2:$Z$1001,MATCH(ROWS($U$2:U965),$U$2:$U$1001,0),0)))</f>
        <v>0</v>
      </c>
      <c r="B965" s="5">
        <f>IF(OR(INDEX($V$2:$V$1001,MATCH(ROWS($U$2:U965),$U$2:$U$1001,0),1)&gt;=100000,INDEX($AB$1005:$AQ$1005,1,MATCH(COLUMNS($AB$1006:AB1006),$AB$1006:$AQ$1006,0))&gt;=100000), " ",IF(INDEX($AB$2:$AQ$1001,MATCH(ROWS($U$2:U965),$U$2:$U$1001,0),MATCH(COLUMNS($AB$1006:AB1006),$AB$1006:$AQ$1006,0)), HYPERLINK("#",""), HYPERLINK(CONCATENATE("#Metadata!", ADDRESS(INDEX($W$2:$W$1001,MATCH(ROWS($U$2:U965),$U$2:$U$1001,0),0), INDEX($AB$1004:$AQ$1004,1,MATCH(COLUMNS($AB$1006:AB1006),$AB$1006:$AQ$1006,0)))),"Fix")))</f>
        <v>0</v>
      </c>
      <c r="C965" s="5">
        <f>IF(OR(INDEX($V$2:$V$1001,MATCH(ROWS($U$2:U965),$U$2:$U$1001,0),1)&gt;=100000,INDEX($AB$1005:$AQ$1005,1,MATCH(COLUMNS($AB$1006:AC1006),$AB$1006:$AQ$1006,0))&gt;=100000), " ",IF(INDEX($AB$2:$AQ$1001,MATCH(ROWS($U$2:U965),$U$2:$U$1001,0),MATCH(COLUMNS($AB$1006:AC1006),$AB$1006:$AQ$1006,0)), HYPERLINK("#",""), HYPERLINK(CONCATENATE("#Metadata!", ADDRESS(INDEX($W$2:$W$1001,MATCH(ROWS($U$2:U965),$U$2:$U$1001,0),0), INDEX($AB$1004:$AQ$1004,1,MATCH(COLUMNS($AB$1006:AC1006),$AB$1006:$AQ$1006,0)))),"Fix")))</f>
        <v>0</v>
      </c>
      <c r="D965" s="5">
        <f>IF(OR(INDEX($V$2:$V$1001,MATCH(ROWS($U$2:U965),$U$2:$U$1001,0),1)&gt;=100000,INDEX($AB$1005:$AQ$1005,1,MATCH(COLUMNS($AB$1006:AD1006),$AB$1006:$AQ$1006,0))&gt;=100000), " ",IF(INDEX($AB$2:$AQ$1001,MATCH(ROWS($U$2:U965),$U$2:$U$1001,0),MATCH(COLUMNS($AB$1006:AD1006),$AB$1006:$AQ$1006,0)), HYPERLINK("#",""), HYPERLINK(CONCATENATE("#Metadata!", ADDRESS(INDEX($W$2:$W$1001,MATCH(ROWS($U$2:U965),$U$2:$U$1001,0),0), INDEX($AB$1004:$AQ$1004,1,MATCH(COLUMNS($AB$1006:AD1006),$AB$1006:$AQ$1006,0)))),"Fix")))</f>
        <v>0</v>
      </c>
      <c r="E965" s="5">
        <f>IF(OR(INDEX($V$2:$V$1001,MATCH(ROWS($U$2:U965),$U$2:$U$1001,0),1)&gt;=100000,INDEX($AB$1005:$AQ$1005,1,MATCH(COLUMNS($AB$1006:AE1006),$AB$1006:$AQ$1006,0))&gt;=100000), " ",IF(INDEX($AB$2:$AQ$1001,MATCH(ROWS($U$2:U965),$U$2:$U$1001,0),MATCH(COLUMNS($AB$1006:AE1006),$AB$1006:$AQ$1006,0)), HYPERLINK("#",""), HYPERLINK(CONCATENATE("#Metadata!", ADDRESS(INDEX($W$2:$W$1001,MATCH(ROWS($U$2:U965),$U$2:$U$1001,0),0), INDEX($AB$1004:$AQ$1004,1,MATCH(COLUMNS($AB$1006:AE1006),$AB$1006:$AQ$1006,0)))),"Fix")))</f>
        <v>0</v>
      </c>
      <c r="F965" s="5">
        <f>IF(OR(INDEX($V$2:$V$1001,MATCH(ROWS($U$2:U965),$U$2:$U$1001,0),1)&gt;=100000,INDEX($AB$1005:$AQ$1005,1,MATCH(COLUMNS($AB$1006:AF1006),$AB$1006:$AQ$1006,0))&gt;=100000), " ",IF(INDEX($AB$2:$AQ$1001,MATCH(ROWS($U$2:U965),$U$2:$U$1001,0),MATCH(COLUMNS($AB$1006:AF1006),$AB$1006:$AQ$1006,0)), HYPERLINK("#",""), HYPERLINK(CONCATENATE("#Metadata!", ADDRESS(INDEX($W$2:$W$1001,MATCH(ROWS($U$2:U965),$U$2:$U$1001,0),0), INDEX($AB$1004:$AQ$1004,1,MATCH(COLUMNS($AB$1006:AF1006),$AB$1006:$AQ$1006,0)))),"Fix")))</f>
        <v>0</v>
      </c>
      <c r="G965" s="5">
        <f>IF(OR(INDEX($V$2:$V$1001,MATCH(ROWS($U$2:U965),$U$2:$U$1001,0),1)&gt;=100000,INDEX($AB$1005:$AQ$1005,1,MATCH(COLUMNS($AB$1006:AG1006),$AB$1006:$AQ$1006,0))&gt;=100000), " ",IF(INDEX($AB$2:$AQ$1001,MATCH(ROWS($U$2:U965),$U$2:$U$1001,0),MATCH(COLUMNS($AB$1006:AG1006),$AB$1006:$AQ$1006,0)), HYPERLINK("#",""), HYPERLINK(CONCATENATE("#Metadata!", ADDRESS(INDEX($W$2:$W$1001,MATCH(ROWS($U$2:U965),$U$2:$U$1001,0),0), INDEX($AB$1004:$AQ$1004,1,MATCH(COLUMNS($AB$1006:AG1006),$AB$1006:$AQ$1006,0)))),"Fix")))</f>
        <v>0</v>
      </c>
      <c r="H965" s="5">
        <f>IF(OR(INDEX($V$2:$V$1001,MATCH(ROWS($U$2:U965),$U$2:$U$1001,0),1)&gt;=100000,INDEX($AB$1005:$AQ$1005,1,MATCH(COLUMNS($AB$1006:AH1006),$AB$1006:$AQ$1006,0))&gt;=100000), " ",IF(INDEX($AB$2:$AQ$1001,MATCH(ROWS($U$2:U965),$U$2:$U$1001,0),MATCH(COLUMNS($AB$1006:AH1006),$AB$1006:$AQ$1006,0)), HYPERLINK("#",""), HYPERLINK(CONCATENATE("#Metadata!", ADDRESS(INDEX($W$2:$W$1001,MATCH(ROWS($U$2:U965),$U$2:$U$1001,0),0), INDEX($AB$1004:$AQ$1004,1,MATCH(COLUMNS($AB$1006:AH1006),$AB$1006:$AQ$1006,0)))),"Fix")))</f>
        <v>0</v>
      </c>
      <c r="I965" s="5">
        <f>IF(OR(INDEX($V$2:$V$1001,MATCH(ROWS($U$2:U965),$U$2:$U$1001,0),1)&gt;=100000,INDEX($AB$1005:$AQ$1005,1,MATCH(COLUMNS($AB$1006:AI1006),$AB$1006:$AQ$1006,0))&gt;=100000), " ",IF(INDEX($AB$2:$AQ$1001,MATCH(ROWS($U$2:U965),$U$2:$U$1001,0),MATCH(COLUMNS($AB$1006:AI1006),$AB$1006:$AQ$1006,0)), HYPERLINK("#",""), HYPERLINK(CONCATENATE("#Metadata!", ADDRESS(INDEX($W$2:$W$1001,MATCH(ROWS($U$2:U965),$U$2:$U$1001,0),0), INDEX($AB$1004:$AQ$1004,1,MATCH(COLUMNS($AB$1006:AI1006),$AB$1006:$AQ$1006,0)))),"Fix")))</f>
        <v>0</v>
      </c>
      <c r="J965" s="5">
        <f>IF(OR(INDEX($V$2:$V$1001,MATCH(ROWS($U$2:U965),$U$2:$U$1001,0),1)&gt;=100000,INDEX($AB$1005:$AQ$1005,1,MATCH(COLUMNS($AB$1006:AJ1006),$AB$1006:$AQ$1006,0))&gt;=100000), " ",IF(INDEX($AB$2:$AQ$1001,MATCH(ROWS($U$2:U965),$U$2:$U$1001,0),MATCH(COLUMNS($AB$1006:AJ1006),$AB$1006:$AQ$1006,0)), HYPERLINK("#",""), HYPERLINK(CONCATENATE("#Metadata!", ADDRESS(INDEX($W$2:$W$1001,MATCH(ROWS($U$2:U965),$U$2:$U$1001,0),0), INDEX($AB$1004:$AQ$1004,1,MATCH(COLUMNS($AB$1006:AJ1006),$AB$1006:$AQ$1006,0)))),"Fix")))</f>
        <v>0</v>
      </c>
      <c r="K965" s="5">
        <f>IF(OR(INDEX($V$2:$V$1001,MATCH(ROWS($U$2:U965),$U$2:$U$1001,0),1)&gt;=100000,INDEX($AB$1005:$AQ$1005,1,MATCH(COLUMNS($AB$1006:AK1006),$AB$1006:$AQ$1006,0))&gt;=100000), " ",IF(INDEX($AB$2:$AQ$1001,MATCH(ROWS($U$2:U965),$U$2:$U$1001,0),MATCH(COLUMNS($AB$1006:AK1006),$AB$1006:$AQ$1006,0)), HYPERLINK("#",""), HYPERLINK(CONCATENATE("#Metadata!", ADDRESS(INDEX($W$2:$W$1001,MATCH(ROWS($U$2:U965),$U$2:$U$1001,0),0), INDEX($AB$1004:$AQ$1004,1,MATCH(COLUMNS($AB$1006:AK1006),$AB$1006:$AQ$1006,0)))),"Fix")))</f>
        <v>0</v>
      </c>
      <c r="L965" s="5">
        <f>IF(OR(INDEX($V$2:$V$1001,MATCH(ROWS($U$2:U965),$U$2:$U$1001,0),1)&gt;=100000,INDEX($AB$1005:$AQ$1005,1,MATCH(COLUMNS($AB$1006:AL1006),$AB$1006:$AQ$1006,0))&gt;=100000), " ",IF(INDEX($AB$2:$AQ$1001,MATCH(ROWS($U$2:U965),$U$2:$U$1001,0),MATCH(COLUMNS($AB$1006:AL1006),$AB$1006:$AQ$1006,0)), HYPERLINK("#",""), HYPERLINK(CONCATENATE("#Metadata!", ADDRESS(INDEX($W$2:$W$1001,MATCH(ROWS($U$2:U965),$U$2:$U$1001,0),0), INDEX($AB$1004:$AQ$1004,1,MATCH(COLUMNS($AB$1006:AL1006),$AB$1006:$AQ$1006,0)))),"Fix")))</f>
        <v>0</v>
      </c>
      <c r="M965" s="5">
        <f>IF(OR(INDEX($V$2:$V$1001,MATCH(ROWS($U$2:U965),$U$2:$U$1001,0),1)&gt;=100000,INDEX($AB$1005:$AQ$1005,1,MATCH(COLUMNS($AB$1006:AM1006),$AB$1006:$AQ$1006,0))&gt;=100000), " ",IF(INDEX($AB$2:$AQ$1001,MATCH(ROWS($U$2:U965),$U$2:$U$1001,0),MATCH(COLUMNS($AB$1006:AM1006),$AB$1006:$AQ$1006,0)), HYPERLINK("#",""), HYPERLINK(CONCATENATE("#Metadata!", ADDRESS(INDEX($W$2:$W$1001,MATCH(ROWS($U$2:U965),$U$2:$U$1001,0),0), INDEX($AB$1004:$AQ$1004,1,MATCH(COLUMNS($AB$1006:AM1006),$AB$1006:$AQ$1006,0)))),"Fix")))</f>
        <v>0</v>
      </c>
      <c r="N965" s="5">
        <f>IF(OR(INDEX($V$2:$V$1001,MATCH(ROWS($U$2:U965),$U$2:$U$1001,0),1)&gt;=100000,INDEX($AB$1005:$AQ$1005,1,MATCH(COLUMNS($AB$1006:AN1006),$AB$1006:$AQ$1006,0))&gt;=100000), " ",IF(INDEX($AB$2:$AQ$1001,MATCH(ROWS($U$2:U965),$U$2:$U$1001,0),MATCH(COLUMNS($AB$1006:AN1006),$AB$1006:$AQ$1006,0)), HYPERLINK("#",""), HYPERLINK(CONCATENATE("#Metadata!", ADDRESS(INDEX($W$2:$W$1001,MATCH(ROWS($U$2:U965),$U$2:$U$1001,0),0), INDEX($AB$1004:$AQ$1004,1,MATCH(COLUMNS($AB$1006:AN1006),$AB$1006:$AQ$1006,0)))),"Fix")))</f>
        <v>0</v>
      </c>
      <c r="O965" s="5">
        <f>IF(OR(INDEX($V$2:$V$1001,MATCH(ROWS($U$2:U965),$U$2:$U$1001,0),1)&gt;=100000,INDEX($AB$1005:$AQ$1005,1,MATCH(COLUMNS($AB$1006:AO1006),$AB$1006:$AQ$1006,0))&gt;=100000), " ",IF(INDEX($AB$2:$AQ$1001,MATCH(ROWS($U$2:U965),$U$2:$U$1001,0),MATCH(COLUMNS($AB$1006:AO1006),$AB$1006:$AQ$1006,0)), HYPERLINK("#",""), HYPERLINK(CONCATENATE("#Metadata!", ADDRESS(INDEX($W$2:$W$1001,MATCH(ROWS($U$2:U965),$U$2:$U$1001,0),0), INDEX($AB$1004:$AQ$1004,1,MATCH(COLUMNS($AB$1006:AO1006),$AB$1006:$AQ$1006,0)))),"Fix")))</f>
        <v>0</v>
      </c>
      <c r="P965" s="5">
        <f>IF(OR(INDEX($V$2:$V$1001,MATCH(ROWS($U$2:U965),$U$2:$U$1001,0),1)&gt;=100000,INDEX($AB$1005:$AQ$1005,1,MATCH(COLUMNS($AB$1006:AP1006),$AB$1006:$AQ$1006,0))&gt;=100000), " ",IF(INDEX($AB$2:$AQ$1001,MATCH(ROWS($U$2:U965),$U$2:$U$1001,0),MATCH(COLUMNS($AB$1006:AP1006),$AB$1006:$AQ$1006,0)), HYPERLINK("#",""), HYPERLINK(CONCATENATE("#Metadata!", ADDRESS(INDEX($W$2:$W$1001,MATCH(ROWS($U$2:U965),$U$2:$U$1001,0),0), INDEX($AB$1004:$AQ$1004,1,MATCH(COLUMNS($AB$1006:AP1006),$AB$1006:$AQ$1006,0)))),"Fix")))</f>
        <v>0</v>
      </c>
      <c r="Q965" s="5">
        <f>IF(OR(INDEX($V$2:$V$1001,MATCH(ROWS($U$2:U965),$U$2:$U$1001,0),1)&gt;=100000,INDEX($AB$1005:$AQ$1005,1,MATCH(COLUMNS($AB$1006:AQ1006),$AB$1006:$AQ$1006,0))&gt;=100000), " ",IF(INDEX($AB$2:$AQ$1001,MATCH(ROWS($U$2:U965),$U$2:$U$1001,0),MATCH(COLUMNS($AB$1006:AQ1006),$AB$1006:$AQ$1006,0)), HYPERLINK("#",""), HYPERLINK(CONCATENATE("#Metadata!", ADDRESS(INDEX($W$2:$W$1001,MATCH(ROWS($U$2:U965),$U$2:$U$1001,0),0), INDEX($AB$1004:$AQ$1004,1,MATCH(COLUMNS($AB$1006:AQ1006),$AB$1006:$AQ$1006,0)))),"Fix")))</f>
        <v>0</v>
      </c>
      <c r="U965">
        <v>0</v>
      </c>
      <c r="V965">
        <v>0</v>
      </c>
      <c r="W965">
        <v>0</v>
      </c>
      <c r="X965">
        <f>IF(Y965,TRUE,AND(AB965:AQ965))</f>
        <v>0</v>
      </c>
      <c r="Y965">
        <f>COUNTBLANK(Metadata!B965:Q965)=COLUMNS(Metadata!B965:Q965)</f>
        <v>0</v>
      </c>
      <c r="Z965">
        <v>0</v>
      </c>
      <c r="AB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AC965">
        <f>AND(IF(Metadata!C965="",FALSE,TRUE),exact(Metadata!C965,"urban biome"))</f>
        <v>0</v>
      </c>
      <c r="AD965">
        <f>AND(IF(Metadata!D965="",FALSE,TRUE),exact(Metadata!D965,"human-associated habitat"))</f>
        <v>0</v>
      </c>
      <c r="AE965">
        <f>AND(IF(Metadata!E965="",FALSE,TRUE),OR(exact(Metadata!E965,"human-associated"),exact(Metadata!E965,"human-skin"),exact(Metadata!E965,"human-oral"),exact(Metadata!E965,"human-gut"),exact(Metadata!E965,"human-vaginal")))</f>
        <v>0</v>
      </c>
      <c r="AF965">
        <f>AND(IF(Metadata!F965="",FALSE,ISNUMBER(VALUE(Metadata!F965))),Metadata!F965&gt;0)</f>
        <v>0</v>
      </c>
      <c r="AG965">
        <f>AND(IF(Metadata!G965="",FALSE,TRUE),exact(Metadata!G965,"years"))</f>
        <v>0</v>
      </c>
      <c r="AH965">
        <f>OR(AND(IF(Metadata!H965="",FALSE,TRUE),OR(exact(Metadata!H965,"not applicable"),exact(Metadata!H965,"not collected"),exact(Metadata!H965,"not provided"),exact(Metadata!H965,"restricted access"))),AND(IF(Metadata!H965="",FALSE,ISNUMBER(VALUE(Metadata!H965))),Metadata!H965&gt;0))</f>
        <v>0</v>
      </c>
      <c r="AI965">
        <f>AND(IF(Metadata!I965="",FALSE,TRUE),exact(Metadata!I965,"human"))</f>
        <v>0</v>
      </c>
      <c r="AJ965">
        <f>AND(IF(Metadata!J965="",FALSE,ISNUMBER(VALUE(Metadata!J965))),Metadata!J965&gt;0)</f>
        <v>0</v>
      </c>
      <c r="AK965">
        <f>AND(IF(Metadata!K965="",FALSE,TRUE),exact(Metadata!K965,"cm"))</f>
        <v>0</v>
      </c>
      <c r="AL965">
        <f>AND(IF(Metadata!L965="",FALSE,TRUE),exact(Metadata!L965,"Homo sapiens"))</f>
        <v>0</v>
      </c>
      <c r="AM965">
        <f>AND(IF(Metadata!M965="",FALSE,TRUE),exact(Metadata!M965,"9606"))</f>
        <v>0</v>
      </c>
      <c r="AN965">
        <f>AND(IF(Metadata!N965="",FALSE,ISNUMBER(VALUE(Metadata!N965))),Metadata!N965&gt;0)</f>
        <v>0</v>
      </c>
      <c r="AO965">
        <f>AND(IF(Metadata!O965="",FALSE,TRUE),exact(Metadata!O965,"kg"))</f>
        <v>0</v>
      </c>
      <c r="AP965">
        <f>OR(AND(IF(Metadata!P965="",FALSE,TRUE),exact(Metadata!P965,"not provided")),IF(Metadata!P965="",FALSE,TRUE))</f>
        <v>0</v>
      </c>
      <c r="AQ965">
        <f>OR(AND(IF(Metadata!Q965="",FALSE,TRUE),exact(Metadata!Q965,"not provided")),IF(Metadata!Q965="",FALSE,TRUE))</f>
        <v>0</v>
      </c>
    </row>
    <row r="966" spans="1:43">
      <c r="A966" s="4">
        <f>IF(B966=" "," ",HYPERLINK(CONCATENATE("#metadata!",ADDRESS(INDEX($W$2:$W$1001,MATCH(ROWS($U$2:U966),$U$2:$U$1001,0),0),2)),INDEX($Z$2:$Z$1001,MATCH(ROWS($U$2:U966),$U$2:$U$1001,0),0)))</f>
        <v>0</v>
      </c>
      <c r="B966" s="5">
        <f>IF(OR(INDEX($V$2:$V$1001,MATCH(ROWS($U$2:U966),$U$2:$U$1001,0),1)&gt;=100000,INDEX($AB$1005:$AQ$1005,1,MATCH(COLUMNS($AB$1006:AB1006),$AB$1006:$AQ$1006,0))&gt;=100000), " ",IF(INDEX($AB$2:$AQ$1001,MATCH(ROWS($U$2:U966),$U$2:$U$1001,0),MATCH(COLUMNS($AB$1006:AB1006),$AB$1006:$AQ$1006,0)), HYPERLINK("#",""), HYPERLINK(CONCATENATE("#Metadata!", ADDRESS(INDEX($W$2:$W$1001,MATCH(ROWS($U$2:U966),$U$2:$U$1001,0),0), INDEX($AB$1004:$AQ$1004,1,MATCH(COLUMNS($AB$1006:AB1006),$AB$1006:$AQ$1006,0)))),"Fix")))</f>
        <v>0</v>
      </c>
      <c r="C966" s="5">
        <f>IF(OR(INDEX($V$2:$V$1001,MATCH(ROWS($U$2:U966),$U$2:$U$1001,0),1)&gt;=100000,INDEX($AB$1005:$AQ$1005,1,MATCH(COLUMNS($AB$1006:AC1006),$AB$1006:$AQ$1006,0))&gt;=100000), " ",IF(INDEX($AB$2:$AQ$1001,MATCH(ROWS($U$2:U966),$U$2:$U$1001,0),MATCH(COLUMNS($AB$1006:AC1006),$AB$1006:$AQ$1006,0)), HYPERLINK("#",""), HYPERLINK(CONCATENATE("#Metadata!", ADDRESS(INDEX($W$2:$W$1001,MATCH(ROWS($U$2:U966),$U$2:$U$1001,0),0), INDEX($AB$1004:$AQ$1004,1,MATCH(COLUMNS($AB$1006:AC1006),$AB$1006:$AQ$1006,0)))),"Fix")))</f>
        <v>0</v>
      </c>
      <c r="D966" s="5">
        <f>IF(OR(INDEX($V$2:$V$1001,MATCH(ROWS($U$2:U966),$U$2:$U$1001,0),1)&gt;=100000,INDEX($AB$1005:$AQ$1005,1,MATCH(COLUMNS($AB$1006:AD1006),$AB$1006:$AQ$1006,0))&gt;=100000), " ",IF(INDEX($AB$2:$AQ$1001,MATCH(ROWS($U$2:U966),$U$2:$U$1001,0),MATCH(COLUMNS($AB$1006:AD1006),$AB$1006:$AQ$1006,0)), HYPERLINK("#",""), HYPERLINK(CONCATENATE("#Metadata!", ADDRESS(INDEX($W$2:$W$1001,MATCH(ROWS($U$2:U966),$U$2:$U$1001,0),0), INDEX($AB$1004:$AQ$1004,1,MATCH(COLUMNS($AB$1006:AD1006),$AB$1006:$AQ$1006,0)))),"Fix")))</f>
        <v>0</v>
      </c>
      <c r="E966" s="5">
        <f>IF(OR(INDEX($V$2:$V$1001,MATCH(ROWS($U$2:U966),$U$2:$U$1001,0),1)&gt;=100000,INDEX($AB$1005:$AQ$1005,1,MATCH(COLUMNS($AB$1006:AE1006),$AB$1006:$AQ$1006,0))&gt;=100000), " ",IF(INDEX($AB$2:$AQ$1001,MATCH(ROWS($U$2:U966),$U$2:$U$1001,0),MATCH(COLUMNS($AB$1006:AE1006),$AB$1006:$AQ$1006,0)), HYPERLINK("#",""), HYPERLINK(CONCATENATE("#Metadata!", ADDRESS(INDEX($W$2:$W$1001,MATCH(ROWS($U$2:U966),$U$2:$U$1001,0),0), INDEX($AB$1004:$AQ$1004,1,MATCH(COLUMNS($AB$1006:AE1006),$AB$1006:$AQ$1006,0)))),"Fix")))</f>
        <v>0</v>
      </c>
      <c r="F966" s="5">
        <f>IF(OR(INDEX($V$2:$V$1001,MATCH(ROWS($U$2:U966),$U$2:$U$1001,0),1)&gt;=100000,INDEX($AB$1005:$AQ$1005,1,MATCH(COLUMNS($AB$1006:AF1006),$AB$1006:$AQ$1006,0))&gt;=100000), " ",IF(INDEX($AB$2:$AQ$1001,MATCH(ROWS($U$2:U966),$U$2:$U$1001,0),MATCH(COLUMNS($AB$1006:AF1006),$AB$1006:$AQ$1006,0)), HYPERLINK("#",""), HYPERLINK(CONCATENATE("#Metadata!", ADDRESS(INDEX($W$2:$W$1001,MATCH(ROWS($U$2:U966),$U$2:$U$1001,0),0), INDEX($AB$1004:$AQ$1004,1,MATCH(COLUMNS($AB$1006:AF1006),$AB$1006:$AQ$1006,0)))),"Fix")))</f>
        <v>0</v>
      </c>
      <c r="G966" s="5">
        <f>IF(OR(INDEX($V$2:$V$1001,MATCH(ROWS($U$2:U966),$U$2:$U$1001,0),1)&gt;=100000,INDEX($AB$1005:$AQ$1005,1,MATCH(COLUMNS($AB$1006:AG1006),$AB$1006:$AQ$1006,0))&gt;=100000), " ",IF(INDEX($AB$2:$AQ$1001,MATCH(ROWS($U$2:U966),$U$2:$U$1001,0),MATCH(COLUMNS($AB$1006:AG1006),$AB$1006:$AQ$1006,0)), HYPERLINK("#",""), HYPERLINK(CONCATENATE("#Metadata!", ADDRESS(INDEX($W$2:$W$1001,MATCH(ROWS($U$2:U966),$U$2:$U$1001,0),0), INDEX($AB$1004:$AQ$1004,1,MATCH(COLUMNS($AB$1006:AG1006),$AB$1006:$AQ$1006,0)))),"Fix")))</f>
        <v>0</v>
      </c>
      <c r="H966" s="5">
        <f>IF(OR(INDEX($V$2:$V$1001,MATCH(ROWS($U$2:U966),$U$2:$U$1001,0),1)&gt;=100000,INDEX($AB$1005:$AQ$1005,1,MATCH(COLUMNS($AB$1006:AH1006),$AB$1006:$AQ$1006,0))&gt;=100000), " ",IF(INDEX($AB$2:$AQ$1001,MATCH(ROWS($U$2:U966),$U$2:$U$1001,0),MATCH(COLUMNS($AB$1006:AH1006),$AB$1006:$AQ$1006,0)), HYPERLINK("#",""), HYPERLINK(CONCATENATE("#Metadata!", ADDRESS(INDEX($W$2:$W$1001,MATCH(ROWS($U$2:U966),$U$2:$U$1001,0),0), INDEX($AB$1004:$AQ$1004,1,MATCH(COLUMNS($AB$1006:AH1006),$AB$1006:$AQ$1006,0)))),"Fix")))</f>
        <v>0</v>
      </c>
      <c r="I966" s="5">
        <f>IF(OR(INDEX($V$2:$V$1001,MATCH(ROWS($U$2:U966),$U$2:$U$1001,0),1)&gt;=100000,INDEX($AB$1005:$AQ$1005,1,MATCH(COLUMNS($AB$1006:AI1006),$AB$1006:$AQ$1006,0))&gt;=100000), " ",IF(INDEX($AB$2:$AQ$1001,MATCH(ROWS($U$2:U966),$U$2:$U$1001,0),MATCH(COLUMNS($AB$1006:AI1006),$AB$1006:$AQ$1006,0)), HYPERLINK("#",""), HYPERLINK(CONCATENATE("#Metadata!", ADDRESS(INDEX($W$2:$W$1001,MATCH(ROWS($U$2:U966),$U$2:$U$1001,0),0), INDEX($AB$1004:$AQ$1004,1,MATCH(COLUMNS($AB$1006:AI1006),$AB$1006:$AQ$1006,0)))),"Fix")))</f>
        <v>0</v>
      </c>
      <c r="J966" s="5">
        <f>IF(OR(INDEX($V$2:$V$1001,MATCH(ROWS($U$2:U966),$U$2:$U$1001,0),1)&gt;=100000,INDEX($AB$1005:$AQ$1005,1,MATCH(COLUMNS($AB$1006:AJ1006),$AB$1006:$AQ$1006,0))&gt;=100000), " ",IF(INDEX($AB$2:$AQ$1001,MATCH(ROWS($U$2:U966),$U$2:$U$1001,0),MATCH(COLUMNS($AB$1006:AJ1006),$AB$1006:$AQ$1006,0)), HYPERLINK("#",""), HYPERLINK(CONCATENATE("#Metadata!", ADDRESS(INDEX($W$2:$W$1001,MATCH(ROWS($U$2:U966),$U$2:$U$1001,0),0), INDEX($AB$1004:$AQ$1004,1,MATCH(COLUMNS($AB$1006:AJ1006),$AB$1006:$AQ$1006,0)))),"Fix")))</f>
        <v>0</v>
      </c>
      <c r="K966" s="5">
        <f>IF(OR(INDEX($V$2:$V$1001,MATCH(ROWS($U$2:U966),$U$2:$U$1001,0),1)&gt;=100000,INDEX($AB$1005:$AQ$1005,1,MATCH(COLUMNS($AB$1006:AK1006),$AB$1006:$AQ$1006,0))&gt;=100000), " ",IF(INDEX($AB$2:$AQ$1001,MATCH(ROWS($U$2:U966),$U$2:$U$1001,0),MATCH(COLUMNS($AB$1006:AK1006),$AB$1006:$AQ$1006,0)), HYPERLINK("#",""), HYPERLINK(CONCATENATE("#Metadata!", ADDRESS(INDEX($W$2:$W$1001,MATCH(ROWS($U$2:U966),$U$2:$U$1001,0),0), INDEX($AB$1004:$AQ$1004,1,MATCH(COLUMNS($AB$1006:AK1006),$AB$1006:$AQ$1006,0)))),"Fix")))</f>
        <v>0</v>
      </c>
      <c r="L966" s="5">
        <f>IF(OR(INDEX($V$2:$V$1001,MATCH(ROWS($U$2:U966),$U$2:$U$1001,0),1)&gt;=100000,INDEX($AB$1005:$AQ$1005,1,MATCH(COLUMNS($AB$1006:AL1006),$AB$1006:$AQ$1006,0))&gt;=100000), " ",IF(INDEX($AB$2:$AQ$1001,MATCH(ROWS($U$2:U966),$U$2:$U$1001,0),MATCH(COLUMNS($AB$1006:AL1006),$AB$1006:$AQ$1006,0)), HYPERLINK("#",""), HYPERLINK(CONCATENATE("#Metadata!", ADDRESS(INDEX($W$2:$W$1001,MATCH(ROWS($U$2:U966),$U$2:$U$1001,0),0), INDEX($AB$1004:$AQ$1004,1,MATCH(COLUMNS($AB$1006:AL1006),$AB$1006:$AQ$1006,0)))),"Fix")))</f>
        <v>0</v>
      </c>
      <c r="M966" s="5">
        <f>IF(OR(INDEX($V$2:$V$1001,MATCH(ROWS($U$2:U966),$U$2:$U$1001,0),1)&gt;=100000,INDEX($AB$1005:$AQ$1005,1,MATCH(COLUMNS($AB$1006:AM1006),$AB$1006:$AQ$1006,0))&gt;=100000), " ",IF(INDEX($AB$2:$AQ$1001,MATCH(ROWS($U$2:U966),$U$2:$U$1001,0),MATCH(COLUMNS($AB$1006:AM1006),$AB$1006:$AQ$1006,0)), HYPERLINK("#",""), HYPERLINK(CONCATENATE("#Metadata!", ADDRESS(INDEX($W$2:$W$1001,MATCH(ROWS($U$2:U966),$U$2:$U$1001,0),0), INDEX($AB$1004:$AQ$1004,1,MATCH(COLUMNS($AB$1006:AM1006),$AB$1006:$AQ$1006,0)))),"Fix")))</f>
        <v>0</v>
      </c>
      <c r="N966" s="5">
        <f>IF(OR(INDEX($V$2:$V$1001,MATCH(ROWS($U$2:U966),$U$2:$U$1001,0),1)&gt;=100000,INDEX($AB$1005:$AQ$1005,1,MATCH(COLUMNS($AB$1006:AN1006),$AB$1006:$AQ$1006,0))&gt;=100000), " ",IF(INDEX($AB$2:$AQ$1001,MATCH(ROWS($U$2:U966),$U$2:$U$1001,0),MATCH(COLUMNS($AB$1006:AN1006),$AB$1006:$AQ$1006,0)), HYPERLINK("#",""), HYPERLINK(CONCATENATE("#Metadata!", ADDRESS(INDEX($W$2:$W$1001,MATCH(ROWS($U$2:U966),$U$2:$U$1001,0),0), INDEX($AB$1004:$AQ$1004,1,MATCH(COLUMNS($AB$1006:AN1006),$AB$1006:$AQ$1006,0)))),"Fix")))</f>
        <v>0</v>
      </c>
      <c r="O966" s="5">
        <f>IF(OR(INDEX($V$2:$V$1001,MATCH(ROWS($U$2:U966),$U$2:$U$1001,0),1)&gt;=100000,INDEX($AB$1005:$AQ$1005,1,MATCH(COLUMNS($AB$1006:AO1006),$AB$1006:$AQ$1006,0))&gt;=100000), " ",IF(INDEX($AB$2:$AQ$1001,MATCH(ROWS($U$2:U966),$U$2:$U$1001,0),MATCH(COLUMNS($AB$1006:AO1006),$AB$1006:$AQ$1006,0)), HYPERLINK("#",""), HYPERLINK(CONCATENATE("#Metadata!", ADDRESS(INDEX($W$2:$W$1001,MATCH(ROWS($U$2:U966),$U$2:$U$1001,0),0), INDEX($AB$1004:$AQ$1004,1,MATCH(COLUMNS($AB$1006:AO1006),$AB$1006:$AQ$1006,0)))),"Fix")))</f>
        <v>0</v>
      </c>
      <c r="P966" s="5">
        <f>IF(OR(INDEX($V$2:$V$1001,MATCH(ROWS($U$2:U966),$U$2:$U$1001,0),1)&gt;=100000,INDEX($AB$1005:$AQ$1005,1,MATCH(COLUMNS($AB$1006:AP1006),$AB$1006:$AQ$1006,0))&gt;=100000), " ",IF(INDEX($AB$2:$AQ$1001,MATCH(ROWS($U$2:U966),$U$2:$U$1001,0),MATCH(COLUMNS($AB$1006:AP1006),$AB$1006:$AQ$1006,0)), HYPERLINK("#",""), HYPERLINK(CONCATENATE("#Metadata!", ADDRESS(INDEX($W$2:$W$1001,MATCH(ROWS($U$2:U966),$U$2:$U$1001,0),0), INDEX($AB$1004:$AQ$1004,1,MATCH(COLUMNS($AB$1006:AP1006),$AB$1006:$AQ$1006,0)))),"Fix")))</f>
        <v>0</v>
      </c>
      <c r="Q966" s="5">
        <f>IF(OR(INDEX($V$2:$V$1001,MATCH(ROWS($U$2:U966),$U$2:$U$1001,0),1)&gt;=100000,INDEX($AB$1005:$AQ$1005,1,MATCH(COLUMNS($AB$1006:AQ1006),$AB$1006:$AQ$1006,0))&gt;=100000), " ",IF(INDEX($AB$2:$AQ$1001,MATCH(ROWS($U$2:U966),$U$2:$U$1001,0),MATCH(COLUMNS($AB$1006:AQ1006),$AB$1006:$AQ$1006,0)), HYPERLINK("#",""), HYPERLINK(CONCATENATE("#Metadata!", ADDRESS(INDEX($W$2:$W$1001,MATCH(ROWS($U$2:U966),$U$2:$U$1001,0),0), INDEX($AB$1004:$AQ$1004,1,MATCH(COLUMNS($AB$1006:AQ1006),$AB$1006:$AQ$1006,0)))),"Fix")))</f>
        <v>0</v>
      </c>
      <c r="U966">
        <v>0</v>
      </c>
      <c r="V966">
        <v>0</v>
      </c>
      <c r="W966">
        <v>0</v>
      </c>
      <c r="X966">
        <f>IF(Y966,TRUE,AND(AB966:AQ966))</f>
        <v>0</v>
      </c>
      <c r="Y966">
        <f>COUNTBLANK(Metadata!B966:Q966)=COLUMNS(Metadata!B966:Q966)</f>
        <v>0</v>
      </c>
      <c r="Z966">
        <v>0</v>
      </c>
      <c r="AB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AC966">
        <f>AND(IF(Metadata!C966="",FALSE,TRUE),exact(Metadata!C966,"urban biome"))</f>
        <v>0</v>
      </c>
      <c r="AD966">
        <f>AND(IF(Metadata!D966="",FALSE,TRUE),exact(Metadata!D966,"human-associated habitat"))</f>
        <v>0</v>
      </c>
      <c r="AE966">
        <f>AND(IF(Metadata!E966="",FALSE,TRUE),OR(exact(Metadata!E966,"human-associated"),exact(Metadata!E966,"human-skin"),exact(Metadata!E966,"human-oral"),exact(Metadata!E966,"human-gut"),exact(Metadata!E966,"human-vaginal")))</f>
        <v>0</v>
      </c>
      <c r="AF966">
        <f>AND(IF(Metadata!F966="",FALSE,ISNUMBER(VALUE(Metadata!F966))),Metadata!F966&gt;0)</f>
        <v>0</v>
      </c>
      <c r="AG966">
        <f>AND(IF(Metadata!G966="",FALSE,TRUE),exact(Metadata!G966,"years"))</f>
        <v>0</v>
      </c>
      <c r="AH966">
        <f>OR(AND(IF(Metadata!H966="",FALSE,TRUE),OR(exact(Metadata!H966,"not applicable"),exact(Metadata!H966,"not collected"),exact(Metadata!H966,"not provided"),exact(Metadata!H966,"restricted access"))),AND(IF(Metadata!H966="",FALSE,ISNUMBER(VALUE(Metadata!H966))),Metadata!H966&gt;0))</f>
        <v>0</v>
      </c>
      <c r="AI966">
        <f>AND(IF(Metadata!I966="",FALSE,TRUE),exact(Metadata!I966,"human"))</f>
        <v>0</v>
      </c>
      <c r="AJ966">
        <f>AND(IF(Metadata!J966="",FALSE,ISNUMBER(VALUE(Metadata!J966))),Metadata!J966&gt;0)</f>
        <v>0</v>
      </c>
      <c r="AK966">
        <f>AND(IF(Metadata!K966="",FALSE,TRUE),exact(Metadata!K966,"cm"))</f>
        <v>0</v>
      </c>
      <c r="AL966">
        <f>AND(IF(Metadata!L966="",FALSE,TRUE),exact(Metadata!L966,"Homo sapiens"))</f>
        <v>0</v>
      </c>
      <c r="AM966">
        <f>AND(IF(Metadata!M966="",FALSE,TRUE),exact(Metadata!M966,"9606"))</f>
        <v>0</v>
      </c>
      <c r="AN966">
        <f>AND(IF(Metadata!N966="",FALSE,ISNUMBER(VALUE(Metadata!N966))),Metadata!N966&gt;0)</f>
        <v>0</v>
      </c>
      <c r="AO966">
        <f>AND(IF(Metadata!O966="",FALSE,TRUE),exact(Metadata!O966,"kg"))</f>
        <v>0</v>
      </c>
      <c r="AP966">
        <f>OR(AND(IF(Metadata!P966="",FALSE,TRUE),exact(Metadata!P966,"not provided")),IF(Metadata!P966="",FALSE,TRUE))</f>
        <v>0</v>
      </c>
      <c r="AQ966">
        <f>OR(AND(IF(Metadata!Q966="",FALSE,TRUE),exact(Metadata!Q966,"not provided")),IF(Metadata!Q966="",FALSE,TRUE))</f>
        <v>0</v>
      </c>
    </row>
    <row r="967" spans="1:43">
      <c r="A967" s="4">
        <f>IF(B967=" "," ",HYPERLINK(CONCATENATE("#metadata!",ADDRESS(INDEX($W$2:$W$1001,MATCH(ROWS($U$2:U967),$U$2:$U$1001,0),0),2)),INDEX($Z$2:$Z$1001,MATCH(ROWS($U$2:U967),$U$2:$U$1001,0),0)))</f>
        <v>0</v>
      </c>
      <c r="B967" s="5">
        <f>IF(OR(INDEX($V$2:$V$1001,MATCH(ROWS($U$2:U967),$U$2:$U$1001,0),1)&gt;=100000,INDEX($AB$1005:$AQ$1005,1,MATCH(COLUMNS($AB$1006:AB1006),$AB$1006:$AQ$1006,0))&gt;=100000), " ",IF(INDEX($AB$2:$AQ$1001,MATCH(ROWS($U$2:U967),$U$2:$U$1001,0),MATCH(COLUMNS($AB$1006:AB1006),$AB$1006:$AQ$1006,0)), HYPERLINK("#",""), HYPERLINK(CONCATENATE("#Metadata!", ADDRESS(INDEX($W$2:$W$1001,MATCH(ROWS($U$2:U967),$U$2:$U$1001,0),0), INDEX($AB$1004:$AQ$1004,1,MATCH(COLUMNS($AB$1006:AB1006),$AB$1006:$AQ$1006,0)))),"Fix")))</f>
        <v>0</v>
      </c>
      <c r="C967" s="5">
        <f>IF(OR(INDEX($V$2:$V$1001,MATCH(ROWS($U$2:U967),$U$2:$U$1001,0),1)&gt;=100000,INDEX($AB$1005:$AQ$1005,1,MATCH(COLUMNS($AB$1006:AC1006),$AB$1006:$AQ$1006,0))&gt;=100000), " ",IF(INDEX($AB$2:$AQ$1001,MATCH(ROWS($U$2:U967),$U$2:$U$1001,0),MATCH(COLUMNS($AB$1006:AC1006),$AB$1006:$AQ$1006,0)), HYPERLINK("#",""), HYPERLINK(CONCATENATE("#Metadata!", ADDRESS(INDEX($W$2:$W$1001,MATCH(ROWS($U$2:U967),$U$2:$U$1001,0),0), INDEX($AB$1004:$AQ$1004,1,MATCH(COLUMNS($AB$1006:AC1006),$AB$1006:$AQ$1006,0)))),"Fix")))</f>
        <v>0</v>
      </c>
      <c r="D967" s="5">
        <f>IF(OR(INDEX($V$2:$V$1001,MATCH(ROWS($U$2:U967),$U$2:$U$1001,0),1)&gt;=100000,INDEX($AB$1005:$AQ$1005,1,MATCH(COLUMNS($AB$1006:AD1006),$AB$1006:$AQ$1006,0))&gt;=100000), " ",IF(INDEX($AB$2:$AQ$1001,MATCH(ROWS($U$2:U967),$U$2:$U$1001,0),MATCH(COLUMNS($AB$1006:AD1006),$AB$1006:$AQ$1006,0)), HYPERLINK("#",""), HYPERLINK(CONCATENATE("#Metadata!", ADDRESS(INDEX($W$2:$W$1001,MATCH(ROWS($U$2:U967),$U$2:$U$1001,0),0), INDEX($AB$1004:$AQ$1004,1,MATCH(COLUMNS($AB$1006:AD1006),$AB$1006:$AQ$1006,0)))),"Fix")))</f>
        <v>0</v>
      </c>
      <c r="E967" s="5">
        <f>IF(OR(INDEX($V$2:$V$1001,MATCH(ROWS($U$2:U967),$U$2:$U$1001,0),1)&gt;=100000,INDEX($AB$1005:$AQ$1005,1,MATCH(COLUMNS($AB$1006:AE1006),$AB$1006:$AQ$1006,0))&gt;=100000), " ",IF(INDEX($AB$2:$AQ$1001,MATCH(ROWS($U$2:U967),$U$2:$U$1001,0),MATCH(COLUMNS($AB$1006:AE1006),$AB$1006:$AQ$1006,0)), HYPERLINK("#",""), HYPERLINK(CONCATENATE("#Metadata!", ADDRESS(INDEX($W$2:$W$1001,MATCH(ROWS($U$2:U967),$U$2:$U$1001,0),0), INDEX($AB$1004:$AQ$1004,1,MATCH(COLUMNS($AB$1006:AE1006),$AB$1006:$AQ$1006,0)))),"Fix")))</f>
        <v>0</v>
      </c>
      <c r="F967" s="5">
        <f>IF(OR(INDEX($V$2:$V$1001,MATCH(ROWS($U$2:U967),$U$2:$U$1001,0),1)&gt;=100000,INDEX($AB$1005:$AQ$1005,1,MATCH(COLUMNS($AB$1006:AF1006),$AB$1006:$AQ$1006,0))&gt;=100000), " ",IF(INDEX($AB$2:$AQ$1001,MATCH(ROWS($U$2:U967),$U$2:$U$1001,0),MATCH(COLUMNS($AB$1006:AF1006),$AB$1006:$AQ$1006,0)), HYPERLINK("#",""), HYPERLINK(CONCATENATE("#Metadata!", ADDRESS(INDEX($W$2:$W$1001,MATCH(ROWS($U$2:U967),$U$2:$U$1001,0),0), INDEX($AB$1004:$AQ$1004,1,MATCH(COLUMNS($AB$1006:AF1006),$AB$1006:$AQ$1006,0)))),"Fix")))</f>
        <v>0</v>
      </c>
      <c r="G967" s="5">
        <f>IF(OR(INDEX($V$2:$V$1001,MATCH(ROWS($U$2:U967),$U$2:$U$1001,0),1)&gt;=100000,INDEX($AB$1005:$AQ$1005,1,MATCH(COLUMNS($AB$1006:AG1006),$AB$1006:$AQ$1006,0))&gt;=100000), " ",IF(INDEX($AB$2:$AQ$1001,MATCH(ROWS($U$2:U967),$U$2:$U$1001,0),MATCH(COLUMNS($AB$1006:AG1006),$AB$1006:$AQ$1006,0)), HYPERLINK("#",""), HYPERLINK(CONCATENATE("#Metadata!", ADDRESS(INDEX($W$2:$W$1001,MATCH(ROWS($U$2:U967),$U$2:$U$1001,0),0), INDEX($AB$1004:$AQ$1004,1,MATCH(COLUMNS($AB$1006:AG1006),$AB$1006:$AQ$1006,0)))),"Fix")))</f>
        <v>0</v>
      </c>
      <c r="H967" s="5">
        <f>IF(OR(INDEX($V$2:$V$1001,MATCH(ROWS($U$2:U967),$U$2:$U$1001,0),1)&gt;=100000,INDEX($AB$1005:$AQ$1005,1,MATCH(COLUMNS($AB$1006:AH1006),$AB$1006:$AQ$1006,0))&gt;=100000), " ",IF(INDEX($AB$2:$AQ$1001,MATCH(ROWS($U$2:U967),$U$2:$U$1001,0),MATCH(COLUMNS($AB$1006:AH1006),$AB$1006:$AQ$1006,0)), HYPERLINK("#",""), HYPERLINK(CONCATENATE("#Metadata!", ADDRESS(INDEX($W$2:$W$1001,MATCH(ROWS($U$2:U967),$U$2:$U$1001,0),0), INDEX($AB$1004:$AQ$1004,1,MATCH(COLUMNS($AB$1006:AH1006),$AB$1006:$AQ$1006,0)))),"Fix")))</f>
        <v>0</v>
      </c>
      <c r="I967" s="5">
        <f>IF(OR(INDEX($V$2:$V$1001,MATCH(ROWS($U$2:U967),$U$2:$U$1001,0),1)&gt;=100000,INDEX($AB$1005:$AQ$1005,1,MATCH(COLUMNS($AB$1006:AI1006),$AB$1006:$AQ$1006,0))&gt;=100000), " ",IF(INDEX($AB$2:$AQ$1001,MATCH(ROWS($U$2:U967),$U$2:$U$1001,0),MATCH(COLUMNS($AB$1006:AI1006),$AB$1006:$AQ$1006,0)), HYPERLINK("#",""), HYPERLINK(CONCATENATE("#Metadata!", ADDRESS(INDEX($W$2:$W$1001,MATCH(ROWS($U$2:U967),$U$2:$U$1001,0),0), INDEX($AB$1004:$AQ$1004,1,MATCH(COLUMNS($AB$1006:AI1006),$AB$1006:$AQ$1006,0)))),"Fix")))</f>
        <v>0</v>
      </c>
      <c r="J967" s="5">
        <f>IF(OR(INDEX($V$2:$V$1001,MATCH(ROWS($U$2:U967),$U$2:$U$1001,0),1)&gt;=100000,INDEX($AB$1005:$AQ$1005,1,MATCH(COLUMNS($AB$1006:AJ1006),$AB$1006:$AQ$1006,0))&gt;=100000), " ",IF(INDEX($AB$2:$AQ$1001,MATCH(ROWS($U$2:U967),$U$2:$U$1001,0),MATCH(COLUMNS($AB$1006:AJ1006),$AB$1006:$AQ$1006,0)), HYPERLINK("#",""), HYPERLINK(CONCATENATE("#Metadata!", ADDRESS(INDEX($W$2:$W$1001,MATCH(ROWS($U$2:U967),$U$2:$U$1001,0),0), INDEX($AB$1004:$AQ$1004,1,MATCH(COLUMNS($AB$1006:AJ1006),$AB$1006:$AQ$1006,0)))),"Fix")))</f>
        <v>0</v>
      </c>
      <c r="K967" s="5">
        <f>IF(OR(INDEX($V$2:$V$1001,MATCH(ROWS($U$2:U967),$U$2:$U$1001,0),1)&gt;=100000,INDEX($AB$1005:$AQ$1005,1,MATCH(COLUMNS($AB$1006:AK1006),$AB$1006:$AQ$1006,0))&gt;=100000), " ",IF(INDEX($AB$2:$AQ$1001,MATCH(ROWS($U$2:U967),$U$2:$U$1001,0),MATCH(COLUMNS($AB$1006:AK1006),$AB$1006:$AQ$1006,0)), HYPERLINK("#",""), HYPERLINK(CONCATENATE("#Metadata!", ADDRESS(INDEX($W$2:$W$1001,MATCH(ROWS($U$2:U967),$U$2:$U$1001,0),0), INDEX($AB$1004:$AQ$1004,1,MATCH(COLUMNS($AB$1006:AK1006),$AB$1006:$AQ$1006,0)))),"Fix")))</f>
        <v>0</v>
      </c>
      <c r="L967" s="5">
        <f>IF(OR(INDEX($V$2:$V$1001,MATCH(ROWS($U$2:U967),$U$2:$U$1001,0),1)&gt;=100000,INDEX($AB$1005:$AQ$1005,1,MATCH(COLUMNS($AB$1006:AL1006),$AB$1006:$AQ$1006,0))&gt;=100000), " ",IF(INDEX($AB$2:$AQ$1001,MATCH(ROWS($U$2:U967),$U$2:$U$1001,0),MATCH(COLUMNS($AB$1006:AL1006),$AB$1006:$AQ$1006,0)), HYPERLINK("#",""), HYPERLINK(CONCATENATE("#Metadata!", ADDRESS(INDEX($W$2:$W$1001,MATCH(ROWS($U$2:U967),$U$2:$U$1001,0),0), INDEX($AB$1004:$AQ$1004,1,MATCH(COLUMNS($AB$1006:AL1006),$AB$1006:$AQ$1006,0)))),"Fix")))</f>
        <v>0</v>
      </c>
      <c r="M967" s="5">
        <f>IF(OR(INDEX($V$2:$V$1001,MATCH(ROWS($U$2:U967),$U$2:$U$1001,0),1)&gt;=100000,INDEX($AB$1005:$AQ$1005,1,MATCH(COLUMNS($AB$1006:AM1006),$AB$1006:$AQ$1006,0))&gt;=100000), " ",IF(INDEX($AB$2:$AQ$1001,MATCH(ROWS($U$2:U967),$U$2:$U$1001,0),MATCH(COLUMNS($AB$1006:AM1006),$AB$1006:$AQ$1006,0)), HYPERLINK("#",""), HYPERLINK(CONCATENATE("#Metadata!", ADDRESS(INDEX($W$2:$W$1001,MATCH(ROWS($U$2:U967),$U$2:$U$1001,0),0), INDEX($AB$1004:$AQ$1004,1,MATCH(COLUMNS($AB$1006:AM1006),$AB$1006:$AQ$1006,0)))),"Fix")))</f>
        <v>0</v>
      </c>
      <c r="N967" s="5">
        <f>IF(OR(INDEX($V$2:$V$1001,MATCH(ROWS($U$2:U967),$U$2:$U$1001,0),1)&gt;=100000,INDEX($AB$1005:$AQ$1005,1,MATCH(COLUMNS($AB$1006:AN1006),$AB$1006:$AQ$1006,0))&gt;=100000), " ",IF(INDEX($AB$2:$AQ$1001,MATCH(ROWS($U$2:U967),$U$2:$U$1001,0),MATCH(COLUMNS($AB$1006:AN1006),$AB$1006:$AQ$1006,0)), HYPERLINK("#",""), HYPERLINK(CONCATENATE("#Metadata!", ADDRESS(INDEX($W$2:$W$1001,MATCH(ROWS($U$2:U967),$U$2:$U$1001,0),0), INDEX($AB$1004:$AQ$1004,1,MATCH(COLUMNS($AB$1006:AN1006),$AB$1006:$AQ$1006,0)))),"Fix")))</f>
        <v>0</v>
      </c>
      <c r="O967" s="5">
        <f>IF(OR(INDEX($V$2:$V$1001,MATCH(ROWS($U$2:U967),$U$2:$U$1001,0),1)&gt;=100000,INDEX($AB$1005:$AQ$1005,1,MATCH(COLUMNS($AB$1006:AO1006),$AB$1006:$AQ$1006,0))&gt;=100000), " ",IF(INDEX($AB$2:$AQ$1001,MATCH(ROWS($U$2:U967),$U$2:$U$1001,0),MATCH(COLUMNS($AB$1006:AO1006),$AB$1006:$AQ$1006,0)), HYPERLINK("#",""), HYPERLINK(CONCATENATE("#Metadata!", ADDRESS(INDEX($W$2:$W$1001,MATCH(ROWS($U$2:U967),$U$2:$U$1001,0),0), INDEX($AB$1004:$AQ$1004,1,MATCH(COLUMNS($AB$1006:AO1006),$AB$1006:$AQ$1006,0)))),"Fix")))</f>
        <v>0</v>
      </c>
      <c r="P967" s="5">
        <f>IF(OR(INDEX($V$2:$V$1001,MATCH(ROWS($U$2:U967),$U$2:$U$1001,0),1)&gt;=100000,INDEX($AB$1005:$AQ$1005,1,MATCH(COLUMNS($AB$1006:AP1006),$AB$1006:$AQ$1006,0))&gt;=100000), " ",IF(INDEX($AB$2:$AQ$1001,MATCH(ROWS($U$2:U967),$U$2:$U$1001,0),MATCH(COLUMNS($AB$1006:AP1006),$AB$1006:$AQ$1006,0)), HYPERLINK("#",""), HYPERLINK(CONCATENATE("#Metadata!", ADDRESS(INDEX($W$2:$W$1001,MATCH(ROWS($U$2:U967),$U$2:$U$1001,0),0), INDEX($AB$1004:$AQ$1004,1,MATCH(COLUMNS($AB$1006:AP1006),$AB$1006:$AQ$1006,0)))),"Fix")))</f>
        <v>0</v>
      </c>
      <c r="Q967" s="5">
        <f>IF(OR(INDEX($V$2:$V$1001,MATCH(ROWS($U$2:U967),$U$2:$U$1001,0),1)&gt;=100000,INDEX($AB$1005:$AQ$1005,1,MATCH(COLUMNS($AB$1006:AQ1006),$AB$1006:$AQ$1006,0))&gt;=100000), " ",IF(INDEX($AB$2:$AQ$1001,MATCH(ROWS($U$2:U967),$U$2:$U$1001,0),MATCH(COLUMNS($AB$1006:AQ1006),$AB$1006:$AQ$1006,0)), HYPERLINK("#",""), HYPERLINK(CONCATENATE("#Metadata!", ADDRESS(INDEX($W$2:$W$1001,MATCH(ROWS($U$2:U967),$U$2:$U$1001,0),0), INDEX($AB$1004:$AQ$1004,1,MATCH(COLUMNS($AB$1006:AQ1006),$AB$1006:$AQ$1006,0)))),"Fix")))</f>
        <v>0</v>
      </c>
      <c r="U967">
        <v>0</v>
      </c>
      <c r="V967">
        <v>0</v>
      </c>
      <c r="W967">
        <v>0</v>
      </c>
      <c r="X967">
        <f>IF(Y967,TRUE,AND(AB967:AQ967))</f>
        <v>0</v>
      </c>
      <c r="Y967">
        <f>COUNTBLANK(Metadata!B967:Q967)=COLUMNS(Metadata!B967:Q967)</f>
        <v>0</v>
      </c>
      <c r="Z967">
        <v>0</v>
      </c>
      <c r="AB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AC967">
        <f>AND(IF(Metadata!C967="",FALSE,TRUE),exact(Metadata!C967,"urban biome"))</f>
        <v>0</v>
      </c>
      <c r="AD967">
        <f>AND(IF(Metadata!D967="",FALSE,TRUE),exact(Metadata!D967,"human-associated habitat"))</f>
        <v>0</v>
      </c>
      <c r="AE967">
        <f>AND(IF(Metadata!E967="",FALSE,TRUE),OR(exact(Metadata!E967,"human-associated"),exact(Metadata!E967,"human-skin"),exact(Metadata!E967,"human-oral"),exact(Metadata!E967,"human-gut"),exact(Metadata!E967,"human-vaginal")))</f>
        <v>0</v>
      </c>
      <c r="AF967">
        <f>AND(IF(Metadata!F967="",FALSE,ISNUMBER(VALUE(Metadata!F967))),Metadata!F967&gt;0)</f>
        <v>0</v>
      </c>
      <c r="AG967">
        <f>AND(IF(Metadata!G967="",FALSE,TRUE),exact(Metadata!G967,"years"))</f>
        <v>0</v>
      </c>
      <c r="AH967">
        <f>OR(AND(IF(Metadata!H967="",FALSE,TRUE),OR(exact(Metadata!H967,"not applicable"),exact(Metadata!H967,"not collected"),exact(Metadata!H967,"not provided"),exact(Metadata!H967,"restricted access"))),AND(IF(Metadata!H967="",FALSE,ISNUMBER(VALUE(Metadata!H967))),Metadata!H967&gt;0))</f>
        <v>0</v>
      </c>
      <c r="AI967">
        <f>AND(IF(Metadata!I967="",FALSE,TRUE),exact(Metadata!I967,"human"))</f>
        <v>0</v>
      </c>
      <c r="AJ967">
        <f>AND(IF(Metadata!J967="",FALSE,ISNUMBER(VALUE(Metadata!J967))),Metadata!J967&gt;0)</f>
        <v>0</v>
      </c>
      <c r="AK967">
        <f>AND(IF(Metadata!K967="",FALSE,TRUE),exact(Metadata!K967,"cm"))</f>
        <v>0</v>
      </c>
      <c r="AL967">
        <f>AND(IF(Metadata!L967="",FALSE,TRUE),exact(Metadata!L967,"Homo sapiens"))</f>
        <v>0</v>
      </c>
      <c r="AM967">
        <f>AND(IF(Metadata!M967="",FALSE,TRUE),exact(Metadata!M967,"9606"))</f>
        <v>0</v>
      </c>
      <c r="AN967">
        <f>AND(IF(Metadata!N967="",FALSE,ISNUMBER(VALUE(Metadata!N967))),Metadata!N967&gt;0)</f>
        <v>0</v>
      </c>
      <c r="AO967">
        <f>AND(IF(Metadata!O967="",FALSE,TRUE),exact(Metadata!O967,"kg"))</f>
        <v>0</v>
      </c>
      <c r="AP967">
        <f>OR(AND(IF(Metadata!P967="",FALSE,TRUE),exact(Metadata!P967,"not provided")),IF(Metadata!P967="",FALSE,TRUE))</f>
        <v>0</v>
      </c>
      <c r="AQ967">
        <f>OR(AND(IF(Metadata!Q967="",FALSE,TRUE),exact(Metadata!Q967,"not provided")),IF(Metadata!Q967="",FALSE,TRUE))</f>
        <v>0</v>
      </c>
    </row>
    <row r="968" spans="1:43">
      <c r="A968" s="4">
        <f>IF(B968=" "," ",HYPERLINK(CONCATENATE("#metadata!",ADDRESS(INDEX($W$2:$W$1001,MATCH(ROWS($U$2:U968),$U$2:$U$1001,0),0),2)),INDEX($Z$2:$Z$1001,MATCH(ROWS($U$2:U968),$U$2:$U$1001,0),0)))</f>
        <v>0</v>
      </c>
      <c r="B968" s="5">
        <f>IF(OR(INDEX($V$2:$V$1001,MATCH(ROWS($U$2:U968),$U$2:$U$1001,0),1)&gt;=100000,INDEX($AB$1005:$AQ$1005,1,MATCH(COLUMNS($AB$1006:AB1006),$AB$1006:$AQ$1006,0))&gt;=100000), " ",IF(INDEX($AB$2:$AQ$1001,MATCH(ROWS($U$2:U968),$U$2:$U$1001,0),MATCH(COLUMNS($AB$1006:AB1006),$AB$1006:$AQ$1006,0)), HYPERLINK("#",""), HYPERLINK(CONCATENATE("#Metadata!", ADDRESS(INDEX($W$2:$W$1001,MATCH(ROWS($U$2:U968),$U$2:$U$1001,0),0), INDEX($AB$1004:$AQ$1004,1,MATCH(COLUMNS($AB$1006:AB1006),$AB$1006:$AQ$1006,0)))),"Fix")))</f>
        <v>0</v>
      </c>
      <c r="C968" s="5">
        <f>IF(OR(INDEX($V$2:$V$1001,MATCH(ROWS($U$2:U968),$U$2:$U$1001,0),1)&gt;=100000,INDEX($AB$1005:$AQ$1005,1,MATCH(COLUMNS($AB$1006:AC1006),$AB$1006:$AQ$1006,0))&gt;=100000), " ",IF(INDEX($AB$2:$AQ$1001,MATCH(ROWS($U$2:U968),$U$2:$U$1001,0),MATCH(COLUMNS($AB$1006:AC1006),$AB$1006:$AQ$1006,0)), HYPERLINK("#",""), HYPERLINK(CONCATENATE("#Metadata!", ADDRESS(INDEX($W$2:$W$1001,MATCH(ROWS($U$2:U968),$U$2:$U$1001,0),0), INDEX($AB$1004:$AQ$1004,1,MATCH(COLUMNS($AB$1006:AC1006),$AB$1006:$AQ$1006,0)))),"Fix")))</f>
        <v>0</v>
      </c>
      <c r="D968" s="5">
        <f>IF(OR(INDEX($V$2:$V$1001,MATCH(ROWS($U$2:U968),$U$2:$U$1001,0),1)&gt;=100000,INDEX($AB$1005:$AQ$1005,1,MATCH(COLUMNS($AB$1006:AD1006),$AB$1006:$AQ$1006,0))&gt;=100000), " ",IF(INDEX($AB$2:$AQ$1001,MATCH(ROWS($U$2:U968),$U$2:$U$1001,0),MATCH(COLUMNS($AB$1006:AD1006),$AB$1006:$AQ$1006,0)), HYPERLINK("#",""), HYPERLINK(CONCATENATE("#Metadata!", ADDRESS(INDEX($W$2:$W$1001,MATCH(ROWS($U$2:U968),$U$2:$U$1001,0),0), INDEX($AB$1004:$AQ$1004,1,MATCH(COLUMNS($AB$1006:AD1006),$AB$1006:$AQ$1006,0)))),"Fix")))</f>
        <v>0</v>
      </c>
      <c r="E968" s="5">
        <f>IF(OR(INDEX($V$2:$V$1001,MATCH(ROWS($U$2:U968),$U$2:$U$1001,0),1)&gt;=100000,INDEX($AB$1005:$AQ$1005,1,MATCH(COLUMNS($AB$1006:AE1006),$AB$1006:$AQ$1006,0))&gt;=100000), " ",IF(INDEX($AB$2:$AQ$1001,MATCH(ROWS($U$2:U968),$U$2:$U$1001,0),MATCH(COLUMNS($AB$1006:AE1006),$AB$1006:$AQ$1006,0)), HYPERLINK("#",""), HYPERLINK(CONCATENATE("#Metadata!", ADDRESS(INDEX($W$2:$W$1001,MATCH(ROWS($U$2:U968),$U$2:$U$1001,0),0), INDEX($AB$1004:$AQ$1004,1,MATCH(COLUMNS($AB$1006:AE1006),$AB$1006:$AQ$1006,0)))),"Fix")))</f>
        <v>0</v>
      </c>
      <c r="F968" s="5">
        <f>IF(OR(INDEX($V$2:$V$1001,MATCH(ROWS($U$2:U968),$U$2:$U$1001,0),1)&gt;=100000,INDEX($AB$1005:$AQ$1005,1,MATCH(COLUMNS($AB$1006:AF1006),$AB$1006:$AQ$1006,0))&gt;=100000), " ",IF(INDEX($AB$2:$AQ$1001,MATCH(ROWS($U$2:U968),$U$2:$U$1001,0),MATCH(COLUMNS($AB$1006:AF1006),$AB$1006:$AQ$1006,0)), HYPERLINK("#",""), HYPERLINK(CONCATENATE("#Metadata!", ADDRESS(INDEX($W$2:$W$1001,MATCH(ROWS($U$2:U968),$U$2:$U$1001,0),0), INDEX($AB$1004:$AQ$1004,1,MATCH(COLUMNS($AB$1006:AF1006),$AB$1006:$AQ$1006,0)))),"Fix")))</f>
        <v>0</v>
      </c>
      <c r="G968" s="5">
        <f>IF(OR(INDEX($V$2:$V$1001,MATCH(ROWS($U$2:U968),$U$2:$U$1001,0),1)&gt;=100000,INDEX($AB$1005:$AQ$1005,1,MATCH(COLUMNS($AB$1006:AG1006),$AB$1006:$AQ$1006,0))&gt;=100000), " ",IF(INDEX($AB$2:$AQ$1001,MATCH(ROWS($U$2:U968),$U$2:$U$1001,0),MATCH(COLUMNS($AB$1006:AG1006),$AB$1006:$AQ$1006,0)), HYPERLINK("#",""), HYPERLINK(CONCATENATE("#Metadata!", ADDRESS(INDEX($W$2:$W$1001,MATCH(ROWS($U$2:U968),$U$2:$U$1001,0),0), INDEX($AB$1004:$AQ$1004,1,MATCH(COLUMNS($AB$1006:AG1006),$AB$1006:$AQ$1006,0)))),"Fix")))</f>
        <v>0</v>
      </c>
      <c r="H968" s="5">
        <f>IF(OR(INDEX($V$2:$V$1001,MATCH(ROWS($U$2:U968),$U$2:$U$1001,0),1)&gt;=100000,INDEX($AB$1005:$AQ$1005,1,MATCH(COLUMNS($AB$1006:AH1006),$AB$1006:$AQ$1006,0))&gt;=100000), " ",IF(INDEX($AB$2:$AQ$1001,MATCH(ROWS($U$2:U968),$U$2:$U$1001,0),MATCH(COLUMNS($AB$1006:AH1006),$AB$1006:$AQ$1006,0)), HYPERLINK("#",""), HYPERLINK(CONCATENATE("#Metadata!", ADDRESS(INDEX($W$2:$W$1001,MATCH(ROWS($U$2:U968),$U$2:$U$1001,0),0), INDEX($AB$1004:$AQ$1004,1,MATCH(COLUMNS($AB$1006:AH1006),$AB$1006:$AQ$1006,0)))),"Fix")))</f>
        <v>0</v>
      </c>
      <c r="I968" s="5">
        <f>IF(OR(INDEX($V$2:$V$1001,MATCH(ROWS($U$2:U968),$U$2:$U$1001,0),1)&gt;=100000,INDEX($AB$1005:$AQ$1005,1,MATCH(COLUMNS($AB$1006:AI1006),$AB$1006:$AQ$1006,0))&gt;=100000), " ",IF(INDEX($AB$2:$AQ$1001,MATCH(ROWS($U$2:U968),$U$2:$U$1001,0),MATCH(COLUMNS($AB$1006:AI1006),$AB$1006:$AQ$1006,0)), HYPERLINK("#",""), HYPERLINK(CONCATENATE("#Metadata!", ADDRESS(INDEX($W$2:$W$1001,MATCH(ROWS($U$2:U968),$U$2:$U$1001,0),0), INDEX($AB$1004:$AQ$1004,1,MATCH(COLUMNS($AB$1006:AI1006),$AB$1006:$AQ$1006,0)))),"Fix")))</f>
        <v>0</v>
      </c>
      <c r="J968" s="5">
        <f>IF(OR(INDEX($V$2:$V$1001,MATCH(ROWS($U$2:U968),$U$2:$U$1001,0),1)&gt;=100000,INDEX($AB$1005:$AQ$1005,1,MATCH(COLUMNS($AB$1006:AJ1006),$AB$1006:$AQ$1006,0))&gt;=100000), " ",IF(INDEX($AB$2:$AQ$1001,MATCH(ROWS($U$2:U968),$U$2:$U$1001,0),MATCH(COLUMNS($AB$1006:AJ1006),$AB$1006:$AQ$1006,0)), HYPERLINK("#",""), HYPERLINK(CONCATENATE("#Metadata!", ADDRESS(INDEX($W$2:$W$1001,MATCH(ROWS($U$2:U968),$U$2:$U$1001,0),0), INDEX($AB$1004:$AQ$1004,1,MATCH(COLUMNS($AB$1006:AJ1006),$AB$1006:$AQ$1006,0)))),"Fix")))</f>
        <v>0</v>
      </c>
      <c r="K968" s="5">
        <f>IF(OR(INDEX($V$2:$V$1001,MATCH(ROWS($U$2:U968),$U$2:$U$1001,0),1)&gt;=100000,INDEX($AB$1005:$AQ$1005,1,MATCH(COLUMNS($AB$1006:AK1006),$AB$1006:$AQ$1006,0))&gt;=100000), " ",IF(INDEX($AB$2:$AQ$1001,MATCH(ROWS($U$2:U968),$U$2:$U$1001,0),MATCH(COLUMNS($AB$1006:AK1006),$AB$1006:$AQ$1006,0)), HYPERLINK("#",""), HYPERLINK(CONCATENATE("#Metadata!", ADDRESS(INDEX($W$2:$W$1001,MATCH(ROWS($U$2:U968),$U$2:$U$1001,0),0), INDEX($AB$1004:$AQ$1004,1,MATCH(COLUMNS($AB$1006:AK1006),$AB$1006:$AQ$1006,0)))),"Fix")))</f>
        <v>0</v>
      </c>
      <c r="L968" s="5">
        <f>IF(OR(INDEX($V$2:$V$1001,MATCH(ROWS($U$2:U968),$U$2:$U$1001,0),1)&gt;=100000,INDEX($AB$1005:$AQ$1005,1,MATCH(COLUMNS($AB$1006:AL1006),$AB$1006:$AQ$1006,0))&gt;=100000), " ",IF(INDEX($AB$2:$AQ$1001,MATCH(ROWS($U$2:U968),$U$2:$U$1001,0),MATCH(COLUMNS($AB$1006:AL1006),$AB$1006:$AQ$1006,0)), HYPERLINK("#",""), HYPERLINK(CONCATENATE("#Metadata!", ADDRESS(INDEX($W$2:$W$1001,MATCH(ROWS($U$2:U968),$U$2:$U$1001,0),0), INDEX($AB$1004:$AQ$1004,1,MATCH(COLUMNS($AB$1006:AL1006),$AB$1006:$AQ$1006,0)))),"Fix")))</f>
        <v>0</v>
      </c>
      <c r="M968" s="5">
        <f>IF(OR(INDEX($V$2:$V$1001,MATCH(ROWS($U$2:U968),$U$2:$U$1001,0),1)&gt;=100000,INDEX($AB$1005:$AQ$1005,1,MATCH(COLUMNS($AB$1006:AM1006),$AB$1006:$AQ$1006,0))&gt;=100000), " ",IF(INDEX($AB$2:$AQ$1001,MATCH(ROWS($U$2:U968),$U$2:$U$1001,0),MATCH(COLUMNS($AB$1006:AM1006),$AB$1006:$AQ$1006,0)), HYPERLINK("#",""), HYPERLINK(CONCATENATE("#Metadata!", ADDRESS(INDEX($W$2:$W$1001,MATCH(ROWS($U$2:U968),$U$2:$U$1001,0),0), INDEX($AB$1004:$AQ$1004,1,MATCH(COLUMNS($AB$1006:AM1006),$AB$1006:$AQ$1006,0)))),"Fix")))</f>
        <v>0</v>
      </c>
      <c r="N968" s="5">
        <f>IF(OR(INDEX($V$2:$V$1001,MATCH(ROWS($U$2:U968),$U$2:$U$1001,0),1)&gt;=100000,INDEX($AB$1005:$AQ$1005,1,MATCH(COLUMNS($AB$1006:AN1006),$AB$1006:$AQ$1006,0))&gt;=100000), " ",IF(INDEX($AB$2:$AQ$1001,MATCH(ROWS($U$2:U968),$U$2:$U$1001,0),MATCH(COLUMNS($AB$1006:AN1006),$AB$1006:$AQ$1006,0)), HYPERLINK("#",""), HYPERLINK(CONCATENATE("#Metadata!", ADDRESS(INDEX($W$2:$W$1001,MATCH(ROWS($U$2:U968),$U$2:$U$1001,0),0), INDEX($AB$1004:$AQ$1004,1,MATCH(COLUMNS($AB$1006:AN1006),$AB$1006:$AQ$1006,0)))),"Fix")))</f>
        <v>0</v>
      </c>
      <c r="O968" s="5">
        <f>IF(OR(INDEX($V$2:$V$1001,MATCH(ROWS($U$2:U968),$U$2:$U$1001,0),1)&gt;=100000,INDEX($AB$1005:$AQ$1005,1,MATCH(COLUMNS($AB$1006:AO1006),$AB$1006:$AQ$1006,0))&gt;=100000), " ",IF(INDEX($AB$2:$AQ$1001,MATCH(ROWS($U$2:U968),$U$2:$U$1001,0),MATCH(COLUMNS($AB$1006:AO1006),$AB$1006:$AQ$1006,0)), HYPERLINK("#",""), HYPERLINK(CONCATENATE("#Metadata!", ADDRESS(INDEX($W$2:$W$1001,MATCH(ROWS($U$2:U968),$U$2:$U$1001,0),0), INDEX($AB$1004:$AQ$1004,1,MATCH(COLUMNS($AB$1006:AO1006),$AB$1006:$AQ$1006,0)))),"Fix")))</f>
        <v>0</v>
      </c>
      <c r="P968" s="5">
        <f>IF(OR(INDEX($V$2:$V$1001,MATCH(ROWS($U$2:U968),$U$2:$U$1001,0),1)&gt;=100000,INDEX($AB$1005:$AQ$1005,1,MATCH(COLUMNS($AB$1006:AP1006),$AB$1006:$AQ$1006,0))&gt;=100000), " ",IF(INDEX($AB$2:$AQ$1001,MATCH(ROWS($U$2:U968),$U$2:$U$1001,0),MATCH(COLUMNS($AB$1006:AP1006),$AB$1006:$AQ$1006,0)), HYPERLINK("#",""), HYPERLINK(CONCATENATE("#Metadata!", ADDRESS(INDEX($W$2:$W$1001,MATCH(ROWS($U$2:U968),$U$2:$U$1001,0),0), INDEX($AB$1004:$AQ$1004,1,MATCH(COLUMNS($AB$1006:AP1006),$AB$1006:$AQ$1006,0)))),"Fix")))</f>
        <v>0</v>
      </c>
      <c r="Q968" s="5">
        <f>IF(OR(INDEX($V$2:$V$1001,MATCH(ROWS($U$2:U968),$U$2:$U$1001,0),1)&gt;=100000,INDEX($AB$1005:$AQ$1005,1,MATCH(COLUMNS($AB$1006:AQ1006),$AB$1006:$AQ$1006,0))&gt;=100000), " ",IF(INDEX($AB$2:$AQ$1001,MATCH(ROWS($U$2:U968),$U$2:$U$1001,0),MATCH(COLUMNS($AB$1006:AQ1006),$AB$1006:$AQ$1006,0)), HYPERLINK("#",""), HYPERLINK(CONCATENATE("#Metadata!", ADDRESS(INDEX($W$2:$W$1001,MATCH(ROWS($U$2:U968),$U$2:$U$1001,0),0), INDEX($AB$1004:$AQ$1004,1,MATCH(COLUMNS($AB$1006:AQ1006),$AB$1006:$AQ$1006,0)))),"Fix")))</f>
        <v>0</v>
      </c>
      <c r="U968">
        <v>0</v>
      </c>
      <c r="V968">
        <v>0</v>
      </c>
      <c r="W968">
        <v>0</v>
      </c>
      <c r="X968">
        <f>IF(Y968,TRUE,AND(AB968:AQ968))</f>
        <v>0</v>
      </c>
      <c r="Y968">
        <f>COUNTBLANK(Metadata!B968:Q968)=COLUMNS(Metadata!B968:Q968)</f>
        <v>0</v>
      </c>
      <c r="Z968">
        <v>0</v>
      </c>
      <c r="AB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AC968">
        <f>AND(IF(Metadata!C968="",FALSE,TRUE),exact(Metadata!C968,"urban biome"))</f>
        <v>0</v>
      </c>
      <c r="AD968">
        <f>AND(IF(Metadata!D968="",FALSE,TRUE),exact(Metadata!D968,"human-associated habitat"))</f>
        <v>0</v>
      </c>
      <c r="AE968">
        <f>AND(IF(Metadata!E968="",FALSE,TRUE),OR(exact(Metadata!E968,"human-associated"),exact(Metadata!E968,"human-skin"),exact(Metadata!E968,"human-oral"),exact(Metadata!E968,"human-gut"),exact(Metadata!E968,"human-vaginal")))</f>
        <v>0</v>
      </c>
      <c r="AF968">
        <f>AND(IF(Metadata!F968="",FALSE,ISNUMBER(VALUE(Metadata!F968))),Metadata!F968&gt;0)</f>
        <v>0</v>
      </c>
      <c r="AG968">
        <f>AND(IF(Metadata!G968="",FALSE,TRUE),exact(Metadata!G968,"years"))</f>
        <v>0</v>
      </c>
      <c r="AH968">
        <f>OR(AND(IF(Metadata!H968="",FALSE,TRUE),OR(exact(Metadata!H968,"not applicable"),exact(Metadata!H968,"not collected"),exact(Metadata!H968,"not provided"),exact(Metadata!H968,"restricted access"))),AND(IF(Metadata!H968="",FALSE,ISNUMBER(VALUE(Metadata!H968))),Metadata!H968&gt;0))</f>
        <v>0</v>
      </c>
      <c r="AI968">
        <f>AND(IF(Metadata!I968="",FALSE,TRUE),exact(Metadata!I968,"human"))</f>
        <v>0</v>
      </c>
      <c r="AJ968">
        <f>AND(IF(Metadata!J968="",FALSE,ISNUMBER(VALUE(Metadata!J968))),Metadata!J968&gt;0)</f>
        <v>0</v>
      </c>
      <c r="AK968">
        <f>AND(IF(Metadata!K968="",FALSE,TRUE),exact(Metadata!K968,"cm"))</f>
        <v>0</v>
      </c>
      <c r="AL968">
        <f>AND(IF(Metadata!L968="",FALSE,TRUE),exact(Metadata!L968,"Homo sapiens"))</f>
        <v>0</v>
      </c>
      <c r="AM968">
        <f>AND(IF(Metadata!M968="",FALSE,TRUE),exact(Metadata!M968,"9606"))</f>
        <v>0</v>
      </c>
      <c r="AN968">
        <f>AND(IF(Metadata!N968="",FALSE,ISNUMBER(VALUE(Metadata!N968))),Metadata!N968&gt;0)</f>
        <v>0</v>
      </c>
      <c r="AO968">
        <f>AND(IF(Metadata!O968="",FALSE,TRUE),exact(Metadata!O968,"kg"))</f>
        <v>0</v>
      </c>
      <c r="AP968">
        <f>OR(AND(IF(Metadata!P968="",FALSE,TRUE),exact(Metadata!P968,"not provided")),IF(Metadata!P968="",FALSE,TRUE))</f>
        <v>0</v>
      </c>
      <c r="AQ968">
        <f>OR(AND(IF(Metadata!Q968="",FALSE,TRUE),exact(Metadata!Q968,"not provided")),IF(Metadata!Q968="",FALSE,TRUE))</f>
        <v>0</v>
      </c>
    </row>
    <row r="969" spans="1:43">
      <c r="A969" s="4">
        <f>IF(B969=" "," ",HYPERLINK(CONCATENATE("#metadata!",ADDRESS(INDEX($W$2:$W$1001,MATCH(ROWS($U$2:U969),$U$2:$U$1001,0),0),2)),INDEX($Z$2:$Z$1001,MATCH(ROWS($U$2:U969),$U$2:$U$1001,0),0)))</f>
        <v>0</v>
      </c>
      <c r="B969" s="5">
        <f>IF(OR(INDEX($V$2:$V$1001,MATCH(ROWS($U$2:U969),$U$2:$U$1001,0),1)&gt;=100000,INDEX($AB$1005:$AQ$1005,1,MATCH(COLUMNS($AB$1006:AB1006),$AB$1006:$AQ$1006,0))&gt;=100000), " ",IF(INDEX($AB$2:$AQ$1001,MATCH(ROWS($U$2:U969),$U$2:$U$1001,0),MATCH(COLUMNS($AB$1006:AB1006),$AB$1006:$AQ$1006,0)), HYPERLINK("#",""), HYPERLINK(CONCATENATE("#Metadata!", ADDRESS(INDEX($W$2:$W$1001,MATCH(ROWS($U$2:U969),$U$2:$U$1001,0),0), INDEX($AB$1004:$AQ$1004,1,MATCH(COLUMNS($AB$1006:AB1006),$AB$1006:$AQ$1006,0)))),"Fix")))</f>
        <v>0</v>
      </c>
      <c r="C969" s="5">
        <f>IF(OR(INDEX($V$2:$V$1001,MATCH(ROWS($U$2:U969),$U$2:$U$1001,0),1)&gt;=100000,INDEX($AB$1005:$AQ$1005,1,MATCH(COLUMNS($AB$1006:AC1006),$AB$1006:$AQ$1006,0))&gt;=100000), " ",IF(INDEX($AB$2:$AQ$1001,MATCH(ROWS($U$2:U969),$U$2:$U$1001,0),MATCH(COLUMNS($AB$1006:AC1006),$AB$1006:$AQ$1006,0)), HYPERLINK("#",""), HYPERLINK(CONCATENATE("#Metadata!", ADDRESS(INDEX($W$2:$W$1001,MATCH(ROWS($U$2:U969),$U$2:$U$1001,0),0), INDEX($AB$1004:$AQ$1004,1,MATCH(COLUMNS($AB$1006:AC1006),$AB$1006:$AQ$1006,0)))),"Fix")))</f>
        <v>0</v>
      </c>
      <c r="D969" s="5">
        <f>IF(OR(INDEX($V$2:$V$1001,MATCH(ROWS($U$2:U969),$U$2:$U$1001,0),1)&gt;=100000,INDEX($AB$1005:$AQ$1005,1,MATCH(COLUMNS($AB$1006:AD1006),$AB$1006:$AQ$1006,0))&gt;=100000), " ",IF(INDEX($AB$2:$AQ$1001,MATCH(ROWS($U$2:U969),$U$2:$U$1001,0),MATCH(COLUMNS($AB$1006:AD1006),$AB$1006:$AQ$1006,0)), HYPERLINK("#",""), HYPERLINK(CONCATENATE("#Metadata!", ADDRESS(INDEX($W$2:$W$1001,MATCH(ROWS($U$2:U969),$U$2:$U$1001,0),0), INDEX($AB$1004:$AQ$1004,1,MATCH(COLUMNS($AB$1006:AD1006),$AB$1006:$AQ$1006,0)))),"Fix")))</f>
        <v>0</v>
      </c>
      <c r="E969" s="5">
        <f>IF(OR(INDEX($V$2:$V$1001,MATCH(ROWS($U$2:U969),$U$2:$U$1001,0),1)&gt;=100000,INDEX($AB$1005:$AQ$1005,1,MATCH(COLUMNS($AB$1006:AE1006),$AB$1006:$AQ$1006,0))&gt;=100000), " ",IF(INDEX($AB$2:$AQ$1001,MATCH(ROWS($U$2:U969),$U$2:$U$1001,0),MATCH(COLUMNS($AB$1006:AE1006),$AB$1006:$AQ$1006,0)), HYPERLINK("#",""), HYPERLINK(CONCATENATE("#Metadata!", ADDRESS(INDEX($W$2:$W$1001,MATCH(ROWS($U$2:U969),$U$2:$U$1001,0),0), INDEX($AB$1004:$AQ$1004,1,MATCH(COLUMNS($AB$1006:AE1006),$AB$1006:$AQ$1006,0)))),"Fix")))</f>
        <v>0</v>
      </c>
      <c r="F969" s="5">
        <f>IF(OR(INDEX($V$2:$V$1001,MATCH(ROWS($U$2:U969),$U$2:$U$1001,0),1)&gt;=100000,INDEX($AB$1005:$AQ$1005,1,MATCH(COLUMNS($AB$1006:AF1006),$AB$1006:$AQ$1006,0))&gt;=100000), " ",IF(INDEX($AB$2:$AQ$1001,MATCH(ROWS($U$2:U969),$U$2:$U$1001,0),MATCH(COLUMNS($AB$1006:AF1006),$AB$1006:$AQ$1006,0)), HYPERLINK("#",""), HYPERLINK(CONCATENATE("#Metadata!", ADDRESS(INDEX($W$2:$W$1001,MATCH(ROWS($U$2:U969),$U$2:$U$1001,0),0), INDEX($AB$1004:$AQ$1004,1,MATCH(COLUMNS($AB$1006:AF1006),$AB$1006:$AQ$1006,0)))),"Fix")))</f>
        <v>0</v>
      </c>
      <c r="G969" s="5">
        <f>IF(OR(INDEX($V$2:$V$1001,MATCH(ROWS($U$2:U969),$U$2:$U$1001,0),1)&gt;=100000,INDEX($AB$1005:$AQ$1005,1,MATCH(COLUMNS($AB$1006:AG1006),$AB$1006:$AQ$1006,0))&gt;=100000), " ",IF(INDEX($AB$2:$AQ$1001,MATCH(ROWS($U$2:U969),$U$2:$U$1001,0),MATCH(COLUMNS($AB$1006:AG1006),$AB$1006:$AQ$1006,0)), HYPERLINK("#",""), HYPERLINK(CONCATENATE("#Metadata!", ADDRESS(INDEX($W$2:$W$1001,MATCH(ROWS($U$2:U969),$U$2:$U$1001,0),0), INDEX($AB$1004:$AQ$1004,1,MATCH(COLUMNS($AB$1006:AG1006),$AB$1006:$AQ$1006,0)))),"Fix")))</f>
        <v>0</v>
      </c>
      <c r="H969" s="5">
        <f>IF(OR(INDEX($V$2:$V$1001,MATCH(ROWS($U$2:U969),$U$2:$U$1001,0),1)&gt;=100000,INDEX($AB$1005:$AQ$1005,1,MATCH(COLUMNS($AB$1006:AH1006),$AB$1006:$AQ$1006,0))&gt;=100000), " ",IF(INDEX($AB$2:$AQ$1001,MATCH(ROWS($U$2:U969),$U$2:$U$1001,0),MATCH(COLUMNS($AB$1006:AH1006),$AB$1006:$AQ$1006,0)), HYPERLINK("#",""), HYPERLINK(CONCATENATE("#Metadata!", ADDRESS(INDEX($W$2:$W$1001,MATCH(ROWS($U$2:U969),$U$2:$U$1001,0),0), INDEX($AB$1004:$AQ$1004,1,MATCH(COLUMNS($AB$1006:AH1006),$AB$1006:$AQ$1006,0)))),"Fix")))</f>
        <v>0</v>
      </c>
      <c r="I969" s="5">
        <f>IF(OR(INDEX($V$2:$V$1001,MATCH(ROWS($U$2:U969),$U$2:$U$1001,0),1)&gt;=100000,INDEX($AB$1005:$AQ$1005,1,MATCH(COLUMNS($AB$1006:AI1006),$AB$1006:$AQ$1006,0))&gt;=100000), " ",IF(INDEX($AB$2:$AQ$1001,MATCH(ROWS($U$2:U969),$U$2:$U$1001,0),MATCH(COLUMNS($AB$1006:AI1006),$AB$1006:$AQ$1006,0)), HYPERLINK("#",""), HYPERLINK(CONCATENATE("#Metadata!", ADDRESS(INDEX($W$2:$W$1001,MATCH(ROWS($U$2:U969),$U$2:$U$1001,0),0), INDEX($AB$1004:$AQ$1004,1,MATCH(COLUMNS($AB$1006:AI1006),$AB$1006:$AQ$1006,0)))),"Fix")))</f>
        <v>0</v>
      </c>
      <c r="J969" s="5">
        <f>IF(OR(INDEX($V$2:$V$1001,MATCH(ROWS($U$2:U969),$U$2:$U$1001,0),1)&gt;=100000,INDEX($AB$1005:$AQ$1005,1,MATCH(COLUMNS($AB$1006:AJ1006),$AB$1006:$AQ$1006,0))&gt;=100000), " ",IF(INDEX($AB$2:$AQ$1001,MATCH(ROWS($U$2:U969),$U$2:$U$1001,0),MATCH(COLUMNS($AB$1006:AJ1006),$AB$1006:$AQ$1006,0)), HYPERLINK("#",""), HYPERLINK(CONCATENATE("#Metadata!", ADDRESS(INDEX($W$2:$W$1001,MATCH(ROWS($U$2:U969),$U$2:$U$1001,0),0), INDEX($AB$1004:$AQ$1004,1,MATCH(COLUMNS($AB$1006:AJ1006),$AB$1006:$AQ$1006,0)))),"Fix")))</f>
        <v>0</v>
      </c>
      <c r="K969" s="5">
        <f>IF(OR(INDEX($V$2:$V$1001,MATCH(ROWS($U$2:U969),$U$2:$U$1001,0),1)&gt;=100000,INDEX($AB$1005:$AQ$1005,1,MATCH(COLUMNS($AB$1006:AK1006),$AB$1006:$AQ$1006,0))&gt;=100000), " ",IF(INDEX($AB$2:$AQ$1001,MATCH(ROWS($U$2:U969),$U$2:$U$1001,0),MATCH(COLUMNS($AB$1006:AK1006),$AB$1006:$AQ$1006,0)), HYPERLINK("#",""), HYPERLINK(CONCATENATE("#Metadata!", ADDRESS(INDEX($W$2:$W$1001,MATCH(ROWS($U$2:U969),$U$2:$U$1001,0),0), INDEX($AB$1004:$AQ$1004,1,MATCH(COLUMNS($AB$1006:AK1006),$AB$1006:$AQ$1006,0)))),"Fix")))</f>
        <v>0</v>
      </c>
      <c r="L969" s="5">
        <f>IF(OR(INDEX($V$2:$V$1001,MATCH(ROWS($U$2:U969),$U$2:$U$1001,0),1)&gt;=100000,INDEX($AB$1005:$AQ$1005,1,MATCH(COLUMNS($AB$1006:AL1006),$AB$1006:$AQ$1006,0))&gt;=100000), " ",IF(INDEX($AB$2:$AQ$1001,MATCH(ROWS($U$2:U969),$U$2:$U$1001,0),MATCH(COLUMNS($AB$1006:AL1006),$AB$1006:$AQ$1006,0)), HYPERLINK("#",""), HYPERLINK(CONCATENATE("#Metadata!", ADDRESS(INDEX($W$2:$W$1001,MATCH(ROWS($U$2:U969),$U$2:$U$1001,0),0), INDEX($AB$1004:$AQ$1004,1,MATCH(COLUMNS($AB$1006:AL1006),$AB$1006:$AQ$1006,0)))),"Fix")))</f>
        <v>0</v>
      </c>
      <c r="M969" s="5">
        <f>IF(OR(INDEX($V$2:$V$1001,MATCH(ROWS($U$2:U969),$U$2:$U$1001,0),1)&gt;=100000,INDEX($AB$1005:$AQ$1005,1,MATCH(COLUMNS($AB$1006:AM1006),$AB$1006:$AQ$1006,0))&gt;=100000), " ",IF(INDEX($AB$2:$AQ$1001,MATCH(ROWS($U$2:U969),$U$2:$U$1001,0),MATCH(COLUMNS($AB$1006:AM1006),$AB$1006:$AQ$1006,0)), HYPERLINK("#",""), HYPERLINK(CONCATENATE("#Metadata!", ADDRESS(INDEX($W$2:$W$1001,MATCH(ROWS($U$2:U969),$U$2:$U$1001,0),0), INDEX($AB$1004:$AQ$1004,1,MATCH(COLUMNS($AB$1006:AM1006),$AB$1006:$AQ$1006,0)))),"Fix")))</f>
        <v>0</v>
      </c>
      <c r="N969" s="5">
        <f>IF(OR(INDEX($V$2:$V$1001,MATCH(ROWS($U$2:U969),$U$2:$U$1001,0),1)&gt;=100000,INDEX($AB$1005:$AQ$1005,1,MATCH(COLUMNS($AB$1006:AN1006),$AB$1006:$AQ$1006,0))&gt;=100000), " ",IF(INDEX($AB$2:$AQ$1001,MATCH(ROWS($U$2:U969),$U$2:$U$1001,0),MATCH(COLUMNS($AB$1006:AN1006),$AB$1006:$AQ$1006,0)), HYPERLINK("#",""), HYPERLINK(CONCATENATE("#Metadata!", ADDRESS(INDEX($W$2:$W$1001,MATCH(ROWS($U$2:U969),$U$2:$U$1001,0),0), INDEX($AB$1004:$AQ$1004,1,MATCH(COLUMNS($AB$1006:AN1006),$AB$1006:$AQ$1006,0)))),"Fix")))</f>
        <v>0</v>
      </c>
      <c r="O969" s="5">
        <f>IF(OR(INDEX($V$2:$V$1001,MATCH(ROWS($U$2:U969),$U$2:$U$1001,0),1)&gt;=100000,INDEX($AB$1005:$AQ$1005,1,MATCH(COLUMNS($AB$1006:AO1006),$AB$1006:$AQ$1006,0))&gt;=100000), " ",IF(INDEX($AB$2:$AQ$1001,MATCH(ROWS($U$2:U969),$U$2:$U$1001,0),MATCH(COLUMNS($AB$1006:AO1006),$AB$1006:$AQ$1006,0)), HYPERLINK("#",""), HYPERLINK(CONCATENATE("#Metadata!", ADDRESS(INDEX($W$2:$W$1001,MATCH(ROWS($U$2:U969),$U$2:$U$1001,0),0), INDEX($AB$1004:$AQ$1004,1,MATCH(COLUMNS($AB$1006:AO1006),$AB$1006:$AQ$1006,0)))),"Fix")))</f>
        <v>0</v>
      </c>
      <c r="P969" s="5">
        <f>IF(OR(INDEX($V$2:$V$1001,MATCH(ROWS($U$2:U969),$U$2:$U$1001,0),1)&gt;=100000,INDEX($AB$1005:$AQ$1005,1,MATCH(COLUMNS($AB$1006:AP1006),$AB$1006:$AQ$1006,0))&gt;=100000), " ",IF(INDEX($AB$2:$AQ$1001,MATCH(ROWS($U$2:U969),$U$2:$U$1001,0),MATCH(COLUMNS($AB$1006:AP1006),$AB$1006:$AQ$1006,0)), HYPERLINK("#",""), HYPERLINK(CONCATENATE("#Metadata!", ADDRESS(INDEX($W$2:$W$1001,MATCH(ROWS($U$2:U969),$U$2:$U$1001,0),0), INDEX($AB$1004:$AQ$1004,1,MATCH(COLUMNS($AB$1006:AP1006),$AB$1006:$AQ$1006,0)))),"Fix")))</f>
        <v>0</v>
      </c>
      <c r="Q969" s="5">
        <f>IF(OR(INDEX($V$2:$V$1001,MATCH(ROWS($U$2:U969),$U$2:$U$1001,0),1)&gt;=100000,INDEX($AB$1005:$AQ$1005,1,MATCH(COLUMNS($AB$1006:AQ1006),$AB$1006:$AQ$1006,0))&gt;=100000), " ",IF(INDEX($AB$2:$AQ$1001,MATCH(ROWS($U$2:U969),$U$2:$U$1001,0),MATCH(COLUMNS($AB$1006:AQ1006),$AB$1006:$AQ$1006,0)), HYPERLINK("#",""), HYPERLINK(CONCATENATE("#Metadata!", ADDRESS(INDEX($W$2:$W$1001,MATCH(ROWS($U$2:U969),$U$2:$U$1001,0),0), INDEX($AB$1004:$AQ$1004,1,MATCH(COLUMNS($AB$1006:AQ1006),$AB$1006:$AQ$1006,0)))),"Fix")))</f>
        <v>0</v>
      </c>
      <c r="U969">
        <v>0</v>
      </c>
      <c r="V969">
        <v>0</v>
      </c>
      <c r="W969">
        <v>0</v>
      </c>
      <c r="X969">
        <f>IF(Y969,TRUE,AND(AB969:AQ969))</f>
        <v>0</v>
      </c>
      <c r="Y969">
        <f>COUNTBLANK(Metadata!B969:Q969)=COLUMNS(Metadata!B969:Q969)</f>
        <v>0</v>
      </c>
      <c r="Z969">
        <v>0</v>
      </c>
      <c r="AB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AC969">
        <f>AND(IF(Metadata!C969="",FALSE,TRUE),exact(Metadata!C969,"urban biome"))</f>
        <v>0</v>
      </c>
      <c r="AD969">
        <f>AND(IF(Metadata!D969="",FALSE,TRUE),exact(Metadata!D969,"human-associated habitat"))</f>
        <v>0</v>
      </c>
      <c r="AE969">
        <f>AND(IF(Metadata!E969="",FALSE,TRUE),OR(exact(Metadata!E969,"human-associated"),exact(Metadata!E969,"human-skin"),exact(Metadata!E969,"human-oral"),exact(Metadata!E969,"human-gut"),exact(Metadata!E969,"human-vaginal")))</f>
        <v>0</v>
      </c>
      <c r="AF969">
        <f>AND(IF(Metadata!F969="",FALSE,ISNUMBER(VALUE(Metadata!F969))),Metadata!F969&gt;0)</f>
        <v>0</v>
      </c>
      <c r="AG969">
        <f>AND(IF(Metadata!G969="",FALSE,TRUE),exact(Metadata!G969,"years"))</f>
        <v>0</v>
      </c>
      <c r="AH969">
        <f>OR(AND(IF(Metadata!H969="",FALSE,TRUE),OR(exact(Metadata!H969,"not applicable"),exact(Metadata!H969,"not collected"),exact(Metadata!H969,"not provided"),exact(Metadata!H969,"restricted access"))),AND(IF(Metadata!H969="",FALSE,ISNUMBER(VALUE(Metadata!H969))),Metadata!H969&gt;0))</f>
        <v>0</v>
      </c>
      <c r="AI969">
        <f>AND(IF(Metadata!I969="",FALSE,TRUE),exact(Metadata!I969,"human"))</f>
        <v>0</v>
      </c>
      <c r="AJ969">
        <f>AND(IF(Metadata!J969="",FALSE,ISNUMBER(VALUE(Metadata!J969))),Metadata!J969&gt;0)</f>
        <v>0</v>
      </c>
      <c r="AK969">
        <f>AND(IF(Metadata!K969="",FALSE,TRUE),exact(Metadata!K969,"cm"))</f>
        <v>0</v>
      </c>
      <c r="AL969">
        <f>AND(IF(Metadata!L969="",FALSE,TRUE),exact(Metadata!L969,"Homo sapiens"))</f>
        <v>0</v>
      </c>
      <c r="AM969">
        <f>AND(IF(Metadata!M969="",FALSE,TRUE),exact(Metadata!M969,"9606"))</f>
        <v>0</v>
      </c>
      <c r="AN969">
        <f>AND(IF(Metadata!N969="",FALSE,ISNUMBER(VALUE(Metadata!N969))),Metadata!N969&gt;0)</f>
        <v>0</v>
      </c>
      <c r="AO969">
        <f>AND(IF(Metadata!O969="",FALSE,TRUE),exact(Metadata!O969,"kg"))</f>
        <v>0</v>
      </c>
      <c r="AP969">
        <f>OR(AND(IF(Metadata!P969="",FALSE,TRUE),exact(Metadata!P969,"not provided")),IF(Metadata!P969="",FALSE,TRUE))</f>
        <v>0</v>
      </c>
      <c r="AQ969">
        <f>OR(AND(IF(Metadata!Q969="",FALSE,TRUE),exact(Metadata!Q969,"not provided")),IF(Metadata!Q969="",FALSE,TRUE))</f>
        <v>0</v>
      </c>
    </row>
    <row r="970" spans="1:43">
      <c r="A970" s="4">
        <f>IF(B970=" "," ",HYPERLINK(CONCATENATE("#metadata!",ADDRESS(INDEX($W$2:$W$1001,MATCH(ROWS($U$2:U970),$U$2:$U$1001,0),0),2)),INDEX($Z$2:$Z$1001,MATCH(ROWS($U$2:U970),$U$2:$U$1001,0),0)))</f>
        <v>0</v>
      </c>
      <c r="B970" s="5">
        <f>IF(OR(INDEX($V$2:$V$1001,MATCH(ROWS($U$2:U970),$U$2:$U$1001,0),1)&gt;=100000,INDEX($AB$1005:$AQ$1005,1,MATCH(COLUMNS($AB$1006:AB1006),$AB$1006:$AQ$1006,0))&gt;=100000), " ",IF(INDEX($AB$2:$AQ$1001,MATCH(ROWS($U$2:U970),$U$2:$U$1001,0),MATCH(COLUMNS($AB$1006:AB1006),$AB$1006:$AQ$1006,0)), HYPERLINK("#",""), HYPERLINK(CONCATENATE("#Metadata!", ADDRESS(INDEX($W$2:$W$1001,MATCH(ROWS($U$2:U970),$U$2:$U$1001,0),0), INDEX($AB$1004:$AQ$1004,1,MATCH(COLUMNS($AB$1006:AB1006),$AB$1006:$AQ$1006,0)))),"Fix")))</f>
        <v>0</v>
      </c>
      <c r="C970" s="5">
        <f>IF(OR(INDEX($V$2:$V$1001,MATCH(ROWS($U$2:U970),$U$2:$U$1001,0),1)&gt;=100000,INDEX($AB$1005:$AQ$1005,1,MATCH(COLUMNS($AB$1006:AC1006),$AB$1006:$AQ$1006,0))&gt;=100000), " ",IF(INDEX($AB$2:$AQ$1001,MATCH(ROWS($U$2:U970),$U$2:$U$1001,0),MATCH(COLUMNS($AB$1006:AC1006),$AB$1006:$AQ$1006,0)), HYPERLINK("#",""), HYPERLINK(CONCATENATE("#Metadata!", ADDRESS(INDEX($W$2:$W$1001,MATCH(ROWS($U$2:U970),$U$2:$U$1001,0),0), INDEX($AB$1004:$AQ$1004,1,MATCH(COLUMNS($AB$1006:AC1006),$AB$1006:$AQ$1006,0)))),"Fix")))</f>
        <v>0</v>
      </c>
      <c r="D970" s="5">
        <f>IF(OR(INDEX($V$2:$V$1001,MATCH(ROWS($U$2:U970),$U$2:$U$1001,0),1)&gt;=100000,INDEX($AB$1005:$AQ$1005,1,MATCH(COLUMNS($AB$1006:AD1006),$AB$1006:$AQ$1006,0))&gt;=100000), " ",IF(INDEX($AB$2:$AQ$1001,MATCH(ROWS($U$2:U970),$U$2:$U$1001,0),MATCH(COLUMNS($AB$1006:AD1006),$AB$1006:$AQ$1006,0)), HYPERLINK("#",""), HYPERLINK(CONCATENATE("#Metadata!", ADDRESS(INDEX($W$2:$W$1001,MATCH(ROWS($U$2:U970),$U$2:$U$1001,0),0), INDEX($AB$1004:$AQ$1004,1,MATCH(COLUMNS($AB$1006:AD1006),$AB$1006:$AQ$1006,0)))),"Fix")))</f>
        <v>0</v>
      </c>
      <c r="E970" s="5">
        <f>IF(OR(INDEX($V$2:$V$1001,MATCH(ROWS($U$2:U970),$U$2:$U$1001,0),1)&gt;=100000,INDEX($AB$1005:$AQ$1005,1,MATCH(COLUMNS($AB$1006:AE1006),$AB$1006:$AQ$1006,0))&gt;=100000), " ",IF(INDEX($AB$2:$AQ$1001,MATCH(ROWS($U$2:U970),$U$2:$U$1001,0),MATCH(COLUMNS($AB$1006:AE1006),$AB$1006:$AQ$1006,0)), HYPERLINK("#",""), HYPERLINK(CONCATENATE("#Metadata!", ADDRESS(INDEX($W$2:$W$1001,MATCH(ROWS($U$2:U970),$U$2:$U$1001,0),0), INDEX($AB$1004:$AQ$1004,1,MATCH(COLUMNS($AB$1006:AE1006),$AB$1006:$AQ$1006,0)))),"Fix")))</f>
        <v>0</v>
      </c>
      <c r="F970" s="5">
        <f>IF(OR(INDEX($V$2:$V$1001,MATCH(ROWS($U$2:U970),$U$2:$U$1001,0),1)&gt;=100000,INDEX($AB$1005:$AQ$1005,1,MATCH(COLUMNS($AB$1006:AF1006),$AB$1006:$AQ$1006,0))&gt;=100000), " ",IF(INDEX($AB$2:$AQ$1001,MATCH(ROWS($U$2:U970),$U$2:$U$1001,0),MATCH(COLUMNS($AB$1006:AF1006),$AB$1006:$AQ$1006,0)), HYPERLINK("#",""), HYPERLINK(CONCATENATE("#Metadata!", ADDRESS(INDEX($W$2:$W$1001,MATCH(ROWS($U$2:U970),$U$2:$U$1001,0),0), INDEX($AB$1004:$AQ$1004,1,MATCH(COLUMNS($AB$1006:AF1006),$AB$1006:$AQ$1006,0)))),"Fix")))</f>
        <v>0</v>
      </c>
      <c r="G970" s="5">
        <f>IF(OR(INDEX($V$2:$V$1001,MATCH(ROWS($U$2:U970),$U$2:$U$1001,0),1)&gt;=100000,INDEX($AB$1005:$AQ$1005,1,MATCH(COLUMNS($AB$1006:AG1006),$AB$1006:$AQ$1006,0))&gt;=100000), " ",IF(INDEX($AB$2:$AQ$1001,MATCH(ROWS($U$2:U970),$U$2:$U$1001,0),MATCH(COLUMNS($AB$1006:AG1006),$AB$1006:$AQ$1006,0)), HYPERLINK("#",""), HYPERLINK(CONCATENATE("#Metadata!", ADDRESS(INDEX($W$2:$W$1001,MATCH(ROWS($U$2:U970),$U$2:$U$1001,0),0), INDEX($AB$1004:$AQ$1004,1,MATCH(COLUMNS($AB$1006:AG1006),$AB$1006:$AQ$1006,0)))),"Fix")))</f>
        <v>0</v>
      </c>
      <c r="H970" s="5">
        <f>IF(OR(INDEX($V$2:$V$1001,MATCH(ROWS($U$2:U970),$U$2:$U$1001,0),1)&gt;=100000,INDEX($AB$1005:$AQ$1005,1,MATCH(COLUMNS($AB$1006:AH1006),$AB$1006:$AQ$1006,0))&gt;=100000), " ",IF(INDEX($AB$2:$AQ$1001,MATCH(ROWS($U$2:U970),$U$2:$U$1001,0),MATCH(COLUMNS($AB$1006:AH1006),$AB$1006:$AQ$1006,0)), HYPERLINK("#",""), HYPERLINK(CONCATENATE("#Metadata!", ADDRESS(INDEX($W$2:$W$1001,MATCH(ROWS($U$2:U970),$U$2:$U$1001,0),0), INDEX($AB$1004:$AQ$1004,1,MATCH(COLUMNS($AB$1006:AH1006),$AB$1006:$AQ$1006,0)))),"Fix")))</f>
        <v>0</v>
      </c>
      <c r="I970" s="5">
        <f>IF(OR(INDEX($V$2:$V$1001,MATCH(ROWS($U$2:U970),$U$2:$U$1001,0),1)&gt;=100000,INDEX($AB$1005:$AQ$1005,1,MATCH(COLUMNS($AB$1006:AI1006),$AB$1006:$AQ$1006,0))&gt;=100000), " ",IF(INDEX($AB$2:$AQ$1001,MATCH(ROWS($U$2:U970),$U$2:$U$1001,0),MATCH(COLUMNS($AB$1006:AI1006),$AB$1006:$AQ$1006,0)), HYPERLINK("#",""), HYPERLINK(CONCATENATE("#Metadata!", ADDRESS(INDEX($W$2:$W$1001,MATCH(ROWS($U$2:U970),$U$2:$U$1001,0),0), INDEX($AB$1004:$AQ$1004,1,MATCH(COLUMNS($AB$1006:AI1006),$AB$1006:$AQ$1006,0)))),"Fix")))</f>
        <v>0</v>
      </c>
      <c r="J970" s="5">
        <f>IF(OR(INDEX($V$2:$V$1001,MATCH(ROWS($U$2:U970),$U$2:$U$1001,0),1)&gt;=100000,INDEX($AB$1005:$AQ$1005,1,MATCH(COLUMNS($AB$1006:AJ1006),$AB$1006:$AQ$1006,0))&gt;=100000), " ",IF(INDEX($AB$2:$AQ$1001,MATCH(ROWS($U$2:U970),$U$2:$U$1001,0),MATCH(COLUMNS($AB$1006:AJ1006),$AB$1006:$AQ$1006,0)), HYPERLINK("#",""), HYPERLINK(CONCATENATE("#Metadata!", ADDRESS(INDEX($W$2:$W$1001,MATCH(ROWS($U$2:U970),$U$2:$U$1001,0),0), INDEX($AB$1004:$AQ$1004,1,MATCH(COLUMNS($AB$1006:AJ1006),$AB$1006:$AQ$1006,0)))),"Fix")))</f>
        <v>0</v>
      </c>
      <c r="K970" s="5">
        <f>IF(OR(INDEX($V$2:$V$1001,MATCH(ROWS($U$2:U970),$U$2:$U$1001,0),1)&gt;=100000,INDEX($AB$1005:$AQ$1005,1,MATCH(COLUMNS($AB$1006:AK1006),$AB$1006:$AQ$1006,0))&gt;=100000), " ",IF(INDEX($AB$2:$AQ$1001,MATCH(ROWS($U$2:U970),$U$2:$U$1001,0),MATCH(COLUMNS($AB$1006:AK1006),$AB$1006:$AQ$1006,0)), HYPERLINK("#",""), HYPERLINK(CONCATENATE("#Metadata!", ADDRESS(INDEX($W$2:$W$1001,MATCH(ROWS($U$2:U970),$U$2:$U$1001,0),0), INDEX($AB$1004:$AQ$1004,1,MATCH(COLUMNS($AB$1006:AK1006),$AB$1006:$AQ$1006,0)))),"Fix")))</f>
        <v>0</v>
      </c>
      <c r="L970" s="5">
        <f>IF(OR(INDEX($V$2:$V$1001,MATCH(ROWS($U$2:U970),$U$2:$U$1001,0),1)&gt;=100000,INDEX($AB$1005:$AQ$1005,1,MATCH(COLUMNS($AB$1006:AL1006),$AB$1006:$AQ$1006,0))&gt;=100000), " ",IF(INDEX($AB$2:$AQ$1001,MATCH(ROWS($U$2:U970),$U$2:$U$1001,0),MATCH(COLUMNS($AB$1006:AL1006),$AB$1006:$AQ$1006,0)), HYPERLINK("#",""), HYPERLINK(CONCATENATE("#Metadata!", ADDRESS(INDEX($W$2:$W$1001,MATCH(ROWS($U$2:U970),$U$2:$U$1001,0),0), INDEX($AB$1004:$AQ$1004,1,MATCH(COLUMNS($AB$1006:AL1006),$AB$1006:$AQ$1006,0)))),"Fix")))</f>
        <v>0</v>
      </c>
      <c r="M970" s="5">
        <f>IF(OR(INDEX($V$2:$V$1001,MATCH(ROWS($U$2:U970),$U$2:$U$1001,0),1)&gt;=100000,INDEX($AB$1005:$AQ$1005,1,MATCH(COLUMNS($AB$1006:AM1006),$AB$1006:$AQ$1006,0))&gt;=100000), " ",IF(INDEX($AB$2:$AQ$1001,MATCH(ROWS($U$2:U970),$U$2:$U$1001,0),MATCH(COLUMNS($AB$1006:AM1006),$AB$1006:$AQ$1006,0)), HYPERLINK("#",""), HYPERLINK(CONCATENATE("#Metadata!", ADDRESS(INDEX($W$2:$W$1001,MATCH(ROWS($U$2:U970),$U$2:$U$1001,0),0), INDEX($AB$1004:$AQ$1004,1,MATCH(COLUMNS($AB$1006:AM1006),$AB$1006:$AQ$1006,0)))),"Fix")))</f>
        <v>0</v>
      </c>
      <c r="N970" s="5">
        <f>IF(OR(INDEX($V$2:$V$1001,MATCH(ROWS($U$2:U970),$U$2:$U$1001,0),1)&gt;=100000,INDEX($AB$1005:$AQ$1005,1,MATCH(COLUMNS($AB$1006:AN1006),$AB$1006:$AQ$1006,0))&gt;=100000), " ",IF(INDEX($AB$2:$AQ$1001,MATCH(ROWS($U$2:U970),$U$2:$U$1001,0),MATCH(COLUMNS($AB$1006:AN1006),$AB$1006:$AQ$1006,0)), HYPERLINK("#",""), HYPERLINK(CONCATENATE("#Metadata!", ADDRESS(INDEX($W$2:$W$1001,MATCH(ROWS($U$2:U970),$U$2:$U$1001,0),0), INDEX($AB$1004:$AQ$1004,1,MATCH(COLUMNS($AB$1006:AN1006),$AB$1006:$AQ$1006,0)))),"Fix")))</f>
        <v>0</v>
      </c>
      <c r="O970" s="5">
        <f>IF(OR(INDEX($V$2:$V$1001,MATCH(ROWS($U$2:U970),$U$2:$U$1001,0),1)&gt;=100000,INDEX($AB$1005:$AQ$1005,1,MATCH(COLUMNS($AB$1006:AO1006),$AB$1006:$AQ$1006,0))&gt;=100000), " ",IF(INDEX($AB$2:$AQ$1001,MATCH(ROWS($U$2:U970),$U$2:$U$1001,0),MATCH(COLUMNS($AB$1006:AO1006),$AB$1006:$AQ$1006,0)), HYPERLINK("#",""), HYPERLINK(CONCATENATE("#Metadata!", ADDRESS(INDEX($W$2:$W$1001,MATCH(ROWS($U$2:U970),$U$2:$U$1001,0),0), INDEX($AB$1004:$AQ$1004,1,MATCH(COLUMNS($AB$1006:AO1006),$AB$1006:$AQ$1006,0)))),"Fix")))</f>
        <v>0</v>
      </c>
      <c r="P970" s="5">
        <f>IF(OR(INDEX($V$2:$V$1001,MATCH(ROWS($U$2:U970),$U$2:$U$1001,0),1)&gt;=100000,INDEX($AB$1005:$AQ$1005,1,MATCH(COLUMNS($AB$1006:AP1006),$AB$1006:$AQ$1006,0))&gt;=100000), " ",IF(INDEX($AB$2:$AQ$1001,MATCH(ROWS($U$2:U970),$U$2:$U$1001,0),MATCH(COLUMNS($AB$1006:AP1006),$AB$1006:$AQ$1006,0)), HYPERLINK("#",""), HYPERLINK(CONCATENATE("#Metadata!", ADDRESS(INDEX($W$2:$W$1001,MATCH(ROWS($U$2:U970),$U$2:$U$1001,0),0), INDEX($AB$1004:$AQ$1004,1,MATCH(COLUMNS($AB$1006:AP1006),$AB$1006:$AQ$1006,0)))),"Fix")))</f>
        <v>0</v>
      </c>
      <c r="Q970" s="5">
        <f>IF(OR(INDEX($V$2:$V$1001,MATCH(ROWS($U$2:U970),$U$2:$U$1001,0),1)&gt;=100000,INDEX($AB$1005:$AQ$1005,1,MATCH(COLUMNS($AB$1006:AQ1006),$AB$1006:$AQ$1006,0))&gt;=100000), " ",IF(INDEX($AB$2:$AQ$1001,MATCH(ROWS($U$2:U970),$U$2:$U$1001,0),MATCH(COLUMNS($AB$1006:AQ1006),$AB$1006:$AQ$1006,0)), HYPERLINK("#",""), HYPERLINK(CONCATENATE("#Metadata!", ADDRESS(INDEX($W$2:$W$1001,MATCH(ROWS($U$2:U970),$U$2:$U$1001,0),0), INDEX($AB$1004:$AQ$1004,1,MATCH(COLUMNS($AB$1006:AQ1006),$AB$1006:$AQ$1006,0)))),"Fix")))</f>
        <v>0</v>
      </c>
      <c r="U970">
        <v>0</v>
      </c>
      <c r="V970">
        <v>0</v>
      </c>
      <c r="W970">
        <v>0</v>
      </c>
      <c r="X970">
        <f>IF(Y970,TRUE,AND(AB970:AQ970))</f>
        <v>0</v>
      </c>
      <c r="Y970">
        <f>COUNTBLANK(Metadata!B970:Q970)=COLUMNS(Metadata!B970:Q970)</f>
        <v>0</v>
      </c>
      <c r="Z970">
        <v>0</v>
      </c>
      <c r="AB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AC970">
        <f>AND(IF(Metadata!C970="",FALSE,TRUE),exact(Metadata!C970,"urban biome"))</f>
        <v>0</v>
      </c>
      <c r="AD970">
        <f>AND(IF(Metadata!D970="",FALSE,TRUE),exact(Metadata!D970,"human-associated habitat"))</f>
        <v>0</v>
      </c>
      <c r="AE970">
        <f>AND(IF(Metadata!E970="",FALSE,TRUE),OR(exact(Metadata!E970,"human-associated"),exact(Metadata!E970,"human-skin"),exact(Metadata!E970,"human-oral"),exact(Metadata!E970,"human-gut"),exact(Metadata!E970,"human-vaginal")))</f>
        <v>0</v>
      </c>
      <c r="AF970">
        <f>AND(IF(Metadata!F970="",FALSE,ISNUMBER(VALUE(Metadata!F970))),Metadata!F970&gt;0)</f>
        <v>0</v>
      </c>
      <c r="AG970">
        <f>AND(IF(Metadata!G970="",FALSE,TRUE),exact(Metadata!G970,"years"))</f>
        <v>0</v>
      </c>
      <c r="AH970">
        <f>OR(AND(IF(Metadata!H970="",FALSE,TRUE),OR(exact(Metadata!H970,"not applicable"),exact(Metadata!H970,"not collected"),exact(Metadata!H970,"not provided"),exact(Metadata!H970,"restricted access"))),AND(IF(Metadata!H970="",FALSE,ISNUMBER(VALUE(Metadata!H970))),Metadata!H970&gt;0))</f>
        <v>0</v>
      </c>
      <c r="AI970">
        <f>AND(IF(Metadata!I970="",FALSE,TRUE),exact(Metadata!I970,"human"))</f>
        <v>0</v>
      </c>
      <c r="AJ970">
        <f>AND(IF(Metadata!J970="",FALSE,ISNUMBER(VALUE(Metadata!J970))),Metadata!J970&gt;0)</f>
        <v>0</v>
      </c>
      <c r="AK970">
        <f>AND(IF(Metadata!K970="",FALSE,TRUE),exact(Metadata!K970,"cm"))</f>
        <v>0</v>
      </c>
      <c r="AL970">
        <f>AND(IF(Metadata!L970="",FALSE,TRUE),exact(Metadata!L970,"Homo sapiens"))</f>
        <v>0</v>
      </c>
      <c r="AM970">
        <f>AND(IF(Metadata!M970="",FALSE,TRUE),exact(Metadata!M970,"9606"))</f>
        <v>0</v>
      </c>
      <c r="AN970">
        <f>AND(IF(Metadata!N970="",FALSE,ISNUMBER(VALUE(Metadata!N970))),Metadata!N970&gt;0)</f>
        <v>0</v>
      </c>
      <c r="AO970">
        <f>AND(IF(Metadata!O970="",FALSE,TRUE),exact(Metadata!O970,"kg"))</f>
        <v>0</v>
      </c>
      <c r="AP970">
        <f>OR(AND(IF(Metadata!P970="",FALSE,TRUE),exact(Metadata!P970,"not provided")),IF(Metadata!P970="",FALSE,TRUE))</f>
        <v>0</v>
      </c>
      <c r="AQ970">
        <f>OR(AND(IF(Metadata!Q970="",FALSE,TRUE),exact(Metadata!Q970,"not provided")),IF(Metadata!Q970="",FALSE,TRUE))</f>
        <v>0</v>
      </c>
    </row>
    <row r="971" spans="1:43">
      <c r="A971" s="4">
        <f>IF(B971=" "," ",HYPERLINK(CONCATENATE("#metadata!",ADDRESS(INDEX($W$2:$W$1001,MATCH(ROWS($U$2:U971),$U$2:$U$1001,0),0),2)),INDEX($Z$2:$Z$1001,MATCH(ROWS($U$2:U971),$U$2:$U$1001,0),0)))</f>
        <v>0</v>
      </c>
      <c r="B971" s="5">
        <f>IF(OR(INDEX($V$2:$V$1001,MATCH(ROWS($U$2:U971),$U$2:$U$1001,0),1)&gt;=100000,INDEX($AB$1005:$AQ$1005,1,MATCH(COLUMNS($AB$1006:AB1006),$AB$1006:$AQ$1006,0))&gt;=100000), " ",IF(INDEX($AB$2:$AQ$1001,MATCH(ROWS($U$2:U971),$U$2:$U$1001,0),MATCH(COLUMNS($AB$1006:AB1006),$AB$1006:$AQ$1006,0)), HYPERLINK("#",""), HYPERLINK(CONCATENATE("#Metadata!", ADDRESS(INDEX($W$2:$W$1001,MATCH(ROWS($U$2:U971),$U$2:$U$1001,0),0), INDEX($AB$1004:$AQ$1004,1,MATCH(COLUMNS($AB$1006:AB1006),$AB$1006:$AQ$1006,0)))),"Fix")))</f>
        <v>0</v>
      </c>
      <c r="C971" s="5">
        <f>IF(OR(INDEX($V$2:$V$1001,MATCH(ROWS($U$2:U971),$U$2:$U$1001,0),1)&gt;=100000,INDEX($AB$1005:$AQ$1005,1,MATCH(COLUMNS($AB$1006:AC1006),$AB$1006:$AQ$1006,0))&gt;=100000), " ",IF(INDEX($AB$2:$AQ$1001,MATCH(ROWS($U$2:U971),$U$2:$U$1001,0),MATCH(COLUMNS($AB$1006:AC1006),$AB$1006:$AQ$1006,0)), HYPERLINK("#",""), HYPERLINK(CONCATENATE("#Metadata!", ADDRESS(INDEX($W$2:$W$1001,MATCH(ROWS($U$2:U971),$U$2:$U$1001,0),0), INDEX($AB$1004:$AQ$1004,1,MATCH(COLUMNS($AB$1006:AC1006),$AB$1006:$AQ$1006,0)))),"Fix")))</f>
        <v>0</v>
      </c>
      <c r="D971" s="5">
        <f>IF(OR(INDEX($V$2:$V$1001,MATCH(ROWS($U$2:U971),$U$2:$U$1001,0),1)&gt;=100000,INDEX($AB$1005:$AQ$1005,1,MATCH(COLUMNS($AB$1006:AD1006),$AB$1006:$AQ$1006,0))&gt;=100000), " ",IF(INDEX($AB$2:$AQ$1001,MATCH(ROWS($U$2:U971),$U$2:$U$1001,0),MATCH(COLUMNS($AB$1006:AD1006),$AB$1006:$AQ$1006,0)), HYPERLINK("#",""), HYPERLINK(CONCATENATE("#Metadata!", ADDRESS(INDEX($W$2:$W$1001,MATCH(ROWS($U$2:U971),$U$2:$U$1001,0),0), INDEX($AB$1004:$AQ$1004,1,MATCH(COLUMNS($AB$1006:AD1006),$AB$1006:$AQ$1006,0)))),"Fix")))</f>
        <v>0</v>
      </c>
      <c r="E971" s="5">
        <f>IF(OR(INDEX($V$2:$V$1001,MATCH(ROWS($U$2:U971),$U$2:$U$1001,0),1)&gt;=100000,INDEX($AB$1005:$AQ$1005,1,MATCH(COLUMNS($AB$1006:AE1006),$AB$1006:$AQ$1006,0))&gt;=100000), " ",IF(INDEX($AB$2:$AQ$1001,MATCH(ROWS($U$2:U971),$U$2:$U$1001,0),MATCH(COLUMNS($AB$1006:AE1006),$AB$1006:$AQ$1006,0)), HYPERLINK("#",""), HYPERLINK(CONCATENATE("#Metadata!", ADDRESS(INDEX($W$2:$W$1001,MATCH(ROWS($U$2:U971),$U$2:$U$1001,0),0), INDEX($AB$1004:$AQ$1004,1,MATCH(COLUMNS($AB$1006:AE1006),$AB$1006:$AQ$1006,0)))),"Fix")))</f>
        <v>0</v>
      </c>
      <c r="F971" s="5">
        <f>IF(OR(INDEX($V$2:$V$1001,MATCH(ROWS($U$2:U971),$U$2:$U$1001,0),1)&gt;=100000,INDEX($AB$1005:$AQ$1005,1,MATCH(COLUMNS($AB$1006:AF1006),$AB$1006:$AQ$1006,0))&gt;=100000), " ",IF(INDEX($AB$2:$AQ$1001,MATCH(ROWS($U$2:U971),$U$2:$U$1001,0),MATCH(COLUMNS($AB$1006:AF1006),$AB$1006:$AQ$1006,0)), HYPERLINK("#",""), HYPERLINK(CONCATENATE("#Metadata!", ADDRESS(INDEX($W$2:$W$1001,MATCH(ROWS($U$2:U971),$U$2:$U$1001,0),0), INDEX($AB$1004:$AQ$1004,1,MATCH(COLUMNS($AB$1006:AF1006),$AB$1006:$AQ$1006,0)))),"Fix")))</f>
        <v>0</v>
      </c>
      <c r="G971" s="5">
        <f>IF(OR(INDEX($V$2:$V$1001,MATCH(ROWS($U$2:U971),$U$2:$U$1001,0),1)&gt;=100000,INDEX($AB$1005:$AQ$1005,1,MATCH(COLUMNS($AB$1006:AG1006),$AB$1006:$AQ$1006,0))&gt;=100000), " ",IF(INDEX($AB$2:$AQ$1001,MATCH(ROWS($U$2:U971),$U$2:$U$1001,0),MATCH(COLUMNS($AB$1006:AG1006),$AB$1006:$AQ$1006,0)), HYPERLINK("#",""), HYPERLINK(CONCATENATE("#Metadata!", ADDRESS(INDEX($W$2:$W$1001,MATCH(ROWS($U$2:U971),$U$2:$U$1001,0),0), INDEX($AB$1004:$AQ$1004,1,MATCH(COLUMNS($AB$1006:AG1006),$AB$1006:$AQ$1006,0)))),"Fix")))</f>
        <v>0</v>
      </c>
      <c r="H971" s="5">
        <f>IF(OR(INDEX($V$2:$V$1001,MATCH(ROWS($U$2:U971),$U$2:$U$1001,0),1)&gt;=100000,INDEX($AB$1005:$AQ$1005,1,MATCH(COLUMNS($AB$1006:AH1006),$AB$1006:$AQ$1006,0))&gt;=100000), " ",IF(INDEX($AB$2:$AQ$1001,MATCH(ROWS($U$2:U971),$U$2:$U$1001,0),MATCH(COLUMNS($AB$1006:AH1006),$AB$1006:$AQ$1006,0)), HYPERLINK("#",""), HYPERLINK(CONCATENATE("#Metadata!", ADDRESS(INDEX($W$2:$W$1001,MATCH(ROWS($U$2:U971),$U$2:$U$1001,0),0), INDEX($AB$1004:$AQ$1004,1,MATCH(COLUMNS($AB$1006:AH1006),$AB$1006:$AQ$1006,0)))),"Fix")))</f>
        <v>0</v>
      </c>
      <c r="I971" s="5">
        <f>IF(OR(INDEX($V$2:$V$1001,MATCH(ROWS($U$2:U971),$U$2:$U$1001,0),1)&gt;=100000,INDEX($AB$1005:$AQ$1005,1,MATCH(COLUMNS($AB$1006:AI1006),$AB$1006:$AQ$1006,0))&gt;=100000), " ",IF(INDEX($AB$2:$AQ$1001,MATCH(ROWS($U$2:U971),$U$2:$U$1001,0),MATCH(COLUMNS($AB$1006:AI1006),$AB$1006:$AQ$1006,0)), HYPERLINK("#",""), HYPERLINK(CONCATENATE("#Metadata!", ADDRESS(INDEX($W$2:$W$1001,MATCH(ROWS($U$2:U971),$U$2:$U$1001,0),0), INDEX($AB$1004:$AQ$1004,1,MATCH(COLUMNS($AB$1006:AI1006),$AB$1006:$AQ$1006,0)))),"Fix")))</f>
        <v>0</v>
      </c>
      <c r="J971" s="5">
        <f>IF(OR(INDEX($V$2:$V$1001,MATCH(ROWS($U$2:U971),$U$2:$U$1001,0),1)&gt;=100000,INDEX($AB$1005:$AQ$1005,1,MATCH(COLUMNS($AB$1006:AJ1006),$AB$1006:$AQ$1006,0))&gt;=100000), " ",IF(INDEX($AB$2:$AQ$1001,MATCH(ROWS($U$2:U971),$U$2:$U$1001,0),MATCH(COLUMNS($AB$1006:AJ1006),$AB$1006:$AQ$1006,0)), HYPERLINK("#",""), HYPERLINK(CONCATENATE("#Metadata!", ADDRESS(INDEX($W$2:$W$1001,MATCH(ROWS($U$2:U971),$U$2:$U$1001,0),0), INDEX($AB$1004:$AQ$1004,1,MATCH(COLUMNS($AB$1006:AJ1006),$AB$1006:$AQ$1006,0)))),"Fix")))</f>
        <v>0</v>
      </c>
      <c r="K971" s="5">
        <f>IF(OR(INDEX($V$2:$V$1001,MATCH(ROWS($U$2:U971),$U$2:$U$1001,0),1)&gt;=100000,INDEX($AB$1005:$AQ$1005,1,MATCH(COLUMNS($AB$1006:AK1006),$AB$1006:$AQ$1006,0))&gt;=100000), " ",IF(INDEX($AB$2:$AQ$1001,MATCH(ROWS($U$2:U971),$U$2:$U$1001,0),MATCH(COLUMNS($AB$1006:AK1006),$AB$1006:$AQ$1006,0)), HYPERLINK("#",""), HYPERLINK(CONCATENATE("#Metadata!", ADDRESS(INDEX($W$2:$W$1001,MATCH(ROWS($U$2:U971),$U$2:$U$1001,0),0), INDEX($AB$1004:$AQ$1004,1,MATCH(COLUMNS($AB$1006:AK1006),$AB$1006:$AQ$1006,0)))),"Fix")))</f>
        <v>0</v>
      </c>
      <c r="L971" s="5">
        <f>IF(OR(INDEX($V$2:$V$1001,MATCH(ROWS($U$2:U971),$U$2:$U$1001,0),1)&gt;=100000,INDEX($AB$1005:$AQ$1005,1,MATCH(COLUMNS($AB$1006:AL1006),$AB$1006:$AQ$1006,0))&gt;=100000), " ",IF(INDEX($AB$2:$AQ$1001,MATCH(ROWS($U$2:U971),$U$2:$U$1001,0),MATCH(COLUMNS($AB$1006:AL1006),$AB$1006:$AQ$1006,0)), HYPERLINK("#",""), HYPERLINK(CONCATENATE("#Metadata!", ADDRESS(INDEX($W$2:$W$1001,MATCH(ROWS($U$2:U971),$U$2:$U$1001,0),0), INDEX($AB$1004:$AQ$1004,1,MATCH(COLUMNS($AB$1006:AL1006),$AB$1006:$AQ$1006,0)))),"Fix")))</f>
        <v>0</v>
      </c>
      <c r="M971" s="5">
        <f>IF(OR(INDEX($V$2:$V$1001,MATCH(ROWS($U$2:U971),$U$2:$U$1001,0),1)&gt;=100000,INDEX($AB$1005:$AQ$1005,1,MATCH(COLUMNS($AB$1006:AM1006),$AB$1006:$AQ$1006,0))&gt;=100000), " ",IF(INDEX($AB$2:$AQ$1001,MATCH(ROWS($U$2:U971),$U$2:$U$1001,0),MATCH(COLUMNS($AB$1006:AM1006),$AB$1006:$AQ$1006,0)), HYPERLINK("#",""), HYPERLINK(CONCATENATE("#Metadata!", ADDRESS(INDEX($W$2:$W$1001,MATCH(ROWS($U$2:U971),$U$2:$U$1001,0),0), INDEX($AB$1004:$AQ$1004,1,MATCH(COLUMNS($AB$1006:AM1006),$AB$1006:$AQ$1006,0)))),"Fix")))</f>
        <v>0</v>
      </c>
      <c r="N971" s="5">
        <f>IF(OR(INDEX($V$2:$V$1001,MATCH(ROWS($U$2:U971),$U$2:$U$1001,0),1)&gt;=100000,INDEX($AB$1005:$AQ$1005,1,MATCH(COLUMNS($AB$1006:AN1006),$AB$1006:$AQ$1006,0))&gt;=100000), " ",IF(INDEX($AB$2:$AQ$1001,MATCH(ROWS($U$2:U971),$U$2:$U$1001,0),MATCH(COLUMNS($AB$1006:AN1006),$AB$1006:$AQ$1006,0)), HYPERLINK("#",""), HYPERLINK(CONCATENATE("#Metadata!", ADDRESS(INDEX($W$2:$W$1001,MATCH(ROWS($U$2:U971),$U$2:$U$1001,0),0), INDEX($AB$1004:$AQ$1004,1,MATCH(COLUMNS($AB$1006:AN1006),$AB$1006:$AQ$1006,0)))),"Fix")))</f>
        <v>0</v>
      </c>
      <c r="O971" s="5">
        <f>IF(OR(INDEX($V$2:$V$1001,MATCH(ROWS($U$2:U971),$U$2:$U$1001,0),1)&gt;=100000,INDEX($AB$1005:$AQ$1005,1,MATCH(COLUMNS($AB$1006:AO1006),$AB$1006:$AQ$1006,0))&gt;=100000), " ",IF(INDEX($AB$2:$AQ$1001,MATCH(ROWS($U$2:U971),$U$2:$U$1001,0),MATCH(COLUMNS($AB$1006:AO1006),$AB$1006:$AQ$1006,0)), HYPERLINK("#",""), HYPERLINK(CONCATENATE("#Metadata!", ADDRESS(INDEX($W$2:$W$1001,MATCH(ROWS($U$2:U971),$U$2:$U$1001,0),0), INDEX($AB$1004:$AQ$1004,1,MATCH(COLUMNS($AB$1006:AO1006),$AB$1006:$AQ$1006,0)))),"Fix")))</f>
        <v>0</v>
      </c>
      <c r="P971" s="5">
        <f>IF(OR(INDEX($V$2:$V$1001,MATCH(ROWS($U$2:U971),$U$2:$U$1001,0),1)&gt;=100000,INDEX($AB$1005:$AQ$1005,1,MATCH(COLUMNS($AB$1006:AP1006),$AB$1006:$AQ$1006,0))&gt;=100000), " ",IF(INDEX($AB$2:$AQ$1001,MATCH(ROWS($U$2:U971),$U$2:$U$1001,0),MATCH(COLUMNS($AB$1006:AP1006),$AB$1006:$AQ$1006,0)), HYPERLINK("#",""), HYPERLINK(CONCATENATE("#Metadata!", ADDRESS(INDEX($W$2:$W$1001,MATCH(ROWS($U$2:U971),$U$2:$U$1001,0),0), INDEX($AB$1004:$AQ$1004,1,MATCH(COLUMNS($AB$1006:AP1006),$AB$1006:$AQ$1006,0)))),"Fix")))</f>
        <v>0</v>
      </c>
      <c r="Q971" s="5">
        <f>IF(OR(INDEX($V$2:$V$1001,MATCH(ROWS($U$2:U971),$U$2:$U$1001,0),1)&gt;=100000,INDEX($AB$1005:$AQ$1005,1,MATCH(COLUMNS($AB$1006:AQ1006),$AB$1006:$AQ$1006,0))&gt;=100000), " ",IF(INDEX($AB$2:$AQ$1001,MATCH(ROWS($U$2:U971),$U$2:$U$1001,0),MATCH(COLUMNS($AB$1006:AQ1006),$AB$1006:$AQ$1006,0)), HYPERLINK("#",""), HYPERLINK(CONCATENATE("#Metadata!", ADDRESS(INDEX($W$2:$W$1001,MATCH(ROWS($U$2:U971),$U$2:$U$1001,0),0), INDEX($AB$1004:$AQ$1004,1,MATCH(COLUMNS($AB$1006:AQ1006),$AB$1006:$AQ$1006,0)))),"Fix")))</f>
        <v>0</v>
      </c>
      <c r="U971">
        <v>0</v>
      </c>
      <c r="V971">
        <v>0</v>
      </c>
      <c r="W971">
        <v>0</v>
      </c>
      <c r="X971">
        <f>IF(Y971,TRUE,AND(AB971:AQ971))</f>
        <v>0</v>
      </c>
      <c r="Y971">
        <f>COUNTBLANK(Metadata!B971:Q971)=COLUMNS(Metadata!B971:Q971)</f>
        <v>0</v>
      </c>
      <c r="Z971">
        <v>0</v>
      </c>
      <c r="AB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AC971">
        <f>AND(IF(Metadata!C971="",FALSE,TRUE),exact(Metadata!C971,"urban biome"))</f>
        <v>0</v>
      </c>
      <c r="AD971">
        <f>AND(IF(Metadata!D971="",FALSE,TRUE),exact(Metadata!D971,"human-associated habitat"))</f>
        <v>0</v>
      </c>
      <c r="AE971">
        <f>AND(IF(Metadata!E971="",FALSE,TRUE),OR(exact(Metadata!E971,"human-associated"),exact(Metadata!E971,"human-skin"),exact(Metadata!E971,"human-oral"),exact(Metadata!E971,"human-gut"),exact(Metadata!E971,"human-vaginal")))</f>
        <v>0</v>
      </c>
      <c r="AF971">
        <f>AND(IF(Metadata!F971="",FALSE,ISNUMBER(VALUE(Metadata!F971))),Metadata!F971&gt;0)</f>
        <v>0</v>
      </c>
      <c r="AG971">
        <f>AND(IF(Metadata!G971="",FALSE,TRUE),exact(Metadata!G971,"years"))</f>
        <v>0</v>
      </c>
      <c r="AH971">
        <f>OR(AND(IF(Metadata!H971="",FALSE,TRUE),OR(exact(Metadata!H971,"not applicable"),exact(Metadata!H971,"not collected"),exact(Metadata!H971,"not provided"),exact(Metadata!H971,"restricted access"))),AND(IF(Metadata!H971="",FALSE,ISNUMBER(VALUE(Metadata!H971))),Metadata!H971&gt;0))</f>
        <v>0</v>
      </c>
      <c r="AI971">
        <f>AND(IF(Metadata!I971="",FALSE,TRUE),exact(Metadata!I971,"human"))</f>
        <v>0</v>
      </c>
      <c r="AJ971">
        <f>AND(IF(Metadata!J971="",FALSE,ISNUMBER(VALUE(Metadata!J971))),Metadata!J971&gt;0)</f>
        <v>0</v>
      </c>
      <c r="AK971">
        <f>AND(IF(Metadata!K971="",FALSE,TRUE),exact(Metadata!K971,"cm"))</f>
        <v>0</v>
      </c>
      <c r="AL971">
        <f>AND(IF(Metadata!L971="",FALSE,TRUE),exact(Metadata!L971,"Homo sapiens"))</f>
        <v>0</v>
      </c>
      <c r="AM971">
        <f>AND(IF(Metadata!M971="",FALSE,TRUE),exact(Metadata!M971,"9606"))</f>
        <v>0</v>
      </c>
      <c r="AN971">
        <f>AND(IF(Metadata!N971="",FALSE,ISNUMBER(VALUE(Metadata!N971))),Metadata!N971&gt;0)</f>
        <v>0</v>
      </c>
      <c r="AO971">
        <f>AND(IF(Metadata!O971="",FALSE,TRUE),exact(Metadata!O971,"kg"))</f>
        <v>0</v>
      </c>
      <c r="AP971">
        <f>OR(AND(IF(Metadata!P971="",FALSE,TRUE),exact(Metadata!P971,"not provided")),IF(Metadata!P971="",FALSE,TRUE))</f>
        <v>0</v>
      </c>
      <c r="AQ971">
        <f>OR(AND(IF(Metadata!Q971="",FALSE,TRUE),exact(Metadata!Q971,"not provided")),IF(Metadata!Q971="",FALSE,TRUE))</f>
        <v>0</v>
      </c>
    </row>
    <row r="972" spans="1:43">
      <c r="A972" s="4">
        <f>IF(B972=" "," ",HYPERLINK(CONCATENATE("#metadata!",ADDRESS(INDEX($W$2:$W$1001,MATCH(ROWS($U$2:U972),$U$2:$U$1001,0),0),2)),INDEX($Z$2:$Z$1001,MATCH(ROWS($U$2:U972),$U$2:$U$1001,0),0)))</f>
        <v>0</v>
      </c>
      <c r="B972" s="5">
        <f>IF(OR(INDEX($V$2:$V$1001,MATCH(ROWS($U$2:U972),$U$2:$U$1001,0),1)&gt;=100000,INDEX($AB$1005:$AQ$1005,1,MATCH(COLUMNS($AB$1006:AB1006),$AB$1006:$AQ$1006,0))&gt;=100000), " ",IF(INDEX($AB$2:$AQ$1001,MATCH(ROWS($U$2:U972),$U$2:$U$1001,0),MATCH(COLUMNS($AB$1006:AB1006),$AB$1006:$AQ$1006,0)), HYPERLINK("#",""), HYPERLINK(CONCATENATE("#Metadata!", ADDRESS(INDEX($W$2:$W$1001,MATCH(ROWS($U$2:U972),$U$2:$U$1001,0),0), INDEX($AB$1004:$AQ$1004,1,MATCH(COLUMNS($AB$1006:AB1006),$AB$1006:$AQ$1006,0)))),"Fix")))</f>
        <v>0</v>
      </c>
      <c r="C972" s="5">
        <f>IF(OR(INDEX($V$2:$V$1001,MATCH(ROWS($U$2:U972),$U$2:$U$1001,0),1)&gt;=100000,INDEX($AB$1005:$AQ$1005,1,MATCH(COLUMNS($AB$1006:AC1006),$AB$1006:$AQ$1006,0))&gt;=100000), " ",IF(INDEX($AB$2:$AQ$1001,MATCH(ROWS($U$2:U972),$U$2:$U$1001,0),MATCH(COLUMNS($AB$1006:AC1006),$AB$1006:$AQ$1006,0)), HYPERLINK("#",""), HYPERLINK(CONCATENATE("#Metadata!", ADDRESS(INDEX($W$2:$W$1001,MATCH(ROWS($U$2:U972),$U$2:$U$1001,0),0), INDEX($AB$1004:$AQ$1004,1,MATCH(COLUMNS($AB$1006:AC1006),$AB$1006:$AQ$1006,0)))),"Fix")))</f>
        <v>0</v>
      </c>
      <c r="D972" s="5">
        <f>IF(OR(INDEX($V$2:$V$1001,MATCH(ROWS($U$2:U972),$U$2:$U$1001,0),1)&gt;=100000,INDEX($AB$1005:$AQ$1005,1,MATCH(COLUMNS($AB$1006:AD1006),$AB$1006:$AQ$1006,0))&gt;=100000), " ",IF(INDEX($AB$2:$AQ$1001,MATCH(ROWS($U$2:U972),$U$2:$U$1001,0),MATCH(COLUMNS($AB$1006:AD1006),$AB$1006:$AQ$1006,0)), HYPERLINK("#",""), HYPERLINK(CONCATENATE("#Metadata!", ADDRESS(INDEX($W$2:$W$1001,MATCH(ROWS($U$2:U972),$U$2:$U$1001,0),0), INDEX($AB$1004:$AQ$1004,1,MATCH(COLUMNS($AB$1006:AD1006),$AB$1006:$AQ$1006,0)))),"Fix")))</f>
        <v>0</v>
      </c>
      <c r="E972" s="5">
        <f>IF(OR(INDEX($V$2:$V$1001,MATCH(ROWS($U$2:U972),$U$2:$U$1001,0),1)&gt;=100000,INDEX($AB$1005:$AQ$1005,1,MATCH(COLUMNS($AB$1006:AE1006),$AB$1006:$AQ$1006,0))&gt;=100000), " ",IF(INDEX($AB$2:$AQ$1001,MATCH(ROWS($U$2:U972),$U$2:$U$1001,0),MATCH(COLUMNS($AB$1006:AE1006),$AB$1006:$AQ$1006,0)), HYPERLINK("#",""), HYPERLINK(CONCATENATE("#Metadata!", ADDRESS(INDEX($W$2:$W$1001,MATCH(ROWS($U$2:U972),$U$2:$U$1001,0),0), INDEX($AB$1004:$AQ$1004,1,MATCH(COLUMNS($AB$1006:AE1006),$AB$1006:$AQ$1006,0)))),"Fix")))</f>
        <v>0</v>
      </c>
      <c r="F972" s="5">
        <f>IF(OR(INDEX($V$2:$V$1001,MATCH(ROWS($U$2:U972),$U$2:$U$1001,0),1)&gt;=100000,INDEX($AB$1005:$AQ$1005,1,MATCH(COLUMNS($AB$1006:AF1006),$AB$1006:$AQ$1006,0))&gt;=100000), " ",IF(INDEX($AB$2:$AQ$1001,MATCH(ROWS($U$2:U972),$U$2:$U$1001,0),MATCH(COLUMNS($AB$1006:AF1006),$AB$1006:$AQ$1006,0)), HYPERLINK("#",""), HYPERLINK(CONCATENATE("#Metadata!", ADDRESS(INDEX($W$2:$W$1001,MATCH(ROWS($U$2:U972),$U$2:$U$1001,0),0), INDEX($AB$1004:$AQ$1004,1,MATCH(COLUMNS($AB$1006:AF1006),$AB$1006:$AQ$1006,0)))),"Fix")))</f>
        <v>0</v>
      </c>
      <c r="G972" s="5">
        <f>IF(OR(INDEX($V$2:$V$1001,MATCH(ROWS($U$2:U972),$U$2:$U$1001,0),1)&gt;=100000,INDEX($AB$1005:$AQ$1005,1,MATCH(COLUMNS($AB$1006:AG1006),$AB$1006:$AQ$1006,0))&gt;=100000), " ",IF(INDEX($AB$2:$AQ$1001,MATCH(ROWS($U$2:U972),$U$2:$U$1001,0),MATCH(COLUMNS($AB$1006:AG1006),$AB$1006:$AQ$1006,0)), HYPERLINK("#",""), HYPERLINK(CONCATENATE("#Metadata!", ADDRESS(INDEX($W$2:$W$1001,MATCH(ROWS($U$2:U972),$U$2:$U$1001,0),0), INDEX($AB$1004:$AQ$1004,1,MATCH(COLUMNS($AB$1006:AG1006),$AB$1006:$AQ$1006,0)))),"Fix")))</f>
        <v>0</v>
      </c>
      <c r="H972" s="5">
        <f>IF(OR(INDEX($V$2:$V$1001,MATCH(ROWS($U$2:U972),$U$2:$U$1001,0),1)&gt;=100000,INDEX($AB$1005:$AQ$1005,1,MATCH(COLUMNS($AB$1006:AH1006),$AB$1006:$AQ$1006,0))&gt;=100000), " ",IF(INDEX($AB$2:$AQ$1001,MATCH(ROWS($U$2:U972),$U$2:$U$1001,0),MATCH(COLUMNS($AB$1006:AH1006),$AB$1006:$AQ$1006,0)), HYPERLINK("#",""), HYPERLINK(CONCATENATE("#Metadata!", ADDRESS(INDEX($W$2:$W$1001,MATCH(ROWS($U$2:U972),$U$2:$U$1001,0),0), INDEX($AB$1004:$AQ$1004,1,MATCH(COLUMNS($AB$1006:AH1006),$AB$1006:$AQ$1006,0)))),"Fix")))</f>
        <v>0</v>
      </c>
      <c r="I972" s="5">
        <f>IF(OR(INDEX($V$2:$V$1001,MATCH(ROWS($U$2:U972),$U$2:$U$1001,0),1)&gt;=100000,INDEX($AB$1005:$AQ$1005,1,MATCH(COLUMNS($AB$1006:AI1006),$AB$1006:$AQ$1006,0))&gt;=100000), " ",IF(INDEX($AB$2:$AQ$1001,MATCH(ROWS($U$2:U972),$U$2:$U$1001,0),MATCH(COLUMNS($AB$1006:AI1006),$AB$1006:$AQ$1006,0)), HYPERLINK("#",""), HYPERLINK(CONCATENATE("#Metadata!", ADDRESS(INDEX($W$2:$W$1001,MATCH(ROWS($U$2:U972),$U$2:$U$1001,0),0), INDEX($AB$1004:$AQ$1004,1,MATCH(COLUMNS($AB$1006:AI1006),$AB$1006:$AQ$1006,0)))),"Fix")))</f>
        <v>0</v>
      </c>
      <c r="J972" s="5">
        <f>IF(OR(INDEX($V$2:$V$1001,MATCH(ROWS($U$2:U972),$U$2:$U$1001,0),1)&gt;=100000,INDEX($AB$1005:$AQ$1005,1,MATCH(COLUMNS($AB$1006:AJ1006),$AB$1006:$AQ$1006,0))&gt;=100000), " ",IF(INDEX($AB$2:$AQ$1001,MATCH(ROWS($U$2:U972),$U$2:$U$1001,0),MATCH(COLUMNS($AB$1006:AJ1006),$AB$1006:$AQ$1006,0)), HYPERLINK("#",""), HYPERLINK(CONCATENATE("#Metadata!", ADDRESS(INDEX($W$2:$W$1001,MATCH(ROWS($U$2:U972),$U$2:$U$1001,0),0), INDEX($AB$1004:$AQ$1004,1,MATCH(COLUMNS($AB$1006:AJ1006),$AB$1006:$AQ$1006,0)))),"Fix")))</f>
        <v>0</v>
      </c>
      <c r="K972" s="5">
        <f>IF(OR(INDEX($V$2:$V$1001,MATCH(ROWS($U$2:U972),$U$2:$U$1001,0),1)&gt;=100000,INDEX($AB$1005:$AQ$1005,1,MATCH(COLUMNS($AB$1006:AK1006),$AB$1006:$AQ$1006,0))&gt;=100000), " ",IF(INDEX($AB$2:$AQ$1001,MATCH(ROWS($U$2:U972),$U$2:$U$1001,0),MATCH(COLUMNS($AB$1006:AK1006),$AB$1006:$AQ$1006,0)), HYPERLINK("#",""), HYPERLINK(CONCATENATE("#Metadata!", ADDRESS(INDEX($W$2:$W$1001,MATCH(ROWS($U$2:U972),$U$2:$U$1001,0),0), INDEX($AB$1004:$AQ$1004,1,MATCH(COLUMNS($AB$1006:AK1006),$AB$1006:$AQ$1006,0)))),"Fix")))</f>
        <v>0</v>
      </c>
      <c r="L972" s="5">
        <f>IF(OR(INDEX($V$2:$V$1001,MATCH(ROWS($U$2:U972),$U$2:$U$1001,0),1)&gt;=100000,INDEX($AB$1005:$AQ$1005,1,MATCH(COLUMNS($AB$1006:AL1006),$AB$1006:$AQ$1006,0))&gt;=100000), " ",IF(INDEX($AB$2:$AQ$1001,MATCH(ROWS($U$2:U972),$U$2:$U$1001,0),MATCH(COLUMNS($AB$1006:AL1006),$AB$1006:$AQ$1006,0)), HYPERLINK("#",""), HYPERLINK(CONCATENATE("#Metadata!", ADDRESS(INDEX($W$2:$W$1001,MATCH(ROWS($U$2:U972),$U$2:$U$1001,0),0), INDEX($AB$1004:$AQ$1004,1,MATCH(COLUMNS($AB$1006:AL1006),$AB$1006:$AQ$1006,0)))),"Fix")))</f>
        <v>0</v>
      </c>
      <c r="M972" s="5">
        <f>IF(OR(INDEX($V$2:$V$1001,MATCH(ROWS($U$2:U972),$U$2:$U$1001,0),1)&gt;=100000,INDEX($AB$1005:$AQ$1005,1,MATCH(COLUMNS($AB$1006:AM1006),$AB$1006:$AQ$1006,0))&gt;=100000), " ",IF(INDEX($AB$2:$AQ$1001,MATCH(ROWS($U$2:U972),$U$2:$U$1001,0),MATCH(COLUMNS($AB$1006:AM1006),$AB$1006:$AQ$1006,0)), HYPERLINK("#",""), HYPERLINK(CONCATENATE("#Metadata!", ADDRESS(INDEX($W$2:$W$1001,MATCH(ROWS($U$2:U972),$U$2:$U$1001,0),0), INDEX($AB$1004:$AQ$1004,1,MATCH(COLUMNS($AB$1006:AM1006),$AB$1006:$AQ$1006,0)))),"Fix")))</f>
        <v>0</v>
      </c>
      <c r="N972" s="5">
        <f>IF(OR(INDEX($V$2:$V$1001,MATCH(ROWS($U$2:U972),$U$2:$U$1001,0),1)&gt;=100000,INDEX($AB$1005:$AQ$1005,1,MATCH(COLUMNS($AB$1006:AN1006),$AB$1006:$AQ$1006,0))&gt;=100000), " ",IF(INDEX($AB$2:$AQ$1001,MATCH(ROWS($U$2:U972),$U$2:$U$1001,0),MATCH(COLUMNS($AB$1006:AN1006),$AB$1006:$AQ$1006,0)), HYPERLINK("#",""), HYPERLINK(CONCATENATE("#Metadata!", ADDRESS(INDEX($W$2:$W$1001,MATCH(ROWS($U$2:U972),$U$2:$U$1001,0),0), INDEX($AB$1004:$AQ$1004,1,MATCH(COLUMNS($AB$1006:AN1006),$AB$1006:$AQ$1006,0)))),"Fix")))</f>
        <v>0</v>
      </c>
      <c r="O972" s="5">
        <f>IF(OR(INDEX($V$2:$V$1001,MATCH(ROWS($U$2:U972),$U$2:$U$1001,0),1)&gt;=100000,INDEX($AB$1005:$AQ$1005,1,MATCH(COLUMNS($AB$1006:AO1006),$AB$1006:$AQ$1006,0))&gt;=100000), " ",IF(INDEX($AB$2:$AQ$1001,MATCH(ROWS($U$2:U972),$U$2:$U$1001,0),MATCH(COLUMNS($AB$1006:AO1006),$AB$1006:$AQ$1006,0)), HYPERLINK("#",""), HYPERLINK(CONCATENATE("#Metadata!", ADDRESS(INDEX($W$2:$W$1001,MATCH(ROWS($U$2:U972),$U$2:$U$1001,0),0), INDEX($AB$1004:$AQ$1004,1,MATCH(COLUMNS($AB$1006:AO1006),$AB$1006:$AQ$1006,0)))),"Fix")))</f>
        <v>0</v>
      </c>
      <c r="P972" s="5">
        <f>IF(OR(INDEX($V$2:$V$1001,MATCH(ROWS($U$2:U972),$U$2:$U$1001,0),1)&gt;=100000,INDEX($AB$1005:$AQ$1005,1,MATCH(COLUMNS($AB$1006:AP1006),$AB$1006:$AQ$1006,0))&gt;=100000), " ",IF(INDEX($AB$2:$AQ$1001,MATCH(ROWS($U$2:U972),$U$2:$U$1001,0),MATCH(COLUMNS($AB$1006:AP1006),$AB$1006:$AQ$1006,0)), HYPERLINK("#",""), HYPERLINK(CONCATENATE("#Metadata!", ADDRESS(INDEX($W$2:$W$1001,MATCH(ROWS($U$2:U972),$U$2:$U$1001,0),0), INDEX($AB$1004:$AQ$1004,1,MATCH(COLUMNS($AB$1006:AP1006),$AB$1006:$AQ$1006,0)))),"Fix")))</f>
        <v>0</v>
      </c>
      <c r="Q972" s="5">
        <f>IF(OR(INDEX($V$2:$V$1001,MATCH(ROWS($U$2:U972),$U$2:$U$1001,0),1)&gt;=100000,INDEX($AB$1005:$AQ$1005,1,MATCH(COLUMNS($AB$1006:AQ1006),$AB$1006:$AQ$1006,0))&gt;=100000), " ",IF(INDEX($AB$2:$AQ$1001,MATCH(ROWS($U$2:U972),$U$2:$U$1001,0),MATCH(COLUMNS($AB$1006:AQ1006),$AB$1006:$AQ$1006,0)), HYPERLINK("#",""), HYPERLINK(CONCATENATE("#Metadata!", ADDRESS(INDEX($W$2:$W$1001,MATCH(ROWS($U$2:U972),$U$2:$U$1001,0),0), INDEX($AB$1004:$AQ$1004,1,MATCH(COLUMNS($AB$1006:AQ1006),$AB$1006:$AQ$1006,0)))),"Fix")))</f>
        <v>0</v>
      </c>
      <c r="U972">
        <v>0</v>
      </c>
      <c r="V972">
        <v>0</v>
      </c>
      <c r="W972">
        <v>0</v>
      </c>
      <c r="X972">
        <f>IF(Y972,TRUE,AND(AB972:AQ972))</f>
        <v>0</v>
      </c>
      <c r="Y972">
        <f>COUNTBLANK(Metadata!B972:Q972)=COLUMNS(Metadata!B972:Q972)</f>
        <v>0</v>
      </c>
      <c r="Z972">
        <v>0</v>
      </c>
      <c r="AB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AC972">
        <f>AND(IF(Metadata!C972="",FALSE,TRUE),exact(Metadata!C972,"urban biome"))</f>
        <v>0</v>
      </c>
      <c r="AD972">
        <f>AND(IF(Metadata!D972="",FALSE,TRUE),exact(Metadata!D972,"human-associated habitat"))</f>
        <v>0</v>
      </c>
      <c r="AE972">
        <f>AND(IF(Metadata!E972="",FALSE,TRUE),OR(exact(Metadata!E972,"human-associated"),exact(Metadata!E972,"human-skin"),exact(Metadata!E972,"human-oral"),exact(Metadata!E972,"human-gut"),exact(Metadata!E972,"human-vaginal")))</f>
        <v>0</v>
      </c>
      <c r="AF972">
        <f>AND(IF(Metadata!F972="",FALSE,ISNUMBER(VALUE(Metadata!F972))),Metadata!F972&gt;0)</f>
        <v>0</v>
      </c>
      <c r="AG972">
        <f>AND(IF(Metadata!G972="",FALSE,TRUE),exact(Metadata!G972,"years"))</f>
        <v>0</v>
      </c>
      <c r="AH972">
        <f>OR(AND(IF(Metadata!H972="",FALSE,TRUE),OR(exact(Metadata!H972,"not applicable"),exact(Metadata!H972,"not collected"),exact(Metadata!H972,"not provided"),exact(Metadata!H972,"restricted access"))),AND(IF(Metadata!H972="",FALSE,ISNUMBER(VALUE(Metadata!H972))),Metadata!H972&gt;0))</f>
        <v>0</v>
      </c>
      <c r="AI972">
        <f>AND(IF(Metadata!I972="",FALSE,TRUE),exact(Metadata!I972,"human"))</f>
        <v>0</v>
      </c>
      <c r="AJ972">
        <f>AND(IF(Metadata!J972="",FALSE,ISNUMBER(VALUE(Metadata!J972))),Metadata!J972&gt;0)</f>
        <v>0</v>
      </c>
      <c r="AK972">
        <f>AND(IF(Metadata!K972="",FALSE,TRUE),exact(Metadata!K972,"cm"))</f>
        <v>0</v>
      </c>
      <c r="AL972">
        <f>AND(IF(Metadata!L972="",FALSE,TRUE),exact(Metadata!L972,"Homo sapiens"))</f>
        <v>0</v>
      </c>
      <c r="AM972">
        <f>AND(IF(Metadata!M972="",FALSE,TRUE),exact(Metadata!M972,"9606"))</f>
        <v>0</v>
      </c>
      <c r="AN972">
        <f>AND(IF(Metadata!N972="",FALSE,ISNUMBER(VALUE(Metadata!N972))),Metadata!N972&gt;0)</f>
        <v>0</v>
      </c>
      <c r="AO972">
        <f>AND(IF(Metadata!O972="",FALSE,TRUE),exact(Metadata!O972,"kg"))</f>
        <v>0</v>
      </c>
      <c r="AP972">
        <f>OR(AND(IF(Metadata!P972="",FALSE,TRUE),exact(Metadata!P972,"not provided")),IF(Metadata!P972="",FALSE,TRUE))</f>
        <v>0</v>
      </c>
      <c r="AQ972">
        <f>OR(AND(IF(Metadata!Q972="",FALSE,TRUE),exact(Metadata!Q972,"not provided")),IF(Metadata!Q972="",FALSE,TRUE))</f>
        <v>0</v>
      </c>
    </row>
    <row r="973" spans="1:43">
      <c r="A973" s="4">
        <f>IF(B973=" "," ",HYPERLINK(CONCATENATE("#metadata!",ADDRESS(INDEX($W$2:$W$1001,MATCH(ROWS($U$2:U973),$U$2:$U$1001,0),0),2)),INDEX($Z$2:$Z$1001,MATCH(ROWS($U$2:U973),$U$2:$U$1001,0),0)))</f>
        <v>0</v>
      </c>
      <c r="B973" s="5">
        <f>IF(OR(INDEX($V$2:$V$1001,MATCH(ROWS($U$2:U973),$U$2:$U$1001,0),1)&gt;=100000,INDEX($AB$1005:$AQ$1005,1,MATCH(COLUMNS($AB$1006:AB1006),$AB$1006:$AQ$1006,0))&gt;=100000), " ",IF(INDEX($AB$2:$AQ$1001,MATCH(ROWS($U$2:U973),$U$2:$U$1001,0),MATCH(COLUMNS($AB$1006:AB1006),$AB$1006:$AQ$1006,0)), HYPERLINK("#",""), HYPERLINK(CONCATENATE("#Metadata!", ADDRESS(INDEX($W$2:$W$1001,MATCH(ROWS($U$2:U973),$U$2:$U$1001,0),0), INDEX($AB$1004:$AQ$1004,1,MATCH(COLUMNS($AB$1006:AB1006),$AB$1006:$AQ$1006,0)))),"Fix")))</f>
        <v>0</v>
      </c>
      <c r="C973" s="5">
        <f>IF(OR(INDEX($V$2:$V$1001,MATCH(ROWS($U$2:U973),$U$2:$U$1001,0),1)&gt;=100000,INDEX($AB$1005:$AQ$1005,1,MATCH(COLUMNS($AB$1006:AC1006),$AB$1006:$AQ$1006,0))&gt;=100000), " ",IF(INDEX($AB$2:$AQ$1001,MATCH(ROWS($U$2:U973),$U$2:$U$1001,0),MATCH(COLUMNS($AB$1006:AC1006),$AB$1006:$AQ$1006,0)), HYPERLINK("#",""), HYPERLINK(CONCATENATE("#Metadata!", ADDRESS(INDEX($W$2:$W$1001,MATCH(ROWS($U$2:U973),$U$2:$U$1001,0),0), INDEX($AB$1004:$AQ$1004,1,MATCH(COLUMNS($AB$1006:AC1006),$AB$1006:$AQ$1006,0)))),"Fix")))</f>
        <v>0</v>
      </c>
      <c r="D973" s="5">
        <f>IF(OR(INDEX($V$2:$V$1001,MATCH(ROWS($U$2:U973),$U$2:$U$1001,0),1)&gt;=100000,INDEX($AB$1005:$AQ$1005,1,MATCH(COLUMNS($AB$1006:AD1006),$AB$1006:$AQ$1006,0))&gt;=100000), " ",IF(INDEX($AB$2:$AQ$1001,MATCH(ROWS($U$2:U973),$U$2:$U$1001,0),MATCH(COLUMNS($AB$1006:AD1006),$AB$1006:$AQ$1006,0)), HYPERLINK("#",""), HYPERLINK(CONCATENATE("#Metadata!", ADDRESS(INDEX($W$2:$W$1001,MATCH(ROWS($U$2:U973),$U$2:$U$1001,0),0), INDEX($AB$1004:$AQ$1004,1,MATCH(COLUMNS($AB$1006:AD1006),$AB$1006:$AQ$1006,0)))),"Fix")))</f>
        <v>0</v>
      </c>
      <c r="E973" s="5">
        <f>IF(OR(INDEX($V$2:$V$1001,MATCH(ROWS($U$2:U973),$U$2:$U$1001,0),1)&gt;=100000,INDEX($AB$1005:$AQ$1005,1,MATCH(COLUMNS($AB$1006:AE1006),$AB$1006:$AQ$1006,0))&gt;=100000), " ",IF(INDEX($AB$2:$AQ$1001,MATCH(ROWS($U$2:U973),$U$2:$U$1001,0),MATCH(COLUMNS($AB$1006:AE1006),$AB$1006:$AQ$1006,0)), HYPERLINK("#",""), HYPERLINK(CONCATENATE("#Metadata!", ADDRESS(INDEX($W$2:$W$1001,MATCH(ROWS($U$2:U973),$U$2:$U$1001,0),0), INDEX($AB$1004:$AQ$1004,1,MATCH(COLUMNS($AB$1006:AE1006),$AB$1006:$AQ$1006,0)))),"Fix")))</f>
        <v>0</v>
      </c>
      <c r="F973" s="5">
        <f>IF(OR(INDEX($V$2:$V$1001,MATCH(ROWS($U$2:U973),$U$2:$U$1001,0),1)&gt;=100000,INDEX($AB$1005:$AQ$1005,1,MATCH(COLUMNS($AB$1006:AF1006),$AB$1006:$AQ$1006,0))&gt;=100000), " ",IF(INDEX($AB$2:$AQ$1001,MATCH(ROWS($U$2:U973),$U$2:$U$1001,0),MATCH(COLUMNS($AB$1006:AF1006),$AB$1006:$AQ$1006,0)), HYPERLINK("#",""), HYPERLINK(CONCATENATE("#Metadata!", ADDRESS(INDEX($W$2:$W$1001,MATCH(ROWS($U$2:U973),$U$2:$U$1001,0),0), INDEX($AB$1004:$AQ$1004,1,MATCH(COLUMNS($AB$1006:AF1006),$AB$1006:$AQ$1006,0)))),"Fix")))</f>
        <v>0</v>
      </c>
      <c r="G973" s="5">
        <f>IF(OR(INDEX($V$2:$V$1001,MATCH(ROWS($U$2:U973),$U$2:$U$1001,0),1)&gt;=100000,INDEX($AB$1005:$AQ$1005,1,MATCH(COLUMNS($AB$1006:AG1006),$AB$1006:$AQ$1006,0))&gt;=100000), " ",IF(INDEX($AB$2:$AQ$1001,MATCH(ROWS($U$2:U973),$U$2:$U$1001,0),MATCH(COLUMNS($AB$1006:AG1006),$AB$1006:$AQ$1006,0)), HYPERLINK("#",""), HYPERLINK(CONCATENATE("#Metadata!", ADDRESS(INDEX($W$2:$W$1001,MATCH(ROWS($U$2:U973),$U$2:$U$1001,0),0), INDEX($AB$1004:$AQ$1004,1,MATCH(COLUMNS($AB$1006:AG1006),$AB$1006:$AQ$1006,0)))),"Fix")))</f>
        <v>0</v>
      </c>
      <c r="H973" s="5">
        <f>IF(OR(INDEX($V$2:$V$1001,MATCH(ROWS($U$2:U973),$U$2:$U$1001,0),1)&gt;=100000,INDEX($AB$1005:$AQ$1005,1,MATCH(COLUMNS($AB$1006:AH1006),$AB$1006:$AQ$1006,0))&gt;=100000), " ",IF(INDEX($AB$2:$AQ$1001,MATCH(ROWS($U$2:U973),$U$2:$U$1001,0),MATCH(COLUMNS($AB$1006:AH1006),$AB$1006:$AQ$1006,0)), HYPERLINK("#",""), HYPERLINK(CONCATENATE("#Metadata!", ADDRESS(INDEX($W$2:$W$1001,MATCH(ROWS($U$2:U973),$U$2:$U$1001,0),0), INDEX($AB$1004:$AQ$1004,1,MATCH(COLUMNS($AB$1006:AH1006),$AB$1006:$AQ$1006,0)))),"Fix")))</f>
        <v>0</v>
      </c>
      <c r="I973" s="5">
        <f>IF(OR(INDEX($V$2:$V$1001,MATCH(ROWS($U$2:U973),$U$2:$U$1001,0),1)&gt;=100000,INDEX($AB$1005:$AQ$1005,1,MATCH(COLUMNS($AB$1006:AI1006),$AB$1006:$AQ$1006,0))&gt;=100000), " ",IF(INDEX($AB$2:$AQ$1001,MATCH(ROWS($U$2:U973),$U$2:$U$1001,0),MATCH(COLUMNS($AB$1006:AI1006),$AB$1006:$AQ$1006,0)), HYPERLINK("#",""), HYPERLINK(CONCATENATE("#Metadata!", ADDRESS(INDEX($W$2:$W$1001,MATCH(ROWS($U$2:U973),$U$2:$U$1001,0),0), INDEX($AB$1004:$AQ$1004,1,MATCH(COLUMNS($AB$1006:AI1006),$AB$1006:$AQ$1006,0)))),"Fix")))</f>
        <v>0</v>
      </c>
      <c r="J973" s="5">
        <f>IF(OR(INDEX($V$2:$V$1001,MATCH(ROWS($U$2:U973),$U$2:$U$1001,0),1)&gt;=100000,INDEX($AB$1005:$AQ$1005,1,MATCH(COLUMNS($AB$1006:AJ1006),$AB$1006:$AQ$1006,0))&gt;=100000), " ",IF(INDEX($AB$2:$AQ$1001,MATCH(ROWS($U$2:U973),$U$2:$U$1001,0),MATCH(COLUMNS($AB$1006:AJ1006),$AB$1006:$AQ$1006,0)), HYPERLINK("#",""), HYPERLINK(CONCATENATE("#Metadata!", ADDRESS(INDEX($W$2:$W$1001,MATCH(ROWS($U$2:U973),$U$2:$U$1001,0),0), INDEX($AB$1004:$AQ$1004,1,MATCH(COLUMNS($AB$1006:AJ1006),$AB$1006:$AQ$1006,0)))),"Fix")))</f>
        <v>0</v>
      </c>
      <c r="K973" s="5">
        <f>IF(OR(INDEX($V$2:$V$1001,MATCH(ROWS($U$2:U973),$U$2:$U$1001,0),1)&gt;=100000,INDEX($AB$1005:$AQ$1005,1,MATCH(COLUMNS($AB$1006:AK1006),$AB$1006:$AQ$1006,0))&gt;=100000), " ",IF(INDEX($AB$2:$AQ$1001,MATCH(ROWS($U$2:U973),$U$2:$U$1001,0),MATCH(COLUMNS($AB$1006:AK1006),$AB$1006:$AQ$1006,0)), HYPERLINK("#",""), HYPERLINK(CONCATENATE("#Metadata!", ADDRESS(INDEX($W$2:$W$1001,MATCH(ROWS($U$2:U973),$U$2:$U$1001,0),0), INDEX($AB$1004:$AQ$1004,1,MATCH(COLUMNS($AB$1006:AK1006),$AB$1006:$AQ$1006,0)))),"Fix")))</f>
        <v>0</v>
      </c>
      <c r="L973" s="5">
        <f>IF(OR(INDEX($V$2:$V$1001,MATCH(ROWS($U$2:U973),$U$2:$U$1001,0),1)&gt;=100000,INDEX($AB$1005:$AQ$1005,1,MATCH(COLUMNS($AB$1006:AL1006),$AB$1006:$AQ$1006,0))&gt;=100000), " ",IF(INDEX($AB$2:$AQ$1001,MATCH(ROWS($U$2:U973),$U$2:$U$1001,0),MATCH(COLUMNS($AB$1006:AL1006),$AB$1006:$AQ$1006,0)), HYPERLINK("#",""), HYPERLINK(CONCATENATE("#Metadata!", ADDRESS(INDEX($W$2:$W$1001,MATCH(ROWS($U$2:U973),$U$2:$U$1001,0),0), INDEX($AB$1004:$AQ$1004,1,MATCH(COLUMNS($AB$1006:AL1006),$AB$1006:$AQ$1006,0)))),"Fix")))</f>
        <v>0</v>
      </c>
      <c r="M973" s="5">
        <f>IF(OR(INDEX($V$2:$V$1001,MATCH(ROWS($U$2:U973),$U$2:$U$1001,0),1)&gt;=100000,INDEX($AB$1005:$AQ$1005,1,MATCH(COLUMNS($AB$1006:AM1006),$AB$1006:$AQ$1006,0))&gt;=100000), " ",IF(INDEX($AB$2:$AQ$1001,MATCH(ROWS($U$2:U973),$U$2:$U$1001,0),MATCH(COLUMNS($AB$1006:AM1006),$AB$1006:$AQ$1006,0)), HYPERLINK("#",""), HYPERLINK(CONCATENATE("#Metadata!", ADDRESS(INDEX($W$2:$W$1001,MATCH(ROWS($U$2:U973),$U$2:$U$1001,0),0), INDEX($AB$1004:$AQ$1004,1,MATCH(COLUMNS($AB$1006:AM1006),$AB$1006:$AQ$1006,0)))),"Fix")))</f>
        <v>0</v>
      </c>
      <c r="N973" s="5">
        <f>IF(OR(INDEX($V$2:$V$1001,MATCH(ROWS($U$2:U973),$U$2:$U$1001,0),1)&gt;=100000,INDEX($AB$1005:$AQ$1005,1,MATCH(COLUMNS($AB$1006:AN1006),$AB$1006:$AQ$1006,0))&gt;=100000), " ",IF(INDEX($AB$2:$AQ$1001,MATCH(ROWS($U$2:U973),$U$2:$U$1001,0),MATCH(COLUMNS($AB$1006:AN1006),$AB$1006:$AQ$1006,0)), HYPERLINK("#",""), HYPERLINK(CONCATENATE("#Metadata!", ADDRESS(INDEX($W$2:$W$1001,MATCH(ROWS($U$2:U973),$U$2:$U$1001,0),0), INDEX($AB$1004:$AQ$1004,1,MATCH(COLUMNS($AB$1006:AN1006),$AB$1006:$AQ$1006,0)))),"Fix")))</f>
        <v>0</v>
      </c>
      <c r="O973" s="5">
        <f>IF(OR(INDEX($V$2:$V$1001,MATCH(ROWS($U$2:U973),$U$2:$U$1001,0),1)&gt;=100000,INDEX($AB$1005:$AQ$1005,1,MATCH(COLUMNS($AB$1006:AO1006),$AB$1006:$AQ$1006,0))&gt;=100000), " ",IF(INDEX($AB$2:$AQ$1001,MATCH(ROWS($U$2:U973),$U$2:$U$1001,0),MATCH(COLUMNS($AB$1006:AO1006),$AB$1006:$AQ$1006,0)), HYPERLINK("#",""), HYPERLINK(CONCATENATE("#Metadata!", ADDRESS(INDEX($W$2:$W$1001,MATCH(ROWS($U$2:U973),$U$2:$U$1001,0),0), INDEX($AB$1004:$AQ$1004,1,MATCH(COLUMNS($AB$1006:AO1006),$AB$1006:$AQ$1006,0)))),"Fix")))</f>
        <v>0</v>
      </c>
      <c r="P973" s="5">
        <f>IF(OR(INDEX($V$2:$V$1001,MATCH(ROWS($U$2:U973),$U$2:$U$1001,0),1)&gt;=100000,INDEX($AB$1005:$AQ$1005,1,MATCH(COLUMNS($AB$1006:AP1006),$AB$1006:$AQ$1006,0))&gt;=100000), " ",IF(INDEX($AB$2:$AQ$1001,MATCH(ROWS($U$2:U973),$U$2:$U$1001,0),MATCH(COLUMNS($AB$1006:AP1006),$AB$1006:$AQ$1006,0)), HYPERLINK("#",""), HYPERLINK(CONCATENATE("#Metadata!", ADDRESS(INDEX($W$2:$W$1001,MATCH(ROWS($U$2:U973),$U$2:$U$1001,0),0), INDEX($AB$1004:$AQ$1004,1,MATCH(COLUMNS($AB$1006:AP1006),$AB$1006:$AQ$1006,0)))),"Fix")))</f>
        <v>0</v>
      </c>
      <c r="Q973" s="5">
        <f>IF(OR(INDEX($V$2:$V$1001,MATCH(ROWS($U$2:U973),$U$2:$U$1001,0),1)&gt;=100000,INDEX($AB$1005:$AQ$1005,1,MATCH(COLUMNS($AB$1006:AQ1006),$AB$1006:$AQ$1006,0))&gt;=100000), " ",IF(INDEX($AB$2:$AQ$1001,MATCH(ROWS($U$2:U973),$U$2:$U$1001,0),MATCH(COLUMNS($AB$1006:AQ1006),$AB$1006:$AQ$1006,0)), HYPERLINK("#",""), HYPERLINK(CONCATENATE("#Metadata!", ADDRESS(INDEX($W$2:$W$1001,MATCH(ROWS($U$2:U973),$U$2:$U$1001,0),0), INDEX($AB$1004:$AQ$1004,1,MATCH(COLUMNS($AB$1006:AQ1006),$AB$1006:$AQ$1006,0)))),"Fix")))</f>
        <v>0</v>
      </c>
      <c r="U973">
        <v>0</v>
      </c>
      <c r="V973">
        <v>0</v>
      </c>
      <c r="W973">
        <v>0</v>
      </c>
      <c r="X973">
        <f>IF(Y973,TRUE,AND(AB973:AQ973))</f>
        <v>0</v>
      </c>
      <c r="Y973">
        <f>COUNTBLANK(Metadata!B973:Q973)=COLUMNS(Metadata!B973:Q973)</f>
        <v>0</v>
      </c>
      <c r="Z973">
        <v>0</v>
      </c>
      <c r="AB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AC973">
        <f>AND(IF(Metadata!C973="",FALSE,TRUE),exact(Metadata!C973,"urban biome"))</f>
        <v>0</v>
      </c>
      <c r="AD973">
        <f>AND(IF(Metadata!D973="",FALSE,TRUE),exact(Metadata!D973,"human-associated habitat"))</f>
        <v>0</v>
      </c>
      <c r="AE973">
        <f>AND(IF(Metadata!E973="",FALSE,TRUE),OR(exact(Metadata!E973,"human-associated"),exact(Metadata!E973,"human-skin"),exact(Metadata!E973,"human-oral"),exact(Metadata!E973,"human-gut"),exact(Metadata!E973,"human-vaginal")))</f>
        <v>0</v>
      </c>
      <c r="AF973">
        <f>AND(IF(Metadata!F973="",FALSE,ISNUMBER(VALUE(Metadata!F973))),Metadata!F973&gt;0)</f>
        <v>0</v>
      </c>
      <c r="AG973">
        <f>AND(IF(Metadata!G973="",FALSE,TRUE),exact(Metadata!G973,"years"))</f>
        <v>0</v>
      </c>
      <c r="AH973">
        <f>OR(AND(IF(Metadata!H973="",FALSE,TRUE),OR(exact(Metadata!H973,"not applicable"),exact(Metadata!H973,"not collected"),exact(Metadata!H973,"not provided"),exact(Metadata!H973,"restricted access"))),AND(IF(Metadata!H973="",FALSE,ISNUMBER(VALUE(Metadata!H973))),Metadata!H973&gt;0))</f>
        <v>0</v>
      </c>
      <c r="AI973">
        <f>AND(IF(Metadata!I973="",FALSE,TRUE),exact(Metadata!I973,"human"))</f>
        <v>0</v>
      </c>
      <c r="AJ973">
        <f>AND(IF(Metadata!J973="",FALSE,ISNUMBER(VALUE(Metadata!J973))),Metadata!J973&gt;0)</f>
        <v>0</v>
      </c>
      <c r="AK973">
        <f>AND(IF(Metadata!K973="",FALSE,TRUE),exact(Metadata!K973,"cm"))</f>
        <v>0</v>
      </c>
      <c r="AL973">
        <f>AND(IF(Metadata!L973="",FALSE,TRUE),exact(Metadata!L973,"Homo sapiens"))</f>
        <v>0</v>
      </c>
      <c r="AM973">
        <f>AND(IF(Metadata!M973="",FALSE,TRUE),exact(Metadata!M973,"9606"))</f>
        <v>0</v>
      </c>
      <c r="AN973">
        <f>AND(IF(Metadata!N973="",FALSE,ISNUMBER(VALUE(Metadata!N973))),Metadata!N973&gt;0)</f>
        <v>0</v>
      </c>
      <c r="AO973">
        <f>AND(IF(Metadata!O973="",FALSE,TRUE),exact(Metadata!O973,"kg"))</f>
        <v>0</v>
      </c>
      <c r="AP973">
        <f>OR(AND(IF(Metadata!P973="",FALSE,TRUE),exact(Metadata!P973,"not provided")),IF(Metadata!P973="",FALSE,TRUE))</f>
        <v>0</v>
      </c>
      <c r="AQ973">
        <f>OR(AND(IF(Metadata!Q973="",FALSE,TRUE),exact(Metadata!Q973,"not provided")),IF(Metadata!Q973="",FALSE,TRUE))</f>
        <v>0</v>
      </c>
    </row>
    <row r="974" spans="1:43">
      <c r="A974" s="4">
        <f>IF(B974=" "," ",HYPERLINK(CONCATENATE("#metadata!",ADDRESS(INDEX($W$2:$W$1001,MATCH(ROWS($U$2:U974),$U$2:$U$1001,0),0),2)),INDEX($Z$2:$Z$1001,MATCH(ROWS($U$2:U974),$U$2:$U$1001,0),0)))</f>
        <v>0</v>
      </c>
      <c r="B974" s="5">
        <f>IF(OR(INDEX($V$2:$V$1001,MATCH(ROWS($U$2:U974),$U$2:$U$1001,0),1)&gt;=100000,INDEX($AB$1005:$AQ$1005,1,MATCH(COLUMNS($AB$1006:AB1006),$AB$1006:$AQ$1006,0))&gt;=100000), " ",IF(INDEX($AB$2:$AQ$1001,MATCH(ROWS($U$2:U974),$U$2:$U$1001,0),MATCH(COLUMNS($AB$1006:AB1006),$AB$1006:$AQ$1006,0)), HYPERLINK("#",""), HYPERLINK(CONCATENATE("#Metadata!", ADDRESS(INDEX($W$2:$W$1001,MATCH(ROWS($U$2:U974),$U$2:$U$1001,0),0), INDEX($AB$1004:$AQ$1004,1,MATCH(COLUMNS($AB$1006:AB1006),$AB$1006:$AQ$1006,0)))),"Fix")))</f>
        <v>0</v>
      </c>
      <c r="C974" s="5">
        <f>IF(OR(INDEX($V$2:$V$1001,MATCH(ROWS($U$2:U974),$U$2:$U$1001,0),1)&gt;=100000,INDEX($AB$1005:$AQ$1005,1,MATCH(COLUMNS($AB$1006:AC1006),$AB$1006:$AQ$1006,0))&gt;=100000), " ",IF(INDEX($AB$2:$AQ$1001,MATCH(ROWS($U$2:U974),$U$2:$U$1001,0),MATCH(COLUMNS($AB$1006:AC1006),$AB$1006:$AQ$1006,0)), HYPERLINK("#",""), HYPERLINK(CONCATENATE("#Metadata!", ADDRESS(INDEX($W$2:$W$1001,MATCH(ROWS($U$2:U974),$U$2:$U$1001,0),0), INDEX($AB$1004:$AQ$1004,1,MATCH(COLUMNS($AB$1006:AC1006),$AB$1006:$AQ$1006,0)))),"Fix")))</f>
        <v>0</v>
      </c>
      <c r="D974" s="5">
        <f>IF(OR(INDEX($V$2:$V$1001,MATCH(ROWS($U$2:U974),$U$2:$U$1001,0),1)&gt;=100000,INDEX($AB$1005:$AQ$1005,1,MATCH(COLUMNS($AB$1006:AD1006),$AB$1006:$AQ$1006,0))&gt;=100000), " ",IF(INDEX($AB$2:$AQ$1001,MATCH(ROWS($U$2:U974),$U$2:$U$1001,0),MATCH(COLUMNS($AB$1006:AD1006),$AB$1006:$AQ$1006,0)), HYPERLINK("#",""), HYPERLINK(CONCATENATE("#Metadata!", ADDRESS(INDEX($W$2:$W$1001,MATCH(ROWS($U$2:U974),$U$2:$U$1001,0),0), INDEX($AB$1004:$AQ$1004,1,MATCH(COLUMNS($AB$1006:AD1006),$AB$1006:$AQ$1006,0)))),"Fix")))</f>
        <v>0</v>
      </c>
      <c r="E974" s="5">
        <f>IF(OR(INDEX($V$2:$V$1001,MATCH(ROWS($U$2:U974),$U$2:$U$1001,0),1)&gt;=100000,INDEX($AB$1005:$AQ$1005,1,MATCH(COLUMNS($AB$1006:AE1006),$AB$1006:$AQ$1006,0))&gt;=100000), " ",IF(INDEX($AB$2:$AQ$1001,MATCH(ROWS($U$2:U974),$U$2:$U$1001,0),MATCH(COLUMNS($AB$1006:AE1006),$AB$1006:$AQ$1006,0)), HYPERLINK("#",""), HYPERLINK(CONCATENATE("#Metadata!", ADDRESS(INDEX($W$2:$W$1001,MATCH(ROWS($U$2:U974),$U$2:$U$1001,0),0), INDEX($AB$1004:$AQ$1004,1,MATCH(COLUMNS($AB$1006:AE1006),$AB$1006:$AQ$1006,0)))),"Fix")))</f>
        <v>0</v>
      </c>
      <c r="F974" s="5">
        <f>IF(OR(INDEX($V$2:$V$1001,MATCH(ROWS($U$2:U974),$U$2:$U$1001,0),1)&gt;=100000,INDEX($AB$1005:$AQ$1005,1,MATCH(COLUMNS($AB$1006:AF1006),$AB$1006:$AQ$1006,0))&gt;=100000), " ",IF(INDEX($AB$2:$AQ$1001,MATCH(ROWS($U$2:U974),$U$2:$U$1001,0),MATCH(COLUMNS($AB$1006:AF1006),$AB$1006:$AQ$1006,0)), HYPERLINK("#",""), HYPERLINK(CONCATENATE("#Metadata!", ADDRESS(INDEX($W$2:$W$1001,MATCH(ROWS($U$2:U974),$U$2:$U$1001,0),0), INDEX($AB$1004:$AQ$1004,1,MATCH(COLUMNS($AB$1006:AF1006),$AB$1006:$AQ$1006,0)))),"Fix")))</f>
        <v>0</v>
      </c>
      <c r="G974" s="5">
        <f>IF(OR(INDEX($V$2:$V$1001,MATCH(ROWS($U$2:U974),$U$2:$U$1001,0),1)&gt;=100000,INDEX($AB$1005:$AQ$1005,1,MATCH(COLUMNS($AB$1006:AG1006),$AB$1006:$AQ$1006,0))&gt;=100000), " ",IF(INDEX($AB$2:$AQ$1001,MATCH(ROWS($U$2:U974),$U$2:$U$1001,0),MATCH(COLUMNS($AB$1006:AG1006),$AB$1006:$AQ$1006,0)), HYPERLINK("#",""), HYPERLINK(CONCATENATE("#Metadata!", ADDRESS(INDEX($W$2:$W$1001,MATCH(ROWS($U$2:U974),$U$2:$U$1001,0),0), INDEX($AB$1004:$AQ$1004,1,MATCH(COLUMNS($AB$1006:AG1006),$AB$1006:$AQ$1006,0)))),"Fix")))</f>
        <v>0</v>
      </c>
      <c r="H974" s="5">
        <f>IF(OR(INDEX($V$2:$V$1001,MATCH(ROWS($U$2:U974),$U$2:$U$1001,0),1)&gt;=100000,INDEX($AB$1005:$AQ$1005,1,MATCH(COLUMNS($AB$1006:AH1006),$AB$1006:$AQ$1006,0))&gt;=100000), " ",IF(INDEX($AB$2:$AQ$1001,MATCH(ROWS($U$2:U974),$U$2:$U$1001,0),MATCH(COLUMNS($AB$1006:AH1006),$AB$1006:$AQ$1006,0)), HYPERLINK("#",""), HYPERLINK(CONCATENATE("#Metadata!", ADDRESS(INDEX($W$2:$W$1001,MATCH(ROWS($U$2:U974),$U$2:$U$1001,0),0), INDEX($AB$1004:$AQ$1004,1,MATCH(COLUMNS($AB$1006:AH1006),$AB$1006:$AQ$1006,0)))),"Fix")))</f>
        <v>0</v>
      </c>
      <c r="I974" s="5">
        <f>IF(OR(INDEX($V$2:$V$1001,MATCH(ROWS($U$2:U974),$U$2:$U$1001,0),1)&gt;=100000,INDEX($AB$1005:$AQ$1005,1,MATCH(COLUMNS($AB$1006:AI1006),$AB$1006:$AQ$1006,0))&gt;=100000), " ",IF(INDEX($AB$2:$AQ$1001,MATCH(ROWS($U$2:U974),$U$2:$U$1001,0),MATCH(COLUMNS($AB$1006:AI1006),$AB$1006:$AQ$1006,0)), HYPERLINK("#",""), HYPERLINK(CONCATENATE("#Metadata!", ADDRESS(INDEX($W$2:$W$1001,MATCH(ROWS($U$2:U974),$U$2:$U$1001,0),0), INDEX($AB$1004:$AQ$1004,1,MATCH(COLUMNS($AB$1006:AI1006),$AB$1006:$AQ$1006,0)))),"Fix")))</f>
        <v>0</v>
      </c>
      <c r="J974" s="5">
        <f>IF(OR(INDEX($V$2:$V$1001,MATCH(ROWS($U$2:U974),$U$2:$U$1001,0),1)&gt;=100000,INDEX($AB$1005:$AQ$1005,1,MATCH(COLUMNS($AB$1006:AJ1006),$AB$1006:$AQ$1006,0))&gt;=100000), " ",IF(INDEX($AB$2:$AQ$1001,MATCH(ROWS($U$2:U974),$U$2:$U$1001,0),MATCH(COLUMNS($AB$1006:AJ1006),$AB$1006:$AQ$1006,0)), HYPERLINK("#",""), HYPERLINK(CONCATENATE("#Metadata!", ADDRESS(INDEX($W$2:$W$1001,MATCH(ROWS($U$2:U974),$U$2:$U$1001,0),0), INDEX($AB$1004:$AQ$1004,1,MATCH(COLUMNS($AB$1006:AJ1006),$AB$1006:$AQ$1006,0)))),"Fix")))</f>
        <v>0</v>
      </c>
      <c r="K974" s="5">
        <f>IF(OR(INDEX($V$2:$V$1001,MATCH(ROWS($U$2:U974),$U$2:$U$1001,0),1)&gt;=100000,INDEX($AB$1005:$AQ$1005,1,MATCH(COLUMNS($AB$1006:AK1006),$AB$1006:$AQ$1006,0))&gt;=100000), " ",IF(INDEX($AB$2:$AQ$1001,MATCH(ROWS($U$2:U974),$U$2:$U$1001,0),MATCH(COLUMNS($AB$1006:AK1006),$AB$1006:$AQ$1006,0)), HYPERLINK("#",""), HYPERLINK(CONCATENATE("#Metadata!", ADDRESS(INDEX($W$2:$W$1001,MATCH(ROWS($U$2:U974),$U$2:$U$1001,0),0), INDEX($AB$1004:$AQ$1004,1,MATCH(COLUMNS($AB$1006:AK1006),$AB$1006:$AQ$1006,0)))),"Fix")))</f>
        <v>0</v>
      </c>
      <c r="L974" s="5">
        <f>IF(OR(INDEX($V$2:$V$1001,MATCH(ROWS($U$2:U974),$U$2:$U$1001,0),1)&gt;=100000,INDEX($AB$1005:$AQ$1005,1,MATCH(COLUMNS($AB$1006:AL1006),$AB$1006:$AQ$1006,0))&gt;=100000), " ",IF(INDEX($AB$2:$AQ$1001,MATCH(ROWS($U$2:U974),$U$2:$U$1001,0),MATCH(COLUMNS($AB$1006:AL1006),$AB$1006:$AQ$1006,0)), HYPERLINK("#",""), HYPERLINK(CONCATENATE("#Metadata!", ADDRESS(INDEX($W$2:$W$1001,MATCH(ROWS($U$2:U974),$U$2:$U$1001,0),0), INDEX($AB$1004:$AQ$1004,1,MATCH(COLUMNS($AB$1006:AL1006),$AB$1006:$AQ$1006,0)))),"Fix")))</f>
        <v>0</v>
      </c>
      <c r="M974" s="5">
        <f>IF(OR(INDEX($V$2:$V$1001,MATCH(ROWS($U$2:U974),$U$2:$U$1001,0),1)&gt;=100000,INDEX($AB$1005:$AQ$1005,1,MATCH(COLUMNS($AB$1006:AM1006),$AB$1006:$AQ$1006,0))&gt;=100000), " ",IF(INDEX($AB$2:$AQ$1001,MATCH(ROWS($U$2:U974),$U$2:$U$1001,0),MATCH(COLUMNS($AB$1006:AM1006),$AB$1006:$AQ$1006,0)), HYPERLINK("#",""), HYPERLINK(CONCATENATE("#Metadata!", ADDRESS(INDEX($W$2:$W$1001,MATCH(ROWS($U$2:U974),$U$2:$U$1001,0),0), INDEX($AB$1004:$AQ$1004,1,MATCH(COLUMNS($AB$1006:AM1006),$AB$1006:$AQ$1006,0)))),"Fix")))</f>
        <v>0</v>
      </c>
      <c r="N974" s="5">
        <f>IF(OR(INDEX($V$2:$V$1001,MATCH(ROWS($U$2:U974),$U$2:$U$1001,0),1)&gt;=100000,INDEX($AB$1005:$AQ$1005,1,MATCH(COLUMNS($AB$1006:AN1006),$AB$1006:$AQ$1006,0))&gt;=100000), " ",IF(INDEX($AB$2:$AQ$1001,MATCH(ROWS($U$2:U974),$U$2:$U$1001,0),MATCH(COLUMNS($AB$1006:AN1006),$AB$1006:$AQ$1006,0)), HYPERLINK("#",""), HYPERLINK(CONCATENATE("#Metadata!", ADDRESS(INDEX($W$2:$W$1001,MATCH(ROWS($U$2:U974),$U$2:$U$1001,0),0), INDEX($AB$1004:$AQ$1004,1,MATCH(COLUMNS($AB$1006:AN1006),$AB$1006:$AQ$1006,0)))),"Fix")))</f>
        <v>0</v>
      </c>
      <c r="O974" s="5">
        <f>IF(OR(INDEX($V$2:$V$1001,MATCH(ROWS($U$2:U974),$U$2:$U$1001,0),1)&gt;=100000,INDEX($AB$1005:$AQ$1005,1,MATCH(COLUMNS($AB$1006:AO1006),$AB$1006:$AQ$1006,0))&gt;=100000), " ",IF(INDEX($AB$2:$AQ$1001,MATCH(ROWS($U$2:U974),$U$2:$U$1001,0),MATCH(COLUMNS($AB$1006:AO1006),$AB$1006:$AQ$1006,0)), HYPERLINK("#",""), HYPERLINK(CONCATENATE("#Metadata!", ADDRESS(INDEX($W$2:$W$1001,MATCH(ROWS($U$2:U974),$U$2:$U$1001,0),0), INDEX($AB$1004:$AQ$1004,1,MATCH(COLUMNS($AB$1006:AO1006),$AB$1006:$AQ$1006,0)))),"Fix")))</f>
        <v>0</v>
      </c>
      <c r="P974" s="5">
        <f>IF(OR(INDEX($V$2:$V$1001,MATCH(ROWS($U$2:U974),$U$2:$U$1001,0),1)&gt;=100000,INDEX($AB$1005:$AQ$1005,1,MATCH(COLUMNS($AB$1006:AP1006),$AB$1006:$AQ$1006,0))&gt;=100000), " ",IF(INDEX($AB$2:$AQ$1001,MATCH(ROWS($U$2:U974),$U$2:$U$1001,0),MATCH(COLUMNS($AB$1006:AP1006),$AB$1006:$AQ$1006,0)), HYPERLINK("#",""), HYPERLINK(CONCATENATE("#Metadata!", ADDRESS(INDEX($W$2:$W$1001,MATCH(ROWS($U$2:U974),$U$2:$U$1001,0),0), INDEX($AB$1004:$AQ$1004,1,MATCH(COLUMNS($AB$1006:AP1006),$AB$1006:$AQ$1006,0)))),"Fix")))</f>
        <v>0</v>
      </c>
      <c r="Q974" s="5">
        <f>IF(OR(INDEX($V$2:$V$1001,MATCH(ROWS($U$2:U974),$U$2:$U$1001,0),1)&gt;=100000,INDEX($AB$1005:$AQ$1005,1,MATCH(COLUMNS($AB$1006:AQ1006),$AB$1006:$AQ$1006,0))&gt;=100000), " ",IF(INDEX($AB$2:$AQ$1001,MATCH(ROWS($U$2:U974),$U$2:$U$1001,0),MATCH(COLUMNS($AB$1006:AQ1006),$AB$1006:$AQ$1006,0)), HYPERLINK("#",""), HYPERLINK(CONCATENATE("#Metadata!", ADDRESS(INDEX($W$2:$W$1001,MATCH(ROWS($U$2:U974),$U$2:$U$1001,0),0), INDEX($AB$1004:$AQ$1004,1,MATCH(COLUMNS($AB$1006:AQ1006),$AB$1006:$AQ$1006,0)))),"Fix")))</f>
        <v>0</v>
      </c>
      <c r="U974">
        <v>0</v>
      </c>
      <c r="V974">
        <v>0</v>
      </c>
      <c r="W974">
        <v>0</v>
      </c>
      <c r="X974">
        <f>IF(Y974,TRUE,AND(AB974:AQ974))</f>
        <v>0</v>
      </c>
      <c r="Y974">
        <f>COUNTBLANK(Metadata!B974:Q974)=COLUMNS(Metadata!B974:Q974)</f>
        <v>0</v>
      </c>
      <c r="Z974">
        <v>0</v>
      </c>
      <c r="AB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AC974">
        <f>AND(IF(Metadata!C974="",FALSE,TRUE),exact(Metadata!C974,"urban biome"))</f>
        <v>0</v>
      </c>
      <c r="AD974">
        <f>AND(IF(Metadata!D974="",FALSE,TRUE),exact(Metadata!D974,"human-associated habitat"))</f>
        <v>0</v>
      </c>
      <c r="AE974">
        <f>AND(IF(Metadata!E974="",FALSE,TRUE),OR(exact(Metadata!E974,"human-associated"),exact(Metadata!E974,"human-skin"),exact(Metadata!E974,"human-oral"),exact(Metadata!E974,"human-gut"),exact(Metadata!E974,"human-vaginal")))</f>
        <v>0</v>
      </c>
      <c r="AF974">
        <f>AND(IF(Metadata!F974="",FALSE,ISNUMBER(VALUE(Metadata!F974))),Metadata!F974&gt;0)</f>
        <v>0</v>
      </c>
      <c r="AG974">
        <f>AND(IF(Metadata!G974="",FALSE,TRUE),exact(Metadata!G974,"years"))</f>
        <v>0</v>
      </c>
      <c r="AH974">
        <f>OR(AND(IF(Metadata!H974="",FALSE,TRUE),OR(exact(Metadata!H974,"not applicable"),exact(Metadata!H974,"not collected"),exact(Metadata!H974,"not provided"),exact(Metadata!H974,"restricted access"))),AND(IF(Metadata!H974="",FALSE,ISNUMBER(VALUE(Metadata!H974))),Metadata!H974&gt;0))</f>
        <v>0</v>
      </c>
      <c r="AI974">
        <f>AND(IF(Metadata!I974="",FALSE,TRUE),exact(Metadata!I974,"human"))</f>
        <v>0</v>
      </c>
      <c r="AJ974">
        <f>AND(IF(Metadata!J974="",FALSE,ISNUMBER(VALUE(Metadata!J974))),Metadata!J974&gt;0)</f>
        <v>0</v>
      </c>
      <c r="AK974">
        <f>AND(IF(Metadata!K974="",FALSE,TRUE),exact(Metadata!K974,"cm"))</f>
        <v>0</v>
      </c>
      <c r="AL974">
        <f>AND(IF(Metadata!L974="",FALSE,TRUE),exact(Metadata!L974,"Homo sapiens"))</f>
        <v>0</v>
      </c>
      <c r="AM974">
        <f>AND(IF(Metadata!M974="",FALSE,TRUE),exact(Metadata!M974,"9606"))</f>
        <v>0</v>
      </c>
      <c r="AN974">
        <f>AND(IF(Metadata!N974="",FALSE,ISNUMBER(VALUE(Metadata!N974))),Metadata!N974&gt;0)</f>
        <v>0</v>
      </c>
      <c r="AO974">
        <f>AND(IF(Metadata!O974="",FALSE,TRUE),exact(Metadata!O974,"kg"))</f>
        <v>0</v>
      </c>
      <c r="AP974">
        <f>OR(AND(IF(Metadata!P974="",FALSE,TRUE),exact(Metadata!P974,"not provided")),IF(Metadata!P974="",FALSE,TRUE))</f>
        <v>0</v>
      </c>
      <c r="AQ974">
        <f>OR(AND(IF(Metadata!Q974="",FALSE,TRUE),exact(Metadata!Q974,"not provided")),IF(Metadata!Q974="",FALSE,TRUE))</f>
        <v>0</v>
      </c>
    </row>
    <row r="975" spans="1:43">
      <c r="A975" s="4">
        <f>IF(B975=" "," ",HYPERLINK(CONCATENATE("#metadata!",ADDRESS(INDEX($W$2:$W$1001,MATCH(ROWS($U$2:U975),$U$2:$U$1001,0),0),2)),INDEX($Z$2:$Z$1001,MATCH(ROWS($U$2:U975),$U$2:$U$1001,0),0)))</f>
        <v>0</v>
      </c>
      <c r="B975" s="5">
        <f>IF(OR(INDEX($V$2:$V$1001,MATCH(ROWS($U$2:U975),$U$2:$U$1001,0),1)&gt;=100000,INDEX($AB$1005:$AQ$1005,1,MATCH(COLUMNS($AB$1006:AB1006),$AB$1006:$AQ$1006,0))&gt;=100000), " ",IF(INDEX($AB$2:$AQ$1001,MATCH(ROWS($U$2:U975),$U$2:$U$1001,0),MATCH(COLUMNS($AB$1006:AB1006),$AB$1006:$AQ$1006,0)), HYPERLINK("#",""), HYPERLINK(CONCATENATE("#Metadata!", ADDRESS(INDEX($W$2:$W$1001,MATCH(ROWS($U$2:U975),$U$2:$U$1001,0),0), INDEX($AB$1004:$AQ$1004,1,MATCH(COLUMNS($AB$1006:AB1006),$AB$1006:$AQ$1006,0)))),"Fix")))</f>
        <v>0</v>
      </c>
      <c r="C975" s="5">
        <f>IF(OR(INDEX($V$2:$V$1001,MATCH(ROWS($U$2:U975),$U$2:$U$1001,0),1)&gt;=100000,INDEX($AB$1005:$AQ$1005,1,MATCH(COLUMNS($AB$1006:AC1006),$AB$1006:$AQ$1006,0))&gt;=100000), " ",IF(INDEX($AB$2:$AQ$1001,MATCH(ROWS($U$2:U975),$U$2:$U$1001,0),MATCH(COLUMNS($AB$1006:AC1006),$AB$1006:$AQ$1006,0)), HYPERLINK("#",""), HYPERLINK(CONCATENATE("#Metadata!", ADDRESS(INDEX($W$2:$W$1001,MATCH(ROWS($U$2:U975),$U$2:$U$1001,0),0), INDEX($AB$1004:$AQ$1004,1,MATCH(COLUMNS($AB$1006:AC1006),$AB$1006:$AQ$1006,0)))),"Fix")))</f>
        <v>0</v>
      </c>
      <c r="D975" s="5">
        <f>IF(OR(INDEX($V$2:$V$1001,MATCH(ROWS($U$2:U975),$U$2:$U$1001,0),1)&gt;=100000,INDEX($AB$1005:$AQ$1005,1,MATCH(COLUMNS($AB$1006:AD1006),$AB$1006:$AQ$1006,0))&gt;=100000), " ",IF(INDEX($AB$2:$AQ$1001,MATCH(ROWS($U$2:U975),$U$2:$U$1001,0),MATCH(COLUMNS($AB$1006:AD1006),$AB$1006:$AQ$1006,0)), HYPERLINK("#",""), HYPERLINK(CONCATENATE("#Metadata!", ADDRESS(INDEX($W$2:$W$1001,MATCH(ROWS($U$2:U975),$U$2:$U$1001,0),0), INDEX($AB$1004:$AQ$1004,1,MATCH(COLUMNS($AB$1006:AD1006),$AB$1006:$AQ$1006,0)))),"Fix")))</f>
        <v>0</v>
      </c>
      <c r="E975" s="5">
        <f>IF(OR(INDEX($V$2:$V$1001,MATCH(ROWS($U$2:U975),$U$2:$U$1001,0),1)&gt;=100000,INDEX($AB$1005:$AQ$1005,1,MATCH(COLUMNS($AB$1006:AE1006),$AB$1006:$AQ$1006,0))&gt;=100000), " ",IF(INDEX($AB$2:$AQ$1001,MATCH(ROWS($U$2:U975),$U$2:$U$1001,0),MATCH(COLUMNS($AB$1006:AE1006),$AB$1006:$AQ$1006,0)), HYPERLINK("#",""), HYPERLINK(CONCATENATE("#Metadata!", ADDRESS(INDEX($W$2:$W$1001,MATCH(ROWS($U$2:U975),$U$2:$U$1001,0),0), INDEX($AB$1004:$AQ$1004,1,MATCH(COLUMNS($AB$1006:AE1006),$AB$1006:$AQ$1006,0)))),"Fix")))</f>
        <v>0</v>
      </c>
      <c r="F975" s="5">
        <f>IF(OR(INDEX($V$2:$V$1001,MATCH(ROWS($U$2:U975),$U$2:$U$1001,0),1)&gt;=100000,INDEX($AB$1005:$AQ$1005,1,MATCH(COLUMNS($AB$1006:AF1006),$AB$1006:$AQ$1006,0))&gt;=100000), " ",IF(INDEX($AB$2:$AQ$1001,MATCH(ROWS($U$2:U975),$U$2:$U$1001,0),MATCH(COLUMNS($AB$1006:AF1006),$AB$1006:$AQ$1006,0)), HYPERLINK("#",""), HYPERLINK(CONCATENATE("#Metadata!", ADDRESS(INDEX($W$2:$W$1001,MATCH(ROWS($U$2:U975),$U$2:$U$1001,0),0), INDEX($AB$1004:$AQ$1004,1,MATCH(COLUMNS($AB$1006:AF1006),$AB$1006:$AQ$1006,0)))),"Fix")))</f>
        <v>0</v>
      </c>
      <c r="G975" s="5">
        <f>IF(OR(INDEX($V$2:$V$1001,MATCH(ROWS($U$2:U975),$U$2:$U$1001,0),1)&gt;=100000,INDEX($AB$1005:$AQ$1005,1,MATCH(COLUMNS($AB$1006:AG1006),$AB$1006:$AQ$1006,0))&gt;=100000), " ",IF(INDEX($AB$2:$AQ$1001,MATCH(ROWS($U$2:U975),$U$2:$U$1001,0),MATCH(COLUMNS($AB$1006:AG1006),$AB$1006:$AQ$1006,0)), HYPERLINK("#",""), HYPERLINK(CONCATENATE("#Metadata!", ADDRESS(INDEX($W$2:$W$1001,MATCH(ROWS($U$2:U975),$U$2:$U$1001,0),0), INDEX($AB$1004:$AQ$1004,1,MATCH(COLUMNS($AB$1006:AG1006),$AB$1006:$AQ$1006,0)))),"Fix")))</f>
        <v>0</v>
      </c>
      <c r="H975" s="5">
        <f>IF(OR(INDEX($V$2:$V$1001,MATCH(ROWS($U$2:U975),$U$2:$U$1001,0),1)&gt;=100000,INDEX($AB$1005:$AQ$1005,1,MATCH(COLUMNS($AB$1006:AH1006),$AB$1006:$AQ$1006,0))&gt;=100000), " ",IF(INDEX($AB$2:$AQ$1001,MATCH(ROWS($U$2:U975),$U$2:$U$1001,0),MATCH(COLUMNS($AB$1006:AH1006),$AB$1006:$AQ$1006,0)), HYPERLINK("#",""), HYPERLINK(CONCATENATE("#Metadata!", ADDRESS(INDEX($W$2:$W$1001,MATCH(ROWS($U$2:U975),$U$2:$U$1001,0),0), INDEX($AB$1004:$AQ$1004,1,MATCH(COLUMNS($AB$1006:AH1006),$AB$1006:$AQ$1006,0)))),"Fix")))</f>
        <v>0</v>
      </c>
      <c r="I975" s="5">
        <f>IF(OR(INDEX($V$2:$V$1001,MATCH(ROWS($U$2:U975),$U$2:$U$1001,0),1)&gt;=100000,INDEX($AB$1005:$AQ$1005,1,MATCH(COLUMNS($AB$1006:AI1006),$AB$1006:$AQ$1006,0))&gt;=100000), " ",IF(INDEX($AB$2:$AQ$1001,MATCH(ROWS($U$2:U975),$U$2:$U$1001,0),MATCH(COLUMNS($AB$1006:AI1006),$AB$1006:$AQ$1006,0)), HYPERLINK("#",""), HYPERLINK(CONCATENATE("#Metadata!", ADDRESS(INDEX($W$2:$W$1001,MATCH(ROWS($U$2:U975),$U$2:$U$1001,0),0), INDEX($AB$1004:$AQ$1004,1,MATCH(COLUMNS($AB$1006:AI1006),$AB$1006:$AQ$1006,0)))),"Fix")))</f>
        <v>0</v>
      </c>
      <c r="J975" s="5">
        <f>IF(OR(INDEX($V$2:$V$1001,MATCH(ROWS($U$2:U975),$U$2:$U$1001,0),1)&gt;=100000,INDEX($AB$1005:$AQ$1005,1,MATCH(COLUMNS($AB$1006:AJ1006),$AB$1006:$AQ$1006,0))&gt;=100000), " ",IF(INDEX($AB$2:$AQ$1001,MATCH(ROWS($U$2:U975),$U$2:$U$1001,0),MATCH(COLUMNS($AB$1006:AJ1006),$AB$1006:$AQ$1006,0)), HYPERLINK("#",""), HYPERLINK(CONCATENATE("#Metadata!", ADDRESS(INDEX($W$2:$W$1001,MATCH(ROWS($U$2:U975),$U$2:$U$1001,0),0), INDEX($AB$1004:$AQ$1004,1,MATCH(COLUMNS($AB$1006:AJ1006),$AB$1006:$AQ$1006,0)))),"Fix")))</f>
        <v>0</v>
      </c>
      <c r="K975" s="5">
        <f>IF(OR(INDEX($V$2:$V$1001,MATCH(ROWS($U$2:U975),$U$2:$U$1001,0),1)&gt;=100000,INDEX($AB$1005:$AQ$1005,1,MATCH(COLUMNS($AB$1006:AK1006),$AB$1006:$AQ$1006,0))&gt;=100000), " ",IF(INDEX($AB$2:$AQ$1001,MATCH(ROWS($U$2:U975),$U$2:$U$1001,0),MATCH(COLUMNS($AB$1006:AK1006),$AB$1006:$AQ$1006,0)), HYPERLINK("#",""), HYPERLINK(CONCATENATE("#Metadata!", ADDRESS(INDEX($W$2:$W$1001,MATCH(ROWS($U$2:U975),$U$2:$U$1001,0),0), INDEX($AB$1004:$AQ$1004,1,MATCH(COLUMNS($AB$1006:AK1006),$AB$1006:$AQ$1006,0)))),"Fix")))</f>
        <v>0</v>
      </c>
      <c r="L975" s="5">
        <f>IF(OR(INDEX($V$2:$V$1001,MATCH(ROWS($U$2:U975),$U$2:$U$1001,0),1)&gt;=100000,INDEX($AB$1005:$AQ$1005,1,MATCH(COLUMNS($AB$1006:AL1006),$AB$1006:$AQ$1006,0))&gt;=100000), " ",IF(INDEX($AB$2:$AQ$1001,MATCH(ROWS($U$2:U975),$U$2:$U$1001,0),MATCH(COLUMNS($AB$1006:AL1006),$AB$1006:$AQ$1006,0)), HYPERLINK("#",""), HYPERLINK(CONCATENATE("#Metadata!", ADDRESS(INDEX($W$2:$W$1001,MATCH(ROWS($U$2:U975),$U$2:$U$1001,0),0), INDEX($AB$1004:$AQ$1004,1,MATCH(COLUMNS($AB$1006:AL1006),$AB$1006:$AQ$1006,0)))),"Fix")))</f>
        <v>0</v>
      </c>
      <c r="M975" s="5">
        <f>IF(OR(INDEX($V$2:$V$1001,MATCH(ROWS($U$2:U975),$U$2:$U$1001,0),1)&gt;=100000,INDEX($AB$1005:$AQ$1005,1,MATCH(COLUMNS($AB$1006:AM1006),$AB$1006:$AQ$1006,0))&gt;=100000), " ",IF(INDEX($AB$2:$AQ$1001,MATCH(ROWS($U$2:U975),$U$2:$U$1001,0),MATCH(COLUMNS($AB$1006:AM1006),$AB$1006:$AQ$1006,0)), HYPERLINK("#",""), HYPERLINK(CONCATENATE("#Metadata!", ADDRESS(INDEX($W$2:$W$1001,MATCH(ROWS($U$2:U975),$U$2:$U$1001,0),0), INDEX($AB$1004:$AQ$1004,1,MATCH(COLUMNS($AB$1006:AM1006),$AB$1006:$AQ$1006,0)))),"Fix")))</f>
        <v>0</v>
      </c>
      <c r="N975" s="5">
        <f>IF(OR(INDEX($V$2:$V$1001,MATCH(ROWS($U$2:U975),$U$2:$U$1001,0),1)&gt;=100000,INDEX($AB$1005:$AQ$1005,1,MATCH(COLUMNS($AB$1006:AN1006),$AB$1006:$AQ$1006,0))&gt;=100000), " ",IF(INDEX($AB$2:$AQ$1001,MATCH(ROWS($U$2:U975),$U$2:$U$1001,0),MATCH(COLUMNS($AB$1006:AN1006),$AB$1006:$AQ$1006,0)), HYPERLINK("#",""), HYPERLINK(CONCATENATE("#Metadata!", ADDRESS(INDEX($W$2:$W$1001,MATCH(ROWS($U$2:U975),$U$2:$U$1001,0),0), INDEX($AB$1004:$AQ$1004,1,MATCH(COLUMNS($AB$1006:AN1006),$AB$1006:$AQ$1006,0)))),"Fix")))</f>
        <v>0</v>
      </c>
      <c r="O975" s="5">
        <f>IF(OR(INDEX($V$2:$V$1001,MATCH(ROWS($U$2:U975),$U$2:$U$1001,0),1)&gt;=100000,INDEX($AB$1005:$AQ$1005,1,MATCH(COLUMNS($AB$1006:AO1006),$AB$1006:$AQ$1006,0))&gt;=100000), " ",IF(INDEX($AB$2:$AQ$1001,MATCH(ROWS($U$2:U975),$U$2:$U$1001,0),MATCH(COLUMNS($AB$1006:AO1006),$AB$1006:$AQ$1006,0)), HYPERLINK("#",""), HYPERLINK(CONCATENATE("#Metadata!", ADDRESS(INDEX($W$2:$W$1001,MATCH(ROWS($U$2:U975),$U$2:$U$1001,0),0), INDEX($AB$1004:$AQ$1004,1,MATCH(COLUMNS($AB$1006:AO1006),$AB$1006:$AQ$1006,0)))),"Fix")))</f>
        <v>0</v>
      </c>
      <c r="P975" s="5">
        <f>IF(OR(INDEX($V$2:$V$1001,MATCH(ROWS($U$2:U975),$U$2:$U$1001,0),1)&gt;=100000,INDEX($AB$1005:$AQ$1005,1,MATCH(COLUMNS($AB$1006:AP1006),$AB$1006:$AQ$1006,0))&gt;=100000), " ",IF(INDEX($AB$2:$AQ$1001,MATCH(ROWS($U$2:U975),$U$2:$U$1001,0),MATCH(COLUMNS($AB$1006:AP1006),$AB$1006:$AQ$1006,0)), HYPERLINK("#",""), HYPERLINK(CONCATENATE("#Metadata!", ADDRESS(INDEX($W$2:$W$1001,MATCH(ROWS($U$2:U975),$U$2:$U$1001,0),0), INDEX($AB$1004:$AQ$1004,1,MATCH(COLUMNS($AB$1006:AP1006),$AB$1006:$AQ$1006,0)))),"Fix")))</f>
        <v>0</v>
      </c>
      <c r="Q975" s="5">
        <f>IF(OR(INDEX($V$2:$V$1001,MATCH(ROWS($U$2:U975),$U$2:$U$1001,0),1)&gt;=100000,INDEX($AB$1005:$AQ$1005,1,MATCH(COLUMNS($AB$1006:AQ1006),$AB$1006:$AQ$1006,0))&gt;=100000), " ",IF(INDEX($AB$2:$AQ$1001,MATCH(ROWS($U$2:U975),$U$2:$U$1001,0),MATCH(COLUMNS($AB$1006:AQ1006),$AB$1006:$AQ$1006,0)), HYPERLINK("#",""), HYPERLINK(CONCATENATE("#Metadata!", ADDRESS(INDEX($W$2:$W$1001,MATCH(ROWS($U$2:U975),$U$2:$U$1001,0),0), INDEX($AB$1004:$AQ$1004,1,MATCH(COLUMNS($AB$1006:AQ1006),$AB$1006:$AQ$1006,0)))),"Fix")))</f>
        <v>0</v>
      </c>
      <c r="U975">
        <v>0</v>
      </c>
      <c r="V975">
        <v>0</v>
      </c>
      <c r="W975">
        <v>0</v>
      </c>
      <c r="X975">
        <f>IF(Y975,TRUE,AND(AB975:AQ975))</f>
        <v>0</v>
      </c>
      <c r="Y975">
        <f>COUNTBLANK(Metadata!B975:Q975)=COLUMNS(Metadata!B975:Q975)</f>
        <v>0</v>
      </c>
      <c r="Z975">
        <v>0</v>
      </c>
      <c r="AB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AC975">
        <f>AND(IF(Metadata!C975="",FALSE,TRUE),exact(Metadata!C975,"urban biome"))</f>
        <v>0</v>
      </c>
      <c r="AD975">
        <f>AND(IF(Metadata!D975="",FALSE,TRUE),exact(Metadata!D975,"human-associated habitat"))</f>
        <v>0</v>
      </c>
      <c r="AE975">
        <f>AND(IF(Metadata!E975="",FALSE,TRUE),OR(exact(Metadata!E975,"human-associated"),exact(Metadata!E975,"human-skin"),exact(Metadata!E975,"human-oral"),exact(Metadata!E975,"human-gut"),exact(Metadata!E975,"human-vaginal")))</f>
        <v>0</v>
      </c>
      <c r="AF975">
        <f>AND(IF(Metadata!F975="",FALSE,ISNUMBER(VALUE(Metadata!F975))),Metadata!F975&gt;0)</f>
        <v>0</v>
      </c>
      <c r="AG975">
        <f>AND(IF(Metadata!G975="",FALSE,TRUE),exact(Metadata!G975,"years"))</f>
        <v>0</v>
      </c>
      <c r="AH975">
        <f>OR(AND(IF(Metadata!H975="",FALSE,TRUE),OR(exact(Metadata!H975,"not applicable"),exact(Metadata!H975,"not collected"),exact(Metadata!H975,"not provided"),exact(Metadata!H975,"restricted access"))),AND(IF(Metadata!H975="",FALSE,ISNUMBER(VALUE(Metadata!H975))),Metadata!H975&gt;0))</f>
        <v>0</v>
      </c>
      <c r="AI975">
        <f>AND(IF(Metadata!I975="",FALSE,TRUE),exact(Metadata!I975,"human"))</f>
        <v>0</v>
      </c>
      <c r="AJ975">
        <f>AND(IF(Metadata!J975="",FALSE,ISNUMBER(VALUE(Metadata!J975))),Metadata!J975&gt;0)</f>
        <v>0</v>
      </c>
      <c r="AK975">
        <f>AND(IF(Metadata!K975="",FALSE,TRUE),exact(Metadata!K975,"cm"))</f>
        <v>0</v>
      </c>
      <c r="AL975">
        <f>AND(IF(Metadata!L975="",FALSE,TRUE),exact(Metadata!L975,"Homo sapiens"))</f>
        <v>0</v>
      </c>
      <c r="AM975">
        <f>AND(IF(Metadata!M975="",FALSE,TRUE),exact(Metadata!M975,"9606"))</f>
        <v>0</v>
      </c>
      <c r="AN975">
        <f>AND(IF(Metadata!N975="",FALSE,ISNUMBER(VALUE(Metadata!N975))),Metadata!N975&gt;0)</f>
        <v>0</v>
      </c>
      <c r="AO975">
        <f>AND(IF(Metadata!O975="",FALSE,TRUE),exact(Metadata!O975,"kg"))</f>
        <v>0</v>
      </c>
      <c r="AP975">
        <f>OR(AND(IF(Metadata!P975="",FALSE,TRUE),exact(Metadata!P975,"not provided")),IF(Metadata!P975="",FALSE,TRUE))</f>
        <v>0</v>
      </c>
      <c r="AQ975">
        <f>OR(AND(IF(Metadata!Q975="",FALSE,TRUE),exact(Metadata!Q975,"not provided")),IF(Metadata!Q975="",FALSE,TRUE))</f>
        <v>0</v>
      </c>
    </row>
    <row r="976" spans="1:43">
      <c r="A976" s="4">
        <f>IF(B976=" "," ",HYPERLINK(CONCATENATE("#metadata!",ADDRESS(INDEX($W$2:$W$1001,MATCH(ROWS($U$2:U976),$U$2:$U$1001,0),0),2)),INDEX($Z$2:$Z$1001,MATCH(ROWS($U$2:U976),$U$2:$U$1001,0),0)))</f>
        <v>0</v>
      </c>
      <c r="B976" s="5">
        <f>IF(OR(INDEX($V$2:$V$1001,MATCH(ROWS($U$2:U976),$U$2:$U$1001,0),1)&gt;=100000,INDEX($AB$1005:$AQ$1005,1,MATCH(COLUMNS($AB$1006:AB1006),$AB$1006:$AQ$1006,0))&gt;=100000), " ",IF(INDEX($AB$2:$AQ$1001,MATCH(ROWS($U$2:U976),$U$2:$U$1001,0),MATCH(COLUMNS($AB$1006:AB1006),$AB$1006:$AQ$1006,0)), HYPERLINK("#",""), HYPERLINK(CONCATENATE("#Metadata!", ADDRESS(INDEX($W$2:$W$1001,MATCH(ROWS($U$2:U976),$U$2:$U$1001,0),0), INDEX($AB$1004:$AQ$1004,1,MATCH(COLUMNS($AB$1006:AB1006),$AB$1006:$AQ$1006,0)))),"Fix")))</f>
        <v>0</v>
      </c>
      <c r="C976" s="5">
        <f>IF(OR(INDEX($V$2:$V$1001,MATCH(ROWS($U$2:U976),$U$2:$U$1001,0),1)&gt;=100000,INDEX($AB$1005:$AQ$1005,1,MATCH(COLUMNS($AB$1006:AC1006),$AB$1006:$AQ$1006,0))&gt;=100000), " ",IF(INDEX($AB$2:$AQ$1001,MATCH(ROWS($U$2:U976),$U$2:$U$1001,0),MATCH(COLUMNS($AB$1006:AC1006),$AB$1006:$AQ$1006,0)), HYPERLINK("#",""), HYPERLINK(CONCATENATE("#Metadata!", ADDRESS(INDEX($W$2:$W$1001,MATCH(ROWS($U$2:U976),$U$2:$U$1001,0),0), INDEX($AB$1004:$AQ$1004,1,MATCH(COLUMNS($AB$1006:AC1006),$AB$1006:$AQ$1006,0)))),"Fix")))</f>
        <v>0</v>
      </c>
      <c r="D976" s="5">
        <f>IF(OR(INDEX($V$2:$V$1001,MATCH(ROWS($U$2:U976),$U$2:$U$1001,0),1)&gt;=100000,INDEX($AB$1005:$AQ$1005,1,MATCH(COLUMNS($AB$1006:AD1006),$AB$1006:$AQ$1006,0))&gt;=100000), " ",IF(INDEX($AB$2:$AQ$1001,MATCH(ROWS($U$2:U976),$U$2:$U$1001,0),MATCH(COLUMNS($AB$1006:AD1006),$AB$1006:$AQ$1006,0)), HYPERLINK("#",""), HYPERLINK(CONCATENATE("#Metadata!", ADDRESS(INDEX($W$2:$W$1001,MATCH(ROWS($U$2:U976),$U$2:$U$1001,0),0), INDEX($AB$1004:$AQ$1004,1,MATCH(COLUMNS($AB$1006:AD1006),$AB$1006:$AQ$1006,0)))),"Fix")))</f>
        <v>0</v>
      </c>
      <c r="E976" s="5">
        <f>IF(OR(INDEX($V$2:$V$1001,MATCH(ROWS($U$2:U976),$U$2:$U$1001,0),1)&gt;=100000,INDEX($AB$1005:$AQ$1005,1,MATCH(COLUMNS($AB$1006:AE1006),$AB$1006:$AQ$1006,0))&gt;=100000), " ",IF(INDEX($AB$2:$AQ$1001,MATCH(ROWS($U$2:U976),$U$2:$U$1001,0),MATCH(COLUMNS($AB$1006:AE1006),$AB$1006:$AQ$1006,0)), HYPERLINK("#",""), HYPERLINK(CONCATENATE("#Metadata!", ADDRESS(INDEX($W$2:$W$1001,MATCH(ROWS($U$2:U976),$U$2:$U$1001,0),0), INDEX($AB$1004:$AQ$1004,1,MATCH(COLUMNS($AB$1006:AE1006),$AB$1006:$AQ$1006,0)))),"Fix")))</f>
        <v>0</v>
      </c>
      <c r="F976" s="5">
        <f>IF(OR(INDEX($V$2:$V$1001,MATCH(ROWS($U$2:U976),$U$2:$U$1001,0),1)&gt;=100000,INDEX($AB$1005:$AQ$1005,1,MATCH(COLUMNS($AB$1006:AF1006),$AB$1006:$AQ$1006,0))&gt;=100000), " ",IF(INDEX($AB$2:$AQ$1001,MATCH(ROWS($U$2:U976),$U$2:$U$1001,0),MATCH(COLUMNS($AB$1006:AF1006),$AB$1006:$AQ$1006,0)), HYPERLINK("#",""), HYPERLINK(CONCATENATE("#Metadata!", ADDRESS(INDEX($W$2:$W$1001,MATCH(ROWS($U$2:U976),$U$2:$U$1001,0),0), INDEX($AB$1004:$AQ$1004,1,MATCH(COLUMNS($AB$1006:AF1006),$AB$1006:$AQ$1006,0)))),"Fix")))</f>
        <v>0</v>
      </c>
      <c r="G976" s="5">
        <f>IF(OR(INDEX($V$2:$V$1001,MATCH(ROWS($U$2:U976),$U$2:$U$1001,0),1)&gt;=100000,INDEX($AB$1005:$AQ$1005,1,MATCH(COLUMNS($AB$1006:AG1006),$AB$1006:$AQ$1006,0))&gt;=100000), " ",IF(INDEX($AB$2:$AQ$1001,MATCH(ROWS($U$2:U976),$U$2:$U$1001,0),MATCH(COLUMNS($AB$1006:AG1006),$AB$1006:$AQ$1006,0)), HYPERLINK("#",""), HYPERLINK(CONCATENATE("#Metadata!", ADDRESS(INDEX($W$2:$W$1001,MATCH(ROWS($U$2:U976),$U$2:$U$1001,0),0), INDEX($AB$1004:$AQ$1004,1,MATCH(COLUMNS($AB$1006:AG1006),$AB$1006:$AQ$1006,0)))),"Fix")))</f>
        <v>0</v>
      </c>
      <c r="H976" s="5">
        <f>IF(OR(INDEX($V$2:$V$1001,MATCH(ROWS($U$2:U976),$U$2:$U$1001,0),1)&gt;=100000,INDEX($AB$1005:$AQ$1005,1,MATCH(COLUMNS($AB$1006:AH1006),$AB$1006:$AQ$1006,0))&gt;=100000), " ",IF(INDEX($AB$2:$AQ$1001,MATCH(ROWS($U$2:U976),$U$2:$U$1001,0),MATCH(COLUMNS($AB$1006:AH1006),$AB$1006:$AQ$1006,0)), HYPERLINK("#",""), HYPERLINK(CONCATENATE("#Metadata!", ADDRESS(INDEX($W$2:$W$1001,MATCH(ROWS($U$2:U976),$U$2:$U$1001,0),0), INDEX($AB$1004:$AQ$1004,1,MATCH(COLUMNS($AB$1006:AH1006),$AB$1006:$AQ$1006,0)))),"Fix")))</f>
        <v>0</v>
      </c>
      <c r="I976" s="5">
        <f>IF(OR(INDEX($V$2:$V$1001,MATCH(ROWS($U$2:U976),$U$2:$U$1001,0),1)&gt;=100000,INDEX($AB$1005:$AQ$1005,1,MATCH(COLUMNS($AB$1006:AI1006),$AB$1006:$AQ$1006,0))&gt;=100000), " ",IF(INDEX($AB$2:$AQ$1001,MATCH(ROWS($U$2:U976),$U$2:$U$1001,0),MATCH(COLUMNS($AB$1006:AI1006),$AB$1006:$AQ$1006,0)), HYPERLINK("#",""), HYPERLINK(CONCATENATE("#Metadata!", ADDRESS(INDEX($W$2:$W$1001,MATCH(ROWS($U$2:U976),$U$2:$U$1001,0),0), INDEX($AB$1004:$AQ$1004,1,MATCH(COLUMNS($AB$1006:AI1006),$AB$1006:$AQ$1006,0)))),"Fix")))</f>
        <v>0</v>
      </c>
      <c r="J976" s="5">
        <f>IF(OR(INDEX($V$2:$V$1001,MATCH(ROWS($U$2:U976),$U$2:$U$1001,0),1)&gt;=100000,INDEX($AB$1005:$AQ$1005,1,MATCH(COLUMNS($AB$1006:AJ1006),$AB$1006:$AQ$1006,0))&gt;=100000), " ",IF(INDEX($AB$2:$AQ$1001,MATCH(ROWS($U$2:U976),$U$2:$U$1001,0),MATCH(COLUMNS($AB$1006:AJ1006),$AB$1006:$AQ$1006,0)), HYPERLINK("#",""), HYPERLINK(CONCATENATE("#Metadata!", ADDRESS(INDEX($W$2:$W$1001,MATCH(ROWS($U$2:U976),$U$2:$U$1001,0),0), INDEX($AB$1004:$AQ$1004,1,MATCH(COLUMNS($AB$1006:AJ1006),$AB$1006:$AQ$1006,0)))),"Fix")))</f>
        <v>0</v>
      </c>
      <c r="K976" s="5">
        <f>IF(OR(INDEX($V$2:$V$1001,MATCH(ROWS($U$2:U976),$U$2:$U$1001,0),1)&gt;=100000,INDEX($AB$1005:$AQ$1005,1,MATCH(COLUMNS($AB$1006:AK1006),$AB$1006:$AQ$1006,0))&gt;=100000), " ",IF(INDEX($AB$2:$AQ$1001,MATCH(ROWS($U$2:U976),$U$2:$U$1001,0),MATCH(COLUMNS($AB$1006:AK1006),$AB$1006:$AQ$1006,0)), HYPERLINK("#",""), HYPERLINK(CONCATENATE("#Metadata!", ADDRESS(INDEX($W$2:$W$1001,MATCH(ROWS($U$2:U976),$U$2:$U$1001,0),0), INDEX($AB$1004:$AQ$1004,1,MATCH(COLUMNS($AB$1006:AK1006),$AB$1006:$AQ$1006,0)))),"Fix")))</f>
        <v>0</v>
      </c>
      <c r="L976" s="5">
        <f>IF(OR(INDEX($V$2:$V$1001,MATCH(ROWS($U$2:U976),$U$2:$U$1001,0),1)&gt;=100000,INDEX($AB$1005:$AQ$1005,1,MATCH(COLUMNS($AB$1006:AL1006),$AB$1006:$AQ$1006,0))&gt;=100000), " ",IF(INDEX($AB$2:$AQ$1001,MATCH(ROWS($U$2:U976),$U$2:$U$1001,0),MATCH(COLUMNS($AB$1006:AL1006),$AB$1006:$AQ$1006,0)), HYPERLINK("#",""), HYPERLINK(CONCATENATE("#Metadata!", ADDRESS(INDEX($W$2:$W$1001,MATCH(ROWS($U$2:U976),$U$2:$U$1001,0),0), INDEX($AB$1004:$AQ$1004,1,MATCH(COLUMNS($AB$1006:AL1006),$AB$1006:$AQ$1006,0)))),"Fix")))</f>
        <v>0</v>
      </c>
      <c r="M976" s="5">
        <f>IF(OR(INDEX($V$2:$V$1001,MATCH(ROWS($U$2:U976),$U$2:$U$1001,0),1)&gt;=100000,INDEX($AB$1005:$AQ$1005,1,MATCH(COLUMNS($AB$1006:AM1006),$AB$1006:$AQ$1006,0))&gt;=100000), " ",IF(INDEX($AB$2:$AQ$1001,MATCH(ROWS($U$2:U976),$U$2:$U$1001,0),MATCH(COLUMNS($AB$1006:AM1006),$AB$1006:$AQ$1006,0)), HYPERLINK("#",""), HYPERLINK(CONCATENATE("#Metadata!", ADDRESS(INDEX($W$2:$W$1001,MATCH(ROWS($U$2:U976),$U$2:$U$1001,0),0), INDEX($AB$1004:$AQ$1004,1,MATCH(COLUMNS($AB$1006:AM1006),$AB$1006:$AQ$1006,0)))),"Fix")))</f>
        <v>0</v>
      </c>
      <c r="N976" s="5">
        <f>IF(OR(INDEX($V$2:$V$1001,MATCH(ROWS($U$2:U976),$U$2:$U$1001,0),1)&gt;=100000,INDEX($AB$1005:$AQ$1005,1,MATCH(COLUMNS($AB$1006:AN1006),$AB$1006:$AQ$1006,0))&gt;=100000), " ",IF(INDEX($AB$2:$AQ$1001,MATCH(ROWS($U$2:U976),$U$2:$U$1001,0),MATCH(COLUMNS($AB$1006:AN1006),$AB$1006:$AQ$1006,0)), HYPERLINK("#",""), HYPERLINK(CONCATENATE("#Metadata!", ADDRESS(INDEX($W$2:$W$1001,MATCH(ROWS($U$2:U976),$U$2:$U$1001,0),0), INDEX($AB$1004:$AQ$1004,1,MATCH(COLUMNS($AB$1006:AN1006),$AB$1006:$AQ$1006,0)))),"Fix")))</f>
        <v>0</v>
      </c>
      <c r="O976" s="5">
        <f>IF(OR(INDEX($V$2:$V$1001,MATCH(ROWS($U$2:U976),$U$2:$U$1001,0),1)&gt;=100000,INDEX($AB$1005:$AQ$1005,1,MATCH(COLUMNS($AB$1006:AO1006),$AB$1006:$AQ$1006,0))&gt;=100000), " ",IF(INDEX($AB$2:$AQ$1001,MATCH(ROWS($U$2:U976),$U$2:$U$1001,0),MATCH(COLUMNS($AB$1006:AO1006),$AB$1006:$AQ$1006,0)), HYPERLINK("#",""), HYPERLINK(CONCATENATE("#Metadata!", ADDRESS(INDEX($W$2:$W$1001,MATCH(ROWS($U$2:U976),$U$2:$U$1001,0),0), INDEX($AB$1004:$AQ$1004,1,MATCH(COLUMNS($AB$1006:AO1006),$AB$1006:$AQ$1006,0)))),"Fix")))</f>
        <v>0</v>
      </c>
      <c r="P976" s="5">
        <f>IF(OR(INDEX($V$2:$V$1001,MATCH(ROWS($U$2:U976),$U$2:$U$1001,0),1)&gt;=100000,INDEX($AB$1005:$AQ$1005,1,MATCH(COLUMNS($AB$1006:AP1006),$AB$1006:$AQ$1006,0))&gt;=100000), " ",IF(INDEX($AB$2:$AQ$1001,MATCH(ROWS($U$2:U976),$U$2:$U$1001,0),MATCH(COLUMNS($AB$1006:AP1006),$AB$1006:$AQ$1006,0)), HYPERLINK("#",""), HYPERLINK(CONCATENATE("#Metadata!", ADDRESS(INDEX($W$2:$W$1001,MATCH(ROWS($U$2:U976),$U$2:$U$1001,0),0), INDEX($AB$1004:$AQ$1004,1,MATCH(COLUMNS($AB$1006:AP1006),$AB$1006:$AQ$1006,0)))),"Fix")))</f>
        <v>0</v>
      </c>
      <c r="Q976" s="5">
        <f>IF(OR(INDEX($V$2:$V$1001,MATCH(ROWS($U$2:U976),$U$2:$U$1001,0),1)&gt;=100000,INDEX($AB$1005:$AQ$1005,1,MATCH(COLUMNS($AB$1006:AQ1006),$AB$1006:$AQ$1006,0))&gt;=100000), " ",IF(INDEX($AB$2:$AQ$1001,MATCH(ROWS($U$2:U976),$U$2:$U$1001,0),MATCH(COLUMNS($AB$1006:AQ1006),$AB$1006:$AQ$1006,0)), HYPERLINK("#",""), HYPERLINK(CONCATENATE("#Metadata!", ADDRESS(INDEX($W$2:$W$1001,MATCH(ROWS($U$2:U976),$U$2:$U$1001,0),0), INDEX($AB$1004:$AQ$1004,1,MATCH(COLUMNS($AB$1006:AQ1006),$AB$1006:$AQ$1006,0)))),"Fix")))</f>
        <v>0</v>
      </c>
      <c r="U976">
        <v>0</v>
      </c>
      <c r="V976">
        <v>0</v>
      </c>
      <c r="W976">
        <v>0</v>
      </c>
      <c r="X976">
        <f>IF(Y976,TRUE,AND(AB976:AQ976))</f>
        <v>0</v>
      </c>
      <c r="Y976">
        <f>COUNTBLANK(Metadata!B976:Q976)=COLUMNS(Metadata!B976:Q976)</f>
        <v>0</v>
      </c>
      <c r="Z976">
        <v>0</v>
      </c>
      <c r="AB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AC976">
        <f>AND(IF(Metadata!C976="",FALSE,TRUE),exact(Metadata!C976,"urban biome"))</f>
        <v>0</v>
      </c>
      <c r="AD976">
        <f>AND(IF(Metadata!D976="",FALSE,TRUE),exact(Metadata!D976,"human-associated habitat"))</f>
        <v>0</v>
      </c>
      <c r="AE976">
        <f>AND(IF(Metadata!E976="",FALSE,TRUE),OR(exact(Metadata!E976,"human-associated"),exact(Metadata!E976,"human-skin"),exact(Metadata!E976,"human-oral"),exact(Metadata!E976,"human-gut"),exact(Metadata!E976,"human-vaginal")))</f>
        <v>0</v>
      </c>
      <c r="AF976">
        <f>AND(IF(Metadata!F976="",FALSE,ISNUMBER(VALUE(Metadata!F976))),Metadata!F976&gt;0)</f>
        <v>0</v>
      </c>
      <c r="AG976">
        <f>AND(IF(Metadata!G976="",FALSE,TRUE),exact(Metadata!G976,"years"))</f>
        <v>0</v>
      </c>
      <c r="AH976">
        <f>OR(AND(IF(Metadata!H976="",FALSE,TRUE),OR(exact(Metadata!H976,"not applicable"),exact(Metadata!H976,"not collected"),exact(Metadata!H976,"not provided"),exact(Metadata!H976,"restricted access"))),AND(IF(Metadata!H976="",FALSE,ISNUMBER(VALUE(Metadata!H976))),Metadata!H976&gt;0))</f>
        <v>0</v>
      </c>
      <c r="AI976">
        <f>AND(IF(Metadata!I976="",FALSE,TRUE),exact(Metadata!I976,"human"))</f>
        <v>0</v>
      </c>
      <c r="AJ976">
        <f>AND(IF(Metadata!J976="",FALSE,ISNUMBER(VALUE(Metadata!J976))),Metadata!J976&gt;0)</f>
        <v>0</v>
      </c>
      <c r="AK976">
        <f>AND(IF(Metadata!K976="",FALSE,TRUE),exact(Metadata!K976,"cm"))</f>
        <v>0</v>
      </c>
      <c r="AL976">
        <f>AND(IF(Metadata!L976="",FALSE,TRUE),exact(Metadata!L976,"Homo sapiens"))</f>
        <v>0</v>
      </c>
      <c r="AM976">
        <f>AND(IF(Metadata!M976="",FALSE,TRUE),exact(Metadata!M976,"9606"))</f>
        <v>0</v>
      </c>
      <c r="AN976">
        <f>AND(IF(Metadata!N976="",FALSE,ISNUMBER(VALUE(Metadata!N976))),Metadata!N976&gt;0)</f>
        <v>0</v>
      </c>
      <c r="AO976">
        <f>AND(IF(Metadata!O976="",FALSE,TRUE),exact(Metadata!O976,"kg"))</f>
        <v>0</v>
      </c>
      <c r="AP976">
        <f>OR(AND(IF(Metadata!P976="",FALSE,TRUE),exact(Metadata!P976,"not provided")),IF(Metadata!P976="",FALSE,TRUE))</f>
        <v>0</v>
      </c>
      <c r="AQ976">
        <f>OR(AND(IF(Metadata!Q976="",FALSE,TRUE),exact(Metadata!Q976,"not provided")),IF(Metadata!Q976="",FALSE,TRUE))</f>
        <v>0</v>
      </c>
    </row>
    <row r="977" spans="1:43">
      <c r="A977" s="4">
        <f>IF(B977=" "," ",HYPERLINK(CONCATENATE("#metadata!",ADDRESS(INDEX($W$2:$W$1001,MATCH(ROWS($U$2:U977),$U$2:$U$1001,0),0),2)),INDEX($Z$2:$Z$1001,MATCH(ROWS($U$2:U977),$U$2:$U$1001,0),0)))</f>
        <v>0</v>
      </c>
      <c r="B977" s="5">
        <f>IF(OR(INDEX($V$2:$V$1001,MATCH(ROWS($U$2:U977),$U$2:$U$1001,0),1)&gt;=100000,INDEX($AB$1005:$AQ$1005,1,MATCH(COLUMNS($AB$1006:AB1006),$AB$1006:$AQ$1006,0))&gt;=100000), " ",IF(INDEX($AB$2:$AQ$1001,MATCH(ROWS($U$2:U977),$U$2:$U$1001,0),MATCH(COLUMNS($AB$1006:AB1006),$AB$1006:$AQ$1006,0)), HYPERLINK("#",""), HYPERLINK(CONCATENATE("#Metadata!", ADDRESS(INDEX($W$2:$W$1001,MATCH(ROWS($U$2:U977),$U$2:$U$1001,0),0), INDEX($AB$1004:$AQ$1004,1,MATCH(COLUMNS($AB$1006:AB1006),$AB$1006:$AQ$1006,0)))),"Fix")))</f>
        <v>0</v>
      </c>
      <c r="C977" s="5">
        <f>IF(OR(INDEX($V$2:$V$1001,MATCH(ROWS($U$2:U977),$U$2:$U$1001,0),1)&gt;=100000,INDEX($AB$1005:$AQ$1005,1,MATCH(COLUMNS($AB$1006:AC1006),$AB$1006:$AQ$1006,0))&gt;=100000), " ",IF(INDEX($AB$2:$AQ$1001,MATCH(ROWS($U$2:U977),$U$2:$U$1001,0),MATCH(COLUMNS($AB$1006:AC1006),$AB$1006:$AQ$1006,0)), HYPERLINK("#",""), HYPERLINK(CONCATENATE("#Metadata!", ADDRESS(INDEX($W$2:$W$1001,MATCH(ROWS($U$2:U977),$U$2:$U$1001,0),0), INDEX($AB$1004:$AQ$1004,1,MATCH(COLUMNS($AB$1006:AC1006),$AB$1006:$AQ$1006,0)))),"Fix")))</f>
        <v>0</v>
      </c>
      <c r="D977" s="5">
        <f>IF(OR(INDEX($V$2:$V$1001,MATCH(ROWS($U$2:U977),$U$2:$U$1001,0),1)&gt;=100000,INDEX($AB$1005:$AQ$1005,1,MATCH(COLUMNS($AB$1006:AD1006),$AB$1006:$AQ$1006,0))&gt;=100000), " ",IF(INDEX($AB$2:$AQ$1001,MATCH(ROWS($U$2:U977),$U$2:$U$1001,0),MATCH(COLUMNS($AB$1006:AD1006),$AB$1006:$AQ$1006,0)), HYPERLINK("#",""), HYPERLINK(CONCATENATE("#Metadata!", ADDRESS(INDEX($W$2:$W$1001,MATCH(ROWS($U$2:U977),$U$2:$U$1001,0),0), INDEX($AB$1004:$AQ$1004,1,MATCH(COLUMNS($AB$1006:AD1006),$AB$1006:$AQ$1006,0)))),"Fix")))</f>
        <v>0</v>
      </c>
      <c r="E977" s="5">
        <f>IF(OR(INDEX($V$2:$V$1001,MATCH(ROWS($U$2:U977),$U$2:$U$1001,0),1)&gt;=100000,INDEX($AB$1005:$AQ$1005,1,MATCH(COLUMNS($AB$1006:AE1006),$AB$1006:$AQ$1006,0))&gt;=100000), " ",IF(INDEX($AB$2:$AQ$1001,MATCH(ROWS($U$2:U977),$U$2:$U$1001,0),MATCH(COLUMNS($AB$1006:AE1006),$AB$1006:$AQ$1006,0)), HYPERLINK("#",""), HYPERLINK(CONCATENATE("#Metadata!", ADDRESS(INDEX($W$2:$W$1001,MATCH(ROWS($U$2:U977),$U$2:$U$1001,0),0), INDEX($AB$1004:$AQ$1004,1,MATCH(COLUMNS($AB$1006:AE1006),$AB$1006:$AQ$1006,0)))),"Fix")))</f>
        <v>0</v>
      </c>
      <c r="F977" s="5">
        <f>IF(OR(INDEX($V$2:$V$1001,MATCH(ROWS($U$2:U977),$U$2:$U$1001,0),1)&gt;=100000,INDEX($AB$1005:$AQ$1005,1,MATCH(COLUMNS($AB$1006:AF1006),$AB$1006:$AQ$1006,0))&gt;=100000), " ",IF(INDEX($AB$2:$AQ$1001,MATCH(ROWS($U$2:U977),$U$2:$U$1001,0),MATCH(COLUMNS($AB$1006:AF1006),$AB$1006:$AQ$1006,0)), HYPERLINK("#",""), HYPERLINK(CONCATENATE("#Metadata!", ADDRESS(INDEX($W$2:$W$1001,MATCH(ROWS($U$2:U977),$U$2:$U$1001,0),0), INDEX($AB$1004:$AQ$1004,1,MATCH(COLUMNS($AB$1006:AF1006),$AB$1006:$AQ$1006,0)))),"Fix")))</f>
        <v>0</v>
      </c>
      <c r="G977" s="5">
        <f>IF(OR(INDEX($V$2:$V$1001,MATCH(ROWS($U$2:U977),$U$2:$U$1001,0),1)&gt;=100000,INDEX($AB$1005:$AQ$1005,1,MATCH(COLUMNS($AB$1006:AG1006),$AB$1006:$AQ$1006,0))&gt;=100000), " ",IF(INDEX($AB$2:$AQ$1001,MATCH(ROWS($U$2:U977),$U$2:$U$1001,0),MATCH(COLUMNS($AB$1006:AG1006),$AB$1006:$AQ$1006,0)), HYPERLINK("#",""), HYPERLINK(CONCATENATE("#Metadata!", ADDRESS(INDEX($W$2:$W$1001,MATCH(ROWS($U$2:U977),$U$2:$U$1001,0),0), INDEX($AB$1004:$AQ$1004,1,MATCH(COLUMNS($AB$1006:AG1006),$AB$1006:$AQ$1006,0)))),"Fix")))</f>
        <v>0</v>
      </c>
      <c r="H977" s="5">
        <f>IF(OR(INDEX($V$2:$V$1001,MATCH(ROWS($U$2:U977),$U$2:$U$1001,0),1)&gt;=100000,INDEX($AB$1005:$AQ$1005,1,MATCH(COLUMNS($AB$1006:AH1006),$AB$1006:$AQ$1006,0))&gt;=100000), " ",IF(INDEX($AB$2:$AQ$1001,MATCH(ROWS($U$2:U977),$U$2:$U$1001,0),MATCH(COLUMNS($AB$1006:AH1006),$AB$1006:$AQ$1006,0)), HYPERLINK("#",""), HYPERLINK(CONCATENATE("#Metadata!", ADDRESS(INDEX($W$2:$W$1001,MATCH(ROWS($U$2:U977),$U$2:$U$1001,0),0), INDEX($AB$1004:$AQ$1004,1,MATCH(COLUMNS($AB$1006:AH1006),$AB$1006:$AQ$1006,0)))),"Fix")))</f>
        <v>0</v>
      </c>
      <c r="I977" s="5">
        <f>IF(OR(INDEX($V$2:$V$1001,MATCH(ROWS($U$2:U977),$U$2:$U$1001,0),1)&gt;=100000,INDEX($AB$1005:$AQ$1005,1,MATCH(COLUMNS($AB$1006:AI1006),$AB$1006:$AQ$1006,0))&gt;=100000), " ",IF(INDEX($AB$2:$AQ$1001,MATCH(ROWS($U$2:U977),$U$2:$U$1001,0),MATCH(COLUMNS($AB$1006:AI1006),$AB$1006:$AQ$1006,0)), HYPERLINK("#",""), HYPERLINK(CONCATENATE("#Metadata!", ADDRESS(INDEX($W$2:$W$1001,MATCH(ROWS($U$2:U977),$U$2:$U$1001,0),0), INDEX($AB$1004:$AQ$1004,1,MATCH(COLUMNS($AB$1006:AI1006),$AB$1006:$AQ$1006,0)))),"Fix")))</f>
        <v>0</v>
      </c>
      <c r="J977" s="5">
        <f>IF(OR(INDEX($V$2:$V$1001,MATCH(ROWS($U$2:U977),$U$2:$U$1001,0),1)&gt;=100000,INDEX($AB$1005:$AQ$1005,1,MATCH(COLUMNS($AB$1006:AJ1006),$AB$1006:$AQ$1006,0))&gt;=100000), " ",IF(INDEX($AB$2:$AQ$1001,MATCH(ROWS($U$2:U977),$U$2:$U$1001,0),MATCH(COLUMNS($AB$1006:AJ1006),$AB$1006:$AQ$1006,0)), HYPERLINK("#",""), HYPERLINK(CONCATENATE("#Metadata!", ADDRESS(INDEX($W$2:$W$1001,MATCH(ROWS($U$2:U977),$U$2:$U$1001,0),0), INDEX($AB$1004:$AQ$1004,1,MATCH(COLUMNS($AB$1006:AJ1006),$AB$1006:$AQ$1006,0)))),"Fix")))</f>
        <v>0</v>
      </c>
      <c r="K977" s="5">
        <f>IF(OR(INDEX($V$2:$V$1001,MATCH(ROWS($U$2:U977),$U$2:$U$1001,0),1)&gt;=100000,INDEX($AB$1005:$AQ$1005,1,MATCH(COLUMNS($AB$1006:AK1006),$AB$1006:$AQ$1006,0))&gt;=100000), " ",IF(INDEX($AB$2:$AQ$1001,MATCH(ROWS($U$2:U977),$U$2:$U$1001,0),MATCH(COLUMNS($AB$1006:AK1006),$AB$1006:$AQ$1006,0)), HYPERLINK("#",""), HYPERLINK(CONCATENATE("#Metadata!", ADDRESS(INDEX($W$2:$W$1001,MATCH(ROWS($U$2:U977),$U$2:$U$1001,0),0), INDEX($AB$1004:$AQ$1004,1,MATCH(COLUMNS($AB$1006:AK1006),$AB$1006:$AQ$1006,0)))),"Fix")))</f>
        <v>0</v>
      </c>
      <c r="L977" s="5">
        <f>IF(OR(INDEX($V$2:$V$1001,MATCH(ROWS($U$2:U977),$U$2:$U$1001,0),1)&gt;=100000,INDEX($AB$1005:$AQ$1005,1,MATCH(COLUMNS($AB$1006:AL1006),$AB$1006:$AQ$1006,0))&gt;=100000), " ",IF(INDEX($AB$2:$AQ$1001,MATCH(ROWS($U$2:U977),$U$2:$U$1001,0),MATCH(COLUMNS($AB$1006:AL1006),$AB$1006:$AQ$1006,0)), HYPERLINK("#",""), HYPERLINK(CONCATENATE("#Metadata!", ADDRESS(INDEX($W$2:$W$1001,MATCH(ROWS($U$2:U977),$U$2:$U$1001,0),0), INDEX($AB$1004:$AQ$1004,1,MATCH(COLUMNS($AB$1006:AL1006),$AB$1006:$AQ$1006,0)))),"Fix")))</f>
        <v>0</v>
      </c>
      <c r="M977" s="5">
        <f>IF(OR(INDEX($V$2:$V$1001,MATCH(ROWS($U$2:U977),$U$2:$U$1001,0),1)&gt;=100000,INDEX($AB$1005:$AQ$1005,1,MATCH(COLUMNS($AB$1006:AM1006),$AB$1006:$AQ$1006,0))&gt;=100000), " ",IF(INDEX($AB$2:$AQ$1001,MATCH(ROWS($U$2:U977),$U$2:$U$1001,0),MATCH(COLUMNS($AB$1006:AM1006),$AB$1006:$AQ$1006,0)), HYPERLINK("#",""), HYPERLINK(CONCATENATE("#Metadata!", ADDRESS(INDEX($W$2:$W$1001,MATCH(ROWS($U$2:U977),$U$2:$U$1001,0),0), INDEX($AB$1004:$AQ$1004,1,MATCH(COLUMNS($AB$1006:AM1006),$AB$1006:$AQ$1006,0)))),"Fix")))</f>
        <v>0</v>
      </c>
      <c r="N977" s="5">
        <f>IF(OR(INDEX($V$2:$V$1001,MATCH(ROWS($U$2:U977),$U$2:$U$1001,0),1)&gt;=100000,INDEX($AB$1005:$AQ$1005,1,MATCH(COLUMNS($AB$1006:AN1006),$AB$1006:$AQ$1006,0))&gt;=100000), " ",IF(INDEX($AB$2:$AQ$1001,MATCH(ROWS($U$2:U977),$U$2:$U$1001,0),MATCH(COLUMNS($AB$1006:AN1006),$AB$1006:$AQ$1006,0)), HYPERLINK("#",""), HYPERLINK(CONCATENATE("#Metadata!", ADDRESS(INDEX($W$2:$W$1001,MATCH(ROWS($U$2:U977),$U$2:$U$1001,0),0), INDEX($AB$1004:$AQ$1004,1,MATCH(COLUMNS($AB$1006:AN1006),$AB$1006:$AQ$1006,0)))),"Fix")))</f>
        <v>0</v>
      </c>
      <c r="O977" s="5">
        <f>IF(OR(INDEX($V$2:$V$1001,MATCH(ROWS($U$2:U977),$U$2:$U$1001,0),1)&gt;=100000,INDEX($AB$1005:$AQ$1005,1,MATCH(COLUMNS($AB$1006:AO1006),$AB$1006:$AQ$1006,0))&gt;=100000), " ",IF(INDEX($AB$2:$AQ$1001,MATCH(ROWS($U$2:U977),$U$2:$U$1001,0),MATCH(COLUMNS($AB$1006:AO1006),$AB$1006:$AQ$1006,0)), HYPERLINK("#",""), HYPERLINK(CONCATENATE("#Metadata!", ADDRESS(INDEX($W$2:$W$1001,MATCH(ROWS($U$2:U977),$U$2:$U$1001,0),0), INDEX($AB$1004:$AQ$1004,1,MATCH(COLUMNS($AB$1006:AO1006),$AB$1006:$AQ$1006,0)))),"Fix")))</f>
        <v>0</v>
      </c>
      <c r="P977" s="5">
        <f>IF(OR(INDEX($V$2:$V$1001,MATCH(ROWS($U$2:U977),$U$2:$U$1001,0),1)&gt;=100000,INDEX($AB$1005:$AQ$1005,1,MATCH(COLUMNS($AB$1006:AP1006),$AB$1006:$AQ$1006,0))&gt;=100000), " ",IF(INDEX($AB$2:$AQ$1001,MATCH(ROWS($U$2:U977),$U$2:$U$1001,0),MATCH(COLUMNS($AB$1006:AP1006),$AB$1006:$AQ$1006,0)), HYPERLINK("#",""), HYPERLINK(CONCATENATE("#Metadata!", ADDRESS(INDEX($W$2:$W$1001,MATCH(ROWS($U$2:U977),$U$2:$U$1001,0),0), INDEX($AB$1004:$AQ$1004,1,MATCH(COLUMNS($AB$1006:AP1006),$AB$1006:$AQ$1006,0)))),"Fix")))</f>
        <v>0</v>
      </c>
      <c r="Q977" s="5">
        <f>IF(OR(INDEX($V$2:$V$1001,MATCH(ROWS($U$2:U977),$U$2:$U$1001,0),1)&gt;=100000,INDEX($AB$1005:$AQ$1005,1,MATCH(COLUMNS($AB$1006:AQ1006),$AB$1006:$AQ$1006,0))&gt;=100000), " ",IF(INDEX($AB$2:$AQ$1001,MATCH(ROWS($U$2:U977),$U$2:$U$1001,0),MATCH(COLUMNS($AB$1006:AQ1006),$AB$1006:$AQ$1006,0)), HYPERLINK("#",""), HYPERLINK(CONCATENATE("#Metadata!", ADDRESS(INDEX($W$2:$W$1001,MATCH(ROWS($U$2:U977),$U$2:$U$1001,0),0), INDEX($AB$1004:$AQ$1004,1,MATCH(COLUMNS($AB$1006:AQ1006),$AB$1006:$AQ$1006,0)))),"Fix")))</f>
        <v>0</v>
      </c>
      <c r="U977">
        <v>0</v>
      </c>
      <c r="V977">
        <v>0</v>
      </c>
      <c r="W977">
        <v>0</v>
      </c>
      <c r="X977">
        <f>IF(Y977,TRUE,AND(AB977:AQ977))</f>
        <v>0</v>
      </c>
      <c r="Y977">
        <f>COUNTBLANK(Metadata!B977:Q977)=COLUMNS(Metadata!B977:Q977)</f>
        <v>0</v>
      </c>
      <c r="Z977">
        <v>0</v>
      </c>
      <c r="AB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AC977">
        <f>AND(IF(Metadata!C977="",FALSE,TRUE),exact(Metadata!C977,"urban biome"))</f>
        <v>0</v>
      </c>
      <c r="AD977">
        <f>AND(IF(Metadata!D977="",FALSE,TRUE),exact(Metadata!D977,"human-associated habitat"))</f>
        <v>0</v>
      </c>
      <c r="AE977">
        <f>AND(IF(Metadata!E977="",FALSE,TRUE),OR(exact(Metadata!E977,"human-associated"),exact(Metadata!E977,"human-skin"),exact(Metadata!E977,"human-oral"),exact(Metadata!E977,"human-gut"),exact(Metadata!E977,"human-vaginal")))</f>
        <v>0</v>
      </c>
      <c r="AF977">
        <f>AND(IF(Metadata!F977="",FALSE,ISNUMBER(VALUE(Metadata!F977))),Metadata!F977&gt;0)</f>
        <v>0</v>
      </c>
      <c r="AG977">
        <f>AND(IF(Metadata!G977="",FALSE,TRUE),exact(Metadata!G977,"years"))</f>
        <v>0</v>
      </c>
      <c r="AH977">
        <f>OR(AND(IF(Metadata!H977="",FALSE,TRUE),OR(exact(Metadata!H977,"not applicable"),exact(Metadata!H977,"not collected"),exact(Metadata!H977,"not provided"),exact(Metadata!H977,"restricted access"))),AND(IF(Metadata!H977="",FALSE,ISNUMBER(VALUE(Metadata!H977))),Metadata!H977&gt;0))</f>
        <v>0</v>
      </c>
      <c r="AI977">
        <f>AND(IF(Metadata!I977="",FALSE,TRUE),exact(Metadata!I977,"human"))</f>
        <v>0</v>
      </c>
      <c r="AJ977">
        <f>AND(IF(Metadata!J977="",FALSE,ISNUMBER(VALUE(Metadata!J977))),Metadata!J977&gt;0)</f>
        <v>0</v>
      </c>
      <c r="AK977">
        <f>AND(IF(Metadata!K977="",FALSE,TRUE),exact(Metadata!K977,"cm"))</f>
        <v>0</v>
      </c>
      <c r="AL977">
        <f>AND(IF(Metadata!L977="",FALSE,TRUE),exact(Metadata!L977,"Homo sapiens"))</f>
        <v>0</v>
      </c>
      <c r="AM977">
        <f>AND(IF(Metadata!M977="",FALSE,TRUE),exact(Metadata!M977,"9606"))</f>
        <v>0</v>
      </c>
      <c r="AN977">
        <f>AND(IF(Metadata!N977="",FALSE,ISNUMBER(VALUE(Metadata!N977))),Metadata!N977&gt;0)</f>
        <v>0</v>
      </c>
      <c r="AO977">
        <f>AND(IF(Metadata!O977="",FALSE,TRUE),exact(Metadata!O977,"kg"))</f>
        <v>0</v>
      </c>
      <c r="AP977">
        <f>OR(AND(IF(Metadata!P977="",FALSE,TRUE),exact(Metadata!P977,"not provided")),IF(Metadata!P977="",FALSE,TRUE))</f>
        <v>0</v>
      </c>
      <c r="AQ977">
        <f>OR(AND(IF(Metadata!Q977="",FALSE,TRUE),exact(Metadata!Q977,"not provided")),IF(Metadata!Q977="",FALSE,TRUE))</f>
        <v>0</v>
      </c>
    </row>
    <row r="978" spans="1:43">
      <c r="A978" s="4">
        <f>IF(B978=" "," ",HYPERLINK(CONCATENATE("#metadata!",ADDRESS(INDEX($W$2:$W$1001,MATCH(ROWS($U$2:U978),$U$2:$U$1001,0),0),2)),INDEX($Z$2:$Z$1001,MATCH(ROWS($U$2:U978),$U$2:$U$1001,0),0)))</f>
        <v>0</v>
      </c>
      <c r="B978" s="5">
        <f>IF(OR(INDEX($V$2:$V$1001,MATCH(ROWS($U$2:U978),$U$2:$U$1001,0),1)&gt;=100000,INDEX($AB$1005:$AQ$1005,1,MATCH(COLUMNS($AB$1006:AB1006),$AB$1006:$AQ$1006,0))&gt;=100000), " ",IF(INDEX($AB$2:$AQ$1001,MATCH(ROWS($U$2:U978),$U$2:$U$1001,0),MATCH(COLUMNS($AB$1006:AB1006),$AB$1006:$AQ$1006,0)), HYPERLINK("#",""), HYPERLINK(CONCATENATE("#Metadata!", ADDRESS(INDEX($W$2:$W$1001,MATCH(ROWS($U$2:U978),$U$2:$U$1001,0),0), INDEX($AB$1004:$AQ$1004,1,MATCH(COLUMNS($AB$1006:AB1006),$AB$1006:$AQ$1006,0)))),"Fix")))</f>
        <v>0</v>
      </c>
      <c r="C978" s="5">
        <f>IF(OR(INDEX($V$2:$V$1001,MATCH(ROWS($U$2:U978),$U$2:$U$1001,0),1)&gt;=100000,INDEX($AB$1005:$AQ$1005,1,MATCH(COLUMNS($AB$1006:AC1006),$AB$1006:$AQ$1006,0))&gt;=100000), " ",IF(INDEX($AB$2:$AQ$1001,MATCH(ROWS($U$2:U978),$U$2:$U$1001,0),MATCH(COLUMNS($AB$1006:AC1006),$AB$1006:$AQ$1006,0)), HYPERLINK("#",""), HYPERLINK(CONCATENATE("#Metadata!", ADDRESS(INDEX($W$2:$W$1001,MATCH(ROWS($U$2:U978),$U$2:$U$1001,0),0), INDEX($AB$1004:$AQ$1004,1,MATCH(COLUMNS($AB$1006:AC1006),$AB$1006:$AQ$1006,0)))),"Fix")))</f>
        <v>0</v>
      </c>
      <c r="D978" s="5">
        <f>IF(OR(INDEX($V$2:$V$1001,MATCH(ROWS($U$2:U978),$U$2:$U$1001,0),1)&gt;=100000,INDEX($AB$1005:$AQ$1005,1,MATCH(COLUMNS($AB$1006:AD1006),$AB$1006:$AQ$1006,0))&gt;=100000), " ",IF(INDEX($AB$2:$AQ$1001,MATCH(ROWS($U$2:U978),$U$2:$U$1001,0),MATCH(COLUMNS($AB$1006:AD1006),$AB$1006:$AQ$1006,0)), HYPERLINK("#",""), HYPERLINK(CONCATENATE("#Metadata!", ADDRESS(INDEX($W$2:$W$1001,MATCH(ROWS($U$2:U978),$U$2:$U$1001,0),0), INDEX($AB$1004:$AQ$1004,1,MATCH(COLUMNS($AB$1006:AD1006),$AB$1006:$AQ$1006,0)))),"Fix")))</f>
        <v>0</v>
      </c>
      <c r="E978" s="5">
        <f>IF(OR(INDEX($V$2:$V$1001,MATCH(ROWS($U$2:U978),$U$2:$U$1001,0),1)&gt;=100000,INDEX($AB$1005:$AQ$1005,1,MATCH(COLUMNS($AB$1006:AE1006),$AB$1006:$AQ$1006,0))&gt;=100000), " ",IF(INDEX($AB$2:$AQ$1001,MATCH(ROWS($U$2:U978),$U$2:$U$1001,0),MATCH(COLUMNS($AB$1006:AE1006),$AB$1006:$AQ$1006,0)), HYPERLINK("#",""), HYPERLINK(CONCATENATE("#Metadata!", ADDRESS(INDEX($W$2:$W$1001,MATCH(ROWS($U$2:U978),$U$2:$U$1001,0),0), INDEX($AB$1004:$AQ$1004,1,MATCH(COLUMNS($AB$1006:AE1006),$AB$1006:$AQ$1006,0)))),"Fix")))</f>
        <v>0</v>
      </c>
      <c r="F978" s="5">
        <f>IF(OR(INDEX($V$2:$V$1001,MATCH(ROWS($U$2:U978),$U$2:$U$1001,0),1)&gt;=100000,INDEX($AB$1005:$AQ$1005,1,MATCH(COLUMNS($AB$1006:AF1006),$AB$1006:$AQ$1006,0))&gt;=100000), " ",IF(INDEX($AB$2:$AQ$1001,MATCH(ROWS($U$2:U978),$U$2:$U$1001,0),MATCH(COLUMNS($AB$1006:AF1006),$AB$1006:$AQ$1006,0)), HYPERLINK("#",""), HYPERLINK(CONCATENATE("#Metadata!", ADDRESS(INDEX($W$2:$W$1001,MATCH(ROWS($U$2:U978),$U$2:$U$1001,0),0), INDEX($AB$1004:$AQ$1004,1,MATCH(COLUMNS($AB$1006:AF1006),$AB$1006:$AQ$1006,0)))),"Fix")))</f>
        <v>0</v>
      </c>
      <c r="G978" s="5">
        <f>IF(OR(INDEX($V$2:$V$1001,MATCH(ROWS($U$2:U978),$U$2:$U$1001,0),1)&gt;=100000,INDEX($AB$1005:$AQ$1005,1,MATCH(COLUMNS($AB$1006:AG1006),$AB$1006:$AQ$1006,0))&gt;=100000), " ",IF(INDEX($AB$2:$AQ$1001,MATCH(ROWS($U$2:U978),$U$2:$U$1001,0),MATCH(COLUMNS($AB$1006:AG1006),$AB$1006:$AQ$1006,0)), HYPERLINK("#",""), HYPERLINK(CONCATENATE("#Metadata!", ADDRESS(INDEX($W$2:$W$1001,MATCH(ROWS($U$2:U978),$U$2:$U$1001,0),0), INDEX($AB$1004:$AQ$1004,1,MATCH(COLUMNS($AB$1006:AG1006),$AB$1006:$AQ$1006,0)))),"Fix")))</f>
        <v>0</v>
      </c>
      <c r="H978" s="5">
        <f>IF(OR(INDEX($V$2:$V$1001,MATCH(ROWS($U$2:U978),$U$2:$U$1001,0),1)&gt;=100000,INDEX($AB$1005:$AQ$1005,1,MATCH(COLUMNS($AB$1006:AH1006),$AB$1006:$AQ$1006,0))&gt;=100000), " ",IF(INDEX($AB$2:$AQ$1001,MATCH(ROWS($U$2:U978),$U$2:$U$1001,0),MATCH(COLUMNS($AB$1006:AH1006),$AB$1006:$AQ$1006,0)), HYPERLINK("#",""), HYPERLINK(CONCATENATE("#Metadata!", ADDRESS(INDEX($W$2:$W$1001,MATCH(ROWS($U$2:U978),$U$2:$U$1001,0),0), INDEX($AB$1004:$AQ$1004,1,MATCH(COLUMNS($AB$1006:AH1006),$AB$1006:$AQ$1006,0)))),"Fix")))</f>
        <v>0</v>
      </c>
      <c r="I978" s="5">
        <f>IF(OR(INDEX($V$2:$V$1001,MATCH(ROWS($U$2:U978),$U$2:$U$1001,0),1)&gt;=100000,INDEX($AB$1005:$AQ$1005,1,MATCH(COLUMNS($AB$1006:AI1006),$AB$1006:$AQ$1006,0))&gt;=100000), " ",IF(INDEX($AB$2:$AQ$1001,MATCH(ROWS($U$2:U978),$U$2:$U$1001,0),MATCH(COLUMNS($AB$1006:AI1006),$AB$1006:$AQ$1006,0)), HYPERLINK("#",""), HYPERLINK(CONCATENATE("#Metadata!", ADDRESS(INDEX($W$2:$W$1001,MATCH(ROWS($U$2:U978),$U$2:$U$1001,0),0), INDEX($AB$1004:$AQ$1004,1,MATCH(COLUMNS($AB$1006:AI1006),$AB$1006:$AQ$1006,0)))),"Fix")))</f>
        <v>0</v>
      </c>
      <c r="J978" s="5">
        <f>IF(OR(INDEX($V$2:$V$1001,MATCH(ROWS($U$2:U978),$U$2:$U$1001,0),1)&gt;=100000,INDEX($AB$1005:$AQ$1005,1,MATCH(COLUMNS($AB$1006:AJ1006),$AB$1006:$AQ$1006,0))&gt;=100000), " ",IF(INDEX($AB$2:$AQ$1001,MATCH(ROWS($U$2:U978),$U$2:$U$1001,0),MATCH(COLUMNS($AB$1006:AJ1006),$AB$1006:$AQ$1006,0)), HYPERLINK("#",""), HYPERLINK(CONCATENATE("#Metadata!", ADDRESS(INDEX($W$2:$W$1001,MATCH(ROWS($U$2:U978),$U$2:$U$1001,0),0), INDEX($AB$1004:$AQ$1004,1,MATCH(COLUMNS($AB$1006:AJ1006),$AB$1006:$AQ$1006,0)))),"Fix")))</f>
        <v>0</v>
      </c>
      <c r="K978" s="5">
        <f>IF(OR(INDEX($V$2:$V$1001,MATCH(ROWS($U$2:U978),$U$2:$U$1001,0),1)&gt;=100000,INDEX($AB$1005:$AQ$1005,1,MATCH(COLUMNS($AB$1006:AK1006),$AB$1006:$AQ$1006,0))&gt;=100000), " ",IF(INDEX($AB$2:$AQ$1001,MATCH(ROWS($U$2:U978),$U$2:$U$1001,0),MATCH(COLUMNS($AB$1006:AK1006),$AB$1006:$AQ$1006,0)), HYPERLINK("#",""), HYPERLINK(CONCATENATE("#Metadata!", ADDRESS(INDEX($W$2:$W$1001,MATCH(ROWS($U$2:U978),$U$2:$U$1001,0),0), INDEX($AB$1004:$AQ$1004,1,MATCH(COLUMNS($AB$1006:AK1006),$AB$1006:$AQ$1006,0)))),"Fix")))</f>
        <v>0</v>
      </c>
      <c r="L978" s="5">
        <f>IF(OR(INDEX($V$2:$V$1001,MATCH(ROWS($U$2:U978),$U$2:$U$1001,0),1)&gt;=100000,INDEX($AB$1005:$AQ$1005,1,MATCH(COLUMNS($AB$1006:AL1006),$AB$1006:$AQ$1006,0))&gt;=100000), " ",IF(INDEX($AB$2:$AQ$1001,MATCH(ROWS($U$2:U978),$U$2:$U$1001,0),MATCH(COLUMNS($AB$1006:AL1006),$AB$1006:$AQ$1006,0)), HYPERLINK("#",""), HYPERLINK(CONCATENATE("#Metadata!", ADDRESS(INDEX($W$2:$W$1001,MATCH(ROWS($U$2:U978),$U$2:$U$1001,0),0), INDEX($AB$1004:$AQ$1004,1,MATCH(COLUMNS($AB$1006:AL1006),$AB$1006:$AQ$1006,0)))),"Fix")))</f>
        <v>0</v>
      </c>
      <c r="M978" s="5">
        <f>IF(OR(INDEX($V$2:$V$1001,MATCH(ROWS($U$2:U978),$U$2:$U$1001,0),1)&gt;=100000,INDEX($AB$1005:$AQ$1005,1,MATCH(COLUMNS($AB$1006:AM1006),$AB$1006:$AQ$1006,0))&gt;=100000), " ",IF(INDEX($AB$2:$AQ$1001,MATCH(ROWS($U$2:U978),$U$2:$U$1001,0),MATCH(COLUMNS($AB$1006:AM1006),$AB$1006:$AQ$1006,0)), HYPERLINK("#",""), HYPERLINK(CONCATENATE("#Metadata!", ADDRESS(INDEX($W$2:$W$1001,MATCH(ROWS($U$2:U978),$U$2:$U$1001,0),0), INDEX($AB$1004:$AQ$1004,1,MATCH(COLUMNS($AB$1006:AM1006),$AB$1006:$AQ$1006,0)))),"Fix")))</f>
        <v>0</v>
      </c>
      <c r="N978" s="5">
        <f>IF(OR(INDEX($V$2:$V$1001,MATCH(ROWS($U$2:U978),$U$2:$U$1001,0),1)&gt;=100000,INDEX($AB$1005:$AQ$1005,1,MATCH(COLUMNS($AB$1006:AN1006),$AB$1006:$AQ$1006,0))&gt;=100000), " ",IF(INDEX($AB$2:$AQ$1001,MATCH(ROWS($U$2:U978),$U$2:$U$1001,0),MATCH(COLUMNS($AB$1006:AN1006),$AB$1006:$AQ$1006,0)), HYPERLINK("#",""), HYPERLINK(CONCATENATE("#Metadata!", ADDRESS(INDEX($W$2:$W$1001,MATCH(ROWS($U$2:U978),$U$2:$U$1001,0),0), INDEX($AB$1004:$AQ$1004,1,MATCH(COLUMNS($AB$1006:AN1006),$AB$1006:$AQ$1006,0)))),"Fix")))</f>
        <v>0</v>
      </c>
      <c r="O978" s="5">
        <f>IF(OR(INDEX($V$2:$V$1001,MATCH(ROWS($U$2:U978),$U$2:$U$1001,0),1)&gt;=100000,INDEX($AB$1005:$AQ$1005,1,MATCH(COLUMNS($AB$1006:AO1006),$AB$1006:$AQ$1006,0))&gt;=100000), " ",IF(INDEX($AB$2:$AQ$1001,MATCH(ROWS($U$2:U978),$U$2:$U$1001,0),MATCH(COLUMNS($AB$1006:AO1006),$AB$1006:$AQ$1006,0)), HYPERLINK("#",""), HYPERLINK(CONCATENATE("#Metadata!", ADDRESS(INDEX($W$2:$W$1001,MATCH(ROWS($U$2:U978),$U$2:$U$1001,0),0), INDEX($AB$1004:$AQ$1004,1,MATCH(COLUMNS($AB$1006:AO1006),$AB$1006:$AQ$1006,0)))),"Fix")))</f>
        <v>0</v>
      </c>
      <c r="P978" s="5">
        <f>IF(OR(INDEX($V$2:$V$1001,MATCH(ROWS($U$2:U978),$U$2:$U$1001,0),1)&gt;=100000,INDEX($AB$1005:$AQ$1005,1,MATCH(COLUMNS($AB$1006:AP1006),$AB$1006:$AQ$1006,0))&gt;=100000), " ",IF(INDEX($AB$2:$AQ$1001,MATCH(ROWS($U$2:U978),$U$2:$U$1001,0),MATCH(COLUMNS($AB$1006:AP1006),$AB$1006:$AQ$1006,0)), HYPERLINK("#",""), HYPERLINK(CONCATENATE("#Metadata!", ADDRESS(INDEX($W$2:$W$1001,MATCH(ROWS($U$2:U978),$U$2:$U$1001,0),0), INDEX($AB$1004:$AQ$1004,1,MATCH(COLUMNS($AB$1006:AP1006),$AB$1006:$AQ$1006,0)))),"Fix")))</f>
        <v>0</v>
      </c>
      <c r="Q978" s="5">
        <f>IF(OR(INDEX($V$2:$V$1001,MATCH(ROWS($U$2:U978),$U$2:$U$1001,0),1)&gt;=100000,INDEX($AB$1005:$AQ$1005,1,MATCH(COLUMNS($AB$1006:AQ1006),$AB$1006:$AQ$1006,0))&gt;=100000), " ",IF(INDEX($AB$2:$AQ$1001,MATCH(ROWS($U$2:U978),$U$2:$U$1001,0),MATCH(COLUMNS($AB$1006:AQ1006),$AB$1006:$AQ$1006,0)), HYPERLINK("#",""), HYPERLINK(CONCATENATE("#Metadata!", ADDRESS(INDEX($W$2:$W$1001,MATCH(ROWS($U$2:U978),$U$2:$U$1001,0),0), INDEX($AB$1004:$AQ$1004,1,MATCH(COLUMNS($AB$1006:AQ1006),$AB$1006:$AQ$1006,0)))),"Fix")))</f>
        <v>0</v>
      </c>
      <c r="U978">
        <v>0</v>
      </c>
      <c r="V978">
        <v>0</v>
      </c>
      <c r="W978">
        <v>0</v>
      </c>
      <c r="X978">
        <f>IF(Y978,TRUE,AND(AB978:AQ978))</f>
        <v>0</v>
      </c>
      <c r="Y978">
        <f>COUNTBLANK(Metadata!B978:Q978)=COLUMNS(Metadata!B978:Q978)</f>
        <v>0</v>
      </c>
      <c r="Z978">
        <v>0</v>
      </c>
      <c r="AB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AC978">
        <f>AND(IF(Metadata!C978="",FALSE,TRUE),exact(Metadata!C978,"urban biome"))</f>
        <v>0</v>
      </c>
      <c r="AD978">
        <f>AND(IF(Metadata!D978="",FALSE,TRUE),exact(Metadata!D978,"human-associated habitat"))</f>
        <v>0</v>
      </c>
      <c r="AE978">
        <f>AND(IF(Metadata!E978="",FALSE,TRUE),OR(exact(Metadata!E978,"human-associated"),exact(Metadata!E978,"human-skin"),exact(Metadata!E978,"human-oral"),exact(Metadata!E978,"human-gut"),exact(Metadata!E978,"human-vaginal")))</f>
        <v>0</v>
      </c>
      <c r="AF978">
        <f>AND(IF(Metadata!F978="",FALSE,ISNUMBER(VALUE(Metadata!F978))),Metadata!F978&gt;0)</f>
        <v>0</v>
      </c>
      <c r="AG978">
        <f>AND(IF(Metadata!G978="",FALSE,TRUE),exact(Metadata!G978,"years"))</f>
        <v>0</v>
      </c>
      <c r="AH978">
        <f>OR(AND(IF(Metadata!H978="",FALSE,TRUE),OR(exact(Metadata!H978,"not applicable"),exact(Metadata!H978,"not collected"),exact(Metadata!H978,"not provided"),exact(Metadata!H978,"restricted access"))),AND(IF(Metadata!H978="",FALSE,ISNUMBER(VALUE(Metadata!H978))),Metadata!H978&gt;0))</f>
        <v>0</v>
      </c>
      <c r="AI978">
        <f>AND(IF(Metadata!I978="",FALSE,TRUE),exact(Metadata!I978,"human"))</f>
        <v>0</v>
      </c>
      <c r="AJ978">
        <f>AND(IF(Metadata!J978="",FALSE,ISNUMBER(VALUE(Metadata!J978))),Metadata!J978&gt;0)</f>
        <v>0</v>
      </c>
      <c r="AK978">
        <f>AND(IF(Metadata!K978="",FALSE,TRUE),exact(Metadata!K978,"cm"))</f>
        <v>0</v>
      </c>
      <c r="AL978">
        <f>AND(IF(Metadata!L978="",FALSE,TRUE),exact(Metadata!L978,"Homo sapiens"))</f>
        <v>0</v>
      </c>
      <c r="AM978">
        <f>AND(IF(Metadata!M978="",FALSE,TRUE),exact(Metadata!M978,"9606"))</f>
        <v>0</v>
      </c>
      <c r="AN978">
        <f>AND(IF(Metadata!N978="",FALSE,ISNUMBER(VALUE(Metadata!N978))),Metadata!N978&gt;0)</f>
        <v>0</v>
      </c>
      <c r="AO978">
        <f>AND(IF(Metadata!O978="",FALSE,TRUE),exact(Metadata!O978,"kg"))</f>
        <v>0</v>
      </c>
      <c r="AP978">
        <f>OR(AND(IF(Metadata!P978="",FALSE,TRUE),exact(Metadata!P978,"not provided")),IF(Metadata!P978="",FALSE,TRUE))</f>
        <v>0</v>
      </c>
      <c r="AQ978">
        <f>OR(AND(IF(Metadata!Q978="",FALSE,TRUE),exact(Metadata!Q978,"not provided")),IF(Metadata!Q978="",FALSE,TRUE))</f>
        <v>0</v>
      </c>
    </row>
    <row r="979" spans="1:43">
      <c r="A979" s="4">
        <f>IF(B979=" "," ",HYPERLINK(CONCATENATE("#metadata!",ADDRESS(INDEX($W$2:$W$1001,MATCH(ROWS($U$2:U979),$U$2:$U$1001,0),0),2)),INDEX($Z$2:$Z$1001,MATCH(ROWS($U$2:U979),$U$2:$U$1001,0),0)))</f>
        <v>0</v>
      </c>
      <c r="B979" s="5">
        <f>IF(OR(INDEX($V$2:$V$1001,MATCH(ROWS($U$2:U979),$U$2:$U$1001,0),1)&gt;=100000,INDEX($AB$1005:$AQ$1005,1,MATCH(COLUMNS($AB$1006:AB1006),$AB$1006:$AQ$1006,0))&gt;=100000), " ",IF(INDEX($AB$2:$AQ$1001,MATCH(ROWS($U$2:U979),$U$2:$U$1001,0),MATCH(COLUMNS($AB$1006:AB1006),$AB$1006:$AQ$1006,0)), HYPERLINK("#",""), HYPERLINK(CONCATENATE("#Metadata!", ADDRESS(INDEX($W$2:$W$1001,MATCH(ROWS($U$2:U979),$U$2:$U$1001,0),0), INDEX($AB$1004:$AQ$1004,1,MATCH(COLUMNS($AB$1006:AB1006),$AB$1006:$AQ$1006,0)))),"Fix")))</f>
        <v>0</v>
      </c>
      <c r="C979" s="5">
        <f>IF(OR(INDEX($V$2:$V$1001,MATCH(ROWS($U$2:U979),$U$2:$U$1001,0),1)&gt;=100000,INDEX($AB$1005:$AQ$1005,1,MATCH(COLUMNS($AB$1006:AC1006),$AB$1006:$AQ$1006,0))&gt;=100000), " ",IF(INDEX($AB$2:$AQ$1001,MATCH(ROWS($U$2:U979),$U$2:$U$1001,0),MATCH(COLUMNS($AB$1006:AC1006),$AB$1006:$AQ$1006,0)), HYPERLINK("#",""), HYPERLINK(CONCATENATE("#Metadata!", ADDRESS(INDEX($W$2:$W$1001,MATCH(ROWS($U$2:U979),$U$2:$U$1001,0),0), INDEX($AB$1004:$AQ$1004,1,MATCH(COLUMNS($AB$1006:AC1006),$AB$1006:$AQ$1006,0)))),"Fix")))</f>
        <v>0</v>
      </c>
      <c r="D979" s="5">
        <f>IF(OR(INDEX($V$2:$V$1001,MATCH(ROWS($U$2:U979),$U$2:$U$1001,0),1)&gt;=100000,INDEX($AB$1005:$AQ$1005,1,MATCH(COLUMNS($AB$1006:AD1006),$AB$1006:$AQ$1006,0))&gt;=100000), " ",IF(INDEX($AB$2:$AQ$1001,MATCH(ROWS($U$2:U979),$U$2:$U$1001,0),MATCH(COLUMNS($AB$1006:AD1006),$AB$1006:$AQ$1006,0)), HYPERLINK("#",""), HYPERLINK(CONCATENATE("#Metadata!", ADDRESS(INDEX($W$2:$W$1001,MATCH(ROWS($U$2:U979),$U$2:$U$1001,0),0), INDEX($AB$1004:$AQ$1004,1,MATCH(COLUMNS($AB$1006:AD1006),$AB$1006:$AQ$1006,0)))),"Fix")))</f>
        <v>0</v>
      </c>
      <c r="E979" s="5">
        <f>IF(OR(INDEX($V$2:$V$1001,MATCH(ROWS($U$2:U979),$U$2:$U$1001,0),1)&gt;=100000,INDEX($AB$1005:$AQ$1005,1,MATCH(COLUMNS($AB$1006:AE1006),$AB$1006:$AQ$1006,0))&gt;=100000), " ",IF(INDEX($AB$2:$AQ$1001,MATCH(ROWS($U$2:U979),$U$2:$U$1001,0),MATCH(COLUMNS($AB$1006:AE1006),$AB$1006:$AQ$1006,0)), HYPERLINK("#",""), HYPERLINK(CONCATENATE("#Metadata!", ADDRESS(INDEX($W$2:$W$1001,MATCH(ROWS($U$2:U979),$U$2:$U$1001,0),0), INDEX($AB$1004:$AQ$1004,1,MATCH(COLUMNS($AB$1006:AE1006),$AB$1006:$AQ$1006,0)))),"Fix")))</f>
        <v>0</v>
      </c>
      <c r="F979" s="5">
        <f>IF(OR(INDEX($V$2:$V$1001,MATCH(ROWS($U$2:U979),$U$2:$U$1001,0),1)&gt;=100000,INDEX($AB$1005:$AQ$1005,1,MATCH(COLUMNS($AB$1006:AF1006),$AB$1006:$AQ$1006,0))&gt;=100000), " ",IF(INDEX($AB$2:$AQ$1001,MATCH(ROWS($U$2:U979),$U$2:$U$1001,0),MATCH(COLUMNS($AB$1006:AF1006),$AB$1006:$AQ$1006,0)), HYPERLINK("#",""), HYPERLINK(CONCATENATE("#Metadata!", ADDRESS(INDEX($W$2:$W$1001,MATCH(ROWS($U$2:U979),$U$2:$U$1001,0),0), INDEX($AB$1004:$AQ$1004,1,MATCH(COLUMNS($AB$1006:AF1006),$AB$1006:$AQ$1006,0)))),"Fix")))</f>
        <v>0</v>
      </c>
      <c r="G979" s="5">
        <f>IF(OR(INDEX($V$2:$V$1001,MATCH(ROWS($U$2:U979),$U$2:$U$1001,0),1)&gt;=100000,INDEX($AB$1005:$AQ$1005,1,MATCH(COLUMNS($AB$1006:AG1006),$AB$1006:$AQ$1006,0))&gt;=100000), " ",IF(INDEX($AB$2:$AQ$1001,MATCH(ROWS($U$2:U979),$U$2:$U$1001,0),MATCH(COLUMNS($AB$1006:AG1006),$AB$1006:$AQ$1006,0)), HYPERLINK("#",""), HYPERLINK(CONCATENATE("#Metadata!", ADDRESS(INDEX($W$2:$W$1001,MATCH(ROWS($U$2:U979),$U$2:$U$1001,0),0), INDEX($AB$1004:$AQ$1004,1,MATCH(COLUMNS($AB$1006:AG1006),$AB$1006:$AQ$1006,0)))),"Fix")))</f>
        <v>0</v>
      </c>
      <c r="H979" s="5">
        <f>IF(OR(INDEX($V$2:$V$1001,MATCH(ROWS($U$2:U979),$U$2:$U$1001,0),1)&gt;=100000,INDEX($AB$1005:$AQ$1005,1,MATCH(COLUMNS($AB$1006:AH1006),$AB$1006:$AQ$1006,0))&gt;=100000), " ",IF(INDEX($AB$2:$AQ$1001,MATCH(ROWS($U$2:U979),$U$2:$U$1001,0),MATCH(COLUMNS($AB$1006:AH1006),$AB$1006:$AQ$1006,0)), HYPERLINK("#",""), HYPERLINK(CONCATENATE("#Metadata!", ADDRESS(INDEX($W$2:$W$1001,MATCH(ROWS($U$2:U979),$U$2:$U$1001,0),0), INDEX($AB$1004:$AQ$1004,1,MATCH(COLUMNS($AB$1006:AH1006),$AB$1006:$AQ$1006,0)))),"Fix")))</f>
        <v>0</v>
      </c>
      <c r="I979" s="5">
        <f>IF(OR(INDEX($V$2:$V$1001,MATCH(ROWS($U$2:U979),$U$2:$U$1001,0),1)&gt;=100000,INDEX($AB$1005:$AQ$1005,1,MATCH(COLUMNS($AB$1006:AI1006),$AB$1006:$AQ$1006,0))&gt;=100000), " ",IF(INDEX($AB$2:$AQ$1001,MATCH(ROWS($U$2:U979),$U$2:$U$1001,0),MATCH(COLUMNS($AB$1006:AI1006),$AB$1006:$AQ$1006,0)), HYPERLINK("#",""), HYPERLINK(CONCATENATE("#Metadata!", ADDRESS(INDEX($W$2:$W$1001,MATCH(ROWS($U$2:U979),$U$2:$U$1001,0),0), INDEX($AB$1004:$AQ$1004,1,MATCH(COLUMNS($AB$1006:AI1006),$AB$1006:$AQ$1006,0)))),"Fix")))</f>
        <v>0</v>
      </c>
      <c r="J979" s="5">
        <f>IF(OR(INDEX($V$2:$V$1001,MATCH(ROWS($U$2:U979),$U$2:$U$1001,0),1)&gt;=100000,INDEX($AB$1005:$AQ$1005,1,MATCH(COLUMNS($AB$1006:AJ1006),$AB$1006:$AQ$1006,0))&gt;=100000), " ",IF(INDEX($AB$2:$AQ$1001,MATCH(ROWS($U$2:U979),$U$2:$U$1001,0),MATCH(COLUMNS($AB$1006:AJ1006),$AB$1006:$AQ$1006,0)), HYPERLINK("#",""), HYPERLINK(CONCATENATE("#Metadata!", ADDRESS(INDEX($W$2:$W$1001,MATCH(ROWS($U$2:U979),$U$2:$U$1001,0),0), INDEX($AB$1004:$AQ$1004,1,MATCH(COLUMNS($AB$1006:AJ1006),$AB$1006:$AQ$1006,0)))),"Fix")))</f>
        <v>0</v>
      </c>
      <c r="K979" s="5">
        <f>IF(OR(INDEX($V$2:$V$1001,MATCH(ROWS($U$2:U979),$U$2:$U$1001,0),1)&gt;=100000,INDEX($AB$1005:$AQ$1005,1,MATCH(COLUMNS($AB$1006:AK1006),$AB$1006:$AQ$1006,0))&gt;=100000), " ",IF(INDEX($AB$2:$AQ$1001,MATCH(ROWS($U$2:U979),$U$2:$U$1001,0),MATCH(COLUMNS($AB$1006:AK1006),$AB$1006:$AQ$1006,0)), HYPERLINK("#",""), HYPERLINK(CONCATENATE("#Metadata!", ADDRESS(INDEX($W$2:$W$1001,MATCH(ROWS($U$2:U979),$U$2:$U$1001,0),0), INDEX($AB$1004:$AQ$1004,1,MATCH(COLUMNS($AB$1006:AK1006),$AB$1006:$AQ$1006,0)))),"Fix")))</f>
        <v>0</v>
      </c>
      <c r="L979" s="5">
        <f>IF(OR(INDEX($V$2:$V$1001,MATCH(ROWS($U$2:U979),$U$2:$U$1001,0),1)&gt;=100000,INDEX($AB$1005:$AQ$1005,1,MATCH(COLUMNS($AB$1006:AL1006),$AB$1006:$AQ$1006,0))&gt;=100000), " ",IF(INDEX($AB$2:$AQ$1001,MATCH(ROWS($U$2:U979),$U$2:$U$1001,0),MATCH(COLUMNS($AB$1006:AL1006),$AB$1006:$AQ$1006,0)), HYPERLINK("#",""), HYPERLINK(CONCATENATE("#Metadata!", ADDRESS(INDEX($W$2:$W$1001,MATCH(ROWS($U$2:U979),$U$2:$U$1001,0),0), INDEX($AB$1004:$AQ$1004,1,MATCH(COLUMNS($AB$1006:AL1006),$AB$1006:$AQ$1006,0)))),"Fix")))</f>
        <v>0</v>
      </c>
      <c r="M979" s="5">
        <f>IF(OR(INDEX($V$2:$V$1001,MATCH(ROWS($U$2:U979),$U$2:$U$1001,0),1)&gt;=100000,INDEX($AB$1005:$AQ$1005,1,MATCH(COLUMNS($AB$1006:AM1006),$AB$1006:$AQ$1006,0))&gt;=100000), " ",IF(INDEX($AB$2:$AQ$1001,MATCH(ROWS($U$2:U979),$U$2:$U$1001,0),MATCH(COLUMNS($AB$1006:AM1006),$AB$1006:$AQ$1006,0)), HYPERLINK("#",""), HYPERLINK(CONCATENATE("#Metadata!", ADDRESS(INDEX($W$2:$W$1001,MATCH(ROWS($U$2:U979),$U$2:$U$1001,0),0), INDEX($AB$1004:$AQ$1004,1,MATCH(COLUMNS($AB$1006:AM1006),$AB$1006:$AQ$1006,0)))),"Fix")))</f>
        <v>0</v>
      </c>
      <c r="N979" s="5">
        <f>IF(OR(INDEX($V$2:$V$1001,MATCH(ROWS($U$2:U979),$U$2:$U$1001,0),1)&gt;=100000,INDEX($AB$1005:$AQ$1005,1,MATCH(COLUMNS($AB$1006:AN1006),$AB$1006:$AQ$1006,0))&gt;=100000), " ",IF(INDEX($AB$2:$AQ$1001,MATCH(ROWS($U$2:U979),$U$2:$U$1001,0),MATCH(COLUMNS($AB$1006:AN1006),$AB$1006:$AQ$1006,0)), HYPERLINK("#",""), HYPERLINK(CONCATENATE("#Metadata!", ADDRESS(INDEX($W$2:$W$1001,MATCH(ROWS($U$2:U979),$U$2:$U$1001,0),0), INDEX($AB$1004:$AQ$1004,1,MATCH(COLUMNS($AB$1006:AN1006),$AB$1006:$AQ$1006,0)))),"Fix")))</f>
        <v>0</v>
      </c>
      <c r="O979" s="5">
        <f>IF(OR(INDEX($V$2:$V$1001,MATCH(ROWS($U$2:U979),$U$2:$U$1001,0),1)&gt;=100000,INDEX($AB$1005:$AQ$1005,1,MATCH(COLUMNS($AB$1006:AO1006),$AB$1006:$AQ$1006,0))&gt;=100000), " ",IF(INDEX($AB$2:$AQ$1001,MATCH(ROWS($U$2:U979),$U$2:$U$1001,0),MATCH(COLUMNS($AB$1006:AO1006),$AB$1006:$AQ$1006,0)), HYPERLINK("#",""), HYPERLINK(CONCATENATE("#Metadata!", ADDRESS(INDEX($W$2:$W$1001,MATCH(ROWS($U$2:U979),$U$2:$U$1001,0),0), INDEX($AB$1004:$AQ$1004,1,MATCH(COLUMNS($AB$1006:AO1006),$AB$1006:$AQ$1006,0)))),"Fix")))</f>
        <v>0</v>
      </c>
      <c r="P979" s="5">
        <f>IF(OR(INDEX($V$2:$V$1001,MATCH(ROWS($U$2:U979),$U$2:$U$1001,0),1)&gt;=100000,INDEX($AB$1005:$AQ$1005,1,MATCH(COLUMNS($AB$1006:AP1006),$AB$1006:$AQ$1006,0))&gt;=100000), " ",IF(INDEX($AB$2:$AQ$1001,MATCH(ROWS($U$2:U979),$U$2:$U$1001,0),MATCH(COLUMNS($AB$1006:AP1006),$AB$1006:$AQ$1006,0)), HYPERLINK("#",""), HYPERLINK(CONCATENATE("#Metadata!", ADDRESS(INDEX($W$2:$W$1001,MATCH(ROWS($U$2:U979),$U$2:$U$1001,0),0), INDEX($AB$1004:$AQ$1004,1,MATCH(COLUMNS($AB$1006:AP1006),$AB$1006:$AQ$1006,0)))),"Fix")))</f>
        <v>0</v>
      </c>
      <c r="Q979" s="5">
        <f>IF(OR(INDEX($V$2:$V$1001,MATCH(ROWS($U$2:U979),$U$2:$U$1001,0),1)&gt;=100000,INDEX($AB$1005:$AQ$1005,1,MATCH(COLUMNS($AB$1006:AQ1006),$AB$1006:$AQ$1006,0))&gt;=100000), " ",IF(INDEX($AB$2:$AQ$1001,MATCH(ROWS($U$2:U979),$U$2:$U$1001,0),MATCH(COLUMNS($AB$1006:AQ1006),$AB$1006:$AQ$1006,0)), HYPERLINK("#",""), HYPERLINK(CONCATENATE("#Metadata!", ADDRESS(INDEX($W$2:$W$1001,MATCH(ROWS($U$2:U979),$U$2:$U$1001,0),0), INDEX($AB$1004:$AQ$1004,1,MATCH(COLUMNS($AB$1006:AQ1006),$AB$1006:$AQ$1006,0)))),"Fix")))</f>
        <v>0</v>
      </c>
      <c r="U979">
        <v>0</v>
      </c>
      <c r="V979">
        <v>0</v>
      </c>
      <c r="W979">
        <v>0</v>
      </c>
      <c r="X979">
        <f>IF(Y979,TRUE,AND(AB979:AQ979))</f>
        <v>0</v>
      </c>
      <c r="Y979">
        <f>COUNTBLANK(Metadata!B979:Q979)=COLUMNS(Metadata!B979:Q979)</f>
        <v>0</v>
      </c>
      <c r="Z979">
        <v>0</v>
      </c>
      <c r="AB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AC979">
        <f>AND(IF(Metadata!C979="",FALSE,TRUE),exact(Metadata!C979,"urban biome"))</f>
        <v>0</v>
      </c>
      <c r="AD979">
        <f>AND(IF(Metadata!D979="",FALSE,TRUE),exact(Metadata!D979,"human-associated habitat"))</f>
        <v>0</v>
      </c>
      <c r="AE979">
        <f>AND(IF(Metadata!E979="",FALSE,TRUE),OR(exact(Metadata!E979,"human-associated"),exact(Metadata!E979,"human-skin"),exact(Metadata!E979,"human-oral"),exact(Metadata!E979,"human-gut"),exact(Metadata!E979,"human-vaginal")))</f>
        <v>0</v>
      </c>
      <c r="AF979">
        <f>AND(IF(Metadata!F979="",FALSE,ISNUMBER(VALUE(Metadata!F979))),Metadata!F979&gt;0)</f>
        <v>0</v>
      </c>
      <c r="AG979">
        <f>AND(IF(Metadata!G979="",FALSE,TRUE),exact(Metadata!G979,"years"))</f>
        <v>0</v>
      </c>
      <c r="AH979">
        <f>OR(AND(IF(Metadata!H979="",FALSE,TRUE),OR(exact(Metadata!H979,"not applicable"),exact(Metadata!H979,"not collected"),exact(Metadata!H979,"not provided"),exact(Metadata!H979,"restricted access"))),AND(IF(Metadata!H979="",FALSE,ISNUMBER(VALUE(Metadata!H979))),Metadata!H979&gt;0))</f>
        <v>0</v>
      </c>
      <c r="AI979">
        <f>AND(IF(Metadata!I979="",FALSE,TRUE),exact(Metadata!I979,"human"))</f>
        <v>0</v>
      </c>
      <c r="AJ979">
        <f>AND(IF(Metadata!J979="",FALSE,ISNUMBER(VALUE(Metadata!J979))),Metadata!J979&gt;0)</f>
        <v>0</v>
      </c>
      <c r="AK979">
        <f>AND(IF(Metadata!K979="",FALSE,TRUE),exact(Metadata!K979,"cm"))</f>
        <v>0</v>
      </c>
      <c r="AL979">
        <f>AND(IF(Metadata!L979="",FALSE,TRUE),exact(Metadata!L979,"Homo sapiens"))</f>
        <v>0</v>
      </c>
      <c r="AM979">
        <f>AND(IF(Metadata!M979="",FALSE,TRUE),exact(Metadata!M979,"9606"))</f>
        <v>0</v>
      </c>
      <c r="AN979">
        <f>AND(IF(Metadata!N979="",FALSE,ISNUMBER(VALUE(Metadata!N979))),Metadata!N979&gt;0)</f>
        <v>0</v>
      </c>
      <c r="AO979">
        <f>AND(IF(Metadata!O979="",FALSE,TRUE),exact(Metadata!O979,"kg"))</f>
        <v>0</v>
      </c>
      <c r="AP979">
        <f>OR(AND(IF(Metadata!P979="",FALSE,TRUE),exact(Metadata!P979,"not provided")),IF(Metadata!P979="",FALSE,TRUE))</f>
        <v>0</v>
      </c>
      <c r="AQ979">
        <f>OR(AND(IF(Metadata!Q979="",FALSE,TRUE),exact(Metadata!Q979,"not provided")),IF(Metadata!Q979="",FALSE,TRUE))</f>
        <v>0</v>
      </c>
    </row>
    <row r="980" spans="1:43">
      <c r="A980" s="4">
        <f>IF(B980=" "," ",HYPERLINK(CONCATENATE("#metadata!",ADDRESS(INDEX($W$2:$W$1001,MATCH(ROWS($U$2:U980),$U$2:$U$1001,0),0),2)),INDEX($Z$2:$Z$1001,MATCH(ROWS($U$2:U980),$U$2:$U$1001,0),0)))</f>
        <v>0</v>
      </c>
      <c r="B980" s="5">
        <f>IF(OR(INDEX($V$2:$V$1001,MATCH(ROWS($U$2:U980),$U$2:$U$1001,0),1)&gt;=100000,INDEX($AB$1005:$AQ$1005,1,MATCH(COLUMNS($AB$1006:AB1006),$AB$1006:$AQ$1006,0))&gt;=100000), " ",IF(INDEX($AB$2:$AQ$1001,MATCH(ROWS($U$2:U980),$U$2:$U$1001,0),MATCH(COLUMNS($AB$1006:AB1006),$AB$1006:$AQ$1006,0)), HYPERLINK("#",""), HYPERLINK(CONCATENATE("#Metadata!", ADDRESS(INDEX($W$2:$W$1001,MATCH(ROWS($U$2:U980),$U$2:$U$1001,0),0), INDEX($AB$1004:$AQ$1004,1,MATCH(COLUMNS($AB$1006:AB1006),$AB$1006:$AQ$1006,0)))),"Fix")))</f>
        <v>0</v>
      </c>
      <c r="C980" s="5">
        <f>IF(OR(INDEX($V$2:$V$1001,MATCH(ROWS($U$2:U980),$U$2:$U$1001,0),1)&gt;=100000,INDEX($AB$1005:$AQ$1005,1,MATCH(COLUMNS($AB$1006:AC1006),$AB$1006:$AQ$1006,0))&gt;=100000), " ",IF(INDEX($AB$2:$AQ$1001,MATCH(ROWS($U$2:U980),$U$2:$U$1001,0),MATCH(COLUMNS($AB$1006:AC1006),$AB$1006:$AQ$1006,0)), HYPERLINK("#",""), HYPERLINK(CONCATENATE("#Metadata!", ADDRESS(INDEX($W$2:$W$1001,MATCH(ROWS($U$2:U980),$U$2:$U$1001,0),0), INDEX($AB$1004:$AQ$1004,1,MATCH(COLUMNS($AB$1006:AC1006),$AB$1006:$AQ$1006,0)))),"Fix")))</f>
        <v>0</v>
      </c>
      <c r="D980" s="5">
        <f>IF(OR(INDEX($V$2:$V$1001,MATCH(ROWS($U$2:U980),$U$2:$U$1001,0),1)&gt;=100000,INDEX($AB$1005:$AQ$1005,1,MATCH(COLUMNS($AB$1006:AD1006),$AB$1006:$AQ$1006,0))&gt;=100000), " ",IF(INDEX($AB$2:$AQ$1001,MATCH(ROWS($U$2:U980),$U$2:$U$1001,0),MATCH(COLUMNS($AB$1006:AD1006),$AB$1006:$AQ$1006,0)), HYPERLINK("#",""), HYPERLINK(CONCATENATE("#Metadata!", ADDRESS(INDEX($W$2:$W$1001,MATCH(ROWS($U$2:U980),$U$2:$U$1001,0),0), INDEX($AB$1004:$AQ$1004,1,MATCH(COLUMNS($AB$1006:AD1006),$AB$1006:$AQ$1006,0)))),"Fix")))</f>
        <v>0</v>
      </c>
      <c r="E980" s="5">
        <f>IF(OR(INDEX($V$2:$V$1001,MATCH(ROWS($U$2:U980),$U$2:$U$1001,0),1)&gt;=100000,INDEX($AB$1005:$AQ$1005,1,MATCH(COLUMNS($AB$1006:AE1006),$AB$1006:$AQ$1006,0))&gt;=100000), " ",IF(INDEX($AB$2:$AQ$1001,MATCH(ROWS($U$2:U980),$U$2:$U$1001,0),MATCH(COLUMNS($AB$1006:AE1006),$AB$1006:$AQ$1006,0)), HYPERLINK("#",""), HYPERLINK(CONCATENATE("#Metadata!", ADDRESS(INDEX($W$2:$W$1001,MATCH(ROWS($U$2:U980),$U$2:$U$1001,0),0), INDEX($AB$1004:$AQ$1004,1,MATCH(COLUMNS($AB$1006:AE1006),$AB$1006:$AQ$1006,0)))),"Fix")))</f>
        <v>0</v>
      </c>
      <c r="F980" s="5">
        <f>IF(OR(INDEX($V$2:$V$1001,MATCH(ROWS($U$2:U980),$U$2:$U$1001,0),1)&gt;=100000,INDEX($AB$1005:$AQ$1005,1,MATCH(COLUMNS($AB$1006:AF1006),$AB$1006:$AQ$1006,0))&gt;=100000), " ",IF(INDEX($AB$2:$AQ$1001,MATCH(ROWS($U$2:U980),$U$2:$U$1001,0),MATCH(COLUMNS($AB$1006:AF1006),$AB$1006:$AQ$1006,0)), HYPERLINK("#",""), HYPERLINK(CONCATENATE("#Metadata!", ADDRESS(INDEX($W$2:$W$1001,MATCH(ROWS($U$2:U980),$U$2:$U$1001,0),0), INDEX($AB$1004:$AQ$1004,1,MATCH(COLUMNS($AB$1006:AF1006),$AB$1006:$AQ$1006,0)))),"Fix")))</f>
        <v>0</v>
      </c>
      <c r="G980" s="5">
        <f>IF(OR(INDEX($V$2:$V$1001,MATCH(ROWS($U$2:U980),$U$2:$U$1001,0),1)&gt;=100000,INDEX($AB$1005:$AQ$1005,1,MATCH(COLUMNS($AB$1006:AG1006),$AB$1006:$AQ$1006,0))&gt;=100000), " ",IF(INDEX($AB$2:$AQ$1001,MATCH(ROWS($U$2:U980),$U$2:$U$1001,0),MATCH(COLUMNS($AB$1006:AG1006),$AB$1006:$AQ$1006,0)), HYPERLINK("#",""), HYPERLINK(CONCATENATE("#Metadata!", ADDRESS(INDEX($W$2:$W$1001,MATCH(ROWS($U$2:U980),$U$2:$U$1001,0),0), INDEX($AB$1004:$AQ$1004,1,MATCH(COLUMNS($AB$1006:AG1006),$AB$1006:$AQ$1006,0)))),"Fix")))</f>
        <v>0</v>
      </c>
      <c r="H980" s="5">
        <f>IF(OR(INDEX($V$2:$V$1001,MATCH(ROWS($U$2:U980),$U$2:$U$1001,0),1)&gt;=100000,INDEX($AB$1005:$AQ$1005,1,MATCH(COLUMNS($AB$1006:AH1006),$AB$1006:$AQ$1006,0))&gt;=100000), " ",IF(INDEX($AB$2:$AQ$1001,MATCH(ROWS($U$2:U980),$U$2:$U$1001,0),MATCH(COLUMNS($AB$1006:AH1006),$AB$1006:$AQ$1006,0)), HYPERLINK("#",""), HYPERLINK(CONCATENATE("#Metadata!", ADDRESS(INDEX($W$2:$W$1001,MATCH(ROWS($U$2:U980),$U$2:$U$1001,0),0), INDEX($AB$1004:$AQ$1004,1,MATCH(COLUMNS($AB$1006:AH1006),$AB$1006:$AQ$1006,0)))),"Fix")))</f>
        <v>0</v>
      </c>
      <c r="I980" s="5">
        <f>IF(OR(INDEX($V$2:$V$1001,MATCH(ROWS($U$2:U980),$U$2:$U$1001,0),1)&gt;=100000,INDEX($AB$1005:$AQ$1005,1,MATCH(COLUMNS($AB$1006:AI1006),$AB$1006:$AQ$1006,0))&gt;=100000), " ",IF(INDEX($AB$2:$AQ$1001,MATCH(ROWS($U$2:U980),$U$2:$U$1001,0),MATCH(COLUMNS($AB$1006:AI1006),$AB$1006:$AQ$1006,0)), HYPERLINK("#",""), HYPERLINK(CONCATENATE("#Metadata!", ADDRESS(INDEX($W$2:$W$1001,MATCH(ROWS($U$2:U980),$U$2:$U$1001,0),0), INDEX($AB$1004:$AQ$1004,1,MATCH(COLUMNS($AB$1006:AI1006),$AB$1006:$AQ$1006,0)))),"Fix")))</f>
        <v>0</v>
      </c>
      <c r="J980" s="5">
        <f>IF(OR(INDEX($V$2:$V$1001,MATCH(ROWS($U$2:U980),$U$2:$U$1001,0),1)&gt;=100000,INDEX($AB$1005:$AQ$1005,1,MATCH(COLUMNS($AB$1006:AJ1006),$AB$1006:$AQ$1006,0))&gt;=100000), " ",IF(INDEX($AB$2:$AQ$1001,MATCH(ROWS($U$2:U980),$U$2:$U$1001,0),MATCH(COLUMNS($AB$1006:AJ1006),$AB$1006:$AQ$1006,0)), HYPERLINK("#",""), HYPERLINK(CONCATENATE("#Metadata!", ADDRESS(INDEX($W$2:$W$1001,MATCH(ROWS($U$2:U980),$U$2:$U$1001,0),0), INDEX($AB$1004:$AQ$1004,1,MATCH(COLUMNS($AB$1006:AJ1006),$AB$1006:$AQ$1006,0)))),"Fix")))</f>
        <v>0</v>
      </c>
      <c r="K980" s="5">
        <f>IF(OR(INDEX($V$2:$V$1001,MATCH(ROWS($U$2:U980),$U$2:$U$1001,0),1)&gt;=100000,INDEX($AB$1005:$AQ$1005,1,MATCH(COLUMNS($AB$1006:AK1006),$AB$1006:$AQ$1006,0))&gt;=100000), " ",IF(INDEX($AB$2:$AQ$1001,MATCH(ROWS($U$2:U980),$U$2:$U$1001,0),MATCH(COLUMNS($AB$1006:AK1006),$AB$1006:$AQ$1006,0)), HYPERLINK("#",""), HYPERLINK(CONCATENATE("#Metadata!", ADDRESS(INDEX($W$2:$W$1001,MATCH(ROWS($U$2:U980),$U$2:$U$1001,0),0), INDEX($AB$1004:$AQ$1004,1,MATCH(COLUMNS($AB$1006:AK1006),$AB$1006:$AQ$1006,0)))),"Fix")))</f>
        <v>0</v>
      </c>
      <c r="L980" s="5">
        <f>IF(OR(INDEX($V$2:$V$1001,MATCH(ROWS($U$2:U980),$U$2:$U$1001,0),1)&gt;=100000,INDEX($AB$1005:$AQ$1005,1,MATCH(COLUMNS($AB$1006:AL1006),$AB$1006:$AQ$1006,0))&gt;=100000), " ",IF(INDEX($AB$2:$AQ$1001,MATCH(ROWS($U$2:U980),$U$2:$U$1001,0),MATCH(COLUMNS($AB$1006:AL1006),$AB$1006:$AQ$1006,0)), HYPERLINK("#",""), HYPERLINK(CONCATENATE("#Metadata!", ADDRESS(INDEX($W$2:$W$1001,MATCH(ROWS($U$2:U980),$U$2:$U$1001,0),0), INDEX($AB$1004:$AQ$1004,1,MATCH(COLUMNS($AB$1006:AL1006),$AB$1006:$AQ$1006,0)))),"Fix")))</f>
        <v>0</v>
      </c>
      <c r="M980" s="5">
        <f>IF(OR(INDEX($V$2:$V$1001,MATCH(ROWS($U$2:U980),$U$2:$U$1001,0),1)&gt;=100000,INDEX($AB$1005:$AQ$1005,1,MATCH(COLUMNS($AB$1006:AM1006),$AB$1006:$AQ$1006,0))&gt;=100000), " ",IF(INDEX($AB$2:$AQ$1001,MATCH(ROWS($U$2:U980),$U$2:$U$1001,0),MATCH(COLUMNS($AB$1006:AM1006),$AB$1006:$AQ$1006,0)), HYPERLINK("#",""), HYPERLINK(CONCATENATE("#Metadata!", ADDRESS(INDEX($W$2:$W$1001,MATCH(ROWS($U$2:U980),$U$2:$U$1001,0),0), INDEX($AB$1004:$AQ$1004,1,MATCH(COLUMNS($AB$1006:AM1006),$AB$1006:$AQ$1006,0)))),"Fix")))</f>
        <v>0</v>
      </c>
      <c r="N980" s="5">
        <f>IF(OR(INDEX($V$2:$V$1001,MATCH(ROWS($U$2:U980),$U$2:$U$1001,0),1)&gt;=100000,INDEX($AB$1005:$AQ$1005,1,MATCH(COLUMNS($AB$1006:AN1006),$AB$1006:$AQ$1006,0))&gt;=100000), " ",IF(INDEX($AB$2:$AQ$1001,MATCH(ROWS($U$2:U980),$U$2:$U$1001,0),MATCH(COLUMNS($AB$1006:AN1006),$AB$1006:$AQ$1006,0)), HYPERLINK("#",""), HYPERLINK(CONCATENATE("#Metadata!", ADDRESS(INDEX($W$2:$W$1001,MATCH(ROWS($U$2:U980),$U$2:$U$1001,0),0), INDEX($AB$1004:$AQ$1004,1,MATCH(COLUMNS($AB$1006:AN1006),$AB$1006:$AQ$1006,0)))),"Fix")))</f>
        <v>0</v>
      </c>
      <c r="O980" s="5">
        <f>IF(OR(INDEX($V$2:$V$1001,MATCH(ROWS($U$2:U980),$U$2:$U$1001,0),1)&gt;=100000,INDEX($AB$1005:$AQ$1005,1,MATCH(COLUMNS($AB$1006:AO1006),$AB$1006:$AQ$1006,0))&gt;=100000), " ",IF(INDEX($AB$2:$AQ$1001,MATCH(ROWS($U$2:U980),$U$2:$U$1001,0),MATCH(COLUMNS($AB$1006:AO1006),$AB$1006:$AQ$1006,0)), HYPERLINK("#",""), HYPERLINK(CONCATENATE("#Metadata!", ADDRESS(INDEX($W$2:$W$1001,MATCH(ROWS($U$2:U980),$U$2:$U$1001,0),0), INDEX($AB$1004:$AQ$1004,1,MATCH(COLUMNS($AB$1006:AO1006),$AB$1006:$AQ$1006,0)))),"Fix")))</f>
        <v>0</v>
      </c>
      <c r="P980" s="5">
        <f>IF(OR(INDEX($V$2:$V$1001,MATCH(ROWS($U$2:U980),$U$2:$U$1001,0),1)&gt;=100000,INDEX($AB$1005:$AQ$1005,1,MATCH(COLUMNS($AB$1006:AP1006),$AB$1006:$AQ$1006,0))&gt;=100000), " ",IF(INDEX($AB$2:$AQ$1001,MATCH(ROWS($U$2:U980),$U$2:$U$1001,0),MATCH(COLUMNS($AB$1006:AP1006),$AB$1006:$AQ$1006,0)), HYPERLINK("#",""), HYPERLINK(CONCATENATE("#Metadata!", ADDRESS(INDEX($W$2:$W$1001,MATCH(ROWS($U$2:U980),$U$2:$U$1001,0),0), INDEX($AB$1004:$AQ$1004,1,MATCH(COLUMNS($AB$1006:AP1006),$AB$1006:$AQ$1006,0)))),"Fix")))</f>
        <v>0</v>
      </c>
      <c r="Q980" s="5">
        <f>IF(OR(INDEX($V$2:$V$1001,MATCH(ROWS($U$2:U980),$U$2:$U$1001,0),1)&gt;=100000,INDEX($AB$1005:$AQ$1005,1,MATCH(COLUMNS($AB$1006:AQ1006),$AB$1006:$AQ$1006,0))&gt;=100000), " ",IF(INDEX($AB$2:$AQ$1001,MATCH(ROWS($U$2:U980),$U$2:$U$1001,0),MATCH(COLUMNS($AB$1006:AQ1006),$AB$1006:$AQ$1006,0)), HYPERLINK("#",""), HYPERLINK(CONCATENATE("#Metadata!", ADDRESS(INDEX($W$2:$W$1001,MATCH(ROWS($U$2:U980),$U$2:$U$1001,0),0), INDEX($AB$1004:$AQ$1004,1,MATCH(COLUMNS($AB$1006:AQ1006),$AB$1006:$AQ$1006,0)))),"Fix")))</f>
        <v>0</v>
      </c>
      <c r="U980">
        <v>0</v>
      </c>
      <c r="V980">
        <v>0</v>
      </c>
      <c r="W980">
        <v>0</v>
      </c>
      <c r="X980">
        <f>IF(Y980,TRUE,AND(AB980:AQ980))</f>
        <v>0</v>
      </c>
      <c r="Y980">
        <f>COUNTBLANK(Metadata!B980:Q980)=COLUMNS(Metadata!B980:Q980)</f>
        <v>0</v>
      </c>
      <c r="Z980">
        <v>0</v>
      </c>
      <c r="AB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AC980">
        <f>AND(IF(Metadata!C980="",FALSE,TRUE),exact(Metadata!C980,"urban biome"))</f>
        <v>0</v>
      </c>
      <c r="AD980">
        <f>AND(IF(Metadata!D980="",FALSE,TRUE),exact(Metadata!D980,"human-associated habitat"))</f>
        <v>0</v>
      </c>
      <c r="AE980">
        <f>AND(IF(Metadata!E980="",FALSE,TRUE),OR(exact(Metadata!E980,"human-associated"),exact(Metadata!E980,"human-skin"),exact(Metadata!E980,"human-oral"),exact(Metadata!E980,"human-gut"),exact(Metadata!E980,"human-vaginal")))</f>
        <v>0</v>
      </c>
      <c r="AF980">
        <f>AND(IF(Metadata!F980="",FALSE,ISNUMBER(VALUE(Metadata!F980))),Metadata!F980&gt;0)</f>
        <v>0</v>
      </c>
      <c r="AG980">
        <f>AND(IF(Metadata!G980="",FALSE,TRUE),exact(Metadata!G980,"years"))</f>
        <v>0</v>
      </c>
      <c r="AH980">
        <f>OR(AND(IF(Metadata!H980="",FALSE,TRUE),OR(exact(Metadata!H980,"not applicable"),exact(Metadata!H980,"not collected"),exact(Metadata!H980,"not provided"),exact(Metadata!H980,"restricted access"))),AND(IF(Metadata!H980="",FALSE,ISNUMBER(VALUE(Metadata!H980))),Metadata!H980&gt;0))</f>
        <v>0</v>
      </c>
      <c r="AI980">
        <f>AND(IF(Metadata!I980="",FALSE,TRUE),exact(Metadata!I980,"human"))</f>
        <v>0</v>
      </c>
      <c r="AJ980">
        <f>AND(IF(Metadata!J980="",FALSE,ISNUMBER(VALUE(Metadata!J980))),Metadata!J980&gt;0)</f>
        <v>0</v>
      </c>
      <c r="AK980">
        <f>AND(IF(Metadata!K980="",FALSE,TRUE),exact(Metadata!K980,"cm"))</f>
        <v>0</v>
      </c>
      <c r="AL980">
        <f>AND(IF(Metadata!L980="",FALSE,TRUE),exact(Metadata!L980,"Homo sapiens"))</f>
        <v>0</v>
      </c>
      <c r="AM980">
        <f>AND(IF(Metadata!M980="",FALSE,TRUE),exact(Metadata!M980,"9606"))</f>
        <v>0</v>
      </c>
      <c r="AN980">
        <f>AND(IF(Metadata!N980="",FALSE,ISNUMBER(VALUE(Metadata!N980))),Metadata!N980&gt;0)</f>
        <v>0</v>
      </c>
      <c r="AO980">
        <f>AND(IF(Metadata!O980="",FALSE,TRUE),exact(Metadata!O980,"kg"))</f>
        <v>0</v>
      </c>
      <c r="AP980">
        <f>OR(AND(IF(Metadata!P980="",FALSE,TRUE),exact(Metadata!P980,"not provided")),IF(Metadata!P980="",FALSE,TRUE))</f>
        <v>0</v>
      </c>
      <c r="AQ980">
        <f>OR(AND(IF(Metadata!Q980="",FALSE,TRUE),exact(Metadata!Q980,"not provided")),IF(Metadata!Q980="",FALSE,TRUE))</f>
        <v>0</v>
      </c>
    </row>
    <row r="981" spans="1:43">
      <c r="A981" s="4">
        <f>IF(B981=" "," ",HYPERLINK(CONCATENATE("#metadata!",ADDRESS(INDEX($W$2:$W$1001,MATCH(ROWS($U$2:U981),$U$2:$U$1001,0),0),2)),INDEX($Z$2:$Z$1001,MATCH(ROWS($U$2:U981),$U$2:$U$1001,0),0)))</f>
        <v>0</v>
      </c>
      <c r="B981" s="5">
        <f>IF(OR(INDEX($V$2:$V$1001,MATCH(ROWS($U$2:U981),$U$2:$U$1001,0),1)&gt;=100000,INDEX($AB$1005:$AQ$1005,1,MATCH(COLUMNS($AB$1006:AB1006),$AB$1006:$AQ$1006,0))&gt;=100000), " ",IF(INDEX($AB$2:$AQ$1001,MATCH(ROWS($U$2:U981),$U$2:$U$1001,0),MATCH(COLUMNS($AB$1006:AB1006),$AB$1006:$AQ$1006,0)), HYPERLINK("#",""), HYPERLINK(CONCATENATE("#Metadata!", ADDRESS(INDEX($W$2:$W$1001,MATCH(ROWS($U$2:U981),$U$2:$U$1001,0),0), INDEX($AB$1004:$AQ$1004,1,MATCH(COLUMNS($AB$1006:AB1006),$AB$1006:$AQ$1006,0)))),"Fix")))</f>
        <v>0</v>
      </c>
      <c r="C981" s="5">
        <f>IF(OR(INDEX($V$2:$V$1001,MATCH(ROWS($U$2:U981),$U$2:$U$1001,0),1)&gt;=100000,INDEX($AB$1005:$AQ$1005,1,MATCH(COLUMNS($AB$1006:AC1006),$AB$1006:$AQ$1006,0))&gt;=100000), " ",IF(INDEX($AB$2:$AQ$1001,MATCH(ROWS($U$2:U981),$U$2:$U$1001,0),MATCH(COLUMNS($AB$1006:AC1006),$AB$1006:$AQ$1006,0)), HYPERLINK("#",""), HYPERLINK(CONCATENATE("#Metadata!", ADDRESS(INDEX($W$2:$W$1001,MATCH(ROWS($U$2:U981),$U$2:$U$1001,0),0), INDEX($AB$1004:$AQ$1004,1,MATCH(COLUMNS($AB$1006:AC1006),$AB$1006:$AQ$1006,0)))),"Fix")))</f>
        <v>0</v>
      </c>
      <c r="D981" s="5">
        <f>IF(OR(INDEX($V$2:$V$1001,MATCH(ROWS($U$2:U981),$U$2:$U$1001,0),1)&gt;=100000,INDEX($AB$1005:$AQ$1005,1,MATCH(COLUMNS($AB$1006:AD1006),$AB$1006:$AQ$1006,0))&gt;=100000), " ",IF(INDEX($AB$2:$AQ$1001,MATCH(ROWS($U$2:U981),$U$2:$U$1001,0),MATCH(COLUMNS($AB$1006:AD1006),$AB$1006:$AQ$1006,0)), HYPERLINK("#",""), HYPERLINK(CONCATENATE("#Metadata!", ADDRESS(INDEX($W$2:$W$1001,MATCH(ROWS($U$2:U981),$U$2:$U$1001,0),0), INDEX($AB$1004:$AQ$1004,1,MATCH(COLUMNS($AB$1006:AD1006),$AB$1006:$AQ$1006,0)))),"Fix")))</f>
        <v>0</v>
      </c>
      <c r="E981" s="5">
        <f>IF(OR(INDEX($V$2:$V$1001,MATCH(ROWS($U$2:U981),$U$2:$U$1001,0),1)&gt;=100000,INDEX($AB$1005:$AQ$1005,1,MATCH(COLUMNS($AB$1006:AE1006),$AB$1006:$AQ$1006,0))&gt;=100000), " ",IF(INDEX($AB$2:$AQ$1001,MATCH(ROWS($U$2:U981),$U$2:$U$1001,0),MATCH(COLUMNS($AB$1006:AE1006),$AB$1006:$AQ$1006,0)), HYPERLINK("#",""), HYPERLINK(CONCATENATE("#Metadata!", ADDRESS(INDEX($W$2:$W$1001,MATCH(ROWS($U$2:U981),$U$2:$U$1001,0),0), INDEX($AB$1004:$AQ$1004,1,MATCH(COLUMNS($AB$1006:AE1006),$AB$1006:$AQ$1006,0)))),"Fix")))</f>
        <v>0</v>
      </c>
      <c r="F981" s="5">
        <f>IF(OR(INDEX($V$2:$V$1001,MATCH(ROWS($U$2:U981),$U$2:$U$1001,0),1)&gt;=100000,INDEX($AB$1005:$AQ$1005,1,MATCH(COLUMNS($AB$1006:AF1006),$AB$1006:$AQ$1006,0))&gt;=100000), " ",IF(INDEX($AB$2:$AQ$1001,MATCH(ROWS($U$2:U981),$U$2:$U$1001,0),MATCH(COLUMNS($AB$1006:AF1006),$AB$1006:$AQ$1006,0)), HYPERLINK("#",""), HYPERLINK(CONCATENATE("#Metadata!", ADDRESS(INDEX($W$2:$W$1001,MATCH(ROWS($U$2:U981),$U$2:$U$1001,0),0), INDEX($AB$1004:$AQ$1004,1,MATCH(COLUMNS($AB$1006:AF1006),$AB$1006:$AQ$1006,0)))),"Fix")))</f>
        <v>0</v>
      </c>
      <c r="G981" s="5">
        <f>IF(OR(INDEX($V$2:$V$1001,MATCH(ROWS($U$2:U981),$U$2:$U$1001,0),1)&gt;=100000,INDEX($AB$1005:$AQ$1005,1,MATCH(COLUMNS($AB$1006:AG1006),$AB$1006:$AQ$1006,0))&gt;=100000), " ",IF(INDEX($AB$2:$AQ$1001,MATCH(ROWS($U$2:U981),$U$2:$U$1001,0),MATCH(COLUMNS($AB$1006:AG1006),$AB$1006:$AQ$1006,0)), HYPERLINK("#",""), HYPERLINK(CONCATENATE("#Metadata!", ADDRESS(INDEX($W$2:$W$1001,MATCH(ROWS($U$2:U981),$U$2:$U$1001,0),0), INDEX($AB$1004:$AQ$1004,1,MATCH(COLUMNS($AB$1006:AG1006),$AB$1006:$AQ$1006,0)))),"Fix")))</f>
        <v>0</v>
      </c>
      <c r="H981" s="5">
        <f>IF(OR(INDEX($V$2:$V$1001,MATCH(ROWS($U$2:U981),$U$2:$U$1001,0),1)&gt;=100000,INDEX($AB$1005:$AQ$1005,1,MATCH(COLUMNS($AB$1006:AH1006),$AB$1006:$AQ$1006,0))&gt;=100000), " ",IF(INDEX($AB$2:$AQ$1001,MATCH(ROWS($U$2:U981),$U$2:$U$1001,0),MATCH(COLUMNS($AB$1006:AH1006),$AB$1006:$AQ$1006,0)), HYPERLINK("#",""), HYPERLINK(CONCATENATE("#Metadata!", ADDRESS(INDEX($W$2:$W$1001,MATCH(ROWS($U$2:U981),$U$2:$U$1001,0),0), INDEX($AB$1004:$AQ$1004,1,MATCH(COLUMNS($AB$1006:AH1006),$AB$1006:$AQ$1006,0)))),"Fix")))</f>
        <v>0</v>
      </c>
      <c r="I981" s="5">
        <f>IF(OR(INDEX($V$2:$V$1001,MATCH(ROWS($U$2:U981),$U$2:$U$1001,0),1)&gt;=100000,INDEX($AB$1005:$AQ$1005,1,MATCH(COLUMNS($AB$1006:AI1006),$AB$1006:$AQ$1006,0))&gt;=100000), " ",IF(INDEX($AB$2:$AQ$1001,MATCH(ROWS($U$2:U981),$U$2:$U$1001,0),MATCH(COLUMNS($AB$1006:AI1006),$AB$1006:$AQ$1006,0)), HYPERLINK("#",""), HYPERLINK(CONCATENATE("#Metadata!", ADDRESS(INDEX($W$2:$W$1001,MATCH(ROWS($U$2:U981),$U$2:$U$1001,0),0), INDEX($AB$1004:$AQ$1004,1,MATCH(COLUMNS($AB$1006:AI1006),$AB$1006:$AQ$1006,0)))),"Fix")))</f>
        <v>0</v>
      </c>
      <c r="J981" s="5">
        <f>IF(OR(INDEX($V$2:$V$1001,MATCH(ROWS($U$2:U981),$U$2:$U$1001,0),1)&gt;=100000,INDEX($AB$1005:$AQ$1005,1,MATCH(COLUMNS($AB$1006:AJ1006),$AB$1006:$AQ$1006,0))&gt;=100000), " ",IF(INDEX($AB$2:$AQ$1001,MATCH(ROWS($U$2:U981),$U$2:$U$1001,0),MATCH(COLUMNS($AB$1006:AJ1006),$AB$1006:$AQ$1006,0)), HYPERLINK("#",""), HYPERLINK(CONCATENATE("#Metadata!", ADDRESS(INDEX($W$2:$W$1001,MATCH(ROWS($U$2:U981),$U$2:$U$1001,0),0), INDEX($AB$1004:$AQ$1004,1,MATCH(COLUMNS($AB$1006:AJ1006),$AB$1006:$AQ$1006,0)))),"Fix")))</f>
        <v>0</v>
      </c>
      <c r="K981" s="5">
        <f>IF(OR(INDEX($V$2:$V$1001,MATCH(ROWS($U$2:U981),$U$2:$U$1001,0),1)&gt;=100000,INDEX($AB$1005:$AQ$1005,1,MATCH(COLUMNS($AB$1006:AK1006),$AB$1006:$AQ$1006,0))&gt;=100000), " ",IF(INDEX($AB$2:$AQ$1001,MATCH(ROWS($U$2:U981),$U$2:$U$1001,0),MATCH(COLUMNS($AB$1006:AK1006),$AB$1006:$AQ$1006,0)), HYPERLINK("#",""), HYPERLINK(CONCATENATE("#Metadata!", ADDRESS(INDEX($W$2:$W$1001,MATCH(ROWS($U$2:U981),$U$2:$U$1001,0),0), INDEX($AB$1004:$AQ$1004,1,MATCH(COLUMNS($AB$1006:AK1006),$AB$1006:$AQ$1006,0)))),"Fix")))</f>
        <v>0</v>
      </c>
      <c r="L981" s="5">
        <f>IF(OR(INDEX($V$2:$V$1001,MATCH(ROWS($U$2:U981),$U$2:$U$1001,0),1)&gt;=100000,INDEX($AB$1005:$AQ$1005,1,MATCH(COLUMNS($AB$1006:AL1006),$AB$1006:$AQ$1006,0))&gt;=100000), " ",IF(INDEX($AB$2:$AQ$1001,MATCH(ROWS($U$2:U981),$U$2:$U$1001,0),MATCH(COLUMNS($AB$1006:AL1006),$AB$1006:$AQ$1006,0)), HYPERLINK("#",""), HYPERLINK(CONCATENATE("#Metadata!", ADDRESS(INDEX($W$2:$W$1001,MATCH(ROWS($U$2:U981),$U$2:$U$1001,0),0), INDEX($AB$1004:$AQ$1004,1,MATCH(COLUMNS($AB$1006:AL1006),$AB$1006:$AQ$1006,0)))),"Fix")))</f>
        <v>0</v>
      </c>
      <c r="M981" s="5">
        <f>IF(OR(INDEX($V$2:$V$1001,MATCH(ROWS($U$2:U981),$U$2:$U$1001,0),1)&gt;=100000,INDEX($AB$1005:$AQ$1005,1,MATCH(COLUMNS($AB$1006:AM1006),$AB$1006:$AQ$1006,0))&gt;=100000), " ",IF(INDEX($AB$2:$AQ$1001,MATCH(ROWS($U$2:U981),$U$2:$U$1001,0),MATCH(COLUMNS($AB$1006:AM1006),$AB$1006:$AQ$1006,0)), HYPERLINK("#",""), HYPERLINK(CONCATENATE("#Metadata!", ADDRESS(INDEX($W$2:$W$1001,MATCH(ROWS($U$2:U981),$U$2:$U$1001,0),0), INDEX($AB$1004:$AQ$1004,1,MATCH(COLUMNS($AB$1006:AM1006),$AB$1006:$AQ$1006,0)))),"Fix")))</f>
        <v>0</v>
      </c>
      <c r="N981" s="5">
        <f>IF(OR(INDEX($V$2:$V$1001,MATCH(ROWS($U$2:U981),$U$2:$U$1001,0),1)&gt;=100000,INDEX($AB$1005:$AQ$1005,1,MATCH(COLUMNS($AB$1006:AN1006),$AB$1006:$AQ$1006,0))&gt;=100000), " ",IF(INDEX($AB$2:$AQ$1001,MATCH(ROWS($U$2:U981),$U$2:$U$1001,0),MATCH(COLUMNS($AB$1006:AN1006),$AB$1006:$AQ$1006,0)), HYPERLINK("#",""), HYPERLINK(CONCATENATE("#Metadata!", ADDRESS(INDEX($W$2:$W$1001,MATCH(ROWS($U$2:U981),$U$2:$U$1001,0),0), INDEX($AB$1004:$AQ$1004,1,MATCH(COLUMNS($AB$1006:AN1006),$AB$1006:$AQ$1006,0)))),"Fix")))</f>
        <v>0</v>
      </c>
      <c r="O981" s="5">
        <f>IF(OR(INDEX($V$2:$V$1001,MATCH(ROWS($U$2:U981),$U$2:$U$1001,0),1)&gt;=100000,INDEX($AB$1005:$AQ$1005,1,MATCH(COLUMNS($AB$1006:AO1006),$AB$1006:$AQ$1006,0))&gt;=100000), " ",IF(INDEX($AB$2:$AQ$1001,MATCH(ROWS($U$2:U981),$U$2:$U$1001,0),MATCH(COLUMNS($AB$1006:AO1006),$AB$1006:$AQ$1006,0)), HYPERLINK("#",""), HYPERLINK(CONCATENATE("#Metadata!", ADDRESS(INDEX($W$2:$W$1001,MATCH(ROWS($U$2:U981),$U$2:$U$1001,0),0), INDEX($AB$1004:$AQ$1004,1,MATCH(COLUMNS($AB$1006:AO1006),$AB$1006:$AQ$1006,0)))),"Fix")))</f>
        <v>0</v>
      </c>
      <c r="P981" s="5">
        <f>IF(OR(INDEX($V$2:$V$1001,MATCH(ROWS($U$2:U981),$U$2:$U$1001,0),1)&gt;=100000,INDEX($AB$1005:$AQ$1005,1,MATCH(COLUMNS($AB$1006:AP1006),$AB$1006:$AQ$1006,0))&gt;=100000), " ",IF(INDEX($AB$2:$AQ$1001,MATCH(ROWS($U$2:U981),$U$2:$U$1001,0),MATCH(COLUMNS($AB$1006:AP1006),$AB$1006:$AQ$1006,0)), HYPERLINK("#",""), HYPERLINK(CONCATENATE("#Metadata!", ADDRESS(INDEX($W$2:$W$1001,MATCH(ROWS($U$2:U981),$U$2:$U$1001,0),0), INDEX($AB$1004:$AQ$1004,1,MATCH(COLUMNS($AB$1006:AP1006),$AB$1006:$AQ$1006,0)))),"Fix")))</f>
        <v>0</v>
      </c>
      <c r="Q981" s="5">
        <f>IF(OR(INDEX($V$2:$V$1001,MATCH(ROWS($U$2:U981),$U$2:$U$1001,0),1)&gt;=100000,INDEX($AB$1005:$AQ$1005,1,MATCH(COLUMNS($AB$1006:AQ1006),$AB$1006:$AQ$1006,0))&gt;=100000), " ",IF(INDEX($AB$2:$AQ$1001,MATCH(ROWS($U$2:U981),$U$2:$U$1001,0),MATCH(COLUMNS($AB$1006:AQ1006),$AB$1006:$AQ$1006,0)), HYPERLINK("#",""), HYPERLINK(CONCATENATE("#Metadata!", ADDRESS(INDEX($W$2:$W$1001,MATCH(ROWS($U$2:U981),$U$2:$U$1001,0),0), INDEX($AB$1004:$AQ$1004,1,MATCH(COLUMNS($AB$1006:AQ1006),$AB$1006:$AQ$1006,0)))),"Fix")))</f>
        <v>0</v>
      </c>
      <c r="U981">
        <v>0</v>
      </c>
      <c r="V981">
        <v>0</v>
      </c>
      <c r="W981">
        <v>0</v>
      </c>
      <c r="X981">
        <f>IF(Y981,TRUE,AND(AB981:AQ981))</f>
        <v>0</v>
      </c>
      <c r="Y981">
        <f>COUNTBLANK(Metadata!B981:Q981)=COLUMNS(Metadata!B981:Q981)</f>
        <v>0</v>
      </c>
      <c r="Z981">
        <v>0</v>
      </c>
      <c r="AB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AC981">
        <f>AND(IF(Metadata!C981="",FALSE,TRUE),exact(Metadata!C981,"urban biome"))</f>
        <v>0</v>
      </c>
      <c r="AD981">
        <f>AND(IF(Metadata!D981="",FALSE,TRUE),exact(Metadata!D981,"human-associated habitat"))</f>
        <v>0</v>
      </c>
      <c r="AE981">
        <f>AND(IF(Metadata!E981="",FALSE,TRUE),OR(exact(Metadata!E981,"human-associated"),exact(Metadata!E981,"human-skin"),exact(Metadata!E981,"human-oral"),exact(Metadata!E981,"human-gut"),exact(Metadata!E981,"human-vaginal")))</f>
        <v>0</v>
      </c>
      <c r="AF981">
        <f>AND(IF(Metadata!F981="",FALSE,ISNUMBER(VALUE(Metadata!F981))),Metadata!F981&gt;0)</f>
        <v>0</v>
      </c>
      <c r="AG981">
        <f>AND(IF(Metadata!G981="",FALSE,TRUE),exact(Metadata!G981,"years"))</f>
        <v>0</v>
      </c>
      <c r="AH981">
        <f>OR(AND(IF(Metadata!H981="",FALSE,TRUE),OR(exact(Metadata!H981,"not applicable"),exact(Metadata!H981,"not collected"),exact(Metadata!H981,"not provided"),exact(Metadata!H981,"restricted access"))),AND(IF(Metadata!H981="",FALSE,ISNUMBER(VALUE(Metadata!H981))),Metadata!H981&gt;0))</f>
        <v>0</v>
      </c>
      <c r="AI981">
        <f>AND(IF(Metadata!I981="",FALSE,TRUE),exact(Metadata!I981,"human"))</f>
        <v>0</v>
      </c>
      <c r="AJ981">
        <f>AND(IF(Metadata!J981="",FALSE,ISNUMBER(VALUE(Metadata!J981))),Metadata!J981&gt;0)</f>
        <v>0</v>
      </c>
      <c r="AK981">
        <f>AND(IF(Metadata!K981="",FALSE,TRUE),exact(Metadata!K981,"cm"))</f>
        <v>0</v>
      </c>
      <c r="AL981">
        <f>AND(IF(Metadata!L981="",FALSE,TRUE),exact(Metadata!L981,"Homo sapiens"))</f>
        <v>0</v>
      </c>
      <c r="AM981">
        <f>AND(IF(Metadata!M981="",FALSE,TRUE),exact(Metadata!M981,"9606"))</f>
        <v>0</v>
      </c>
      <c r="AN981">
        <f>AND(IF(Metadata!N981="",FALSE,ISNUMBER(VALUE(Metadata!N981))),Metadata!N981&gt;0)</f>
        <v>0</v>
      </c>
      <c r="AO981">
        <f>AND(IF(Metadata!O981="",FALSE,TRUE),exact(Metadata!O981,"kg"))</f>
        <v>0</v>
      </c>
      <c r="AP981">
        <f>OR(AND(IF(Metadata!P981="",FALSE,TRUE),exact(Metadata!P981,"not provided")),IF(Metadata!P981="",FALSE,TRUE))</f>
        <v>0</v>
      </c>
      <c r="AQ981">
        <f>OR(AND(IF(Metadata!Q981="",FALSE,TRUE),exact(Metadata!Q981,"not provided")),IF(Metadata!Q981="",FALSE,TRUE))</f>
        <v>0</v>
      </c>
    </row>
    <row r="982" spans="1:43">
      <c r="A982" s="4">
        <f>IF(B982=" "," ",HYPERLINK(CONCATENATE("#metadata!",ADDRESS(INDEX($W$2:$W$1001,MATCH(ROWS($U$2:U982),$U$2:$U$1001,0),0),2)),INDEX($Z$2:$Z$1001,MATCH(ROWS($U$2:U982),$U$2:$U$1001,0),0)))</f>
        <v>0</v>
      </c>
      <c r="B982" s="5">
        <f>IF(OR(INDEX($V$2:$V$1001,MATCH(ROWS($U$2:U982),$U$2:$U$1001,0),1)&gt;=100000,INDEX($AB$1005:$AQ$1005,1,MATCH(COLUMNS($AB$1006:AB1006),$AB$1006:$AQ$1006,0))&gt;=100000), " ",IF(INDEX($AB$2:$AQ$1001,MATCH(ROWS($U$2:U982),$U$2:$U$1001,0),MATCH(COLUMNS($AB$1006:AB1006),$AB$1006:$AQ$1006,0)), HYPERLINK("#",""), HYPERLINK(CONCATENATE("#Metadata!", ADDRESS(INDEX($W$2:$W$1001,MATCH(ROWS($U$2:U982),$U$2:$U$1001,0),0), INDEX($AB$1004:$AQ$1004,1,MATCH(COLUMNS($AB$1006:AB1006),$AB$1006:$AQ$1006,0)))),"Fix")))</f>
        <v>0</v>
      </c>
      <c r="C982" s="5">
        <f>IF(OR(INDEX($V$2:$V$1001,MATCH(ROWS($U$2:U982),$U$2:$U$1001,0),1)&gt;=100000,INDEX($AB$1005:$AQ$1005,1,MATCH(COLUMNS($AB$1006:AC1006),$AB$1006:$AQ$1006,0))&gt;=100000), " ",IF(INDEX($AB$2:$AQ$1001,MATCH(ROWS($U$2:U982),$U$2:$U$1001,0),MATCH(COLUMNS($AB$1006:AC1006),$AB$1006:$AQ$1006,0)), HYPERLINK("#",""), HYPERLINK(CONCATENATE("#Metadata!", ADDRESS(INDEX($W$2:$W$1001,MATCH(ROWS($U$2:U982),$U$2:$U$1001,0),0), INDEX($AB$1004:$AQ$1004,1,MATCH(COLUMNS($AB$1006:AC1006),$AB$1006:$AQ$1006,0)))),"Fix")))</f>
        <v>0</v>
      </c>
      <c r="D982" s="5">
        <f>IF(OR(INDEX($V$2:$V$1001,MATCH(ROWS($U$2:U982),$U$2:$U$1001,0),1)&gt;=100000,INDEX($AB$1005:$AQ$1005,1,MATCH(COLUMNS($AB$1006:AD1006),$AB$1006:$AQ$1006,0))&gt;=100000), " ",IF(INDEX($AB$2:$AQ$1001,MATCH(ROWS($U$2:U982),$U$2:$U$1001,0),MATCH(COLUMNS($AB$1006:AD1006),$AB$1006:$AQ$1006,0)), HYPERLINK("#",""), HYPERLINK(CONCATENATE("#Metadata!", ADDRESS(INDEX($W$2:$W$1001,MATCH(ROWS($U$2:U982),$U$2:$U$1001,0),0), INDEX($AB$1004:$AQ$1004,1,MATCH(COLUMNS($AB$1006:AD1006),$AB$1006:$AQ$1006,0)))),"Fix")))</f>
        <v>0</v>
      </c>
      <c r="E982" s="5">
        <f>IF(OR(INDEX($V$2:$V$1001,MATCH(ROWS($U$2:U982),$U$2:$U$1001,0),1)&gt;=100000,INDEX($AB$1005:$AQ$1005,1,MATCH(COLUMNS($AB$1006:AE1006),$AB$1006:$AQ$1006,0))&gt;=100000), " ",IF(INDEX($AB$2:$AQ$1001,MATCH(ROWS($U$2:U982),$U$2:$U$1001,0),MATCH(COLUMNS($AB$1006:AE1006),$AB$1006:$AQ$1006,0)), HYPERLINK("#",""), HYPERLINK(CONCATENATE("#Metadata!", ADDRESS(INDEX($W$2:$W$1001,MATCH(ROWS($U$2:U982),$U$2:$U$1001,0),0), INDEX($AB$1004:$AQ$1004,1,MATCH(COLUMNS($AB$1006:AE1006),$AB$1006:$AQ$1006,0)))),"Fix")))</f>
        <v>0</v>
      </c>
      <c r="F982" s="5">
        <f>IF(OR(INDEX($V$2:$V$1001,MATCH(ROWS($U$2:U982),$U$2:$U$1001,0),1)&gt;=100000,INDEX($AB$1005:$AQ$1005,1,MATCH(COLUMNS($AB$1006:AF1006),$AB$1006:$AQ$1006,0))&gt;=100000), " ",IF(INDEX($AB$2:$AQ$1001,MATCH(ROWS($U$2:U982),$U$2:$U$1001,0),MATCH(COLUMNS($AB$1006:AF1006),$AB$1006:$AQ$1006,0)), HYPERLINK("#",""), HYPERLINK(CONCATENATE("#Metadata!", ADDRESS(INDEX($W$2:$W$1001,MATCH(ROWS($U$2:U982),$U$2:$U$1001,0),0), INDEX($AB$1004:$AQ$1004,1,MATCH(COLUMNS($AB$1006:AF1006),$AB$1006:$AQ$1006,0)))),"Fix")))</f>
        <v>0</v>
      </c>
      <c r="G982" s="5">
        <f>IF(OR(INDEX($V$2:$V$1001,MATCH(ROWS($U$2:U982),$U$2:$U$1001,0),1)&gt;=100000,INDEX($AB$1005:$AQ$1005,1,MATCH(COLUMNS($AB$1006:AG1006),$AB$1006:$AQ$1006,0))&gt;=100000), " ",IF(INDEX($AB$2:$AQ$1001,MATCH(ROWS($U$2:U982),$U$2:$U$1001,0),MATCH(COLUMNS($AB$1006:AG1006),$AB$1006:$AQ$1006,0)), HYPERLINK("#",""), HYPERLINK(CONCATENATE("#Metadata!", ADDRESS(INDEX($W$2:$W$1001,MATCH(ROWS($U$2:U982),$U$2:$U$1001,0),0), INDEX($AB$1004:$AQ$1004,1,MATCH(COLUMNS($AB$1006:AG1006),$AB$1006:$AQ$1006,0)))),"Fix")))</f>
        <v>0</v>
      </c>
      <c r="H982" s="5">
        <f>IF(OR(INDEX($V$2:$V$1001,MATCH(ROWS($U$2:U982),$U$2:$U$1001,0),1)&gt;=100000,INDEX($AB$1005:$AQ$1005,1,MATCH(COLUMNS($AB$1006:AH1006),$AB$1006:$AQ$1006,0))&gt;=100000), " ",IF(INDEX($AB$2:$AQ$1001,MATCH(ROWS($U$2:U982),$U$2:$U$1001,0),MATCH(COLUMNS($AB$1006:AH1006),$AB$1006:$AQ$1006,0)), HYPERLINK("#",""), HYPERLINK(CONCATENATE("#Metadata!", ADDRESS(INDEX($W$2:$W$1001,MATCH(ROWS($U$2:U982),$U$2:$U$1001,0),0), INDEX($AB$1004:$AQ$1004,1,MATCH(COLUMNS($AB$1006:AH1006),$AB$1006:$AQ$1006,0)))),"Fix")))</f>
        <v>0</v>
      </c>
      <c r="I982" s="5">
        <f>IF(OR(INDEX($V$2:$V$1001,MATCH(ROWS($U$2:U982),$U$2:$U$1001,0),1)&gt;=100000,INDEX($AB$1005:$AQ$1005,1,MATCH(COLUMNS($AB$1006:AI1006),$AB$1006:$AQ$1006,0))&gt;=100000), " ",IF(INDEX($AB$2:$AQ$1001,MATCH(ROWS($U$2:U982),$U$2:$U$1001,0),MATCH(COLUMNS($AB$1006:AI1006),$AB$1006:$AQ$1006,0)), HYPERLINK("#",""), HYPERLINK(CONCATENATE("#Metadata!", ADDRESS(INDEX($W$2:$W$1001,MATCH(ROWS($U$2:U982),$U$2:$U$1001,0),0), INDEX($AB$1004:$AQ$1004,1,MATCH(COLUMNS($AB$1006:AI1006),$AB$1006:$AQ$1006,0)))),"Fix")))</f>
        <v>0</v>
      </c>
      <c r="J982" s="5">
        <f>IF(OR(INDEX($V$2:$V$1001,MATCH(ROWS($U$2:U982),$U$2:$U$1001,0),1)&gt;=100000,INDEX($AB$1005:$AQ$1005,1,MATCH(COLUMNS($AB$1006:AJ1006),$AB$1006:$AQ$1006,0))&gt;=100000), " ",IF(INDEX($AB$2:$AQ$1001,MATCH(ROWS($U$2:U982),$U$2:$U$1001,0),MATCH(COLUMNS($AB$1006:AJ1006),$AB$1006:$AQ$1006,0)), HYPERLINK("#",""), HYPERLINK(CONCATENATE("#Metadata!", ADDRESS(INDEX($W$2:$W$1001,MATCH(ROWS($U$2:U982),$U$2:$U$1001,0),0), INDEX($AB$1004:$AQ$1004,1,MATCH(COLUMNS($AB$1006:AJ1006),$AB$1006:$AQ$1006,0)))),"Fix")))</f>
        <v>0</v>
      </c>
      <c r="K982" s="5">
        <f>IF(OR(INDEX($V$2:$V$1001,MATCH(ROWS($U$2:U982),$U$2:$U$1001,0),1)&gt;=100000,INDEX($AB$1005:$AQ$1005,1,MATCH(COLUMNS($AB$1006:AK1006),$AB$1006:$AQ$1006,0))&gt;=100000), " ",IF(INDEX($AB$2:$AQ$1001,MATCH(ROWS($U$2:U982),$U$2:$U$1001,0),MATCH(COLUMNS($AB$1006:AK1006),$AB$1006:$AQ$1006,0)), HYPERLINK("#",""), HYPERLINK(CONCATENATE("#Metadata!", ADDRESS(INDEX($W$2:$W$1001,MATCH(ROWS($U$2:U982),$U$2:$U$1001,0),0), INDEX($AB$1004:$AQ$1004,1,MATCH(COLUMNS($AB$1006:AK1006),$AB$1006:$AQ$1006,0)))),"Fix")))</f>
        <v>0</v>
      </c>
      <c r="L982" s="5">
        <f>IF(OR(INDEX($V$2:$V$1001,MATCH(ROWS($U$2:U982),$U$2:$U$1001,0),1)&gt;=100000,INDEX($AB$1005:$AQ$1005,1,MATCH(COLUMNS($AB$1006:AL1006),$AB$1006:$AQ$1006,0))&gt;=100000), " ",IF(INDEX($AB$2:$AQ$1001,MATCH(ROWS($U$2:U982),$U$2:$U$1001,0),MATCH(COLUMNS($AB$1006:AL1006),$AB$1006:$AQ$1006,0)), HYPERLINK("#",""), HYPERLINK(CONCATENATE("#Metadata!", ADDRESS(INDEX($W$2:$W$1001,MATCH(ROWS($U$2:U982),$U$2:$U$1001,0),0), INDEX($AB$1004:$AQ$1004,1,MATCH(COLUMNS($AB$1006:AL1006),$AB$1006:$AQ$1006,0)))),"Fix")))</f>
        <v>0</v>
      </c>
      <c r="M982" s="5">
        <f>IF(OR(INDEX($V$2:$V$1001,MATCH(ROWS($U$2:U982),$U$2:$U$1001,0),1)&gt;=100000,INDEX($AB$1005:$AQ$1005,1,MATCH(COLUMNS($AB$1006:AM1006),$AB$1006:$AQ$1006,0))&gt;=100000), " ",IF(INDEX($AB$2:$AQ$1001,MATCH(ROWS($U$2:U982),$U$2:$U$1001,0),MATCH(COLUMNS($AB$1006:AM1006),$AB$1006:$AQ$1006,0)), HYPERLINK("#",""), HYPERLINK(CONCATENATE("#Metadata!", ADDRESS(INDEX($W$2:$W$1001,MATCH(ROWS($U$2:U982),$U$2:$U$1001,0),0), INDEX($AB$1004:$AQ$1004,1,MATCH(COLUMNS($AB$1006:AM1006),$AB$1006:$AQ$1006,0)))),"Fix")))</f>
        <v>0</v>
      </c>
      <c r="N982" s="5">
        <f>IF(OR(INDEX($V$2:$V$1001,MATCH(ROWS($U$2:U982),$U$2:$U$1001,0),1)&gt;=100000,INDEX($AB$1005:$AQ$1005,1,MATCH(COLUMNS($AB$1006:AN1006),$AB$1006:$AQ$1006,0))&gt;=100000), " ",IF(INDEX($AB$2:$AQ$1001,MATCH(ROWS($U$2:U982),$U$2:$U$1001,0),MATCH(COLUMNS($AB$1006:AN1006),$AB$1006:$AQ$1006,0)), HYPERLINK("#",""), HYPERLINK(CONCATENATE("#Metadata!", ADDRESS(INDEX($W$2:$W$1001,MATCH(ROWS($U$2:U982),$U$2:$U$1001,0),0), INDEX($AB$1004:$AQ$1004,1,MATCH(COLUMNS($AB$1006:AN1006),$AB$1006:$AQ$1006,0)))),"Fix")))</f>
        <v>0</v>
      </c>
      <c r="O982" s="5">
        <f>IF(OR(INDEX($V$2:$V$1001,MATCH(ROWS($U$2:U982),$U$2:$U$1001,0),1)&gt;=100000,INDEX($AB$1005:$AQ$1005,1,MATCH(COLUMNS($AB$1006:AO1006),$AB$1006:$AQ$1006,0))&gt;=100000), " ",IF(INDEX($AB$2:$AQ$1001,MATCH(ROWS($U$2:U982),$U$2:$U$1001,0),MATCH(COLUMNS($AB$1006:AO1006),$AB$1006:$AQ$1006,0)), HYPERLINK("#",""), HYPERLINK(CONCATENATE("#Metadata!", ADDRESS(INDEX($W$2:$W$1001,MATCH(ROWS($U$2:U982),$U$2:$U$1001,0),0), INDEX($AB$1004:$AQ$1004,1,MATCH(COLUMNS($AB$1006:AO1006),$AB$1006:$AQ$1006,0)))),"Fix")))</f>
        <v>0</v>
      </c>
      <c r="P982" s="5">
        <f>IF(OR(INDEX($V$2:$V$1001,MATCH(ROWS($U$2:U982),$U$2:$U$1001,0),1)&gt;=100000,INDEX($AB$1005:$AQ$1005,1,MATCH(COLUMNS($AB$1006:AP1006),$AB$1006:$AQ$1006,0))&gt;=100000), " ",IF(INDEX($AB$2:$AQ$1001,MATCH(ROWS($U$2:U982),$U$2:$U$1001,0),MATCH(COLUMNS($AB$1006:AP1006),$AB$1006:$AQ$1006,0)), HYPERLINK("#",""), HYPERLINK(CONCATENATE("#Metadata!", ADDRESS(INDEX($W$2:$W$1001,MATCH(ROWS($U$2:U982),$U$2:$U$1001,0),0), INDEX($AB$1004:$AQ$1004,1,MATCH(COLUMNS($AB$1006:AP1006),$AB$1006:$AQ$1006,0)))),"Fix")))</f>
        <v>0</v>
      </c>
      <c r="Q982" s="5">
        <f>IF(OR(INDEX($V$2:$V$1001,MATCH(ROWS($U$2:U982),$U$2:$U$1001,0),1)&gt;=100000,INDEX($AB$1005:$AQ$1005,1,MATCH(COLUMNS($AB$1006:AQ1006),$AB$1006:$AQ$1006,0))&gt;=100000), " ",IF(INDEX($AB$2:$AQ$1001,MATCH(ROWS($U$2:U982),$U$2:$U$1001,0),MATCH(COLUMNS($AB$1006:AQ1006),$AB$1006:$AQ$1006,0)), HYPERLINK("#",""), HYPERLINK(CONCATENATE("#Metadata!", ADDRESS(INDEX($W$2:$W$1001,MATCH(ROWS($U$2:U982),$U$2:$U$1001,0),0), INDEX($AB$1004:$AQ$1004,1,MATCH(COLUMNS($AB$1006:AQ1006),$AB$1006:$AQ$1006,0)))),"Fix")))</f>
        <v>0</v>
      </c>
      <c r="U982">
        <v>0</v>
      </c>
      <c r="V982">
        <v>0</v>
      </c>
      <c r="W982">
        <v>0</v>
      </c>
      <c r="X982">
        <f>IF(Y982,TRUE,AND(AB982:AQ982))</f>
        <v>0</v>
      </c>
      <c r="Y982">
        <f>COUNTBLANK(Metadata!B982:Q982)=COLUMNS(Metadata!B982:Q982)</f>
        <v>0</v>
      </c>
      <c r="Z982">
        <v>0</v>
      </c>
      <c r="AB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AC982">
        <f>AND(IF(Metadata!C982="",FALSE,TRUE),exact(Metadata!C982,"urban biome"))</f>
        <v>0</v>
      </c>
      <c r="AD982">
        <f>AND(IF(Metadata!D982="",FALSE,TRUE),exact(Metadata!D982,"human-associated habitat"))</f>
        <v>0</v>
      </c>
      <c r="AE982">
        <f>AND(IF(Metadata!E982="",FALSE,TRUE),OR(exact(Metadata!E982,"human-associated"),exact(Metadata!E982,"human-skin"),exact(Metadata!E982,"human-oral"),exact(Metadata!E982,"human-gut"),exact(Metadata!E982,"human-vaginal")))</f>
        <v>0</v>
      </c>
      <c r="AF982">
        <f>AND(IF(Metadata!F982="",FALSE,ISNUMBER(VALUE(Metadata!F982))),Metadata!F982&gt;0)</f>
        <v>0</v>
      </c>
      <c r="AG982">
        <f>AND(IF(Metadata!G982="",FALSE,TRUE),exact(Metadata!G982,"years"))</f>
        <v>0</v>
      </c>
      <c r="AH982">
        <f>OR(AND(IF(Metadata!H982="",FALSE,TRUE),OR(exact(Metadata!H982,"not applicable"),exact(Metadata!H982,"not collected"),exact(Metadata!H982,"not provided"),exact(Metadata!H982,"restricted access"))),AND(IF(Metadata!H982="",FALSE,ISNUMBER(VALUE(Metadata!H982))),Metadata!H982&gt;0))</f>
        <v>0</v>
      </c>
      <c r="AI982">
        <f>AND(IF(Metadata!I982="",FALSE,TRUE),exact(Metadata!I982,"human"))</f>
        <v>0</v>
      </c>
      <c r="AJ982">
        <f>AND(IF(Metadata!J982="",FALSE,ISNUMBER(VALUE(Metadata!J982))),Metadata!J982&gt;0)</f>
        <v>0</v>
      </c>
      <c r="AK982">
        <f>AND(IF(Metadata!K982="",FALSE,TRUE),exact(Metadata!K982,"cm"))</f>
        <v>0</v>
      </c>
      <c r="AL982">
        <f>AND(IF(Metadata!L982="",FALSE,TRUE),exact(Metadata!L982,"Homo sapiens"))</f>
        <v>0</v>
      </c>
      <c r="AM982">
        <f>AND(IF(Metadata!M982="",FALSE,TRUE),exact(Metadata!M982,"9606"))</f>
        <v>0</v>
      </c>
      <c r="AN982">
        <f>AND(IF(Metadata!N982="",FALSE,ISNUMBER(VALUE(Metadata!N982))),Metadata!N982&gt;0)</f>
        <v>0</v>
      </c>
      <c r="AO982">
        <f>AND(IF(Metadata!O982="",FALSE,TRUE),exact(Metadata!O982,"kg"))</f>
        <v>0</v>
      </c>
      <c r="AP982">
        <f>OR(AND(IF(Metadata!P982="",FALSE,TRUE),exact(Metadata!P982,"not provided")),IF(Metadata!P982="",FALSE,TRUE))</f>
        <v>0</v>
      </c>
      <c r="AQ982">
        <f>OR(AND(IF(Metadata!Q982="",FALSE,TRUE),exact(Metadata!Q982,"not provided")),IF(Metadata!Q982="",FALSE,TRUE))</f>
        <v>0</v>
      </c>
    </row>
    <row r="983" spans="1:43">
      <c r="A983" s="4">
        <f>IF(B983=" "," ",HYPERLINK(CONCATENATE("#metadata!",ADDRESS(INDEX($W$2:$W$1001,MATCH(ROWS($U$2:U983),$U$2:$U$1001,0),0),2)),INDEX($Z$2:$Z$1001,MATCH(ROWS($U$2:U983),$U$2:$U$1001,0),0)))</f>
        <v>0</v>
      </c>
      <c r="B983" s="5">
        <f>IF(OR(INDEX($V$2:$V$1001,MATCH(ROWS($U$2:U983),$U$2:$U$1001,0),1)&gt;=100000,INDEX($AB$1005:$AQ$1005,1,MATCH(COLUMNS($AB$1006:AB1006),$AB$1006:$AQ$1006,0))&gt;=100000), " ",IF(INDEX($AB$2:$AQ$1001,MATCH(ROWS($U$2:U983),$U$2:$U$1001,0),MATCH(COLUMNS($AB$1006:AB1006),$AB$1006:$AQ$1006,0)), HYPERLINK("#",""), HYPERLINK(CONCATENATE("#Metadata!", ADDRESS(INDEX($W$2:$W$1001,MATCH(ROWS($U$2:U983),$U$2:$U$1001,0),0), INDEX($AB$1004:$AQ$1004,1,MATCH(COLUMNS($AB$1006:AB1006),$AB$1006:$AQ$1006,0)))),"Fix")))</f>
        <v>0</v>
      </c>
      <c r="C983" s="5">
        <f>IF(OR(INDEX($V$2:$V$1001,MATCH(ROWS($U$2:U983),$U$2:$U$1001,0),1)&gt;=100000,INDEX($AB$1005:$AQ$1005,1,MATCH(COLUMNS($AB$1006:AC1006),$AB$1006:$AQ$1006,0))&gt;=100000), " ",IF(INDEX($AB$2:$AQ$1001,MATCH(ROWS($U$2:U983),$U$2:$U$1001,0),MATCH(COLUMNS($AB$1006:AC1006),$AB$1006:$AQ$1006,0)), HYPERLINK("#",""), HYPERLINK(CONCATENATE("#Metadata!", ADDRESS(INDEX($W$2:$W$1001,MATCH(ROWS($U$2:U983),$U$2:$U$1001,0),0), INDEX($AB$1004:$AQ$1004,1,MATCH(COLUMNS($AB$1006:AC1006),$AB$1006:$AQ$1006,0)))),"Fix")))</f>
        <v>0</v>
      </c>
      <c r="D983" s="5">
        <f>IF(OR(INDEX($V$2:$V$1001,MATCH(ROWS($U$2:U983),$U$2:$U$1001,0),1)&gt;=100000,INDEX($AB$1005:$AQ$1005,1,MATCH(COLUMNS($AB$1006:AD1006),$AB$1006:$AQ$1006,0))&gt;=100000), " ",IF(INDEX($AB$2:$AQ$1001,MATCH(ROWS($U$2:U983),$U$2:$U$1001,0),MATCH(COLUMNS($AB$1006:AD1006),$AB$1006:$AQ$1006,0)), HYPERLINK("#",""), HYPERLINK(CONCATENATE("#Metadata!", ADDRESS(INDEX($W$2:$W$1001,MATCH(ROWS($U$2:U983),$U$2:$U$1001,0),0), INDEX($AB$1004:$AQ$1004,1,MATCH(COLUMNS($AB$1006:AD1006),$AB$1006:$AQ$1006,0)))),"Fix")))</f>
        <v>0</v>
      </c>
      <c r="E983" s="5">
        <f>IF(OR(INDEX($V$2:$V$1001,MATCH(ROWS($U$2:U983),$U$2:$U$1001,0),1)&gt;=100000,INDEX($AB$1005:$AQ$1005,1,MATCH(COLUMNS($AB$1006:AE1006),$AB$1006:$AQ$1006,0))&gt;=100000), " ",IF(INDEX($AB$2:$AQ$1001,MATCH(ROWS($U$2:U983),$U$2:$U$1001,0),MATCH(COLUMNS($AB$1006:AE1006),$AB$1006:$AQ$1006,0)), HYPERLINK("#",""), HYPERLINK(CONCATENATE("#Metadata!", ADDRESS(INDEX($W$2:$W$1001,MATCH(ROWS($U$2:U983),$U$2:$U$1001,0),0), INDEX($AB$1004:$AQ$1004,1,MATCH(COLUMNS($AB$1006:AE1006),$AB$1006:$AQ$1006,0)))),"Fix")))</f>
        <v>0</v>
      </c>
      <c r="F983" s="5">
        <f>IF(OR(INDEX($V$2:$V$1001,MATCH(ROWS($U$2:U983),$U$2:$U$1001,0),1)&gt;=100000,INDEX($AB$1005:$AQ$1005,1,MATCH(COLUMNS($AB$1006:AF1006),$AB$1006:$AQ$1006,0))&gt;=100000), " ",IF(INDEX($AB$2:$AQ$1001,MATCH(ROWS($U$2:U983),$U$2:$U$1001,0),MATCH(COLUMNS($AB$1006:AF1006),$AB$1006:$AQ$1006,0)), HYPERLINK("#",""), HYPERLINK(CONCATENATE("#Metadata!", ADDRESS(INDEX($W$2:$W$1001,MATCH(ROWS($U$2:U983),$U$2:$U$1001,0),0), INDEX($AB$1004:$AQ$1004,1,MATCH(COLUMNS($AB$1006:AF1006),$AB$1006:$AQ$1006,0)))),"Fix")))</f>
        <v>0</v>
      </c>
      <c r="G983" s="5">
        <f>IF(OR(INDEX($V$2:$V$1001,MATCH(ROWS($U$2:U983),$U$2:$U$1001,0),1)&gt;=100000,INDEX($AB$1005:$AQ$1005,1,MATCH(COLUMNS($AB$1006:AG1006),$AB$1006:$AQ$1006,0))&gt;=100000), " ",IF(INDEX($AB$2:$AQ$1001,MATCH(ROWS($U$2:U983),$U$2:$U$1001,0),MATCH(COLUMNS($AB$1006:AG1006),$AB$1006:$AQ$1006,0)), HYPERLINK("#",""), HYPERLINK(CONCATENATE("#Metadata!", ADDRESS(INDEX($W$2:$W$1001,MATCH(ROWS($U$2:U983),$U$2:$U$1001,0),0), INDEX($AB$1004:$AQ$1004,1,MATCH(COLUMNS($AB$1006:AG1006),$AB$1006:$AQ$1006,0)))),"Fix")))</f>
        <v>0</v>
      </c>
      <c r="H983" s="5">
        <f>IF(OR(INDEX($V$2:$V$1001,MATCH(ROWS($U$2:U983),$U$2:$U$1001,0),1)&gt;=100000,INDEX($AB$1005:$AQ$1005,1,MATCH(COLUMNS($AB$1006:AH1006),$AB$1006:$AQ$1006,0))&gt;=100000), " ",IF(INDEX($AB$2:$AQ$1001,MATCH(ROWS($U$2:U983),$U$2:$U$1001,0),MATCH(COLUMNS($AB$1006:AH1006),$AB$1006:$AQ$1006,0)), HYPERLINK("#",""), HYPERLINK(CONCATENATE("#Metadata!", ADDRESS(INDEX($W$2:$W$1001,MATCH(ROWS($U$2:U983),$U$2:$U$1001,0),0), INDEX($AB$1004:$AQ$1004,1,MATCH(COLUMNS($AB$1006:AH1006),$AB$1006:$AQ$1006,0)))),"Fix")))</f>
        <v>0</v>
      </c>
      <c r="I983" s="5">
        <f>IF(OR(INDEX($V$2:$V$1001,MATCH(ROWS($U$2:U983),$U$2:$U$1001,0),1)&gt;=100000,INDEX($AB$1005:$AQ$1005,1,MATCH(COLUMNS($AB$1006:AI1006),$AB$1006:$AQ$1006,0))&gt;=100000), " ",IF(INDEX($AB$2:$AQ$1001,MATCH(ROWS($U$2:U983),$U$2:$U$1001,0),MATCH(COLUMNS($AB$1006:AI1006),$AB$1006:$AQ$1006,0)), HYPERLINK("#",""), HYPERLINK(CONCATENATE("#Metadata!", ADDRESS(INDEX($W$2:$W$1001,MATCH(ROWS($U$2:U983),$U$2:$U$1001,0),0), INDEX($AB$1004:$AQ$1004,1,MATCH(COLUMNS($AB$1006:AI1006),$AB$1006:$AQ$1006,0)))),"Fix")))</f>
        <v>0</v>
      </c>
      <c r="J983" s="5">
        <f>IF(OR(INDEX($V$2:$V$1001,MATCH(ROWS($U$2:U983),$U$2:$U$1001,0),1)&gt;=100000,INDEX($AB$1005:$AQ$1005,1,MATCH(COLUMNS($AB$1006:AJ1006),$AB$1006:$AQ$1006,0))&gt;=100000), " ",IF(INDEX($AB$2:$AQ$1001,MATCH(ROWS($U$2:U983),$U$2:$U$1001,0),MATCH(COLUMNS($AB$1006:AJ1006),$AB$1006:$AQ$1006,0)), HYPERLINK("#",""), HYPERLINK(CONCATENATE("#Metadata!", ADDRESS(INDEX($W$2:$W$1001,MATCH(ROWS($U$2:U983),$U$2:$U$1001,0),0), INDEX($AB$1004:$AQ$1004,1,MATCH(COLUMNS($AB$1006:AJ1006),$AB$1006:$AQ$1006,0)))),"Fix")))</f>
        <v>0</v>
      </c>
      <c r="K983" s="5">
        <f>IF(OR(INDEX($V$2:$V$1001,MATCH(ROWS($U$2:U983),$U$2:$U$1001,0),1)&gt;=100000,INDEX($AB$1005:$AQ$1005,1,MATCH(COLUMNS($AB$1006:AK1006),$AB$1006:$AQ$1006,0))&gt;=100000), " ",IF(INDEX($AB$2:$AQ$1001,MATCH(ROWS($U$2:U983),$U$2:$U$1001,0),MATCH(COLUMNS($AB$1006:AK1006),$AB$1006:$AQ$1006,0)), HYPERLINK("#",""), HYPERLINK(CONCATENATE("#Metadata!", ADDRESS(INDEX($W$2:$W$1001,MATCH(ROWS($U$2:U983),$U$2:$U$1001,0),0), INDEX($AB$1004:$AQ$1004,1,MATCH(COLUMNS($AB$1006:AK1006),$AB$1006:$AQ$1006,0)))),"Fix")))</f>
        <v>0</v>
      </c>
      <c r="L983" s="5">
        <f>IF(OR(INDEX($V$2:$V$1001,MATCH(ROWS($U$2:U983),$U$2:$U$1001,0),1)&gt;=100000,INDEX($AB$1005:$AQ$1005,1,MATCH(COLUMNS($AB$1006:AL1006),$AB$1006:$AQ$1006,0))&gt;=100000), " ",IF(INDEX($AB$2:$AQ$1001,MATCH(ROWS($U$2:U983),$U$2:$U$1001,0),MATCH(COLUMNS($AB$1006:AL1006),$AB$1006:$AQ$1006,0)), HYPERLINK("#",""), HYPERLINK(CONCATENATE("#Metadata!", ADDRESS(INDEX($W$2:$W$1001,MATCH(ROWS($U$2:U983),$U$2:$U$1001,0),0), INDEX($AB$1004:$AQ$1004,1,MATCH(COLUMNS($AB$1006:AL1006),$AB$1006:$AQ$1006,0)))),"Fix")))</f>
        <v>0</v>
      </c>
      <c r="M983" s="5">
        <f>IF(OR(INDEX($V$2:$V$1001,MATCH(ROWS($U$2:U983),$U$2:$U$1001,0),1)&gt;=100000,INDEX($AB$1005:$AQ$1005,1,MATCH(COLUMNS($AB$1006:AM1006),$AB$1006:$AQ$1006,0))&gt;=100000), " ",IF(INDEX($AB$2:$AQ$1001,MATCH(ROWS($U$2:U983),$U$2:$U$1001,0),MATCH(COLUMNS($AB$1006:AM1006),$AB$1006:$AQ$1006,0)), HYPERLINK("#",""), HYPERLINK(CONCATENATE("#Metadata!", ADDRESS(INDEX($W$2:$W$1001,MATCH(ROWS($U$2:U983),$U$2:$U$1001,0),0), INDEX($AB$1004:$AQ$1004,1,MATCH(COLUMNS($AB$1006:AM1006),$AB$1006:$AQ$1006,0)))),"Fix")))</f>
        <v>0</v>
      </c>
      <c r="N983" s="5">
        <f>IF(OR(INDEX($V$2:$V$1001,MATCH(ROWS($U$2:U983),$U$2:$U$1001,0),1)&gt;=100000,INDEX($AB$1005:$AQ$1005,1,MATCH(COLUMNS($AB$1006:AN1006),$AB$1006:$AQ$1006,0))&gt;=100000), " ",IF(INDEX($AB$2:$AQ$1001,MATCH(ROWS($U$2:U983),$U$2:$U$1001,0),MATCH(COLUMNS($AB$1006:AN1006),$AB$1006:$AQ$1006,0)), HYPERLINK("#",""), HYPERLINK(CONCATENATE("#Metadata!", ADDRESS(INDEX($W$2:$W$1001,MATCH(ROWS($U$2:U983),$U$2:$U$1001,0),0), INDEX($AB$1004:$AQ$1004,1,MATCH(COLUMNS($AB$1006:AN1006),$AB$1006:$AQ$1006,0)))),"Fix")))</f>
        <v>0</v>
      </c>
      <c r="O983" s="5">
        <f>IF(OR(INDEX($V$2:$V$1001,MATCH(ROWS($U$2:U983),$U$2:$U$1001,0),1)&gt;=100000,INDEX($AB$1005:$AQ$1005,1,MATCH(COLUMNS($AB$1006:AO1006),$AB$1006:$AQ$1006,0))&gt;=100000), " ",IF(INDEX($AB$2:$AQ$1001,MATCH(ROWS($U$2:U983),$U$2:$U$1001,0),MATCH(COLUMNS($AB$1006:AO1006),$AB$1006:$AQ$1006,0)), HYPERLINK("#",""), HYPERLINK(CONCATENATE("#Metadata!", ADDRESS(INDEX($W$2:$W$1001,MATCH(ROWS($U$2:U983),$U$2:$U$1001,0),0), INDEX($AB$1004:$AQ$1004,1,MATCH(COLUMNS($AB$1006:AO1006),$AB$1006:$AQ$1006,0)))),"Fix")))</f>
        <v>0</v>
      </c>
      <c r="P983" s="5">
        <f>IF(OR(INDEX($V$2:$V$1001,MATCH(ROWS($U$2:U983),$U$2:$U$1001,0),1)&gt;=100000,INDEX($AB$1005:$AQ$1005,1,MATCH(COLUMNS($AB$1006:AP1006),$AB$1006:$AQ$1006,0))&gt;=100000), " ",IF(INDEX($AB$2:$AQ$1001,MATCH(ROWS($U$2:U983),$U$2:$U$1001,0),MATCH(COLUMNS($AB$1006:AP1006),$AB$1006:$AQ$1006,0)), HYPERLINK("#",""), HYPERLINK(CONCATENATE("#Metadata!", ADDRESS(INDEX($W$2:$W$1001,MATCH(ROWS($U$2:U983),$U$2:$U$1001,0),0), INDEX($AB$1004:$AQ$1004,1,MATCH(COLUMNS($AB$1006:AP1006),$AB$1006:$AQ$1006,0)))),"Fix")))</f>
        <v>0</v>
      </c>
      <c r="Q983" s="5">
        <f>IF(OR(INDEX($V$2:$V$1001,MATCH(ROWS($U$2:U983),$U$2:$U$1001,0),1)&gt;=100000,INDEX($AB$1005:$AQ$1005,1,MATCH(COLUMNS($AB$1006:AQ1006),$AB$1006:$AQ$1006,0))&gt;=100000), " ",IF(INDEX($AB$2:$AQ$1001,MATCH(ROWS($U$2:U983),$U$2:$U$1001,0),MATCH(COLUMNS($AB$1006:AQ1006),$AB$1006:$AQ$1006,0)), HYPERLINK("#",""), HYPERLINK(CONCATENATE("#Metadata!", ADDRESS(INDEX($W$2:$W$1001,MATCH(ROWS($U$2:U983),$U$2:$U$1001,0),0), INDEX($AB$1004:$AQ$1004,1,MATCH(COLUMNS($AB$1006:AQ1006),$AB$1006:$AQ$1006,0)))),"Fix")))</f>
        <v>0</v>
      </c>
      <c r="U983">
        <v>0</v>
      </c>
      <c r="V983">
        <v>0</v>
      </c>
      <c r="W983">
        <v>0</v>
      </c>
      <c r="X983">
        <f>IF(Y983,TRUE,AND(AB983:AQ983))</f>
        <v>0</v>
      </c>
      <c r="Y983">
        <f>COUNTBLANK(Metadata!B983:Q983)=COLUMNS(Metadata!B983:Q983)</f>
        <v>0</v>
      </c>
      <c r="Z983">
        <v>0</v>
      </c>
      <c r="AB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AC983">
        <f>AND(IF(Metadata!C983="",FALSE,TRUE),exact(Metadata!C983,"urban biome"))</f>
        <v>0</v>
      </c>
      <c r="AD983">
        <f>AND(IF(Metadata!D983="",FALSE,TRUE),exact(Metadata!D983,"human-associated habitat"))</f>
        <v>0</v>
      </c>
      <c r="AE983">
        <f>AND(IF(Metadata!E983="",FALSE,TRUE),OR(exact(Metadata!E983,"human-associated"),exact(Metadata!E983,"human-skin"),exact(Metadata!E983,"human-oral"),exact(Metadata!E983,"human-gut"),exact(Metadata!E983,"human-vaginal")))</f>
        <v>0</v>
      </c>
      <c r="AF983">
        <f>AND(IF(Metadata!F983="",FALSE,ISNUMBER(VALUE(Metadata!F983))),Metadata!F983&gt;0)</f>
        <v>0</v>
      </c>
      <c r="AG983">
        <f>AND(IF(Metadata!G983="",FALSE,TRUE),exact(Metadata!G983,"years"))</f>
        <v>0</v>
      </c>
      <c r="AH983">
        <f>OR(AND(IF(Metadata!H983="",FALSE,TRUE),OR(exact(Metadata!H983,"not applicable"),exact(Metadata!H983,"not collected"),exact(Metadata!H983,"not provided"),exact(Metadata!H983,"restricted access"))),AND(IF(Metadata!H983="",FALSE,ISNUMBER(VALUE(Metadata!H983))),Metadata!H983&gt;0))</f>
        <v>0</v>
      </c>
      <c r="AI983">
        <f>AND(IF(Metadata!I983="",FALSE,TRUE),exact(Metadata!I983,"human"))</f>
        <v>0</v>
      </c>
      <c r="AJ983">
        <f>AND(IF(Metadata!J983="",FALSE,ISNUMBER(VALUE(Metadata!J983))),Metadata!J983&gt;0)</f>
        <v>0</v>
      </c>
      <c r="AK983">
        <f>AND(IF(Metadata!K983="",FALSE,TRUE),exact(Metadata!K983,"cm"))</f>
        <v>0</v>
      </c>
      <c r="AL983">
        <f>AND(IF(Metadata!L983="",FALSE,TRUE),exact(Metadata!L983,"Homo sapiens"))</f>
        <v>0</v>
      </c>
      <c r="AM983">
        <f>AND(IF(Metadata!M983="",FALSE,TRUE),exact(Metadata!M983,"9606"))</f>
        <v>0</v>
      </c>
      <c r="AN983">
        <f>AND(IF(Metadata!N983="",FALSE,ISNUMBER(VALUE(Metadata!N983))),Metadata!N983&gt;0)</f>
        <v>0</v>
      </c>
      <c r="AO983">
        <f>AND(IF(Metadata!O983="",FALSE,TRUE),exact(Metadata!O983,"kg"))</f>
        <v>0</v>
      </c>
      <c r="AP983">
        <f>OR(AND(IF(Metadata!P983="",FALSE,TRUE),exact(Metadata!P983,"not provided")),IF(Metadata!P983="",FALSE,TRUE))</f>
        <v>0</v>
      </c>
      <c r="AQ983">
        <f>OR(AND(IF(Metadata!Q983="",FALSE,TRUE),exact(Metadata!Q983,"not provided")),IF(Metadata!Q983="",FALSE,TRUE))</f>
        <v>0</v>
      </c>
    </row>
    <row r="984" spans="1:43">
      <c r="A984" s="4">
        <f>IF(B984=" "," ",HYPERLINK(CONCATENATE("#metadata!",ADDRESS(INDEX($W$2:$W$1001,MATCH(ROWS($U$2:U984),$U$2:$U$1001,0),0),2)),INDEX($Z$2:$Z$1001,MATCH(ROWS($U$2:U984),$U$2:$U$1001,0),0)))</f>
        <v>0</v>
      </c>
      <c r="B984" s="5">
        <f>IF(OR(INDEX($V$2:$V$1001,MATCH(ROWS($U$2:U984),$U$2:$U$1001,0),1)&gt;=100000,INDEX($AB$1005:$AQ$1005,1,MATCH(COLUMNS($AB$1006:AB1006),$AB$1006:$AQ$1006,0))&gt;=100000), " ",IF(INDEX($AB$2:$AQ$1001,MATCH(ROWS($U$2:U984),$U$2:$U$1001,0),MATCH(COLUMNS($AB$1006:AB1006),$AB$1006:$AQ$1006,0)), HYPERLINK("#",""), HYPERLINK(CONCATENATE("#Metadata!", ADDRESS(INDEX($W$2:$W$1001,MATCH(ROWS($U$2:U984),$U$2:$U$1001,0),0), INDEX($AB$1004:$AQ$1004,1,MATCH(COLUMNS($AB$1006:AB1006),$AB$1006:$AQ$1006,0)))),"Fix")))</f>
        <v>0</v>
      </c>
      <c r="C984" s="5">
        <f>IF(OR(INDEX($V$2:$V$1001,MATCH(ROWS($U$2:U984),$U$2:$U$1001,0),1)&gt;=100000,INDEX($AB$1005:$AQ$1005,1,MATCH(COLUMNS($AB$1006:AC1006),$AB$1006:$AQ$1006,0))&gt;=100000), " ",IF(INDEX($AB$2:$AQ$1001,MATCH(ROWS($U$2:U984),$U$2:$U$1001,0),MATCH(COLUMNS($AB$1006:AC1006),$AB$1006:$AQ$1006,0)), HYPERLINK("#",""), HYPERLINK(CONCATENATE("#Metadata!", ADDRESS(INDEX($W$2:$W$1001,MATCH(ROWS($U$2:U984),$U$2:$U$1001,0),0), INDEX($AB$1004:$AQ$1004,1,MATCH(COLUMNS($AB$1006:AC1006),$AB$1006:$AQ$1006,0)))),"Fix")))</f>
        <v>0</v>
      </c>
      <c r="D984" s="5">
        <f>IF(OR(INDEX($V$2:$V$1001,MATCH(ROWS($U$2:U984),$U$2:$U$1001,0),1)&gt;=100000,INDEX($AB$1005:$AQ$1005,1,MATCH(COLUMNS($AB$1006:AD1006),$AB$1006:$AQ$1006,0))&gt;=100000), " ",IF(INDEX($AB$2:$AQ$1001,MATCH(ROWS($U$2:U984),$U$2:$U$1001,0),MATCH(COLUMNS($AB$1006:AD1006),$AB$1006:$AQ$1006,0)), HYPERLINK("#",""), HYPERLINK(CONCATENATE("#Metadata!", ADDRESS(INDEX($W$2:$W$1001,MATCH(ROWS($U$2:U984),$U$2:$U$1001,0),0), INDEX($AB$1004:$AQ$1004,1,MATCH(COLUMNS($AB$1006:AD1006),$AB$1006:$AQ$1006,0)))),"Fix")))</f>
        <v>0</v>
      </c>
      <c r="E984" s="5">
        <f>IF(OR(INDEX($V$2:$V$1001,MATCH(ROWS($U$2:U984),$U$2:$U$1001,0),1)&gt;=100000,INDEX($AB$1005:$AQ$1005,1,MATCH(COLUMNS($AB$1006:AE1006),$AB$1006:$AQ$1006,0))&gt;=100000), " ",IF(INDEX($AB$2:$AQ$1001,MATCH(ROWS($U$2:U984),$U$2:$U$1001,0),MATCH(COLUMNS($AB$1006:AE1006),$AB$1006:$AQ$1006,0)), HYPERLINK("#",""), HYPERLINK(CONCATENATE("#Metadata!", ADDRESS(INDEX($W$2:$W$1001,MATCH(ROWS($U$2:U984),$U$2:$U$1001,0),0), INDEX($AB$1004:$AQ$1004,1,MATCH(COLUMNS($AB$1006:AE1006),$AB$1006:$AQ$1006,0)))),"Fix")))</f>
        <v>0</v>
      </c>
      <c r="F984" s="5">
        <f>IF(OR(INDEX($V$2:$V$1001,MATCH(ROWS($U$2:U984),$U$2:$U$1001,0),1)&gt;=100000,INDEX($AB$1005:$AQ$1005,1,MATCH(COLUMNS($AB$1006:AF1006),$AB$1006:$AQ$1006,0))&gt;=100000), " ",IF(INDEX($AB$2:$AQ$1001,MATCH(ROWS($U$2:U984),$U$2:$U$1001,0),MATCH(COLUMNS($AB$1006:AF1006),$AB$1006:$AQ$1006,0)), HYPERLINK("#",""), HYPERLINK(CONCATENATE("#Metadata!", ADDRESS(INDEX($W$2:$W$1001,MATCH(ROWS($U$2:U984),$U$2:$U$1001,0),0), INDEX($AB$1004:$AQ$1004,1,MATCH(COLUMNS($AB$1006:AF1006),$AB$1006:$AQ$1006,0)))),"Fix")))</f>
        <v>0</v>
      </c>
      <c r="G984" s="5">
        <f>IF(OR(INDEX($V$2:$V$1001,MATCH(ROWS($U$2:U984),$U$2:$U$1001,0),1)&gt;=100000,INDEX($AB$1005:$AQ$1005,1,MATCH(COLUMNS($AB$1006:AG1006),$AB$1006:$AQ$1006,0))&gt;=100000), " ",IF(INDEX($AB$2:$AQ$1001,MATCH(ROWS($U$2:U984),$U$2:$U$1001,0),MATCH(COLUMNS($AB$1006:AG1006),$AB$1006:$AQ$1006,0)), HYPERLINK("#",""), HYPERLINK(CONCATENATE("#Metadata!", ADDRESS(INDEX($W$2:$W$1001,MATCH(ROWS($U$2:U984),$U$2:$U$1001,0),0), INDEX($AB$1004:$AQ$1004,1,MATCH(COLUMNS($AB$1006:AG1006),$AB$1006:$AQ$1006,0)))),"Fix")))</f>
        <v>0</v>
      </c>
      <c r="H984" s="5">
        <f>IF(OR(INDEX($V$2:$V$1001,MATCH(ROWS($U$2:U984),$U$2:$U$1001,0),1)&gt;=100000,INDEX($AB$1005:$AQ$1005,1,MATCH(COLUMNS($AB$1006:AH1006),$AB$1006:$AQ$1006,0))&gt;=100000), " ",IF(INDEX($AB$2:$AQ$1001,MATCH(ROWS($U$2:U984),$U$2:$U$1001,0),MATCH(COLUMNS($AB$1006:AH1006),$AB$1006:$AQ$1006,0)), HYPERLINK("#",""), HYPERLINK(CONCATENATE("#Metadata!", ADDRESS(INDEX($W$2:$W$1001,MATCH(ROWS($U$2:U984),$U$2:$U$1001,0),0), INDEX($AB$1004:$AQ$1004,1,MATCH(COLUMNS($AB$1006:AH1006),$AB$1006:$AQ$1006,0)))),"Fix")))</f>
        <v>0</v>
      </c>
      <c r="I984" s="5">
        <f>IF(OR(INDEX($V$2:$V$1001,MATCH(ROWS($U$2:U984),$U$2:$U$1001,0),1)&gt;=100000,INDEX($AB$1005:$AQ$1005,1,MATCH(COLUMNS($AB$1006:AI1006),$AB$1006:$AQ$1006,0))&gt;=100000), " ",IF(INDEX($AB$2:$AQ$1001,MATCH(ROWS($U$2:U984),$U$2:$U$1001,0),MATCH(COLUMNS($AB$1006:AI1006),$AB$1006:$AQ$1006,0)), HYPERLINK("#",""), HYPERLINK(CONCATENATE("#Metadata!", ADDRESS(INDEX($W$2:$W$1001,MATCH(ROWS($U$2:U984),$U$2:$U$1001,0),0), INDEX($AB$1004:$AQ$1004,1,MATCH(COLUMNS($AB$1006:AI1006),$AB$1006:$AQ$1006,0)))),"Fix")))</f>
        <v>0</v>
      </c>
      <c r="J984" s="5">
        <f>IF(OR(INDEX($V$2:$V$1001,MATCH(ROWS($U$2:U984),$U$2:$U$1001,0),1)&gt;=100000,INDEX($AB$1005:$AQ$1005,1,MATCH(COLUMNS($AB$1006:AJ1006),$AB$1006:$AQ$1006,0))&gt;=100000), " ",IF(INDEX($AB$2:$AQ$1001,MATCH(ROWS($U$2:U984),$U$2:$U$1001,0),MATCH(COLUMNS($AB$1006:AJ1006),$AB$1006:$AQ$1006,0)), HYPERLINK("#",""), HYPERLINK(CONCATENATE("#Metadata!", ADDRESS(INDEX($W$2:$W$1001,MATCH(ROWS($U$2:U984),$U$2:$U$1001,0),0), INDEX($AB$1004:$AQ$1004,1,MATCH(COLUMNS($AB$1006:AJ1006),$AB$1006:$AQ$1006,0)))),"Fix")))</f>
        <v>0</v>
      </c>
      <c r="K984" s="5">
        <f>IF(OR(INDEX($V$2:$V$1001,MATCH(ROWS($U$2:U984),$U$2:$U$1001,0),1)&gt;=100000,INDEX($AB$1005:$AQ$1005,1,MATCH(COLUMNS($AB$1006:AK1006),$AB$1006:$AQ$1006,0))&gt;=100000), " ",IF(INDEX($AB$2:$AQ$1001,MATCH(ROWS($U$2:U984),$U$2:$U$1001,0),MATCH(COLUMNS($AB$1006:AK1006),$AB$1006:$AQ$1006,0)), HYPERLINK("#",""), HYPERLINK(CONCATENATE("#Metadata!", ADDRESS(INDEX($W$2:$W$1001,MATCH(ROWS($U$2:U984),$U$2:$U$1001,0),0), INDEX($AB$1004:$AQ$1004,1,MATCH(COLUMNS($AB$1006:AK1006),$AB$1006:$AQ$1006,0)))),"Fix")))</f>
        <v>0</v>
      </c>
      <c r="L984" s="5">
        <f>IF(OR(INDEX($V$2:$V$1001,MATCH(ROWS($U$2:U984),$U$2:$U$1001,0),1)&gt;=100000,INDEX($AB$1005:$AQ$1005,1,MATCH(COLUMNS($AB$1006:AL1006),$AB$1006:$AQ$1006,0))&gt;=100000), " ",IF(INDEX($AB$2:$AQ$1001,MATCH(ROWS($U$2:U984),$U$2:$U$1001,0),MATCH(COLUMNS($AB$1006:AL1006),$AB$1006:$AQ$1006,0)), HYPERLINK("#",""), HYPERLINK(CONCATENATE("#Metadata!", ADDRESS(INDEX($W$2:$W$1001,MATCH(ROWS($U$2:U984),$U$2:$U$1001,0),0), INDEX($AB$1004:$AQ$1004,1,MATCH(COLUMNS($AB$1006:AL1006),$AB$1006:$AQ$1006,0)))),"Fix")))</f>
        <v>0</v>
      </c>
      <c r="M984" s="5">
        <f>IF(OR(INDEX($V$2:$V$1001,MATCH(ROWS($U$2:U984),$U$2:$U$1001,0),1)&gt;=100000,INDEX($AB$1005:$AQ$1005,1,MATCH(COLUMNS($AB$1006:AM1006),$AB$1006:$AQ$1006,0))&gt;=100000), " ",IF(INDEX($AB$2:$AQ$1001,MATCH(ROWS($U$2:U984),$U$2:$U$1001,0),MATCH(COLUMNS($AB$1006:AM1006),$AB$1006:$AQ$1006,0)), HYPERLINK("#",""), HYPERLINK(CONCATENATE("#Metadata!", ADDRESS(INDEX($W$2:$W$1001,MATCH(ROWS($U$2:U984),$U$2:$U$1001,0),0), INDEX($AB$1004:$AQ$1004,1,MATCH(COLUMNS($AB$1006:AM1006),$AB$1006:$AQ$1006,0)))),"Fix")))</f>
        <v>0</v>
      </c>
      <c r="N984" s="5">
        <f>IF(OR(INDEX($V$2:$V$1001,MATCH(ROWS($U$2:U984),$U$2:$U$1001,0),1)&gt;=100000,INDEX($AB$1005:$AQ$1005,1,MATCH(COLUMNS($AB$1006:AN1006),$AB$1006:$AQ$1006,0))&gt;=100000), " ",IF(INDEX($AB$2:$AQ$1001,MATCH(ROWS($U$2:U984),$U$2:$U$1001,0),MATCH(COLUMNS($AB$1006:AN1006),$AB$1006:$AQ$1006,0)), HYPERLINK("#",""), HYPERLINK(CONCATENATE("#Metadata!", ADDRESS(INDEX($W$2:$W$1001,MATCH(ROWS($U$2:U984),$U$2:$U$1001,0),0), INDEX($AB$1004:$AQ$1004,1,MATCH(COLUMNS($AB$1006:AN1006),$AB$1006:$AQ$1006,0)))),"Fix")))</f>
        <v>0</v>
      </c>
      <c r="O984" s="5">
        <f>IF(OR(INDEX($V$2:$V$1001,MATCH(ROWS($U$2:U984),$U$2:$U$1001,0),1)&gt;=100000,INDEX($AB$1005:$AQ$1005,1,MATCH(COLUMNS($AB$1006:AO1006),$AB$1006:$AQ$1006,0))&gt;=100000), " ",IF(INDEX($AB$2:$AQ$1001,MATCH(ROWS($U$2:U984),$U$2:$U$1001,0),MATCH(COLUMNS($AB$1006:AO1006),$AB$1006:$AQ$1006,0)), HYPERLINK("#",""), HYPERLINK(CONCATENATE("#Metadata!", ADDRESS(INDEX($W$2:$W$1001,MATCH(ROWS($U$2:U984),$U$2:$U$1001,0),0), INDEX($AB$1004:$AQ$1004,1,MATCH(COLUMNS($AB$1006:AO1006),$AB$1006:$AQ$1006,0)))),"Fix")))</f>
        <v>0</v>
      </c>
      <c r="P984" s="5">
        <f>IF(OR(INDEX($V$2:$V$1001,MATCH(ROWS($U$2:U984),$U$2:$U$1001,0),1)&gt;=100000,INDEX($AB$1005:$AQ$1005,1,MATCH(COLUMNS($AB$1006:AP1006),$AB$1006:$AQ$1006,0))&gt;=100000), " ",IF(INDEX($AB$2:$AQ$1001,MATCH(ROWS($U$2:U984),$U$2:$U$1001,0),MATCH(COLUMNS($AB$1006:AP1006),$AB$1006:$AQ$1006,0)), HYPERLINK("#",""), HYPERLINK(CONCATENATE("#Metadata!", ADDRESS(INDEX($W$2:$W$1001,MATCH(ROWS($U$2:U984),$U$2:$U$1001,0),0), INDEX($AB$1004:$AQ$1004,1,MATCH(COLUMNS($AB$1006:AP1006),$AB$1006:$AQ$1006,0)))),"Fix")))</f>
        <v>0</v>
      </c>
      <c r="Q984" s="5">
        <f>IF(OR(INDEX($V$2:$V$1001,MATCH(ROWS($U$2:U984),$U$2:$U$1001,0),1)&gt;=100000,INDEX($AB$1005:$AQ$1005,1,MATCH(COLUMNS($AB$1006:AQ1006),$AB$1006:$AQ$1006,0))&gt;=100000), " ",IF(INDEX($AB$2:$AQ$1001,MATCH(ROWS($U$2:U984),$U$2:$U$1001,0),MATCH(COLUMNS($AB$1006:AQ1006),$AB$1006:$AQ$1006,0)), HYPERLINK("#",""), HYPERLINK(CONCATENATE("#Metadata!", ADDRESS(INDEX($W$2:$W$1001,MATCH(ROWS($U$2:U984),$U$2:$U$1001,0),0), INDEX($AB$1004:$AQ$1004,1,MATCH(COLUMNS($AB$1006:AQ1006),$AB$1006:$AQ$1006,0)))),"Fix")))</f>
        <v>0</v>
      </c>
      <c r="U984">
        <v>0</v>
      </c>
      <c r="V984">
        <v>0</v>
      </c>
      <c r="W984">
        <v>0</v>
      </c>
      <c r="X984">
        <f>IF(Y984,TRUE,AND(AB984:AQ984))</f>
        <v>0</v>
      </c>
      <c r="Y984">
        <f>COUNTBLANK(Metadata!B984:Q984)=COLUMNS(Metadata!B984:Q984)</f>
        <v>0</v>
      </c>
      <c r="Z984">
        <v>0</v>
      </c>
      <c r="AB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AC984">
        <f>AND(IF(Metadata!C984="",FALSE,TRUE),exact(Metadata!C984,"urban biome"))</f>
        <v>0</v>
      </c>
      <c r="AD984">
        <f>AND(IF(Metadata!D984="",FALSE,TRUE),exact(Metadata!D984,"human-associated habitat"))</f>
        <v>0</v>
      </c>
      <c r="AE984">
        <f>AND(IF(Metadata!E984="",FALSE,TRUE),OR(exact(Metadata!E984,"human-associated"),exact(Metadata!E984,"human-skin"),exact(Metadata!E984,"human-oral"),exact(Metadata!E984,"human-gut"),exact(Metadata!E984,"human-vaginal")))</f>
        <v>0</v>
      </c>
      <c r="AF984">
        <f>AND(IF(Metadata!F984="",FALSE,ISNUMBER(VALUE(Metadata!F984))),Metadata!F984&gt;0)</f>
        <v>0</v>
      </c>
      <c r="AG984">
        <f>AND(IF(Metadata!G984="",FALSE,TRUE),exact(Metadata!G984,"years"))</f>
        <v>0</v>
      </c>
      <c r="AH984">
        <f>OR(AND(IF(Metadata!H984="",FALSE,TRUE),OR(exact(Metadata!H984,"not applicable"),exact(Metadata!H984,"not collected"),exact(Metadata!H984,"not provided"),exact(Metadata!H984,"restricted access"))),AND(IF(Metadata!H984="",FALSE,ISNUMBER(VALUE(Metadata!H984))),Metadata!H984&gt;0))</f>
        <v>0</v>
      </c>
      <c r="AI984">
        <f>AND(IF(Metadata!I984="",FALSE,TRUE),exact(Metadata!I984,"human"))</f>
        <v>0</v>
      </c>
      <c r="AJ984">
        <f>AND(IF(Metadata!J984="",FALSE,ISNUMBER(VALUE(Metadata!J984))),Metadata!J984&gt;0)</f>
        <v>0</v>
      </c>
      <c r="AK984">
        <f>AND(IF(Metadata!K984="",FALSE,TRUE),exact(Metadata!K984,"cm"))</f>
        <v>0</v>
      </c>
      <c r="AL984">
        <f>AND(IF(Metadata!L984="",FALSE,TRUE),exact(Metadata!L984,"Homo sapiens"))</f>
        <v>0</v>
      </c>
      <c r="AM984">
        <f>AND(IF(Metadata!M984="",FALSE,TRUE),exact(Metadata!M984,"9606"))</f>
        <v>0</v>
      </c>
      <c r="AN984">
        <f>AND(IF(Metadata!N984="",FALSE,ISNUMBER(VALUE(Metadata!N984))),Metadata!N984&gt;0)</f>
        <v>0</v>
      </c>
      <c r="AO984">
        <f>AND(IF(Metadata!O984="",FALSE,TRUE),exact(Metadata!O984,"kg"))</f>
        <v>0</v>
      </c>
      <c r="AP984">
        <f>OR(AND(IF(Metadata!P984="",FALSE,TRUE),exact(Metadata!P984,"not provided")),IF(Metadata!P984="",FALSE,TRUE))</f>
        <v>0</v>
      </c>
      <c r="AQ984">
        <f>OR(AND(IF(Metadata!Q984="",FALSE,TRUE),exact(Metadata!Q984,"not provided")),IF(Metadata!Q984="",FALSE,TRUE))</f>
        <v>0</v>
      </c>
    </row>
    <row r="985" spans="1:43">
      <c r="A985" s="4">
        <f>IF(B985=" "," ",HYPERLINK(CONCATENATE("#metadata!",ADDRESS(INDEX($W$2:$W$1001,MATCH(ROWS($U$2:U985),$U$2:$U$1001,0),0),2)),INDEX($Z$2:$Z$1001,MATCH(ROWS($U$2:U985),$U$2:$U$1001,0),0)))</f>
        <v>0</v>
      </c>
      <c r="B985" s="5">
        <f>IF(OR(INDEX($V$2:$V$1001,MATCH(ROWS($U$2:U985),$U$2:$U$1001,0),1)&gt;=100000,INDEX($AB$1005:$AQ$1005,1,MATCH(COLUMNS($AB$1006:AB1006),$AB$1006:$AQ$1006,0))&gt;=100000), " ",IF(INDEX($AB$2:$AQ$1001,MATCH(ROWS($U$2:U985),$U$2:$U$1001,0),MATCH(COLUMNS($AB$1006:AB1006),$AB$1006:$AQ$1006,0)), HYPERLINK("#",""), HYPERLINK(CONCATENATE("#Metadata!", ADDRESS(INDEX($W$2:$W$1001,MATCH(ROWS($U$2:U985),$U$2:$U$1001,0),0), INDEX($AB$1004:$AQ$1004,1,MATCH(COLUMNS($AB$1006:AB1006),$AB$1006:$AQ$1006,0)))),"Fix")))</f>
        <v>0</v>
      </c>
      <c r="C985" s="5">
        <f>IF(OR(INDEX($V$2:$V$1001,MATCH(ROWS($U$2:U985),$U$2:$U$1001,0),1)&gt;=100000,INDEX($AB$1005:$AQ$1005,1,MATCH(COLUMNS($AB$1006:AC1006),$AB$1006:$AQ$1006,0))&gt;=100000), " ",IF(INDEX($AB$2:$AQ$1001,MATCH(ROWS($U$2:U985),$U$2:$U$1001,0),MATCH(COLUMNS($AB$1006:AC1006),$AB$1006:$AQ$1006,0)), HYPERLINK("#",""), HYPERLINK(CONCATENATE("#Metadata!", ADDRESS(INDEX($W$2:$W$1001,MATCH(ROWS($U$2:U985),$U$2:$U$1001,0),0), INDEX($AB$1004:$AQ$1004,1,MATCH(COLUMNS($AB$1006:AC1006),$AB$1006:$AQ$1006,0)))),"Fix")))</f>
        <v>0</v>
      </c>
      <c r="D985" s="5">
        <f>IF(OR(INDEX($V$2:$V$1001,MATCH(ROWS($U$2:U985),$U$2:$U$1001,0),1)&gt;=100000,INDEX($AB$1005:$AQ$1005,1,MATCH(COLUMNS($AB$1006:AD1006),$AB$1006:$AQ$1006,0))&gt;=100000), " ",IF(INDEX($AB$2:$AQ$1001,MATCH(ROWS($U$2:U985),$U$2:$U$1001,0),MATCH(COLUMNS($AB$1006:AD1006),$AB$1006:$AQ$1006,0)), HYPERLINK("#",""), HYPERLINK(CONCATENATE("#Metadata!", ADDRESS(INDEX($W$2:$W$1001,MATCH(ROWS($U$2:U985),$U$2:$U$1001,0),0), INDEX($AB$1004:$AQ$1004,1,MATCH(COLUMNS($AB$1006:AD1006),$AB$1006:$AQ$1006,0)))),"Fix")))</f>
        <v>0</v>
      </c>
      <c r="E985" s="5">
        <f>IF(OR(INDEX($V$2:$V$1001,MATCH(ROWS($U$2:U985),$U$2:$U$1001,0),1)&gt;=100000,INDEX($AB$1005:$AQ$1005,1,MATCH(COLUMNS($AB$1006:AE1006),$AB$1006:$AQ$1006,0))&gt;=100000), " ",IF(INDEX($AB$2:$AQ$1001,MATCH(ROWS($U$2:U985),$U$2:$U$1001,0),MATCH(COLUMNS($AB$1006:AE1006),$AB$1006:$AQ$1006,0)), HYPERLINK("#",""), HYPERLINK(CONCATENATE("#Metadata!", ADDRESS(INDEX($W$2:$W$1001,MATCH(ROWS($U$2:U985),$U$2:$U$1001,0),0), INDEX($AB$1004:$AQ$1004,1,MATCH(COLUMNS($AB$1006:AE1006),$AB$1006:$AQ$1006,0)))),"Fix")))</f>
        <v>0</v>
      </c>
      <c r="F985" s="5">
        <f>IF(OR(INDEX($V$2:$V$1001,MATCH(ROWS($U$2:U985),$U$2:$U$1001,0),1)&gt;=100000,INDEX($AB$1005:$AQ$1005,1,MATCH(COLUMNS($AB$1006:AF1006),$AB$1006:$AQ$1006,0))&gt;=100000), " ",IF(INDEX($AB$2:$AQ$1001,MATCH(ROWS($U$2:U985),$U$2:$U$1001,0),MATCH(COLUMNS($AB$1006:AF1006),$AB$1006:$AQ$1006,0)), HYPERLINK("#",""), HYPERLINK(CONCATENATE("#Metadata!", ADDRESS(INDEX($W$2:$W$1001,MATCH(ROWS($U$2:U985),$U$2:$U$1001,0),0), INDEX($AB$1004:$AQ$1004,1,MATCH(COLUMNS($AB$1006:AF1006),$AB$1006:$AQ$1006,0)))),"Fix")))</f>
        <v>0</v>
      </c>
      <c r="G985" s="5">
        <f>IF(OR(INDEX($V$2:$V$1001,MATCH(ROWS($U$2:U985),$U$2:$U$1001,0),1)&gt;=100000,INDEX($AB$1005:$AQ$1005,1,MATCH(COLUMNS($AB$1006:AG1006),$AB$1006:$AQ$1006,0))&gt;=100000), " ",IF(INDEX($AB$2:$AQ$1001,MATCH(ROWS($U$2:U985),$U$2:$U$1001,0),MATCH(COLUMNS($AB$1006:AG1006),$AB$1006:$AQ$1006,0)), HYPERLINK("#",""), HYPERLINK(CONCATENATE("#Metadata!", ADDRESS(INDEX($W$2:$W$1001,MATCH(ROWS($U$2:U985),$U$2:$U$1001,0),0), INDEX($AB$1004:$AQ$1004,1,MATCH(COLUMNS($AB$1006:AG1006),$AB$1006:$AQ$1006,0)))),"Fix")))</f>
        <v>0</v>
      </c>
      <c r="H985" s="5">
        <f>IF(OR(INDEX($V$2:$V$1001,MATCH(ROWS($U$2:U985),$U$2:$U$1001,0),1)&gt;=100000,INDEX($AB$1005:$AQ$1005,1,MATCH(COLUMNS($AB$1006:AH1006),$AB$1006:$AQ$1006,0))&gt;=100000), " ",IF(INDEX($AB$2:$AQ$1001,MATCH(ROWS($U$2:U985),$U$2:$U$1001,0),MATCH(COLUMNS($AB$1006:AH1006),$AB$1006:$AQ$1006,0)), HYPERLINK("#",""), HYPERLINK(CONCATENATE("#Metadata!", ADDRESS(INDEX($W$2:$W$1001,MATCH(ROWS($U$2:U985),$U$2:$U$1001,0),0), INDEX($AB$1004:$AQ$1004,1,MATCH(COLUMNS($AB$1006:AH1006),$AB$1006:$AQ$1006,0)))),"Fix")))</f>
        <v>0</v>
      </c>
      <c r="I985" s="5">
        <f>IF(OR(INDEX($V$2:$V$1001,MATCH(ROWS($U$2:U985),$U$2:$U$1001,0),1)&gt;=100000,INDEX($AB$1005:$AQ$1005,1,MATCH(COLUMNS($AB$1006:AI1006),$AB$1006:$AQ$1006,0))&gt;=100000), " ",IF(INDEX($AB$2:$AQ$1001,MATCH(ROWS($U$2:U985),$U$2:$U$1001,0),MATCH(COLUMNS($AB$1006:AI1006),$AB$1006:$AQ$1006,0)), HYPERLINK("#",""), HYPERLINK(CONCATENATE("#Metadata!", ADDRESS(INDEX($W$2:$W$1001,MATCH(ROWS($U$2:U985),$U$2:$U$1001,0),0), INDEX($AB$1004:$AQ$1004,1,MATCH(COLUMNS($AB$1006:AI1006),$AB$1006:$AQ$1006,0)))),"Fix")))</f>
        <v>0</v>
      </c>
      <c r="J985" s="5">
        <f>IF(OR(INDEX($V$2:$V$1001,MATCH(ROWS($U$2:U985),$U$2:$U$1001,0),1)&gt;=100000,INDEX($AB$1005:$AQ$1005,1,MATCH(COLUMNS($AB$1006:AJ1006),$AB$1006:$AQ$1006,0))&gt;=100000), " ",IF(INDEX($AB$2:$AQ$1001,MATCH(ROWS($U$2:U985),$U$2:$U$1001,0),MATCH(COLUMNS($AB$1006:AJ1006),$AB$1006:$AQ$1006,0)), HYPERLINK("#",""), HYPERLINK(CONCATENATE("#Metadata!", ADDRESS(INDEX($W$2:$W$1001,MATCH(ROWS($U$2:U985),$U$2:$U$1001,0),0), INDEX($AB$1004:$AQ$1004,1,MATCH(COLUMNS($AB$1006:AJ1006),$AB$1006:$AQ$1006,0)))),"Fix")))</f>
        <v>0</v>
      </c>
      <c r="K985" s="5">
        <f>IF(OR(INDEX($V$2:$V$1001,MATCH(ROWS($U$2:U985),$U$2:$U$1001,0),1)&gt;=100000,INDEX($AB$1005:$AQ$1005,1,MATCH(COLUMNS($AB$1006:AK1006),$AB$1006:$AQ$1006,0))&gt;=100000), " ",IF(INDEX($AB$2:$AQ$1001,MATCH(ROWS($U$2:U985),$U$2:$U$1001,0),MATCH(COLUMNS($AB$1006:AK1006),$AB$1006:$AQ$1006,0)), HYPERLINK("#",""), HYPERLINK(CONCATENATE("#Metadata!", ADDRESS(INDEX($W$2:$W$1001,MATCH(ROWS($U$2:U985),$U$2:$U$1001,0),0), INDEX($AB$1004:$AQ$1004,1,MATCH(COLUMNS($AB$1006:AK1006),$AB$1006:$AQ$1006,0)))),"Fix")))</f>
        <v>0</v>
      </c>
      <c r="L985" s="5">
        <f>IF(OR(INDEX($V$2:$V$1001,MATCH(ROWS($U$2:U985),$U$2:$U$1001,0),1)&gt;=100000,INDEX($AB$1005:$AQ$1005,1,MATCH(COLUMNS($AB$1006:AL1006),$AB$1006:$AQ$1006,0))&gt;=100000), " ",IF(INDEX($AB$2:$AQ$1001,MATCH(ROWS($U$2:U985),$U$2:$U$1001,0),MATCH(COLUMNS($AB$1006:AL1006),$AB$1006:$AQ$1006,0)), HYPERLINK("#",""), HYPERLINK(CONCATENATE("#Metadata!", ADDRESS(INDEX($W$2:$W$1001,MATCH(ROWS($U$2:U985),$U$2:$U$1001,0),0), INDEX($AB$1004:$AQ$1004,1,MATCH(COLUMNS($AB$1006:AL1006),$AB$1006:$AQ$1006,0)))),"Fix")))</f>
        <v>0</v>
      </c>
      <c r="M985" s="5">
        <f>IF(OR(INDEX($V$2:$V$1001,MATCH(ROWS($U$2:U985),$U$2:$U$1001,0),1)&gt;=100000,INDEX($AB$1005:$AQ$1005,1,MATCH(COLUMNS($AB$1006:AM1006),$AB$1006:$AQ$1006,0))&gt;=100000), " ",IF(INDEX($AB$2:$AQ$1001,MATCH(ROWS($U$2:U985),$U$2:$U$1001,0),MATCH(COLUMNS($AB$1006:AM1006),$AB$1006:$AQ$1006,0)), HYPERLINK("#",""), HYPERLINK(CONCATENATE("#Metadata!", ADDRESS(INDEX($W$2:$W$1001,MATCH(ROWS($U$2:U985),$U$2:$U$1001,0),0), INDEX($AB$1004:$AQ$1004,1,MATCH(COLUMNS($AB$1006:AM1006),$AB$1006:$AQ$1006,0)))),"Fix")))</f>
        <v>0</v>
      </c>
      <c r="N985" s="5">
        <f>IF(OR(INDEX($V$2:$V$1001,MATCH(ROWS($U$2:U985),$U$2:$U$1001,0),1)&gt;=100000,INDEX($AB$1005:$AQ$1005,1,MATCH(COLUMNS($AB$1006:AN1006),$AB$1006:$AQ$1006,0))&gt;=100000), " ",IF(INDEX($AB$2:$AQ$1001,MATCH(ROWS($U$2:U985),$U$2:$U$1001,0),MATCH(COLUMNS($AB$1006:AN1006),$AB$1006:$AQ$1006,0)), HYPERLINK("#",""), HYPERLINK(CONCATENATE("#Metadata!", ADDRESS(INDEX($W$2:$W$1001,MATCH(ROWS($U$2:U985),$U$2:$U$1001,0),0), INDEX($AB$1004:$AQ$1004,1,MATCH(COLUMNS($AB$1006:AN1006),$AB$1006:$AQ$1006,0)))),"Fix")))</f>
        <v>0</v>
      </c>
      <c r="O985" s="5">
        <f>IF(OR(INDEX($V$2:$V$1001,MATCH(ROWS($U$2:U985),$U$2:$U$1001,0),1)&gt;=100000,INDEX($AB$1005:$AQ$1005,1,MATCH(COLUMNS($AB$1006:AO1006),$AB$1006:$AQ$1006,0))&gt;=100000), " ",IF(INDEX($AB$2:$AQ$1001,MATCH(ROWS($U$2:U985),$U$2:$U$1001,0),MATCH(COLUMNS($AB$1006:AO1006),$AB$1006:$AQ$1006,0)), HYPERLINK("#",""), HYPERLINK(CONCATENATE("#Metadata!", ADDRESS(INDEX($W$2:$W$1001,MATCH(ROWS($U$2:U985),$U$2:$U$1001,0),0), INDEX($AB$1004:$AQ$1004,1,MATCH(COLUMNS($AB$1006:AO1006),$AB$1006:$AQ$1006,0)))),"Fix")))</f>
        <v>0</v>
      </c>
      <c r="P985" s="5">
        <f>IF(OR(INDEX($V$2:$V$1001,MATCH(ROWS($U$2:U985),$U$2:$U$1001,0),1)&gt;=100000,INDEX($AB$1005:$AQ$1005,1,MATCH(COLUMNS($AB$1006:AP1006),$AB$1006:$AQ$1006,0))&gt;=100000), " ",IF(INDEX($AB$2:$AQ$1001,MATCH(ROWS($U$2:U985),$U$2:$U$1001,0),MATCH(COLUMNS($AB$1006:AP1006),$AB$1006:$AQ$1006,0)), HYPERLINK("#",""), HYPERLINK(CONCATENATE("#Metadata!", ADDRESS(INDEX($W$2:$W$1001,MATCH(ROWS($U$2:U985),$U$2:$U$1001,0),0), INDEX($AB$1004:$AQ$1004,1,MATCH(COLUMNS($AB$1006:AP1006),$AB$1006:$AQ$1006,0)))),"Fix")))</f>
        <v>0</v>
      </c>
      <c r="Q985" s="5">
        <f>IF(OR(INDEX($V$2:$V$1001,MATCH(ROWS($U$2:U985),$U$2:$U$1001,0),1)&gt;=100000,INDEX($AB$1005:$AQ$1005,1,MATCH(COLUMNS($AB$1006:AQ1006),$AB$1006:$AQ$1006,0))&gt;=100000), " ",IF(INDEX($AB$2:$AQ$1001,MATCH(ROWS($U$2:U985),$U$2:$U$1001,0),MATCH(COLUMNS($AB$1006:AQ1006),$AB$1006:$AQ$1006,0)), HYPERLINK("#",""), HYPERLINK(CONCATENATE("#Metadata!", ADDRESS(INDEX($W$2:$W$1001,MATCH(ROWS($U$2:U985),$U$2:$U$1001,0),0), INDEX($AB$1004:$AQ$1004,1,MATCH(COLUMNS($AB$1006:AQ1006),$AB$1006:$AQ$1006,0)))),"Fix")))</f>
        <v>0</v>
      </c>
      <c r="U985">
        <v>0</v>
      </c>
      <c r="V985">
        <v>0</v>
      </c>
      <c r="W985">
        <v>0</v>
      </c>
      <c r="X985">
        <f>IF(Y985,TRUE,AND(AB985:AQ985))</f>
        <v>0</v>
      </c>
      <c r="Y985">
        <f>COUNTBLANK(Metadata!B985:Q985)=COLUMNS(Metadata!B985:Q985)</f>
        <v>0</v>
      </c>
      <c r="Z985">
        <v>0</v>
      </c>
      <c r="AB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AC985">
        <f>AND(IF(Metadata!C985="",FALSE,TRUE),exact(Metadata!C985,"urban biome"))</f>
        <v>0</v>
      </c>
      <c r="AD985">
        <f>AND(IF(Metadata!D985="",FALSE,TRUE),exact(Metadata!D985,"human-associated habitat"))</f>
        <v>0</v>
      </c>
      <c r="AE985">
        <f>AND(IF(Metadata!E985="",FALSE,TRUE),OR(exact(Metadata!E985,"human-associated"),exact(Metadata!E985,"human-skin"),exact(Metadata!E985,"human-oral"),exact(Metadata!E985,"human-gut"),exact(Metadata!E985,"human-vaginal")))</f>
        <v>0</v>
      </c>
      <c r="AF985">
        <f>AND(IF(Metadata!F985="",FALSE,ISNUMBER(VALUE(Metadata!F985))),Metadata!F985&gt;0)</f>
        <v>0</v>
      </c>
      <c r="AG985">
        <f>AND(IF(Metadata!G985="",FALSE,TRUE),exact(Metadata!G985,"years"))</f>
        <v>0</v>
      </c>
      <c r="AH985">
        <f>OR(AND(IF(Metadata!H985="",FALSE,TRUE),OR(exact(Metadata!H985,"not applicable"),exact(Metadata!H985,"not collected"),exact(Metadata!H985,"not provided"),exact(Metadata!H985,"restricted access"))),AND(IF(Metadata!H985="",FALSE,ISNUMBER(VALUE(Metadata!H985))),Metadata!H985&gt;0))</f>
        <v>0</v>
      </c>
      <c r="AI985">
        <f>AND(IF(Metadata!I985="",FALSE,TRUE),exact(Metadata!I985,"human"))</f>
        <v>0</v>
      </c>
      <c r="AJ985">
        <f>AND(IF(Metadata!J985="",FALSE,ISNUMBER(VALUE(Metadata!J985))),Metadata!J985&gt;0)</f>
        <v>0</v>
      </c>
      <c r="AK985">
        <f>AND(IF(Metadata!K985="",FALSE,TRUE),exact(Metadata!K985,"cm"))</f>
        <v>0</v>
      </c>
      <c r="AL985">
        <f>AND(IF(Metadata!L985="",FALSE,TRUE),exact(Metadata!L985,"Homo sapiens"))</f>
        <v>0</v>
      </c>
      <c r="AM985">
        <f>AND(IF(Metadata!M985="",FALSE,TRUE),exact(Metadata!M985,"9606"))</f>
        <v>0</v>
      </c>
      <c r="AN985">
        <f>AND(IF(Metadata!N985="",FALSE,ISNUMBER(VALUE(Metadata!N985))),Metadata!N985&gt;0)</f>
        <v>0</v>
      </c>
      <c r="AO985">
        <f>AND(IF(Metadata!O985="",FALSE,TRUE),exact(Metadata!O985,"kg"))</f>
        <v>0</v>
      </c>
      <c r="AP985">
        <f>OR(AND(IF(Metadata!P985="",FALSE,TRUE),exact(Metadata!P985,"not provided")),IF(Metadata!P985="",FALSE,TRUE))</f>
        <v>0</v>
      </c>
      <c r="AQ985">
        <f>OR(AND(IF(Metadata!Q985="",FALSE,TRUE),exact(Metadata!Q985,"not provided")),IF(Metadata!Q985="",FALSE,TRUE))</f>
        <v>0</v>
      </c>
    </row>
    <row r="986" spans="1:43">
      <c r="A986" s="4">
        <f>IF(B986=" "," ",HYPERLINK(CONCATENATE("#metadata!",ADDRESS(INDEX($W$2:$W$1001,MATCH(ROWS($U$2:U986),$U$2:$U$1001,0),0),2)),INDEX($Z$2:$Z$1001,MATCH(ROWS($U$2:U986),$U$2:$U$1001,0),0)))</f>
        <v>0</v>
      </c>
      <c r="B986" s="5">
        <f>IF(OR(INDEX($V$2:$V$1001,MATCH(ROWS($U$2:U986),$U$2:$U$1001,0),1)&gt;=100000,INDEX($AB$1005:$AQ$1005,1,MATCH(COLUMNS($AB$1006:AB1006),$AB$1006:$AQ$1006,0))&gt;=100000), " ",IF(INDEX($AB$2:$AQ$1001,MATCH(ROWS($U$2:U986),$U$2:$U$1001,0),MATCH(COLUMNS($AB$1006:AB1006),$AB$1006:$AQ$1006,0)), HYPERLINK("#",""), HYPERLINK(CONCATENATE("#Metadata!", ADDRESS(INDEX($W$2:$W$1001,MATCH(ROWS($U$2:U986),$U$2:$U$1001,0),0), INDEX($AB$1004:$AQ$1004,1,MATCH(COLUMNS($AB$1006:AB1006),$AB$1006:$AQ$1006,0)))),"Fix")))</f>
        <v>0</v>
      </c>
      <c r="C986" s="5">
        <f>IF(OR(INDEX($V$2:$V$1001,MATCH(ROWS($U$2:U986),$U$2:$U$1001,0),1)&gt;=100000,INDEX($AB$1005:$AQ$1005,1,MATCH(COLUMNS($AB$1006:AC1006),$AB$1006:$AQ$1006,0))&gt;=100000), " ",IF(INDEX($AB$2:$AQ$1001,MATCH(ROWS($U$2:U986),$U$2:$U$1001,0),MATCH(COLUMNS($AB$1006:AC1006),$AB$1006:$AQ$1006,0)), HYPERLINK("#",""), HYPERLINK(CONCATENATE("#Metadata!", ADDRESS(INDEX($W$2:$W$1001,MATCH(ROWS($U$2:U986),$U$2:$U$1001,0),0), INDEX($AB$1004:$AQ$1004,1,MATCH(COLUMNS($AB$1006:AC1006),$AB$1006:$AQ$1006,0)))),"Fix")))</f>
        <v>0</v>
      </c>
      <c r="D986" s="5">
        <f>IF(OR(INDEX($V$2:$V$1001,MATCH(ROWS($U$2:U986),$U$2:$U$1001,0),1)&gt;=100000,INDEX($AB$1005:$AQ$1005,1,MATCH(COLUMNS($AB$1006:AD1006),$AB$1006:$AQ$1006,0))&gt;=100000), " ",IF(INDEX($AB$2:$AQ$1001,MATCH(ROWS($U$2:U986),$U$2:$U$1001,0),MATCH(COLUMNS($AB$1006:AD1006),$AB$1006:$AQ$1006,0)), HYPERLINK("#",""), HYPERLINK(CONCATENATE("#Metadata!", ADDRESS(INDEX($W$2:$W$1001,MATCH(ROWS($U$2:U986),$U$2:$U$1001,0),0), INDEX($AB$1004:$AQ$1004,1,MATCH(COLUMNS($AB$1006:AD1006),$AB$1006:$AQ$1006,0)))),"Fix")))</f>
        <v>0</v>
      </c>
      <c r="E986" s="5">
        <f>IF(OR(INDEX($V$2:$V$1001,MATCH(ROWS($U$2:U986),$U$2:$U$1001,0),1)&gt;=100000,INDEX($AB$1005:$AQ$1005,1,MATCH(COLUMNS($AB$1006:AE1006),$AB$1006:$AQ$1006,0))&gt;=100000), " ",IF(INDEX($AB$2:$AQ$1001,MATCH(ROWS($U$2:U986),$U$2:$U$1001,0),MATCH(COLUMNS($AB$1006:AE1006),$AB$1006:$AQ$1006,0)), HYPERLINK("#",""), HYPERLINK(CONCATENATE("#Metadata!", ADDRESS(INDEX($W$2:$W$1001,MATCH(ROWS($U$2:U986),$U$2:$U$1001,0),0), INDEX($AB$1004:$AQ$1004,1,MATCH(COLUMNS($AB$1006:AE1006),$AB$1006:$AQ$1006,0)))),"Fix")))</f>
        <v>0</v>
      </c>
      <c r="F986" s="5">
        <f>IF(OR(INDEX($V$2:$V$1001,MATCH(ROWS($U$2:U986),$U$2:$U$1001,0),1)&gt;=100000,INDEX($AB$1005:$AQ$1005,1,MATCH(COLUMNS($AB$1006:AF1006),$AB$1006:$AQ$1006,0))&gt;=100000), " ",IF(INDEX($AB$2:$AQ$1001,MATCH(ROWS($U$2:U986),$U$2:$U$1001,0),MATCH(COLUMNS($AB$1006:AF1006),$AB$1006:$AQ$1006,0)), HYPERLINK("#",""), HYPERLINK(CONCATENATE("#Metadata!", ADDRESS(INDEX($W$2:$W$1001,MATCH(ROWS($U$2:U986),$U$2:$U$1001,0),0), INDEX($AB$1004:$AQ$1004,1,MATCH(COLUMNS($AB$1006:AF1006),$AB$1006:$AQ$1006,0)))),"Fix")))</f>
        <v>0</v>
      </c>
      <c r="G986" s="5">
        <f>IF(OR(INDEX($V$2:$V$1001,MATCH(ROWS($U$2:U986),$U$2:$U$1001,0),1)&gt;=100000,INDEX($AB$1005:$AQ$1005,1,MATCH(COLUMNS($AB$1006:AG1006),$AB$1006:$AQ$1006,0))&gt;=100000), " ",IF(INDEX($AB$2:$AQ$1001,MATCH(ROWS($U$2:U986),$U$2:$U$1001,0),MATCH(COLUMNS($AB$1006:AG1006),$AB$1006:$AQ$1006,0)), HYPERLINK("#",""), HYPERLINK(CONCATENATE("#Metadata!", ADDRESS(INDEX($W$2:$W$1001,MATCH(ROWS($U$2:U986),$U$2:$U$1001,0),0), INDEX($AB$1004:$AQ$1004,1,MATCH(COLUMNS($AB$1006:AG1006),$AB$1006:$AQ$1006,0)))),"Fix")))</f>
        <v>0</v>
      </c>
      <c r="H986" s="5">
        <f>IF(OR(INDEX($V$2:$V$1001,MATCH(ROWS($U$2:U986),$U$2:$U$1001,0),1)&gt;=100000,INDEX($AB$1005:$AQ$1005,1,MATCH(COLUMNS($AB$1006:AH1006),$AB$1006:$AQ$1006,0))&gt;=100000), " ",IF(INDEX($AB$2:$AQ$1001,MATCH(ROWS($U$2:U986),$U$2:$U$1001,0),MATCH(COLUMNS($AB$1006:AH1006),$AB$1006:$AQ$1006,0)), HYPERLINK("#",""), HYPERLINK(CONCATENATE("#Metadata!", ADDRESS(INDEX($W$2:$W$1001,MATCH(ROWS($U$2:U986),$U$2:$U$1001,0),0), INDEX($AB$1004:$AQ$1004,1,MATCH(COLUMNS($AB$1006:AH1006),$AB$1006:$AQ$1006,0)))),"Fix")))</f>
        <v>0</v>
      </c>
      <c r="I986" s="5">
        <f>IF(OR(INDEX($V$2:$V$1001,MATCH(ROWS($U$2:U986),$U$2:$U$1001,0),1)&gt;=100000,INDEX($AB$1005:$AQ$1005,1,MATCH(COLUMNS($AB$1006:AI1006),$AB$1006:$AQ$1006,0))&gt;=100000), " ",IF(INDEX($AB$2:$AQ$1001,MATCH(ROWS($U$2:U986),$U$2:$U$1001,0),MATCH(COLUMNS($AB$1006:AI1006),$AB$1006:$AQ$1006,0)), HYPERLINK("#",""), HYPERLINK(CONCATENATE("#Metadata!", ADDRESS(INDEX($W$2:$W$1001,MATCH(ROWS($U$2:U986),$U$2:$U$1001,0),0), INDEX($AB$1004:$AQ$1004,1,MATCH(COLUMNS($AB$1006:AI1006),$AB$1006:$AQ$1006,0)))),"Fix")))</f>
        <v>0</v>
      </c>
      <c r="J986" s="5">
        <f>IF(OR(INDEX($V$2:$V$1001,MATCH(ROWS($U$2:U986),$U$2:$U$1001,0),1)&gt;=100000,INDEX($AB$1005:$AQ$1005,1,MATCH(COLUMNS($AB$1006:AJ1006),$AB$1006:$AQ$1006,0))&gt;=100000), " ",IF(INDEX($AB$2:$AQ$1001,MATCH(ROWS($U$2:U986),$U$2:$U$1001,0),MATCH(COLUMNS($AB$1006:AJ1006),$AB$1006:$AQ$1006,0)), HYPERLINK("#",""), HYPERLINK(CONCATENATE("#Metadata!", ADDRESS(INDEX($W$2:$W$1001,MATCH(ROWS($U$2:U986),$U$2:$U$1001,0),0), INDEX($AB$1004:$AQ$1004,1,MATCH(COLUMNS($AB$1006:AJ1006),$AB$1006:$AQ$1006,0)))),"Fix")))</f>
        <v>0</v>
      </c>
      <c r="K986" s="5">
        <f>IF(OR(INDEX($V$2:$V$1001,MATCH(ROWS($U$2:U986),$U$2:$U$1001,0),1)&gt;=100000,INDEX($AB$1005:$AQ$1005,1,MATCH(COLUMNS($AB$1006:AK1006),$AB$1006:$AQ$1006,0))&gt;=100000), " ",IF(INDEX($AB$2:$AQ$1001,MATCH(ROWS($U$2:U986),$U$2:$U$1001,0),MATCH(COLUMNS($AB$1006:AK1006),$AB$1006:$AQ$1006,0)), HYPERLINK("#",""), HYPERLINK(CONCATENATE("#Metadata!", ADDRESS(INDEX($W$2:$W$1001,MATCH(ROWS($U$2:U986),$U$2:$U$1001,0),0), INDEX($AB$1004:$AQ$1004,1,MATCH(COLUMNS($AB$1006:AK1006),$AB$1006:$AQ$1006,0)))),"Fix")))</f>
        <v>0</v>
      </c>
      <c r="L986" s="5">
        <f>IF(OR(INDEX($V$2:$V$1001,MATCH(ROWS($U$2:U986),$U$2:$U$1001,0),1)&gt;=100000,INDEX($AB$1005:$AQ$1005,1,MATCH(COLUMNS($AB$1006:AL1006),$AB$1006:$AQ$1006,0))&gt;=100000), " ",IF(INDEX($AB$2:$AQ$1001,MATCH(ROWS($U$2:U986),$U$2:$U$1001,0),MATCH(COLUMNS($AB$1006:AL1006),$AB$1006:$AQ$1006,0)), HYPERLINK("#",""), HYPERLINK(CONCATENATE("#Metadata!", ADDRESS(INDEX($W$2:$W$1001,MATCH(ROWS($U$2:U986),$U$2:$U$1001,0),0), INDEX($AB$1004:$AQ$1004,1,MATCH(COLUMNS($AB$1006:AL1006),$AB$1006:$AQ$1006,0)))),"Fix")))</f>
        <v>0</v>
      </c>
      <c r="M986" s="5">
        <f>IF(OR(INDEX($V$2:$V$1001,MATCH(ROWS($U$2:U986),$U$2:$U$1001,0),1)&gt;=100000,INDEX($AB$1005:$AQ$1005,1,MATCH(COLUMNS($AB$1006:AM1006),$AB$1006:$AQ$1006,0))&gt;=100000), " ",IF(INDEX($AB$2:$AQ$1001,MATCH(ROWS($U$2:U986),$U$2:$U$1001,0),MATCH(COLUMNS($AB$1006:AM1006),$AB$1006:$AQ$1006,0)), HYPERLINK("#",""), HYPERLINK(CONCATENATE("#Metadata!", ADDRESS(INDEX($W$2:$W$1001,MATCH(ROWS($U$2:U986),$U$2:$U$1001,0),0), INDEX($AB$1004:$AQ$1004,1,MATCH(COLUMNS($AB$1006:AM1006),$AB$1006:$AQ$1006,0)))),"Fix")))</f>
        <v>0</v>
      </c>
      <c r="N986" s="5">
        <f>IF(OR(INDEX($V$2:$V$1001,MATCH(ROWS($U$2:U986),$U$2:$U$1001,0),1)&gt;=100000,INDEX($AB$1005:$AQ$1005,1,MATCH(COLUMNS($AB$1006:AN1006),$AB$1006:$AQ$1006,0))&gt;=100000), " ",IF(INDEX($AB$2:$AQ$1001,MATCH(ROWS($U$2:U986),$U$2:$U$1001,0),MATCH(COLUMNS($AB$1006:AN1006),$AB$1006:$AQ$1006,0)), HYPERLINK("#",""), HYPERLINK(CONCATENATE("#Metadata!", ADDRESS(INDEX($W$2:$W$1001,MATCH(ROWS($U$2:U986),$U$2:$U$1001,0),0), INDEX($AB$1004:$AQ$1004,1,MATCH(COLUMNS($AB$1006:AN1006),$AB$1006:$AQ$1006,0)))),"Fix")))</f>
        <v>0</v>
      </c>
      <c r="O986" s="5">
        <f>IF(OR(INDEX($V$2:$V$1001,MATCH(ROWS($U$2:U986),$U$2:$U$1001,0),1)&gt;=100000,INDEX($AB$1005:$AQ$1005,1,MATCH(COLUMNS($AB$1006:AO1006),$AB$1006:$AQ$1006,0))&gt;=100000), " ",IF(INDEX($AB$2:$AQ$1001,MATCH(ROWS($U$2:U986),$U$2:$U$1001,0),MATCH(COLUMNS($AB$1006:AO1006),$AB$1006:$AQ$1006,0)), HYPERLINK("#",""), HYPERLINK(CONCATENATE("#Metadata!", ADDRESS(INDEX($W$2:$W$1001,MATCH(ROWS($U$2:U986),$U$2:$U$1001,0),0), INDEX($AB$1004:$AQ$1004,1,MATCH(COLUMNS($AB$1006:AO1006),$AB$1006:$AQ$1006,0)))),"Fix")))</f>
        <v>0</v>
      </c>
      <c r="P986" s="5">
        <f>IF(OR(INDEX($V$2:$V$1001,MATCH(ROWS($U$2:U986),$U$2:$U$1001,0),1)&gt;=100000,INDEX($AB$1005:$AQ$1005,1,MATCH(COLUMNS($AB$1006:AP1006),$AB$1006:$AQ$1006,0))&gt;=100000), " ",IF(INDEX($AB$2:$AQ$1001,MATCH(ROWS($U$2:U986),$U$2:$U$1001,0),MATCH(COLUMNS($AB$1006:AP1006),$AB$1006:$AQ$1006,0)), HYPERLINK("#",""), HYPERLINK(CONCATENATE("#Metadata!", ADDRESS(INDEX($W$2:$W$1001,MATCH(ROWS($U$2:U986),$U$2:$U$1001,0),0), INDEX($AB$1004:$AQ$1004,1,MATCH(COLUMNS($AB$1006:AP1006),$AB$1006:$AQ$1006,0)))),"Fix")))</f>
        <v>0</v>
      </c>
      <c r="Q986" s="5">
        <f>IF(OR(INDEX($V$2:$V$1001,MATCH(ROWS($U$2:U986),$U$2:$U$1001,0),1)&gt;=100000,INDEX($AB$1005:$AQ$1005,1,MATCH(COLUMNS($AB$1006:AQ1006),$AB$1006:$AQ$1006,0))&gt;=100000), " ",IF(INDEX($AB$2:$AQ$1001,MATCH(ROWS($U$2:U986),$U$2:$U$1001,0),MATCH(COLUMNS($AB$1006:AQ1006),$AB$1006:$AQ$1006,0)), HYPERLINK("#",""), HYPERLINK(CONCATENATE("#Metadata!", ADDRESS(INDEX($W$2:$W$1001,MATCH(ROWS($U$2:U986),$U$2:$U$1001,0),0), INDEX($AB$1004:$AQ$1004,1,MATCH(COLUMNS($AB$1006:AQ1006),$AB$1006:$AQ$1006,0)))),"Fix")))</f>
        <v>0</v>
      </c>
      <c r="U986">
        <v>0</v>
      </c>
      <c r="V986">
        <v>0</v>
      </c>
      <c r="W986">
        <v>0</v>
      </c>
      <c r="X986">
        <f>IF(Y986,TRUE,AND(AB986:AQ986))</f>
        <v>0</v>
      </c>
      <c r="Y986">
        <f>COUNTBLANK(Metadata!B986:Q986)=COLUMNS(Metadata!B986:Q986)</f>
        <v>0</v>
      </c>
      <c r="Z986">
        <v>0</v>
      </c>
      <c r="AB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AC986">
        <f>AND(IF(Metadata!C986="",FALSE,TRUE),exact(Metadata!C986,"urban biome"))</f>
        <v>0</v>
      </c>
      <c r="AD986">
        <f>AND(IF(Metadata!D986="",FALSE,TRUE),exact(Metadata!D986,"human-associated habitat"))</f>
        <v>0</v>
      </c>
      <c r="AE986">
        <f>AND(IF(Metadata!E986="",FALSE,TRUE),OR(exact(Metadata!E986,"human-associated"),exact(Metadata!E986,"human-skin"),exact(Metadata!E986,"human-oral"),exact(Metadata!E986,"human-gut"),exact(Metadata!E986,"human-vaginal")))</f>
        <v>0</v>
      </c>
      <c r="AF986">
        <f>AND(IF(Metadata!F986="",FALSE,ISNUMBER(VALUE(Metadata!F986))),Metadata!F986&gt;0)</f>
        <v>0</v>
      </c>
      <c r="AG986">
        <f>AND(IF(Metadata!G986="",FALSE,TRUE),exact(Metadata!G986,"years"))</f>
        <v>0</v>
      </c>
      <c r="AH986">
        <f>OR(AND(IF(Metadata!H986="",FALSE,TRUE),OR(exact(Metadata!H986,"not applicable"),exact(Metadata!H986,"not collected"),exact(Metadata!H986,"not provided"),exact(Metadata!H986,"restricted access"))),AND(IF(Metadata!H986="",FALSE,ISNUMBER(VALUE(Metadata!H986))),Metadata!H986&gt;0))</f>
        <v>0</v>
      </c>
      <c r="AI986">
        <f>AND(IF(Metadata!I986="",FALSE,TRUE),exact(Metadata!I986,"human"))</f>
        <v>0</v>
      </c>
      <c r="AJ986">
        <f>AND(IF(Metadata!J986="",FALSE,ISNUMBER(VALUE(Metadata!J986))),Metadata!J986&gt;0)</f>
        <v>0</v>
      </c>
      <c r="AK986">
        <f>AND(IF(Metadata!K986="",FALSE,TRUE),exact(Metadata!K986,"cm"))</f>
        <v>0</v>
      </c>
      <c r="AL986">
        <f>AND(IF(Metadata!L986="",FALSE,TRUE),exact(Metadata!L986,"Homo sapiens"))</f>
        <v>0</v>
      </c>
      <c r="AM986">
        <f>AND(IF(Metadata!M986="",FALSE,TRUE),exact(Metadata!M986,"9606"))</f>
        <v>0</v>
      </c>
      <c r="AN986">
        <f>AND(IF(Metadata!N986="",FALSE,ISNUMBER(VALUE(Metadata!N986))),Metadata!N986&gt;0)</f>
        <v>0</v>
      </c>
      <c r="AO986">
        <f>AND(IF(Metadata!O986="",FALSE,TRUE),exact(Metadata!O986,"kg"))</f>
        <v>0</v>
      </c>
      <c r="AP986">
        <f>OR(AND(IF(Metadata!P986="",FALSE,TRUE),exact(Metadata!P986,"not provided")),IF(Metadata!P986="",FALSE,TRUE))</f>
        <v>0</v>
      </c>
      <c r="AQ986">
        <f>OR(AND(IF(Metadata!Q986="",FALSE,TRUE),exact(Metadata!Q986,"not provided")),IF(Metadata!Q986="",FALSE,TRUE))</f>
        <v>0</v>
      </c>
    </row>
    <row r="987" spans="1:43">
      <c r="A987" s="4">
        <f>IF(B987=" "," ",HYPERLINK(CONCATENATE("#metadata!",ADDRESS(INDEX($W$2:$W$1001,MATCH(ROWS($U$2:U987),$U$2:$U$1001,0),0),2)),INDEX($Z$2:$Z$1001,MATCH(ROWS($U$2:U987),$U$2:$U$1001,0),0)))</f>
        <v>0</v>
      </c>
      <c r="B987" s="5">
        <f>IF(OR(INDEX($V$2:$V$1001,MATCH(ROWS($U$2:U987),$U$2:$U$1001,0),1)&gt;=100000,INDEX($AB$1005:$AQ$1005,1,MATCH(COLUMNS($AB$1006:AB1006),$AB$1006:$AQ$1006,0))&gt;=100000), " ",IF(INDEX($AB$2:$AQ$1001,MATCH(ROWS($U$2:U987),$U$2:$U$1001,0),MATCH(COLUMNS($AB$1006:AB1006),$AB$1006:$AQ$1006,0)), HYPERLINK("#",""), HYPERLINK(CONCATENATE("#Metadata!", ADDRESS(INDEX($W$2:$W$1001,MATCH(ROWS($U$2:U987),$U$2:$U$1001,0),0), INDEX($AB$1004:$AQ$1004,1,MATCH(COLUMNS($AB$1006:AB1006),$AB$1006:$AQ$1006,0)))),"Fix")))</f>
        <v>0</v>
      </c>
      <c r="C987" s="5">
        <f>IF(OR(INDEX($V$2:$V$1001,MATCH(ROWS($U$2:U987),$U$2:$U$1001,0),1)&gt;=100000,INDEX($AB$1005:$AQ$1005,1,MATCH(COLUMNS($AB$1006:AC1006),$AB$1006:$AQ$1006,0))&gt;=100000), " ",IF(INDEX($AB$2:$AQ$1001,MATCH(ROWS($U$2:U987),$U$2:$U$1001,0),MATCH(COLUMNS($AB$1006:AC1006),$AB$1006:$AQ$1006,0)), HYPERLINK("#",""), HYPERLINK(CONCATENATE("#Metadata!", ADDRESS(INDEX($W$2:$W$1001,MATCH(ROWS($U$2:U987),$U$2:$U$1001,0),0), INDEX($AB$1004:$AQ$1004,1,MATCH(COLUMNS($AB$1006:AC1006),$AB$1006:$AQ$1006,0)))),"Fix")))</f>
        <v>0</v>
      </c>
      <c r="D987" s="5">
        <f>IF(OR(INDEX($V$2:$V$1001,MATCH(ROWS($U$2:U987),$U$2:$U$1001,0),1)&gt;=100000,INDEX($AB$1005:$AQ$1005,1,MATCH(COLUMNS($AB$1006:AD1006),$AB$1006:$AQ$1006,0))&gt;=100000), " ",IF(INDEX($AB$2:$AQ$1001,MATCH(ROWS($U$2:U987),$U$2:$U$1001,0),MATCH(COLUMNS($AB$1006:AD1006),$AB$1006:$AQ$1006,0)), HYPERLINK("#",""), HYPERLINK(CONCATENATE("#Metadata!", ADDRESS(INDEX($W$2:$W$1001,MATCH(ROWS($U$2:U987),$U$2:$U$1001,0),0), INDEX($AB$1004:$AQ$1004,1,MATCH(COLUMNS($AB$1006:AD1006),$AB$1006:$AQ$1006,0)))),"Fix")))</f>
        <v>0</v>
      </c>
      <c r="E987" s="5">
        <f>IF(OR(INDEX($V$2:$V$1001,MATCH(ROWS($U$2:U987),$U$2:$U$1001,0),1)&gt;=100000,INDEX($AB$1005:$AQ$1005,1,MATCH(COLUMNS($AB$1006:AE1006),$AB$1006:$AQ$1006,0))&gt;=100000), " ",IF(INDEX($AB$2:$AQ$1001,MATCH(ROWS($U$2:U987),$U$2:$U$1001,0),MATCH(COLUMNS($AB$1006:AE1006),$AB$1006:$AQ$1006,0)), HYPERLINK("#",""), HYPERLINK(CONCATENATE("#Metadata!", ADDRESS(INDEX($W$2:$W$1001,MATCH(ROWS($U$2:U987),$U$2:$U$1001,0),0), INDEX($AB$1004:$AQ$1004,1,MATCH(COLUMNS($AB$1006:AE1006),$AB$1006:$AQ$1006,0)))),"Fix")))</f>
        <v>0</v>
      </c>
      <c r="F987" s="5">
        <f>IF(OR(INDEX($V$2:$V$1001,MATCH(ROWS($U$2:U987),$U$2:$U$1001,0),1)&gt;=100000,INDEX($AB$1005:$AQ$1005,1,MATCH(COLUMNS($AB$1006:AF1006),$AB$1006:$AQ$1006,0))&gt;=100000), " ",IF(INDEX($AB$2:$AQ$1001,MATCH(ROWS($U$2:U987),$U$2:$U$1001,0),MATCH(COLUMNS($AB$1006:AF1006),$AB$1006:$AQ$1006,0)), HYPERLINK("#",""), HYPERLINK(CONCATENATE("#Metadata!", ADDRESS(INDEX($W$2:$W$1001,MATCH(ROWS($U$2:U987),$U$2:$U$1001,0),0), INDEX($AB$1004:$AQ$1004,1,MATCH(COLUMNS($AB$1006:AF1006),$AB$1006:$AQ$1006,0)))),"Fix")))</f>
        <v>0</v>
      </c>
      <c r="G987" s="5">
        <f>IF(OR(INDEX($V$2:$V$1001,MATCH(ROWS($U$2:U987),$U$2:$U$1001,0),1)&gt;=100000,INDEX($AB$1005:$AQ$1005,1,MATCH(COLUMNS($AB$1006:AG1006),$AB$1006:$AQ$1006,0))&gt;=100000), " ",IF(INDEX($AB$2:$AQ$1001,MATCH(ROWS($U$2:U987),$U$2:$U$1001,0),MATCH(COLUMNS($AB$1006:AG1006),$AB$1006:$AQ$1006,0)), HYPERLINK("#",""), HYPERLINK(CONCATENATE("#Metadata!", ADDRESS(INDEX($W$2:$W$1001,MATCH(ROWS($U$2:U987),$U$2:$U$1001,0),0), INDEX($AB$1004:$AQ$1004,1,MATCH(COLUMNS($AB$1006:AG1006),$AB$1006:$AQ$1006,0)))),"Fix")))</f>
        <v>0</v>
      </c>
      <c r="H987" s="5">
        <f>IF(OR(INDEX($V$2:$V$1001,MATCH(ROWS($U$2:U987),$U$2:$U$1001,0),1)&gt;=100000,INDEX($AB$1005:$AQ$1005,1,MATCH(COLUMNS($AB$1006:AH1006),$AB$1006:$AQ$1006,0))&gt;=100000), " ",IF(INDEX($AB$2:$AQ$1001,MATCH(ROWS($U$2:U987),$U$2:$U$1001,0),MATCH(COLUMNS($AB$1006:AH1006),$AB$1006:$AQ$1006,0)), HYPERLINK("#",""), HYPERLINK(CONCATENATE("#Metadata!", ADDRESS(INDEX($W$2:$W$1001,MATCH(ROWS($U$2:U987),$U$2:$U$1001,0),0), INDEX($AB$1004:$AQ$1004,1,MATCH(COLUMNS($AB$1006:AH1006),$AB$1006:$AQ$1006,0)))),"Fix")))</f>
        <v>0</v>
      </c>
      <c r="I987" s="5">
        <f>IF(OR(INDEX($V$2:$V$1001,MATCH(ROWS($U$2:U987),$U$2:$U$1001,0),1)&gt;=100000,INDEX($AB$1005:$AQ$1005,1,MATCH(COLUMNS($AB$1006:AI1006),$AB$1006:$AQ$1006,0))&gt;=100000), " ",IF(INDEX($AB$2:$AQ$1001,MATCH(ROWS($U$2:U987),$U$2:$U$1001,0),MATCH(COLUMNS($AB$1006:AI1006),$AB$1006:$AQ$1006,0)), HYPERLINK("#",""), HYPERLINK(CONCATENATE("#Metadata!", ADDRESS(INDEX($W$2:$W$1001,MATCH(ROWS($U$2:U987),$U$2:$U$1001,0),0), INDEX($AB$1004:$AQ$1004,1,MATCH(COLUMNS($AB$1006:AI1006),$AB$1006:$AQ$1006,0)))),"Fix")))</f>
        <v>0</v>
      </c>
      <c r="J987" s="5">
        <f>IF(OR(INDEX($V$2:$V$1001,MATCH(ROWS($U$2:U987),$U$2:$U$1001,0),1)&gt;=100000,INDEX($AB$1005:$AQ$1005,1,MATCH(COLUMNS($AB$1006:AJ1006),$AB$1006:$AQ$1006,0))&gt;=100000), " ",IF(INDEX($AB$2:$AQ$1001,MATCH(ROWS($U$2:U987),$U$2:$U$1001,0),MATCH(COLUMNS($AB$1006:AJ1006),$AB$1006:$AQ$1006,0)), HYPERLINK("#",""), HYPERLINK(CONCATENATE("#Metadata!", ADDRESS(INDEX($W$2:$W$1001,MATCH(ROWS($U$2:U987),$U$2:$U$1001,0),0), INDEX($AB$1004:$AQ$1004,1,MATCH(COLUMNS($AB$1006:AJ1006),$AB$1006:$AQ$1006,0)))),"Fix")))</f>
        <v>0</v>
      </c>
      <c r="K987" s="5">
        <f>IF(OR(INDEX($V$2:$V$1001,MATCH(ROWS($U$2:U987),$U$2:$U$1001,0),1)&gt;=100000,INDEX($AB$1005:$AQ$1005,1,MATCH(COLUMNS($AB$1006:AK1006),$AB$1006:$AQ$1006,0))&gt;=100000), " ",IF(INDEX($AB$2:$AQ$1001,MATCH(ROWS($U$2:U987),$U$2:$U$1001,0),MATCH(COLUMNS($AB$1006:AK1006),$AB$1006:$AQ$1006,0)), HYPERLINK("#",""), HYPERLINK(CONCATENATE("#Metadata!", ADDRESS(INDEX($W$2:$W$1001,MATCH(ROWS($U$2:U987),$U$2:$U$1001,0),0), INDEX($AB$1004:$AQ$1004,1,MATCH(COLUMNS($AB$1006:AK1006),$AB$1006:$AQ$1006,0)))),"Fix")))</f>
        <v>0</v>
      </c>
      <c r="L987" s="5">
        <f>IF(OR(INDEX($V$2:$V$1001,MATCH(ROWS($U$2:U987),$U$2:$U$1001,0),1)&gt;=100000,INDEX($AB$1005:$AQ$1005,1,MATCH(COLUMNS($AB$1006:AL1006),$AB$1006:$AQ$1006,0))&gt;=100000), " ",IF(INDEX($AB$2:$AQ$1001,MATCH(ROWS($U$2:U987),$U$2:$U$1001,0),MATCH(COLUMNS($AB$1006:AL1006),$AB$1006:$AQ$1006,0)), HYPERLINK("#",""), HYPERLINK(CONCATENATE("#Metadata!", ADDRESS(INDEX($W$2:$W$1001,MATCH(ROWS($U$2:U987),$U$2:$U$1001,0),0), INDEX($AB$1004:$AQ$1004,1,MATCH(COLUMNS($AB$1006:AL1006),$AB$1006:$AQ$1006,0)))),"Fix")))</f>
        <v>0</v>
      </c>
      <c r="M987" s="5">
        <f>IF(OR(INDEX($V$2:$V$1001,MATCH(ROWS($U$2:U987),$U$2:$U$1001,0),1)&gt;=100000,INDEX($AB$1005:$AQ$1005,1,MATCH(COLUMNS($AB$1006:AM1006),$AB$1006:$AQ$1006,0))&gt;=100000), " ",IF(INDEX($AB$2:$AQ$1001,MATCH(ROWS($U$2:U987),$U$2:$U$1001,0),MATCH(COLUMNS($AB$1006:AM1006),$AB$1006:$AQ$1006,0)), HYPERLINK("#",""), HYPERLINK(CONCATENATE("#Metadata!", ADDRESS(INDEX($W$2:$W$1001,MATCH(ROWS($U$2:U987),$U$2:$U$1001,0),0), INDEX($AB$1004:$AQ$1004,1,MATCH(COLUMNS($AB$1006:AM1006),$AB$1006:$AQ$1006,0)))),"Fix")))</f>
        <v>0</v>
      </c>
      <c r="N987" s="5">
        <f>IF(OR(INDEX($V$2:$V$1001,MATCH(ROWS($U$2:U987),$U$2:$U$1001,0),1)&gt;=100000,INDEX($AB$1005:$AQ$1005,1,MATCH(COLUMNS($AB$1006:AN1006),$AB$1006:$AQ$1006,0))&gt;=100000), " ",IF(INDEX($AB$2:$AQ$1001,MATCH(ROWS($U$2:U987),$U$2:$U$1001,0),MATCH(COLUMNS($AB$1006:AN1006),$AB$1006:$AQ$1006,0)), HYPERLINK("#",""), HYPERLINK(CONCATENATE("#Metadata!", ADDRESS(INDEX($W$2:$W$1001,MATCH(ROWS($U$2:U987),$U$2:$U$1001,0),0), INDEX($AB$1004:$AQ$1004,1,MATCH(COLUMNS($AB$1006:AN1006),$AB$1006:$AQ$1006,0)))),"Fix")))</f>
        <v>0</v>
      </c>
      <c r="O987" s="5">
        <f>IF(OR(INDEX($V$2:$V$1001,MATCH(ROWS($U$2:U987),$U$2:$U$1001,0),1)&gt;=100000,INDEX($AB$1005:$AQ$1005,1,MATCH(COLUMNS($AB$1006:AO1006),$AB$1006:$AQ$1006,0))&gt;=100000), " ",IF(INDEX($AB$2:$AQ$1001,MATCH(ROWS($U$2:U987),$U$2:$U$1001,0),MATCH(COLUMNS($AB$1006:AO1006),$AB$1006:$AQ$1006,0)), HYPERLINK("#",""), HYPERLINK(CONCATENATE("#Metadata!", ADDRESS(INDEX($W$2:$W$1001,MATCH(ROWS($U$2:U987),$U$2:$U$1001,0),0), INDEX($AB$1004:$AQ$1004,1,MATCH(COLUMNS($AB$1006:AO1006),$AB$1006:$AQ$1006,0)))),"Fix")))</f>
        <v>0</v>
      </c>
      <c r="P987" s="5">
        <f>IF(OR(INDEX($V$2:$V$1001,MATCH(ROWS($U$2:U987),$U$2:$U$1001,0),1)&gt;=100000,INDEX($AB$1005:$AQ$1005,1,MATCH(COLUMNS($AB$1006:AP1006),$AB$1006:$AQ$1006,0))&gt;=100000), " ",IF(INDEX($AB$2:$AQ$1001,MATCH(ROWS($U$2:U987),$U$2:$U$1001,0),MATCH(COLUMNS($AB$1006:AP1006),$AB$1006:$AQ$1006,0)), HYPERLINK("#",""), HYPERLINK(CONCATENATE("#Metadata!", ADDRESS(INDEX($W$2:$W$1001,MATCH(ROWS($U$2:U987),$U$2:$U$1001,0),0), INDEX($AB$1004:$AQ$1004,1,MATCH(COLUMNS($AB$1006:AP1006),$AB$1006:$AQ$1006,0)))),"Fix")))</f>
        <v>0</v>
      </c>
      <c r="Q987" s="5">
        <f>IF(OR(INDEX($V$2:$V$1001,MATCH(ROWS($U$2:U987),$U$2:$U$1001,0),1)&gt;=100000,INDEX($AB$1005:$AQ$1005,1,MATCH(COLUMNS($AB$1006:AQ1006),$AB$1006:$AQ$1006,0))&gt;=100000), " ",IF(INDEX($AB$2:$AQ$1001,MATCH(ROWS($U$2:U987),$U$2:$U$1001,0),MATCH(COLUMNS($AB$1006:AQ1006),$AB$1006:$AQ$1006,0)), HYPERLINK("#",""), HYPERLINK(CONCATENATE("#Metadata!", ADDRESS(INDEX($W$2:$W$1001,MATCH(ROWS($U$2:U987),$U$2:$U$1001,0),0), INDEX($AB$1004:$AQ$1004,1,MATCH(COLUMNS($AB$1006:AQ1006),$AB$1006:$AQ$1006,0)))),"Fix")))</f>
        <v>0</v>
      </c>
      <c r="U987">
        <v>0</v>
      </c>
      <c r="V987">
        <v>0</v>
      </c>
      <c r="W987">
        <v>0</v>
      </c>
      <c r="X987">
        <f>IF(Y987,TRUE,AND(AB987:AQ987))</f>
        <v>0</v>
      </c>
      <c r="Y987">
        <f>COUNTBLANK(Metadata!B987:Q987)=COLUMNS(Metadata!B987:Q987)</f>
        <v>0</v>
      </c>
      <c r="Z987">
        <v>0</v>
      </c>
      <c r="AB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AC987">
        <f>AND(IF(Metadata!C987="",FALSE,TRUE),exact(Metadata!C987,"urban biome"))</f>
        <v>0</v>
      </c>
      <c r="AD987">
        <f>AND(IF(Metadata!D987="",FALSE,TRUE),exact(Metadata!D987,"human-associated habitat"))</f>
        <v>0</v>
      </c>
      <c r="AE987">
        <f>AND(IF(Metadata!E987="",FALSE,TRUE),OR(exact(Metadata!E987,"human-associated"),exact(Metadata!E987,"human-skin"),exact(Metadata!E987,"human-oral"),exact(Metadata!E987,"human-gut"),exact(Metadata!E987,"human-vaginal")))</f>
        <v>0</v>
      </c>
      <c r="AF987">
        <f>AND(IF(Metadata!F987="",FALSE,ISNUMBER(VALUE(Metadata!F987))),Metadata!F987&gt;0)</f>
        <v>0</v>
      </c>
      <c r="AG987">
        <f>AND(IF(Metadata!G987="",FALSE,TRUE),exact(Metadata!G987,"years"))</f>
        <v>0</v>
      </c>
      <c r="AH987">
        <f>OR(AND(IF(Metadata!H987="",FALSE,TRUE),OR(exact(Metadata!H987,"not applicable"),exact(Metadata!H987,"not collected"),exact(Metadata!H987,"not provided"),exact(Metadata!H987,"restricted access"))),AND(IF(Metadata!H987="",FALSE,ISNUMBER(VALUE(Metadata!H987))),Metadata!H987&gt;0))</f>
        <v>0</v>
      </c>
      <c r="AI987">
        <f>AND(IF(Metadata!I987="",FALSE,TRUE),exact(Metadata!I987,"human"))</f>
        <v>0</v>
      </c>
      <c r="AJ987">
        <f>AND(IF(Metadata!J987="",FALSE,ISNUMBER(VALUE(Metadata!J987))),Metadata!J987&gt;0)</f>
        <v>0</v>
      </c>
      <c r="AK987">
        <f>AND(IF(Metadata!K987="",FALSE,TRUE),exact(Metadata!K987,"cm"))</f>
        <v>0</v>
      </c>
      <c r="AL987">
        <f>AND(IF(Metadata!L987="",FALSE,TRUE),exact(Metadata!L987,"Homo sapiens"))</f>
        <v>0</v>
      </c>
      <c r="AM987">
        <f>AND(IF(Metadata!M987="",FALSE,TRUE),exact(Metadata!M987,"9606"))</f>
        <v>0</v>
      </c>
      <c r="AN987">
        <f>AND(IF(Metadata!N987="",FALSE,ISNUMBER(VALUE(Metadata!N987))),Metadata!N987&gt;0)</f>
        <v>0</v>
      </c>
      <c r="AO987">
        <f>AND(IF(Metadata!O987="",FALSE,TRUE),exact(Metadata!O987,"kg"))</f>
        <v>0</v>
      </c>
      <c r="AP987">
        <f>OR(AND(IF(Metadata!P987="",FALSE,TRUE),exact(Metadata!P987,"not provided")),IF(Metadata!P987="",FALSE,TRUE))</f>
        <v>0</v>
      </c>
      <c r="AQ987">
        <f>OR(AND(IF(Metadata!Q987="",FALSE,TRUE),exact(Metadata!Q987,"not provided")),IF(Metadata!Q987="",FALSE,TRUE))</f>
        <v>0</v>
      </c>
    </row>
    <row r="988" spans="1:43">
      <c r="A988" s="4">
        <f>IF(B988=" "," ",HYPERLINK(CONCATENATE("#metadata!",ADDRESS(INDEX($W$2:$W$1001,MATCH(ROWS($U$2:U988),$U$2:$U$1001,0),0),2)),INDEX($Z$2:$Z$1001,MATCH(ROWS($U$2:U988),$U$2:$U$1001,0),0)))</f>
        <v>0</v>
      </c>
      <c r="B988" s="5">
        <f>IF(OR(INDEX($V$2:$V$1001,MATCH(ROWS($U$2:U988),$U$2:$U$1001,0),1)&gt;=100000,INDEX($AB$1005:$AQ$1005,1,MATCH(COLUMNS($AB$1006:AB1006),$AB$1006:$AQ$1006,0))&gt;=100000), " ",IF(INDEX($AB$2:$AQ$1001,MATCH(ROWS($U$2:U988),$U$2:$U$1001,0),MATCH(COLUMNS($AB$1006:AB1006),$AB$1006:$AQ$1006,0)), HYPERLINK("#",""), HYPERLINK(CONCATENATE("#Metadata!", ADDRESS(INDEX($W$2:$W$1001,MATCH(ROWS($U$2:U988),$U$2:$U$1001,0),0), INDEX($AB$1004:$AQ$1004,1,MATCH(COLUMNS($AB$1006:AB1006),$AB$1006:$AQ$1006,0)))),"Fix")))</f>
        <v>0</v>
      </c>
      <c r="C988" s="5">
        <f>IF(OR(INDEX($V$2:$V$1001,MATCH(ROWS($U$2:U988),$U$2:$U$1001,0),1)&gt;=100000,INDEX($AB$1005:$AQ$1005,1,MATCH(COLUMNS($AB$1006:AC1006),$AB$1006:$AQ$1006,0))&gt;=100000), " ",IF(INDEX($AB$2:$AQ$1001,MATCH(ROWS($U$2:U988),$U$2:$U$1001,0),MATCH(COLUMNS($AB$1006:AC1006),$AB$1006:$AQ$1006,0)), HYPERLINK("#",""), HYPERLINK(CONCATENATE("#Metadata!", ADDRESS(INDEX($W$2:$W$1001,MATCH(ROWS($U$2:U988),$U$2:$U$1001,0),0), INDEX($AB$1004:$AQ$1004,1,MATCH(COLUMNS($AB$1006:AC1006),$AB$1006:$AQ$1006,0)))),"Fix")))</f>
        <v>0</v>
      </c>
      <c r="D988" s="5">
        <f>IF(OR(INDEX($V$2:$V$1001,MATCH(ROWS($U$2:U988),$U$2:$U$1001,0),1)&gt;=100000,INDEX($AB$1005:$AQ$1005,1,MATCH(COLUMNS($AB$1006:AD1006),$AB$1006:$AQ$1006,0))&gt;=100000), " ",IF(INDEX($AB$2:$AQ$1001,MATCH(ROWS($U$2:U988),$U$2:$U$1001,0),MATCH(COLUMNS($AB$1006:AD1006),$AB$1006:$AQ$1006,0)), HYPERLINK("#",""), HYPERLINK(CONCATENATE("#Metadata!", ADDRESS(INDEX($W$2:$W$1001,MATCH(ROWS($U$2:U988),$U$2:$U$1001,0),0), INDEX($AB$1004:$AQ$1004,1,MATCH(COLUMNS($AB$1006:AD1006),$AB$1006:$AQ$1006,0)))),"Fix")))</f>
        <v>0</v>
      </c>
      <c r="E988" s="5">
        <f>IF(OR(INDEX($V$2:$V$1001,MATCH(ROWS($U$2:U988),$U$2:$U$1001,0),1)&gt;=100000,INDEX($AB$1005:$AQ$1005,1,MATCH(COLUMNS($AB$1006:AE1006),$AB$1006:$AQ$1006,0))&gt;=100000), " ",IF(INDEX($AB$2:$AQ$1001,MATCH(ROWS($U$2:U988),$U$2:$U$1001,0),MATCH(COLUMNS($AB$1006:AE1006),$AB$1006:$AQ$1006,0)), HYPERLINK("#",""), HYPERLINK(CONCATENATE("#Metadata!", ADDRESS(INDEX($W$2:$W$1001,MATCH(ROWS($U$2:U988),$U$2:$U$1001,0),0), INDEX($AB$1004:$AQ$1004,1,MATCH(COLUMNS($AB$1006:AE1006),$AB$1006:$AQ$1006,0)))),"Fix")))</f>
        <v>0</v>
      </c>
      <c r="F988" s="5">
        <f>IF(OR(INDEX($V$2:$V$1001,MATCH(ROWS($U$2:U988),$U$2:$U$1001,0),1)&gt;=100000,INDEX($AB$1005:$AQ$1005,1,MATCH(COLUMNS($AB$1006:AF1006),$AB$1006:$AQ$1006,0))&gt;=100000), " ",IF(INDEX($AB$2:$AQ$1001,MATCH(ROWS($U$2:U988),$U$2:$U$1001,0),MATCH(COLUMNS($AB$1006:AF1006),$AB$1006:$AQ$1006,0)), HYPERLINK("#",""), HYPERLINK(CONCATENATE("#Metadata!", ADDRESS(INDEX($W$2:$W$1001,MATCH(ROWS($U$2:U988),$U$2:$U$1001,0),0), INDEX($AB$1004:$AQ$1004,1,MATCH(COLUMNS($AB$1006:AF1006),$AB$1006:$AQ$1006,0)))),"Fix")))</f>
        <v>0</v>
      </c>
      <c r="G988" s="5">
        <f>IF(OR(INDEX($V$2:$V$1001,MATCH(ROWS($U$2:U988),$U$2:$U$1001,0),1)&gt;=100000,INDEX($AB$1005:$AQ$1005,1,MATCH(COLUMNS($AB$1006:AG1006),$AB$1006:$AQ$1006,0))&gt;=100000), " ",IF(INDEX($AB$2:$AQ$1001,MATCH(ROWS($U$2:U988),$U$2:$U$1001,0),MATCH(COLUMNS($AB$1006:AG1006),$AB$1006:$AQ$1006,0)), HYPERLINK("#",""), HYPERLINK(CONCATENATE("#Metadata!", ADDRESS(INDEX($W$2:$W$1001,MATCH(ROWS($U$2:U988),$U$2:$U$1001,0),0), INDEX($AB$1004:$AQ$1004,1,MATCH(COLUMNS($AB$1006:AG1006),$AB$1006:$AQ$1006,0)))),"Fix")))</f>
        <v>0</v>
      </c>
      <c r="H988" s="5">
        <f>IF(OR(INDEX($V$2:$V$1001,MATCH(ROWS($U$2:U988),$U$2:$U$1001,0),1)&gt;=100000,INDEX($AB$1005:$AQ$1005,1,MATCH(COLUMNS($AB$1006:AH1006),$AB$1006:$AQ$1006,0))&gt;=100000), " ",IF(INDEX($AB$2:$AQ$1001,MATCH(ROWS($U$2:U988),$U$2:$U$1001,0),MATCH(COLUMNS($AB$1006:AH1006),$AB$1006:$AQ$1006,0)), HYPERLINK("#",""), HYPERLINK(CONCATENATE("#Metadata!", ADDRESS(INDEX($W$2:$W$1001,MATCH(ROWS($U$2:U988),$U$2:$U$1001,0),0), INDEX($AB$1004:$AQ$1004,1,MATCH(COLUMNS($AB$1006:AH1006),$AB$1006:$AQ$1006,0)))),"Fix")))</f>
        <v>0</v>
      </c>
      <c r="I988" s="5">
        <f>IF(OR(INDEX($V$2:$V$1001,MATCH(ROWS($U$2:U988),$U$2:$U$1001,0),1)&gt;=100000,INDEX($AB$1005:$AQ$1005,1,MATCH(COLUMNS($AB$1006:AI1006),$AB$1006:$AQ$1006,0))&gt;=100000), " ",IF(INDEX($AB$2:$AQ$1001,MATCH(ROWS($U$2:U988),$U$2:$U$1001,0),MATCH(COLUMNS($AB$1006:AI1006),$AB$1006:$AQ$1006,0)), HYPERLINK("#",""), HYPERLINK(CONCATENATE("#Metadata!", ADDRESS(INDEX($W$2:$W$1001,MATCH(ROWS($U$2:U988),$U$2:$U$1001,0),0), INDEX($AB$1004:$AQ$1004,1,MATCH(COLUMNS($AB$1006:AI1006),$AB$1006:$AQ$1006,0)))),"Fix")))</f>
        <v>0</v>
      </c>
      <c r="J988" s="5">
        <f>IF(OR(INDEX($V$2:$V$1001,MATCH(ROWS($U$2:U988),$U$2:$U$1001,0),1)&gt;=100000,INDEX($AB$1005:$AQ$1005,1,MATCH(COLUMNS($AB$1006:AJ1006),$AB$1006:$AQ$1006,0))&gt;=100000), " ",IF(INDEX($AB$2:$AQ$1001,MATCH(ROWS($U$2:U988),$U$2:$U$1001,0),MATCH(COLUMNS($AB$1006:AJ1006),$AB$1006:$AQ$1006,0)), HYPERLINK("#",""), HYPERLINK(CONCATENATE("#Metadata!", ADDRESS(INDEX($W$2:$W$1001,MATCH(ROWS($U$2:U988),$U$2:$U$1001,0),0), INDEX($AB$1004:$AQ$1004,1,MATCH(COLUMNS($AB$1006:AJ1006),$AB$1006:$AQ$1006,0)))),"Fix")))</f>
        <v>0</v>
      </c>
      <c r="K988" s="5">
        <f>IF(OR(INDEX($V$2:$V$1001,MATCH(ROWS($U$2:U988),$U$2:$U$1001,0),1)&gt;=100000,INDEX($AB$1005:$AQ$1005,1,MATCH(COLUMNS($AB$1006:AK1006),$AB$1006:$AQ$1006,0))&gt;=100000), " ",IF(INDEX($AB$2:$AQ$1001,MATCH(ROWS($U$2:U988),$U$2:$U$1001,0),MATCH(COLUMNS($AB$1006:AK1006),$AB$1006:$AQ$1006,0)), HYPERLINK("#",""), HYPERLINK(CONCATENATE("#Metadata!", ADDRESS(INDEX($W$2:$W$1001,MATCH(ROWS($U$2:U988),$U$2:$U$1001,0),0), INDEX($AB$1004:$AQ$1004,1,MATCH(COLUMNS($AB$1006:AK1006),$AB$1006:$AQ$1006,0)))),"Fix")))</f>
        <v>0</v>
      </c>
      <c r="L988" s="5">
        <f>IF(OR(INDEX($V$2:$V$1001,MATCH(ROWS($U$2:U988),$U$2:$U$1001,0),1)&gt;=100000,INDEX($AB$1005:$AQ$1005,1,MATCH(COLUMNS($AB$1006:AL1006),$AB$1006:$AQ$1006,0))&gt;=100000), " ",IF(INDEX($AB$2:$AQ$1001,MATCH(ROWS($U$2:U988),$U$2:$U$1001,0),MATCH(COLUMNS($AB$1006:AL1006),$AB$1006:$AQ$1006,0)), HYPERLINK("#",""), HYPERLINK(CONCATENATE("#Metadata!", ADDRESS(INDEX($W$2:$W$1001,MATCH(ROWS($U$2:U988),$U$2:$U$1001,0),0), INDEX($AB$1004:$AQ$1004,1,MATCH(COLUMNS($AB$1006:AL1006),$AB$1006:$AQ$1006,0)))),"Fix")))</f>
        <v>0</v>
      </c>
      <c r="M988" s="5">
        <f>IF(OR(INDEX($V$2:$V$1001,MATCH(ROWS($U$2:U988),$U$2:$U$1001,0),1)&gt;=100000,INDEX($AB$1005:$AQ$1005,1,MATCH(COLUMNS($AB$1006:AM1006),$AB$1006:$AQ$1006,0))&gt;=100000), " ",IF(INDEX($AB$2:$AQ$1001,MATCH(ROWS($U$2:U988),$U$2:$U$1001,0),MATCH(COLUMNS($AB$1006:AM1006),$AB$1006:$AQ$1006,0)), HYPERLINK("#",""), HYPERLINK(CONCATENATE("#Metadata!", ADDRESS(INDEX($W$2:$W$1001,MATCH(ROWS($U$2:U988),$U$2:$U$1001,0),0), INDEX($AB$1004:$AQ$1004,1,MATCH(COLUMNS($AB$1006:AM1006),$AB$1006:$AQ$1006,0)))),"Fix")))</f>
        <v>0</v>
      </c>
      <c r="N988" s="5">
        <f>IF(OR(INDEX($V$2:$V$1001,MATCH(ROWS($U$2:U988),$U$2:$U$1001,0),1)&gt;=100000,INDEX($AB$1005:$AQ$1005,1,MATCH(COLUMNS($AB$1006:AN1006),$AB$1006:$AQ$1006,0))&gt;=100000), " ",IF(INDEX($AB$2:$AQ$1001,MATCH(ROWS($U$2:U988),$U$2:$U$1001,0),MATCH(COLUMNS($AB$1006:AN1006),$AB$1006:$AQ$1006,0)), HYPERLINK("#",""), HYPERLINK(CONCATENATE("#Metadata!", ADDRESS(INDEX($W$2:$W$1001,MATCH(ROWS($U$2:U988),$U$2:$U$1001,0),0), INDEX($AB$1004:$AQ$1004,1,MATCH(COLUMNS($AB$1006:AN1006),$AB$1006:$AQ$1006,0)))),"Fix")))</f>
        <v>0</v>
      </c>
      <c r="O988" s="5">
        <f>IF(OR(INDEX($V$2:$V$1001,MATCH(ROWS($U$2:U988),$U$2:$U$1001,0),1)&gt;=100000,INDEX($AB$1005:$AQ$1005,1,MATCH(COLUMNS($AB$1006:AO1006),$AB$1006:$AQ$1006,0))&gt;=100000), " ",IF(INDEX($AB$2:$AQ$1001,MATCH(ROWS($U$2:U988),$U$2:$U$1001,0),MATCH(COLUMNS($AB$1006:AO1006),$AB$1006:$AQ$1006,0)), HYPERLINK("#",""), HYPERLINK(CONCATENATE("#Metadata!", ADDRESS(INDEX($W$2:$W$1001,MATCH(ROWS($U$2:U988),$U$2:$U$1001,0),0), INDEX($AB$1004:$AQ$1004,1,MATCH(COLUMNS($AB$1006:AO1006),$AB$1006:$AQ$1006,0)))),"Fix")))</f>
        <v>0</v>
      </c>
      <c r="P988" s="5">
        <f>IF(OR(INDEX($V$2:$V$1001,MATCH(ROWS($U$2:U988),$U$2:$U$1001,0),1)&gt;=100000,INDEX($AB$1005:$AQ$1005,1,MATCH(COLUMNS($AB$1006:AP1006),$AB$1006:$AQ$1006,0))&gt;=100000), " ",IF(INDEX($AB$2:$AQ$1001,MATCH(ROWS($U$2:U988),$U$2:$U$1001,0),MATCH(COLUMNS($AB$1006:AP1006),$AB$1006:$AQ$1006,0)), HYPERLINK("#",""), HYPERLINK(CONCATENATE("#Metadata!", ADDRESS(INDEX($W$2:$W$1001,MATCH(ROWS($U$2:U988),$U$2:$U$1001,0),0), INDEX($AB$1004:$AQ$1004,1,MATCH(COLUMNS($AB$1006:AP1006),$AB$1006:$AQ$1006,0)))),"Fix")))</f>
        <v>0</v>
      </c>
      <c r="Q988" s="5">
        <f>IF(OR(INDEX($V$2:$V$1001,MATCH(ROWS($U$2:U988),$U$2:$U$1001,0),1)&gt;=100000,INDEX($AB$1005:$AQ$1005,1,MATCH(COLUMNS($AB$1006:AQ1006),$AB$1006:$AQ$1006,0))&gt;=100000), " ",IF(INDEX($AB$2:$AQ$1001,MATCH(ROWS($U$2:U988),$U$2:$U$1001,0),MATCH(COLUMNS($AB$1006:AQ1006),$AB$1006:$AQ$1006,0)), HYPERLINK("#",""), HYPERLINK(CONCATENATE("#Metadata!", ADDRESS(INDEX($W$2:$W$1001,MATCH(ROWS($U$2:U988),$U$2:$U$1001,0),0), INDEX($AB$1004:$AQ$1004,1,MATCH(COLUMNS($AB$1006:AQ1006),$AB$1006:$AQ$1006,0)))),"Fix")))</f>
        <v>0</v>
      </c>
      <c r="U988">
        <v>0</v>
      </c>
      <c r="V988">
        <v>0</v>
      </c>
      <c r="W988">
        <v>0</v>
      </c>
      <c r="X988">
        <f>IF(Y988,TRUE,AND(AB988:AQ988))</f>
        <v>0</v>
      </c>
      <c r="Y988">
        <f>COUNTBLANK(Metadata!B988:Q988)=COLUMNS(Metadata!B988:Q988)</f>
        <v>0</v>
      </c>
      <c r="Z988">
        <v>0</v>
      </c>
      <c r="AB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AC988">
        <f>AND(IF(Metadata!C988="",FALSE,TRUE),exact(Metadata!C988,"urban biome"))</f>
        <v>0</v>
      </c>
      <c r="AD988">
        <f>AND(IF(Metadata!D988="",FALSE,TRUE),exact(Metadata!D988,"human-associated habitat"))</f>
        <v>0</v>
      </c>
      <c r="AE988">
        <f>AND(IF(Metadata!E988="",FALSE,TRUE),OR(exact(Metadata!E988,"human-associated"),exact(Metadata!E988,"human-skin"),exact(Metadata!E988,"human-oral"),exact(Metadata!E988,"human-gut"),exact(Metadata!E988,"human-vaginal")))</f>
        <v>0</v>
      </c>
      <c r="AF988">
        <f>AND(IF(Metadata!F988="",FALSE,ISNUMBER(VALUE(Metadata!F988))),Metadata!F988&gt;0)</f>
        <v>0</v>
      </c>
      <c r="AG988">
        <f>AND(IF(Metadata!G988="",FALSE,TRUE),exact(Metadata!G988,"years"))</f>
        <v>0</v>
      </c>
      <c r="AH988">
        <f>OR(AND(IF(Metadata!H988="",FALSE,TRUE),OR(exact(Metadata!H988,"not applicable"),exact(Metadata!H988,"not collected"),exact(Metadata!H988,"not provided"),exact(Metadata!H988,"restricted access"))),AND(IF(Metadata!H988="",FALSE,ISNUMBER(VALUE(Metadata!H988))),Metadata!H988&gt;0))</f>
        <v>0</v>
      </c>
      <c r="AI988">
        <f>AND(IF(Metadata!I988="",FALSE,TRUE),exact(Metadata!I988,"human"))</f>
        <v>0</v>
      </c>
      <c r="AJ988">
        <f>AND(IF(Metadata!J988="",FALSE,ISNUMBER(VALUE(Metadata!J988))),Metadata!J988&gt;0)</f>
        <v>0</v>
      </c>
      <c r="AK988">
        <f>AND(IF(Metadata!K988="",FALSE,TRUE),exact(Metadata!K988,"cm"))</f>
        <v>0</v>
      </c>
      <c r="AL988">
        <f>AND(IF(Metadata!L988="",FALSE,TRUE),exact(Metadata!L988,"Homo sapiens"))</f>
        <v>0</v>
      </c>
      <c r="AM988">
        <f>AND(IF(Metadata!M988="",FALSE,TRUE),exact(Metadata!M988,"9606"))</f>
        <v>0</v>
      </c>
      <c r="AN988">
        <f>AND(IF(Metadata!N988="",FALSE,ISNUMBER(VALUE(Metadata!N988))),Metadata!N988&gt;0)</f>
        <v>0</v>
      </c>
      <c r="AO988">
        <f>AND(IF(Metadata!O988="",FALSE,TRUE),exact(Metadata!O988,"kg"))</f>
        <v>0</v>
      </c>
      <c r="AP988">
        <f>OR(AND(IF(Metadata!P988="",FALSE,TRUE),exact(Metadata!P988,"not provided")),IF(Metadata!P988="",FALSE,TRUE))</f>
        <v>0</v>
      </c>
      <c r="AQ988">
        <f>OR(AND(IF(Metadata!Q988="",FALSE,TRUE),exact(Metadata!Q988,"not provided")),IF(Metadata!Q988="",FALSE,TRUE))</f>
        <v>0</v>
      </c>
    </row>
    <row r="989" spans="1:43">
      <c r="A989" s="4">
        <f>IF(B989=" "," ",HYPERLINK(CONCATENATE("#metadata!",ADDRESS(INDEX($W$2:$W$1001,MATCH(ROWS($U$2:U989),$U$2:$U$1001,0),0),2)),INDEX($Z$2:$Z$1001,MATCH(ROWS($U$2:U989),$U$2:$U$1001,0),0)))</f>
        <v>0</v>
      </c>
      <c r="B989" s="5">
        <f>IF(OR(INDEX($V$2:$V$1001,MATCH(ROWS($U$2:U989),$U$2:$U$1001,0),1)&gt;=100000,INDEX($AB$1005:$AQ$1005,1,MATCH(COLUMNS($AB$1006:AB1006),$AB$1006:$AQ$1006,0))&gt;=100000), " ",IF(INDEX($AB$2:$AQ$1001,MATCH(ROWS($U$2:U989),$U$2:$U$1001,0),MATCH(COLUMNS($AB$1006:AB1006),$AB$1006:$AQ$1006,0)), HYPERLINK("#",""), HYPERLINK(CONCATENATE("#Metadata!", ADDRESS(INDEX($W$2:$W$1001,MATCH(ROWS($U$2:U989),$U$2:$U$1001,0),0), INDEX($AB$1004:$AQ$1004,1,MATCH(COLUMNS($AB$1006:AB1006),$AB$1006:$AQ$1006,0)))),"Fix")))</f>
        <v>0</v>
      </c>
      <c r="C989" s="5">
        <f>IF(OR(INDEX($V$2:$V$1001,MATCH(ROWS($U$2:U989),$U$2:$U$1001,0),1)&gt;=100000,INDEX($AB$1005:$AQ$1005,1,MATCH(COLUMNS($AB$1006:AC1006),$AB$1006:$AQ$1006,0))&gt;=100000), " ",IF(INDEX($AB$2:$AQ$1001,MATCH(ROWS($U$2:U989),$U$2:$U$1001,0),MATCH(COLUMNS($AB$1006:AC1006),$AB$1006:$AQ$1006,0)), HYPERLINK("#",""), HYPERLINK(CONCATENATE("#Metadata!", ADDRESS(INDEX($W$2:$W$1001,MATCH(ROWS($U$2:U989),$U$2:$U$1001,0),0), INDEX($AB$1004:$AQ$1004,1,MATCH(COLUMNS($AB$1006:AC1006),$AB$1006:$AQ$1006,0)))),"Fix")))</f>
        <v>0</v>
      </c>
      <c r="D989" s="5">
        <f>IF(OR(INDEX($V$2:$V$1001,MATCH(ROWS($U$2:U989),$U$2:$U$1001,0),1)&gt;=100000,INDEX($AB$1005:$AQ$1005,1,MATCH(COLUMNS($AB$1006:AD1006),$AB$1006:$AQ$1006,0))&gt;=100000), " ",IF(INDEX($AB$2:$AQ$1001,MATCH(ROWS($U$2:U989),$U$2:$U$1001,0),MATCH(COLUMNS($AB$1006:AD1006),$AB$1006:$AQ$1006,0)), HYPERLINK("#",""), HYPERLINK(CONCATENATE("#Metadata!", ADDRESS(INDEX($W$2:$W$1001,MATCH(ROWS($U$2:U989),$U$2:$U$1001,0),0), INDEX($AB$1004:$AQ$1004,1,MATCH(COLUMNS($AB$1006:AD1006),$AB$1006:$AQ$1006,0)))),"Fix")))</f>
        <v>0</v>
      </c>
      <c r="E989" s="5">
        <f>IF(OR(INDEX($V$2:$V$1001,MATCH(ROWS($U$2:U989),$U$2:$U$1001,0),1)&gt;=100000,INDEX($AB$1005:$AQ$1005,1,MATCH(COLUMNS($AB$1006:AE1006),$AB$1006:$AQ$1006,0))&gt;=100000), " ",IF(INDEX($AB$2:$AQ$1001,MATCH(ROWS($U$2:U989),$U$2:$U$1001,0),MATCH(COLUMNS($AB$1006:AE1006),$AB$1006:$AQ$1006,0)), HYPERLINK("#",""), HYPERLINK(CONCATENATE("#Metadata!", ADDRESS(INDEX($W$2:$W$1001,MATCH(ROWS($U$2:U989),$U$2:$U$1001,0),0), INDEX($AB$1004:$AQ$1004,1,MATCH(COLUMNS($AB$1006:AE1006),$AB$1006:$AQ$1006,0)))),"Fix")))</f>
        <v>0</v>
      </c>
      <c r="F989" s="5">
        <f>IF(OR(INDEX($V$2:$V$1001,MATCH(ROWS($U$2:U989),$U$2:$U$1001,0),1)&gt;=100000,INDEX($AB$1005:$AQ$1005,1,MATCH(COLUMNS($AB$1006:AF1006),$AB$1006:$AQ$1006,0))&gt;=100000), " ",IF(INDEX($AB$2:$AQ$1001,MATCH(ROWS($U$2:U989),$U$2:$U$1001,0),MATCH(COLUMNS($AB$1006:AF1006),$AB$1006:$AQ$1006,0)), HYPERLINK("#",""), HYPERLINK(CONCATENATE("#Metadata!", ADDRESS(INDEX($W$2:$W$1001,MATCH(ROWS($U$2:U989),$U$2:$U$1001,0),0), INDEX($AB$1004:$AQ$1004,1,MATCH(COLUMNS($AB$1006:AF1006),$AB$1006:$AQ$1006,0)))),"Fix")))</f>
        <v>0</v>
      </c>
      <c r="G989" s="5">
        <f>IF(OR(INDEX($V$2:$V$1001,MATCH(ROWS($U$2:U989),$U$2:$U$1001,0),1)&gt;=100000,INDEX($AB$1005:$AQ$1005,1,MATCH(COLUMNS($AB$1006:AG1006),$AB$1006:$AQ$1006,0))&gt;=100000), " ",IF(INDEX($AB$2:$AQ$1001,MATCH(ROWS($U$2:U989),$U$2:$U$1001,0),MATCH(COLUMNS($AB$1006:AG1006),$AB$1006:$AQ$1006,0)), HYPERLINK("#",""), HYPERLINK(CONCATENATE("#Metadata!", ADDRESS(INDEX($W$2:$W$1001,MATCH(ROWS($U$2:U989),$U$2:$U$1001,0),0), INDEX($AB$1004:$AQ$1004,1,MATCH(COLUMNS($AB$1006:AG1006),$AB$1006:$AQ$1006,0)))),"Fix")))</f>
        <v>0</v>
      </c>
      <c r="H989" s="5">
        <f>IF(OR(INDEX($V$2:$V$1001,MATCH(ROWS($U$2:U989),$U$2:$U$1001,0),1)&gt;=100000,INDEX($AB$1005:$AQ$1005,1,MATCH(COLUMNS($AB$1006:AH1006),$AB$1006:$AQ$1006,0))&gt;=100000), " ",IF(INDEX($AB$2:$AQ$1001,MATCH(ROWS($U$2:U989),$U$2:$U$1001,0),MATCH(COLUMNS($AB$1006:AH1006),$AB$1006:$AQ$1006,0)), HYPERLINK("#",""), HYPERLINK(CONCATENATE("#Metadata!", ADDRESS(INDEX($W$2:$W$1001,MATCH(ROWS($U$2:U989),$U$2:$U$1001,0),0), INDEX($AB$1004:$AQ$1004,1,MATCH(COLUMNS($AB$1006:AH1006),$AB$1006:$AQ$1006,0)))),"Fix")))</f>
        <v>0</v>
      </c>
      <c r="I989" s="5">
        <f>IF(OR(INDEX($V$2:$V$1001,MATCH(ROWS($U$2:U989),$U$2:$U$1001,0),1)&gt;=100000,INDEX($AB$1005:$AQ$1005,1,MATCH(COLUMNS($AB$1006:AI1006),$AB$1006:$AQ$1006,0))&gt;=100000), " ",IF(INDEX($AB$2:$AQ$1001,MATCH(ROWS($U$2:U989),$U$2:$U$1001,0),MATCH(COLUMNS($AB$1006:AI1006),$AB$1006:$AQ$1006,0)), HYPERLINK("#",""), HYPERLINK(CONCATENATE("#Metadata!", ADDRESS(INDEX($W$2:$W$1001,MATCH(ROWS($U$2:U989),$U$2:$U$1001,0),0), INDEX($AB$1004:$AQ$1004,1,MATCH(COLUMNS($AB$1006:AI1006),$AB$1006:$AQ$1006,0)))),"Fix")))</f>
        <v>0</v>
      </c>
      <c r="J989" s="5">
        <f>IF(OR(INDEX($V$2:$V$1001,MATCH(ROWS($U$2:U989),$U$2:$U$1001,0),1)&gt;=100000,INDEX($AB$1005:$AQ$1005,1,MATCH(COLUMNS($AB$1006:AJ1006),$AB$1006:$AQ$1006,0))&gt;=100000), " ",IF(INDEX($AB$2:$AQ$1001,MATCH(ROWS($U$2:U989),$U$2:$U$1001,0),MATCH(COLUMNS($AB$1006:AJ1006),$AB$1006:$AQ$1006,0)), HYPERLINK("#",""), HYPERLINK(CONCATENATE("#Metadata!", ADDRESS(INDEX($W$2:$W$1001,MATCH(ROWS($U$2:U989),$U$2:$U$1001,0),0), INDEX($AB$1004:$AQ$1004,1,MATCH(COLUMNS($AB$1006:AJ1006),$AB$1006:$AQ$1006,0)))),"Fix")))</f>
        <v>0</v>
      </c>
      <c r="K989" s="5">
        <f>IF(OR(INDEX($V$2:$V$1001,MATCH(ROWS($U$2:U989),$U$2:$U$1001,0),1)&gt;=100000,INDEX($AB$1005:$AQ$1005,1,MATCH(COLUMNS($AB$1006:AK1006),$AB$1006:$AQ$1006,0))&gt;=100000), " ",IF(INDEX($AB$2:$AQ$1001,MATCH(ROWS($U$2:U989),$U$2:$U$1001,0),MATCH(COLUMNS($AB$1006:AK1006),$AB$1006:$AQ$1006,0)), HYPERLINK("#",""), HYPERLINK(CONCATENATE("#Metadata!", ADDRESS(INDEX($W$2:$W$1001,MATCH(ROWS($U$2:U989),$U$2:$U$1001,0),0), INDEX($AB$1004:$AQ$1004,1,MATCH(COLUMNS($AB$1006:AK1006),$AB$1006:$AQ$1006,0)))),"Fix")))</f>
        <v>0</v>
      </c>
      <c r="L989" s="5">
        <f>IF(OR(INDEX($V$2:$V$1001,MATCH(ROWS($U$2:U989),$U$2:$U$1001,0),1)&gt;=100000,INDEX($AB$1005:$AQ$1005,1,MATCH(COLUMNS($AB$1006:AL1006),$AB$1006:$AQ$1006,0))&gt;=100000), " ",IF(INDEX($AB$2:$AQ$1001,MATCH(ROWS($U$2:U989),$U$2:$U$1001,0),MATCH(COLUMNS($AB$1006:AL1006),$AB$1006:$AQ$1006,0)), HYPERLINK("#",""), HYPERLINK(CONCATENATE("#Metadata!", ADDRESS(INDEX($W$2:$W$1001,MATCH(ROWS($U$2:U989),$U$2:$U$1001,0),0), INDEX($AB$1004:$AQ$1004,1,MATCH(COLUMNS($AB$1006:AL1006),$AB$1006:$AQ$1006,0)))),"Fix")))</f>
        <v>0</v>
      </c>
      <c r="M989" s="5">
        <f>IF(OR(INDEX($V$2:$V$1001,MATCH(ROWS($U$2:U989),$U$2:$U$1001,0),1)&gt;=100000,INDEX($AB$1005:$AQ$1005,1,MATCH(COLUMNS($AB$1006:AM1006),$AB$1006:$AQ$1006,0))&gt;=100000), " ",IF(INDEX($AB$2:$AQ$1001,MATCH(ROWS($U$2:U989),$U$2:$U$1001,0),MATCH(COLUMNS($AB$1006:AM1006),$AB$1006:$AQ$1006,0)), HYPERLINK("#",""), HYPERLINK(CONCATENATE("#Metadata!", ADDRESS(INDEX($W$2:$W$1001,MATCH(ROWS($U$2:U989),$U$2:$U$1001,0),0), INDEX($AB$1004:$AQ$1004,1,MATCH(COLUMNS($AB$1006:AM1006),$AB$1006:$AQ$1006,0)))),"Fix")))</f>
        <v>0</v>
      </c>
      <c r="N989" s="5">
        <f>IF(OR(INDEX($V$2:$V$1001,MATCH(ROWS($U$2:U989),$U$2:$U$1001,0),1)&gt;=100000,INDEX($AB$1005:$AQ$1005,1,MATCH(COLUMNS($AB$1006:AN1006),$AB$1006:$AQ$1006,0))&gt;=100000), " ",IF(INDEX($AB$2:$AQ$1001,MATCH(ROWS($U$2:U989),$U$2:$U$1001,0),MATCH(COLUMNS($AB$1006:AN1006),$AB$1006:$AQ$1006,0)), HYPERLINK("#",""), HYPERLINK(CONCATENATE("#Metadata!", ADDRESS(INDEX($W$2:$W$1001,MATCH(ROWS($U$2:U989),$U$2:$U$1001,0),0), INDEX($AB$1004:$AQ$1004,1,MATCH(COLUMNS($AB$1006:AN1006),$AB$1006:$AQ$1006,0)))),"Fix")))</f>
        <v>0</v>
      </c>
      <c r="O989" s="5">
        <f>IF(OR(INDEX($V$2:$V$1001,MATCH(ROWS($U$2:U989),$U$2:$U$1001,0),1)&gt;=100000,INDEX($AB$1005:$AQ$1005,1,MATCH(COLUMNS($AB$1006:AO1006),$AB$1006:$AQ$1006,0))&gt;=100000), " ",IF(INDEX($AB$2:$AQ$1001,MATCH(ROWS($U$2:U989),$U$2:$U$1001,0),MATCH(COLUMNS($AB$1006:AO1006),$AB$1006:$AQ$1006,0)), HYPERLINK("#",""), HYPERLINK(CONCATENATE("#Metadata!", ADDRESS(INDEX($W$2:$W$1001,MATCH(ROWS($U$2:U989),$U$2:$U$1001,0),0), INDEX($AB$1004:$AQ$1004,1,MATCH(COLUMNS($AB$1006:AO1006),$AB$1006:$AQ$1006,0)))),"Fix")))</f>
        <v>0</v>
      </c>
      <c r="P989" s="5">
        <f>IF(OR(INDEX($V$2:$V$1001,MATCH(ROWS($U$2:U989),$U$2:$U$1001,0),1)&gt;=100000,INDEX($AB$1005:$AQ$1005,1,MATCH(COLUMNS($AB$1006:AP1006),$AB$1006:$AQ$1006,0))&gt;=100000), " ",IF(INDEX($AB$2:$AQ$1001,MATCH(ROWS($U$2:U989),$U$2:$U$1001,0),MATCH(COLUMNS($AB$1006:AP1006),$AB$1006:$AQ$1006,0)), HYPERLINK("#",""), HYPERLINK(CONCATENATE("#Metadata!", ADDRESS(INDEX($W$2:$W$1001,MATCH(ROWS($U$2:U989),$U$2:$U$1001,0),0), INDEX($AB$1004:$AQ$1004,1,MATCH(COLUMNS($AB$1006:AP1006),$AB$1006:$AQ$1006,0)))),"Fix")))</f>
        <v>0</v>
      </c>
      <c r="Q989" s="5">
        <f>IF(OR(INDEX($V$2:$V$1001,MATCH(ROWS($U$2:U989),$U$2:$U$1001,0),1)&gt;=100000,INDEX($AB$1005:$AQ$1005,1,MATCH(COLUMNS($AB$1006:AQ1006),$AB$1006:$AQ$1006,0))&gt;=100000), " ",IF(INDEX($AB$2:$AQ$1001,MATCH(ROWS($U$2:U989),$U$2:$U$1001,0),MATCH(COLUMNS($AB$1006:AQ1006),$AB$1006:$AQ$1006,0)), HYPERLINK("#",""), HYPERLINK(CONCATENATE("#Metadata!", ADDRESS(INDEX($W$2:$W$1001,MATCH(ROWS($U$2:U989),$U$2:$U$1001,0),0), INDEX($AB$1004:$AQ$1004,1,MATCH(COLUMNS($AB$1006:AQ1006),$AB$1006:$AQ$1006,0)))),"Fix")))</f>
        <v>0</v>
      </c>
      <c r="U989">
        <v>0</v>
      </c>
      <c r="V989">
        <v>0</v>
      </c>
      <c r="W989">
        <v>0</v>
      </c>
      <c r="X989">
        <f>IF(Y989,TRUE,AND(AB989:AQ989))</f>
        <v>0</v>
      </c>
      <c r="Y989">
        <f>COUNTBLANK(Metadata!B989:Q989)=COLUMNS(Metadata!B989:Q989)</f>
        <v>0</v>
      </c>
      <c r="Z989">
        <v>0</v>
      </c>
      <c r="AB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AC989">
        <f>AND(IF(Metadata!C989="",FALSE,TRUE),exact(Metadata!C989,"urban biome"))</f>
        <v>0</v>
      </c>
      <c r="AD989">
        <f>AND(IF(Metadata!D989="",FALSE,TRUE),exact(Metadata!D989,"human-associated habitat"))</f>
        <v>0</v>
      </c>
      <c r="AE989">
        <f>AND(IF(Metadata!E989="",FALSE,TRUE),OR(exact(Metadata!E989,"human-associated"),exact(Metadata!E989,"human-skin"),exact(Metadata!E989,"human-oral"),exact(Metadata!E989,"human-gut"),exact(Metadata!E989,"human-vaginal")))</f>
        <v>0</v>
      </c>
      <c r="AF989">
        <f>AND(IF(Metadata!F989="",FALSE,ISNUMBER(VALUE(Metadata!F989))),Metadata!F989&gt;0)</f>
        <v>0</v>
      </c>
      <c r="AG989">
        <f>AND(IF(Metadata!G989="",FALSE,TRUE),exact(Metadata!G989,"years"))</f>
        <v>0</v>
      </c>
      <c r="AH989">
        <f>OR(AND(IF(Metadata!H989="",FALSE,TRUE),OR(exact(Metadata!H989,"not applicable"),exact(Metadata!H989,"not collected"),exact(Metadata!H989,"not provided"),exact(Metadata!H989,"restricted access"))),AND(IF(Metadata!H989="",FALSE,ISNUMBER(VALUE(Metadata!H989))),Metadata!H989&gt;0))</f>
        <v>0</v>
      </c>
      <c r="AI989">
        <f>AND(IF(Metadata!I989="",FALSE,TRUE),exact(Metadata!I989,"human"))</f>
        <v>0</v>
      </c>
      <c r="AJ989">
        <f>AND(IF(Metadata!J989="",FALSE,ISNUMBER(VALUE(Metadata!J989))),Metadata!J989&gt;0)</f>
        <v>0</v>
      </c>
      <c r="AK989">
        <f>AND(IF(Metadata!K989="",FALSE,TRUE),exact(Metadata!K989,"cm"))</f>
        <v>0</v>
      </c>
      <c r="AL989">
        <f>AND(IF(Metadata!L989="",FALSE,TRUE),exact(Metadata!L989,"Homo sapiens"))</f>
        <v>0</v>
      </c>
      <c r="AM989">
        <f>AND(IF(Metadata!M989="",FALSE,TRUE),exact(Metadata!M989,"9606"))</f>
        <v>0</v>
      </c>
      <c r="AN989">
        <f>AND(IF(Metadata!N989="",FALSE,ISNUMBER(VALUE(Metadata!N989))),Metadata!N989&gt;0)</f>
        <v>0</v>
      </c>
      <c r="AO989">
        <f>AND(IF(Metadata!O989="",FALSE,TRUE),exact(Metadata!O989,"kg"))</f>
        <v>0</v>
      </c>
      <c r="AP989">
        <f>OR(AND(IF(Metadata!P989="",FALSE,TRUE),exact(Metadata!P989,"not provided")),IF(Metadata!P989="",FALSE,TRUE))</f>
        <v>0</v>
      </c>
      <c r="AQ989">
        <f>OR(AND(IF(Metadata!Q989="",FALSE,TRUE),exact(Metadata!Q989,"not provided")),IF(Metadata!Q989="",FALSE,TRUE))</f>
        <v>0</v>
      </c>
    </row>
    <row r="990" spans="1:43">
      <c r="A990" s="4">
        <f>IF(B990=" "," ",HYPERLINK(CONCATENATE("#metadata!",ADDRESS(INDEX($W$2:$W$1001,MATCH(ROWS($U$2:U990),$U$2:$U$1001,0),0),2)),INDEX($Z$2:$Z$1001,MATCH(ROWS($U$2:U990),$U$2:$U$1001,0),0)))</f>
        <v>0</v>
      </c>
      <c r="B990" s="5">
        <f>IF(OR(INDEX($V$2:$V$1001,MATCH(ROWS($U$2:U990),$U$2:$U$1001,0),1)&gt;=100000,INDEX($AB$1005:$AQ$1005,1,MATCH(COLUMNS($AB$1006:AB1006),$AB$1006:$AQ$1006,0))&gt;=100000), " ",IF(INDEX($AB$2:$AQ$1001,MATCH(ROWS($U$2:U990),$U$2:$U$1001,0),MATCH(COLUMNS($AB$1006:AB1006),$AB$1006:$AQ$1006,0)), HYPERLINK("#",""), HYPERLINK(CONCATENATE("#Metadata!", ADDRESS(INDEX($W$2:$W$1001,MATCH(ROWS($U$2:U990),$U$2:$U$1001,0),0), INDEX($AB$1004:$AQ$1004,1,MATCH(COLUMNS($AB$1006:AB1006),$AB$1006:$AQ$1006,0)))),"Fix")))</f>
        <v>0</v>
      </c>
      <c r="C990" s="5">
        <f>IF(OR(INDEX($V$2:$V$1001,MATCH(ROWS($U$2:U990),$U$2:$U$1001,0),1)&gt;=100000,INDEX($AB$1005:$AQ$1005,1,MATCH(COLUMNS($AB$1006:AC1006),$AB$1006:$AQ$1006,0))&gt;=100000), " ",IF(INDEX($AB$2:$AQ$1001,MATCH(ROWS($U$2:U990),$U$2:$U$1001,0),MATCH(COLUMNS($AB$1006:AC1006),$AB$1006:$AQ$1006,0)), HYPERLINK("#",""), HYPERLINK(CONCATENATE("#Metadata!", ADDRESS(INDEX($W$2:$W$1001,MATCH(ROWS($U$2:U990),$U$2:$U$1001,0),0), INDEX($AB$1004:$AQ$1004,1,MATCH(COLUMNS($AB$1006:AC1006),$AB$1006:$AQ$1006,0)))),"Fix")))</f>
        <v>0</v>
      </c>
      <c r="D990" s="5">
        <f>IF(OR(INDEX($V$2:$V$1001,MATCH(ROWS($U$2:U990),$U$2:$U$1001,0),1)&gt;=100000,INDEX($AB$1005:$AQ$1005,1,MATCH(COLUMNS($AB$1006:AD1006),$AB$1006:$AQ$1006,0))&gt;=100000), " ",IF(INDEX($AB$2:$AQ$1001,MATCH(ROWS($U$2:U990),$U$2:$U$1001,0),MATCH(COLUMNS($AB$1006:AD1006),$AB$1006:$AQ$1006,0)), HYPERLINK("#",""), HYPERLINK(CONCATENATE("#Metadata!", ADDRESS(INDEX($W$2:$W$1001,MATCH(ROWS($U$2:U990),$U$2:$U$1001,0),0), INDEX($AB$1004:$AQ$1004,1,MATCH(COLUMNS($AB$1006:AD1006),$AB$1006:$AQ$1006,0)))),"Fix")))</f>
        <v>0</v>
      </c>
      <c r="E990" s="5">
        <f>IF(OR(INDEX($V$2:$V$1001,MATCH(ROWS($U$2:U990),$U$2:$U$1001,0),1)&gt;=100000,INDEX($AB$1005:$AQ$1005,1,MATCH(COLUMNS($AB$1006:AE1006),$AB$1006:$AQ$1006,0))&gt;=100000), " ",IF(INDEX($AB$2:$AQ$1001,MATCH(ROWS($U$2:U990),$U$2:$U$1001,0),MATCH(COLUMNS($AB$1006:AE1006),$AB$1006:$AQ$1006,0)), HYPERLINK("#",""), HYPERLINK(CONCATENATE("#Metadata!", ADDRESS(INDEX($W$2:$W$1001,MATCH(ROWS($U$2:U990),$U$2:$U$1001,0),0), INDEX($AB$1004:$AQ$1004,1,MATCH(COLUMNS($AB$1006:AE1006),$AB$1006:$AQ$1006,0)))),"Fix")))</f>
        <v>0</v>
      </c>
      <c r="F990" s="5">
        <f>IF(OR(INDEX($V$2:$V$1001,MATCH(ROWS($U$2:U990),$U$2:$U$1001,0),1)&gt;=100000,INDEX($AB$1005:$AQ$1005,1,MATCH(COLUMNS($AB$1006:AF1006),$AB$1006:$AQ$1006,0))&gt;=100000), " ",IF(INDEX($AB$2:$AQ$1001,MATCH(ROWS($U$2:U990),$U$2:$U$1001,0),MATCH(COLUMNS($AB$1006:AF1006),$AB$1006:$AQ$1006,0)), HYPERLINK("#",""), HYPERLINK(CONCATENATE("#Metadata!", ADDRESS(INDEX($W$2:$W$1001,MATCH(ROWS($U$2:U990),$U$2:$U$1001,0),0), INDEX($AB$1004:$AQ$1004,1,MATCH(COLUMNS($AB$1006:AF1006),$AB$1006:$AQ$1006,0)))),"Fix")))</f>
        <v>0</v>
      </c>
      <c r="G990" s="5">
        <f>IF(OR(INDEX($V$2:$V$1001,MATCH(ROWS($U$2:U990),$U$2:$U$1001,0),1)&gt;=100000,INDEX($AB$1005:$AQ$1005,1,MATCH(COLUMNS($AB$1006:AG1006),$AB$1006:$AQ$1006,0))&gt;=100000), " ",IF(INDEX($AB$2:$AQ$1001,MATCH(ROWS($U$2:U990),$U$2:$U$1001,0),MATCH(COLUMNS($AB$1006:AG1006),$AB$1006:$AQ$1006,0)), HYPERLINK("#",""), HYPERLINK(CONCATENATE("#Metadata!", ADDRESS(INDEX($W$2:$W$1001,MATCH(ROWS($U$2:U990),$U$2:$U$1001,0),0), INDEX($AB$1004:$AQ$1004,1,MATCH(COLUMNS($AB$1006:AG1006),$AB$1006:$AQ$1006,0)))),"Fix")))</f>
        <v>0</v>
      </c>
      <c r="H990" s="5">
        <f>IF(OR(INDEX($V$2:$V$1001,MATCH(ROWS($U$2:U990),$U$2:$U$1001,0),1)&gt;=100000,INDEX($AB$1005:$AQ$1005,1,MATCH(COLUMNS($AB$1006:AH1006),$AB$1006:$AQ$1006,0))&gt;=100000), " ",IF(INDEX($AB$2:$AQ$1001,MATCH(ROWS($U$2:U990),$U$2:$U$1001,0),MATCH(COLUMNS($AB$1006:AH1006),$AB$1006:$AQ$1006,0)), HYPERLINK("#",""), HYPERLINK(CONCATENATE("#Metadata!", ADDRESS(INDEX($W$2:$W$1001,MATCH(ROWS($U$2:U990),$U$2:$U$1001,0),0), INDEX($AB$1004:$AQ$1004,1,MATCH(COLUMNS($AB$1006:AH1006),$AB$1006:$AQ$1006,0)))),"Fix")))</f>
        <v>0</v>
      </c>
      <c r="I990" s="5">
        <f>IF(OR(INDEX($V$2:$V$1001,MATCH(ROWS($U$2:U990),$U$2:$U$1001,0),1)&gt;=100000,INDEX($AB$1005:$AQ$1005,1,MATCH(COLUMNS($AB$1006:AI1006),$AB$1006:$AQ$1006,0))&gt;=100000), " ",IF(INDEX($AB$2:$AQ$1001,MATCH(ROWS($U$2:U990),$U$2:$U$1001,0),MATCH(COLUMNS($AB$1006:AI1006),$AB$1006:$AQ$1006,0)), HYPERLINK("#",""), HYPERLINK(CONCATENATE("#Metadata!", ADDRESS(INDEX($W$2:$W$1001,MATCH(ROWS($U$2:U990),$U$2:$U$1001,0),0), INDEX($AB$1004:$AQ$1004,1,MATCH(COLUMNS($AB$1006:AI1006),$AB$1006:$AQ$1006,0)))),"Fix")))</f>
        <v>0</v>
      </c>
      <c r="J990" s="5">
        <f>IF(OR(INDEX($V$2:$V$1001,MATCH(ROWS($U$2:U990),$U$2:$U$1001,0),1)&gt;=100000,INDEX($AB$1005:$AQ$1005,1,MATCH(COLUMNS($AB$1006:AJ1006),$AB$1006:$AQ$1006,0))&gt;=100000), " ",IF(INDEX($AB$2:$AQ$1001,MATCH(ROWS($U$2:U990),$U$2:$U$1001,0),MATCH(COLUMNS($AB$1006:AJ1006),$AB$1006:$AQ$1006,0)), HYPERLINK("#",""), HYPERLINK(CONCATENATE("#Metadata!", ADDRESS(INDEX($W$2:$W$1001,MATCH(ROWS($U$2:U990),$U$2:$U$1001,0),0), INDEX($AB$1004:$AQ$1004,1,MATCH(COLUMNS($AB$1006:AJ1006),$AB$1006:$AQ$1006,0)))),"Fix")))</f>
        <v>0</v>
      </c>
      <c r="K990" s="5">
        <f>IF(OR(INDEX($V$2:$V$1001,MATCH(ROWS($U$2:U990),$U$2:$U$1001,0),1)&gt;=100000,INDEX($AB$1005:$AQ$1005,1,MATCH(COLUMNS($AB$1006:AK1006),$AB$1006:$AQ$1006,0))&gt;=100000), " ",IF(INDEX($AB$2:$AQ$1001,MATCH(ROWS($U$2:U990),$U$2:$U$1001,0),MATCH(COLUMNS($AB$1006:AK1006),$AB$1006:$AQ$1006,0)), HYPERLINK("#",""), HYPERLINK(CONCATENATE("#Metadata!", ADDRESS(INDEX($W$2:$W$1001,MATCH(ROWS($U$2:U990),$U$2:$U$1001,0),0), INDEX($AB$1004:$AQ$1004,1,MATCH(COLUMNS($AB$1006:AK1006),$AB$1006:$AQ$1006,0)))),"Fix")))</f>
        <v>0</v>
      </c>
      <c r="L990" s="5">
        <f>IF(OR(INDEX($V$2:$V$1001,MATCH(ROWS($U$2:U990),$U$2:$U$1001,0),1)&gt;=100000,INDEX($AB$1005:$AQ$1005,1,MATCH(COLUMNS($AB$1006:AL1006),$AB$1006:$AQ$1006,0))&gt;=100000), " ",IF(INDEX($AB$2:$AQ$1001,MATCH(ROWS($U$2:U990),$U$2:$U$1001,0),MATCH(COLUMNS($AB$1006:AL1006),$AB$1006:$AQ$1006,0)), HYPERLINK("#",""), HYPERLINK(CONCATENATE("#Metadata!", ADDRESS(INDEX($W$2:$W$1001,MATCH(ROWS($U$2:U990),$U$2:$U$1001,0),0), INDEX($AB$1004:$AQ$1004,1,MATCH(COLUMNS($AB$1006:AL1006),$AB$1006:$AQ$1006,0)))),"Fix")))</f>
        <v>0</v>
      </c>
      <c r="M990" s="5">
        <f>IF(OR(INDEX($V$2:$V$1001,MATCH(ROWS($U$2:U990),$U$2:$U$1001,0),1)&gt;=100000,INDEX($AB$1005:$AQ$1005,1,MATCH(COLUMNS($AB$1006:AM1006),$AB$1006:$AQ$1006,0))&gt;=100000), " ",IF(INDEX($AB$2:$AQ$1001,MATCH(ROWS($U$2:U990),$U$2:$U$1001,0),MATCH(COLUMNS($AB$1006:AM1006),$AB$1006:$AQ$1006,0)), HYPERLINK("#",""), HYPERLINK(CONCATENATE("#Metadata!", ADDRESS(INDEX($W$2:$W$1001,MATCH(ROWS($U$2:U990),$U$2:$U$1001,0),0), INDEX($AB$1004:$AQ$1004,1,MATCH(COLUMNS($AB$1006:AM1006),$AB$1006:$AQ$1006,0)))),"Fix")))</f>
        <v>0</v>
      </c>
      <c r="N990" s="5">
        <f>IF(OR(INDEX($V$2:$V$1001,MATCH(ROWS($U$2:U990),$U$2:$U$1001,0),1)&gt;=100000,INDEX($AB$1005:$AQ$1005,1,MATCH(COLUMNS($AB$1006:AN1006),$AB$1006:$AQ$1006,0))&gt;=100000), " ",IF(INDEX($AB$2:$AQ$1001,MATCH(ROWS($U$2:U990),$U$2:$U$1001,0),MATCH(COLUMNS($AB$1006:AN1006),$AB$1006:$AQ$1006,0)), HYPERLINK("#",""), HYPERLINK(CONCATENATE("#Metadata!", ADDRESS(INDEX($W$2:$W$1001,MATCH(ROWS($U$2:U990),$U$2:$U$1001,0),0), INDEX($AB$1004:$AQ$1004,1,MATCH(COLUMNS($AB$1006:AN1006),$AB$1006:$AQ$1006,0)))),"Fix")))</f>
        <v>0</v>
      </c>
      <c r="O990" s="5">
        <f>IF(OR(INDEX($V$2:$V$1001,MATCH(ROWS($U$2:U990),$U$2:$U$1001,0),1)&gt;=100000,INDEX($AB$1005:$AQ$1005,1,MATCH(COLUMNS($AB$1006:AO1006),$AB$1006:$AQ$1006,0))&gt;=100000), " ",IF(INDEX($AB$2:$AQ$1001,MATCH(ROWS($U$2:U990),$U$2:$U$1001,0),MATCH(COLUMNS($AB$1006:AO1006),$AB$1006:$AQ$1006,0)), HYPERLINK("#",""), HYPERLINK(CONCATENATE("#Metadata!", ADDRESS(INDEX($W$2:$W$1001,MATCH(ROWS($U$2:U990),$U$2:$U$1001,0),0), INDEX($AB$1004:$AQ$1004,1,MATCH(COLUMNS($AB$1006:AO1006),$AB$1006:$AQ$1006,0)))),"Fix")))</f>
        <v>0</v>
      </c>
      <c r="P990" s="5">
        <f>IF(OR(INDEX($V$2:$V$1001,MATCH(ROWS($U$2:U990),$U$2:$U$1001,0),1)&gt;=100000,INDEX($AB$1005:$AQ$1005,1,MATCH(COLUMNS($AB$1006:AP1006),$AB$1006:$AQ$1006,0))&gt;=100000), " ",IF(INDEX($AB$2:$AQ$1001,MATCH(ROWS($U$2:U990),$U$2:$U$1001,0),MATCH(COLUMNS($AB$1006:AP1006),$AB$1006:$AQ$1006,0)), HYPERLINK("#",""), HYPERLINK(CONCATENATE("#Metadata!", ADDRESS(INDEX($W$2:$W$1001,MATCH(ROWS($U$2:U990),$U$2:$U$1001,0),0), INDEX($AB$1004:$AQ$1004,1,MATCH(COLUMNS($AB$1006:AP1006),$AB$1006:$AQ$1006,0)))),"Fix")))</f>
        <v>0</v>
      </c>
      <c r="Q990" s="5">
        <f>IF(OR(INDEX($V$2:$V$1001,MATCH(ROWS($U$2:U990),$U$2:$U$1001,0),1)&gt;=100000,INDEX($AB$1005:$AQ$1005,1,MATCH(COLUMNS($AB$1006:AQ1006),$AB$1006:$AQ$1006,0))&gt;=100000), " ",IF(INDEX($AB$2:$AQ$1001,MATCH(ROWS($U$2:U990),$U$2:$U$1001,0),MATCH(COLUMNS($AB$1006:AQ1006),$AB$1006:$AQ$1006,0)), HYPERLINK("#",""), HYPERLINK(CONCATENATE("#Metadata!", ADDRESS(INDEX($W$2:$W$1001,MATCH(ROWS($U$2:U990),$U$2:$U$1001,0),0), INDEX($AB$1004:$AQ$1004,1,MATCH(COLUMNS($AB$1006:AQ1006),$AB$1006:$AQ$1006,0)))),"Fix")))</f>
        <v>0</v>
      </c>
      <c r="U990">
        <v>0</v>
      </c>
      <c r="V990">
        <v>0</v>
      </c>
      <c r="W990">
        <v>0</v>
      </c>
      <c r="X990">
        <f>IF(Y990,TRUE,AND(AB990:AQ990))</f>
        <v>0</v>
      </c>
      <c r="Y990">
        <f>COUNTBLANK(Metadata!B990:Q990)=COLUMNS(Metadata!B990:Q990)</f>
        <v>0</v>
      </c>
      <c r="Z990">
        <v>0</v>
      </c>
      <c r="AB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AC990">
        <f>AND(IF(Metadata!C990="",FALSE,TRUE),exact(Metadata!C990,"urban biome"))</f>
        <v>0</v>
      </c>
      <c r="AD990">
        <f>AND(IF(Metadata!D990="",FALSE,TRUE),exact(Metadata!D990,"human-associated habitat"))</f>
        <v>0</v>
      </c>
      <c r="AE990">
        <f>AND(IF(Metadata!E990="",FALSE,TRUE),OR(exact(Metadata!E990,"human-associated"),exact(Metadata!E990,"human-skin"),exact(Metadata!E990,"human-oral"),exact(Metadata!E990,"human-gut"),exact(Metadata!E990,"human-vaginal")))</f>
        <v>0</v>
      </c>
      <c r="AF990">
        <f>AND(IF(Metadata!F990="",FALSE,ISNUMBER(VALUE(Metadata!F990))),Metadata!F990&gt;0)</f>
        <v>0</v>
      </c>
      <c r="AG990">
        <f>AND(IF(Metadata!G990="",FALSE,TRUE),exact(Metadata!G990,"years"))</f>
        <v>0</v>
      </c>
      <c r="AH990">
        <f>OR(AND(IF(Metadata!H990="",FALSE,TRUE),OR(exact(Metadata!H990,"not applicable"),exact(Metadata!H990,"not collected"),exact(Metadata!H990,"not provided"),exact(Metadata!H990,"restricted access"))),AND(IF(Metadata!H990="",FALSE,ISNUMBER(VALUE(Metadata!H990))),Metadata!H990&gt;0))</f>
        <v>0</v>
      </c>
      <c r="AI990">
        <f>AND(IF(Metadata!I990="",FALSE,TRUE),exact(Metadata!I990,"human"))</f>
        <v>0</v>
      </c>
      <c r="AJ990">
        <f>AND(IF(Metadata!J990="",FALSE,ISNUMBER(VALUE(Metadata!J990))),Metadata!J990&gt;0)</f>
        <v>0</v>
      </c>
      <c r="AK990">
        <f>AND(IF(Metadata!K990="",FALSE,TRUE),exact(Metadata!K990,"cm"))</f>
        <v>0</v>
      </c>
      <c r="AL990">
        <f>AND(IF(Metadata!L990="",FALSE,TRUE),exact(Metadata!L990,"Homo sapiens"))</f>
        <v>0</v>
      </c>
      <c r="AM990">
        <f>AND(IF(Metadata!M990="",FALSE,TRUE),exact(Metadata!M990,"9606"))</f>
        <v>0</v>
      </c>
      <c r="AN990">
        <f>AND(IF(Metadata!N990="",FALSE,ISNUMBER(VALUE(Metadata!N990))),Metadata!N990&gt;0)</f>
        <v>0</v>
      </c>
      <c r="AO990">
        <f>AND(IF(Metadata!O990="",FALSE,TRUE),exact(Metadata!O990,"kg"))</f>
        <v>0</v>
      </c>
      <c r="AP990">
        <f>OR(AND(IF(Metadata!P990="",FALSE,TRUE),exact(Metadata!P990,"not provided")),IF(Metadata!P990="",FALSE,TRUE))</f>
        <v>0</v>
      </c>
      <c r="AQ990">
        <f>OR(AND(IF(Metadata!Q990="",FALSE,TRUE),exact(Metadata!Q990,"not provided")),IF(Metadata!Q990="",FALSE,TRUE))</f>
        <v>0</v>
      </c>
    </row>
    <row r="991" spans="1:43">
      <c r="A991" s="4">
        <f>IF(B991=" "," ",HYPERLINK(CONCATENATE("#metadata!",ADDRESS(INDEX($W$2:$W$1001,MATCH(ROWS($U$2:U991),$U$2:$U$1001,0),0),2)),INDEX($Z$2:$Z$1001,MATCH(ROWS($U$2:U991),$U$2:$U$1001,0),0)))</f>
        <v>0</v>
      </c>
      <c r="B991" s="5">
        <f>IF(OR(INDEX($V$2:$V$1001,MATCH(ROWS($U$2:U991),$U$2:$U$1001,0),1)&gt;=100000,INDEX($AB$1005:$AQ$1005,1,MATCH(COLUMNS($AB$1006:AB1006),$AB$1006:$AQ$1006,0))&gt;=100000), " ",IF(INDEX($AB$2:$AQ$1001,MATCH(ROWS($U$2:U991),$U$2:$U$1001,0),MATCH(COLUMNS($AB$1006:AB1006),$AB$1006:$AQ$1006,0)), HYPERLINK("#",""), HYPERLINK(CONCATENATE("#Metadata!", ADDRESS(INDEX($W$2:$W$1001,MATCH(ROWS($U$2:U991),$U$2:$U$1001,0),0), INDEX($AB$1004:$AQ$1004,1,MATCH(COLUMNS($AB$1006:AB1006),$AB$1006:$AQ$1006,0)))),"Fix")))</f>
        <v>0</v>
      </c>
      <c r="C991" s="5">
        <f>IF(OR(INDEX($V$2:$V$1001,MATCH(ROWS($U$2:U991),$U$2:$U$1001,0),1)&gt;=100000,INDEX($AB$1005:$AQ$1005,1,MATCH(COLUMNS($AB$1006:AC1006),$AB$1006:$AQ$1006,0))&gt;=100000), " ",IF(INDEX($AB$2:$AQ$1001,MATCH(ROWS($U$2:U991),$U$2:$U$1001,0),MATCH(COLUMNS($AB$1006:AC1006),$AB$1006:$AQ$1006,0)), HYPERLINK("#",""), HYPERLINK(CONCATENATE("#Metadata!", ADDRESS(INDEX($W$2:$W$1001,MATCH(ROWS($U$2:U991),$U$2:$U$1001,0),0), INDEX($AB$1004:$AQ$1004,1,MATCH(COLUMNS($AB$1006:AC1006),$AB$1006:$AQ$1006,0)))),"Fix")))</f>
        <v>0</v>
      </c>
      <c r="D991" s="5">
        <f>IF(OR(INDEX($V$2:$V$1001,MATCH(ROWS($U$2:U991),$U$2:$U$1001,0),1)&gt;=100000,INDEX($AB$1005:$AQ$1005,1,MATCH(COLUMNS($AB$1006:AD1006),$AB$1006:$AQ$1006,0))&gt;=100000), " ",IF(INDEX($AB$2:$AQ$1001,MATCH(ROWS($U$2:U991),$U$2:$U$1001,0),MATCH(COLUMNS($AB$1006:AD1006),$AB$1006:$AQ$1006,0)), HYPERLINK("#",""), HYPERLINK(CONCATENATE("#Metadata!", ADDRESS(INDEX($W$2:$W$1001,MATCH(ROWS($U$2:U991),$U$2:$U$1001,0),0), INDEX($AB$1004:$AQ$1004,1,MATCH(COLUMNS($AB$1006:AD1006),$AB$1006:$AQ$1006,0)))),"Fix")))</f>
        <v>0</v>
      </c>
      <c r="E991" s="5">
        <f>IF(OR(INDEX($V$2:$V$1001,MATCH(ROWS($U$2:U991),$U$2:$U$1001,0),1)&gt;=100000,INDEX($AB$1005:$AQ$1005,1,MATCH(COLUMNS($AB$1006:AE1006),$AB$1006:$AQ$1006,0))&gt;=100000), " ",IF(INDEX($AB$2:$AQ$1001,MATCH(ROWS($U$2:U991),$U$2:$U$1001,0),MATCH(COLUMNS($AB$1006:AE1006),$AB$1006:$AQ$1006,0)), HYPERLINK("#",""), HYPERLINK(CONCATENATE("#Metadata!", ADDRESS(INDEX($W$2:$W$1001,MATCH(ROWS($U$2:U991),$U$2:$U$1001,0),0), INDEX($AB$1004:$AQ$1004,1,MATCH(COLUMNS($AB$1006:AE1006),$AB$1006:$AQ$1006,0)))),"Fix")))</f>
        <v>0</v>
      </c>
      <c r="F991" s="5">
        <f>IF(OR(INDEX($V$2:$V$1001,MATCH(ROWS($U$2:U991),$U$2:$U$1001,0),1)&gt;=100000,INDEX($AB$1005:$AQ$1005,1,MATCH(COLUMNS($AB$1006:AF1006),$AB$1006:$AQ$1006,0))&gt;=100000), " ",IF(INDEX($AB$2:$AQ$1001,MATCH(ROWS($U$2:U991),$U$2:$U$1001,0),MATCH(COLUMNS($AB$1006:AF1006),$AB$1006:$AQ$1006,0)), HYPERLINK("#",""), HYPERLINK(CONCATENATE("#Metadata!", ADDRESS(INDEX($W$2:$W$1001,MATCH(ROWS($U$2:U991),$U$2:$U$1001,0),0), INDEX($AB$1004:$AQ$1004,1,MATCH(COLUMNS($AB$1006:AF1006),$AB$1006:$AQ$1006,0)))),"Fix")))</f>
        <v>0</v>
      </c>
      <c r="G991" s="5">
        <f>IF(OR(INDEX($V$2:$V$1001,MATCH(ROWS($U$2:U991),$U$2:$U$1001,0),1)&gt;=100000,INDEX($AB$1005:$AQ$1005,1,MATCH(COLUMNS($AB$1006:AG1006),$AB$1006:$AQ$1006,0))&gt;=100000), " ",IF(INDEX($AB$2:$AQ$1001,MATCH(ROWS($U$2:U991),$U$2:$U$1001,0),MATCH(COLUMNS($AB$1006:AG1006),$AB$1006:$AQ$1006,0)), HYPERLINK("#",""), HYPERLINK(CONCATENATE("#Metadata!", ADDRESS(INDEX($W$2:$W$1001,MATCH(ROWS($U$2:U991),$U$2:$U$1001,0),0), INDEX($AB$1004:$AQ$1004,1,MATCH(COLUMNS($AB$1006:AG1006),$AB$1006:$AQ$1006,0)))),"Fix")))</f>
        <v>0</v>
      </c>
      <c r="H991" s="5">
        <f>IF(OR(INDEX($V$2:$V$1001,MATCH(ROWS($U$2:U991),$U$2:$U$1001,0),1)&gt;=100000,INDEX($AB$1005:$AQ$1005,1,MATCH(COLUMNS($AB$1006:AH1006),$AB$1006:$AQ$1006,0))&gt;=100000), " ",IF(INDEX($AB$2:$AQ$1001,MATCH(ROWS($U$2:U991),$U$2:$U$1001,0),MATCH(COLUMNS($AB$1006:AH1006),$AB$1006:$AQ$1006,0)), HYPERLINK("#",""), HYPERLINK(CONCATENATE("#Metadata!", ADDRESS(INDEX($W$2:$W$1001,MATCH(ROWS($U$2:U991),$U$2:$U$1001,0),0), INDEX($AB$1004:$AQ$1004,1,MATCH(COLUMNS($AB$1006:AH1006),$AB$1006:$AQ$1006,0)))),"Fix")))</f>
        <v>0</v>
      </c>
      <c r="I991" s="5">
        <f>IF(OR(INDEX($V$2:$V$1001,MATCH(ROWS($U$2:U991),$U$2:$U$1001,0),1)&gt;=100000,INDEX($AB$1005:$AQ$1005,1,MATCH(COLUMNS($AB$1006:AI1006),$AB$1006:$AQ$1006,0))&gt;=100000), " ",IF(INDEX($AB$2:$AQ$1001,MATCH(ROWS($U$2:U991),$U$2:$U$1001,0),MATCH(COLUMNS($AB$1006:AI1006),$AB$1006:$AQ$1006,0)), HYPERLINK("#",""), HYPERLINK(CONCATENATE("#Metadata!", ADDRESS(INDEX($W$2:$W$1001,MATCH(ROWS($U$2:U991),$U$2:$U$1001,0),0), INDEX($AB$1004:$AQ$1004,1,MATCH(COLUMNS($AB$1006:AI1006),$AB$1006:$AQ$1006,0)))),"Fix")))</f>
        <v>0</v>
      </c>
      <c r="J991" s="5">
        <f>IF(OR(INDEX($V$2:$V$1001,MATCH(ROWS($U$2:U991),$U$2:$U$1001,0),1)&gt;=100000,INDEX($AB$1005:$AQ$1005,1,MATCH(COLUMNS($AB$1006:AJ1006),$AB$1006:$AQ$1006,0))&gt;=100000), " ",IF(INDEX($AB$2:$AQ$1001,MATCH(ROWS($U$2:U991),$U$2:$U$1001,0),MATCH(COLUMNS($AB$1006:AJ1006),$AB$1006:$AQ$1006,0)), HYPERLINK("#",""), HYPERLINK(CONCATENATE("#Metadata!", ADDRESS(INDEX($W$2:$W$1001,MATCH(ROWS($U$2:U991),$U$2:$U$1001,0),0), INDEX($AB$1004:$AQ$1004,1,MATCH(COLUMNS($AB$1006:AJ1006),$AB$1006:$AQ$1006,0)))),"Fix")))</f>
        <v>0</v>
      </c>
      <c r="K991" s="5">
        <f>IF(OR(INDEX($V$2:$V$1001,MATCH(ROWS($U$2:U991),$U$2:$U$1001,0),1)&gt;=100000,INDEX($AB$1005:$AQ$1005,1,MATCH(COLUMNS($AB$1006:AK1006),$AB$1006:$AQ$1006,0))&gt;=100000), " ",IF(INDEX($AB$2:$AQ$1001,MATCH(ROWS($U$2:U991),$U$2:$U$1001,0),MATCH(COLUMNS($AB$1006:AK1006),$AB$1006:$AQ$1006,0)), HYPERLINK("#",""), HYPERLINK(CONCATENATE("#Metadata!", ADDRESS(INDEX($W$2:$W$1001,MATCH(ROWS($U$2:U991),$U$2:$U$1001,0),0), INDEX($AB$1004:$AQ$1004,1,MATCH(COLUMNS($AB$1006:AK1006),$AB$1006:$AQ$1006,0)))),"Fix")))</f>
        <v>0</v>
      </c>
      <c r="L991" s="5">
        <f>IF(OR(INDEX($V$2:$V$1001,MATCH(ROWS($U$2:U991),$U$2:$U$1001,0),1)&gt;=100000,INDEX($AB$1005:$AQ$1005,1,MATCH(COLUMNS($AB$1006:AL1006),$AB$1006:$AQ$1006,0))&gt;=100000), " ",IF(INDEX($AB$2:$AQ$1001,MATCH(ROWS($U$2:U991),$U$2:$U$1001,0),MATCH(COLUMNS($AB$1006:AL1006),$AB$1006:$AQ$1006,0)), HYPERLINK("#",""), HYPERLINK(CONCATENATE("#Metadata!", ADDRESS(INDEX($W$2:$W$1001,MATCH(ROWS($U$2:U991),$U$2:$U$1001,0),0), INDEX($AB$1004:$AQ$1004,1,MATCH(COLUMNS($AB$1006:AL1006),$AB$1006:$AQ$1006,0)))),"Fix")))</f>
        <v>0</v>
      </c>
      <c r="M991" s="5">
        <f>IF(OR(INDEX($V$2:$V$1001,MATCH(ROWS($U$2:U991),$U$2:$U$1001,0),1)&gt;=100000,INDEX($AB$1005:$AQ$1005,1,MATCH(COLUMNS($AB$1006:AM1006),$AB$1006:$AQ$1006,0))&gt;=100000), " ",IF(INDEX($AB$2:$AQ$1001,MATCH(ROWS($U$2:U991),$U$2:$U$1001,0),MATCH(COLUMNS($AB$1006:AM1006),$AB$1006:$AQ$1006,0)), HYPERLINK("#",""), HYPERLINK(CONCATENATE("#Metadata!", ADDRESS(INDEX($W$2:$W$1001,MATCH(ROWS($U$2:U991),$U$2:$U$1001,0),0), INDEX($AB$1004:$AQ$1004,1,MATCH(COLUMNS($AB$1006:AM1006),$AB$1006:$AQ$1006,0)))),"Fix")))</f>
        <v>0</v>
      </c>
      <c r="N991" s="5">
        <f>IF(OR(INDEX($V$2:$V$1001,MATCH(ROWS($U$2:U991),$U$2:$U$1001,0),1)&gt;=100000,INDEX($AB$1005:$AQ$1005,1,MATCH(COLUMNS($AB$1006:AN1006),$AB$1006:$AQ$1006,0))&gt;=100000), " ",IF(INDEX($AB$2:$AQ$1001,MATCH(ROWS($U$2:U991),$U$2:$U$1001,0),MATCH(COLUMNS($AB$1006:AN1006),$AB$1006:$AQ$1006,0)), HYPERLINK("#",""), HYPERLINK(CONCATENATE("#Metadata!", ADDRESS(INDEX($W$2:$W$1001,MATCH(ROWS($U$2:U991),$U$2:$U$1001,0),0), INDEX($AB$1004:$AQ$1004,1,MATCH(COLUMNS($AB$1006:AN1006),$AB$1006:$AQ$1006,0)))),"Fix")))</f>
        <v>0</v>
      </c>
      <c r="O991" s="5">
        <f>IF(OR(INDEX($V$2:$V$1001,MATCH(ROWS($U$2:U991),$U$2:$U$1001,0),1)&gt;=100000,INDEX($AB$1005:$AQ$1005,1,MATCH(COLUMNS($AB$1006:AO1006),$AB$1006:$AQ$1006,0))&gt;=100000), " ",IF(INDEX($AB$2:$AQ$1001,MATCH(ROWS($U$2:U991),$U$2:$U$1001,0),MATCH(COLUMNS($AB$1006:AO1006),$AB$1006:$AQ$1006,0)), HYPERLINK("#",""), HYPERLINK(CONCATENATE("#Metadata!", ADDRESS(INDEX($W$2:$W$1001,MATCH(ROWS($U$2:U991),$U$2:$U$1001,0),0), INDEX($AB$1004:$AQ$1004,1,MATCH(COLUMNS($AB$1006:AO1006),$AB$1006:$AQ$1006,0)))),"Fix")))</f>
        <v>0</v>
      </c>
      <c r="P991" s="5">
        <f>IF(OR(INDEX($V$2:$V$1001,MATCH(ROWS($U$2:U991),$U$2:$U$1001,0),1)&gt;=100000,INDEX($AB$1005:$AQ$1005,1,MATCH(COLUMNS($AB$1006:AP1006),$AB$1006:$AQ$1006,0))&gt;=100000), " ",IF(INDEX($AB$2:$AQ$1001,MATCH(ROWS($U$2:U991),$U$2:$U$1001,0),MATCH(COLUMNS($AB$1006:AP1006),$AB$1006:$AQ$1006,0)), HYPERLINK("#",""), HYPERLINK(CONCATENATE("#Metadata!", ADDRESS(INDEX($W$2:$W$1001,MATCH(ROWS($U$2:U991),$U$2:$U$1001,0),0), INDEX($AB$1004:$AQ$1004,1,MATCH(COLUMNS($AB$1006:AP1006),$AB$1006:$AQ$1006,0)))),"Fix")))</f>
        <v>0</v>
      </c>
      <c r="Q991" s="5">
        <f>IF(OR(INDEX($V$2:$V$1001,MATCH(ROWS($U$2:U991),$U$2:$U$1001,0),1)&gt;=100000,INDEX($AB$1005:$AQ$1005,1,MATCH(COLUMNS($AB$1006:AQ1006),$AB$1006:$AQ$1006,0))&gt;=100000), " ",IF(INDEX($AB$2:$AQ$1001,MATCH(ROWS($U$2:U991),$U$2:$U$1001,0),MATCH(COLUMNS($AB$1006:AQ1006),$AB$1006:$AQ$1006,0)), HYPERLINK("#",""), HYPERLINK(CONCATENATE("#Metadata!", ADDRESS(INDEX($W$2:$W$1001,MATCH(ROWS($U$2:U991),$U$2:$U$1001,0),0), INDEX($AB$1004:$AQ$1004,1,MATCH(COLUMNS($AB$1006:AQ1006),$AB$1006:$AQ$1006,0)))),"Fix")))</f>
        <v>0</v>
      </c>
      <c r="U991">
        <v>0</v>
      </c>
      <c r="V991">
        <v>0</v>
      </c>
      <c r="W991">
        <v>0</v>
      </c>
      <c r="X991">
        <f>IF(Y991,TRUE,AND(AB991:AQ991))</f>
        <v>0</v>
      </c>
      <c r="Y991">
        <f>COUNTBLANK(Metadata!B991:Q991)=COLUMNS(Metadata!B991:Q991)</f>
        <v>0</v>
      </c>
      <c r="Z991">
        <v>0</v>
      </c>
      <c r="AB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AC991">
        <f>AND(IF(Metadata!C991="",FALSE,TRUE),exact(Metadata!C991,"urban biome"))</f>
        <v>0</v>
      </c>
      <c r="AD991">
        <f>AND(IF(Metadata!D991="",FALSE,TRUE),exact(Metadata!D991,"human-associated habitat"))</f>
        <v>0</v>
      </c>
      <c r="AE991">
        <f>AND(IF(Metadata!E991="",FALSE,TRUE),OR(exact(Metadata!E991,"human-associated"),exact(Metadata!E991,"human-skin"),exact(Metadata!E991,"human-oral"),exact(Metadata!E991,"human-gut"),exact(Metadata!E991,"human-vaginal")))</f>
        <v>0</v>
      </c>
      <c r="AF991">
        <f>AND(IF(Metadata!F991="",FALSE,ISNUMBER(VALUE(Metadata!F991))),Metadata!F991&gt;0)</f>
        <v>0</v>
      </c>
      <c r="AG991">
        <f>AND(IF(Metadata!G991="",FALSE,TRUE),exact(Metadata!G991,"years"))</f>
        <v>0</v>
      </c>
      <c r="AH991">
        <f>OR(AND(IF(Metadata!H991="",FALSE,TRUE),OR(exact(Metadata!H991,"not applicable"),exact(Metadata!H991,"not collected"),exact(Metadata!H991,"not provided"),exact(Metadata!H991,"restricted access"))),AND(IF(Metadata!H991="",FALSE,ISNUMBER(VALUE(Metadata!H991))),Metadata!H991&gt;0))</f>
        <v>0</v>
      </c>
      <c r="AI991">
        <f>AND(IF(Metadata!I991="",FALSE,TRUE),exact(Metadata!I991,"human"))</f>
        <v>0</v>
      </c>
      <c r="AJ991">
        <f>AND(IF(Metadata!J991="",FALSE,ISNUMBER(VALUE(Metadata!J991))),Metadata!J991&gt;0)</f>
        <v>0</v>
      </c>
      <c r="AK991">
        <f>AND(IF(Metadata!K991="",FALSE,TRUE),exact(Metadata!K991,"cm"))</f>
        <v>0</v>
      </c>
      <c r="AL991">
        <f>AND(IF(Metadata!L991="",FALSE,TRUE),exact(Metadata!L991,"Homo sapiens"))</f>
        <v>0</v>
      </c>
      <c r="AM991">
        <f>AND(IF(Metadata!M991="",FALSE,TRUE),exact(Metadata!M991,"9606"))</f>
        <v>0</v>
      </c>
      <c r="AN991">
        <f>AND(IF(Metadata!N991="",FALSE,ISNUMBER(VALUE(Metadata!N991))),Metadata!N991&gt;0)</f>
        <v>0</v>
      </c>
      <c r="AO991">
        <f>AND(IF(Metadata!O991="",FALSE,TRUE),exact(Metadata!O991,"kg"))</f>
        <v>0</v>
      </c>
      <c r="AP991">
        <f>OR(AND(IF(Metadata!P991="",FALSE,TRUE),exact(Metadata!P991,"not provided")),IF(Metadata!P991="",FALSE,TRUE))</f>
        <v>0</v>
      </c>
      <c r="AQ991">
        <f>OR(AND(IF(Metadata!Q991="",FALSE,TRUE),exact(Metadata!Q991,"not provided")),IF(Metadata!Q991="",FALSE,TRUE))</f>
        <v>0</v>
      </c>
    </row>
    <row r="992" spans="1:43">
      <c r="A992" s="4">
        <f>IF(B992=" "," ",HYPERLINK(CONCATENATE("#metadata!",ADDRESS(INDEX($W$2:$W$1001,MATCH(ROWS($U$2:U992),$U$2:$U$1001,0),0),2)),INDEX($Z$2:$Z$1001,MATCH(ROWS($U$2:U992),$U$2:$U$1001,0),0)))</f>
        <v>0</v>
      </c>
      <c r="B992" s="5">
        <f>IF(OR(INDEX($V$2:$V$1001,MATCH(ROWS($U$2:U992),$U$2:$U$1001,0),1)&gt;=100000,INDEX($AB$1005:$AQ$1005,1,MATCH(COLUMNS($AB$1006:AB1006),$AB$1006:$AQ$1006,0))&gt;=100000), " ",IF(INDEX($AB$2:$AQ$1001,MATCH(ROWS($U$2:U992),$U$2:$U$1001,0),MATCH(COLUMNS($AB$1006:AB1006),$AB$1006:$AQ$1006,0)), HYPERLINK("#",""), HYPERLINK(CONCATENATE("#Metadata!", ADDRESS(INDEX($W$2:$W$1001,MATCH(ROWS($U$2:U992),$U$2:$U$1001,0),0), INDEX($AB$1004:$AQ$1004,1,MATCH(COLUMNS($AB$1006:AB1006),$AB$1006:$AQ$1006,0)))),"Fix")))</f>
        <v>0</v>
      </c>
      <c r="C992" s="5">
        <f>IF(OR(INDEX($V$2:$V$1001,MATCH(ROWS($U$2:U992),$U$2:$U$1001,0),1)&gt;=100000,INDEX($AB$1005:$AQ$1005,1,MATCH(COLUMNS($AB$1006:AC1006),$AB$1006:$AQ$1006,0))&gt;=100000), " ",IF(INDEX($AB$2:$AQ$1001,MATCH(ROWS($U$2:U992),$U$2:$U$1001,0),MATCH(COLUMNS($AB$1006:AC1006),$AB$1006:$AQ$1006,0)), HYPERLINK("#",""), HYPERLINK(CONCATENATE("#Metadata!", ADDRESS(INDEX($W$2:$W$1001,MATCH(ROWS($U$2:U992),$U$2:$U$1001,0),0), INDEX($AB$1004:$AQ$1004,1,MATCH(COLUMNS($AB$1006:AC1006),$AB$1006:$AQ$1006,0)))),"Fix")))</f>
        <v>0</v>
      </c>
      <c r="D992" s="5">
        <f>IF(OR(INDEX($V$2:$V$1001,MATCH(ROWS($U$2:U992),$U$2:$U$1001,0),1)&gt;=100000,INDEX($AB$1005:$AQ$1005,1,MATCH(COLUMNS($AB$1006:AD1006),$AB$1006:$AQ$1006,0))&gt;=100000), " ",IF(INDEX($AB$2:$AQ$1001,MATCH(ROWS($U$2:U992),$U$2:$U$1001,0),MATCH(COLUMNS($AB$1006:AD1006),$AB$1006:$AQ$1006,0)), HYPERLINK("#",""), HYPERLINK(CONCATENATE("#Metadata!", ADDRESS(INDEX($W$2:$W$1001,MATCH(ROWS($U$2:U992),$U$2:$U$1001,0),0), INDEX($AB$1004:$AQ$1004,1,MATCH(COLUMNS($AB$1006:AD1006),$AB$1006:$AQ$1006,0)))),"Fix")))</f>
        <v>0</v>
      </c>
      <c r="E992" s="5">
        <f>IF(OR(INDEX($V$2:$V$1001,MATCH(ROWS($U$2:U992),$U$2:$U$1001,0),1)&gt;=100000,INDEX($AB$1005:$AQ$1005,1,MATCH(COLUMNS($AB$1006:AE1006),$AB$1006:$AQ$1006,0))&gt;=100000), " ",IF(INDEX($AB$2:$AQ$1001,MATCH(ROWS($U$2:U992),$U$2:$U$1001,0),MATCH(COLUMNS($AB$1006:AE1006),$AB$1006:$AQ$1006,0)), HYPERLINK("#",""), HYPERLINK(CONCATENATE("#Metadata!", ADDRESS(INDEX($W$2:$W$1001,MATCH(ROWS($U$2:U992),$U$2:$U$1001,0),0), INDEX($AB$1004:$AQ$1004,1,MATCH(COLUMNS($AB$1006:AE1006),$AB$1006:$AQ$1006,0)))),"Fix")))</f>
        <v>0</v>
      </c>
      <c r="F992" s="5">
        <f>IF(OR(INDEX($V$2:$V$1001,MATCH(ROWS($U$2:U992),$U$2:$U$1001,0),1)&gt;=100000,INDEX($AB$1005:$AQ$1005,1,MATCH(COLUMNS($AB$1006:AF1006),$AB$1006:$AQ$1006,0))&gt;=100000), " ",IF(INDEX($AB$2:$AQ$1001,MATCH(ROWS($U$2:U992),$U$2:$U$1001,0),MATCH(COLUMNS($AB$1006:AF1006),$AB$1006:$AQ$1006,0)), HYPERLINK("#",""), HYPERLINK(CONCATENATE("#Metadata!", ADDRESS(INDEX($W$2:$W$1001,MATCH(ROWS($U$2:U992),$U$2:$U$1001,0),0), INDEX($AB$1004:$AQ$1004,1,MATCH(COLUMNS($AB$1006:AF1006),$AB$1006:$AQ$1006,0)))),"Fix")))</f>
        <v>0</v>
      </c>
      <c r="G992" s="5">
        <f>IF(OR(INDEX($V$2:$V$1001,MATCH(ROWS($U$2:U992),$U$2:$U$1001,0),1)&gt;=100000,INDEX($AB$1005:$AQ$1005,1,MATCH(COLUMNS($AB$1006:AG1006),$AB$1006:$AQ$1006,0))&gt;=100000), " ",IF(INDEX($AB$2:$AQ$1001,MATCH(ROWS($U$2:U992),$U$2:$U$1001,0),MATCH(COLUMNS($AB$1006:AG1006),$AB$1006:$AQ$1006,0)), HYPERLINK("#",""), HYPERLINK(CONCATENATE("#Metadata!", ADDRESS(INDEX($W$2:$W$1001,MATCH(ROWS($U$2:U992),$U$2:$U$1001,0),0), INDEX($AB$1004:$AQ$1004,1,MATCH(COLUMNS($AB$1006:AG1006),$AB$1006:$AQ$1006,0)))),"Fix")))</f>
        <v>0</v>
      </c>
      <c r="H992" s="5">
        <f>IF(OR(INDEX($V$2:$V$1001,MATCH(ROWS($U$2:U992),$U$2:$U$1001,0),1)&gt;=100000,INDEX($AB$1005:$AQ$1005,1,MATCH(COLUMNS($AB$1006:AH1006),$AB$1006:$AQ$1006,0))&gt;=100000), " ",IF(INDEX($AB$2:$AQ$1001,MATCH(ROWS($U$2:U992),$U$2:$U$1001,0),MATCH(COLUMNS($AB$1006:AH1006),$AB$1006:$AQ$1006,0)), HYPERLINK("#",""), HYPERLINK(CONCATENATE("#Metadata!", ADDRESS(INDEX($W$2:$W$1001,MATCH(ROWS($U$2:U992),$U$2:$U$1001,0),0), INDEX($AB$1004:$AQ$1004,1,MATCH(COLUMNS($AB$1006:AH1006),$AB$1006:$AQ$1006,0)))),"Fix")))</f>
        <v>0</v>
      </c>
      <c r="I992" s="5">
        <f>IF(OR(INDEX($V$2:$V$1001,MATCH(ROWS($U$2:U992),$U$2:$U$1001,0),1)&gt;=100000,INDEX($AB$1005:$AQ$1005,1,MATCH(COLUMNS($AB$1006:AI1006),$AB$1006:$AQ$1006,0))&gt;=100000), " ",IF(INDEX($AB$2:$AQ$1001,MATCH(ROWS($U$2:U992),$U$2:$U$1001,0),MATCH(COLUMNS($AB$1006:AI1006),$AB$1006:$AQ$1006,0)), HYPERLINK("#",""), HYPERLINK(CONCATENATE("#Metadata!", ADDRESS(INDEX($W$2:$W$1001,MATCH(ROWS($U$2:U992),$U$2:$U$1001,0),0), INDEX($AB$1004:$AQ$1004,1,MATCH(COLUMNS($AB$1006:AI1006),$AB$1006:$AQ$1006,0)))),"Fix")))</f>
        <v>0</v>
      </c>
      <c r="J992" s="5">
        <f>IF(OR(INDEX($V$2:$V$1001,MATCH(ROWS($U$2:U992),$U$2:$U$1001,0),1)&gt;=100000,INDEX($AB$1005:$AQ$1005,1,MATCH(COLUMNS($AB$1006:AJ1006),$AB$1006:$AQ$1006,0))&gt;=100000), " ",IF(INDEX($AB$2:$AQ$1001,MATCH(ROWS($U$2:U992),$U$2:$U$1001,0),MATCH(COLUMNS($AB$1006:AJ1006),$AB$1006:$AQ$1006,0)), HYPERLINK("#",""), HYPERLINK(CONCATENATE("#Metadata!", ADDRESS(INDEX($W$2:$W$1001,MATCH(ROWS($U$2:U992),$U$2:$U$1001,0),0), INDEX($AB$1004:$AQ$1004,1,MATCH(COLUMNS($AB$1006:AJ1006),$AB$1006:$AQ$1006,0)))),"Fix")))</f>
        <v>0</v>
      </c>
      <c r="K992" s="5">
        <f>IF(OR(INDEX($V$2:$V$1001,MATCH(ROWS($U$2:U992),$U$2:$U$1001,0),1)&gt;=100000,INDEX($AB$1005:$AQ$1005,1,MATCH(COLUMNS($AB$1006:AK1006),$AB$1006:$AQ$1006,0))&gt;=100000), " ",IF(INDEX($AB$2:$AQ$1001,MATCH(ROWS($U$2:U992),$U$2:$U$1001,0),MATCH(COLUMNS($AB$1006:AK1006),$AB$1006:$AQ$1006,0)), HYPERLINK("#",""), HYPERLINK(CONCATENATE("#Metadata!", ADDRESS(INDEX($W$2:$W$1001,MATCH(ROWS($U$2:U992),$U$2:$U$1001,0),0), INDEX($AB$1004:$AQ$1004,1,MATCH(COLUMNS($AB$1006:AK1006),$AB$1006:$AQ$1006,0)))),"Fix")))</f>
        <v>0</v>
      </c>
      <c r="L992" s="5">
        <f>IF(OR(INDEX($V$2:$V$1001,MATCH(ROWS($U$2:U992),$U$2:$U$1001,0),1)&gt;=100000,INDEX($AB$1005:$AQ$1005,1,MATCH(COLUMNS($AB$1006:AL1006),$AB$1006:$AQ$1006,0))&gt;=100000), " ",IF(INDEX($AB$2:$AQ$1001,MATCH(ROWS($U$2:U992),$U$2:$U$1001,0),MATCH(COLUMNS($AB$1006:AL1006),$AB$1006:$AQ$1006,0)), HYPERLINK("#",""), HYPERLINK(CONCATENATE("#Metadata!", ADDRESS(INDEX($W$2:$W$1001,MATCH(ROWS($U$2:U992),$U$2:$U$1001,0),0), INDEX($AB$1004:$AQ$1004,1,MATCH(COLUMNS($AB$1006:AL1006),$AB$1006:$AQ$1006,0)))),"Fix")))</f>
        <v>0</v>
      </c>
      <c r="M992" s="5">
        <f>IF(OR(INDEX($V$2:$V$1001,MATCH(ROWS($U$2:U992),$U$2:$U$1001,0),1)&gt;=100000,INDEX($AB$1005:$AQ$1005,1,MATCH(COLUMNS($AB$1006:AM1006),$AB$1006:$AQ$1006,0))&gt;=100000), " ",IF(INDEX($AB$2:$AQ$1001,MATCH(ROWS($U$2:U992),$U$2:$U$1001,0),MATCH(COLUMNS($AB$1006:AM1006),$AB$1006:$AQ$1006,0)), HYPERLINK("#",""), HYPERLINK(CONCATENATE("#Metadata!", ADDRESS(INDEX($W$2:$W$1001,MATCH(ROWS($U$2:U992),$U$2:$U$1001,0),0), INDEX($AB$1004:$AQ$1004,1,MATCH(COLUMNS($AB$1006:AM1006),$AB$1006:$AQ$1006,0)))),"Fix")))</f>
        <v>0</v>
      </c>
      <c r="N992" s="5">
        <f>IF(OR(INDEX($V$2:$V$1001,MATCH(ROWS($U$2:U992),$U$2:$U$1001,0),1)&gt;=100000,INDEX($AB$1005:$AQ$1005,1,MATCH(COLUMNS($AB$1006:AN1006),$AB$1006:$AQ$1006,0))&gt;=100000), " ",IF(INDEX($AB$2:$AQ$1001,MATCH(ROWS($U$2:U992),$U$2:$U$1001,0),MATCH(COLUMNS($AB$1006:AN1006),$AB$1006:$AQ$1006,0)), HYPERLINK("#",""), HYPERLINK(CONCATENATE("#Metadata!", ADDRESS(INDEX($W$2:$W$1001,MATCH(ROWS($U$2:U992),$U$2:$U$1001,0),0), INDEX($AB$1004:$AQ$1004,1,MATCH(COLUMNS($AB$1006:AN1006),$AB$1006:$AQ$1006,0)))),"Fix")))</f>
        <v>0</v>
      </c>
      <c r="O992" s="5">
        <f>IF(OR(INDEX($V$2:$V$1001,MATCH(ROWS($U$2:U992),$U$2:$U$1001,0),1)&gt;=100000,INDEX($AB$1005:$AQ$1005,1,MATCH(COLUMNS($AB$1006:AO1006),$AB$1006:$AQ$1006,0))&gt;=100000), " ",IF(INDEX($AB$2:$AQ$1001,MATCH(ROWS($U$2:U992),$U$2:$U$1001,0),MATCH(COLUMNS($AB$1006:AO1006),$AB$1006:$AQ$1006,0)), HYPERLINK("#",""), HYPERLINK(CONCATENATE("#Metadata!", ADDRESS(INDEX($W$2:$W$1001,MATCH(ROWS($U$2:U992),$U$2:$U$1001,0),0), INDEX($AB$1004:$AQ$1004,1,MATCH(COLUMNS($AB$1006:AO1006),$AB$1006:$AQ$1006,0)))),"Fix")))</f>
        <v>0</v>
      </c>
      <c r="P992" s="5">
        <f>IF(OR(INDEX($V$2:$V$1001,MATCH(ROWS($U$2:U992),$U$2:$U$1001,0),1)&gt;=100000,INDEX($AB$1005:$AQ$1005,1,MATCH(COLUMNS($AB$1006:AP1006),$AB$1006:$AQ$1006,0))&gt;=100000), " ",IF(INDEX($AB$2:$AQ$1001,MATCH(ROWS($U$2:U992),$U$2:$U$1001,0),MATCH(COLUMNS($AB$1006:AP1006),$AB$1006:$AQ$1006,0)), HYPERLINK("#",""), HYPERLINK(CONCATENATE("#Metadata!", ADDRESS(INDEX($W$2:$W$1001,MATCH(ROWS($U$2:U992),$U$2:$U$1001,0),0), INDEX($AB$1004:$AQ$1004,1,MATCH(COLUMNS($AB$1006:AP1006),$AB$1006:$AQ$1006,0)))),"Fix")))</f>
        <v>0</v>
      </c>
      <c r="Q992" s="5">
        <f>IF(OR(INDEX($V$2:$V$1001,MATCH(ROWS($U$2:U992),$U$2:$U$1001,0),1)&gt;=100000,INDEX($AB$1005:$AQ$1005,1,MATCH(COLUMNS($AB$1006:AQ1006),$AB$1006:$AQ$1006,0))&gt;=100000), " ",IF(INDEX($AB$2:$AQ$1001,MATCH(ROWS($U$2:U992),$U$2:$U$1001,0),MATCH(COLUMNS($AB$1006:AQ1006),$AB$1006:$AQ$1006,0)), HYPERLINK("#",""), HYPERLINK(CONCATENATE("#Metadata!", ADDRESS(INDEX($W$2:$W$1001,MATCH(ROWS($U$2:U992),$U$2:$U$1001,0),0), INDEX($AB$1004:$AQ$1004,1,MATCH(COLUMNS($AB$1006:AQ1006),$AB$1006:$AQ$1006,0)))),"Fix")))</f>
        <v>0</v>
      </c>
      <c r="U992">
        <v>0</v>
      </c>
      <c r="V992">
        <v>0</v>
      </c>
      <c r="W992">
        <v>0</v>
      </c>
      <c r="X992">
        <f>IF(Y992,TRUE,AND(AB992:AQ992))</f>
        <v>0</v>
      </c>
      <c r="Y992">
        <f>COUNTBLANK(Metadata!B992:Q992)=COLUMNS(Metadata!B992:Q992)</f>
        <v>0</v>
      </c>
      <c r="Z992">
        <v>0</v>
      </c>
      <c r="AB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AC992">
        <f>AND(IF(Metadata!C992="",FALSE,TRUE),exact(Metadata!C992,"urban biome"))</f>
        <v>0</v>
      </c>
      <c r="AD992">
        <f>AND(IF(Metadata!D992="",FALSE,TRUE),exact(Metadata!D992,"human-associated habitat"))</f>
        <v>0</v>
      </c>
      <c r="AE992">
        <f>AND(IF(Metadata!E992="",FALSE,TRUE),OR(exact(Metadata!E992,"human-associated"),exact(Metadata!E992,"human-skin"),exact(Metadata!E992,"human-oral"),exact(Metadata!E992,"human-gut"),exact(Metadata!E992,"human-vaginal")))</f>
        <v>0</v>
      </c>
      <c r="AF992">
        <f>AND(IF(Metadata!F992="",FALSE,ISNUMBER(VALUE(Metadata!F992))),Metadata!F992&gt;0)</f>
        <v>0</v>
      </c>
      <c r="AG992">
        <f>AND(IF(Metadata!G992="",FALSE,TRUE),exact(Metadata!G992,"years"))</f>
        <v>0</v>
      </c>
      <c r="AH992">
        <f>OR(AND(IF(Metadata!H992="",FALSE,TRUE),OR(exact(Metadata!H992,"not applicable"),exact(Metadata!H992,"not collected"),exact(Metadata!H992,"not provided"),exact(Metadata!H992,"restricted access"))),AND(IF(Metadata!H992="",FALSE,ISNUMBER(VALUE(Metadata!H992))),Metadata!H992&gt;0))</f>
        <v>0</v>
      </c>
      <c r="AI992">
        <f>AND(IF(Metadata!I992="",FALSE,TRUE),exact(Metadata!I992,"human"))</f>
        <v>0</v>
      </c>
      <c r="AJ992">
        <f>AND(IF(Metadata!J992="",FALSE,ISNUMBER(VALUE(Metadata!J992))),Metadata!J992&gt;0)</f>
        <v>0</v>
      </c>
      <c r="AK992">
        <f>AND(IF(Metadata!K992="",FALSE,TRUE),exact(Metadata!K992,"cm"))</f>
        <v>0</v>
      </c>
      <c r="AL992">
        <f>AND(IF(Metadata!L992="",FALSE,TRUE),exact(Metadata!L992,"Homo sapiens"))</f>
        <v>0</v>
      </c>
      <c r="AM992">
        <f>AND(IF(Metadata!M992="",FALSE,TRUE),exact(Metadata!M992,"9606"))</f>
        <v>0</v>
      </c>
      <c r="AN992">
        <f>AND(IF(Metadata!N992="",FALSE,ISNUMBER(VALUE(Metadata!N992))),Metadata!N992&gt;0)</f>
        <v>0</v>
      </c>
      <c r="AO992">
        <f>AND(IF(Metadata!O992="",FALSE,TRUE),exact(Metadata!O992,"kg"))</f>
        <v>0</v>
      </c>
      <c r="AP992">
        <f>OR(AND(IF(Metadata!P992="",FALSE,TRUE),exact(Metadata!P992,"not provided")),IF(Metadata!P992="",FALSE,TRUE))</f>
        <v>0</v>
      </c>
      <c r="AQ992">
        <f>OR(AND(IF(Metadata!Q992="",FALSE,TRUE),exact(Metadata!Q992,"not provided")),IF(Metadata!Q992="",FALSE,TRUE))</f>
        <v>0</v>
      </c>
    </row>
    <row r="993" spans="1:43">
      <c r="A993" s="4">
        <f>IF(B993=" "," ",HYPERLINK(CONCATENATE("#metadata!",ADDRESS(INDEX($W$2:$W$1001,MATCH(ROWS($U$2:U993),$U$2:$U$1001,0),0),2)),INDEX($Z$2:$Z$1001,MATCH(ROWS($U$2:U993),$U$2:$U$1001,0),0)))</f>
        <v>0</v>
      </c>
      <c r="B993" s="5">
        <f>IF(OR(INDEX($V$2:$V$1001,MATCH(ROWS($U$2:U993),$U$2:$U$1001,0),1)&gt;=100000,INDEX($AB$1005:$AQ$1005,1,MATCH(COLUMNS($AB$1006:AB1006),$AB$1006:$AQ$1006,0))&gt;=100000), " ",IF(INDEX($AB$2:$AQ$1001,MATCH(ROWS($U$2:U993),$U$2:$U$1001,0),MATCH(COLUMNS($AB$1006:AB1006),$AB$1006:$AQ$1006,0)), HYPERLINK("#",""), HYPERLINK(CONCATENATE("#Metadata!", ADDRESS(INDEX($W$2:$W$1001,MATCH(ROWS($U$2:U993),$U$2:$U$1001,0),0), INDEX($AB$1004:$AQ$1004,1,MATCH(COLUMNS($AB$1006:AB1006),$AB$1006:$AQ$1006,0)))),"Fix")))</f>
        <v>0</v>
      </c>
      <c r="C993" s="5">
        <f>IF(OR(INDEX($V$2:$V$1001,MATCH(ROWS($U$2:U993),$U$2:$U$1001,0),1)&gt;=100000,INDEX($AB$1005:$AQ$1005,1,MATCH(COLUMNS($AB$1006:AC1006),$AB$1006:$AQ$1006,0))&gt;=100000), " ",IF(INDEX($AB$2:$AQ$1001,MATCH(ROWS($U$2:U993),$U$2:$U$1001,0),MATCH(COLUMNS($AB$1006:AC1006),$AB$1006:$AQ$1006,0)), HYPERLINK("#",""), HYPERLINK(CONCATENATE("#Metadata!", ADDRESS(INDEX($W$2:$W$1001,MATCH(ROWS($U$2:U993),$U$2:$U$1001,0),0), INDEX($AB$1004:$AQ$1004,1,MATCH(COLUMNS($AB$1006:AC1006),$AB$1006:$AQ$1006,0)))),"Fix")))</f>
        <v>0</v>
      </c>
      <c r="D993" s="5">
        <f>IF(OR(INDEX($V$2:$V$1001,MATCH(ROWS($U$2:U993),$U$2:$U$1001,0),1)&gt;=100000,INDEX($AB$1005:$AQ$1005,1,MATCH(COLUMNS($AB$1006:AD1006),$AB$1006:$AQ$1006,0))&gt;=100000), " ",IF(INDEX($AB$2:$AQ$1001,MATCH(ROWS($U$2:U993),$U$2:$U$1001,0),MATCH(COLUMNS($AB$1006:AD1006),$AB$1006:$AQ$1006,0)), HYPERLINK("#",""), HYPERLINK(CONCATENATE("#Metadata!", ADDRESS(INDEX($W$2:$W$1001,MATCH(ROWS($U$2:U993),$U$2:$U$1001,0),0), INDEX($AB$1004:$AQ$1004,1,MATCH(COLUMNS($AB$1006:AD1006),$AB$1006:$AQ$1006,0)))),"Fix")))</f>
        <v>0</v>
      </c>
      <c r="E993" s="5">
        <f>IF(OR(INDEX($V$2:$V$1001,MATCH(ROWS($U$2:U993),$U$2:$U$1001,0),1)&gt;=100000,INDEX($AB$1005:$AQ$1005,1,MATCH(COLUMNS($AB$1006:AE1006),$AB$1006:$AQ$1006,0))&gt;=100000), " ",IF(INDEX($AB$2:$AQ$1001,MATCH(ROWS($U$2:U993),$U$2:$U$1001,0),MATCH(COLUMNS($AB$1006:AE1006),$AB$1006:$AQ$1006,0)), HYPERLINK("#",""), HYPERLINK(CONCATENATE("#Metadata!", ADDRESS(INDEX($W$2:$W$1001,MATCH(ROWS($U$2:U993),$U$2:$U$1001,0),0), INDEX($AB$1004:$AQ$1004,1,MATCH(COLUMNS($AB$1006:AE1006),$AB$1006:$AQ$1006,0)))),"Fix")))</f>
        <v>0</v>
      </c>
      <c r="F993" s="5">
        <f>IF(OR(INDEX($V$2:$V$1001,MATCH(ROWS($U$2:U993),$U$2:$U$1001,0),1)&gt;=100000,INDEX($AB$1005:$AQ$1005,1,MATCH(COLUMNS($AB$1006:AF1006),$AB$1006:$AQ$1006,0))&gt;=100000), " ",IF(INDEX($AB$2:$AQ$1001,MATCH(ROWS($U$2:U993),$U$2:$U$1001,0),MATCH(COLUMNS($AB$1006:AF1006),$AB$1006:$AQ$1006,0)), HYPERLINK("#",""), HYPERLINK(CONCATENATE("#Metadata!", ADDRESS(INDEX($W$2:$W$1001,MATCH(ROWS($U$2:U993),$U$2:$U$1001,0),0), INDEX($AB$1004:$AQ$1004,1,MATCH(COLUMNS($AB$1006:AF1006),$AB$1006:$AQ$1006,0)))),"Fix")))</f>
        <v>0</v>
      </c>
      <c r="G993" s="5">
        <f>IF(OR(INDEX($V$2:$V$1001,MATCH(ROWS($U$2:U993),$U$2:$U$1001,0),1)&gt;=100000,INDEX($AB$1005:$AQ$1005,1,MATCH(COLUMNS($AB$1006:AG1006),$AB$1006:$AQ$1006,0))&gt;=100000), " ",IF(INDEX($AB$2:$AQ$1001,MATCH(ROWS($U$2:U993),$U$2:$U$1001,0),MATCH(COLUMNS($AB$1006:AG1006),$AB$1006:$AQ$1006,0)), HYPERLINK("#",""), HYPERLINK(CONCATENATE("#Metadata!", ADDRESS(INDEX($W$2:$W$1001,MATCH(ROWS($U$2:U993),$U$2:$U$1001,0),0), INDEX($AB$1004:$AQ$1004,1,MATCH(COLUMNS($AB$1006:AG1006),$AB$1006:$AQ$1006,0)))),"Fix")))</f>
        <v>0</v>
      </c>
      <c r="H993" s="5">
        <f>IF(OR(INDEX($V$2:$V$1001,MATCH(ROWS($U$2:U993),$U$2:$U$1001,0),1)&gt;=100000,INDEX($AB$1005:$AQ$1005,1,MATCH(COLUMNS($AB$1006:AH1006),$AB$1006:$AQ$1006,0))&gt;=100000), " ",IF(INDEX($AB$2:$AQ$1001,MATCH(ROWS($U$2:U993),$U$2:$U$1001,0),MATCH(COLUMNS($AB$1006:AH1006),$AB$1006:$AQ$1006,0)), HYPERLINK("#",""), HYPERLINK(CONCATENATE("#Metadata!", ADDRESS(INDEX($W$2:$W$1001,MATCH(ROWS($U$2:U993),$U$2:$U$1001,0),0), INDEX($AB$1004:$AQ$1004,1,MATCH(COLUMNS($AB$1006:AH1006),$AB$1006:$AQ$1006,0)))),"Fix")))</f>
        <v>0</v>
      </c>
      <c r="I993" s="5">
        <f>IF(OR(INDEX($V$2:$V$1001,MATCH(ROWS($U$2:U993),$U$2:$U$1001,0),1)&gt;=100000,INDEX($AB$1005:$AQ$1005,1,MATCH(COLUMNS($AB$1006:AI1006),$AB$1006:$AQ$1006,0))&gt;=100000), " ",IF(INDEX($AB$2:$AQ$1001,MATCH(ROWS($U$2:U993),$U$2:$U$1001,0),MATCH(COLUMNS($AB$1006:AI1006),$AB$1006:$AQ$1006,0)), HYPERLINK("#",""), HYPERLINK(CONCATENATE("#Metadata!", ADDRESS(INDEX($W$2:$W$1001,MATCH(ROWS($U$2:U993),$U$2:$U$1001,0),0), INDEX($AB$1004:$AQ$1004,1,MATCH(COLUMNS($AB$1006:AI1006),$AB$1006:$AQ$1006,0)))),"Fix")))</f>
        <v>0</v>
      </c>
      <c r="J993" s="5">
        <f>IF(OR(INDEX($V$2:$V$1001,MATCH(ROWS($U$2:U993),$U$2:$U$1001,0),1)&gt;=100000,INDEX($AB$1005:$AQ$1005,1,MATCH(COLUMNS($AB$1006:AJ1006),$AB$1006:$AQ$1006,0))&gt;=100000), " ",IF(INDEX($AB$2:$AQ$1001,MATCH(ROWS($U$2:U993),$U$2:$U$1001,0),MATCH(COLUMNS($AB$1006:AJ1006),$AB$1006:$AQ$1006,0)), HYPERLINK("#",""), HYPERLINK(CONCATENATE("#Metadata!", ADDRESS(INDEX($W$2:$W$1001,MATCH(ROWS($U$2:U993),$U$2:$U$1001,0),0), INDEX($AB$1004:$AQ$1004,1,MATCH(COLUMNS($AB$1006:AJ1006),$AB$1006:$AQ$1006,0)))),"Fix")))</f>
        <v>0</v>
      </c>
      <c r="K993" s="5">
        <f>IF(OR(INDEX($V$2:$V$1001,MATCH(ROWS($U$2:U993),$U$2:$U$1001,0),1)&gt;=100000,INDEX($AB$1005:$AQ$1005,1,MATCH(COLUMNS($AB$1006:AK1006),$AB$1006:$AQ$1006,0))&gt;=100000), " ",IF(INDEX($AB$2:$AQ$1001,MATCH(ROWS($U$2:U993),$U$2:$U$1001,0),MATCH(COLUMNS($AB$1006:AK1006),$AB$1006:$AQ$1006,0)), HYPERLINK("#",""), HYPERLINK(CONCATENATE("#Metadata!", ADDRESS(INDEX($W$2:$W$1001,MATCH(ROWS($U$2:U993),$U$2:$U$1001,0),0), INDEX($AB$1004:$AQ$1004,1,MATCH(COLUMNS($AB$1006:AK1006),$AB$1006:$AQ$1006,0)))),"Fix")))</f>
        <v>0</v>
      </c>
      <c r="L993" s="5">
        <f>IF(OR(INDEX($V$2:$V$1001,MATCH(ROWS($U$2:U993),$U$2:$U$1001,0),1)&gt;=100000,INDEX($AB$1005:$AQ$1005,1,MATCH(COLUMNS($AB$1006:AL1006),$AB$1006:$AQ$1006,0))&gt;=100000), " ",IF(INDEX($AB$2:$AQ$1001,MATCH(ROWS($U$2:U993),$U$2:$U$1001,0),MATCH(COLUMNS($AB$1006:AL1006),$AB$1006:$AQ$1006,0)), HYPERLINK("#",""), HYPERLINK(CONCATENATE("#Metadata!", ADDRESS(INDEX($W$2:$W$1001,MATCH(ROWS($U$2:U993),$U$2:$U$1001,0),0), INDEX($AB$1004:$AQ$1004,1,MATCH(COLUMNS($AB$1006:AL1006),$AB$1006:$AQ$1006,0)))),"Fix")))</f>
        <v>0</v>
      </c>
      <c r="M993" s="5">
        <f>IF(OR(INDEX($V$2:$V$1001,MATCH(ROWS($U$2:U993),$U$2:$U$1001,0),1)&gt;=100000,INDEX($AB$1005:$AQ$1005,1,MATCH(COLUMNS($AB$1006:AM1006),$AB$1006:$AQ$1006,0))&gt;=100000), " ",IF(INDEX($AB$2:$AQ$1001,MATCH(ROWS($U$2:U993),$U$2:$U$1001,0),MATCH(COLUMNS($AB$1006:AM1006),$AB$1006:$AQ$1006,0)), HYPERLINK("#",""), HYPERLINK(CONCATENATE("#Metadata!", ADDRESS(INDEX($W$2:$W$1001,MATCH(ROWS($U$2:U993),$U$2:$U$1001,0),0), INDEX($AB$1004:$AQ$1004,1,MATCH(COLUMNS($AB$1006:AM1006),$AB$1006:$AQ$1006,0)))),"Fix")))</f>
        <v>0</v>
      </c>
      <c r="N993" s="5">
        <f>IF(OR(INDEX($V$2:$V$1001,MATCH(ROWS($U$2:U993),$U$2:$U$1001,0),1)&gt;=100000,INDEX($AB$1005:$AQ$1005,1,MATCH(COLUMNS($AB$1006:AN1006),$AB$1006:$AQ$1006,0))&gt;=100000), " ",IF(INDEX($AB$2:$AQ$1001,MATCH(ROWS($U$2:U993),$U$2:$U$1001,0),MATCH(COLUMNS($AB$1006:AN1006),$AB$1006:$AQ$1006,0)), HYPERLINK("#",""), HYPERLINK(CONCATENATE("#Metadata!", ADDRESS(INDEX($W$2:$W$1001,MATCH(ROWS($U$2:U993),$U$2:$U$1001,0),0), INDEX($AB$1004:$AQ$1004,1,MATCH(COLUMNS($AB$1006:AN1006),$AB$1006:$AQ$1006,0)))),"Fix")))</f>
        <v>0</v>
      </c>
      <c r="O993" s="5">
        <f>IF(OR(INDEX($V$2:$V$1001,MATCH(ROWS($U$2:U993),$U$2:$U$1001,0),1)&gt;=100000,INDEX($AB$1005:$AQ$1005,1,MATCH(COLUMNS($AB$1006:AO1006),$AB$1006:$AQ$1006,0))&gt;=100000), " ",IF(INDEX($AB$2:$AQ$1001,MATCH(ROWS($U$2:U993),$U$2:$U$1001,0),MATCH(COLUMNS($AB$1006:AO1006),$AB$1006:$AQ$1006,0)), HYPERLINK("#",""), HYPERLINK(CONCATENATE("#Metadata!", ADDRESS(INDEX($W$2:$W$1001,MATCH(ROWS($U$2:U993),$U$2:$U$1001,0),0), INDEX($AB$1004:$AQ$1004,1,MATCH(COLUMNS($AB$1006:AO1006),$AB$1006:$AQ$1006,0)))),"Fix")))</f>
        <v>0</v>
      </c>
      <c r="P993" s="5">
        <f>IF(OR(INDEX($V$2:$V$1001,MATCH(ROWS($U$2:U993),$U$2:$U$1001,0),1)&gt;=100000,INDEX($AB$1005:$AQ$1005,1,MATCH(COLUMNS($AB$1006:AP1006),$AB$1006:$AQ$1006,0))&gt;=100000), " ",IF(INDEX($AB$2:$AQ$1001,MATCH(ROWS($U$2:U993),$U$2:$U$1001,0),MATCH(COLUMNS($AB$1006:AP1006),$AB$1006:$AQ$1006,0)), HYPERLINK("#",""), HYPERLINK(CONCATENATE("#Metadata!", ADDRESS(INDEX($W$2:$W$1001,MATCH(ROWS($U$2:U993),$U$2:$U$1001,0),0), INDEX($AB$1004:$AQ$1004,1,MATCH(COLUMNS($AB$1006:AP1006),$AB$1006:$AQ$1006,0)))),"Fix")))</f>
        <v>0</v>
      </c>
      <c r="Q993" s="5">
        <f>IF(OR(INDEX($V$2:$V$1001,MATCH(ROWS($U$2:U993),$U$2:$U$1001,0),1)&gt;=100000,INDEX($AB$1005:$AQ$1005,1,MATCH(COLUMNS($AB$1006:AQ1006),$AB$1006:$AQ$1006,0))&gt;=100000), " ",IF(INDEX($AB$2:$AQ$1001,MATCH(ROWS($U$2:U993),$U$2:$U$1001,0),MATCH(COLUMNS($AB$1006:AQ1006),$AB$1006:$AQ$1006,0)), HYPERLINK("#",""), HYPERLINK(CONCATENATE("#Metadata!", ADDRESS(INDEX($W$2:$W$1001,MATCH(ROWS($U$2:U993),$U$2:$U$1001,0),0), INDEX($AB$1004:$AQ$1004,1,MATCH(COLUMNS($AB$1006:AQ1006),$AB$1006:$AQ$1006,0)))),"Fix")))</f>
        <v>0</v>
      </c>
      <c r="U993">
        <v>0</v>
      </c>
      <c r="V993">
        <v>0</v>
      </c>
      <c r="W993">
        <v>0</v>
      </c>
      <c r="X993">
        <f>IF(Y993,TRUE,AND(AB993:AQ993))</f>
        <v>0</v>
      </c>
      <c r="Y993">
        <f>COUNTBLANK(Metadata!B993:Q993)=COLUMNS(Metadata!B993:Q993)</f>
        <v>0</v>
      </c>
      <c r="Z993">
        <v>0</v>
      </c>
      <c r="AB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AC993">
        <f>AND(IF(Metadata!C993="",FALSE,TRUE),exact(Metadata!C993,"urban biome"))</f>
        <v>0</v>
      </c>
      <c r="AD993">
        <f>AND(IF(Metadata!D993="",FALSE,TRUE),exact(Metadata!D993,"human-associated habitat"))</f>
        <v>0</v>
      </c>
      <c r="AE993">
        <f>AND(IF(Metadata!E993="",FALSE,TRUE),OR(exact(Metadata!E993,"human-associated"),exact(Metadata!E993,"human-skin"),exact(Metadata!E993,"human-oral"),exact(Metadata!E993,"human-gut"),exact(Metadata!E993,"human-vaginal")))</f>
        <v>0</v>
      </c>
      <c r="AF993">
        <f>AND(IF(Metadata!F993="",FALSE,ISNUMBER(VALUE(Metadata!F993))),Metadata!F993&gt;0)</f>
        <v>0</v>
      </c>
      <c r="AG993">
        <f>AND(IF(Metadata!G993="",FALSE,TRUE),exact(Metadata!G993,"years"))</f>
        <v>0</v>
      </c>
      <c r="AH993">
        <f>OR(AND(IF(Metadata!H993="",FALSE,TRUE),OR(exact(Metadata!H993,"not applicable"),exact(Metadata!H993,"not collected"),exact(Metadata!H993,"not provided"),exact(Metadata!H993,"restricted access"))),AND(IF(Metadata!H993="",FALSE,ISNUMBER(VALUE(Metadata!H993))),Metadata!H993&gt;0))</f>
        <v>0</v>
      </c>
      <c r="AI993">
        <f>AND(IF(Metadata!I993="",FALSE,TRUE),exact(Metadata!I993,"human"))</f>
        <v>0</v>
      </c>
      <c r="AJ993">
        <f>AND(IF(Metadata!J993="",FALSE,ISNUMBER(VALUE(Metadata!J993))),Metadata!J993&gt;0)</f>
        <v>0</v>
      </c>
      <c r="AK993">
        <f>AND(IF(Metadata!K993="",FALSE,TRUE),exact(Metadata!K993,"cm"))</f>
        <v>0</v>
      </c>
      <c r="AL993">
        <f>AND(IF(Metadata!L993="",FALSE,TRUE),exact(Metadata!L993,"Homo sapiens"))</f>
        <v>0</v>
      </c>
      <c r="AM993">
        <f>AND(IF(Metadata!M993="",FALSE,TRUE),exact(Metadata!M993,"9606"))</f>
        <v>0</v>
      </c>
      <c r="AN993">
        <f>AND(IF(Metadata!N993="",FALSE,ISNUMBER(VALUE(Metadata!N993))),Metadata!N993&gt;0)</f>
        <v>0</v>
      </c>
      <c r="AO993">
        <f>AND(IF(Metadata!O993="",FALSE,TRUE),exact(Metadata!O993,"kg"))</f>
        <v>0</v>
      </c>
      <c r="AP993">
        <f>OR(AND(IF(Metadata!P993="",FALSE,TRUE),exact(Metadata!P993,"not provided")),IF(Metadata!P993="",FALSE,TRUE))</f>
        <v>0</v>
      </c>
      <c r="AQ993">
        <f>OR(AND(IF(Metadata!Q993="",FALSE,TRUE),exact(Metadata!Q993,"not provided")),IF(Metadata!Q993="",FALSE,TRUE))</f>
        <v>0</v>
      </c>
    </row>
    <row r="994" spans="1:43">
      <c r="A994" s="4">
        <f>IF(B994=" "," ",HYPERLINK(CONCATENATE("#metadata!",ADDRESS(INDEX($W$2:$W$1001,MATCH(ROWS($U$2:U994),$U$2:$U$1001,0),0),2)),INDEX($Z$2:$Z$1001,MATCH(ROWS($U$2:U994),$U$2:$U$1001,0),0)))</f>
        <v>0</v>
      </c>
      <c r="B994" s="5">
        <f>IF(OR(INDEX($V$2:$V$1001,MATCH(ROWS($U$2:U994),$U$2:$U$1001,0),1)&gt;=100000,INDEX($AB$1005:$AQ$1005,1,MATCH(COLUMNS($AB$1006:AB1006),$AB$1006:$AQ$1006,0))&gt;=100000), " ",IF(INDEX($AB$2:$AQ$1001,MATCH(ROWS($U$2:U994),$U$2:$U$1001,0),MATCH(COLUMNS($AB$1006:AB1006),$AB$1006:$AQ$1006,0)), HYPERLINK("#",""), HYPERLINK(CONCATENATE("#Metadata!", ADDRESS(INDEX($W$2:$W$1001,MATCH(ROWS($U$2:U994),$U$2:$U$1001,0),0), INDEX($AB$1004:$AQ$1004,1,MATCH(COLUMNS($AB$1006:AB1006),$AB$1006:$AQ$1006,0)))),"Fix")))</f>
        <v>0</v>
      </c>
      <c r="C994" s="5">
        <f>IF(OR(INDEX($V$2:$V$1001,MATCH(ROWS($U$2:U994),$U$2:$U$1001,0),1)&gt;=100000,INDEX($AB$1005:$AQ$1005,1,MATCH(COLUMNS($AB$1006:AC1006),$AB$1006:$AQ$1006,0))&gt;=100000), " ",IF(INDEX($AB$2:$AQ$1001,MATCH(ROWS($U$2:U994),$U$2:$U$1001,0),MATCH(COLUMNS($AB$1006:AC1006),$AB$1006:$AQ$1006,0)), HYPERLINK("#",""), HYPERLINK(CONCATENATE("#Metadata!", ADDRESS(INDEX($W$2:$W$1001,MATCH(ROWS($U$2:U994),$U$2:$U$1001,0),0), INDEX($AB$1004:$AQ$1004,1,MATCH(COLUMNS($AB$1006:AC1006),$AB$1006:$AQ$1006,0)))),"Fix")))</f>
        <v>0</v>
      </c>
      <c r="D994" s="5">
        <f>IF(OR(INDEX($V$2:$V$1001,MATCH(ROWS($U$2:U994),$U$2:$U$1001,0),1)&gt;=100000,INDEX($AB$1005:$AQ$1005,1,MATCH(COLUMNS($AB$1006:AD1006),$AB$1006:$AQ$1006,0))&gt;=100000), " ",IF(INDEX($AB$2:$AQ$1001,MATCH(ROWS($U$2:U994),$U$2:$U$1001,0),MATCH(COLUMNS($AB$1006:AD1006),$AB$1006:$AQ$1006,0)), HYPERLINK("#",""), HYPERLINK(CONCATENATE("#Metadata!", ADDRESS(INDEX($W$2:$W$1001,MATCH(ROWS($U$2:U994),$U$2:$U$1001,0),0), INDEX($AB$1004:$AQ$1004,1,MATCH(COLUMNS($AB$1006:AD1006),$AB$1006:$AQ$1006,0)))),"Fix")))</f>
        <v>0</v>
      </c>
      <c r="E994" s="5">
        <f>IF(OR(INDEX($V$2:$V$1001,MATCH(ROWS($U$2:U994),$U$2:$U$1001,0),1)&gt;=100000,INDEX($AB$1005:$AQ$1005,1,MATCH(COLUMNS($AB$1006:AE1006),$AB$1006:$AQ$1006,0))&gt;=100000), " ",IF(INDEX($AB$2:$AQ$1001,MATCH(ROWS($U$2:U994),$U$2:$U$1001,0),MATCH(COLUMNS($AB$1006:AE1006),$AB$1006:$AQ$1006,0)), HYPERLINK("#",""), HYPERLINK(CONCATENATE("#Metadata!", ADDRESS(INDEX($W$2:$W$1001,MATCH(ROWS($U$2:U994),$U$2:$U$1001,0),0), INDEX($AB$1004:$AQ$1004,1,MATCH(COLUMNS($AB$1006:AE1006),$AB$1006:$AQ$1006,0)))),"Fix")))</f>
        <v>0</v>
      </c>
      <c r="F994" s="5">
        <f>IF(OR(INDEX($V$2:$V$1001,MATCH(ROWS($U$2:U994),$U$2:$U$1001,0),1)&gt;=100000,INDEX($AB$1005:$AQ$1005,1,MATCH(COLUMNS($AB$1006:AF1006),$AB$1006:$AQ$1006,0))&gt;=100000), " ",IF(INDEX($AB$2:$AQ$1001,MATCH(ROWS($U$2:U994),$U$2:$U$1001,0),MATCH(COLUMNS($AB$1006:AF1006),$AB$1006:$AQ$1006,0)), HYPERLINK("#",""), HYPERLINK(CONCATENATE("#Metadata!", ADDRESS(INDEX($W$2:$W$1001,MATCH(ROWS($U$2:U994),$U$2:$U$1001,0),0), INDEX($AB$1004:$AQ$1004,1,MATCH(COLUMNS($AB$1006:AF1006),$AB$1006:$AQ$1006,0)))),"Fix")))</f>
        <v>0</v>
      </c>
      <c r="G994" s="5">
        <f>IF(OR(INDEX($V$2:$V$1001,MATCH(ROWS($U$2:U994),$U$2:$U$1001,0),1)&gt;=100000,INDEX($AB$1005:$AQ$1005,1,MATCH(COLUMNS($AB$1006:AG1006),$AB$1006:$AQ$1006,0))&gt;=100000), " ",IF(INDEX($AB$2:$AQ$1001,MATCH(ROWS($U$2:U994),$U$2:$U$1001,0),MATCH(COLUMNS($AB$1006:AG1006),$AB$1006:$AQ$1006,0)), HYPERLINK("#",""), HYPERLINK(CONCATENATE("#Metadata!", ADDRESS(INDEX($W$2:$W$1001,MATCH(ROWS($U$2:U994),$U$2:$U$1001,0),0), INDEX($AB$1004:$AQ$1004,1,MATCH(COLUMNS($AB$1006:AG1006),$AB$1006:$AQ$1006,0)))),"Fix")))</f>
        <v>0</v>
      </c>
      <c r="H994" s="5">
        <f>IF(OR(INDEX($V$2:$V$1001,MATCH(ROWS($U$2:U994),$U$2:$U$1001,0),1)&gt;=100000,INDEX($AB$1005:$AQ$1005,1,MATCH(COLUMNS($AB$1006:AH1006),$AB$1006:$AQ$1006,0))&gt;=100000), " ",IF(INDEX($AB$2:$AQ$1001,MATCH(ROWS($U$2:U994),$U$2:$U$1001,0),MATCH(COLUMNS($AB$1006:AH1006),$AB$1006:$AQ$1006,0)), HYPERLINK("#",""), HYPERLINK(CONCATENATE("#Metadata!", ADDRESS(INDEX($W$2:$W$1001,MATCH(ROWS($U$2:U994),$U$2:$U$1001,0),0), INDEX($AB$1004:$AQ$1004,1,MATCH(COLUMNS($AB$1006:AH1006),$AB$1006:$AQ$1006,0)))),"Fix")))</f>
        <v>0</v>
      </c>
      <c r="I994" s="5">
        <f>IF(OR(INDEX($V$2:$V$1001,MATCH(ROWS($U$2:U994),$U$2:$U$1001,0),1)&gt;=100000,INDEX($AB$1005:$AQ$1005,1,MATCH(COLUMNS($AB$1006:AI1006),$AB$1006:$AQ$1006,0))&gt;=100000), " ",IF(INDEX($AB$2:$AQ$1001,MATCH(ROWS($U$2:U994),$U$2:$U$1001,0),MATCH(COLUMNS($AB$1006:AI1006),$AB$1006:$AQ$1006,0)), HYPERLINK("#",""), HYPERLINK(CONCATENATE("#Metadata!", ADDRESS(INDEX($W$2:$W$1001,MATCH(ROWS($U$2:U994),$U$2:$U$1001,0),0), INDEX($AB$1004:$AQ$1004,1,MATCH(COLUMNS($AB$1006:AI1006),$AB$1006:$AQ$1006,0)))),"Fix")))</f>
        <v>0</v>
      </c>
      <c r="J994" s="5">
        <f>IF(OR(INDEX($V$2:$V$1001,MATCH(ROWS($U$2:U994),$U$2:$U$1001,0),1)&gt;=100000,INDEX($AB$1005:$AQ$1005,1,MATCH(COLUMNS($AB$1006:AJ1006),$AB$1006:$AQ$1006,0))&gt;=100000), " ",IF(INDEX($AB$2:$AQ$1001,MATCH(ROWS($U$2:U994),$U$2:$U$1001,0),MATCH(COLUMNS($AB$1006:AJ1006),$AB$1006:$AQ$1006,0)), HYPERLINK("#",""), HYPERLINK(CONCATENATE("#Metadata!", ADDRESS(INDEX($W$2:$W$1001,MATCH(ROWS($U$2:U994),$U$2:$U$1001,0),0), INDEX($AB$1004:$AQ$1004,1,MATCH(COLUMNS($AB$1006:AJ1006),$AB$1006:$AQ$1006,0)))),"Fix")))</f>
        <v>0</v>
      </c>
      <c r="K994" s="5">
        <f>IF(OR(INDEX($V$2:$V$1001,MATCH(ROWS($U$2:U994),$U$2:$U$1001,0),1)&gt;=100000,INDEX($AB$1005:$AQ$1005,1,MATCH(COLUMNS($AB$1006:AK1006),$AB$1006:$AQ$1006,0))&gt;=100000), " ",IF(INDEX($AB$2:$AQ$1001,MATCH(ROWS($U$2:U994),$U$2:$U$1001,0),MATCH(COLUMNS($AB$1006:AK1006),$AB$1006:$AQ$1006,0)), HYPERLINK("#",""), HYPERLINK(CONCATENATE("#Metadata!", ADDRESS(INDEX($W$2:$W$1001,MATCH(ROWS($U$2:U994),$U$2:$U$1001,0),0), INDEX($AB$1004:$AQ$1004,1,MATCH(COLUMNS($AB$1006:AK1006),$AB$1006:$AQ$1006,0)))),"Fix")))</f>
        <v>0</v>
      </c>
      <c r="L994" s="5">
        <f>IF(OR(INDEX($V$2:$V$1001,MATCH(ROWS($U$2:U994),$U$2:$U$1001,0),1)&gt;=100000,INDEX($AB$1005:$AQ$1005,1,MATCH(COLUMNS($AB$1006:AL1006),$AB$1006:$AQ$1006,0))&gt;=100000), " ",IF(INDEX($AB$2:$AQ$1001,MATCH(ROWS($U$2:U994),$U$2:$U$1001,0),MATCH(COLUMNS($AB$1006:AL1006),$AB$1006:$AQ$1006,0)), HYPERLINK("#",""), HYPERLINK(CONCATENATE("#Metadata!", ADDRESS(INDEX($W$2:$W$1001,MATCH(ROWS($U$2:U994),$U$2:$U$1001,0),0), INDEX($AB$1004:$AQ$1004,1,MATCH(COLUMNS($AB$1006:AL1006),$AB$1006:$AQ$1006,0)))),"Fix")))</f>
        <v>0</v>
      </c>
      <c r="M994" s="5">
        <f>IF(OR(INDEX($V$2:$V$1001,MATCH(ROWS($U$2:U994),$U$2:$U$1001,0),1)&gt;=100000,INDEX($AB$1005:$AQ$1005,1,MATCH(COLUMNS($AB$1006:AM1006),$AB$1006:$AQ$1006,0))&gt;=100000), " ",IF(INDEX($AB$2:$AQ$1001,MATCH(ROWS($U$2:U994),$U$2:$U$1001,0),MATCH(COLUMNS($AB$1006:AM1006),$AB$1006:$AQ$1006,0)), HYPERLINK("#",""), HYPERLINK(CONCATENATE("#Metadata!", ADDRESS(INDEX($W$2:$W$1001,MATCH(ROWS($U$2:U994),$U$2:$U$1001,0),0), INDEX($AB$1004:$AQ$1004,1,MATCH(COLUMNS($AB$1006:AM1006),$AB$1006:$AQ$1006,0)))),"Fix")))</f>
        <v>0</v>
      </c>
      <c r="N994" s="5">
        <f>IF(OR(INDEX($V$2:$V$1001,MATCH(ROWS($U$2:U994),$U$2:$U$1001,0),1)&gt;=100000,INDEX($AB$1005:$AQ$1005,1,MATCH(COLUMNS($AB$1006:AN1006),$AB$1006:$AQ$1006,0))&gt;=100000), " ",IF(INDEX($AB$2:$AQ$1001,MATCH(ROWS($U$2:U994),$U$2:$U$1001,0),MATCH(COLUMNS($AB$1006:AN1006),$AB$1006:$AQ$1006,0)), HYPERLINK("#",""), HYPERLINK(CONCATENATE("#Metadata!", ADDRESS(INDEX($W$2:$W$1001,MATCH(ROWS($U$2:U994),$U$2:$U$1001,0),0), INDEX($AB$1004:$AQ$1004,1,MATCH(COLUMNS($AB$1006:AN1006),$AB$1006:$AQ$1006,0)))),"Fix")))</f>
        <v>0</v>
      </c>
      <c r="O994" s="5">
        <f>IF(OR(INDEX($V$2:$V$1001,MATCH(ROWS($U$2:U994),$U$2:$U$1001,0),1)&gt;=100000,INDEX($AB$1005:$AQ$1005,1,MATCH(COLUMNS($AB$1006:AO1006),$AB$1006:$AQ$1006,0))&gt;=100000), " ",IF(INDEX($AB$2:$AQ$1001,MATCH(ROWS($U$2:U994),$U$2:$U$1001,0),MATCH(COLUMNS($AB$1006:AO1006),$AB$1006:$AQ$1006,0)), HYPERLINK("#",""), HYPERLINK(CONCATENATE("#Metadata!", ADDRESS(INDEX($W$2:$W$1001,MATCH(ROWS($U$2:U994),$U$2:$U$1001,0),0), INDEX($AB$1004:$AQ$1004,1,MATCH(COLUMNS($AB$1006:AO1006),$AB$1006:$AQ$1006,0)))),"Fix")))</f>
        <v>0</v>
      </c>
      <c r="P994" s="5">
        <f>IF(OR(INDEX($V$2:$V$1001,MATCH(ROWS($U$2:U994),$U$2:$U$1001,0),1)&gt;=100000,INDEX($AB$1005:$AQ$1005,1,MATCH(COLUMNS($AB$1006:AP1006),$AB$1006:$AQ$1006,0))&gt;=100000), " ",IF(INDEX($AB$2:$AQ$1001,MATCH(ROWS($U$2:U994),$U$2:$U$1001,0),MATCH(COLUMNS($AB$1006:AP1006),$AB$1006:$AQ$1006,0)), HYPERLINK("#",""), HYPERLINK(CONCATENATE("#Metadata!", ADDRESS(INDEX($W$2:$W$1001,MATCH(ROWS($U$2:U994),$U$2:$U$1001,0),0), INDEX($AB$1004:$AQ$1004,1,MATCH(COLUMNS($AB$1006:AP1006),$AB$1006:$AQ$1006,0)))),"Fix")))</f>
        <v>0</v>
      </c>
      <c r="Q994" s="5">
        <f>IF(OR(INDEX($V$2:$V$1001,MATCH(ROWS($U$2:U994),$U$2:$U$1001,0),1)&gt;=100000,INDEX($AB$1005:$AQ$1005,1,MATCH(COLUMNS($AB$1006:AQ1006),$AB$1006:$AQ$1006,0))&gt;=100000), " ",IF(INDEX($AB$2:$AQ$1001,MATCH(ROWS($U$2:U994),$U$2:$U$1001,0),MATCH(COLUMNS($AB$1006:AQ1006),$AB$1006:$AQ$1006,0)), HYPERLINK("#",""), HYPERLINK(CONCATENATE("#Metadata!", ADDRESS(INDEX($W$2:$W$1001,MATCH(ROWS($U$2:U994),$U$2:$U$1001,0),0), INDEX($AB$1004:$AQ$1004,1,MATCH(COLUMNS($AB$1006:AQ1006),$AB$1006:$AQ$1006,0)))),"Fix")))</f>
        <v>0</v>
      </c>
      <c r="U994">
        <v>0</v>
      </c>
      <c r="V994">
        <v>0</v>
      </c>
      <c r="W994">
        <v>0</v>
      </c>
      <c r="X994">
        <f>IF(Y994,TRUE,AND(AB994:AQ994))</f>
        <v>0</v>
      </c>
      <c r="Y994">
        <f>COUNTBLANK(Metadata!B994:Q994)=COLUMNS(Metadata!B994:Q994)</f>
        <v>0</v>
      </c>
      <c r="Z994">
        <v>0</v>
      </c>
      <c r="AB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AC994">
        <f>AND(IF(Metadata!C994="",FALSE,TRUE),exact(Metadata!C994,"urban biome"))</f>
        <v>0</v>
      </c>
      <c r="AD994">
        <f>AND(IF(Metadata!D994="",FALSE,TRUE),exact(Metadata!D994,"human-associated habitat"))</f>
        <v>0</v>
      </c>
      <c r="AE994">
        <f>AND(IF(Metadata!E994="",FALSE,TRUE),OR(exact(Metadata!E994,"human-associated"),exact(Metadata!E994,"human-skin"),exact(Metadata!E994,"human-oral"),exact(Metadata!E994,"human-gut"),exact(Metadata!E994,"human-vaginal")))</f>
        <v>0</v>
      </c>
      <c r="AF994">
        <f>AND(IF(Metadata!F994="",FALSE,ISNUMBER(VALUE(Metadata!F994))),Metadata!F994&gt;0)</f>
        <v>0</v>
      </c>
      <c r="AG994">
        <f>AND(IF(Metadata!G994="",FALSE,TRUE),exact(Metadata!G994,"years"))</f>
        <v>0</v>
      </c>
      <c r="AH994">
        <f>OR(AND(IF(Metadata!H994="",FALSE,TRUE),OR(exact(Metadata!H994,"not applicable"),exact(Metadata!H994,"not collected"),exact(Metadata!H994,"not provided"),exact(Metadata!H994,"restricted access"))),AND(IF(Metadata!H994="",FALSE,ISNUMBER(VALUE(Metadata!H994))),Metadata!H994&gt;0))</f>
        <v>0</v>
      </c>
      <c r="AI994">
        <f>AND(IF(Metadata!I994="",FALSE,TRUE),exact(Metadata!I994,"human"))</f>
        <v>0</v>
      </c>
      <c r="AJ994">
        <f>AND(IF(Metadata!J994="",FALSE,ISNUMBER(VALUE(Metadata!J994))),Metadata!J994&gt;0)</f>
        <v>0</v>
      </c>
      <c r="AK994">
        <f>AND(IF(Metadata!K994="",FALSE,TRUE),exact(Metadata!K994,"cm"))</f>
        <v>0</v>
      </c>
      <c r="AL994">
        <f>AND(IF(Metadata!L994="",FALSE,TRUE),exact(Metadata!L994,"Homo sapiens"))</f>
        <v>0</v>
      </c>
      <c r="AM994">
        <f>AND(IF(Metadata!M994="",FALSE,TRUE),exact(Metadata!M994,"9606"))</f>
        <v>0</v>
      </c>
      <c r="AN994">
        <f>AND(IF(Metadata!N994="",FALSE,ISNUMBER(VALUE(Metadata!N994))),Metadata!N994&gt;0)</f>
        <v>0</v>
      </c>
      <c r="AO994">
        <f>AND(IF(Metadata!O994="",FALSE,TRUE),exact(Metadata!O994,"kg"))</f>
        <v>0</v>
      </c>
      <c r="AP994">
        <f>OR(AND(IF(Metadata!P994="",FALSE,TRUE),exact(Metadata!P994,"not provided")),IF(Metadata!P994="",FALSE,TRUE))</f>
        <v>0</v>
      </c>
      <c r="AQ994">
        <f>OR(AND(IF(Metadata!Q994="",FALSE,TRUE),exact(Metadata!Q994,"not provided")),IF(Metadata!Q994="",FALSE,TRUE))</f>
        <v>0</v>
      </c>
    </row>
    <row r="995" spans="1:43">
      <c r="A995" s="4">
        <f>IF(B995=" "," ",HYPERLINK(CONCATENATE("#metadata!",ADDRESS(INDEX($W$2:$W$1001,MATCH(ROWS($U$2:U995),$U$2:$U$1001,0),0),2)),INDEX($Z$2:$Z$1001,MATCH(ROWS($U$2:U995),$U$2:$U$1001,0),0)))</f>
        <v>0</v>
      </c>
      <c r="B995" s="5">
        <f>IF(OR(INDEX($V$2:$V$1001,MATCH(ROWS($U$2:U995),$U$2:$U$1001,0),1)&gt;=100000,INDEX($AB$1005:$AQ$1005,1,MATCH(COLUMNS($AB$1006:AB1006),$AB$1006:$AQ$1006,0))&gt;=100000), " ",IF(INDEX($AB$2:$AQ$1001,MATCH(ROWS($U$2:U995),$U$2:$U$1001,0),MATCH(COLUMNS($AB$1006:AB1006),$AB$1006:$AQ$1006,0)), HYPERLINK("#",""), HYPERLINK(CONCATENATE("#Metadata!", ADDRESS(INDEX($W$2:$W$1001,MATCH(ROWS($U$2:U995),$U$2:$U$1001,0),0), INDEX($AB$1004:$AQ$1004,1,MATCH(COLUMNS($AB$1006:AB1006),$AB$1006:$AQ$1006,0)))),"Fix")))</f>
        <v>0</v>
      </c>
      <c r="C995" s="5">
        <f>IF(OR(INDEX($V$2:$V$1001,MATCH(ROWS($U$2:U995),$U$2:$U$1001,0),1)&gt;=100000,INDEX($AB$1005:$AQ$1005,1,MATCH(COLUMNS($AB$1006:AC1006),$AB$1006:$AQ$1006,0))&gt;=100000), " ",IF(INDEX($AB$2:$AQ$1001,MATCH(ROWS($U$2:U995),$U$2:$U$1001,0),MATCH(COLUMNS($AB$1006:AC1006),$AB$1006:$AQ$1006,0)), HYPERLINK("#",""), HYPERLINK(CONCATENATE("#Metadata!", ADDRESS(INDEX($W$2:$W$1001,MATCH(ROWS($U$2:U995),$U$2:$U$1001,0),0), INDEX($AB$1004:$AQ$1004,1,MATCH(COLUMNS($AB$1006:AC1006),$AB$1006:$AQ$1006,0)))),"Fix")))</f>
        <v>0</v>
      </c>
      <c r="D995" s="5">
        <f>IF(OR(INDEX($V$2:$V$1001,MATCH(ROWS($U$2:U995),$U$2:$U$1001,0),1)&gt;=100000,INDEX($AB$1005:$AQ$1005,1,MATCH(COLUMNS($AB$1006:AD1006),$AB$1006:$AQ$1006,0))&gt;=100000), " ",IF(INDEX($AB$2:$AQ$1001,MATCH(ROWS($U$2:U995),$U$2:$U$1001,0),MATCH(COLUMNS($AB$1006:AD1006),$AB$1006:$AQ$1006,0)), HYPERLINK("#",""), HYPERLINK(CONCATENATE("#Metadata!", ADDRESS(INDEX($W$2:$W$1001,MATCH(ROWS($U$2:U995),$U$2:$U$1001,0),0), INDEX($AB$1004:$AQ$1004,1,MATCH(COLUMNS($AB$1006:AD1006),$AB$1006:$AQ$1006,0)))),"Fix")))</f>
        <v>0</v>
      </c>
      <c r="E995" s="5">
        <f>IF(OR(INDEX($V$2:$V$1001,MATCH(ROWS($U$2:U995),$U$2:$U$1001,0),1)&gt;=100000,INDEX($AB$1005:$AQ$1005,1,MATCH(COLUMNS($AB$1006:AE1006),$AB$1006:$AQ$1006,0))&gt;=100000), " ",IF(INDEX($AB$2:$AQ$1001,MATCH(ROWS($U$2:U995),$U$2:$U$1001,0),MATCH(COLUMNS($AB$1006:AE1006),$AB$1006:$AQ$1006,0)), HYPERLINK("#",""), HYPERLINK(CONCATENATE("#Metadata!", ADDRESS(INDEX($W$2:$W$1001,MATCH(ROWS($U$2:U995),$U$2:$U$1001,0),0), INDEX($AB$1004:$AQ$1004,1,MATCH(COLUMNS($AB$1006:AE1006),$AB$1006:$AQ$1006,0)))),"Fix")))</f>
        <v>0</v>
      </c>
      <c r="F995" s="5">
        <f>IF(OR(INDEX($V$2:$V$1001,MATCH(ROWS($U$2:U995),$U$2:$U$1001,0),1)&gt;=100000,INDEX($AB$1005:$AQ$1005,1,MATCH(COLUMNS($AB$1006:AF1006),$AB$1006:$AQ$1006,0))&gt;=100000), " ",IF(INDEX($AB$2:$AQ$1001,MATCH(ROWS($U$2:U995),$U$2:$U$1001,0),MATCH(COLUMNS($AB$1006:AF1006),$AB$1006:$AQ$1006,0)), HYPERLINK("#",""), HYPERLINK(CONCATENATE("#Metadata!", ADDRESS(INDEX($W$2:$W$1001,MATCH(ROWS($U$2:U995),$U$2:$U$1001,0),0), INDEX($AB$1004:$AQ$1004,1,MATCH(COLUMNS($AB$1006:AF1006),$AB$1006:$AQ$1006,0)))),"Fix")))</f>
        <v>0</v>
      </c>
      <c r="G995" s="5">
        <f>IF(OR(INDEX($V$2:$V$1001,MATCH(ROWS($U$2:U995),$U$2:$U$1001,0),1)&gt;=100000,INDEX($AB$1005:$AQ$1005,1,MATCH(COLUMNS($AB$1006:AG1006),$AB$1006:$AQ$1006,0))&gt;=100000), " ",IF(INDEX($AB$2:$AQ$1001,MATCH(ROWS($U$2:U995),$U$2:$U$1001,0),MATCH(COLUMNS($AB$1006:AG1006),$AB$1006:$AQ$1006,0)), HYPERLINK("#",""), HYPERLINK(CONCATENATE("#Metadata!", ADDRESS(INDEX($W$2:$W$1001,MATCH(ROWS($U$2:U995),$U$2:$U$1001,0),0), INDEX($AB$1004:$AQ$1004,1,MATCH(COLUMNS($AB$1006:AG1006),$AB$1006:$AQ$1006,0)))),"Fix")))</f>
        <v>0</v>
      </c>
      <c r="H995" s="5">
        <f>IF(OR(INDEX($V$2:$V$1001,MATCH(ROWS($U$2:U995),$U$2:$U$1001,0),1)&gt;=100000,INDEX($AB$1005:$AQ$1005,1,MATCH(COLUMNS($AB$1006:AH1006),$AB$1006:$AQ$1006,0))&gt;=100000), " ",IF(INDEX($AB$2:$AQ$1001,MATCH(ROWS($U$2:U995),$U$2:$U$1001,0),MATCH(COLUMNS($AB$1006:AH1006),$AB$1006:$AQ$1006,0)), HYPERLINK("#",""), HYPERLINK(CONCATENATE("#Metadata!", ADDRESS(INDEX($W$2:$W$1001,MATCH(ROWS($U$2:U995),$U$2:$U$1001,0),0), INDEX($AB$1004:$AQ$1004,1,MATCH(COLUMNS($AB$1006:AH1006),$AB$1006:$AQ$1006,0)))),"Fix")))</f>
        <v>0</v>
      </c>
      <c r="I995" s="5">
        <f>IF(OR(INDEX($V$2:$V$1001,MATCH(ROWS($U$2:U995),$U$2:$U$1001,0),1)&gt;=100000,INDEX($AB$1005:$AQ$1005,1,MATCH(COLUMNS($AB$1006:AI1006),$AB$1006:$AQ$1006,0))&gt;=100000), " ",IF(INDEX($AB$2:$AQ$1001,MATCH(ROWS($U$2:U995),$U$2:$U$1001,0),MATCH(COLUMNS($AB$1006:AI1006),$AB$1006:$AQ$1006,0)), HYPERLINK("#",""), HYPERLINK(CONCATENATE("#Metadata!", ADDRESS(INDEX($W$2:$W$1001,MATCH(ROWS($U$2:U995),$U$2:$U$1001,0),0), INDEX($AB$1004:$AQ$1004,1,MATCH(COLUMNS($AB$1006:AI1006),$AB$1006:$AQ$1006,0)))),"Fix")))</f>
        <v>0</v>
      </c>
      <c r="J995" s="5">
        <f>IF(OR(INDEX($V$2:$V$1001,MATCH(ROWS($U$2:U995),$U$2:$U$1001,0),1)&gt;=100000,INDEX($AB$1005:$AQ$1005,1,MATCH(COLUMNS($AB$1006:AJ1006),$AB$1006:$AQ$1006,0))&gt;=100000), " ",IF(INDEX($AB$2:$AQ$1001,MATCH(ROWS($U$2:U995),$U$2:$U$1001,0),MATCH(COLUMNS($AB$1006:AJ1006),$AB$1006:$AQ$1006,0)), HYPERLINK("#",""), HYPERLINK(CONCATENATE("#Metadata!", ADDRESS(INDEX($W$2:$W$1001,MATCH(ROWS($U$2:U995),$U$2:$U$1001,0),0), INDEX($AB$1004:$AQ$1004,1,MATCH(COLUMNS($AB$1006:AJ1006),$AB$1006:$AQ$1006,0)))),"Fix")))</f>
        <v>0</v>
      </c>
      <c r="K995" s="5">
        <f>IF(OR(INDEX($V$2:$V$1001,MATCH(ROWS($U$2:U995),$U$2:$U$1001,0),1)&gt;=100000,INDEX($AB$1005:$AQ$1005,1,MATCH(COLUMNS($AB$1006:AK1006),$AB$1006:$AQ$1006,0))&gt;=100000), " ",IF(INDEX($AB$2:$AQ$1001,MATCH(ROWS($U$2:U995),$U$2:$U$1001,0),MATCH(COLUMNS($AB$1006:AK1006),$AB$1006:$AQ$1006,0)), HYPERLINK("#",""), HYPERLINK(CONCATENATE("#Metadata!", ADDRESS(INDEX($W$2:$W$1001,MATCH(ROWS($U$2:U995),$U$2:$U$1001,0),0), INDEX($AB$1004:$AQ$1004,1,MATCH(COLUMNS($AB$1006:AK1006),$AB$1006:$AQ$1006,0)))),"Fix")))</f>
        <v>0</v>
      </c>
      <c r="L995" s="5">
        <f>IF(OR(INDEX($V$2:$V$1001,MATCH(ROWS($U$2:U995),$U$2:$U$1001,0),1)&gt;=100000,INDEX($AB$1005:$AQ$1005,1,MATCH(COLUMNS($AB$1006:AL1006),$AB$1006:$AQ$1006,0))&gt;=100000), " ",IF(INDEX($AB$2:$AQ$1001,MATCH(ROWS($U$2:U995),$U$2:$U$1001,0),MATCH(COLUMNS($AB$1006:AL1006),$AB$1006:$AQ$1006,0)), HYPERLINK("#",""), HYPERLINK(CONCATENATE("#Metadata!", ADDRESS(INDEX($W$2:$W$1001,MATCH(ROWS($U$2:U995),$U$2:$U$1001,0),0), INDEX($AB$1004:$AQ$1004,1,MATCH(COLUMNS($AB$1006:AL1006),$AB$1006:$AQ$1006,0)))),"Fix")))</f>
        <v>0</v>
      </c>
      <c r="M995" s="5">
        <f>IF(OR(INDEX($V$2:$V$1001,MATCH(ROWS($U$2:U995),$U$2:$U$1001,0),1)&gt;=100000,INDEX($AB$1005:$AQ$1005,1,MATCH(COLUMNS($AB$1006:AM1006),$AB$1006:$AQ$1006,0))&gt;=100000), " ",IF(INDEX($AB$2:$AQ$1001,MATCH(ROWS($U$2:U995),$U$2:$U$1001,0),MATCH(COLUMNS($AB$1006:AM1006),$AB$1006:$AQ$1006,0)), HYPERLINK("#",""), HYPERLINK(CONCATENATE("#Metadata!", ADDRESS(INDEX($W$2:$W$1001,MATCH(ROWS($U$2:U995),$U$2:$U$1001,0),0), INDEX($AB$1004:$AQ$1004,1,MATCH(COLUMNS($AB$1006:AM1006),$AB$1006:$AQ$1006,0)))),"Fix")))</f>
        <v>0</v>
      </c>
      <c r="N995" s="5">
        <f>IF(OR(INDEX($V$2:$V$1001,MATCH(ROWS($U$2:U995),$U$2:$U$1001,0),1)&gt;=100000,INDEX($AB$1005:$AQ$1005,1,MATCH(COLUMNS($AB$1006:AN1006),$AB$1006:$AQ$1006,0))&gt;=100000), " ",IF(INDEX($AB$2:$AQ$1001,MATCH(ROWS($U$2:U995),$U$2:$U$1001,0),MATCH(COLUMNS($AB$1006:AN1006),$AB$1006:$AQ$1006,0)), HYPERLINK("#",""), HYPERLINK(CONCATENATE("#Metadata!", ADDRESS(INDEX($W$2:$W$1001,MATCH(ROWS($U$2:U995),$U$2:$U$1001,0),0), INDEX($AB$1004:$AQ$1004,1,MATCH(COLUMNS($AB$1006:AN1006),$AB$1006:$AQ$1006,0)))),"Fix")))</f>
        <v>0</v>
      </c>
      <c r="O995" s="5">
        <f>IF(OR(INDEX($V$2:$V$1001,MATCH(ROWS($U$2:U995),$U$2:$U$1001,0),1)&gt;=100000,INDEX($AB$1005:$AQ$1005,1,MATCH(COLUMNS($AB$1006:AO1006),$AB$1006:$AQ$1006,0))&gt;=100000), " ",IF(INDEX($AB$2:$AQ$1001,MATCH(ROWS($U$2:U995),$U$2:$U$1001,0),MATCH(COLUMNS($AB$1006:AO1006),$AB$1006:$AQ$1006,0)), HYPERLINK("#",""), HYPERLINK(CONCATENATE("#Metadata!", ADDRESS(INDEX($W$2:$W$1001,MATCH(ROWS($U$2:U995),$U$2:$U$1001,0),0), INDEX($AB$1004:$AQ$1004,1,MATCH(COLUMNS($AB$1006:AO1006),$AB$1006:$AQ$1006,0)))),"Fix")))</f>
        <v>0</v>
      </c>
      <c r="P995" s="5">
        <f>IF(OR(INDEX($V$2:$V$1001,MATCH(ROWS($U$2:U995),$U$2:$U$1001,0),1)&gt;=100000,INDEX($AB$1005:$AQ$1005,1,MATCH(COLUMNS($AB$1006:AP1006),$AB$1006:$AQ$1006,0))&gt;=100000), " ",IF(INDEX($AB$2:$AQ$1001,MATCH(ROWS($U$2:U995),$U$2:$U$1001,0),MATCH(COLUMNS($AB$1006:AP1006),$AB$1006:$AQ$1006,0)), HYPERLINK("#",""), HYPERLINK(CONCATENATE("#Metadata!", ADDRESS(INDEX($W$2:$W$1001,MATCH(ROWS($U$2:U995),$U$2:$U$1001,0),0), INDEX($AB$1004:$AQ$1004,1,MATCH(COLUMNS($AB$1006:AP1006),$AB$1006:$AQ$1006,0)))),"Fix")))</f>
        <v>0</v>
      </c>
      <c r="Q995" s="5">
        <f>IF(OR(INDEX($V$2:$V$1001,MATCH(ROWS($U$2:U995),$U$2:$U$1001,0),1)&gt;=100000,INDEX($AB$1005:$AQ$1005,1,MATCH(COLUMNS($AB$1006:AQ1006),$AB$1006:$AQ$1006,0))&gt;=100000), " ",IF(INDEX($AB$2:$AQ$1001,MATCH(ROWS($U$2:U995),$U$2:$U$1001,0),MATCH(COLUMNS($AB$1006:AQ1006),$AB$1006:$AQ$1006,0)), HYPERLINK("#",""), HYPERLINK(CONCATENATE("#Metadata!", ADDRESS(INDEX($W$2:$W$1001,MATCH(ROWS($U$2:U995),$U$2:$U$1001,0),0), INDEX($AB$1004:$AQ$1004,1,MATCH(COLUMNS($AB$1006:AQ1006),$AB$1006:$AQ$1006,0)))),"Fix")))</f>
        <v>0</v>
      </c>
      <c r="U995">
        <v>0</v>
      </c>
      <c r="V995">
        <v>0</v>
      </c>
      <c r="W995">
        <v>0</v>
      </c>
      <c r="X995">
        <f>IF(Y995,TRUE,AND(AB995:AQ995))</f>
        <v>0</v>
      </c>
      <c r="Y995">
        <f>COUNTBLANK(Metadata!B995:Q995)=COLUMNS(Metadata!B995:Q995)</f>
        <v>0</v>
      </c>
      <c r="Z995">
        <v>0</v>
      </c>
      <c r="AB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AC995">
        <f>AND(IF(Metadata!C995="",FALSE,TRUE),exact(Metadata!C995,"urban biome"))</f>
        <v>0</v>
      </c>
      <c r="AD995">
        <f>AND(IF(Metadata!D995="",FALSE,TRUE),exact(Metadata!D995,"human-associated habitat"))</f>
        <v>0</v>
      </c>
      <c r="AE995">
        <f>AND(IF(Metadata!E995="",FALSE,TRUE),OR(exact(Metadata!E995,"human-associated"),exact(Metadata!E995,"human-skin"),exact(Metadata!E995,"human-oral"),exact(Metadata!E995,"human-gut"),exact(Metadata!E995,"human-vaginal")))</f>
        <v>0</v>
      </c>
      <c r="AF995">
        <f>AND(IF(Metadata!F995="",FALSE,ISNUMBER(VALUE(Metadata!F995))),Metadata!F995&gt;0)</f>
        <v>0</v>
      </c>
      <c r="AG995">
        <f>AND(IF(Metadata!G995="",FALSE,TRUE),exact(Metadata!G995,"years"))</f>
        <v>0</v>
      </c>
      <c r="AH995">
        <f>OR(AND(IF(Metadata!H995="",FALSE,TRUE),OR(exact(Metadata!H995,"not applicable"),exact(Metadata!H995,"not collected"),exact(Metadata!H995,"not provided"),exact(Metadata!H995,"restricted access"))),AND(IF(Metadata!H995="",FALSE,ISNUMBER(VALUE(Metadata!H995))),Metadata!H995&gt;0))</f>
        <v>0</v>
      </c>
      <c r="AI995">
        <f>AND(IF(Metadata!I995="",FALSE,TRUE),exact(Metadata!I995,"human"))</f>
        <v>0</v>
      </c>
      <c r="AJ995">
        <f>AND(IF(Metadata!J995="",FALSE,ISNUMBER(VALUE(Metadata!J995))),Metadata!J995&gt;0)</f>
        <v>0</v>
      </c>
      <c r="AK995">
        <f>AND(IF(Metadata!K995="",FALSE,TRUE),exact(Metadata!K995,"cm"))</f>
        <v>0</v>
      </c>
      <c r="AL995">
        <f>AND(IF(Metadata!L995="",FALSE,TRUE),exact(Metadata!L995,"Homo sapiens"))</f>
        <v>0</v>
      </c>
      <c r="AM995">
        <f>AND(IF(Metadata!M995="",FALSE,TRUE),exact(Metadata!M995,"9606"))</f>
        <v>0</v>
      </c>
      <c r="AN995">
        <f>AND(IF(Metadata!N995="",FALSE,ISNUMBER(VALUE(Metadata!N995))),Metadata!N995&gt;0)</f>
        <v>0</v>
      </c>
      <c r="AO995">
        <f>AND(IF(Metadata!O995="",FALSE,TRUE),exact(Metadata!O995,"kg"))</f>
        <v>0</v>
      </c>
      <c r="AP995">
        <f>OR(AND(IF(Metadata!P995="",FALSE,TRUE),exact(Metadata!P995,"not provided")),IF(Metadata!P995="",FALSE,TRUE))</f>
        <v>0</v>
      </c>
      <c r="AQ995">
        <f>OR(AND(IF(Metadata!Q995="",FALSE,TRUE),exact(Metadata!Q995,"not provided")),IF(Metadata!Q995="",FALSE,TRUE))</f>
        <v>0</v>
      </c>
    </row>
    <row r="996" spans="1:43">
      <c r="A996" s="4">
        <f>IF(B996=" "," ",HYPERLINK(CONCATENATE("#metadata!",ADDRESS(INDEX($W$2:$W$1001,MATCH(ROWS($U$2:U996),$U$2:$U$1001,0),0),2)),INDEX($Z$2:$Z$1001,MATCH(ROWS($U$2:U996),$U$2:$U$1001,0),0)))</f>
        <v>0</v>
      </c>
      <c r="B996" s="5">
        <f>IF(OR(INDEX($V$2:$V$1001,MATCH(ROWS($U$2:U996),$U$2:$U$1001,0),1)&gt;=100000,INDEX($AB$1005:$AQ$1005,1,MATCH(COLUMNS($AB$1006:AB1006),$AB$1006:$AQ$1006,0))&gt;=100000), " ",IF(INDEX($AB$2:$AQ$1001,MATCH(ROWS($U$2:U996),$U$2:$U$1001,0),MATCH(COLUMNS($AB$1006:AB1006),$AB$1006:$AQ$1006,0)), HYPERLINK("#",""), HYPERLINK(CONCATENATE("#Metadata!", ADDRESS(INDEX($W$2:$W$1001,MATCH(ROWS($U$2:U996),$U$2:$U$1001,0),0), INDEX($AB$1004:$AQ$1004,1,MATCH(COLUMNS($AB$1006:AB1006),$AB$1006:$AQ$1006,0)))),"Fix")))</f>
        <v>0</v>
      </c>
      <c r="C996" s="5">
        <f>IF(OR(INDEX($V$2:$V$1001,MATCH(ROWS($U$2:U996),$U$2:$U$1001,0),1)&gt;=100000,INDEX($AB$1005:$AQ$1005,1,MATCH(COLUMNS($AB$1006:AC1006),$AB$1006:$AQ$1006,0))&gt;=100000), " ",IF(INDEX($AB$2:$AQ$1001,MATCH(ROWS($U$2:U996),$U$2:$U$1001,0),MATCH(COLUMNS($AB$1006:AC1006),$AB$1006:$AQ$1006,0)), HYPERLINK("#",""), HYPERLINK(CONCATENATE("#Metadata!", ADDRESS(INDEX($W$2:$W$1001,MATCH(ROWS($U$2:U996),$U$2:$U$1001,0),0), INDEX($AB$1004:$AQ$1004,1,MATCH(COLUMNS($AB$1006:AC1006),$AB$1006:$AQ$1006,0)))),"Fix")))</f>
        <v>0</v>
      </c>
      <c r="D996" s="5">
        <f>IF(OR(INDEX($V$2:$V$1001,MATCH(ROWS($U$2:U996),$U$2:$U$1001,0),1)&gt;=100000,INDEX($AB$1005:$AQ$1005,1,MATCH(COLUMNS($AB$1006:AD1006),$AB$1006:$AQ$1006,0))&gt;=100000), " ",IF(INDEX($AB$2:$AQ$1001,MATCH(ROWS($U$2:U996),$U$2:$U$1001,0),MATCH(COLUMNS($AB$1006:AD1006),$AB$1006:$AQ$1006,0)), HYPERLINK("#",""), HYPERLINK(CONCATENATE("#Metadata!", ADDRESS(INDEX($W$2:$W$1001,MATCH(ROWS($U$2:U996),$U$2:$U$1001,0),0), INDEX($AB$1004:$AQ$1004,1,MATCH(COLUMNS($AB$1006:AD1006),$AB$1006:$AQ$1006,0)))),"Fix")))</f>
        <v>0</v>
      </c>
      <c r="E996" s="5">
        <f>IF(OR(INDEX($V$2:$V$1001,MATCH(ROWS($U$2:U996),$U$2:$U$1001,0),1)&gt;=100000,INDEX($AB$1005:$AQ$1005,1,MATCH(COLUMNS($AB$1006:AE1006),$AB$1006:$AQ$1006,0))&gt;=100000), " ",IF(INDEX($AB$2:$AQ$1001,MATCH(ROWS($U$2:U996),$U$2:$U$1001,0),MATCH(COLUMNS($AB$1006:AE1006),$AB$1006:$AQ$1006,0)), HYPERLINK("#",""), HYPERLINK(CONCATENATE("#Metadata!", ADDRESS(INDEX($W$2:$W$1001,MATCH(ROWS($U$2:U996),$U$2:$U$1001,0),0), INDEX($AB$1004:$AQ$1004,1,MATCH(COLUMNS($AB$1006:AE1006),$AB$1006:$AQ$1006,0)))),"Fix")))</f>
        <v>0</v>
      </c>
      <c r="F996" s="5">
        <f>IF(OR(INDEX($V$2:$V$1001,MATCH(ROWS($U$2:U996),$U$2:$U$1001,0),1)&gt;=100000,INDEX($AB$1005:$AQ$1005,1,MATCH(COLUMNS($AB$1006:AF1006),$AB$1006:$AQ$1006,0))&gt;=100000), " ",IF(INDEX($AB$2:$AQ$1001,MATCH(ROWS($U$2:U996),$U$2:$U$1001,0),MATCH(COLUMNS($AB$1006:AF1006),$AB$1006:$AQ$1006,0)), HYPERLINK("#",""), HYPERLINK(CONCATENATE("#Metadata!", ADDRESS(INDEX($W$2:$W$1001,MATCH(ROWS($U$2:U996),$U$2:$U$1001,0),0), INDEX($AB$1004:$AQ$1004,1,MATCH(COLUMNS($AB$1006:AF1006),$AB$1006:$AQ$1006,0)))),"Fix")))</f>
        <v>0</v>
      </c>
      <c r="G996" s="5">
        <f>IF(OR(INDEX($V$2:$V$1001,MATCH(ROWS($U$2:U996),$U$2:$U$1001,0),1)&gt;=100000,INDEX($AB$1005:$AQ$1005,1,MATCH(COLUMNS($AB$1006:AG1006),$AB$1006:$AQ$1006,0))&gt;=100000), " ",IF(INDEX($AB$2:$AQ$1001,MATCH(ROWS($U$2:U996),$U$2:$U$1001,0),MATCH(COLUMNS($AB$1006:AG1006),$AB$1006:$AQ$1006,0)), HYPERLINK("#",""), HYPERLINK(CONCATENATE("#Metadata!", ADDRESS(INDEX($W$2:$W$1001,MATCH(ROWS($U$2:U996),$U$2:$U$1001,0),0), INDEX($AB$1004:$AQ$1004,1,MATCH(COLUMNS($AB$1006:AG1006),$AB$1006:$AQ$1006,0)))),"Fix")))</f>
        <v>0</v>
      </c>
      <c r="H996" s="5">
        <f>IF(OR(INDEX($V$2:$V$1001,MATCH(ROWS($U$2:U996),$U$2:$U$1001,0),1)&gt;=100000,INDEX($AB$1005:$AQ$1005,1,MATCH(COLUMNS($AB$1006:AH1006),$AB$1006:$AQ$1006,0))&gt;=100000), " ",IF(INDEX($AB$2:$AQ$1001,MATCH(ROWS($U$2:U996),$U$2:$U$1001,0),MATCH(COLUMNS($AB$1006:AH1006),$AB$1006:$AQ$1006,0)), HYPERLINK("#",""), HYPERLINK(CONCATENATE("#Metadata!", ADDRESS(INDEX($W$2:$W$1001,MATCH(ROWS($U$2:U996),$U$2:$U$1001,0),0), INDEX($AB$1004:$AQ$1004,1,MATCH(COLUMNS($AB$1006:AH1006),$AB$1006:$AQ$1006,0)))),"Fix")))</f>
        <v>0</v>
      </c>
      <c r="I996" s="5">
        <f>IF(OR(INDEX($V$2:$V$1001,MATCH(ROWS($U$2:U996),$U$2:$U$1001,0),1)&gt;=100000,INDEX($AB$1005:$AQ$1005,1,MATCH(COLUMNS($AB$1006:AI1006),$AB$1006:$AQ$1006,0))&gt;=100000), " ",IF(INDEX($AB$2:$AQ$1001,MATCH(ROWS($U$2:U996),$U$2:$U$1001,0),MATCH(COLUMNS($AB$1006:AI1006),$AB$1006:$AQ$1006,0)), HYPERLINK("#",""), HYPERLINK(CONCATENATE("#Metadata!", ADDRESS(INDEX($W$2:$W$1001,MATCH(ROWS($U$2:U996),$U$2:$U$1001,0),0), INDEX($AB$1004:$AQ$1004,1,MATCH(COLUMNS($AB$1006:AI1006),$AB$1006:$AQ$1006,0)))),"Fix")))</f>
        <v>0</v>
      </c>
      <c r="J996" s="5">
        <f>IF(OR(INDEX($V$2:$V$1001,MATCH(ROWS($U$2:U996),$U$2:$U$1001,0),1)&gt;=100000,INDEX($AB$1005:$AQ$1005,1,MATCH(COLUMNS($AB$1006:AJ1006),$AB$1006:$AQ$1006,0))&gt;=100000), " ",IF(INDEX($AB$2:$AQ$1001,MATCH(ROWS($U$2:U996),$U$2:$U$1001,0),MATCH(COLUMNS($AB$1006:AJ1006),$AB$1006:$AQ$1006,0)), HYPERLINK("#",""), HYPERLINK(CONCATENATE("#Metadata!", ADDRESS(INDEX($W$2:$W$1001,MATCH(ROWS($U$2:U996),$U$2:$U$1001,0),0), INDEX($AB$1004:$AQ$1004,1,MATCH(COLUMNS($AB$1006:AJ1006),$AB$1006:$AQ$1006,0)))),"Fix")))</f>
        <v>0</v>
      </c>
      <c r="K996" s="5">
        <f>IF(OR(INDEX($V$2:$V$1001,MATCH(ROWS($U$2:U996),$U$2:$U$1001,0),1)&gt;=100000,INDEX($AB$1005:$AQ$1005,1,MATCH(COLUMNS($AB$1006:AK1006),$AB$1006:$AQ$1006,0))&gt;=100000), " ",IF(INDEX($AB$2:$AQ$1001,MATCH(ROWS($U$2:U996),$U$2:$U$1001,0),MATCH(COLUMNS($AB$1006:AK1006),$AB$1006:$AQ$1006,0)), HYPERLINK("#",""), HYPERLINK(CONCATENATE("#Metadata!", ADDRESS(INDEX($W$2:$W$1001,MATCH(ROWS($U$2:U996),$U$2:$U$1001,0),0), INDEX($AB$1004:$AQ$1004,1,MATCH(COLUMNS($AB$1006:AK1006),$AB$1006:$AQ$1006,0)))),"Fix")))</f>
        <v>0</v>
      </c>
      <c r="L996" s="5">
        <f>IF(OR(INDEX($V$2:$V$1001,MATCH(ROWS($U$2:U996),$U$2:$U$1001,0),1)&gt;=100000,INDEX($AB$1005:$AQ$1005,1,MATCH(COLUMNS($AB$1006:AL1006),$AB$1006:$AQ$1006,0))&gt;=100000), " ",IF(INDEX($AB$2:$AQ$1001,MATCH(ROWS($U$2:U996),$U$2:$U$1001,0),MATCH(COLUMNS($AB$1006:AL1006),$AB$1006:$AQ$1006,0)), HYPERLINK("#",""), HYPERLINK(CONCATENATE("#Metadata!", ADDRESS(INDEX($W$2:$W$1001,MATCH(ROWS($U$2:U996),$U$2:$U$1001,0),0), INDEX($AB$1004:$AQ$1004,1,MATCH(COLUMNS($AB$1006:AL1006),$AB$1006:$AQ$1006,0)))),"Fix")))</f>
        <v>0</v>
      </c>
      <c r="M996" s="5">
        <f>IF(OR(INDEX($V$2:$V$1001,MATCH(ROWS($U$2:U996),$U$2:$U$1001,0),1)&gt;=100000,INDEX($AB$1005:$AQ$1005,1,MATCH(COLUMNS($AB$1006:AM1006),$AB$1006:$AQ$1006,0))&gt;=100000), " ",IF(INDEX($AB$2:$AQ$1001,MATCH(ROWS($U$2:U996),$U$2:$U$1001,0),MATCH(COLUMNS($AB$1006:AM1006),$AB$1006:$AQ$1006,0)), HYPERLINK("#",""), HYPERLINK(CONCATENATE("#Metadata!", ADDRESS(INDEX($W$2:$W$1001,MATCH(ROWS($U$2:U996),$U$2:$U$1001,0),0), INDEX($AB$1004:$AQ$1004,1,MATCH(COLUMNS($AB$1006:AM1006),$AB$1006:$AQ$1006,0)))),"Fix")))</f>
        <v>0</v>
      </c>
      <c r="N996" s="5">
        <f>IF(OR(INDEX($V$2:$V$1001,MATCH(ROWS($U$2:U996),$U$2:$U$1001,0),1)&gt;=100000,INDEX($AB$1005:$AQ$1005,1,MATCH(COLUMNS($AB$1006:AN1006),$AB$1006:$AQ$1006,0))&gt;=100000), " ",IF(INDEX($AB$2:$AQ$1001,MATCH(ROWS($U$2:U996),$U$2:$U$1001,0),MATCH(COLUMNS($AB$1006:AN1006),$AB$1006:$AQ$1006,0)), HYPERLINK("#",""), HYPERLINK(CONCATENATE("#Metadata!", ADDRESS(INDEX($W$2:$W$1001,MATCH(ROWS($U$2:U996),$U$2:$U$1001,0),0), INDEX($AB$1004:$AQ$1004,1,MATCH(COLUMNS($AB$1006:AN1006),$AB$1006:$AQ$1006,0)))),"Fix")))</f>
        <v>0</v>
      </c>
      <c r="O996" s="5">
        <f>IF(OR(INDEX($V$2:$V$1001,MATCH(ROWS($U$2:U996),$U$2:$U$1001,0),1)&gt;=100000,INDEX($AB$1005:$AQ$1005,1,MATCH(COLUMNS($AB$1006:AO1006),$AB$1006:$AQ$1006,0))&gt;=100000), " ",IF(INDEX($AB$2:$AQ$1001,MATCH(ROWS($U$2:U996),$U$2:$U$1001,0),MATCH(COLUMNS($AB$1006:AO1006),$AB$1006:$AQ$1006,0)), HYPERLINK("#",""), HYPERLINK(CONCATENATE("#Metadata!", ADDRESS(INDEX($W$2:$W$1001,MATCH(ROWS($U$2:U996),$U$2:$U$1001,0),0), INDEX($AB$1004:$AQ$1004,1,MATCH(COLUMNS($AB$1006:AO1006),$AB$1006:$AQ$1006,0)))),"Fix")))</f>
        <v>0</v>
      </c>
      <c r="P996" s="5">
        <f>IF(OR(INDEX($V$2:$V$1001,MATCH(ROWS($U$2:U996),$U$2:$U$1001,0),1)&gt;=100000,INDEX($AB$1005:$AQ$1005,1,MATCH(COLUMNS($AB$1006:AP1006),$AB$1006:$AQ$1006,0))&gt;=100000), " ",IF(INDEX($AB$2:$AQ$1001,MATCH(ROWS($U$2:U996),$U$2:$U$1001,0),MATCH(COLUMNS($AB$1006:AP1006),$AB$1006:$AQ$1006,0)), HYPERLINK("#",""), HYPERLINK(CONCATENATE("#Metadata!", ADDRESS(INDEX($W$2:$W$1001,MATCH(ROWS($U$2:U996),$U$2:$U$1001,0),0), INDEX($AB$1004:$AQ$1004,1,MATCH(COLUMNS($AB$1006:AP1006),$AB$1006:$AQ$1006,0)))),"Fix")))</f>
        <v>0</v>
      </c>
      <c r="Q996" s="5">
        <f>IF(OR(INDEX($V$2:$V$1001,MATCH(ROWS($U$2:U996),$U$2:$U$1001,0),1)&gt;=100000,INDEX($AB$1005:$AQ$1005,1,MATCH(COLUMNS($AB$1006:AQ1006),$AB$1006:$AQ$1006,0))&gt;=100000), " ",IF(INDEX($AB$2:$AQ$1001,MATCH(ROWS($U$2:U996),$U$2:$U$1001,0),MATCH(COLUMNS($AB$1006:AQ1006),$AB$1006:$AQ$1006,0)), HYPERLINK("#",""), HYPERLINK(CONCATENATE("#Metadata!", ADDRESS(INDEX($W$2:$W$1001,MATCH(ROWS($U$2:U996),$U$2:$U$1001,0),0), INDEX($AB$1004:$AQ$1004,1,MATCH(COLUMNS($AB$1006:AQ1006),$AB$1006:$AQ$1006,0)))),"Fix")))</f>
        <v>0</v>
      </c>
      <c r="U996">
        <v>0</v>
      </c>
      <c r="V996">
        <v>0</v>
      </c>
      <c r="W996">
        <v>0</v>
      </c>
      <c r="X996">
        <f>IF(Y996,TRUE,AND(AB996:AQ996))</f>
        <v>0</v>
      </c>
      <c r="Y996">
        <f>COUNTBLANK(Metadata!B996:Q996)=COLUMNS(Metadata!B996:Q996)</f>
        <v>0</v>
      </c>
      <c r="Z996">
        <v>0</v>
      </c>
      <c r="AB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AC996">
        <f>AND(IF(Metadata!C996="",FALSE,TRUE),exact(Metadata!C996,"urban biome"))</f>
        <v>0</v>
      </c>
      <c r="AD996">
        <f>AND(IF(Metadata!D996="",FALSE,TRUE),exact(Metadata!D996,"human-associated habitat"))</f>
        <v>0</v>
      </c>
      <c r="AE996">
        <f>AND(IF(Metadata!E996="",FALSE,TRUE),OR(exact(Metadata!E996,"human-associated"),exact(Metadata!E996,"human-skin"),exact(Metadata!E996,"human-oral"),exact(Metadata!E996,"human-gut"),exact(Metadata!E996,"human-vaginal")))</f>
        <v>0</v>
      </c>
      <c r="AF996">
        <f>AND(IF(Metadata!F996="",FALSE,ISNUMBER(VALUE(Metadata!F996))),Metadata!F996&gt;0)</f>
        <v>0</v>
      </c>
      <c r="AG996">
        <f>AND(IF(Metadata!G996="",FALSE,TRUE),exact(Metadata!G996,"years"))</f>
        <v>0</v>
      </c>
      <c r="AH996">
        <f>OR(AND(IF(Metadata!H996="",FALSE,TRUE),OR(exact(Metadata!H996,"not applicable"),exact(Metadata!H996,"not collected"),exact(Metadata!H996,"not provided"),exact(Metadata!H996,"restricted access"))),AND(IF(Metadata!H996="",FALSE,ISNUMBER(VALUE(Metadata!H996))),Metadata!H996&gt;0))</f>
        <v>0</v>
      </c>
      <c r="AI996">
        <f>AND(IF(Metadata!I996="",FALSE,TRUE),exact(Metadata!I996,"human"))</f>
        <v>0</v>
      </c>
      <c r="AJ996">
        <f>AND(IF(Metadata!J996="",FALSE,ISNUMBER(VALUE(Metadata!J996))),Metadata!J996&gt;0)</f>
        <v>0</v>
      </c>
      <c r="AK996">
        <f>AND(IF(Metadata!K996="",FALSE,TRUE),exact(Metadata!K996,"cm"))</f>
        <v>0</v>
      </c>
      <c r="AL996">
        <f>AND(IF(Metadata!L996="",FALSE,TRUE),exact(Metadata!L996,"Homo sapiens"))</f>
        <v>0</v>
      </c>
      <c r="AM996">
        <f>AND(IF(Metadata!M996="",FALSE,TRUE),exact(Metadata!M996,"9606"))</f>
        <v>0</v>
      </c>
      <c r="AN996">
        <f>AND(IF(Metadata!N996="",FALSE,ISNUMBER(VALUE(Metadata!N996))),Metadata!N996&gt;0)</f>
        <v>0</v>
      </c>
      <c r="AO996">
        <f>AND(IF(Metadata!O996="",FALSE,TRUE),exact(Metadata!O996,"kg"))</f>
        <v>0</v>
      </c>
      <c r="AP996">
        <f>OR(AND(IF(Metadata!P996="",FALSE,TRUE),exact(Metadata!P996,"not provided")),IF(Metadata!P996="",FALSE,TRUE))</f>
        <v>0</v>
      </c>
      <c r="AQ996">
        <f>OR(AND(IF(Metadata!Q996="",FALSE,TRUE),exact(Metadata!Q996,"not provided")),IF(Metadata!Q996="",FALSE,TRUE))</f>
        <v>0</v>
      </c>
    </row>
    <row r="997" spans="1:43">
      <c r="A997" s="4">
        <f>IF(B997=" "," ",HYPERLINK(CONCATENATE("#metadata!",ADDRESS(INDEX($W$2:$W$1001,MATCH(ROWS($U$2:U997),$U$2:$U$1001,0),0),2)),INDEX($Z$2:$Z$1001,MATCH(ROWS($U$2:U997),$U$2:$U$1001,0),0)))</f>
        <v>0</v>
      </c>
      <c r="B997" s="5">
        <f>IF(OR(INDEX($V$2:$V$1001,MATCH(ROWS($U$2:U997),$U$2:$U$1001,0),1)&gt;=100000,INDEX($AB$1005:$AQ$1005,1,MATCH(COLUMNS($AB$1006:AB1006),$AB$1006:$AQ$1006,0))&gt;=100000), " ",IF(INDEX($AB$2:$AQ$1001,MATCH(ROWS($U$2:U997),$U$2:$U$1001,0),MATCH(COLUMNS($AB$1006:AB1006),$AB$1006:$AQ$1006,0)), HYPERLINK("#",""), HYPERLINK(CONCATENATE("#Metadata!", ADDRESS(INDEX($W$2:$W$1001,MATCH(ROWS($U$2:U997),$U$2:$U$1001,0),0), INDEX($AB$1004:$AQ$1004,1,MATCH(COLUMNS($AB$1006:AB1006),$AB$1006:$AQ$1006,0)))),"Fix")))</f>
        <v>0</v>
      </c>
      <c r="C997" s="5">
        <f>IF(OR(INDEX($V$2:$V$1001,MATCH(ROWS($U$2:U997),$U$2:$U$1001,0),1)&gt;=100000,INDEX($AB$1005:$AQ$1005,1,MATCH(COLUMNS($AB$1006:AC1006),$AB$1006:$AQ$1006,0))&gt;=100000), " ",IF(INDEX($AB$2:$AQ$1001,MATCH(ROWS($U$2:U997),$U$2:$U$1001,0),MATCH(COLUMNS($AB$1006:AC1006),$AB$1006:$AQ$1006,0)), HYPERLINK("#",""), HYPERLINK(CONCATENATE("#Metadata!", ADDRESS(INDEX($W$2:$W$1001,MATCH(ROWS($U$2:U997),$U$2:$U$1001,0),0), INDEX($AB$1004:$AQ$1004,1,MATCH(COLUMNS($AB$1006:AC1006),$AB$1006:$AQ$1006,0)))),"Fix")))</f>
        <v>0</v>
      </c>
      <c r="D997" s="5">
        <f>IF(OR(INDEX($V$2:$V$1001,MATCH(ROWS($U$2:U997),$U$2:$U$1001,0),1)&gt;=100000,INDEX($AB$1005:$AQ$1005,1,MATCH(COLUMNS($AB$1006:AD1006),$AB$1006:$AQ$1006,0))&gt;=100000), " ",IF(INDEX($AB$2:$AQ$1001,MATCH(ROWS($U$2:U997),$U$2:$U$1001,0),MATCH(COLUMNS($AB$1006:AD1006),$AB$1006:$AQ$1006,0)), HYPERLINK("#",""), HYPERLINK(CONCATENATE("#Metadata!", ADDRESS(INDEX($W$2:$W$1001,MATCH(ROWS($U$2:U997),$U$2:$U$1001,0),0), INDEX($AB$1004:$AQ$1004,1,MATCH(COLUMNS($AB$1006:AD1006),$AB$1006:$AQ$1006,0)))),"Fix")))</f>
        <v>0</v>
      </c>
      <c r="E997" s="5">
        <f>IF(OR(INDEX($V$2:$V$1001,MATCH(ROWS($U$2:U997),$U$2:$U$1001,0),1)&gt;=100000,INDEX($AB$1005:$AQ$1005,1,MATCH(COLUMNS($AB$1006:AE1006),$AB$1006:$AQ$1006,0))&gt;=100000), " ",IF(INDEX($AB$2:$AQ$1001,MATCH(ROWS($U$2:U997),$U$2:$U$1001,0),MATCH(COLUMNS($AB$1006:AE1006),$AB$1006:$AQ$1006,0)), HYPERLINK("#",""), HYPERLINK(CONCATENATE("#Metadata!", ADDRESS(INDEX($W$2:$W$1001,MATCH(ROWS($U$2:U997),$U$2:$U$1001,0),0), INDEX($AB$1004:$AQ$1004,1,MATCH(COLUMNS($AB$1006:AE1006),$AB$1006:$AQ$1006,0)))),"Fix")))</f>
        <v>0</v>
      </c>
      <c r="F997" s="5">
        <f>IF(OR(INDEX($V$2:$V$1001,MATCH(ROWS($U$2:U997),$U$2:$U$1001,0),1)&gt;=100000,INDEX($AB$1005:$AQ$1005,1,MATCH(COLUMNS($AB$1006:AF1006),$AB$1006:$AQ$1006,0))&gt;=100000), " ",IF(INDEX($AB$2:$AQ$1001,MATCH(ROWS($U$2:U997),$U$2:$U$1001,0),MATCH(COLUMNS($AB$1006:AF1006),$AB$1006:$AQ$1006,0)), HYPERLINK("#",""), HYPERLINK(CONCATENATE("#Metadata!", ADDRESS(INDEX($W$2:$W$1001,MATCH(ROWS($U$2:U997),$U$2:$U$1001,0),0), INDEX($AB$1004:$AQ$1004,1,MATCH(COLUMNS($AB$1006:AF1006),$AB$1006:$AQ$1006,0)))),"Fix")))</f>
        <v>0</v>
      </c>
      <c r="G997" s="5">
        <f>IF(OR(INDEX($V$2:$V$1001,MATCH(ROWS($U$2:U997),$U$2:$U$1001,0),1)&gt;=100000,INDEX($AB$1005:$AQ$1005,1,MATCH(COLUMNS($AB$1006:AG1006),$AB$1006:$AQ$1006,0))&gt;=100000), " ",IF(INDEX($AB$2:$AQ$1001,MATCH(ROWS($U$2:U997),$U$2:$U$1001,0),MATCH(COLUMNS($AB$1006:AG1006),$AB$1006:$AQ$1006,0)), HYPERLINK("#",""), HYPERLINK(CONCATENATE("#Metadata!", ADDRESS(INDEX($W$2:$W$1001,MATCH(ROWS($U$2:U997),$U$2:$U$1001,0),0), INDEX($AB$1004:$AQ$1004,1,MATCH(COLUMNS($AB$1006:AG1006),$AB$1006:$AQ$1006,0)))),"Fix")))</f>
        <v>0</v>
      </c>
      <c r="H997" s="5">
        <f>IF(OR(INDEX($V$2:$V$1001,MATCH(ROWS($U$2:U997),$U$2:$U$1001,0),1)&gt;=100000,INDEX($AB$1005:$AQ$1005,1,MATCH(COLUMNS($AB$1006:AH1006),$AB$1006:$AQ$1006,0))&gt;=100000), " ",IF(INDEX($AB$2:$AQ$1001,MATCH(ROWS($U$2:U997),$U$2:$U$1001,0),MATCH(COLUMNS($AB$1006:AH1006),$AB$1006:$AQ$1006,0)), HYPERLINK("#",""), HYPERLINK(CONCATENATE("#Metadata!", ADDRESS(INDEX($W$2:$W$1001,MATCH(ROWS($U$2:U997),$U$2:$U$1001,0),0), INDEX($AB$1004:$AQ$1004,1,MATCH(COLUMNS($AB$1006:AH1006),$AB$1006:$AQ$1006,0)))),"Fix")))</f>
        <v>0</v>
      </c>
      <c r="I997" s="5">
        <f>IF(OR(INDEX($V$2:$V$1001,MATCH(ROWS($U$2:U997),$U$2:$U$1001,0),1)&gt;=100000,INDEX($AB$1005:$AQ$1005,1,MATCH(COLUMNS($AB$1006:AI1006),$AB$1006:$AQ$1006,0))&gt;=100000), " ",IF(INDEX($AB$2:$AQ$1001,MATCH(ROWS($U$2:U997),$U$2:$U$1001,0),MATCH(COLUMNS($AB$1006:AI1006),$AB$1006:$AQ$1006,0)), HYPERLINK("#",""), HYPERLINK(CONCATENATE("#Metadata!", ADDRESS(INDEX($W$2:$W$1001,MATCH(ROWS($U$2:U997),$U$2:$U$1001,0),0), INDEX($AB$1004:$AQ$1004,1,MATCH(COLUMNS($AB$1006:AI1006),$AB$1006:$AQ$1006,0)))),"Fix")))</f>
        <v>0</v>
      </c>
      <c r="J997" s="5">
        <f>IF(OR(INDEX($V$2:$V$1001,MATCH(ROWS($U$2:U997),$U$2:$U$1001,0),1)&gt;=100000,INDEX($AB$1005:$AQ$1005,1,MATCH(COLUMNS($AB$1006:AJ1006),$AB$1006:$AQ$1006,0))&gt;=100000), " ",IF(INDEX($AB$2:$AQ$1001,MATCH(ROWS($U$2:U997),$U$2:$U$1001,0),MATCH(COLUMNS($AB$1006:AJ1006),$AB$1006:$AQ$1006,0)), HYPERLINK("#",""), HYPERLINK(CONCATENATE("#Metadata!", ADDRESS(INDEX($W$2:$W$1001,MATCH(ROWS($U$2:U997),$U$2:$U$1001,0),0), INDEX($AB$1004:$AQ$1004,1,MATCH(COLUMNS($AB$1006:AJ1006),$AB$1006:$AQ$1006,0)))),"Fix")))</f>
        <v>0</v>
      </c>
      <c r="K997" s="5">
        <f>IF(OR(INDEX($V$2:$V$1001,MATCH(ROWS($U$2:U997),$U$2:$U$1001,0),1)&gt;=100000,INDEX($AB$1005:$AQ$1005,1,MATCH(COLUMNS($AB$1006:AK1006),$AB$1006:$AQ$1006,0))&gt;=100000), " ",IF(INDEX($AB$2:$AQ$1001,MATCH(ROWS($U$2:U997),$U$2:$U$1001,0),MATCH(COLUMNS($AB$1006:AK1006),$AB$1006:$AQ$1006,0)), HYPERLINK("#",""), HYPERLINK(CONCATENATE("#Metadata!", ADDRESS(INDEX($W$2:$W$1001,MATCH(ROWS($U$2:U997),$U$2:$U$1001,0),0), INDEX($AB$1004:$AQ$1004,1,MATCH(COLUMNS($AB$1006:AK1006),$AB$1006:$AQ$1006,0)))),"Fix")))</f>
        <v>0</v>
      </c>
      <c r="L997" s="5">
        <f>IF(OR(INDEX($V$2:$V$1001,MATCH(ROWS($U$2:U997),$U$2:$U$1001,0),1)&gt;=100000,INDEX($AB$1005:$AQ$1005,1,MATCH(COLUMNS($AB$1006:AL1006),$AB$1006:$AQ$1006,0))&gt;=100000), " ",IF(INDEX($AB$2:$AQ$1001,MATCH(ROWS($U$2:U997),$U$2:$U$1001,0),MATCH(COLUMNS($AB$1006:AL1006),$AB$1006:$AQ$1006,0)), HYPERLINK("#",""), HYPERLINK(CONCATENATE("#Metadata!", ADDRESS(INDEX($W$2:$W$1001,MATCH(ROWS($U$2:U997),$U$2:$U$1001,0),0), INDEX($AB$1004:$AQ$1004,1,MATCH(COLUMNS($AB$1006:AL1006),$AB$1006:$AQ$1006,0)))),"Fix")))</f>
        <v>0</v>
      </c>
      <c r="M997" s="5">
        <f>IF(OR(INDEX($V$2:$V$1001,MATCH(ROWS($U$2:U997),$U$2:$U$1001,0),1)&gt;=100000,INDEX($AB$1005:$AQ$1005,1,MATCH(COLUMNS($AB$1006:AM1006),$AB$1006:$AQ$1006,0))&gt;=100000), " ",IF(INDEX($AB$2:$AQ$1001,MATCH(ROWS($U$2:U997),$U$2:$U$1001,0),MATCH(COLUMNS($AB$1006:AM1006),$AB$1006:$AQ$1006,0)), HYPERLINK("#",""), HYPERLINK(CONCATENATE("#Metadata!", ADDRESS(INDEX($W$2:$W$1001,MATCH(ROWS($U$2:U997),$U$2:$U$1001,0),0), INDEX($AB$1004:$AQ$1004,1,MATCH(COLUMNS($AB$1006:AM1006),$AB$1006:$AQ$1006,0)))),"Fix")))</f>
        <v>0</v>
      </c>
      <c r="N997" s="5">
        <f>IF(OR(INDEX($V$2:$V$1001,MATCH(ROWS($U$2:U997),$U$2:$U$1001,0),1)&gt;=100000,INDEX($AB$1005:$AQ$1005,1,MATCH(COLUMNS($AB$1006:AN1006),$AB$1006:$AQ$1006,0))&gt;=100000), " ",IF(INDEX($AB$2:$AQ$1001,MATCH(ROWS($U$2:U997),$U$2:$U$1001,0),MATCH(COLUMNS($AB$1006:AN1006),$AB$1006:$AQ$1006,0)), HYPERLINK("#",""), HYPERLINK(CONCATENATE("#Metadata!", ADDRESS(INDEX($W$2:$W$1001,MATCH(ROWS($U$2:U997),$U$2:$U$1001,0),0), INDEX($AB$1004:$AQ$1004,1,MATCH(COLUMNS($AB$1006:AN1006),$AB$1006:$AQ$1006,0)))),"Fix")))</f>
        <v>0</v>
      </c>
      <c r="O997" s="5">
        <f>IF(OR(INDEX($V$2:$V$1001,MATCH(ROWS($U$2:U997),$U$2:$U$1001,0),1)&gt;=100000,INDEX($AB$1005:$AQ$1005,1,MATCH(COLUMNS($AB$1006:AO1006),$AB$1006:$AQ$1006,0))&gt;=100000), " ",IF(INDEX($AB$2:$AQ$1001,MATCH(ROWS($U$2:U997),$U$2:$U$1001,0),MATCH(COLUMNS($AB$1006:AO1006),$AB$1006:$AQ$1006,0)), HYPERLINK("#",""), HYPERLINK(CONCATENATE("#Metadata!", ADDRESS(INDEX($W$2:$W$1001,MATCH(ROWS($U$2:U997),$U$2:$U$1001,0),0), INDEX($AB$1004:$AQ$1004,1,MATCH(COLUMNS($AB$1006:AO1006),$AB$1006:$AQ$1006,0)))),"Fix")))</f>
        <v>0</v>
      </c>
      <c r="P997" s="5">
        <f>IF(OR(INDEX($V$2:$V$1001,MATCH(ROWS($U$2:U997),$U$2:$U$1001,0),1)&gt;=100000,INDEX($AB$1005:$AQ$1005,1,MATCH(COLUMNS($AB$1006:AP1006),$AB$1006:$AQ$1006,0))&gt;=100000), " ",IF(INDEX($AB$2:$AQ$1001,MATCH(ROWS($U$2:U997),$U$2:$U$1001,0),MATCH(COLUMNS($AB$1006:AP1006),$AB$1006:$AQ$1006,0)), HYPERLINK("#",""), HYPERLINK(CONCATENATE("#Metadata!", ADDRESS(INDEX($W$2:$W$1001,MATCH(ROWS($U$2:U997),$U$2:$U$1001,0),0), INDEX($AB$1004:$AQ$1004,1,MATCH(COLUMNS($AB$1006:AP1006),$AB$1006:$AQ$1006,0)))),"Fix")))</f>
        <v>0</v>
      </c>
      <c r="Q997" s="5">
        <f>IF(OR(INDEX($V$2:$V$1001,MATCH(ROWS($U$2:U997),$U$2:$U$1001,0),1)&gt;=100000,INDEX($AB$1005:$AQ$1005,1,MATCH(COLUMNS($AB$1006:AQ1006),$AB$1006:$AQ$1006,0))&gt;=100000), " ",IF(INDEX($AB$2:$AQ$1001,MATCH(ROWS($U$2:U997),$U$2:$U$1001,0),MATCH(COLUMNS($AB$1006:AQ1006),$AB$1006:$AQ$1006,0)), HYPERLINK("#",""), HYPERLINK(CONCATENATE("#Metadata!", ADDRESS(INDEX($W$2:$W$1001,MATCH(ROWS($U$2:U997),$U$2:$U$1001,0),0), INDEX($AB$1004:$AQ$1004,1,MATCH(COLUMNS($AB$1006:AQ1006),$AB$1006:$AQ$1006,0)))),"Fix")))</f>
        <v>0</v>
      </c>
      <c r="U997">
        <v>0</v>
      </c>
      <c r="V997">
        <v>0</v>
      </c>
      <c r="W997">
        <v>0</v>
      </c>
      <c r="X997">
        <f>IF(Y997,TRUE,AND(AB997:AQ997))</f>
        <v>0</v>
      </c>
      <c r="Y997">
        <f>COUNTBLANK(Metadata!B997:Q997)=COLUMNS(Metadata!B997:Q997)</f>
        <v>0</v>
      </c>
      <c r="Z997">
        <v>0</v>
      </c>
      <c r="AB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AC997">
        <f>AND(IF(Metadata!C997="",FALSE,TRUE),exact(Metadata!C997,"urban biome"))</f>
        <v>0</v>
      </c>
      <c r="AD997">
        <f>AND(IF(Metadata!D997="",FALSE,TRUE),exact(Metadata!D997,"human-associated habitat"))</f>
        <v>0</v>
      </c>
      <c r="AE997">
        <f>AND(IF(Metadata!E997="",FALSE,TRUE),OR(exact(Metadata!E997,"human-associated"),exact(Metadata!E997,"human-skin"),exact(Metadata!E997,"human-oral"),exact(Metadata!E997,"human-gut"),exact(Metadata!E997,"human-vaginal")))</f>
        <v>0</v>
      </c>
      <c r="AF997">
        <f>AND(IF(Metadata!F997="",FALSE,ISNUMBER(VALUE(Metadata!F997))),Metadata!F997&gt;0)</f>
        <v>0</v>
      </c>
      <c r="AG997">
        <f>AND(IF(Metadata!G997="",FALSE,TRUE),exact(Metadata!G997,"years"))</f>
        <v>0</v>
      </c>
      <c r="AH997">
        <f>OR(AND(IF(Metadata!H997="",FALSE,TRUE),OR(exact(Metadata!H997,"not applicable"),exact(Metadata!H997,"not collected"),exact(Metadata!H997,"not provided"),exact(Metadata!H997,"restricted access"))),AND(IF(Metadata!H997="",FALSE,ISNUMBER(VALUE(Metadata!H997))),Metadata!H997&gt;0))</f>
        <v>0</v>
      </c>
      <c r="AI997">
        <f>AND(IF(Metadata!I997="",FALSE,TRUE),exact(Metadata!I997,"human"))</f>
        <v>0</v>
      </c>
      <c r="AJ997">
        <f>AND(IF(Metadata!J997="",FALSE,ISNUMBER(VALUE(Metadata!J997))),Metadata!J997&gt;0)</f>
        <v>0</v>
      </c>
      <c r="AK997">
        <f>AND(IF(Metadata!K997="",FALSE,TRUE),exact(Metadata!K997,"cm"))</f>
        <v>0</v>
      </c>
      <c r="AL997">
        <f>AND(IF(Metadata!L997="",FALSE,TRUE),exact(Metadata!L997,"Homo sapiens"))</f>
        <v>0</v>
      </c>
      <c r="AM997">
        <f>AND(IF(Metadata!M997="",FALSE,TRUE),exact(Metadata!M997,"9606"))</f>
        <v>0</v>
      </c>
      <c r="AN997">
        <f>AND(IF(Metadata!N997="",FALSE,ISNUMBER(VALUE(Metadata!N997))),Metadata!N997&gt;0)</f>
        <v>0</v>
      </c>
      <c r="AO997">
        <f>AND(IF(Metadata!O997="",FALSE,TRUE),exact(Metadata!O997,"kg"))</f>
        <v>0</v>
      </c>
      <c r="AP997">
        <f>OR(AND(IF(Metadata!P997="",FALSE,TRUE),exact(Metadata!P997,"not provided")),IF(Metadata!P997="",FALSE,TRUE))</f>
        <v>0</v>
      </c>
      <c r="AQ997">
        <f>OR(AND(IF(Metadata!Q997="",FALSE,TRUE),exact(Metadata!Q997,"not provided")),IF(Metadata!Q997="",FALSE,TRUE))</f>
        <v>0</v>
      </c>
    </row>
    <row r="998" spans="1:43">
      <c r="A998" s="4">
        <f>IF(B998=" "," ",HYPERLINK(CONCATENATE("#metadata!",ADDRESS(INDEX($W$2:$W$1001,MATCH(ROWS($U$2:U998),$U$2:$U$1001,0),0),2)),INDEX($Z$2:$Z$1001,MATCH(ROWS($U$2:U998),$U$2:$U$1001,0),0)))</f>
        <v>0</v>
      </c>
      <c r="B998" s="5">
        <f>IF(OR(INDEX($V$2:$V$1001,MATCH(ROWS($U$2:U998),$U$2:$U$1001,0),1)&gt;=100000,INDEX($AB$1005:$AQ$1005,1,MATCH(COLUMNS($AB$1006:AB1006),$AB$1006:$AQ$1006,0))&gt;=100000), " ",IF(INDEX($AB$2:$AQ$1001,MATCH(ROWS($U$2:U998),$U$2:$U$1001,0),MATCH(COLUMNS($AB$1006:AB1006),$AB$1006:$AQ$1006,0)), HYPERLINK("#",""), HYPERLINK(CONCATENATE("#Metadata!", ADDRESS(INDEX($W$2:$W$1001,MATCH(ROWS($U$2:U998),$U$2:$U$1001,0),0), INDEX($AB$1004:$AQ$1004,1,MATCH(COLUMNS($AB$1006:AB1006),$AB$1006:$AQ$1006,0)))),"Fix")))</f>
        <v>0</v>
      </c>
      <c r="C998" s="5">
        <f>IF(OR(INDEX($V$2:$V$1001,MATCH(ROWS($U$2:U998),$U$2:$U$1001,0),1)&gt;=100000,INDEX($AB$1005:$AQ$1005,1,MATCH(COLUMNS($AB$1006:AC1006),$AB$1006:$AQ$1006,0))&gt;=100000), " ",IF(INDEX($AB$2:$AQ$1001,MATCH(ROWS($U$2:U998),$U$2:$U$1001,0),MATCH(COLUMNS($AB$1006:AC1006),$AB$1006:$AQ$1006,0)), HYPERLINK("#",""), HYPERLINK(CONCATENATE("#Metadata!", ADDRESS(INDEX($W$2:$W$1001,MATCH(ROWS($U$2:U998),$U$2:$U$1001,0),0), INDEX($AB$1004:$AQ$1004,1,MATCH(COLUMNS($AB$1006:AC1006),$AB$1006:$AQ$1006,0)))),"Fix")))</f>
        <v>0</v>
      </c>
      <c r="D998" s="5">
        <f>IF(OR(INDEX($V$2:$V$1001,MATCH(ROWS($U$2:U998),$U$2:$U$1001,0),1)&gt;=100000,INDEX($AB$1005:$AQ$1005,1,MATCH(COLUMNS($AB$1006:AD1006),$AB$1006:$AQ$1006,0))&gt;=100000), " ",IF(INDEX($AB$2:$AQ$1001,MATCH(ROWS($U$2:U998),$U$2:$U$1001,0),MATCH(COLUMNS($AB$1006:AD1006),$AB$1006:$AQ$1006,0)), HYPERLINK("#",""), HYPERLINK(CONCATENATE("#Metadata!", ADDRESS(INDEX($W$2:$W$1001,MATCH(ROWS($U$2:U998),$U$2:$U$1001,0),0), INDEX($AB$1004:$AQ$1004,1,MATCH(COLUMNS($AB$1006:AD1006),$AB$1006:$AQ$1006,0)))),"Fix")))</f>
        <v>0</v>
      </c>
      <c r="E998" s="5">
        <f>IF(OR(INDEX($V$2:$V$1001,MATCH(ROWS($U$2:U998),$U$2:$U$1001,0),1)&gt;=100000,INDEX($AB$1005:$AQ$1005,1,MATCH(COLUMNS($AB$1006:AE1006),$AB$1006:$AQ$1006,0))&gt;=100000), " ",IF(INDEX($AB$2:$AQ$1001,MATCH(ROWS($U$2:U998),$U$2:$U$1001,0),MATCH(COLUMNS($AB$1006:AE1006),$AB$1006:$AQ$1006,0)), HYPERLINK("#",""), HYPERLINK(CONCATENATE("#Metadata!", ADDRESS(INDEX($W$2:$W$1001,MATCH(ROWS($U$2:U998),$U$2:$U$1001,0),0), INDEX($AB$1004:$AQ$1004,1,MATCH(COLUMNS($AB$1006:AE1006),$AB$1006:$AQ$1006,0)))),"Fix")))</f>
        <v>0</v>
      </c>
      <c r="F998" s="5">
        <f>IF(OR(INDEX($V$2:$V$1001,MATCH(ROWS($U$2:U998),$U$2:$U$1001,0),1)&gt;=100000,INDEX($AB$1005:$AQ$1005,1,MATCH(COLUMNS($AB$1006:AF1006),$AB$1006:$AQ$1006,0))&gt;=100000), " ",IF(INDEX($AB$2:$AQ$1001,MATCH(ROWS($U$2:U998),$U$2:$U$1001,0),MATCH(COLUMNS($AB$1006:AF1006),$AB$1006:$AQ$1006,0)), HYPERLINK("#",""), HYPERLINK(CONCATENATE("#Metadata!", ADDRESS(INDEX($W$2:$W$1001,MATCH(ROWS($U$2:U998),$U$2:$U$1001,0),0), INDEX($AB$1004:$AQ$1004,1,MATCH(COLUMNS($AB$1006:AF1006),$AB$1006:$AQ$1006,0)))),"Fix")))</f>
        <v>0</v>
      </c>
      <c r="G998" s="5">
        <f>IF(OR(INDEX($V$2:$V$1001,MATCH(ROWS($U$2:U998),$U$2:$U$1001,0),1)&gt;=100000,INDEX($AB$1005:$AQ$1005,1,MATCH(COLUMNS($AB$1006:AG1006),$AB$1006:$AQ$1006,0))&gt;=100000), " ",IF(INDEX($AB$2:$AQ$1001,MATCH(ROWS($U$2:U998),$U$2:$U$1001,0),MATCH(COLUMNS($AB$1006:AG1006),$AB$1006:$AQ$1006,0)), HYPERLINK("#",""), HYPERLINK(CONCATENATE("#Metadata!", ADDRESS(INDEX($W$2:$W$1001,MATCH(ROWS($U$2:U998),$U$2:$U$1001,0),0), INDEX($AB$1004:$AQ$1004,1,MATCH(COLUMNS($AB$1006:AG1006),$AB$1006:$AQ$1006,0)))),"Fix")))</f>
        <v>0</v>
      </c>
      <c r="H998" s="5">
        <f>IF(OR(INDEX($V$2:$V$1001,MATCH(ROWS($U$2:U998),$U$2:$U$1001,0),1)&gt;=100000,INDEX($AB$1005:$AQ$1005,1,MATCH(COLUMNS($AB$1006:AH1006),$AB$1006:$AQ$1006,0))&gt;=100000), " ",IF(INDEX($AB$2:$AQ$1001,MATCH(ROWS($U$2:U998),$U$2:$U$1001,0),MATCH(COLUMNS($AB$1006:AH1006),$AB$1006:$AQ$1006,0)), HYPERLINK("#",""), HYPERLINK(CONCATENATE("#Metadata!", ADDRESS(INDEX($W$2:$W$1001,MATCH(ROWS($U$2:U998),$U$2:$U$1001,0),0), INDEX($AB$1004:$AQ$1004,1,MATCH(COLUMNS($AB$1006:AH1006),$AB$1006:$AQ$1006,0)))),"Fix")))</f>
        <v>0</v>
      </c>
      <c r="I998" s="5">
        <f>IF(OR(INDEX($V$2:$V$1001,MATCH(ROWS($U$2:U998),$U$2:$U$1001,0),1)&gt;=100000,INDEX($AB$1005:$AQ$1005,1,MATCH(COLUMNS($AB$1006:AI1006),$AB$1006:$AQ$1006,0))&gt;=100000), " ",IF(INDEX($AB$2:$AQ$1001,MATCH(ROWS($U$2:U998),$U$2:$U$1001,0),MATCH(COLUMNS($AB$1006:AI1006),$AB$1006:$AQ$1006,0)), HYPERLINK("#",""), HYPERLINK(CONCATENATE("#Metadata!", ADDRESS(INDEX($W$2:$W$1001,MATCH(ROWS($U$2:U998),$U$2:$U$1001,0),0), INDEX($AB$1004:$AQ$1004,1,MATCH(COLUMNS($AB$1006:AI1006),$AB$1006:$AQ$1006,0)))),"Fix")))</f>
        <v>0</v>
      </c>
      <c r="J998" s="5">
        <f>IF(OR(INDEX($V$2:$V$1001,MATCH(ROWS($U$2:U998),$U$2:$U$1001,0),1)&gt;=100000,INDEX($AB$1005:$AQ$1005,1,MATCH(COLUMNS($AB$1006:AJ1006),$AB$1006:$AQ$1006,0))&gt;=100000), " ",IF(INDEX($AB$2:$AQ$1001,MATCH(ROWS($U$2:U998),$U$2:$U$1001,0),MATCH(COLUMNS($AB$1006:AJ1006),$AB$1006:$AQ$1006,0)), HYPERLINK("#",""), HYPERLINK(CONCATENATE("#Metadata!", ADDRESS(INDEX($W$2:$W$1001,MATCH(ROWS($U$2:U998),$U$2:$U$1001,0),0), INDEX($AB$1004:$AQ$1004,1,MATCH(COLUMNS($AB$1006:AJ1006),$AB$1006:$AQ$1006,0)))),"Fix")))</f>
        <v>0</v>
      </c>
      <c r="K998" s="5">
        <f>IF(OR(INDEX($V$2:$V$1001,MATCH(ROWS($U$2:U998),$U$2:$U$1001,0),1)&gt;=100000,INDEX($AB$1005:$AQ$1005,1,MATCH(COLUMNS($AB$1006:AK1006),$AB$1006:$AQ$1006,0))&gt;=100000), " ",IF(INDEX($AB$2:$AQ$1001,MATCH(ROWS($U$2:U998),$U$2:$U$1001,0),MATCH(COLUMNS($AB$1006:AK1006),$AB$1006:$AQ$1006,0)), HYPERLINK("#",""), HYPERLINK(CONCATENATE("#Metadata!", ADDRESS(INDEX($W$2:$W$1001,MATCH(ROWS($U$2:U998),$U$2:$U$1001,0),0), INDEX($AB$1004:$AQ$1004,1,MATCH(COLUMNS($AB$1006:AK1006),$AB$1006:$AQ$1006,0)))),"Fix")))</f>
        <v>0</v>
      </c>
      <c r="L998" s="5">
        <f>IF(OR(INDEX($V$2:$V$1001,MATCH(ROWS($U$2:U998),$U$2:$U$1001,0),1)&gt;=100000,INDEX($AB$1005:$AQ$1005,1,MATCH(COLUMNS($AB$1006:AL1006),$AB$1006:$AQ$1006,0))&gt;=100000), " ",IF(INDEX($AB$2:$AQ$1001,MATCH(ROWS($U$2:U998),$U$2:$U$1001,0),MATCH(COLUMNS($AB$1006:AL1006),$AB$1006:$AQ$1006,0)), HYPERLINK("#",""), HYPERLINK(CONCATENATE("#Metadata!", ADDRESS(INDEX($W$2:$W$1001,MATCH(ROWS($U$2:U998),$U$2:$U$1001,0),0), INDEX($AB$1004:$AQ$1004,1,MATCH(COLUMNS($AB$1006:AL1006),$AB$1006:$AQ$1006,0)))),"Fix")))</f>
        <v>0</v>
      </c>
      <c r="M998" s="5">
        <f>IF(OR(INDEX($V$2:$V$1001,MATCH(ROWS($U$2:U998),$U$2:$U$1001,0),1)&gt;=100000,INDEX($AB$1005:$AQ$1005,1,MATCH(COLUMNS($AB$1006:AM1006),$AB$1006:$AQ$1006,0))&gt;=100000), " ",IF(INDEX($AB$2:$AQ$1001,MATCH(ROWS($U$2:U998),$U$2:$U$1001,0),MATCH(COLUMNS($AB$1006:AM1006),$AB$1006:$AQ$1006,0)), HYPERLINK("#",""), HYPERLINK(CONCATENATE("#Metadata!", ADDRESS(INDEX($W$2:$W$1001,MATCH(ROWS($U$2:U998),$U$2:$U$1001,0),0), INDEX($AB$1004:$AQ$1004,1,MATCH(COLUMNS($AB$1006:AM1006),$AB$1006:$AQ$1006,0)))),"Fix")))</f>
        <v>0</v>
      </c>
      <c r="N998" s="5">
        <f>IF(OR(INDEX($V$2:$V$1001,MATCH(ROWS($U$2:U998),$U$2:$U$1001,0),1)&gt;=100000,INDEX($AB$1005:$AQ$1005,1,MATCH(COLUMNS($AB$1006:AN1006),$AB$1006:$AQ$1006,0))&gt;=100000), " ",IF(INDEX($AB$2:$AQ$1001,MATCH(ROWS($U$2:U998),$U$2:$U$1001,0),MATCH(COLUMNS($AB$1006:AN1006),$AB$1006:$AQ$1006,0)), HYPERLINK("#",""), HYPERLINK(CONCATENATE("#Metadata!", ADDRESS(INDEX($W$2:$W$1001,MATCH(ROWS($U$2:U998),$U$2:$U$1001,0),0), INDEX($AB$1004:$AQ$1004,1,MATCH(COLUMNS($AB$1006:AN1006),$AB$1006:$AQ$1006,0)))),"Fix")))</f>
        <v>0</v>
      </c>
      <c r="O998" s="5">
        <f>IF(OR(INDEX($V$2:$V$1001,MATCH(ROWS($U$2:U998),$U$2:$U$1001,0),1)&gt;=100000,INDEX($AB$1005:$AQ$1005,1,MATCH(COLUMNS($AB$1006:AO1006),$AB$1006:$AQ$1006,0))&gt;=100000), " ",IF(INDEX($AB$2:$AQ$1001,MATCH(ROWS($U$2:U998),$U$2:$U$1001,0),MATCH(COLUMNS($AB$1006:AO1006),$AB$1006:$AQ$1006,0)), HYPERLINK("#",""), HYPERLINK(CONCATENATE("#Metadata!", ADDRESS(INDEX($W$2:$W$1001,MATCH(ROWS($U$2:U998),$U$2:$U$1001,0),0), INDEX($AB$1004:$AQ$1004,1,MATCH(COLUMNS($AB$1006:AO1006),$AB$1006:$AQ$1006,0)))),"Fix")))</f>
        <v>0</v>
      </c>
      <c r="P998" s="5">
        <f>IF(OR(INDEX($V$2:$V$1001,MATCH(ROWS($U$2:U998),$U$2:$U$1001,0),1)&gt;=100000,INDEX($AB$1005:$AQ$1005,1,MATCH(COLUMNS($AB$1006:AP1006),$AB$1006:$AQ$1006,0))&gt;=100000), " ",IF(INDEX($AB$2:$AQ$1001,MATCH(ROWS($U$2:U998),$U$2:$U$1001,0),MATCH(COLUMNS($AB$1006:AP1006),$AB$1006:$AQ$1006,0)), HYPERLINK("#",""), HYPERLINK(CONCATENATE("#Metadata!", ADDRESS(INDEX($W$2:$W$1001,MATCH(ROWS($U$2:U998),$U$2:$U$1001,0),0), INDEX($AB$1004:$AQ$1004,1,MATCH(COLUMNS($AB$1006:AP1006),$AB$1006:$AQ$1006,0)))),"Fix")))</f>
        <v>0</v>
      </c>
      <c r="Q998" s="5">
        <f>IF(OR(INDEX($V$2:$V$1001,MATCH(ROWS($U$2:U998),$U$2:$U$1001,0),1)&gt;=100000,INDEX($AB$1005:$AQ$1005,1,MATCH(COLUMNS($AB$1006:AQ1006),$AB$1006:$AQ$1006,0))&gt;=100000), " ",IF(INDEX($AB$2:$AQ$1001,MATCH(ROWS($U$2:U998),$U$2:$U$1001,0),MATCH(COLUMNS($AB$1006:AQ1006),$AB$1006:$AQ$1006,0)), HYPERLINK("#",""), HYPERLINK(CONCATENATE("#Metadata!", ADDRESS(INDEX($W$2:$W$1001,MATCH(ROWS($U$2:U998),$U$2:$U$1001,0),0), INDEX($AB$1004:$AQ$1004,1,MATCH(COLUMNS($AB$1006:AQ1006),$AB$1006:$AQ$1006,0)))),"Fix")))</f>
        <v>0</v>
      </c>
      <c r="U998">
        <v>0</v>
      </c>
      <c r="V998">
        <v>0</v>
      </c>
      <c r="W998">
        <v>0</v>
      </c>
      <c r="X998">
        <f>IF(Y998,TRUE,AND(AB998:AQ998))</f>
        <v>0</v>
      </c>
      <c r="Y998">
        <f>COUNTBLANK(Metadata!B998:Q998)=COLUMNS(Metadata!B998:Q998)</f>
        <v>0</v>
      </c>
      <c r="Z998">
        <v>0</v>
      </c>
      <c r="AB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AC998">
        <f>AND(IF(Metadata!C998="",FALSE,TRUE),exact(Metadata!C998,"urban biome"))</f>
        <v>0</v>
      </c>
      <c r="AD998">
        <f>AND(IF(Metadata!D998="",FALSE,TRUE),exact(Metadata!D998,"human-associated habitat"))</f>
        <v>0</v>
      </c>
      <c r="AE998">
        <f>AND(IF(Metadata!E998="",FALSE,TRUE),OR(exact(Metadata!E998,"human-associated"),exact(Metadata!E998,"human-skin"),exact(Metadata!E998,"human-oral"),exact(Metadata!E998,"human-gut"),exact(Metadata!E998,"human-vaginal")))</f>
        <v>0</v>
      </c>
      <c r="AF998">
        <f>AND(IF(Metadata!F998="",FALSE,ISNUMBER(VALUE(Metadata!F998))),Metadata!F998&gt;0)</f>
        <v>0</v>
      </c>
      <c r="AG998">
        <f>AND(IF(Metadata!G998="",FALSE,TRUE),exact(Metadata!G998,"years"))</f>
        <v>0</v>
      </c>
      <c r="AH998">
        <f>OR(AND(IF(Metadata!H998="",FALSE,TRUE),OR(exact(Metadata!H998,"not applicable"),exact(Metadata!H998,"not collected"),exact(Metadata!H998,"not provided"),exact(Metadata!H998,"restricted access"))),AND(IF(Metadata!H998="",FALSE,ISNUMBER(VALUE(Metadata!H998))),Metadata!H998&gt;0))</f>
        <v>0</v>
      </c>
      <c r="AI998">
        <f>AND(IF(Metadata!I998="",FALSE,TRUE),exact(Metadata!I998,"human"))</f>
        <v>0</v>
      </c>
      <c r="AJ998">
        <f>AND(IF(Metadata!J998="",FALSE,ISNUMBER(VALUE(Metadata!J998))),Metadata!J998&gt;0)</f>
        <v>0</v>
      </c>
      <c r="AK998">
        <f>AND(IF(Metadata!K998="",FALSE,TRUE),exact(Metadata!K998,"cm"))</f>
        <v>0</v>
      </c>
      <c r="AL998">
        <f>AND(IF(Metadata!L998="",FALSE,TRUE),exact(Metadata!L998,"Homo sapiens"))</f>
        <v>0</v>
      </c>
      <c r="AM998">
        <f>AND(IF(Metadata!M998="",FALSE,TRUE),exact(Metadata!M998,"9606"))</f>
        <v>0</v>
      </c>
      <c r="AN998">
        <f>AND(IF(Metadata!N998="",FALSE,ISNUMBER(VALUE(Metadata!N998))),Metadata!N998&gt;0)</f>
        <v>0</v>
      </c>
      <c r="AO998">
        <f>AND(IF(Metadata!O998="",FALSE,TRUE),exact(Metadata!O998,"kg"))</f>
        <v>0</v>
      </c>
      <c r="AP998">
        <f>OR(AND(IF(Metadata!P998="",FALSE,TRUE),exact(Metadata!P998,"not provided")),IF(Metadata!P998="",FALSE,TRUE))</f>
        <v>0</v>
      </c>
      <c r="AQ998">
        <f>OR(AND(IF(Metadata!Q998="",FALSE,TRUE),exact(Metadata!Q998,"not provided")),IF(Metadata!Q998="",FALSE,TRUE))</f>
        <v>0</v>
      </c>
    </row>
    <row r="999" spans="1:43">
      <c r="A999" s="4">
        <f>IF(B999=" "," ",HYPERLINK(CONCATENATE("#metadata!",ADDRESS(INDEX($W$2:$W$1001,MATCH(ROWS($U$2:U999),$U$2:$U$1001,0),0),2)),INDEX($Z$2:$Z$1001,MATCH(ROWS($U$2:U999),$U$2:$U$1001,0),0)))</f>
        <v>0</v>
      </c>
      <c r="B999" s="5">
        <f>IF(OR(INDEX($V$2:$V$1001,MATCH(ROWS($U$2:U999),$U$2:$U$1001,0),1)&gt;=100000,INDEX($AB$1005:$AQ$1005,1,MATCH(COLUMNS($AB$1006:AB1006),$AB$1006:$AQ$1006,0))&gt;=100000), " ",IF(INDEX($AB$2:$AQ$1001,MATCH(ROWS($U$2:U999),$U$2:$U$1001,0),MATCH(COLUMNS($AB$1006:AB1006),$AB$1006:$AQ$1006,0)), HYPERLINK("#",""), HYPERLINK(CONCATENATE("#Metadata!", ADDRESS(INDEX($W$2:$W$1001,MATCH(ROWS($U$2:U999),$U$2:$U$1001,0),0), INDEX($AB$1004:$AQ$1004,1,MATCH(COLUMNS($AB$1006:AB1006),$AB$1006:$AQ$1006,0)))),"Fix")))</f>
        <v>0</v>
      </c>
      <c r="C999" s="5">
        <f>IF(OR(INDEX($V$2:$V$1001,MATCH(ROWS($U$2:U999),$U$2:$U$1001,0),1)&gt;=100000,INDEX($AB$1005:$AQ$1005,1,MATCH(COLUMNS($AB$1006:AC1006),$AB$1006:$AQ$1006,0))&gt;=100000), " ",IF(INDEX($AB$2:$AQ$1001,MATCH(ROWS($U$2:U999),$U$2:$U$1001,0),MATCH(COLUMNS($AB$1006:AC1006),$AB$1006:$AQ$1006,0)), HYPERLINK("#",""), HYPERLINK(CONCATENATE("#Metadata!", ADDRESS(INDEX($W$2:$W$1001,MATCH(ROWS($U$2:U999),$U$2:$U$1001,0),0), INDEX($AB$1004:$AQ$1004,1,MATCH(COLUMNS($AB$1006:AC1006),$AB$1006:$AQ$1006,0)))),"Fix")))</f>
        <v>0</v>
      </c>
      <c r="D999" s="5">
        <f>IF(OR(INDEX($V$2:$V$1001,MATCH(ROWS($U$2:U999),$U$2:$U$1001,0),1)&gt;=100000,INDEX($AB$1005:$AQ$1005,1,MATCH(COLUMNS($AB$1006:AD1006),$AB$1006:$AQ$1006,0))&gt;=100000), " ",IF(INDEX($AB$2:$AQ$1001,MATCH(ROWS($U$2:U999),$U$2:$U$1001,0),MATCH(COLUMNS($AB$1006:AD1006),$AB$1006:$AQ$1006,0)), HYPERLINK("#",""), HYPERLINK(CONCATENATE("#Metadata!", ADDRESS(INDEX($W$2:$W$1001,MATCH(ROWS($U$2:U999),$U$2:$U$1001,0),0), INDEX($AB$1004:$AQ$1004,1,MATCH(COLUMNS($AB$1006:AD1006),$AB$1006:$AQ$1006,0)))),"Fix")))</f>
        <v>0</v>
      </c>
      <c r="E999" s="5">
        <f>IF(OR(INDEX($V$2:$V$1001,MATCH(ROWS($U$2:U999),$U$2:$U$1001,0),1)&gt;=100000,INDEX($AB$1005:$AQ$1005,1,MATCH(COLUMNS($AB$1006:AE1006),$AB$1006:$AQ$1006,0))&gt;=100000), " ",IF(INDEX($AB$2:$AQ$1001,MATCH(ROWS($U$2:U999),$U$2:$U$1001,0),MATCH(COLUMNS($AB$1006:AE1006),$AB$1006:$AQ$1006,0)), HYPERLINK("#",""), HYPERLINK(CONCATENATE("#Metadata!", ADDRESS(INDEX($W$2:$W$1001,MATCH(ROWS($U$2:U999),$U$2:$U$1001,0),0), INDEX($AB$1004:$AQ$1004,1,MATCH(COLUMNS($AB$1006:AE1006),$AB$1006:$AQ$1006,0)))),"Fix")))</f>
        <v>0</v>
      </c>
      <c r="F999" s="5">
        <f>IF(OR(INDEX($V$2:$V$1001,MATCH(ROWS($U$2:U999),$U$2:$U$1001,0),1)&gt;=100000,INDEX($AB$1005:$AQ$1005,1,MATCH(COLUMNS($AB$1006:AF1006),$AB$1006:$AQ$1006,0))&gt;=100000), " ",IF(INDEX($AB$2:$AQ$1001,MATCH(ROWS($U$2:U999),$U$2:$U$1001,0),MATCH(COLUMNS($AB$1006:AF1006),$AB$1006:$AQ$1006,0)), HYPERLINK("#",""), HYPERLINK(CONCATENATE("#Metadata!", ADDRESS(INDEX($W$2:$W$1001,MATCH(ROWS($U$2:U999),$U$2:$U$1001,0),0), INDEX($AB$1004:$AQ$1004,1,MATCH(COLUMNS($AB$1006:AF1006),$AB$1006:$AQ$1006,0)))),"Fix")))</f>
        <v>0</v>
      </c>
      <c r="G999" s="5">
        <f>IF(OR(INDEX($V$2:$V$1001,MATCH(ROWS($U$2:U999),$U$2:$U$1001,0),1)&gt;=100000,INDEX($AB$1005:$AQ$1005,1,MATCH(COLUMNS($AB$1006:AG1006),$AB$1006:$AQ$1006,0))&gt;=100000), " ",IF(INDEX($AB$2:$AQ$1001,MATCH(ROWS($U$2:U999),$U$2:$U$1001,0),MATCH(COLUMNS($AB$1006:AG1006),$AB$1006:$AQ$1006,0)), HYPERLINK("#",""), HYPERLINK(CONCATENATE("#Metadata!", ADDRESS(INDEX($W$2:$W$1001,MATCH(ROWS($U$2:U999),$U$2:$U$1001,0),0), INDEX($AB$1004:$AQ$1004,1,MATCH(COLUMNS($AB$1006:AG1006),$AB$1006:$AQ$1006,0)))),"Fix")))</f>
        <v>0</v>
      </c>
      <c r="H999" s="5">
        <f>IF(OR(INDEX($V$2:$V$1001,MATCH(ROWS($U$2:U999),$U$2:$U$1001,0),1)&gt;=100000,INDEX($AB$1005:$AQ$1005,1,MATCH(COLUMNS($AB$1006:AH1006),$AB$1006:$AQ$1006,0))&gt;=100000), " ",IF(INDEX($AB$2:$AQ$1001,MATCH(ROWS($U$2:U999),$U$2:$U$1001,0),MATCH(COLUMNS($AB$1006:AH1006),$AB$1006:$AQ$1006,0)), HYPERLINK("#",""), HYPERLINK(CONCATENATE("#Metadata!", ADDRESS(INDEX($W$2:$W$1001,MATCH(ROWS($U$2:U999),$U$2:$U$1001,0),0), INDEX($AB$1004:$AQ$1004,1,MATCH(COLUMNS($AB$1006:AH1006),$AB$1006:$AQ$1006,0)))),"Fix")))</f>
        <v>0</v>
      </c>
      <c r="I999" s="5">
        <f>IF(OR(INDEX($V$2:$V$1001,MATCH(ROWS($U$2:U999),$U$2:$U$1001,0),1)&gt;=100000,INDEX($AB$1005:$AQ$1005,1,MATCH(COLUMNS($AB$1006:AI1006),$AB$1006:$AQ$1006,0))&gt;=100000), " ",IF(INDEX($AB$2:$AQ$1001,MATCH(ROWS($U$2:U999),$U$2:$U$1001,0),MATCH(COLUMNS($AB$1006:AI1006),$AB$1006:$AQ$1006,0)), HYPERLINK("#",""), HYPERLINK(CONCATENATE("#Metadata!", ADDRESS(INDEX($W$2:$W$1001,MATCH(ROWS($U$2:U999),$U$2:$U$1001,0),0), INDEX($AB$1004:$AQ$1004,1,MATCH(COLUMNS($AB$1006:AI1006),$AB$1006:$AQ$1006,0)))),"Fix")))</f>
        <v>0</v>
      </c>
      <c r="J999" s="5">
        <f>IF(OR(INDEX($V$2:$V$1001,MATCH(ROWS($U$2:U999),$U$2:$U$1001,0),1)&gt;=100000,INDEX($AB$1005:$AQ$1005,1,MATCH(COLUMNS($AB$1006:AJ1006),$AB$1006:$AQ$1006,0))&gt;=100000), " ",IF(INDEX($AB$2:$AQ$1001,MATCH(ROWS($U$2:U999),$U$2:$U$1001,0),MATCH(COLUMNS($AB$1006:AJ1006),$AB$1006:$AQ$1006,0)), HYPERLINK("#",""), HYPERLINK(CONCATENATE("#Metadata!", ADDRESS(INDEX($W$2:$W$1001,MATCH(ROWS($U$2:U999),$U$2:$U$1001,0),0), INDEX($AB$1004:$AQ$1004,1,MATCH(COLUMNS($AB$1006:AJ1006),$AB$1006:$AQ$1006,0)))),"Fix")))</f>
        <v>0</v>
      </c>
      <c r="K999" s="5">
        <f>IF(OR(INDEX($V$2:$V$1001,MATCH(ROWS($U$2:U999),$U$2:$U$1001,0),1)&gt;=100000,INDEX($AB$1005:$AQ$1005,1,MATCH(COLUMNS($AB$1006:AK1006),$AB$1006:$AQ$1006,0))&gt;=100000), " ",IF(INDEX($AB$2:$AQ$1001,MATCH(ROWS($U$2:U999),$U$2:$U$1001,0),MATCH(COLUMNS($AB$1006:AK1006),$AB$1006:$AQ$1006,0)), HYPERLINK("#",""), HYPERLINK(CONCATENATE("#Metadata!", ADDRESS(INDEX($W$2:$W$1001,MATCH(ROWS($U$2:U999),$U$2:$U$1001,0),0), INDEX($AB$1004:$AQ$1004,1,MATCH(COLUMNS($AB$1006:AK1006),$AB$1006:$AQ$1006,0)))),"Fix")))</f>
        <v>0</v>
      </c>
      <c r="L999" s="5">
        <f>IF(OR(INDEX($V$2:$V$1001,MATCH(ROWS($U$2:U999),$U$2:$U$1001,0),1)&gt;=100000,INDEX($AB$1005:$AQ$1005,1,MATCH(COLUMNS($AB$1006:AL1006),$AB$1006:$AQ$1006,0))&gt;=100000), " ",IF(INDEX($AB$2:$AQ$1001,MATCH(ROWS($U$2:U999),$U$2:$U$1001,0),MATCH(COLUMNS($AB$1006:AL1006),$AB$1006:$AQ$1006,0)), HYPERLINK("#",""), HYPERLINK(CONCATENATE("#Metadata!", ADDRESS(INDEX($W$2:$W$1001,MATCH(ROWS($U$2:U999),$U$2:$U$1001,0),0), INDEX($AB$1004:$AQ$1004,1,MATCH(COLUMNS($AB$1006:AL1006),$AB$1006:$AQ$1006,0)))),"Fix")))</f>
        <v>0</v>
      </c>
      <c r="M999" s="5">
        <f>IF(OR(INDEX($V$2:$V$1001,MATCH(ROWS($U$2:U999),$U$2:$U$1001,0),1)&gt;=100000,INDEX($AB$1005:$AQ$1005,1,MATCH(COLUMNS($AB$1006:AM1006),$AB$1006:$AQ$1006,0))&gt;=100000), " ",IF(INDEX($AB$2:$AQ$1001,MATCH(ROWS($U$2:U999),$U$2:$U$1001,0),MATCH(COLUMNS($AB$1006:AM1006),$AB$1006:$AQ$1006,0)), HYPERLINK("#",""), HYPERLINK(CONCATENATE("#Metadata!", ADDRESS(INDEX($W$2:$W$1001,MATCH(ROWS($U$2:U999),$U$2:$U$1001,0),0), INDEX($AB$1004:$AQ$1004,1,MATCH(COLUMNS($AB$1006:AM1006),$AB$1006:$AQ$1006,0)))),"Fix")))</f>
        <v>0</v>
      </c>
      <c r="N999" s="5">
        <f>IF(OR(INDEX($V$2:$V$1001,MATCH(ROWS($U$2:U999),$U$2:$U$1001,0),1)&gt;=100000,INDEX($AB$1005:$AQ$1005,1,MATCH(COLUMNS($AB$1006:AN1006),$AB$1006:$AQ$1006,0))&gt;=100000), " ",IF(INDEX($AB$2:$AQ$1001,MATCH(ROWS($U$2:U999),$U$2:$U$1001,0),MATCH(COLUMNS($AB$1006:AN1006),$AB$1006:$AQ$1006,0)), HYPERLINK("#",""), HYPERLINK(CONCATENATE("#Metadata!", ADDRESS(INDEX($W$2:$W$1001,MATCH(ROWS($U$2:U999),$U$2:$U$1001,0),0), INDEX($AB$1004:$AQ$1004,1,MATCH(COLUMNS($AB$1006:AN1006),$AB$1006:$AQ$1006,0)))),"Fix")))</f>
        <v>0</v>
      </c>
      <c r="O999" s="5">
        <f>IF(OR(INDEX($V$2:$V$1001,MATCH(ROWS($U$2:U999),$U$2:$U$1001,0),1)&gt;=100000,INDEX($AB$1005:$AQ$1005,1,MATCH(COLUMNS($AB$1006:AO1006),$AB$1006:$AQ$1006,0))&gt;=100000), " ",IF(INDEX($AB$2:$AQ$1001,MATCH(ROWS($U$2:U999),$U$2:$U$1001,0),MATCH(COLUMNS($AB$1006:AO1006),$AB$1006:$AQ$1006,0)), HYPERLINK("#",""), HYPERLINK(CONCATENATE("#Metadata!", ADDRESS(INDEX($W$2:$W$1001,MATCH(ROWS($U$2:U999),$U$2:$U$1001,0),0), INDEX($AB$1004:$AQ$1004,1,MATCH(COLUMNS($AB$1006:AO1006),$AB$1006:$AQ$1006,0)))),"Fix")))</f>
        <v>0</v>
      </c>
      <c r="P999" s="5">
        <f>IF(OR(INDEX($V$2:$V$1001,MATCH(ROWS($U$2:U999),$U$2:$U$1001,0),1)&gt;=100000,INDEX($AB$1005:$AQ$1005,1,MATCH(COLUMNS($AB$1006:AP1006),$AB$1006:$AQ$1006,0))&gt;=100000), " ",IF(INDEX($AB$2:$AQ$1001,MATCH(ROWS($U$2:U999),$U$2:$U$1001,0),MATCH(COLUMNS($AB$1006:AP1006),$AB$1006:$AQ$1006,0)), HYPERLINK("#",""), HYPERLINK(CONCATENATE("#Metadata!", ADDRESS(INDEX($W$2:$W$1001,MATCH(ROWS($U$2:U999),$U$2:$U$1001,0),0), INDEX($AB$1004:$AQ$1004,1,MATCH(COLUMNS($AB$1006:AP1006),$AB$1006:$AQ$1006,0)))),"Fix")))</f>
        <v>0</v>
      </c>
      <c r="Q999" s="5">
        <f>IF(OR(INDEX($V$2:$V$1001,MATCH(ROWS($U$2:U999),$U$2:$U$1001,0),1)&gt;=100000,INDEX($AB$1005:$AQ$1005,1,MATCH(COLUMNS($AB$1006:AQ1006),$AB$1006:$AQ$1006,0))&gt;=100000), " ",IF(INDEX($AB$2:$AQ$1001,MATCH(ROWS($U$2:U999),$U$2:$U$1001,0),MATCH(COLUMNS($AB$1006:AQ1006),$AB$1006:$AQ$1006,0)), HYPERLINK("#",""), HYPERLINK(CONCATENATE("#Metadata!", ADDRESS(INDEX($W$2:$W$1001,MATCH(ROWS($U$2:U999),$U$2:$U$1001,0),0), INDEX($AB$1004:$AQ$1004,1,MATCH(COLUMNS($AB$1006:AQ1006),$AB$1006:$AQ$1006,0)))),"Fix")))</f>
        <v>0</v>
      </c>
      <c r="U999">
        <v>0</v>
      </c>
      <c r="V999">
        <v>0</v>
      </c>
      <c r="W999">
        <v>0</v>
      </c>
      <c r="X999">
        <f>IF(Y999,TRUE,AND(AB999:AQ999))</f>
        <v>0</v>
      </c>
      <c r="Y999">
        <f>COUNTBLANK(Metadata!B999:Q999)=COLUMNS(Metadata!B999:Q999)</f>
        <v>0</v>
      </c>
      <c r="Z999">
        <v>0</v>
      </c>
      <c r="AB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AC999">
        <f>AND(IF(Metadata!C999="",FALSE,TRUE),exact(Metadata!C999,"urban biome"))</f>
        <v>0</v>
      </c>
      <c r="AD999">
        <f>AND(IF(Metadata!D999="",FALSE,TRUE),exact(Metadata!D999,"human-associated habitat"))</f>
        <v>0</v>
      </c>
      <c r="AE999">
        <f>AND(IF(Metadata!E999="",FALSE,TRUE),OR(exact(Metadata!E999,"human-associated"),exact(Metadata!E999,"human-skin"),exact(Metadata!E999,"human-oral"),exact(Metadata!E999,"human-gut"),exact(Metadata!E999,"human-vaginal")))</f>
        <v>0</v>
      </c>
      <c r="AF999">
        <f>AND(IF(Metadata!F999="",FALSE,ISNUMBER(VALUE(Metadata!F999))),Metadata!F999&gt;0)</f>
        <v>0</v>
      </c>
      <c r="AG999">
        <f>AND(IF(Metadata!G999="",FALSE,TRUE),exact(Metadata!G999,"years"))</f>
        <v>0</v>
      </c>
      <c r="AH999">
        <f>OR(AND(IF(Metadata!H999="",FALSE,TRUE),OR(exact(Metadata!H999,"not applicable"),exact(Metadata!H999,"not collected"),exact(Metadata!H999,"not provided"),exact(Metadata!H999,"restricted access"))),AND(IF(Metadata!H999="",FALSE,ISNUMBER(VALUE(Metadata!H999))),Metadata!H999&gt;0))</f>
        <v>0</v>
      </c>
      <c r="AI999">
        <f>AND(IF(Metadata!I999="",FALSE,TRUE),exact(Metadata!I999,"human"))</f>
        <v>0</v>
      </c>
      <c r="AJ999">
        <f>AND(IF(Metadata!J999="",FALSE,ISNUMBER(VALUE(Metadata!J999))),Metadata!J999&gt;0)</f>
        <v>0</v>
      </c>
      <c r="AK999">
        <f>AND(IF(Metadata!K999="",FALSE,TRUE),exact(Metadata!K999,"cm"))</f>
        <v>0</v>
      </c>
      <c r="AL999">
        <f>AND(IF(Metadata!L999="",FALSE,TRUE),exact(Metadata!L999,"Homo sapiens"))</f>
        <v>0</v>
      </c>
      <c r="AM999">
        <f>AND(IF(Metadata!M999="",FALSE,TRUE),exact(Metadata!M999,"9606"))</f>
        <v>0</v>
      </c>
      <c r="AN999">
        <f>AND(IF(Metadata!N999="",FALSE,ISNUMBER(VALUE(Metadata!N999))),Metadata!N999&gt;0)</f>
        <v>0</v>
      </c>
      <c r="AO999">
        <f>AND(IF(Metadata!O999="",FALSE,TRUE),exact(Metadata!O999,"kg"))</f>
        <v>0</v>
      </c>
      <c r="AP999">
        <f>OR(AND(IF(Metadata!P999="",FALSE,TRUE),exact(Metadata!P999,"not provided")),IF(Metadata!P999="",FALSE,TRUE))</f>
        <v>0</v>
      </c>
      <c r="AQ999">
        <f>OR(AND(IF(Metadata!Q999="",FALSE,TRUE),exact(Metadata!Q999,"not provided")),IF(Metadata!Q999="",FALSE,TRUE))</f>
        <v>0</v>
      </c>
    </row>
    <row r="1000" spans="1:43">
      <c r="A1000" s="4">
        <f>IF(B1000=" "," ",HYPERLINK(CONCATENATE("#metadata!",ADDRESS(INDEX($W$2:$W$1001,MATCH(ROWS($U$2:U1000),$U$2:$U$1001,0),0),2)),INDEX($Z$2:$Z$1001,MATCH(ROWS($U$2:U1000),$U$2:$U$1001,0),0)))</f>
        <v>0</v>
      </c>
      <c r="B1000" s="5">
        <f>IF(OR(INDEX($V$2:$V$1001,MATCH(ROWS($U$2:U1000),$U$2:$U$1001,0),1)&gt;=100000,INDEX($AB$1005:$AQ$1005,1,MATCH(COLUMNS($AB$1006:AB1006),$AB$1006:$AQ$1006,0))&gt;=100000), " ",IF(INDEX($AB$2:$AQ$1001,MATCH(ROWS($U$2:U1000),$U$2:$U$1001,0),MATCH(COLUMNS($AB$1006:AB1006),$AB$1006:$AQ$1006,0)), HYPERLINK("#",""), HYPERLINK(CONCATENATE("#Metadata!", ADDRESS(INDEX($W$2:$W$1001,MATCH(ROWS($U$2:U1000),$U$2:$U$1001,0),0), INDEX($AB$1004:$AQ$1004,1,MATCH(COLUMNS($AB$1006:AB1006),$AB$1006:$AQ$1006,0)))),"Fix")))</f>
        <v>0</v>
      </c>
      <c r="C1000" s="5">
        <f>IF(OR(INDEX($V$2:$V$1001,MATCH(ROWS($U$2:U1000),$U$2:$U$1001,0),1)&gt;=100000,INDEX($AB$1005:$AQ$1005,1,MATCH(COLUMNS($AB$1006:AC1006),$AB$1006:$AQ$1006,0))&gt;=100000), " ",IF(INDEX($AB$2:$AQ$1001,MATCH(ROWS($U$2:U1000),$U$2:$U$1001,0),MATCH(COLUMNS($AB$1006:AC1006),$AB$1006:$AQ$1006,0)), HYPERLINK("#",""), HYPERLINK(CONCATENATE("#Metadata!", ADDRESS(INDEX($W$2:$W$1001,MATCH(ROWS($U$2:U1000),$U$2:$U$1001,0),0), INDEX($AB$1004:$AQ$1004,1,MATCH(COLUMNS($AB$1006:AC1006),$AB$1006:$AQ$1006,0)))),"Fix")))</f>
        <v>0</v>
      </c>
      <c r="D1000" s="5">
        <f>IF(OR(INDEX($V$2:$V$1001,MATCH(ROWS($U$2:U1000),$U$2:$U$1001,0),1)&gt;=100000,INDEX($AB$1005:$AQ$1005,1,MATCH(COLUMNS($AB$1006:AD1006),$AB$1006:$AQ$1006,0))&gt;=100000), " ",IF(INDEX($AB$2:$AQ$1001,MATCH(ROWS($U$2:U1000),$U$2:$U$1001,0),MATCH(COLUMNS($AB$1006:AD1006),$AB$1006:$AQ$1006,0)), HYPERLINK("#",""), HYPERLINK(CONCATENATE("#Metadata!", ADDRESS(INDEX($W$2:$W$1001,MATCH(ROWS($U$2:U1000),$U$2:$U$1001,0),0), INDEX($AB$1004:$AQ$1004,1,MATCH(COLUMNS($AB$1006:AD1006),$AB$1006:$AQ$1006,0)))),"Fix")))</f>
        <v>0</v>
      </c>
      <c r="E1000" s="5">
        <f>IF(OR(INDEX($V$2:$V$1001,MATCH(ROWS($U$2:U1000),$U$2:$U$1001,0),1)&gt;=100000,INDEX($AB$1005:$AQ$1005,1,MATCH(COLUMNS($AB$1006:AE1006),$AB$1006:$AQ$1006,0))&gt;=100000), " ",IF(INDEX($AB$2:$AQ$1001,MATCH(ROWS($U$2:U1000),$U$2:$U$1001,0),MATCH(COLUMNS($AB$1006:AE1006),$AB$1006:$AQ$1006,0)), HYPERLINK("#",""), HYPERLINK(CONCATENATE("#Metadata!", ADDRESS(INDEX($W$2:$W$1001,MATCH(ROWS($U$2:U1000),$U$2:$U$1001,0),0), INDEX($AB$1004:$AQ$1004,1,MATCH(COLUMNS($AB$1006:AE1006),$AB$1006:$AQ$1006,0)))),"Fix")))</f>
        <v>0</v>
      </c>
      <c r="F1000" s="5">
        <f>IF(OR(INDEX($V$2:$V$1001,MATCH(ROWS($U$2:U1000),$U$2:$U$1001,0),1)&gt;=100000,INDEX($AB$1005:$AQ$1005,1,MATCH(COLUMNS($AB$1006:AF1006),$AB$1006:$AQ$1006,0))&gt;=100000), " ",IF(INDEX($AB$2:$AQ$1001,MATCH(ROWS($U$2:U1000),$U$2:$U$1001,0),MATCH(COLUMNS($AB$1006:AF1006),$AB$1006:$AQ$1006,0)), HYPERLINK("#",""), HYPERLINK(CONCATENATE("#Metadata!", ADDRESS(INDEX($W$2:$W$1001,MATCH(ROWS($U$2:U1000),$U$2:$U$1001,0),0), INDEX($AB$1004:$AQ$1004,1,MATCH(COLUMNS($AB$1006:AF1006),$AB$1006:$AQ$1006,0)))),"Fix")))</f>
        <v>0</v>
      </c>
      <c r="G1000" s="5">
        <f>IF(OR(INDEX($V$2:$V$1001,MATCH(ROWS($U$2:U1000),$U$2:$U$1001,0),1)&gt;=100000,INDEX($AB$1005:$AQ$1005,1,MATCH(COLUMNS($AB$1006:AG1006),$AB$1006:$AQ$1006,0))&gt;=100000), " ",IF(INDEX($AB$2:$AQ$1001,MATCH(ROWS($U$2:U1000),$U$2:$U$1001,0),MATCH(COLUMNS($AB$1006:AG1006),$AB$1006:$AQ$1006,0)), HYPERLINK("#",""), HYPERLINK(CONCATENATE("#Metadata!", ADDRESS(INDEX($W$2:$W$1001,MATCH(ROWS($U$2:U1000),$U$2:$U$1001,0),0), INDEX($AB$1004:$AQ$1004,1,MATCH(COLUMNS($AB$1006:AG1006),$AB$1006:$AQ$1006,0)))),"Fix")))</f>
        <v>0</v>
      </c>
      <c r="H1000" s="5">
        <f>IF(OR(INDEX($V$2:$V$1001,MATCH(ROWS($U$2:U1000),$U$2:$U$1001,0),1)&gt;=100000,INDEX($AB$1005:$AQ$1005,1,MATCH(COLUMNS($AB$1006:AH1006),$AB$1006:$AQ$1006,0))&gt;=100000), " ",IF(INDEX($AB$2:$AQ$1001,MATCH(ROWS($U$2:U1000),$U$2:$U$1001,0),MATCH(COLUMNS($AB$1006:AH1006),$AB$1006:$AQ$1006,0)), HYPERLINK("#",""), HYPERLINK(CONCATENATE("#Metadata!", ADDRESS(INDEX($W$2:$W$1001,MATCH(ROWS($U$2:U1000),$U$2:$U$1001,0),0), INDEX($AB$1004:$AQ$1004,1,MATCH(COLUMNS($AB$1006:AH1006),$AB$1006:$AQ$1006,0)))),"Fix")))</f>
        <v>0</v>
      </c>
      <c r="I1000" s="5">
        <f>IF(OR(INDEX($V$2:$V$1001,MATCH(ROWS($U$2:U1000),$U$2:$U$1001,0),1)&gt;=100000,INDEX($AB$1005:$AQ$1005,1,MATCH(COLUMNS($AB$1006:AI1006),$AB$1006:$AQ$1006,0))&gt;=100000), " ",IF(INDEX($AB$2:$AQ$1001,MATCH(ROWS($U$2:U1000),$U$2:$U$1001,0),MATCH(COLUMNS($AB$1006:AI1006),$AB$1006:$AQ$1006,0)), HYPERLINK("#",""), HYPERLINK(CONCATENATE("#Metadata!", ADDRESS(INDEX($W$2:$W$1001,MATCH(ROWS($U$2:U1000),$U$2:$U$1001,0),0), INDEX($AB$1004:$AQ$1004,1,MATCH(COLUMNS($AB$1006:AI1006),$AB$1006:$AQ$1006,0)))),"Fix")))</f>
        <v>0</v>
      </c>
      <c r="J1000" s="5">
        <f>IF(OR(INDEX($V$2:$V$1001,MATCH(ROWS($U$2:U1000),$U$2:$U$1001,0),1)&gt;=100000,INDEX($AB$1005:$AQ$1005,1,MATCH(COLUMNS($AB$1006:AJ1006),$AB$1006:$AQ$1006,0))&gt;=100000), " ",IF(INDEX($AB$2:$AQ$1001,MATCH(ROWS($U$2:U1000),$U$2:$U$1001,0),MATCH(COLUMNS($AB$1006:AJ1006),$AB$1006:$AQ$1006,0)), HYPERLINK("#",""), HYPERLINK(CONCATENATE("#Metadata!", ADDRESS(INDEX($W$2:$W$1001,MATCH(ROWS($U$2:U1000),$U$2:$U$1001,0),0), INDEX($AB$1004:$AQ$1004,1,MATCH(COLUMNS($AB$1006:AJ1006),$AB$1006:$AQ$1006,0)))),"Fix")))</f>
        <v>0</v>
      </c>
      <c r="K1000" s="5">
        <f>IF(OR(INDEX($V$2:$V$1001,MATCH(ROWS($U$2:U1000),$U$2:$U$1001,0),1)&gt;=100000,INDEX($AB$1005:$AQ$1005,1,MATCH(COLUMNS($AB$1006:AK1006),$AB$1006:$AQ$1006,0))&gt;=100000), " ",IF(INDEX($AB$2:$AQ$1001,MATCH(ROWS($U$2:U1000),$U$2:$U$1001,0),MATCH(COLUMNS($AB$1006:AK1006),$AB$1006:$AQ$1006,0)), HYPERLINK("#",""), HYPERLINK(CONCATENATE("#Metadata!", ADDRESS(INDEX($W$2:$W$1001,MATCH(ROWS($U$2:U1000),$U$2:$U$1001,0),0), INDEX($AB$1004:$AQ$1004,1,MATCH(COLUMNS($AB$1006:AK1006),$AB$1006:$AQ$1006,0)))),"Fix")))</f>
        <v>0</v>
      </c>
      <c r="L1000" s="5">
        <f>IF(OR(INDEX($V$2:$V$1001,MATCH(ROWS($U$2:U1000),$U$2:$U$1001,0),1)&gt;=100000,INDEX($AB$1005:$AQ$1005,1,MATCH(COLUMNS($AB$1006:AL1006),$AB$1006:$AQ$1006,0))&gt;=100000), " ",IF(INDEX($AB$2:$AQ$1001,MATCH(ROWS($U$2:U1000),$U$2:$U$1001,0),MATCH(COLUMNS($AB$1006:AL1006),$AB$1006:$AQ$1006,0)), HYPERLINK("#",""), HYPERLINK(CONCATENATE("#Metadata!", ADDRESS(INDEX($W$2:$W$1001,MATCH(ROWS($U$2:U1000),$U$2:$U$1001,0),0), INDEX($AB$1004:$AQ$1004,1,MATCH(COLUMNS($AB$1006:AL1006),$AB$1006:$AQ$1006,0)))),"Fix")))</f>
        <v>0</v>
      </c>
      <c r="M1000" s="5">
        <f>IF(OR(INDEX($V$2:$V$1001,MATCH(ROWS($U$2:U1000),$U$2:$U$1001,0),1)&gt;=100000,INDEX($AB$1005:$AQ$1005,1,MATCH(COLUMNS($AB$1006:AM1006),$AB$1006:$AQ$1006,0))&gt;=100000), " ",IF(INDEX($AB$2:$AQ$1001,MATCH(ROWS($U$2:U1000),$U$2:$U$1001,0),MATCH(COLUMNS($AB$1006:AM1006),$AB$1006:$AQ$1006,0)), HYPERLINK("#",""), HYPERLINK(CONCATENATE("#Metadata!", ADDRESS(INDEX($W$2:$W$1001,MATCH(ROWS($U$2:U1000),$U$2:$U$1001,0),0), INDEX($AB$1004:$AQ$1004,1,MATCH(COLUMNS($AB$1006:AM1006),$AB$1006:$AQ$1006,0)))),"Fix")))</f>
        <v>0</v>
      </c>
      <c r="N1000" s="5">
        <f>IF(OR(INDEX($V$2:$V$1001,MATCH(ROWS($U$2:U1000),$U$2:$U$1001,0),1)&gt;=100000,INDEX($AB$1005:$AQ$1005,1,MATCH(COLUMNS($AB$1006:AN1006),$AB$1006:$AQ$1006,0))&gt;=100000), " ",IF(INDEX($AB$2:$AQ$1001,MATCH(ROWS($U$2:U1000),$U$2:$U$1001,0),MATCH(COLUMNS($AB$1006:AN1006),$AB$1006:$AQ$1006,0)), HYPERLINK("#",""), HYPERLINK(CONCATENATE("#Metadata!", ADDRESS(INDEX($W$2:$W$1001,MATCH(ROWS($U$2:U1000),$U$2:$U$1001,0),0), INDEX($AB$1004:$AQ$1004,1,MATCH(COLUMNS($AB$1006:AN1006),$AB$1006:$AQ$1006,0)))),"Fix")))</f>
        <v>0</v>
      </c>
      <c r="O1000" s="5">
        <f>IF(OR(INDEX($V$2:$V$1001,MATCH(ROWS($U$2:U1000),$U$2:$U$1001,0),1)&gt;=100000,INDEX($AB$1005:$AQ$1005,1,MATCH(COLUMNS($AB$1006:AO1006),$AB$1006:$AQ$1006,0))&gt;=100000), " ",IF(INDEX($AB$2:$AQ$1001,MATCH(ROWS($U$2:U1000),$U$2:$U$1001,0),MATCH(COLUMNS($AB$1006:AO1006),$AB$1006:$AQ$1006,0)), HYPERLINK("#",""), HYPERLINK(CONCATENATE("#Metadata!", ADDRESS(INDEX($W$2:$W$1001,MATCH(ROWS($U$2:U1000),$U$2:$U$1001,0),0), INDEX($AB$1004:$AQ$1004,1,MATCH(COLUMNS($AB$1006:AO1006),$AB$1006:$AQ$1006,0)))),"Fix")))</f>
        <v>0</v>
      </c>
      <c r="P1000" s="5">
        <f>IF(OR(INDEX($V$2:$V$1001,MATCH(ROWS($U$2:U1000),$U$2:$U$1001,0),1)&gt;=100000,INDEX($AB$1005:$AQ$1005,1,MATCH(COLUMNS($AB$1006:AP1006),$AB$1006:$AQ$1006,0))&gt;=100000), " ",IF(INDEX($AB$2:$AQ$1001,MATCH(ROWS($U$2:U1000),$U$2:$U$1001,0),MATCH(COLUMNS($AB$1006:AP1006),$AB$1006:$AQ$1006,0)), HYPERLINK("#",""), HYPERLINK(CONCATENATE("#Metadata!", ADDRESS(INDEX($W$2:$W$1001,MATCH(ROWS($U$2:U1000),$U$2:$U$1001,0),0), INDEX($AB$1004:$AQ$1004,1,MATCH(COLUMNS($AB$1006:AP1006),$AB$1006:$AQ$1006,0)))),"Fix")))</f>
        <v>0</v>
      </c>
      <c r="Q1000" s="5">
        <f>IF(OR(INDEX($V$2:$V$1001,MATCH(ROWS($U$2:U1000),$U$2:$U$1001,0),1)&gt;=100000,INDEX($AB$1005:$AQ$1005,1,MATCH(COLUMNS($AB$1006:AQ1006),$AB$1006:$AQ$1006,0))&gt;=100000), " ",IF(INDEX($AB$2:$AQ$1001,MATCH(ROWS($U$2:U1000),$U$2:$U$1001,0),MATCH(COLUMNS($AB$1006:AQ1006),$AB$1006:$AQ$1006,0)), HYPERLINK("#",""), HYPERLINK(CONCATENATE("#Metadata!", ADDRESS(INDEX($W$2:$W$1001,MATCH(ROWS($U$2:U1000),$U$2:$U$1001,0),0), INDEX($AB$1004:$AQ$1004,1,MATCH(COLUMNS($AB$1006:AQ1006),$AB$1006:$AQ$1006,0)))),"Fix")))</f>
        <v>0</v>
      </c>
      <c r="U1000">
        <v>0</v>
      </c>
      <c r="V1000">
        <v>0</v>
      </c>
      <c r="W1000">
        <v>0</v>
      </c>
      <c r="X1000">
        <f>IF(Y1000,TRUE,AND(AB1000:AQ1000))</f>
        <v>0</v>
      </c>
      <c r="Y1000">
        <f>COUNTBLANK(Metadata!B1000:Q1000)=COLUMNS(Metadata!B1000:Q1000)</f>
        <v>0</v>
      </c>
      <c r="Z1000">
        <v>0</v>
      </c>
      <c r="AB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AC1000">
        <f>AND(IF(Metadata!C1000="",FALSE,TRUE),exact(Metadata!C1000,"urban biome"))</f>
        <v>0</v>
      </c>
      <c r="AD1000">
        <f>AND(IF(Metadata!D1000="",FALSE,TRUE),exact(Metadata!D1000,"human-associated habitat"))</f>
        <v>0</v>
      </c>
      <c r="AE1000">
        <f>AND(IF(Metadata!E1000="",FALSE,TRUE),OR(exact(Metadata!E1000,"human-associated"),exact(Metadata!E1000,"human-skin"),exact(Metadata!E1000,"human-oral"),exact(Metadata!E1000,"human-gut"),exact(Metadata!E1000,"human-vaginal")))</f>
        <v>0</v>
      </c>
      <c r="AF1000">
        <f>AND(IF(Metadata!F1000="",FALSE,ISNUMBER(VALUE(Metadata!F1000))),Metadata!F1000&gt;0)</f>
        <v>0</v>
      </c>
      <c r="AG1000">
        <f>AND(IF(Metadata!G1000="",FALSE,TRUE),exact(Metadata!G1000,"years"))</f>
        <v>0</v>
      </c>
      <c r="AH1000">
        <f>OR(AND(IF(Metadata!H1000="",FALSE,TRUE),OR(exact(Metadata!H1000,"not applicable"),exact(Metadata!H1000,"not collected"),exact(Metadata!H1000,"not provided"),exact(Metadata!H1000,"restricted access"))),AND(IF(Metadata!H1000="",FALSE,ISNUMBER(VALUE(Metadata!H1000))),Metadata!H1000&gt;0))</f>
        <v>0</v>
      </c>
      <c r="AI1000">
        <f>AND(IF(Metadata!I1000="",FALSE,TRUE),exact(Metadata!I1000,"human"))</f>
        <v>0</v>
      </c>
      <c r="AJ1000">
        <f>AND(IF(Metadata!J1000="",FALSE,ISNUMBER(VALUE(Metadata!J1000))),Metadata!J1000&gt;0)</f>
        <v>0</v>
      </c>
      <c r="AK1000">
        <f>AND(IF(Metadata!K1000="",FALSE,TRUE),exact(Metadata!K1000,"cm"))</f>
        <v>0</v>
      </c>
      <c r="AL1000">
        <f>AND(IF(Metadata!L1000="",FALSE,TRUE),exact(Metadata!L1000,"Homo sapiens"))</f>
        <v>0</v>
      </c>
      <c r="AM1000">
        <f>AND(IF(Metadata!M1000="",FALSE,TRUE),exact(Metadata!M1000,"9606"))</f>
        <v>0</v>
      </c>
      <c r="AN1000">
        <f>AND(IF(Metadata!N1000="",FALSE,ISNUMBER(VALUE(Metadata!N1000))),Metadata!N1000&gt;0)</f>
        <v>0</v>
      </c>
      <c r="AO1000">
        <f>AND(IF(Metadata!O1000="",FALSE,TRUE),exact(Metadata!O1000,"kg"))</f>
        <v>0</v>
      </c>
      <c r="AP1000">
        <f>OR(AND(IF(Metadata!P1000="",FALSE,TRUE),exact(Metadata!P1000,"not provided")),IF(Metadata!P1000="",FALSE,TRUE))</f>
        <v>0</v>
      </c>
      <c r="AQ1000">
        <f>OR(AND(IF(Metadata!Q1000="",FALSE,TRUE),exact(Metadata!Q1000,"not provided")),IF(Metadata!Q1000="",FALSE,TRUE))</f>
        <v>0</v>
      </c>
    </row>
    <row r="1001" spans="1:43">
      <c r="A1001" s="4">
        <f>IF(B1001=" "," ",HYPERLINK(CONCATENATE("#metadata!",ADDRESS(INDEX($W$2:$W$1001,MATCH(ROWS($U$2:U1001),$U$2:$U$1001,0),0),2)),INDEX($Z$2:$Z$1001,MATCH(ROWS($U$2:U1001),$U$2:$U$1001,0),0)))</f>
        <v>0</v>
      </c>
      <c r="B1001" s="5">
        <f>IF(OR(INDEX($V$2:$V$1001,MATCH(ROWS($U$2:U1001),$U$2:$U$1001,0),1)&gt;=100000,INDEX($AB$1005:$AQ$1005,1,MATCH(COLUMNS($AB$1006:AB1006),$AB$1006:$AQ$1006,0))&gt;=100000), " ",IF(INDEX($AB$2:$AQ$1001,MATCH(ROWS($U$2:U1001),$U$2:$U$1001,0),MATCH(COLUMNS($AB$1006:AB1006),$AB$1006:$AQ$1006,0)), HYPERLINK("#",""), HYPERLINK(CONCATENATE("#Metadata!", ADDRESS(INDEX($W$2:$W$1001,MATCH(ROWS($U$2:U1001),$U$2:$U$1001,0),0), INDEX($AB$1004:$AQ$1004,1,MATCH(COLUMNS($AB$1006:AB1006),$AB$1006:$AQ$1006,0)))),"Fix")))</f>
        <v>0</v>
      </c>
      <c r="C1001" s="5">
        <f>IF(OR(INDEX($V$2:$V$1001,MATCH(ROWS($U$2:U1001),$U$2:$U$1001,0),1)&gt;=100000,INDEX($AB$1005:$AQ$1005,1,MATCH(COLUMNS($AB$1006:AC1006),$AB$1006:$AQ$1006,0))&gt;=100000), " ",IF(INDEX($AB$2:$AQ$1001,MATCH(ROWS($U$2:U1001),$U$2:$U$1001,0),MATCH(COLUMNS($AB$1006:AC1006),$AB$1006:$AQ$1006,0)), HYPERLINK("#",""), HYPERLINK(CONCATENATE("#Metadata!", ADDRESS(INDEX($W$2:$W$1001,MATCH(ROWS($U$2:U1001),$U$2:$U$1001,0),0), INDEX($AB$1004:$AQ$1004,1,MATCH(COLUMNS($AB$1006:AC1006),$AB$1006:$AQ$1006,0)))),"Fix")))</f>
        <v>0</v>
      </c>
      <c r="D1001" s="5">
        <f>IF(OR(INDEX($V$2:$V$1001,MATCH(ROWS($U$2:U1001),$U$2:$U$1001,0),1)&gt;=100000,INDEX($AB$1005:$AQ$1005,1,MATCH(COLUMNS($AB$1006:AD1006),$AB$1006:$AQ$1006,0))&gt;=100000), " ",IF(INDEX($AB$2:$AQ$1001,MATCH(ROWS($U$2:U1001),$U$2:$U$1001,0),MATCH(COLUMNS($AB$1006:AD1006),$AB$1006:$AQ$1006,0)), HYPERLINK("#",""), HYPERLINK(CONCATENATE("#Metadata!", ADDRESS(INDEX($W$2:$W$1001,MATCH(ROWS($U$2:U1001),$U$2:$U$1001,0),0), INDEX($AB$1004:$AQ$1004,1,MATCH(COLUMNS($AB$1006:AD1006),$AB$1006:$AQ$1006,0)))),"Fix")))</f>
        <v>0</v>
      </c>
      <c r="E1001" s="5">
        <f>IF(OR(INDEX($V$2:$V$1001,MATCH(ROWS($U$2:U1001),$U$2:$U$1001,0),1)&gt;=100000,INDEX($AB$1005:$AQ$1005,1,MATCH(COLUMNS($AB$1006:AE1006),$AB$1006:$AQ$1006,0))&gt;=100000), " ",IF(INDEX($AB$2:$AQ$1001,MATCH(ROWS($U$2:U1001),$U$2:$U$1001,0),MATCH(COLUMNS($AB$1006:AE1006),$AB$1006:$AQ$1006,0)), HYPERLINK("#",""), HYPERLINK(CONCATENATE("#Metadata!", ADDRESS(INDEX($W$2:$W$1001,MATCH(ROWS($U$2:U1001),$U$2:$U$1001,0),0), INDEX($AB$1004:$AQ$1004,1,MATCH(COLUMNS($AB$1006:AE1006),$AB$1006:$AQ$1006,0)))),"Fix")))</f>
        <v>0</v>
      </c>
      <c r="F1001" s="5">
        <f>IF(OR(INDEX($V$2:$V$1001,MATCH(ROWS($U$2:U1001),$U$2:$U$1001,0),1)&gt;=100000,INDEX($AB$1005:$AQ$1005,1,MATCH(COLUMNS($AB$1006:AF1006),$AB$1006:$AQ$1006,0))&gt;=100000), " ",IF(INDEX($AB$2:$AQ$1001,MATCH(ROWS($U$2:U1001),$U$2:$U$1001,0),MATCH(COLUMNS($AB$1006:AF1006),$AB$1006:$AQ$1006,0)), HYPERLINK("#",""), HYPERLINK(CONCATENATE("#Metadata!", ADDRESS(INDEX($W$2:$W$1001,MATCH(ROWS($U$2:U1001),$U$2:$U$1001,0),0), INDEX($AB$1004:$AQ$1004,1,MATCH(COLUMNS($AB$1006:AF1006),$AB$1006:$AQ$1006,0)))),"Fix")))</f>
        <v>0</v>
      </c>
      <c r="G1001" s="5">
        <f>IF(OR(INDEX($V$2:$V$1001,MATCH(ROWS($U$2:U1001),$U$2:$U$1001,0),1)&gt;=100000,INDEX($AB$1005:$AQ$1005,1,MATCH(COLUMNS($AB$1006:AG1006),$AB$1006:$AQ$1006,0))&gt;=100000), " ",IF(INDEX($AB$2:$AQ$1001,MATCH(ROWS($U$2:U1001),$U$2:$U$1001,0),MATCH(COLUMNS($AB$1006:AG1006),$AB$1006:$AQ$1006,0)), HYPERLINK("#",""), HYPERLINK(CONCATENATE("#Metadata!", ADDRESS(INDEX($W$2:$W$1001,MATCH(ROWS($U$2:U1001),$U$2:$U$1001,0),0), INDEX($AB$1004:$AQ$1004,1,MATCH(COLUMNS($AB$1006:AG1006),$AB$1006:$AQ$1006,0)))),"Fix")))</f>
        <v>0</v>
      </c>
      <c r="H1001" s="5">
        <f>IF(OR(INDEX($V$2:$V$1001,MATCH(ROWS($U$2:U1001),$U$2:$U$1001,0),1)&gt;=100000,INDEX($AB$1005:$AQ$1005,1,MATCH(COLUMNS($AB$1006:AH1006),$AB$1006:$AQ$1006,0))&gt;=100000), " ",IF(INDEX($AB$2:$AQ$1001,MATCH(ROWS($U$2:U1001),$U$2:$U$1001,0),MATCH(COLUMNS($AB$1006:AH1006),$AB$1006:$AQ$1006,0)), HYPERLINK("#",""), HYPERLINK(CONCATENATE("#Metadata!", ADDRESS(INDEX($W$2:$W$1001,MATCH(ROWS($U$2:U1001),$U$2:$U$1001,0),0), INDEX($AB$1004:$AQ$1004,1,MATCH(COLUMNS($AB$1006:AH1006),$AB$1006:$AQ$1006,0)))),"Fix")))</f>
        <v>0</v>
      </c>
      <c r="I1001" s="5">
        <f>IF(OR(INDEX($V$2:$V$1001,MATCH(ROWS($U$2:U1001),$U$2:$U$1001,0),1)&gt;=100000,INDEX($AB$1005:$AQ$1005,1,MATCH(COLUMNS($AB$1006:AI1006),$AB$1006:$AQ$1006,0))&gt;=100000), " ",IF(INDEX($AB$2:$AQ$1001,MATCH(ROWS($U$2:U1001),$U$2:$U$1001,0),MATCH(COLUMNS($AB$1006:AI1006),$AB$1006:$AQ$1006,0)), HYPERLINK("#",""), HYPERLINK(CONCATENATE("#Metadata!", ADDRESS(INDEX($W$2:$W$1001,MATCH(ROWS($U$2:U1001),$U$2:$U$1001,0),0), INDEX($AB$1004:$AQ$1004,1,MATCH(COLUMNS($AB$1006:AI1006),$AB$1006:$AQ$1006,0)))),"Fix")))</f>
        <v>0</v>
      </c>
      <c r="J1001" s="5">
        <f>IF(OR(INDEX($V$2:$V$1001,MATCH(ROWS($U$2:U1001),$U$2:$U$1001,0),1)&gt;=100000,INDEX($AB$1005:$AQ$1005,1,MATCH(COLUMNS($AB$1006:AJ1006),$AB$1006:$AQ$1006,0))&gt;=100000), " ",IF(INDEX($AB$2:$AQ$1001,MATCH(ROWS($U$2:U1001),$U$2:$U$1001,0),MATCH(COLUMNS($AB$1006:AJ1006),$AB$1006:$AQ$1006,0)), HYPERLINK("#",""), HYPERLINK(CONCATENATE("#Metadata!", ADDRESS(INDEX($W$2:$W$1001,MATCH(ROWS($U$2:U1001),$U$2:$U$1001,0),0), INDEX($AB$1004:$AQ$1004,1,MATCH(COLUMNS($AB$1006:AJ1006),$AB$1006:$AQ$1006,0)))),"Fix")))</f>
        <v>0</v>
      </c>
      <c r="K1001" s="5">
        <f>IF(OR(INDEX($V$2:$V$1001,MATCH(ROWS($U$2:U1001),$U$2:$U$1001,0),1)&gt;=100000,INDEX($AB$1005:$AQ$1005,1,MATCH(COLUMNS($AB$1006:AK1006),$AB$1006:$AQ$1006,0))&gt;=100000), " ",IF(INDEX($AB$2:$AQ$1001,MATCH(ROWS($U$2:U1001),$U$2:$U$1001,0),MATCH(COLUMNS($AB$1006:AK1006),$AB$1006:$AQ$1006,0)), HYPERLINK("#",""), HYPERLINK(CONCATENATE("#Metadata!", ADDRESS(INDEX($W$2:$W$1001,MATCH(ROWS($U$2:U1001),$U$2:$U$1001,0),0), INDEX($AB$1004:$AQ$1004,1,MATCH(COLUMNS($AB$1006:AK1006),$AB$1006:$AQ$1006,0)))),"Fix")))</f>
        <v>0</v>
      </c>
      <c r="L1001" s="5">
        <f>IF(OR(INDEX($V$2:$V$1001,MATCH(ROWS($U$2:U1001),$U$2:$U$1001,0),1)&gt;=100000,INDEX($AB$1005:$AQ$1005,1,MATCH(COLUMNS($AB$1006:AL1006),$AB$1006:$AQ$1006,0))&gt;=100000), " ",IF(INDEX($AB$2:$AQ$1001,MATCH(ROWS($U$2:U1001),$U$2:$U$1001,0),MATCH(COLUMNS($AB$1006:AL1006),$AB$1006:$AQ$1006,0)), HYPERLINK("#",""), HYPERLINK(CONCATENATE("#Metadata!", ADDRESS(INDEX($W$2:$W$1001,MATCH(ROWS($U$2:U1001),$U$2:$U$1001,0),0), INDEX($AB$1004:$AQ$1004,1,MATCH(COLUMNS($AB$1006:AL1006),$AB$1006:$AQ$1006,0)))),"Fix")))</f>
        <v>0</v>
      </c>
      <c r="M1001" s="5">
        <f>IF(OR(INDEX($V$2:$V$1001,MATCH(ROWS($U$2:U1001),$U$2:$U$1001,0),1)&gt;=100000,INDEX($AB$1005:$AQ$1005,1,MATCH(COLUMNS($AB$1006:AM1006),$AB$1006:$AQ$1006,0))&gt;=100000), " ",IF(INDEX($AB$2:$AQ$1001,MATCH(ROWS($U$2:U1001),$U$2:$U$1001,0),MATCH(COLUMNS($AB$1006:AM1006),$AB$1006:$AQ$1006,0)), HYPERLINK("#",""), HYPERLINK(CONCATENATE("#Metadata!", ADDRESS(INDEX($W$2:$W$1001,MATCH(ROWS($U$2:U1001),$U$2:$U$1001,0),0), INDEX($AB$1004:$AQ$1004,1,MATCH(COLUMNS($AB$1006:AM1006),$AB$1006:$AQ$1006,0)))),"Fix")))</f>
        <v>0</v>
      </c>
      <c r="N1001" s="5">
        <f>IF(OR(INDEX($V$2:$V$1001,MATCH(ROWS($U$2:U1001),$U$2:$U$1001,0),1)&gt;=100000,INDEX($AB$1005:$AQ$1005,1,MATCH(COLUMNS($AB$1006:AN1006),$AB$1006:$AQ$1006,0))&gt;=100000), " ",IF(INDEX($AB$2:$AQ$1001,MATCH(ROWS($U$2:U1001),$U$2:$U$1001,0),MATCH(COLUMNS($AB$1006:AN1006),$AB$1006:$AQ$1006,0)), HYPERLINK("#",""), HYPERLINK(CONCATENATE("#Metadata!", ADDRESS(INDEX($W$2:$W$1001,MATCH(ROWS($U$2:U1001),$U$2:$U$1001,0),0), INDEX($AB$1004:$AQ$1004,1,MATCH(COLUMNS($AB$1006:AN1006),$AB$1006:$AQ$1006,0)))),"Fix")))</f>
        <v>0</v>
      </c>
      <c r="O1001" s="5">
        <f>IF(OR(INDEX($V$2:$V$1001,MATCH(ROWS($U$2:U1001),$U$2:$U$1001,0),1)&gt;=100000,INDEX($AB$1005:$AQ$1005,1,MATCH(COLUMNS($AB$1006:AO1006),$AB$1006:$AQ$1006,0))&gt;=100000), " ",IF(INDEX($AB$2:$AQ$1001,MATCH(ROWS($U$2:U1001),$U$2:$U$1001,0),MATCH(COLUMNS($AB$1006:AO1006),$AB$1006:$AQ$1006,0)), HYPERLINK("#",""), HYPERLINK(CONCATENATE("#Metadata!", ADDRESS(INDEX($W$2:$W$1001,MATCH(ROWS($U$2:U1001),$U$2:$U$1001,0),0), INDEX($AB$1004:$AQ$1004,1,MATCH(COLUMNS($AB$1006:AO1006),$AB$1006:$AQ$1006,0)))),"Fix")))</f>
        <v>0</v>
      </c>
      <c r="P1001" s="5">
        <f>IF(OR(INDEX($V$2:$V$1001,MATCH(ROWS($U$2:U1001),$U$2:$U$1001,0),1)&gt;=100000,INDEX($AB$1005:$AQ$1005,1,MATCH(COLUMNS($AB$1006:AP1006),$AB$1006:$AQ$1006,0))&gt;=100000), " ",IF(INDEX($AB$2:$AQ$1001,MATCH(ROWS($U$2:U1001),$U$2:$U$1001,0),MATCH(COLUMNS($AB$1006:AP1006),$AB$1006:$AQ$1006,0)), HYPERLINK("#",""), HYPERLINK(CONCATENATE("#Metadata!", ADDRESS(INDEX($W$2:$W$1001,MATCH(ROWS($U$2:U1001),$U$2:$U$1001,0),0), INDEX($AB$1004:$AQ$1004,1,MATCH(COLUMNS($AB$1006:AP1006),$AB$1006:$AQ$1006,0)))),"Fix")))</f>
        <v>0</v>
      </c>
      <c r="Q1001" s="5">
        <f>IF(OR(INDEX($V$2:$V$1001,MATCH(ROWS($U$2:U1001),$U$2:$U$1001,0),1)&gt;=100000,INDEX($AB$1005:$AQ$1005,1,MATCH(COLUMNS($AB$1006:AQ1006),$AB$1006:$AQ$1006,0))&gt;=100000), " ",IF(INDEX($AB$2:$AQ$1001,MATCH(ROWS($U$2:U1001),$U$2:$U$1001,0),MATCH(COLUMNS($AB$1006:AQ1006),$AB$1006:$AQ$1006,0)), HYPERLINK("#",""), HYPERLINK(CONCATENATE("#Metadata!", ADDRESS(INDEX($W$2:$W$1001,MATCH(ROWS($U$2:U1001),$U$2:$U$1001,0),0), INDEX($AB$1004:$AQ$1004,1,MATCH(COLUMNS($AB$1006:AQ1006),$AB$1006:$AQ$1006,0)))),"Fix")))</f>
        <v>0</v>
      </c>
      <c r="U1001">
        <v>0</v>
      </c>
      <c r="V1001">
        <v>0</v>
      </c>
      <c r="W1001">
        <v>0</v>
      </c>
      <c r="X1001">
        <f>IF(Y1001,TRUE,AND(AB1001:AQ1001))</f>
        <v>0</v>
      </c>
      <c r="Y1001">
        <f>COUNTBLANK(Metadata!B1001:Q1001)=COLUMNS(Metadata!B1001:Q1001)</f>
        <v>0</v>
      </c>
      <c r="Z1001">
        <v>0</v>
      </c>
      <c r="AB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AC1001">
        <f>AND(IF(Metadata!C1001="",FALSE,TRUE),exact(Metadata!C1001,"urban biome"))</f>
        <v>0</v>
      </c>
      <c r="AD1001">
        <f>AND(IF(Metadata!D1001="",FALSE,TRUE),exact(Metadata!D1001,"human-associated habitat"))</f>
        <v>0</v>
      </c>
      <c r="AE1001">
        <f>AND(IF(Metadata!E1001="",FALSE,TRUE),OR(exact(Metadata!E1001,"human-associated"),exact(Metadata!E1001,"human-skin"),exact(Metadata!E1001,"human-oral"),exact(Metadata!E1001,"human-gut"),exact(Metadata!E1001,"human-vaginal")))</f>
        <v>0</v>
      </c>
      <c r="AF1001">
        <f>AND(IF(Metadata!F1001="",FALSE,ISNUMBER(VALUE(Metadata!F1001))),Metadata!F1001&gt;0)</f>
        <v>0</v>
      </c>
      <c r="AG1001">
        <f>AND(IF(Metadata!G1001="",FALSE,TRUE),exact(Metadata!G1001,"years"))</f>
        <v>0</v>
      </c>
      <c r="AH1001">
        <f>OR(AND(IF(Metadata!H1001="",FALSE,TRUE),OR(exact(Metadata!H1001,"not applicable"),exact(Metadata!H1001,"not collected"),exact(Metadata!H1001,"not provided"),exact(Metadata!H1001,"restricted access"))),AND(IF(Metadata!H1001="",FALSE,ISNUMBER(VALUE(Metadata!H1001))),Metadata!H1001&gt;0))</f>
        <v>0</v>
      </c>
      <c r="AI1001">
        <f>AND(IF(Metadata!I1001="",FALSE,TRUE),exact(Metadata!I1001,"human"))</f>
        <v>0</v>
      </c>
      <c r="AJ1001">
        <f>AND(IF(Metadata!J1001="",FALSE,ISNUMBER(VALUE(Metadata!J1001))),Metadata!J1001&gt;0)</f>
        <v>0</v>
      </c>
      <c r="AK1001">
        <f>AND(IF(Metadata!K1001="",FALSE,TRUE),exact(Metadata!K1001,"cm"))</f>
        <v>0</v>
      </c>
      <c r="AL1001">
        <f>AND(IF(Metadata!L1001="",FALSE,TRUE),exact(Metadata!L1001,"Homo sapiens"))</f>
        <v>0</v>
      </c>
      <c r="AM1001">
        <f>AND(IF(Metadata!M1001="",FALSE,TRUE),exact(Metadata!M1001,"9606"))</f>
        <v>0</v>
      </c>
      <c r="AN1001">
        <f>AND(IF(Metadata!N1001="",FALSE,ISNUMBER(VALUE(Metadata!N1001))),Metadata!N1001&gt;0)</f>
        <v>0</v>
      </c>
      <c r="AO1001">
        <f>AND(IF(Metadata!O1001="",FALSE,TRUE),exact(Metadata!O1001,"kg"))</f>
        <v>0</v>
      </c>
      <c r="AP1001">
        <f>OR(AND(IF(Metadata!P1001="",FALSE,TRUE),exact(Metadata!P1001,"not provided")),IF(Metadata!P1001="",FALSE,TRUE))</f>
        <v>0</v>
      </c>
      <c r="AQ1001">
        <f>OR(AND(IF(Metadata!Q1001="",FALSE,TRUE),exact(Metadata!Q1001,"not provided")),IF(Metadata!Q1001="",FALSE,TRUE))</f>
        <v>0</v>
      </c>
    </row>
    <row r="1003" spans="1:43">
      <c r="AA1003" s="3" t="s">
        <v>23</v>
      </c>
      <c r="AB1003">
        <f t="array" ref="AB1003">AND(IF($Y2:$Y1001,TRUE,AB2:AB1001))</f>
        <v>0</v>
      </c>
      <c r="AC1003">
        <f t="array" ref="AC1003">AND(IF($Y2:$Y1001,TRUE,AC2:AC1001))</f>
        <v>0</v>
      </c>
      <c r="AD1003">
        <f t="array" ref="AD1003">AND(IF($Y2:$Y1001,TRUE,AD2:AD1001))</f>
        <v>0</v>
      </c>
      <c r="AE1003">
        <f t="array" ref="AE1003">AND(IF($Y2:$Y1001,TRUE,AE2:AE1001))</f>
        <v>0</v>
      </c>
      <c r="AF1003">
        <f t="array" ref="AF1003">AND(IF($Y2:$Y1001,TRUE,AF2:AF1001))</f>
        <v>0</v>
      </c>
      <c r="AG1003">
        <f t="array" ref="AG1003">AND(IF($Y2:$Y1001,TRUE,AG2:AG1001))</f>
        <v>0</v>
      </c>
      <c r="AH1003">
        <f t="array" ref="AH1003">AND(IF($Y2:$Y1001,TRUE,AH2:AH1001))</f>
        <v>0</v>
      </c>
      <c r="AI1003">
        <f t="array" ref="AI1003">AND(IF($Y2:$Y1001,TRUE,AI2:AI1001))</f>
        <v>0</v>
      </c>
      <c r="AJ1003">
        <f t="array" ref="AJ1003">AND(IF($Y2:$Y1001,TRUE,AJ2:AJ1001))</f>
        <v>0</v>
      </c>
      <c r="AK1003">
        <f t="array" ref="AK1003">AND(IF($Y2:$Y1001,TRUE,AK2:AK1001))</f>
        <v>0</v>
      </c>
      <c r="AL1003">
        <f t="array" ref="AL1003">AND(IF($Y2:$Y1001,TRUE,AL2:AL1001))</f>
        <v>0</v>
      </c>
      <c r="AM1003">
        <f t="array" ref="AM1003">AND(IF($Y2:$Y1001,TRUE,AM2:AM1001))</f>
        <v>0</v>
      </c>
      <c r="AN1003">
        <f t="array" ref="AN1003">AND(IF($Y2:$Y1001,TRUE,AN2:AN1001))</f>
        <v>0</v>
      </c>
      <c r="AO1003">
        <f t="array" ref="AO1003">AND(IF($Y2:$Y1001,TRUE,AO2:AO1001))</f>
        <v>0</v>
      </c>
      <c r="AP1003">
        <f t="array" ref="AP1003">AND(IF($Y2:$Y1001,TRUE,AP2:AP1001))</f>
        <v>0</v>
      </c>
      <c r="AQ1003">
        <f t="array" ref="AQ1003">AND(IF($Y2:$Y1001,TRUE,AQ2:AQ1001))</f>
        <v>0</v>
      </c>
    </row>
    <row r="1004" spans="1:43">
      <c r="AA1004" s="3" t="s">
        <v>24</v>
      </c>
      <c r="AB1004">
        <f t="array" ref="AB1004:AQ1004">COLUMN(Metadata!B1004:Q1004)</f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</row>
    <row r="1005" spans="1:43">
      <c r="AA1005" s="3" t="s">
        <v>25</v>
      </c>
      <c r="AB1005">
        <f t="array" ref="AB1005:AQ1005">INT(AB1003:AQ1003)*100000+$AB$1004:$AQ$1004</f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</row>
    <row r="1006" spans="1:43">
      <c r="AA1006" s="3" t="s">
        <v>26</v>
      </c>
      <c r="AB1006">
        <f t="array" ref="AB1006:AQ1006">COUNTIF($AB1005:$AQ1005,"&lt;="&amp;AB$1005:AQ1005)</f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</row>
  </sheetData>
  <sheetProtection password="EE32" sheet="1" objects="1" scenarios="1"/>
  <conditionalFormatting sqref="B2:Q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5.7109375" customWidth="1"/>
    <col min="2" max="2" width="25.7109375" customWidth="1"/>
  </cols>
  <sheetData>
    <row r="1" spans="1:2">
      <c r="A1" s="3" t="s">
        <v>27</v>
      </c>
      <c r="B1" s="3" t="s">
        <v>28</v>
      </c>
    </row>
    <row r="2" spans="1:2">
      <c r="A2" s="3" t="s">
        <v>1</v>
      </c>
      <c r="B2" t="s">
        <v>29</v>
      </c>
    </row>
    <row r="3" spans="1:2">
      <c r="A3" s="3" t="s">
        <v>3</v>
      </c>
      <c r="B3" t="s">
        <v>30</v>
      </c>
    </row>
    <row r="4" spans="1:2">
      <c r="A4" s="3" t="s">
        <v>4</v>
      </c>
      <c r="B4" t="s">
        <v>31</v>
      </c>
    </row>
    <row r="5" spans="1:2">
      <c r="A5" s="3" t="s">
        <v>5</v>
      </c>
      <c r="B5" t="s">
        <v>32</v>
      </c>
    </row>
    <row r="6" spans="1:2">
      <c r="A6" s="3" t="s">
        <v>6</v>
      </c>
      <c r="B6" t="s">
        <v>33</v>
      </c>
    </row>
    <row r="7" spans="1:2">
      <c r="A7" s="3" t="s">
        <v>7</v>
      </c>
      <c r="B7" t="s">
        <v>34</v>
      </c>
    </row>
    <row r="8" spans="1:2">
      <c r="A8" s="3" t="s">
        <v>8</v>
      </c>
      <c r="B8" t="s">
        <v>35</v>
      </c>
    </row>
    <row r="9" spans="1:2">
      <c r="A9" s="3" t="s">
        <v>9</v>
      </c>
      <c r="B9" t="s">
        <v>36</v>
      </c>
    </row>
    <row r="10" spans="1:2">
      <c r="A10" s="3" t="s">
        <v>10</v>
      </c>
      <c r="B10" t="s">
        <v>33</v>
      </c>
    </row>
    <row r="11" spans="1:2">
      <c r="A11" s="3" t="s">
        <v>11</v>
      </c>
      <c r="B11" t="s">
        <v>37</v>
      </c>
    </row>
    <row r="12" spans="1:2">
      <c r="A12" s="3" t="s">
        <v>12</v>
      </c>
      <c r="B12" t="s">
        <v>38</v>
      </c>
    </row>
    <row r="13" spans="1:2">
      <c r="A13" s="3" t="s">
        <v>13</v>
      </c>
      <c r="B13" t="s">
        <v>39</v>
      </c>
    </row>
    <row r="14" spans="1:2">
      <c r="A14" s="3" t="s">
        <v>14</v>
      </c>
      <c r="B14" t="s">
        <v>33</v>
      </c>
    </row>
    <row r="15" spans="1:2">
      <c r="A15" s="3" t="s">
        <v>15</v>
      </c>
      <c r="B15" t="s">
        <v>40</v>
      </c>
    </row>
    <row r="16" spans="1:2">
      <c r="A16" s="3" t="s">
        <v>16</v>
      </c>
      <c r="B16" t="s">
        <v>41</v>
      </c>
    </row>
    <row r="17" spans="1:2">
      <c r="A17" s="3" t="s">
        <v>17</v>
      </c>
      <c r="B17" t="s">
        <v>42</v>
      </c>
    </row>
  </sheetData>
  <sheetProtection password="EE32"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43</v>
      </c>
    </row>
  </sheetData>
  <sheetProtection password="EE32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44</v>
      </c>
    </row>
  </sheetData>
  <sheetProtection password="EE32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6" t="s">
        <v>45</v>
      </c>
    </row>
  </sheetData>
  <sheetProtection password="EE3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2018-09-05T00:20:20Z</dcterms:created>
  <dcterms:modified xsi:type="dcterms:W3CDTF">2018-09-05T00:20:20Z</dcterms:modified>
</cp:coreProperties>
</file>